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25"/>
  <workbookPr/>
  <mc:AlternateContent xmlns:mc="http://schemas.openxmlformats.org/markup-compatibility/2006">
    <mc:Choice Requires="x15">
      <x15ac:absPath xmlns:x15ac="http://schemas.microsoft.com/office/spreadsheetml/2010/11/ac" url="C:\Users\Yusuf\Downloads\"/>
    </mc:Choice>
  </mc:AlternateContent>
  <xr:revisionPtr revIDLastSave="0" documentId="10_ncr:8100000_{323020BB-7EA3-4D83-B9E9-F199648C46B7}" xr6:coauthVersionLast="34" xr6:coauthVersionMax="34" xr10:uidLastSave="{00000000-0000-0000-0000-000000000000}"/>
  <bookViews>
    <workbookView xWindow="0" yWindow="0" windowWidth="28800" windowHeight="12810" tabRatio="983" firstSheet="6" activeTab="6" xr2:uid="{00000000-000D-0000-FFFF-FFFF00000000}"/>
  </bookViews>
  <sheets>
    <sheet name="2018" sheetId="4" state="hidden" r:id="rId1"/>
    <sheet name="Client List" sheetId="53" state="hidden" r:id="rId2"/>
    <sheet name="UHC_Active_COBRA_PVRC" sheetId="6" state="hidden" r:id="rId3"/>
    <sheet name="Other Info" sheetId="50" state="hidden" r:id="rId4"/>
    <sheet name="Medical - COBRA (2%)" sheetId="46" state="hidden" r:id="rId5"/>
    <sheet name="Medical - AB1401 (10%)" sheetId="47" state="hidden" r:id="rId6"/>
    <sheet name="Medical" sheetId="56" r:id="rId7"/>
    <sheet name="Rx_HMO" sheetId="54" r:id="rId8"/>
    <sheet name="Rx_PPO" sheetId="55" r:id="rId9"/>
    <sheet name="Dental" sheetId="57" r:id="rId10"/>
    <sheet name="Vision" sheetId="58" r:id="rId11"/>
    <sheet name="LD Rates" sheetId="59" r:id="rId12"/>
    <sheet name="CIGNA Voluntary" sheetId="11" r:id="rId13"/>
    <sheet name="CIGNA Worksite" sheetId="12" r:id="rId14"/>
    <sheet name="UHC Zuman Structure" sheetId="15" state="hidden" r:id="rId15"/>
    <sheet name="Maestro Products" sheetId="41" state="hidden" r:id="rId16"/>
    <sheet name="Contacts (All)" sheetId="14" state="hidden" r:id="rId17"/>
    <sheet name="MetLife Zuman Structure" sheetId="52" state="hidden" r:id="rId18"/>
    <sheet name="UHC -Client Utility Code" sheetId="17" state="hidden" r:id="rId19"/>
    <sheet name="IGOE_Clients" sheetId="18" state="hidden" r:id="rId20"/>
    <sheet name="Account Name" sheetId="51" state="hidden" r:id="rId21"/>
  </sheets>
  <definedNames>
    <definedName name="_xlnm._FilterDatabase" localSheetId="0" hidden="1">'2018'!$A$1:$BL$321</definedName>
    <definedName name="_xlnm._FilterDatabase" localSheetId="20" hidden="1">'Account Name'!$A$4:$C$84</definedName>
    <definedName name="_xlnm._FilterDatabase" localSheetId="1" hidden="1">'Client List'!$A$3:$BG$967</definedName>
    <definedName name="_xlnm._FilterDatabase" localSheetId="16" hidden="1">'Contacts (All)'!$A$1:$I$343</definedName>
    <definedName name="_xlnm._FilterDatabase" localSheetId="9" hidden="1">Dental!$A$4:$L$84</definedName>
    <definedName name="_xlnm._FilterDatabase" localSheetId="11" hidden="1">'LD Rates'!$A$1:$E$20</definedName>
    <definedName name="_xlnm._FilterDatabase" localSheetId="6" hidden="1">Medical!$A$2:$R$34</definedName>
    <definedName name="_xlnm._FilterDatabase" localSheetId="5" hidden="1">'Medical - AB1401 (10%)'!$A$2:$T$258</definedName>
    <definedName name="_xlnm._FilterDatabase" localSheetId="4" hidden="1">'Medical - COBRA (2%)'!$A$2:$T$258</definedName>
    <definedName name="_xlnm._FilterDatabase" localSheetId="17" hidden="1">'MetLife Zuman Structure'!$A$5:$K$122</definedName>
    <definedName name="_xlnm._FilterDatabase" localSheetId="3">'Other Info'!$D$1:$AN$79</definedName>
    <definedName name="_xlnm._FilterDatabase" localSheetId="7" hidden="1">Rx_HMO!$A$2:$G$34</definedName>
    <definedName name="_xlnm._FilterDatabase" localSheetId="8" hidden="1">Rx_PPO!$A$2:$G$34</definedName>
    <definedName name="_xlnm._FilterDatabase" localSheetId="18" hidden="1">'UHC -Client Utility Code'!$A$1:$H$1</definedName>
    <definedName name="_xlnm._FilterDatabase" localSheetId="14" hidden="1">'UHC Zuman Structure'!$A$1:$AC$1609</definedName>
    <definedName name="_xlnm._FilterDatabase" localSheetId="2" hidden="1">UHC_Active_COBRA_PVRC!$A$1:$AW$513</definedName>
    <definedName name="_xlnm._FilterDatabase" localSheetId="10" hidden="1">Vision!$A$3:$G$83</definedName>
    <definedName name="_Order1">255</definedName>
    <definedName name="Aetna" localSheetId="20">{"'webcensus'!$A$1:$G$34","'webcensus'!$A$1:$G$33"}</definedName>
    <definedName name="Aetna" localSheetId="12">{"'webcensus'!$A$1:$G$34","'webcensus'!$A$1:$G$33"}</definedName>
    <definedName name="Aetna" localSheetId="13">{"'webcensus'!$A$1:$G$34","'webcensus'!$A$1:$G$33"}</definedName>
    <definedName name="Aetna" localSheetId="1">{"'webcensus'!$A$1:$G$34","'webcensus'!$A$1:$G$33"}</definedName>
    <definedName name="Aetna" localSheetId="11">{"'webcensus'!$A$1:$G$34","'webcensus'!$A$1:$G$33"}</definedName>
    <definedName name="Aetna" localSheetId="6">{"'webcensus'!$A$1:$G$34","'webcensus'!$A$1:$G$33"}</definedName>
    <definedName name="Aetna" localSheetId="5">{"'webcensus'!$A$1:$G$34","'webcensus'!$A$1:$G$33"}</definedName>
    <definedName name="Aetna" localSheetId="4">{"'webcensus'!$A$1:$G$34","'webcensus'!$A$1:$G$33"}</definedName>
    <definedName name="Aetna" localSheetId="3">{"'webcensus'!$A$1:$G$34","'webcensus'!$A$1:$G$33"}</definedName>
    <definedName name="Aetna" localSheetId="7">{"'webcensus'!$A$1:$G$34","'webcensus'!$A$1:$G$33"}</definedName>
    <definedName name="Aetna" localSheetId="8">{"'webcensus'!$A$1:$G$34","'webcensus'!$A$1:$G$33"}</definedName>
    <definedName name="Aetna">{"'webcensus'!$A$1:$G$34","'webcensus'!$A$1:$G$33"}</definedName>
    <definedName name="Control.Control" localSheetId="12">'CIGNA Voluntary'!Control.Control</definedName>
    <definedName name="Control.Control" localSheetId="13">'CIGNA Worksite'!Control.Control</definedName>
    <definedName name="Control.Control" localSheetId="1">#N/A</definedName>
    <definedName name="Control.Control" localSheetId="11">'LD Rates'!Control.Control</definedName>
    <definedName name="Control.Control" localSheetId="15">'Maestro Products'!Control.Control</definedName>
    <definedName name="Control.Control" localSheetId="6">Medical!Control.Control</definedName>
    <definedName name="Control.Control" localSheetId="5">'Medical - AB1401 (10%)'!Control.Control</definedName>
    <definedName name="Control.Control" localSheetId="4">'Medical - COBRA (2%)'!Control.Control</definedName>
    <definedName name="Control.Control" localSheetId="7">Rx_HMO!Control.Control</definedName>
    <definedName name="Control.Control" localSheetId="8">Rx_PPO!Control.Control</definedName>
    <definedName name="Control.Control" localSheetId="2">UHC_Active_COBRA_PVRC!Control.Control</definedName>
    <definedName name="Control.Control">#N/A</definedName>
    <definedName name="dd" localSheetId="20">{"'webcensus'!$A$1:$G$34","'webcensus'!$A$1:$G$33"}</definedName>
    <definedName name="dd" localSheetId="12">{"'webcensus'!$A$1:$G$34","'webcensus'!$A$1:$G$33"}</definedName>
    <definedName name="dd" localSheetId="13">{"'webcensus'!$A$1:$G$34","'webcensus'!$A$1:$G$33"}</definedName>
    <definedName name="dd" localSheetId="1">{"'webcensus'!$A$1:$G$34","'webcensus'!$A$1:$G$33"}</definedName>
    <definedName name="dd" localSheetId="11">{"'webcensus'!$A$1:$G$34","'webcensus'!$A$1:$G$33"}</definedName>
    <definedName name="dd" localSheetId="6">{"'webcensus'!$A$1:$G$34","'webcensus'!$A$1:$G$33"}</definedName>
    <definedName name="dd" localSheetId="5">{"'webcensus'!$A$1:$G$34","'webcensus'!$A$1:$G$33"}</definedName>
    <definedName name="dd" localSheetId="4">{"'webcensus'!$A$1:$G$34","'webcensus'!$A$1:$G$33"}</definedName>
    <definedName name="dd" localSheetId="3">{"'webcensus'!$A$1:$G$34","'webcensus'!$A$1:$G$33"}</definedName>
    <definedName name="dd" localSheetId="7">{"'webcensus'!$A$1:$G$34","'webcensus'!$A$1:$G$33"}</definedName>
    <definedName name="dd" localSheetId="8">{"'webcensus'!$A$1:$G$34","'webcensus'!$A$1:$G$33"}</definedName>
    <definedName name="dd">{"'webcensus'!$A$1:$G$34","'webcensus'!$A$1:$G$33"}</definedName>
    <definedName name="dental4" localSheetId="20">{"'webcensus'!$A$1:$G$34","'webcensus'!$A$1:$G$33"}</definedName>
    <definedName name="dental4" localSheetId="12">{"'webcensus'!$A$1:$G$34","'webcensus'!$A$1:$G$33"}</definedName>
    <definedName name="dental4" localSheetId="13">{"'webcensus'!$A$1:$G$34","'webcensus'!$A$1:$G$33"}</definedName>
    <definedName name="dental4" localSheetId="1">{"'webcensus'!$A$1:$G$34","'webcensus'!$A$1:$G$33"}</definedName>
    <definedName name="dental4" localSheetId="11">{"'webcensus'!$A$1:$G$34","'webcensus'!$A$1:$G$33"}</definedName>
    <definedName name="dental4" localSheetId="6">{"'webcensus'!$A$1:$G$34","'webcensus'!$A$1:$G$33"}</definedName>
    <definedName name="dental4" localSheetId="5">{"'webcensus'!$A$1:$G$34","'webcensus'!$A$1:$G$33"}</definedName>
    <definedName name="dental4" localSheetId="4">{"'webcensus'!$A$1:$G$34","'webcensus'!$A$1:$G$33"}</definedName>
    <definedName name="dental4" localSheetId="3">{"'webcensus'!$A$1:$G$34","'webcensus'!$A$1:$G$33"}</definedName>
    <definedName name="dental4" localSheetId="7">{"'webcensus'!$A$1:$G$34","'webcensus'!$A$1:$G$33"}</definedName>
    <definedName name="dental4" localSheetId="8">{"'webcensus'!$A$1:$G$34","'webcensus'!$A$1:$G$33"}</definedName>
    <definedName name="dental4">{"'webcensus'!$A$1:$G$34","'webcensus'!$A$1:$G$33"}</definedName>
    <definedName name="HMO" localSheetId="12">'CIGNA Voluntary'!HMO</definedName>
    <definedName name="HMO" localSheetId="13">'CIGNA Worksite'!HMO</definedName>
    <definedName name="HMO" localSheetId="1">#N/A</definedName>
    <definedName name="HMO" localSheetId="11">'LD Rates'!HMO</definedName>
    <definedName name="HMO" localSheetId="15">'Maestro Products'!HMO</definedName>
    <definedName name="HMO" localSheetId="6">Medical!HMO</definedName>
    <definedName name="HMO" localSheetId="5">'Medical - AB1401 (10%)'!HMO</definedName>
    <definedName name="HMO" localSheetId="4">'Medical - COBRA (2%)'!HMO</definedName>
    <definedName name="HMO" localSheetId="7">Rx_HMO!HMO</definedName>
    <definedName name="HMO" localSheetId="8">Rx_PPO!HMO</definedName>
    <definedName name="HMO" localSheetId="2">UHC_Active_COBRA_PVRC!HMO</definedName>
    <definedName name="HMO">#N/A</definedName>
    <definedName name="HTML_CodePage">1252</definedName>
    <definedName name="HTML_Control" localSheetId="20">{"'webcensus'!$A$1:$G$34","'webcensus'!$A$1:$G$33"}</definedName>
    <definedName name="HTML_Control" localSheetId="12">{"'webcensus'!$A$1:$G$34","'webcensus'!$A$1:$G$33"}</definedName>
    <definedName name="HTML_Control" localSheetId="13">{"'webcensus'!$A$1:$G$34","'webcensus'!$A$1:$G$33"}</definedName>
    <definedName name="HTML_Control" localSheetId="1">{"'webcensus'!$A$1:$G$34","'webcensus'!$A$1:$G$33"}</definedName>
    <definedName name="HTML_Control" localSheetId="11">{"'webcensus'!$A$1:$G$34","'webcensus'!$A$1:$G$33"}</definedName>
    <definedName name="HTML_Control" localSheetId="6">{"'webcensus'!$A$1:$G$34","'webcensus'!$A$1:$G$33"}</definedName>
    <definedName name="HTML_Control" localSheetId="5">{"'webcensus'!$A$1:$G$34","'webcensus'!$A$1:$G$33"}</definedName>
    <definedName name="HTML_Control" localSheetId="4">{"'webcensus'!$A$1:$G$34","'webcensus'!$A$1:$G$33"}</definedName>
    <definedName name="HTML_Control" localSheetId="3">{"'webcensus'!$A$1:$G$34","'webcensus'!$A$1:$G$33"}</definedName>
    <definedName name="HTML_Control" localSheetId="7">{"'webcensus'!$A$1:$G$34","'webcensus'!$A$1:$G$33"}</definedName>
    <definedName name="HTML_Control" localSheetId="8">{"'webcensus'!$A$1:$G$34","'webcensus'!$A$1:$G$33"}</definedName>
    <definedName name="HTML_Control">{"'webcensus'!$A$1:$G$34","'webcensus'!$A$1:$G$33"}</definedName>
    <definedName name="HTML_Description">""</definedName>
    <definedName name="HTML_Email">""</definedName>
    <definedName name="HTML_Header">"Group Census Sheet"</definedName>
    <definedName name="HTML_LastUpdate">"7/2/97"</definedName>
    <definedName name="HTML_LineAfter">FALSE</definedName>
    <definedName name="HTML_LineBefore">TRUE</definedName>
    <definedName name="HTML_Name">"Barbara James"</definedName>
    <definedName name="HTML_OBDlg2">TRUE</definedName>
    <definedName name="HTML_OBDlg4">TRUE</definedName>
    <definedName name="HTML_OS">0</definedName>
    <definedName name="HTML_PathFile">"C:\My Documents\Webcensus.htm"</definedName>
    <definedName name="HTML_Title">"Webcensus"</definedName>
    <definedName name="Logo" localSheetId="12">'CIGNA Voluntary'!Logo</definedName>
    <definedName name="Logo" localSheetId="13">'CIGNA Worksite'!Logo</definedName>
    <definedName name="Logo" localSheetId="1">#N/A</definedName>
    <definedName name="Logo" localSheetId="11">'LD Rates'!Logo</definedName>
    <definedName name="Logo" localSheetId="15">'Maestro Products'!Logo</definedName>
    <definedName name="Logo" localSheetId="6">Medical!Logo</definedName>
    <definedName name="Logo" localSheetId="5">'Medical - AB1401 (10%)'!Logo</definedName>
    <definedName name="Logo" localSheetId="4">'Medical - COBRA (2%)'!Logo</definedName>
    <definedName name="Logo" localSheetId="7">Rx_HMO!Logo</definedName>
    <definedName name="Logo" localSheetId="8">Rx_PPO!Logo</definedName>
    <definedName name="Logo" localSheetId="2">UHC_Active_COBRA_PVRC!Logo</definedName>
    <definedName name="Logo">#N/A</definedName>
    <definedName name="Macro2" localSheetId="12">'CIGNA Voluntary'!Macro2</definedName>
    <definedName name="Macro2" localSheetId="13">'CIGNA Worksite'!Macro2</definedName>
    <definedName name="Macro2" localSheetId="1">#N/A</definedName>
    <definedName name="Macro2" localSheetId="11">'LD Rates'!Macro2</definedName>
    <definedName name="Macro2" localSheetId="15">'Maestro Products'!Macro2</definedName>
    <definedName name="Macro2" localSheetId="6">Medical!Macro2</definedName>
    <definedName name="Macro2" localSheetId="5">'Medical - AB1401 (10%)'!Macro2</definedName>
    <definedName name="Macro2" localSheetId="4">'Medical - COBRA (2%)'!Macro2</definedName>
    <definedName name="Macro2" localSheetId="7">Rx_HMO!Macro2</definedName>
    <definedName name="Macro2" localSheetId="8">Rx_PPO!Macro2</definedName>
    <definedName name="Macro2" localSheetId="2">UHC_Active_COBRA_PVRC!Macro2</definedName>
    <definedName name="Macro2">#N/A</definedName>
    <definedName name="Macro8" localSheetId="12">'CIGNA Voluntary'!Macro8</definedName>
    <definedName name="Macro8" localSheetId="13">'CIGNA Worksite'!Macro8</definedName>
    <definedName name="Macro8" localSheetId="1">#N/A</definedName>
    <definedName name="Macro8" localSheetId="11">'LD Rates'!Macro8</definedName>
    <definedName name="Macro8" localSheetId="15">'Maestro Products'!Macro8</definedName>
    <definedName name="Macro8" localSheetId="6">Medical!Macro8</definedName>
    <definedName name="Macro8" localSheetId="5">'Medical - AB1401 (10%)'!Macro8</definedName>
    <definedName name="Macro8" localSheetId="4">'Medical - COBRA (2%)'!Macro8</definedName>
    <definedName name="Macro8" localSheetId="7">Rx_HMO!Macro8</definedName>
    <definedName name="Macro8" localSheetId="8">Rx_PPO!Macro8</definedName>
    <definedName name="Macro8" localSheetId="2">UHC_Active_COBRA_PVRC!Macro8</definedName>
    <definedName name="Macro8">#N/A</definedName>
    <definedName name="None" localSheetId="12">'CIGNA Voluntary'!None</definedName>
    <definedName name="None" localSheetId="13">'CIGNA Worksite'!None</definedName>
    <definedName name="None" localSheetId="1">#N/A</definedName>
    <definedName name="None" localSheetId="11">'LD Rates'!None</definedName>
    <definedName name="None" localSheetId="15">'Maestro Products'!None</definedName>
    <definedName name="None" localSheetId="6">Medical!None</definedName>
    <definedName name="None" localSheetId="5">'Medical - AB1401 (10%)'!None</definedName>
    <definedName name="None" localSheetId="4">'Medical - COBRA (2%)'!None</definedName>
    <definedName name="None" localSheetId="7">Rx_HMO!None</definedName>
    <definedName name="None" localSheetId="8">Rx_PPO!None</definedName>
    <definedName name="None" localSheetId="2">UHC_Active_COBRA_PVRC!None</definedName>
    <definedName name="None">#N/A</definedName>
    <definedName name="_xlnm.Print_Area" localSheetId="0">'2018'!$A$1:$BK$321</definedName>
    <definedName name="_xlnm.Print_Area" localSheetId="1">'Client List'!$A$3:$BG$967</definedName>
    <definedName name="_xlnm.Print_Area" localSheetId="16">'Contacts (All)'!$A$1:$I$348</definedName>
    <definedName name="_xlnm.Print_Titles" localSheetId="1">'Client List'!$L:$L,'Client List'!$2:$3</definedName>
    <definedName name="_xlnm.Print_Titles" localSheetId="16">'Contacts (All)'!$1:$1</definedName>
    <definedName name="_xlnm.Print_Titles" localSheetId="9">Dental!$A:$D,Dental!$1:$4</definedName>
    <definedName name="_xlnm.Print_Titles" localSheetId="6">Medical!$B:$E,Medical!$1:$1</definedName>
    <definedName name="_xlnm.Print_Titles" localSheetId="5">'Medical - AB1401 (10%)'!$B:$G,'Medical - AB1401 (10%)'!$1:$1</definedName>
    <definedName name="_xlnm.Print_Titles" localSheetId="4">'Medical - COBRA (2%)'!$B:$G,'Medical - COBRA (2%)'!$1:$1</definedName>
    <definedName name="_xlnm.Print_Titles" localSheetId="7">Rx_HMO!$B:$E,Rx_HMO!$1:$1</definedName>
    <definedName name="_xlnm.Print_Titles" localSheetId="8">Rx_PPO!$B:$E,Rx_PPO!$1:$1</definedName>
    <definedName name="_xlnm.Print_Titles" localSheetId="10">Vision!$A:$D,Vision!$1:$3</definedName>
    <definedName name="RpmPlanCount">3</definedName>
    <definedName name="Z_141C9473_79E8_40AC_A2DD_D2D896AD155D_.wvu.Cols" localSheetId="0">'2018'!$O:$O,'2018'!$V:$V,'2018'!$AF:$AF,'2018'!$AH:$AH,'2018'!$AJ:$AJ,'2018'!$AL:$AM,'2018'!$AR:$AR,'2018'!$AU:$AU,'2018'!$AX:$AY,'2018'!$BB:$BC,'2018'!$BF:$BG,'2018'!$BJ:$BK</definedName>
    <definedName name="Z_141C9473_79E8_40AC_A2DD_D2D896AD155D_.wvu.Cols" localSheetId="16">'Contacts (All)'!$C:$C</definedName>
    <definedName name="Z_141C9473_79E8_40AC_A2DD_D2D896AD155D_.wvu.Cols" localSheetId="14">'UHC Zuman Structure'!$A:$S,'UHC Zuman Structure'!$IW:$JO,'UHC Zuman Structure'!$SS:$TK,'UHC Zuman Structure'!$ACO:$ADG,'UHC Zuman Structure'!$AMK:$ANC,'UHC Zuman Structure'!$AWG:$AWY,'UHC Zuman Structure'!$BGC:$BGU,'UHC Zuman Structure'!$BPY:$BQQ,'UHC Zuman Structure'!$BZU:$CAM,'UHC Zuman Structure'!$CJQ:$CKI,'UHC Zuman Structure'!$CTM:$CUE,'UHC Zuman Structure'!$DDI:$DEA,'UHC Zuman Structure'!$DNE:$DNW,'UHC Zuman Structure'!$DXA:$DXS,'UHC Zuman Structure'!$EGW:$EHO,'UHC Zuman Structure'!$EQS:$ERK,'UHC Zuman Structure'!$FAO:$FBG,'UHC Zuman Structure'!$FKK:$FLC,'UHC Zuman Structure'!$FUG:$FUY,'UHC Zuman Structure'!$GEC:$GEU,'UHC Zuman Structure'!$GNY:$GOQ,'UHC Zuman Structure'!$GXU:$GYM,'UHC Zuman Structure'!$HHQ:$HII,'UHC Zuman Structure'!$HRM:$HSE,'UHC Zuman Structure'!$IBI:$ICA,'UHC Zuman Structure'!$ILE:$ILW,'UHC Zuman Structure'!$IVA:$IVS,'UHC Zuman Structure'!$JEW:$JFO,'UHC Zuman Structure'!$JOS:$JPK,'UHC Zuman Structure'!$JYO:$JZG,'UHC Zuman Structure'!$KIK:$KJC,'UHC Zuman Structure'!$KSG:$KSY,'UHC Zuman Structure'!$LCC:$LCU,'UHC Zuman Structure'!$LLY:$LMQ,'UHC Zuman Structure'!$LVU:$LWM,'UHC Zuman Structure'!$MFQ:$MGI,'UHC Zuman Structure'!$MPM:$MQE,'UHC Zuman Structure'!$MZI:$NAA,'UHC Zuman Structure'!$NJE:$NJW,'UHC Zuman Structure'!$NTA:$NTS,'UHC Zuman Structure'!$OCW:$ODO,'UHC Zuman Structure'!$OMS:$ONK,'UHC Zuman Structure'!$OWO:$OXG,'UHC Zuman Structure'!$PGK:$PHC,'UHC Zuman Structure'!$PQG:$PQY,'UHC Zuman Structure'!$QAC:$QAU,'UHC Zuman Structure'!$QJY:$QKQ,'UHC Zuman Structure'!$QTU:$QUM,'UHC Zuman Structure'!$RDQ:$REI,'UHC Zuman Structure'!$RNM:$ROE,'UHC Zuman Structure'!$RXI:$RYA,'UHC Zuman Structure'!$SHE:$SHW,'UHC Zuman Structure'!$SRA:$SRS,'UHC Zuman Structure'!$TAW:$TBO,'UHC Zuman Structure'!$TKS:$TLK,'UHC Zuman Structure'!$TUO:$TVG,'UHC Zuman Structure'!$UEK:$UFC,'UHC Zuman Structure'!$UOG:$UOY,'UHC Zuman Structure'!$UYC:$UYU,'UHC Zuman Structure'!$VHY:$VIQ,'UHC Zuman Structure'!$VRU:$VSM,'UHC Zuman Structure'!$WBQ:$WCI,'UHC Zuman Structure'!$WLM:$WME,'UHC Zuman Structure'!$WVI:$WWA</definedName>
    <definedName name="Z_141C9473_79E8_40AC_A2DD_D2D896AD155D_.wvu.FilterData" localSheetId="0">'2018'!$A$1:$BL$321</definedName>
    <definedName name="Z_141C9473_79E8_40AC_A2DD_D2D896AD155D_.wvu.FilterData" localSheetId="16">'Contacts (All)'!$A$1:$I$343</definedName>
    <definedName name="Z_141C9473_79E8_40AC_A2DD_D2D896AD155D_.wvu.FilterData" localSheetId="9">Dental!$A$4:$L$84</definedName>
    <definedName name="Z_141C9473_79E8_40AC_A2DD_D2D896AD155D_.wvu.FilterData" localSheetId="11">'LD Rates'!$A$1:$E$20</definedName>
    <definedName name="Z_141C9473_79E8_40AC_A2DD_D2D896AD155D_.wvu.FilterData" localSheetId="6">Medical!$A$2:$R$34</definedName>
    <definedName name="Z_141C9473_79E8_40AC_A2DD_D2D896AD155D_.wvu.FilterData" localSheetId="5">'Medical - AB1401 (10%)'!$A$2:$T$258</definedName>
    <definedName name="Z_141C9473_79E8_40AC_A2DD_D2D896AD155D_.wvu.FilterData" localSheetId="4">'Medical - COBRA (2%)'!$A$2:$T$258</definedName>
    <definedName name="Z_141C9473_79E8_40AC_A2DD_D2D896AD155D_.wvu.FilterData" localSheetId="17">'MetLife Zuman Structure'!$A$5:$K$97</definedName>
    <definedName name="Z_141C9473_79E8_40AC_A2DD_D2D896AD155D_.wvu.FilterData" localSheetId="7">Rx_HMO!$A$2:$G$34</definedName>
    <definedName name="Z_141C9473_79E8_40AC_A2DD_D2D896AD155D_.wvu.FilterData" localSheetId="8">Rx_PPO!$A$2:$G$34</definedName>
    <definedName name="Z_141C9473_79E8_40AC_A2DD_D2D896AD155D_.wvu.FilterData" localSheetId="18">'UHC -Client Utility Code'!$A$1:$H$1</definedName>
    <definedName name="Z_141C9473_79E8_40AC_A2DD_D2D896AD155D_.wvu.FilterData" localSheetId="14">'UHC Zuman Structure'!$A$1:$AC$1609</definedName>
    <definedName name="Z_141C9473_79E8_40AC_A2DD_D2D896AD155D_.wvu.FilterData" localSheetId="2">UHC_Active_COBRA_PVRC!$B$1:$AW$513</definedName>
    <definedName name="Z_141C9473_79E8_40AC_A2DD_D2D896AD155D_.wvu.FilterData" localSheetId="10">Vision!$A$3:$G$83</definedName>
    <definedName name="Z_141C9473_79E8_40AC_A2DD_D2D896AD155D_.wvu.PrintArea" localSheetId="0">'2018'!$A$1:$BK$321</definedName>
    <definedName name="Z_141C9473_79E8_40AC_A2DD_D2D896AD155D_.wvu.PrintArea" localSheetId="16">'Contacts (All)'!$A$1:$I$348</definedName>
    <definedName name="Z_141C9473_79E8_40AC_A2DD_D2D896AD155D_.wvu.PrintTitles" localSheetId="16">'Contacts (All)'!$1:$1</definedName>
    <definedName name="Z_141C9473_79E8_40AC_A2DD_D2D896AD155D_.wvu.PrintTitles" localSheetId="9">Dental!$A:$D,Dental!$1:$4</definedName>
    <definedName name="Z_141C9473_79E8_40AC_A2DD_D2D896AD155D_.wvu.PrintTitles" localSheetId="6">Medical!$B:$E,Medical!$1:$1</definedName>
    <definedName name="Z_141C9473_79E8_40AC_A2DD_D2D896AD155D_.wvu.PrintTitles" localSheetId="5">'Medical - AB1401 (10%)'!$B:$G,'Medical - AB1401 (10%)'!$1:$1</definedName>
    <definedName name="Z_141C9473_79E8_40AC_A2DD_D2D896AD155D_.wvu.PrintTitles" localSheetId="4">'Medical - COBRA (2%)'!$B:$G,'Medical - COBRA (2%)'!$1:$1</definedName>
    <definedName name="Z_141C9473_79E8_40AC_A2DD_D2D896AD155D_.wvu.PrintTitles" localSheetId="7">Rx_HMO!$B:$E,Rx_HMO!$1:$1</definedName>
    <definedName name="Z_141C9473_79E8_40AC_A2DD_D2D896AD155D_.wvu.PrintTitles" localSheetId="8">Rx_PPO!$B:$E,Rx_PPO!$1:$1</definedName>
    <definedName name="Z_141C9473_79E8_40AC_A2DD_D2D896AD155D_.wvu.PrintTitles" localSheetId="10">Vision!$A:$D,Vision!$1:$3</definedName>
    <definedName name="Z_141C9473_79E8_40AC_A2DD_D2D896AD155D_.wvu.Rows" localSheetId="0">'2018'!$2:$5,'2018'!$322:$322</definedName>
    <definedName name="Z_94A479BC_802D_488F_8A3B_784EE602FF87_.wvu.FilterData" localSheetId="1">'Client List'!$A$3:$BG$967</definedName>
    <definedName name="Z_94A479BC_802D_488F_8A3B_784EE602FF87_.wvu.PrintArea" localSheetId="1">'Client List'!$L$2:$BG$967</definedName>
    <definedName name="Z_94A479BC_802D_488F_8A3B_784EE602FF87_.wvu.PrintTitles" localSheetId="1">'Client List'!$L:$L,'Client List'!$2:$3</definedName>
  </definedNames>
  <calcPr calcId="162913" concurrentCalc="0"/>
  <customWorkbookViews>
    <customWorkbookView name="Wivart, Nicole - Personal View" guid="{141C9473-79E8-40AC-A2DD-D2D896AD155D}" mergeInterval="0" personalView="1" maximized="1" windowWidth="1600" windowHeight="591" tabRatio="795" activeSheetId="4"/>
  </customWorkbookViews>
  <extLst>
    <ext xmlns:x14="http://schemas.microsoft.com/office/spreadsheetml/2009/9/main" uri="{79F54976-1DA5-4618-B147-4CDE4B953A38}">
      <x14:workbookPr defaultImageDpi="330"/>
    </ext>
    <ext xmlns:mx="http://schemas.microsoft.com/office/mac/excel/2008/main" uri="{7523E5D3-25F3-A5E0-1632-64F254C22452}">
      <mx:ArchID Flags="2"/>
    </ext>
  </extLst>
</workbook>
</file>

<file path=xl/calcChain.xml><?xml version="1.0" encoding="utf-8"?>
<calcChain xmlns="http://schemas.openxmlformats.org/spreadsheetml/2006/main">
  <c r="AZ1180" i="53" l="1"/>
  <c r="BA1180" i="53"/>
  <c r="AX1180" i="53"/>
  <c r="AY1180" i="53"/>
  <c r="AV1180" i="53"/>
  <c r="AW1180" i="53"/>
  <c r="AU1180" i="53"/>
  <c r="AS1180" i="53"/>
  <c r="AQ1180" i="53"/>
  <c r="AO1180" i="53"/>
  <c r="AM1180" i="53"/>
  <c r="AK1180" i="53"/>
  <c r="AJ1180" i="53"/>
  <c r="AD1180" i="53"/>
  <c r="AE1180" i="53"/>
  <c r="AF1180" i="53"/>
  <c r="E1180" i="53"/>
  <c r="B1180" i="53"/>
  <c r="A1179" i="53"/>
  <c r="A1180" i="53"/>
  <c r="AZ1179" i="53"/>
  <c r="BA1179" i="53"/>
  <c r="AX1179" i="53"/>
  <c r="AY1179" i="53"/>
  <c r="AV1179" i="53"/>
  <c r="AW1179" i="53"/>
  <c r="AU1179" i="53"/>
  <c r="AS1179" i="53"/>
  <c r="AQ1179" i="53"/>
  <c r="AO1179" i="53"/>
  <c r="AM1179" i="53"/>
  <c r="AD1179" i="53"/>
  <c r="AE1179" i="53"/>
  <c r="AF1179" i="53"/>
  <c r="E1179" i="53"/>
  <c r="C1179" i="53"/>
  <c r="C1180" i="53"/>
  <c r="AZ1178" i="53"/>
  <c r="BA1178" i="53"/>
  <c r="AX1178" i="53"/>
  <c r="AY1178" i="53"/>
  <c r="AV1178" i="53"/>
  <c r="AW1178" i="53"/>
  <c r="AU1178" i="53"/>
  <c r="AS1178" i="53"/>
  <c r="AQ1178" i="53"/>
  <c r="AO1178" i="53"/>
  <c r="AM1178" i="53"/>
  <c r="AD1178" i="53"/>
  <c r="AE1178" i="53"/>
  <c r="AF1178" i="53"/>
  <c r="E1178" i="53"/>
  <c r="C1178" i="53"/>
  <c r="A1178" i="53"/>
  <c r="AZ1177" i="53"/>
  <c r="BA1177" i="53"/>
  <c r="AX1177" i="53"/>
  <c r="AY1177" i="53"/>
  <c r="AV1177" i="53"/>
  <c r="AW1177" i="53"/>
  <c r="AU1177" i="53"/>
  <c r="AS1177" i="53"/>
  <c r="AQ1177" i="53"/>
  <c r="AO1177" i="53"/>
  <c r="AM1177" i="53"/>
  <c r="AK1177" i="53"/>
  <c r="AJ1177" i="53"/>
  <c r="AE1177" i="53"/>
  <c r="AF1177" i="53"/>
  <c r="E1177" i="53"/>
  <c r="AZ1176" i="53"/>
  <c r="BA1176" i="53"/>
  <c r="AX1176" i="53"/>
  <c r="AY1176" i="53"/>
  <c r="AV1176" i="53"/>
  <c r="AW1176" i="53"/>
  <c r="AU1176" i="53"/>
  <c r="AS1176" i="53"/>
  <c r="AQ1176" i="53"/>
  <c r="AO1176" i="53"/>
  <c r="AM1176" i="53"/>
  <c r="AD1176" i="53"/>
  <c r="AE1176" i="53"/>
  <c r="AF1176" i="53"/>
  <c r="E1176" i="53"/>
  <c r="C1176" i="53"/>
  <c r="A1176" i="53"/>
  <c r="AZ1175" i="53"/>
  <c r="BA1175" i="53"/>
  <c r="AX1175" i="53"/>
  <c r="AY1175" i="53"/>
  <c r="AV1175" i="53"/>
  <c r="AW1175" i="53"/>
  <c r="AU1175" i="53"/>
  <c r="AS1175" i="53"/>
  <c r="AQ1175" i="53"/>
  <c r="AO1175" i="53"/>
  <c r="AM1175" i="53"/>
  <c r="AD1175" i="53"/>
  <c r="AE1175" i="53"/>
  <c r="AF1175" i="53"/>
  <c r="E1175" i="53"/>
  <c r="C1175" i="53"/>
  <c r="A1175" i="53"/>
  <c r="AZ1174" i="53"/>
  <c r="BA1174" i="53"/>
  <c r="AX1174" i="53"/>
  <c r="AY1174" i="53"/>
  <c r="AV1174" i="53"/>
  <c r="AW1174" i="53"/>
  <c r="AU1174" i="53"/>
  <c r="AS1174" i="53"/>
  <c r="AQ1174" i="53"/>
  <c r="AO1174" i="53"/>
  <c r="AM1174" i="53"/>
  <c r="AD1174" i="53"/>
  <c r="AE1174" i="53"/>
  <c r="AF1174" i="53"/>
  <c r="E1174" i="53"/>
  <c r="C1174" i="53"/>
  <c r="A1174" i="53"/>
  <c r="AZ1173" i="53"/>
  <c r="BA1173" i="53"/>
  <c r="AX1173" i="53"/>
  <c r="AY1173" i="53"/>
  <c r="AV1173" i="53"/>
  <c r="AW1173" i="53"/>
  <c r="AU1173" i="53"/>
  <c r="AS1173" i="53"/>
  <c r="AQ1173" i="53"/>
  <c r="AO1173" i="53"/>
  <c r="AM1173" i="53"/>
  <c r="AK1173" i="53"/>
  <c r="AJ1173" i="53"/>
  <c r="AD1173" i="53"/>
  <c r="AE1173" i="53"/>
  <c r="AF1173" i="53"/>
  <c r="E1173" i="53"/>
  <c r="C1173" i="53"/>
  <c r="A1173" i="53"/>
  <c r="AZ1172" i="53"/>
  <c r="BA1172" i="53"/>
  <c r="AX1172" i="53"/>
  <c r="AY1172" i="53"/>
  <c r="AV1172" i="53"/>
  <c r="AW1172" i="53"/>
  <c r="AU1172" i="53"/>
  <c r="AS1172" i="53"/>
  <c r="AQ1172" i="53"/>
  <c r="AO1172" i="53"/>
  <c r="AM1172" i="53"/>
  <c r="AK1172" i="53"/>
  <c r="AJ1172" i="53"/>
  <c r="AD1172" i="53"/>
  <c r="AE1172" i="53"/>
  <c r="AF1172" i="53"/>
  <c r="E1172" i="53"/>
  <c r="C1172" i="53"/>
  <c r="A1172" i="53"/>
  <c r="AZ1171" i="53"/>
  <c r="BA1171" i="53"/>
  <c r="AX1171" i="53"/>
  <c r="AY1171" i="53"/>
  <c r="AV1171" i="53"/>
  <c r="AW1171" i="53"/>
  <c r="AU1171" i="53"/>
  <c r="AS1171" i="53"/>
  <c r="AQ1171" i="53"/>
  <c r="AO1171" i="53"/>
  <c r="AM1171" i="53"/>
  <c r="AK1171" i="53"/>
  <c r="AJ1171" i="53"/>
  <c r="AD1171" i="53"/>
  <c r="AE1171" i="53"/>
  <c r="AF1171" i="53"/>
  <c r="E1171" i="53"/>
  <c r="C1171" i="53"/>
  <c r="A1171" i="53"/>
  <c r="AZ1170" i="53"/>
  <c r="BA1170" i="53"/>
  <c r="AX1170" i="53"/>
  <c r="AY1170" i="53"/>
  <c r="AV1170" i="53"/>
  <c r="AW1170" i="53"/>
  <c r="AU1170" i="53"/>
  <c r="AS1170" i="53"/>
  <c r="AQ1170" i="53"/>
  <c r="AO1170" i="53"/>
  <c r="AM1170" i="53"/>
  <c r="AK1170" i="53"/>
  <c r="AJ1170" i="53"/>
  <c r="AD1170" i="53"/>
  <c r="AE1170" i="53"/>
  <c r="AF1170" i="53"/>
  <c r="E1170" i="53"/>
  <c r="C1170" i="53"/>
  <c r="A1170" i="53"/>
  <c r="AZ1169" i="53"/>
  <c r="BA1169" i="53"/>
  <c r="AX1169" i="53"/>
  <c r="AY1169" i="53"/>
  <c r="AV1169" i="53"/>
  <c r="AW1169" i="53"/>
  <c r="AU1169" i="53"/>
  <c r="AS1169" i="53"/>
  <c r="AQ1169" i="53"/>
  <c r="AO1169" i="53"/>
  <c r="AM1169" i="53"/>
  <c r="AK1169" i="53"/>
  <c r="AJ1169" i="53"/>
  <c r="AJ1166" i="53"/>
  <c r="AJ1168" i="53"/>
  <c r="AJ1164" i="53"/>
  <c r="AD1169" i="53"/>
  <c r="AE1169" i="53"/>
  <c r="AF1169" i="53"/>
  <c r="E1169" i="53"/>
  <c r="C1169" i="53"/>
  <c r="A1169" i="53"/>
  <c r="AZ1168" i="53"/>
  <c r="BA1168" i="53"/>
  <c r="AX1168" i="53"/>
  <c r="AY1168" i="53"/>
  <c r="AV1168" i="53"/>
  <c r="AW1168" i="53"/>
  <c r="AU1168" i="53"/>
  <c r="AS1168" i="53"/>
  <c r="AQ1168" i="53"/>
  <c r="AO1168" i="53"/>
  <c r="AM1168" i="53"/>
  <c r="AK1168" i="53"/>
  <c r="AD1168" i="53"/>
  <c r="AE1168" i="53"/>
  <c r="AF1168" i="53"/>
  <c r="E1168" i="53"/>
  <c r="C1168" i="53"/>
  <c r="A1168" i="53"/>
  <c r="AZ1167" i="53"/>
  <c r="BA1167" i="53"/>
  <c r="AX1167" i="53"/>
  <c r="AY1167" i="53"/>
  <c r="AV1167" i="53"/>
  <c r="AW1167" i="53"/>
  <c r="AU1167" i="53"/>
  <c r="AS1167" i="53"/>
  <c r="AQ1167" i="53"/>
  <c r="AO1167" i="53"/>
  <c r="AM1167" i="53"/>
  <c r="AD1167" i="53"/>
  <c r="AE1167" i="53"/>
  <c r="AF1167" i="53"/>
  <c r="E1167" i="53"/>
  <c r="C1167" i="53"/>
  <c r="A1167" i="53"/>
  <c r="AZ1166" i="53"/>
  <c r="BA1166" i="53"/>
  <c r="AX1166" i="53"/>
  <c r="AY1166" i="53"/>
  <c r="AV1166" i="53"/>
  <c r="AW1166" i="53"/>
  <c r="AZ1165" i="53"/>
  <c r="AV1165" i="53"/>
  <c r="AW1165" i="53"/>
  <c r="AW1164" i="53"/>
  <c r="AU1166" i="53"/>
  <c r="AS1166" i="53"/>
  <c r="AQ1166" i="53"/>
  <c r="AO1166" i="53"/>
  <c r="AM1166" i="53"/>
  <c r="AK1166" i="53"/>
  <c r="AD1166" i="53"/>
  <c r="AE1166" i="53"/>
  <c r="AF1166" i="53"/>
  <c r="E1166" i="53"/>
  <c r="C1166" i="53"/>
  <c r="A1166" i="53"/>
  <c r="BA1165" i="53"/>
  <c r="AX1165" i="53"/>
  <c r="AY1165" i="53"/>
  <c r="AU1165" i="53"/>
  <c r="AU1164" i="53"/>
  <c r="AS1165" i="53"/>
  <c r="AQ1165" i="53"/>
  <c r="AQ1164" i="53"/>
  <c r="AO1165" i="53"/>
  <c r="AM1165" i="53"/>
  <c r="AM1164" i="53"/>
  <c r="AD1165" i="53"/>
  <c r="AE1165" i="53"/>
  <c r="AF1165" i="53"/>
  <c r="E1165" i="53"/>
  <c r="C1165" i="53"/>
  <c r="A1165" i="53"/>
  <c r="AS1164" i="53"/>
  <c r="AO1164" i="53"/>
  <c r="AK1164" i="53"/>
  <c r="AH1164" i="53"/>
  <c r="AC1164" i="53"/>
  <c r="AB1164" i="53"/>
  <c r="C1164" i="53"/>
  <c r="A1164" i="53"/>
  <c r="AZ1162" i="53"/>
  <c r="BA1162" i="53"/>
  <c r="AX1162" i="53"/>
  <c r="AY1162" i="53"/>
  <c r="AV1162" i="53"/>
  <c r="AW1162" i="53"/>
  <c r="AU1162" i="53"/>
  <c r="AS1162" i="53"/>
  <c r="AQ1162" i="53"/>
  <c r="AO1162" i="53"/>
  <c r="AM1162" i="53"/>
  <c r="AK1162" i="53"/>
  <c r="AJ1162" i="53"/>
  <c r="AE1162" i="53"/>
  <c r="AF1162" i="53"/>
  <c r="E1162" i="53"/>
  <c r="AZ1161" i="53"/>
  <c r="BA1161" i="53"/>
  <c r="AX1161" i="53"/>
  <c r="AY1161" i="53"/>
  <c r="AV1161" i="53"/>
  <c r="AW1161" i="53"/>
  <c r="AU1161" i="53"/>
  <c r="AS1161" i="53"/>
  <c r="AQ1161" i="53"/>
  <c r="AO1161" i="53"/>
  <c r="AM1161" i="53"/>
  <c r="AK1161" i="53"/>
  <c r="AJ1161" i="53"/>
  <c r="AE1161" i="53"/>
  <c r="AF1161" i="53"/>
  <c r="E1161" i="53"/>
  <c r="AZ1160" i="53"/>
  <c r="BA1160" i="53"/>
  <c r="AX1160" i="53"/>
  <c r="AY1160" i="53"/>
  <c r="AV1160" i="53"/>
  <c r="AW1160" i="53"/>
  <c r="AU1160" i="53"/>
  <c r="AS1160" i="53"/>
  <c r="AQ1160" i="53"/>
  <c r="AO1160" i="53"/>
  <c r="AM1160" i="53"/>
  <c r="AK1160" i="53"/>
  <c r="AJ1160" i="53"/>
  <c r="AE1160" i="53"/>
  <c r="AF1160" i="53"/>
  <c r="E1160" i="53"/>
  <c r="AZ1159" i="53"/>
  <c r="BA1159" i="53"/>
  <c r="AV1159" i="53"/>
  <c r="AW1159" i="53"/>
  <c r="AU1159" i="53"/>
  <c r="AS1159" i="53"/>
  <c r="AQ1159" i="53"/>
  <c r="AO1159" i="53"/>
  <c r="AM1159" i="53"/>
  <c r="AK1159" i="53"/>
  <c r="AJ1159" i="53"/>
  <c r="AE1159" i="53"/>
  <c r="AF1159" i="53"/>
  <c r="E1159" i="53"/>
  <c r="AZ1158" i="53"/>
  <c r="BA1158" i="53"/>
  <c r="AX1158" i="53"/>
  <c r="AY1158" i="53"/>
  <c r="AV1158" i="53"/>
  <c r="AW1158" i="53"/>
  <c r="AU1158" i="53"/>
  <c r="AS1158" i="53"/>
  <c r="AQ1158" i="53"/>
  <c r="AO1158" i="53"/>
  <c r="AM1158" i="53"/>
  <c r="AK1158" i="53"/>
  <c r="AJ1158" i="53"/>
  <c r="AE1158" i="53"/>
  <c r="AF1158" i="53"/>
  <c r="E1158" i="53"/>
  <c r="AZ1157" i="53"/>
  <c r="BA1157" i="53"/>
  <c r="AX1157" i="53"/>
  <c r="AY1157" i="53"/>
  <c r="AV1157" i="53"/>
  <c r="AW1157" i="53"/>
  <c r="AU1157" i="53"/>
  <c r="AS1157" i="53"/>
  <c r="AQ1157" i="53"/>
  <c r="AO1157" i="53"/>
  <c r="AM1157" i="53"/>
  <c r="AK1157" i="53"/>
  <c r="AJ1157" i="53"/>
  <c r="AE1157" i="53"/>
  <c r="AF1157" i="53"/>
  <c r="E1157" i="53"/>
  <c r="AZ1156" i="53"/>
  <c r="BA1156" i="53"/>
  <c r="AX1156" i="53"/>
  <c r="AY1156" i="53"/>
  <c r="AV1156" i="53"/>
  <c r="AW1156" i="53"/>
  <c r="AU1156" i="53"/>
  <c r="AS1156" i="53"/>
  <c r="AQ1156" i="53"/>
  <c r="AO1156" i="53"/>
  <c r="AM1156" i="53"/>
  <c r="AK1156" i="53"/>
  <c r="AJ1156" i="53"/>
  <c r="AE1156" i="53"/>
  <c r="AF1156" i="53"/>
  <c r="E1156" i="53"/>
  <c r="AZ1155" i="53"/>
  <c r="BA1155" i="53"/>
  <c r="AV1155" i="53"/>
  <c r="AW1155" i="53"/>
  <c r="AU1155" i="53"/>
  <c r="AS1155" i="53"/>
  <c r="AQ1155" i="53"/>
  <c r="AO1155" i="53"/>
  <c r="AM1155" i="53"/>
  <c r="AK1155" i="53"/>
  <c r="AJ1155" i="53"/>
  <c r="AE1155" i="53"/>
  <c r="AF1155" i="53"/>
  <c r="E1155" i="53"/>
  <c r="AZ1154" i="53"/>
  <c r="BA1154" i="53"/>
  <c r="AX1154" i="53"/>
  <c r="AY1154" i="53"/>
  <c r="AV1154" i="53"/>
  <c r="AW1154" i="53"/>
  <c r="AU1154" i="53"/>
  <c r="AS1154" i="53"/>
  <c r="AQ1154" i="53"/>
  <c r="AO1154" i="53"/>
  <c r="AM1154" i="53"/>
  <c r="AK1154" i="53"/>
  <c r="AJ1154" i="53"/>
  <c r="AE1154" i="53"/>
  <c r="AF1154" i="53"/>
  <c r="E1154" i="53"/>
  <c r="AZ1153" i="53"/>
  <c r="BA1153" i="53"/>
  <c r="AX1153" i="53"/>
  <c r="AY1153" i="53"/>
  <c r="AV1153" i="53"/>
  <c r="AW1153" i="53"/>
  <c r="AU1153" i="53"/>
  <c r="AS1153" i="53"/>
  <c r="AQ1153" i="53"/>
  <c r="AO1153" i="53"/>
  <c r="AM1153" i="53"/>
  <c r="AK1153" i="53"/>
  <c r="AJ1153" i="53"/>
  <c r="AE1153" i="53"/>
  <c r="AF1153" i="53"/>
  <c r="E1153" i="53"/>
  <c r="AZ1152" i="53"/>
  <c r="BA1152" i="53"/>
  <c r="AX1152" i="53"/>
  <c r="AY1152" i="53"/>
  <c r="AV1152" i="53"/>
  <c r="AW1152" i="53"/>
  <c r="AZ1151" i="53"/>
  <c r="AV1151" i="53"/>
  <c r="AW1151" i="53"/>
  <c r="AW1150" i="53"/>
  <c r="AU1152" i="53"/>
  <c r="AS1152" i="53"/>
  <c r="AQ1152" i="53"/>
  <c r="AO1152" i="53"/>
  <c r="AM1152" i="53"/>
  <c r="AK1152" i="53"/>
  <c r="AJ1152" i="53"/>
  <c r="AE1152" i="53"/>
  <c r="AF1152" i="53"/>
  <c r="E1152" i="53"/>
  <c r="BA1151" i="53"/>
  <c r="AX1151" i="53"/>
  <c r="AY1151" i="53"/>
  <c r="AU1151" i="53"/>
  <c r="AU1150" i="53"/>
  <c r="AS1151" i="53"/>
  <c r="AQ1151" i="53"/>
  <c r="AQ1150" i="53"/>
  <c r="AO1151" i="53"/>
  <c r="AM1151" i="53"/>
  <c r="AM1150" i="53"/>
  <c r="AE1151" i="53"/>
  <c r="AF1151" i="53"/>
  <c r="E1151" i="53"/>
  <c r="AS1150" i="53"/>
  <c r="AO1150" i="53"/>
  <c r="AK1150" i="53"/>
  <c r="AJ1150" i="53"/>
  <c r="AH1150" i="53"/>
  <c r="AD1150" i="53"/>
  <c r="AB1150" i="53"/>
  <c r="AE1150" i="53"/>
  <c r="AF1150" i="53"/>
  <c r="AC1150" i="53"/>
  <c r="C1150" i="53"/>
  <c r="C1158" i="53"/>
  <c r="B1150" i="53"/>
  <c r="A1150" i="53"/>
  <c r="A1160" i="53"/>
  <c r="AZ1148" i="53"/>
  <c r="BA1148" i="53"/>
  <c r="AX1148" i="53"/>
  <c r="AY1148" i="53"/>
  <c r="AV1148" i="53"/>
  <c r="AW1148" i="53"/>
  <c r="AU1148" i="53"/>
  <c r="AS1148" i="53"/>
  <c r="AQ1148" i="53"/>
  <c r="AO1148" i="53"/>
  <c r="AM1148" i="53"/>
  <c r="AK1148" i="53"/>
  <c r="AJ1148" i="53"/>
  <c r="AE1148" i="53"/>
  <c r="AF1148" i="53"/>
  <c r="E1148" i="53"/>
  <c r="AZ1147" i="53"/>
  <c r="BA1147" i="53"/>
  <c r="AX1147" i="53"/>
  <c r="AY1147" i="53"/>
  <c r="AV1147" i="53"/>
  <c r="AW1147" i="53"/>
  <c r="AU1147" i="53"/>
  <c r="AS1147" i="53"/>
  <c r="AQ1147" i="53"/>
  <c r="AO1147" i="53"/>
  <c r="AM1147" i="53"/>
  <c r="AK1147" i="53"/>
  <c r="AJ1147" i="53"/>
  <c r="AE1147" i="53"/>
  <c r="AF1147" i="53"/>
  <c r="E1147" i="53"/>
  <c r="AZ1146" i="53"/>
  <c r="BA1146" i="53"/>
  <c r="AX1146" i="53"/>
  <c r="AY1146" i="53"/>
  <c r="AV1146" i="53"/>
  <c r="AW1146" i="53"/>
  <c r="AU1146" i="53"/>
  <c r="AS1146" i="53"/>
  <c r="AQ1146" i="53"/>
  <c r="AO1146" i="53"/>
  <c r="AM1146" i="53"/>
  <c r="AK1146" i="53"/>
  <c r="AJ1146" i="53"/>
  <c r="AE1146" i="53"/>
  <c r="AF1146" i="53"/>
  <c r="E1146" i="53"/>
  <c r="AZ1145" i="53"/>
  <c r="BA1145" i="53"/>
  <c r="AX1145" i="53"/>
  <c r="AY1145" i="53"/>
  <c r="AV1145" i="53"/>
  <c r="AW1145" i="53"/>
  <c r="AU1145" i="53"/>
  <c r="AS1145" i="53"/>
  <c r="AQ1145" i="53"/>
  <c r="AO1145" i="53"/>
  <c r="AM1145" i="53"/>
  <c r="AK1145" i="53"/>
  <c r="AJ1145" i="53"/>
  <c r="AE1145" i="53"/>
  <c r="AF1145" i="53"/>
  <c r="E1145" i="53"/>
  <c r="AZ1144" i="53"/>
  <c r="BA1144" i="53"/>
  <c r="AX1144" i="53"/>
  <c r="AY1144" i="53"/>
  <c r="AV1144" i="53"/>
  <c r="AW1144" i="53"/>
  <c r="AU1144" i="53"/>
  <c r="AS1144" i="53"/>
  <c r="AQ1144" i="53"/>
  <c r="AO1144" i="53"/>
  <c r="AM1144" i="53"/>
  <c r="AK1144" i="53"/>
  <c r="AJ1144" i="53"/>
  <c r="AE1144" i="53"/>
  <c r="AF1144" i="53"/>
  <c r="E1144" i="53"/>
  <c r="AZ1143" i="53"/>
  <c r="BA1143" i="53"/>
  <c r="AX1143" i="53"/>
  <c r="AY1143" i="53"/>
  <c r="AV1143" i="53"/>
  <c r="AW1143" i="53"/>
  <c r="AU1143" i="53"/>
  <c r="AS1143" i="53"/>
  <c r="AQ1143" i="53"/>
  <c r="AO1143" i="53"/>
  <c r="AM1143" i="53"/>
  <c r="AK1143" i="53"/>
  <c r="AJ1143" i="53"/>
  <c r="AE1143" i="53"/>
  <c r="AF1143" i="53"/>
  <c r="E1143" i="53"/>
  <c r="AZ1142" i="53"/>
  <c r="BA1142" i="53"/>
  <c r="AX1142" i="53"/>
  <c r="AY1142" i="53"/>
  <c r="AV1142" i="53"/>
  <c r="AW1142" i="53"/>
  <c r="AU1142" i="53"/>
  <c r="AS1142" i="53"/>
  <c r="AQ1142" i="53"/>
  <c r="AO1142" i="53"/>
  <c r="AM1142" i="53"/>
  <c r="AK1142" i="53"/>
  <c r="AJ1142" i="53"/>
  <c r="AE1142" i="53"/>
  <c r="AF1142" i="53"/>
  <c r="E1142" i="53"/>
  <c r="B1137" i="53"/>
  <c r="B1142" i="53"/>
  <c r="AZ1141" i="53"/>
  <c r="BA1141" i="53"/>
  <c r="AX1141" i="53"/>
  <c r="AY1141" i="53"/>
  <c r="AV1141" i="53"/>
  <c r="AW1141" i="53"/>
  <c r="AU1141" i="53"/>
  <c r="AS1141" i="53"/>
  <c r="AQ1141" i="53"/>
  <c r="AO1141" i="53"/>
  <c r="AM1141" i="53"/>
  <c r="AK1141" i="53"/>
  <c r="AJ1141" i="53"/>
  <c r="AE1141" i="53"/>
  <c r="AF1141" i="53"/>
  <c r="E1141" i="53"/>
  <c r="AZ1140" i="53"/>
  <c r="BA1140" i="53"/>
  <c r="AX1140" i="53"/>
  <c r="AY1140" i="53"/>
  <c r="AV1140" i="53"/>
  <c r="AW1140" i="53"/>
  <c r="AU1140" i="53"/>
  <c r="AS1140" i="53"/>
  <c r="AQ1140" i="53"/>
  <c r="AO1140" i="53"/>
  <c r="AM1140" i="53"/>
  <c r="AK1140" i="53"/>
  <c r="AJ1140" i="53"/>
  <c r="AE1140" i="53"/>
  <c r="AF1140" i="53"/>
  <c r="E1140" i="53"/>
  <c r="B1140" i="53"/>
  <c r="AZ1139" i="53"/>
  <c r="BA1139" i="53"/>
  <c r="AX1139" i="53"/>
  <c r="AY1139" i="53"/>
  <c r="AV1139" i="53"/>
  <c r="AW1139" i="53"/>
  <c r="AU1139" i="53"/>
  <c r="AS1139" i="53"/>
  <c r="AQ1139" i="53"/>
  <c r="AO1139" i="53"/>
  <c r="AM1139" i="53"/>
  <c r="AK1139" i="53"/>
  <c r="AJ1139" i="53"/>
  <c r="AE1139" i="53"/>
  <c r="AF1139" i="53"/>
  <c r="E1139" i="53"/>
  <c r="AZ1138" i="53"/>
  <c r="BA1138" i="53"/>
  <c r="AX1138" i="53"/>
  <c r="AY1138" i="53"/>
  <c r="AV1138" i="53"/>
  <c r="AW1138" i="53"/>
  <c r="AU1138" i="53"/>
  <c r="AS1138" i="53"/>
  <c r="AS1137" i="53"/>
  <c r="AQ1138" i="53"/>
  <c r="AO1138" i="53"/>
  <c r="AO1137" i="53"/>
  <c r="AM1138" i="53"/>
  <c r="AK1138" i="53"/>
  <c r="AK1137" i="53"/>
  <c r="AJ1138" i="53"/>
  <c r="AE1138" i="53"/>
  <c r="AF1138" i="53"/>
  <c r="E1138" i="53"/>
  <c r="B1138" i="53"/>
  <c r="AU1137" i="53"/>
  <c r="AQ1137" i="53"/>
  <c r="AM1137" i="53"/>
  <c r="AJ1137" i="53"/>
  <c r="AH1137" i="53"/>
  <c r="AD1137" i="53"/>
  <c r="AB1137" i="53"/>
  <c r="AE1137" i="53"/>
  <c r="AF1137" i="53"/>
  <c r="AC1137" i="53"/>
  <c r="Z1137" i="53"/>
  <c r="C1137" i="53"/>
  <c r="C1138" i="53"/>
  <c r="C1139" i="53"/>
  <c r="C1140" i="53"/>
  <c r="C1141" i="53"/>
  <c r="C1142" i="53"/>
  <c r="C1143" i="53"/>
  <c r="C1144" i="53"/>
  <c r="C1145" i="53"/>
  <c r="C1146" i="53"/>
  <c r="C1147" i="53"/>
  <c r="C1148" i="53"/>
  <c r="B1148" i="53"/>
  <c r="A1137" i="53"/>
  <c r="A1147" i="53"/>
  <c r="AZ1133" i="53"/>
  <c r="BA1133" i="53"/>
  <c r="AX1133" i="53"/>
  <c r="AY1133" i="53"/>
  <c r="AV1133" i="53"/>
  <c r="AW1133" i="53"/>
  <c r="AU1133" i="53"/>
  <c r="AS1133" i="53"/>
  <c r="AQ1133" i="53"/>
  <c r="AO1133" i="53"/>
  <c r="AM1133" i="53"/>
  <c r="AK1133" i="53"/>
  <c r="AJ1133" i="53"/>
  <c r="AD1133" i="53"/>
  <c r="AE1133" i="53"/>
  <c r="AF1133" i="53"/>
  <c r="E1133" i="53"/>
  <c r="B1133" i="53"/>
  <c r="A1132" i="53"/>
  <c r="A1133" i="53"/>
  <c r="AZ1132" i="53"/>
  <c r="BA1132" i="53"/>
  <c r="AX1132" i="53"/>
  <c r="AY1132" i="53"/>
  <c r="AV1132" i="53"/>
  <c r="AW1132" i="53"/>
  <c r="AU1132" i="53"/>
  <c r="AS1132" i="53"/>
  <c r="AQ1132" i="53"/>
  <c r="AO1132" i="53"/>
  <c r="AM1132" i="53"/>
  <c r="AK1132" i="53"/>
  <c r="AJ1132" i="53"/>
  <c r="AD1132" i="53"/>
  <c r="AE1132" i="53"/>
  <c r="AF1132" i="53"/>
  <c r="E1132" i="53"/>
  <c r="C1132" i="53"/>
  <c r="C1133" i="53"/>
  <c r="AZ1131" i="53"/>
  <c r="BA1131" i="53"/>
  <c r="AX1131" i="53"/>
  <c r="AY1131" i="53"/>
  <c r="AV1131" i="53"/>
  <c r="AW1131" i="53"/>
  <c r="AU1131" i="53"/>
  <c r="AS1131" i="53"/>
  <c r="AQ1131" i="53"/>
  <c r="AO1131" i="53"/>
  <c r="AM1131" i="53"/>
  <c r="AK1131" i="53"/>
  <c r="AJ1131" i="53"/>
  <c r="AD1131" i="53"/>
  <c r="AE1131" i="53"/>
  <c r="AF1131" i="53"/>
  <c r="E1131" i="53"/>
  <c r="C1131" i="53"/>
  <c r="A1131" i="53"/>
  <c r="AZ1130" i="53"/>
  <c r="BA1130" i="53"/>
  <c r="AV1130" i="53"/>
  <c r="AW1130" i="53"/>
  <c r="AU1130" i="53"/>
  <c r="AS1130" i="53"/>
  <c r="AQ1130" i="53"/>
  <c r="AO1130" i="53"/>
  <c r="AM1130" i="53"/>
  <c r="AK1130" i="53"/>
  <c r="AJ1130" i="53"/>
  <c r="AD1130" i="53"/>
  <c r="AE1130" i="53"/>
  <c r="AF1130" i="53"/>
  <c r="E1130" i="53"/>
  <c r="C1130" i="53"/>
  <c r="A1130" i="53"/>
  <c r="AZ1129" i="53"/>
  <c r="BA1129" i="53"/>
  <c r="AX1129" i="53"/>
  <c r="AY1129" i="53"/>
  <c r="AV1129" i="53"/>
  <c r="AW1129" i="53"/>
  <c r="AU1129" i="53"/>
  <c r="AS1129" i="53"/>
  <c r="AQ1129" i="53"/>
  <c r="AO1129" i="53"/>
  <c r="AM1129" i="53"/>
  <c r="AK1129" i="53"/>
  <c r="AJ1129" i="53"/>
  <c r="AE1129" i="53"/>
  <c r="AF1129" i="53"/>
  <c r="E1129" i="53"/>
  <c r="C1129" i="53"/>
  <c r="A1129" i="53"/>
  <c r="AZ1128" i="53"/>
  <c r="BA1128" i="53"/>
  <c r="AX1128" i="53"/>
  <c r="AY1128" i="53"/>
  <c r="AV1128" i="53"/>
  <c r="AW1128" i="53"/>
  <c r="AU1128" i="53"/>
  <c r="AS1128" i="53"/>
  <c r="AQ1128" i="53"/>
  <c r="AO1128" i="53"/>
  <c r="AM1128" i="53"/>
  <c r="AK1128" i="53"/>
  <c r="AJ1128" i="53"/>
  <c r="AD1128" i="53"/>
  <c r="AE1128" i="53"/>
  <c r="AF1128" i="53"/>
  <c r="E1128" i="53"/>
  <c r="C1128" i="53"/>
  <c r="A1128" i="53"/>
  <c r="AZ1127" i="53"/>
  <c r="BA1127" i="53"/>
  <c r="AU1127" i="53"/>
  <c r="AS1127" i="53"/>
  <c r="AQ1127" i="53"/>
  <c r="AO1127" i="53"/>
  <c r="AM1127" i="53"/>
  <c r="AK1127" i="53"/>
  <c r="AJ1127" i="53"/>
  <c r="AD1127" i="53"/>
  <c r="AE1127" i="53"/>
  <c r="AF1127" i="53"/>
  <c r="E1127" i="53"/>
  <c r="C1127" i="53"/>
  <c r="A1127" i="53"/>
  <c r="AZ1126" i="53"/>
  <c r="BA1126" i="53"/>
  <c r="AX1126" i="53"/>
  <c r="AY1126" i="53"/>
  <c r="AV1126" i="53"/>
  <c r="AW1126" i="53"/>
  <c r="AU1126" i="53"/>
  <c r="AS1126" i="53"/>
  <c r="AQ1126" i="53"/>
  <c r="AO1126" i="53"/>
  <c r="AM1126" i="53"/>
  <c r="AK1126" i="53"/>
  <c r="AJ1126" i="53"/>
  <c r="AD1126" i="53"/>
  <c r="AE1126" i="53"/>
  <c r="AF1126" i="53"/>
  <c r="E1126" i="53"/>
  <c r="C1126" i="53"/>
  <c r="A1126" i="53"/>
  <c r="AZ1125" i="53"/>
  <c r="BA1125" i="53"/>
  <c r="AX1125" i="53"/>
  <c r="AY1125" i="53"/>
  <c r="AV1125" i="53"/>
  <c r="AW1125" i="53"/>
  <c r="AU1125" i="53"/>
  <c r="AS1125" i="53"/>
  <c r="AQ1125" i="53"/>
  <c r="AO1125" i="53"/>
  <c r="AM1125" i="53"/>
  <c r="AK1125" i="53"/>
  <c r="AJ1125" i="53"/>
  <c r="AE1125" i="53"/>
  <c r="AF1125" i="53"/>
  <c r="E1125" i="53"/>
  <c r="C1125" i="53"/>
  <c r="A1125" i="53"/>
  <c r="AZ1124" i="53"/>
  <c r="BA1124" i="53"/>
  <c r="AX1124" i="53"/>
  <c r="AY1124" i="53"/>
  <c r="AV1124" i="53"/>
  <c r="AW1124" i="53"/>
  <c r="AU1124" i="53"/>
  <c r="AS1124" i="53"/>
  <c r="AQ1124" i="53"/>
  <c r="AO1124" i="53"/>
  <c r="AM1124" i="53"/>
  <c r="AK1124" i="53"/>
  <c r="AJ1124" i="53"/>
  <c r="AD1124" i="53"/>
  <c r="AE1124" i="53"/>
  <c r="AF1124" i="53"/>
  <c r="E1124" i="53"/>
  <c r="C1124" i="53"/>
  <c r="A1124" i="53"/>
  <c r="AZ1123" i="53"/>
  <c r="BA1123" i="53"/>
  <c r="AX1123" i="53"/>
  <c r="AY1123" i="53"/>
  <c r="AV1123" i="53"/>
  <c r="AW1123" i="53"/>
  <c r="AU1123" i="53"/>
  <c r="AS1123" i="53"/>
  <c r="AQ1123" i="53"/>
  <c r="AO1123" i="53"/>
  <c r="AM1123" i="53"/>
  <c r="AK1123" i="53"/>
  <c r="AJ1123" i="53"/>
  <c r="AE1123" i="53"/>
  <c r="AF1123" i="53"/>
  <c r="E1123" i="53"/>
  <c r="C1123" i="53"/>
  <c r="A1123" i="53"/>
  <c r="AZ1122" i="53"/>
  <c r="BA1122" i="53"/>
  <c r="AX1122" i="53"/>
  <c r="AY1122" i="53"/>
  <c r="AV1122" i="53"/>
  <c r="AW1122" i="53"/>
  <c r="AU1122" i="53"/>
  <c r="AS1122" i="53"/>
  <c r="AQ1122" i="53"/>
  <c r="AO1122" i="53"/>
  <c r="AM1122" i="53"/>
  <c r="AK1122" i="53"/>
  <c r="AJ1122" i="53"/>
  <c r="AE1122" i="53"/>
  <c r="AF1122" i="53"/>
  <c r="E1122" i="53"/>
  <c r="C1122" i="53"/>
  <c r="A1122" i="53"/>
  <c r="AZ1121" i="53"/>
  <c r="BA1121" i="53"/>
  <c r="AX1121" i="53"/>
  <c r="AY1121" i="53"/>
  <c r="AV1121" i="53"/>
  <c r="AW1121" i="53"/>
  <c r="AU1121" i="53"/>
  <c r="AS1121" i="53"/>
  <c r="AQ1121" i="53"/>
  <c r="AO1121" i="53"/>
  <c r="AM1121" i="53"/>
  <c r="AK1121" i="53"/>
  <c r="AJ1121" i="53"/>
  <c r="AE1121" i="53"/>
  <c r="AF1121" i="53"/>
  <c r="E1121" i="53"/>
  <c r="C1121" i="53"/>
  <c r="A1121" i="53"/>
  <c r="AZ1120" i="53"/>
  <c r="BA1120" i="53"/>
  <c r="AX1120" i="53"/>
  <c r="AY1120" i="53"/>
  <c r="AV1120" i="53"/>
  <c r="AW1120" i="53"/>
  <c r="AU1120" i="53"/>
  <c r="AS1120" i="53"/>
  <c r="AS1119" i="53"/>
  <c r="AS1118" i="53"/>
  <c r="AQ1120" i="53"/>
  <c r="AO1120" i="53"/>
  <c r="AO1119" i="53"/>
  <c r="AO1118" i="53"/>
  <c r="AM1120" i="53"/>
  <c r="AK1120" i="53"/>
  <c r="AK1119" i="53"/>
  <c r="AK1118" i="53"/>
  <c r="AJ1120" i="53"/>
  <c r="AD1120" i="53"/>
  <c r="AE1120" i="53"/>
  <c r="AF1120" i="53"/>
  <c r="E1120" i="53"/>
  <c r="C1120" i="53"/>
  <c r="A1120" i="53"/>
  <c r="AZ1119" i="53"/>
  <c r="BA1119" i="53"/>
  <c r="AX1119" i="53"/>
  <c r="AY1119" i="53"/>
  <c r="AV1119" i="53"/>
  <c r="AW1119" i="53"/>
  <c r="AU1119" i="53"/>
  <c r="AQ1119" i="53"/>
  <c r="AM1119" i="53"/>
  <c r="AJ1119" i="53"/>
  <c r="AE1119" i="53"/>
  <c r="AF1119" i="53"/>
  <c r="E1119" i="53"/>
  <c r="C1119" i="53"/>
  <c r="A1119" i="53"/>
  <c r="AU1118" i="53"/>
  <c r="AQ1118" i="53"/>
  <c r="AM1118" i="53"/>
  <c r="AJ1118" i="53"/>
  <c r="AH1118" i="53"/>
  <c r="AD1118" i="53"/>
  <c r="AB1118" i="53"/>
  <c r="AE1118" i="53"/>
  <c r="AF1118" i="53"/>
  <c r="AC1118" i="53"/>
  <c r="C1118" i="53"/>
  <c r="A1118" i="53"/>
  <c r="AZ1116" i="53"/>
  <c r="BA1116" i="53"/>
  <c r="AX1116" i="53"/>
  <c r="AY1116" i="53"/>
  <c r="AV1116" i="53"/>
  <c r="AW1116" i="53"/>
  <c r="AU1116" i="53"/>
  <c r="AS1116" i="53"/>
  <c r="AQ1116" i="53"/>
  <c r="AO1116" i="53"/>
  <c r="AM1116" i="53"/>
  <c r="AK1116" i="53"/>
  <c r="AG1116" i="53"/>
  <c r="AJ1116" i="53"/>
  <c r="AE1116" i="53"/>
  <c r="AF1116" i="53"/>
  <c r="C1116" i="53"/>
  <c r="B1116" i="53"/>
  <c r="A1116" i="53"/>
  <c r="AZ1115" i="53"/>
  <c r="BA1115" i="53"/>
  <c r="AX1115" i="53"/>
  <c r="AY1115" i="53"/>
  <c r="AV1115" i="53"/>
  <c r="AW1115" i="53"/>
  <c r="AU1115" i="53"/>
  <c r="AS1115" i="53"/>
  <c r="AQ1115" i="53"/>
  <c r="AO1115" i="53"/>
  <c r="AM1115" i="53"/>
  <c r="AK1115" i="53"/>
  <c r="AG1115" i="53"/>
  <c r="AJ1115" i="53"/>
  <c r="AE1115" i="53"/>
  <c r="AF1115" i="53"/>
  <c r="C1115" i="53"/>
  <c r="B1115" i="53"/>
  <c r="A1115" i="53"/>
  <c r="AZ1114" i="53"/>
  <c r="BA1114" i="53"/>
  <c r="AX1114" i="53"/>
  <c r="AY1114" i="53"/>
  <c r="AV1114" i="53"/>
  <c r="AW1114" i="53"/>
  <c r="AU1114" i="53"/>
  <c r="AS1114" i="53"/>
  <c r="AQ1114" i="53"/>
  <c r="AO1114" i="53"/>
  <c r="AM1114" i="53"/>
  <c r="AK1114" i="53"/>
  <c r="AG1114" i="53"/>
  <c r="AJ1114" i="53"/>
  <c r="AE1114" i="53"/>
  <c r="AF1114" i="53"/>
  <c r="C1114" i="53"/>
  <c r="B1114" i="53"/>
  <c r="A1114" i="53"/>
  <c r="AZ1113" i="53"/>
  <c r="BA1113" i="53"/>
  <c r="AX1113" i="53"/>
  <c r="AY1113" i="53"/>
  <c r="AV1113" i="53"/>
  <c r="AW1113" i="53"/>
  <c r="AU1113" i="53"/>
  <c r="AS1113" i="53"/>
  <c r="AQ1113" i="53"/>
  <c r="AO1113" i="53"/>
  <c r="AM1113" i="53"/>
  <c r="AK1113" i="53"/>
  <c r="AG1113" i="53"/>
  <c r="AJ1113" i="53"/>
  <c r="AE1113" i="53"/>
  <c r="AF1113" i="53"/>
  <c r="C1113" i="53"/>
  <c r="B1113" i="53"/>
  <c r="A1113" i="53"/>
  <c r="AZ1112" i="53"/>
  <c r="BA1112" i="53"/>
  <c r="AX1112" i="53"/>
  <c r="AY1112" i="53"/>
  <c r="AV1112" i="53"/>
  <c r="AW1112" i="53"/>
  <c r="AU1112" i="53"/>
  <c r="AS1112" i="53"/>
  <c r="AQ1112" i="53"/>
  <c r="AO1112" i="53"/>
  <c r="AM1112" i="53"/>
  <c r="AK1112" i="53"/>
  <c r="AG1112" i="53"/>
  <c r="AJ1112" i="53"/>
  <c r="AE1112" i="53"/>
  <c r="AF1112" i="53"/>
  <c r="C1112" i="53"/>
  <c r="B1112" i="53"/>
  <c r="A1112" i="53"/>
  <c r="AZ1111" i="53"/>
  <c r="BA1111" i="53"/>
  <c r="AX1111" i="53"/>
  <c r="AY1111" i="53"/>
  <c r="AV1111" i="53"/>
  <c r="AW1111" i="53"/>
  <c r="AU1111" i="53"/>
  <c r="AS1111" i="53"/>
  <c r="AQ1111" i="53"/>
  <c r="AO1111" i="53"/>
  <c r="AM1111" i="53"/>
  <c r="AK1111" i="53"/>
  <c r="AG1111" i="53"/>
  <c r="AJ1111" i="53"/>
  <c r="AE1111" i="53"/>
  <c r="AF1111" i="53"/>
  <c r="C1111" i="53"/>
  <c r="B1111" i="53"/>
  <c r="A1111" i="53"/>
  <c r="AZ1110" i="53"/>
  <c r="BA1110" i="53"/>
  <c r="AX1110" i="53"/>
  <c r="AY1110" i="53"/>
  <c r="AV1110" i="53"/>
  <c r="AW1110" i="53"/>
  <c r="AU1110" i="53"/>
  <c r="AS1110" i="53"/>
  <c r="AQ1110" i="53"/>
  <c r="AO1110" i="53"/>
  <c r="AM1110" i="53"/>
  <c r="AK1110" i="53"/>
  <c r="AG1110" i="53"/>
  <c r="AJ1110" i="53"/>
  <c r="AE1110" i="53"/>
  <c r="AF1110" i="53"/>
  <c r="C1110" i="53"/>
  <c r="B1110" i="53"/>
  <c r="A1110" i="53"/>
  <c r="AZ1109" i="53"/>
  <c r="BA1109" i="53"/>
  <c r="AX1109" i="53"/>
  <c r="AY1109" i="53"/>
  <c r="AV1109" i="53"/>
  <c r="AW1109" i="53"/>
  <c r="AU1109" i="53"/>
  <c r="AS1109" i="53"/>
  <c r="AQ1109" i="53"/>
  <c r="AO1109" i="53"/>
  <c r="AM1109" i="53"/>
  <c r="AK1109" i="53"/>
  <c r="AG1109" i="53"/>
  <c r="AJ1109" i="53"/>
  <c r="AD1109" i="53"/>
  <c r="AE1109" i="53"/>
  <c r="AF1109" i="53"/>
  <c r="C1109" i="53"/>
  <c r="B1109" i="53"/>
  <c r="A1109" i="53"/>
  <c r="AZ1108" i="53"/>
  <c r="BA1108" i="53"/>
  <c r="AX1108" i="53"/>
  <c r="AY1108" i="53"/>
  <c r="AV1108" i="53"/>
  <c r="AW1108" i="53"/>
  <c r="AU1108" i="53"/>
  <c r="AS1108" i="53"/>
  <c r="AQ1108" i="53"/>
  <c r="AO1108" i="53"/>
  <c r="AM1108" i="53"/>
  <c r="AK1108" i="53"/>
  <c r="AG1108" i="53"/>
  <c r="AJ1108" i="53"/>
  <c r="AD1108" i="53"/>
  <c r="AE1108" i="53"/>
  <c r="AF1108" i="53"/>
  <c r="C1108" i="53"/>
  <c r="B1108" i="53"/>
  <c r="A1108" i="53"/>
  <c r="AZ1107" i="53"/>
  <c r="BA1107" i="53"/>
  <c r="AX1107" i="53"/>
  <c r="AY1107" i="53"/>
  <c r="AV1107" i="53"/>
  <c r="AW1107" i="53"/>
  <c r="AU1107" i="53"/>
  <c r="AS1107" i="53"/>
  <c r="AQ1107" i="53"/>
  <c r="AO1107" i="53"/>
  <c r="AM1107" i="53"/>
  <c r="AK1107" i="53"/>
  <c r="AG1107" i="53"/>
  <c r="AJ1107" i="53"/>
  <c r="AE1107" i="53"/>
  <c r="AF1107" i="53"/>
  <c r="C1107" i="53"/>
  <c r="B1107" i="53"/>
  <c r="A1107" i="53"/>
  <c r="AZ1106" i="53"/>
  <c r="BA1106" i="53"/>
  <c r="AX1106" i="53"/>
  <c r="AY1106" i="53"/>
  <c r="AV1106" i="53"/>
  <c r="AW1106" i="53"/>
  <c r="AU1106" i="53"/>
  <c r="AS1106" i="53"/>
  <c r="AQ1106" i="53"/>
  <c r="AO1106" i="53"/>
  <c r="AM1106" i="53"/>
  <c r="AK1106" i="53"/>
  <c r="AG1106" i="53"/>
  <c r="AJ1106" i="53"/>
  <c r="AD1106" i="53"/>
  <c r="AE1106" i="53"/>
  <c r="AF1106" i="53"/>
  <c r="C1106" i="53"/>
  <c r="B1106" i="53"/>
  <c r="A1106" i="53"/>
  <c r="AZ1105" i="53"/>
  <c r="BA1105" i="53"/>
  <c r="AX1105" i="53"/>
  <c r="AY1105" i="53"/>
  <c r="AV1105" i="53"/>
  <c r="AW1105" i="53"/>
  <c r="AU1105" i="53"/>
  <c r="AS1105" i="53"/>
  <c r="AQ1105" i="53"/>
  <c r="AO1105" i="53"/>
  <c r="AM1105" i="53"/>
  <c r="AK1105" i="53"/>
  <c r="AG1105" i="53"/>
  <c r="AJ1105" i="53"/>
  <c r="AD1105" i="53"/>
  <c r="AE1105" i="53"/>
  <c r="AF1105" i="53"/>
  <c r="C1105" i="53"/>
  <c r="B1105" i="53"/>
  <c r="A1105" i="53"/>
  <c r="AZ1104" i="53"/>
  <c r="BA1104" i="53"/>
  <c r="AX1104" i="53"/>
  <c r="AY1104" i="53"/>
  <c r="AV1104" i="53"/>
  <c r="AW1104" i="53"/>
  <c r="AU1104" i="53"/>
  <c r="AS1104" i="53"/>
  <c r="AQ1104" i="53"/>
  <c r="AO1104" i="53"/>
  <c r="AM1104" i="53"/>
  <c r="AK1104" i="53"/>
  <c r="AG1104" i="53"/>
  <c r="AJ1104" i="53"/>
  <c r="AD1104" i="53"/>
  <c r="AE1104" i="53"/>
  <c r="AF1104" i="53"/>
  <c r="C1104" i="53"/>
  <c r="B1104" i="53"/>
  <c r="A1104" i="53"/>
  <c r="AZ1103" i="53"/>
  <c r="BA1103" i="53"/>
  <c r="AX1103" i="53"/>
  <c r="AY1103" i="53"/>
  <c r="AV1103" i="53"/>
  <c r="AW1103" i="53"/>
  <c r="AU1103" i="53"/>
  <c r="AS1103" i="53"/>
  <c r="AS1102" i="53"/>
  <c r="AS1101" i="53"/>
  <c r="AQ1103" i="53"/>
  <c r="AO1103" i="53"/>
  <c r="AO1102" i="53"/>
  <c r="AO1101" i="53"/>
  <c r="AM1103" i="53"/>
  <c r="AK1103" i="53"/>
  <c r="AK1102" i="53"/>
  <c r="AK1101" i="53"/>
  <c r="AG1103" i="53"/>
  <c r="AJ1103" i="53"/>
  <c r="AE1103" i="53"/>
  <c r="AF1103" i="53"/>
  <c r="C1103" i="53"/>
  <c r="B1103" i="53"/>
  <c r="A1103" i="53"/>
  <c r="AZ1102" i="53"/>
  <c r="BA1102" i="53"/>
  <c r="AX1102" i="53"/>
  <c r="AY1102" i="53"/>
  <c r="AV1102" i="53"/>
  <c r="AW1102" i="53"/>
  <c r="AW1101" i="53"/>
  <c r="AU1102" i="53"/>
  <c r="AQ1102" i="53"/>
  <c r="AM1102" i="53"/>
  <c r="AG1102" i="53"/>
  <c r="AJ1102" i="53"/>
  <c r="AD1102" i="53"/>
  <c r="AE1102" i="53"/>
  <c r="AF1102" i="53"/>
  <c r="C1102" i="53"/>
  <c r="B1102" i="53"/>
  <c r="A1102" i="53"/>
  <c r="AU1101" i="53"/>
  <c r="AQ1101" i="53"/>
  <c r="AM1101" i="53"/>
  <c r="AH1101" i="53"/>
  <c r="AG1101" i="53"/>
  <c r="AC1101" i="53"/>
  <c r="AB1101" i="53"/>
  <c r="C1101" i="53"/>
  <c r="B1101" i="53"/>
  <c r="A1101" i="53"/>
  <c r="AZ1098" i="53"/>
  <c r="BA1098" i="53"/>
  <c r="AX1098" i="53"/>
  <c r="AY1098" i="53"/>
  <c r="AV1098" i="53"/>
  <c r="AW1098" i="53"/>
  <c r="AU1098" i="53"/>
  <c r="AS1098" i="53"/>
  <c r="AQ1098" i="53"/>
  <c r="AO1098" i="53"/>
  <c r="AM1098" i="53"/>
  <c r="AK1098" i="53"/>
  <c r="AE1098" i="53"/>
  <c r="AF1098" i="53"/>
  <c r="Y1098" i="53"/>
  <c r="X1098" i="53"/>
  <c r="D1098" i="53"/>
  <c r="C1098" i="53"/>
  <c r="B1098" i="53"/>
  <c r="A1098" i="53"/>
  <c r="AZ1097" i="53"/>
  <c r="BA1097" i="53"/>
  <c r="AX1097" i="53"/>
  <c r="AY1097" i="53"/>
  <c r="AV1097" i="53"/>
  <c r="AW1097" i="53"/>
  <c r="AU1097" i="53"/>
  <c r="AS1097" i="53"/>
  <c r="AQ1097" i="53"/>
  <c r="AO1097" i="53"/>
  <c r="AM1097" i="53"/>
  <c r="AK1097" i="53"/>
  <c r="AE1097" i="53"/>
  <c r="AF1097" i="53"/>
  <c r="Y1097" i="53"/>
  <c r="X1097" i="53"/>
  <c r="D1097" i="53"/>
  <c r="C1097" i="53"/>
  <c r="B1097" i="53"/>
  <c r="A1097" i="53"/>
  <c r="AZ1096" i="53"/>
  <c r="BA1096" i="53"/>
  <c r="AX1096" i="53"/>
  <c r="AY1096" i="53"/>
  <c r="AV1096" i="53"/>
  <c r="AW1096" i="53"/>
  <c r="AU1096" i="53"/>
  <c r="AS1096" i="53"/>
  <c r="AQ1096" i="53"/>
  <c r="AO1096" i="53"/>
  <c r="AM1096" i="53"/>
  <c r="AK1096" i="53"/>
  <c r="AE1096" i="53"/>
  <c r="AF1096" i="53"/>
  <c r="Y1096" i="53"/>
  <c r="X1096" i="53"/>
  <c r="D1096" i="53"/>
  <c r="C1096" i="53"/>
  <c r="B1096" i="53"/>
  <c r="A1096" i="53"/>
  <c r="AZ1095" i="53"/>
  <c r="BA1095" i="53"/>
  <c r="AX1095" i="53"/>
  <c r="AY1095" i="53"/>
  <c r="AV1095" i="53"/>
  <c r="AW1095" i="53"/>
  <c r="AU1095" i="53"/>
  <c r="AS1095" i="53"/>
  <c r="AQ1095" i="53"/>
  <c r="AO1095" i="53"/>
  <c r="AM1095" i="53"/>
  <c r="AK1095" i="53"/>
  <c r="AE1095" i="53"/>
  <c r="AF1095" i="53"/>
  <c r="Y1095" i="53"/>
  <c r="X1095" i="53"/>
  <c r="D1095" i="53"/>
  <c r="C1095" i="53"/>
  <c r="B1095" i="53"/>
  <c r="A1095" i="53"/>
  <c r="AZ1094" i="53"/>
  <c r="BA1094" i="53"/>
  <c r="AX1094" i="53"/>
  <c r="AY1094" i="53"/>
  <c r="AV1094" i="53"/>
  <c r="AW1094" i="53"/>
  <c r="AU1094" i="53"/>
  <c r="AS1094" i="53"/>
  <c r="AQ1094" i="53"/>
  <c r="AO1094" i="53"/>
  <c r="AM1094" i="53"/>
  <c r="AK1094" i="53"/>
  <c r="AE1094" i="53"/>
  <c r="AF1094" i="53"/>
  <c r="Y1094" i="53"/>
  <c r="X1094" i="53"/>
  <c r="D1094" i="53"/>
  <c r="C1094" i="53"/>
  <c r="B1094" i="53"/>
  <c r="A1094" i="53"/>
  <c r="AZ1093" i="53"/>
  <c r="BA1093" i="53"/>
  <c r="AX1093" i="53"/>
  <c r="AY1093" i="53"/>
  <c r="AV1093" i="53"/>
  <c r="AW1093" i="53"/>
  <c r="AU1093" i="53"/>
  <c r="AS1093" i="53"/>
  <c r="AQ1093" i="53"/>
  <c r="AO1093" i="53"/>
  <c r="AM1093" i="53"/>
  <c r="AK1093" i="53"/>
  <c r="AE1093" i="53"/>
  <c r="AF1093" i="53"/>
  <c r="Y1093" i="53"/>
  <c r="X1093" i="53"/>
  <c r="D1093" i="53"/>
  <c r="C1093" i="53"/>
  <c r="B1093" i="53"/>
  <c r="A1093" i="53"/>
  <c r="AZ1092" i="53"/>
  <c r="AH1092" i="53"/>
  <c r="BA1092" i="53"/>
  <c r="AX1092" i="53"/>
  <c r="AY1092" i="53"/>
  <c r="AV1092" i="53"/>
  <c r="AW1092" i="53"/>
  <c r="AJ1092" i="53"/>
  <c r="AS1092" i="53"/>
  <c r="AE1092" i="53"/>
  <c r="AF1092" i="53"/>
  <c r="Y1092" i="53"/>
  <c r="X1092" i="53"/>
  <c r="D1092" i="53"/>
  <c r="C1092" i="53"/>
  <c r="B1092" i="53"/>
  <c r="A1092" i="53"/>
  <c r="AZ1091" i="53"/>
  <c r="AH1091" i="53"/>
  <c r="BA1091" i="53"/>
  <c r="AV1091" i="53"/>
  <c r="AW1091" i="53"/>
  <c r="AO1091" i="53"/>
  <c r="AJ1091" i="53"/>
  <c r="AE1091" i="53"/>
  <c r="AF1091" i="53"/>
  <c r="Y1091" i="53"/>
  <c r="X1091" i="53"/>
  <c r="D1091" i="53"/>
  <c r="C1091" i="53"/>
  <c r="B1091" i="53"/>
  <c r="A1091" i="53"/>
  <c r="AZ1090" i="53"/>
  <c r="AX1090" i="53"/>
  <c r="AV1090" i="53"/>
  <c r="AJ1090" i="53"/>
  <c r="AH1090" i="53"/>
  <c r="AE1090" i="53"/>
  <c r="AF1090" i="53"/>
  <c r="Y1090" i="53"/>
  <c r="X1090" i="53"/>
  <c r="D1090" i="53"/>
  <c r="C1090" i="53"/>
  <c r="B1090" i="53"/>
  <c r="A1090" i="53"/>
  <c r="AZ1089" i="53"/>
  <c r="BA1089" i="53"/>
  <c r="AV1089" i="53"/>
  <c r="AW1089" i="53"/>
  <c r="AU1089" i="53"/>
  <c r="AS1089" i="53"/>
  <c r="AQ1089" i="53"/>
  <c r="AO1089" i="53"/>
  <c r="AM1089" i="53"/>
  <c r="AK1089" i="53"/>
  <c r="AG1089" i="53"/>
  <c r="AJ1089" i="53"/>
  <c r="AD1089" i="53"/>
  <c r="AE1089" i="53"/>
  <c r="AF1089" i="53"/>
  <c r="Y1089" i="53"/>
  <c r="X1089" i="53"/>
  <c r="D1089" i="53"/>
  <c r="C1089" i="53"/>
  <c r="B1089" i="53"/>
  <c r="A1089" i="53"/>
  <c r="AZ1088" i="53"/>
  <c r="BA1088" i="53"/>
  <c r="AX1088" i="53"/>
  <c r="AY1088" i="53"/>
  <c r="AV1088" i="53"/>
  <c r="AW1088" i="53"/>
  <c r="AU1088" i="53"/>
  <c r="AS1088" i="53"/>
  <c r="AQ1088" i="53"/>
  <c r="AO1088" i="53"/>
  <c r="AM1088" i="53"/>
  <c r="AK1088" i="53"/>
  <c r="AG1088" i="53"/>
  <c r="AJ1088" i="53"/>
  <c r="AD1088" i="53"/>
  <c r="AE1088" i="53"/>
  <c r="AF1088" i="53"/>
  <c r="Y1088" i="53"/>
  <c r="X1088" i="53"/>
  <c r="D1088" i="53"/>
  <c r="C1088" i="53"/>
  <c r="B1088" i="53"/>
  <c r="A1088" i="53"/>
  <c r="AZ1087" i="53"/>
  <c r="BA1087" i="53"/>
  <c r="AV1087" i="53"/>
  <c r="AW1087" i="53"/>
  <c r="AU1087" i="53"/>
  <c r="AS1087" i="53"/>
  <c r="AQ1087" i="53"/>
  <c r="AO1087" i="53"/>
  <c r="AM1087" i="53"/>
  <c r="AK1087" i="53"/>
  <c r="AG1087" i="53"/>
  <c r="AJ1087" i="53"/>
  <c r="AD1087" i="53"/>
  <c r="AE1087" i="53"/>
  <c r="AF1087" i="53"/>
  <c r="Y1087" i="53"/>
  <c r="X1087" i="53"/>
  <c r="D1087" i="53"/>
  <c r="C1087" i="53"/>
  <c r="B1087" i="53"/>
  <c r="A1087" i="53"/>
  <c r="AZ1086" i="53"/>
  <c r="BA1086" i="53"/>
  <c r="AX1086" i="53"/>
  <c r="AY1086" i="53"/>
  <c r="AV1086" i="53"/>
  <c r="AW1086" i="53"/>
  <c r="AU1086" i="53"/>
  <c r="AS1086" i="53"/>
  <c r="AQ1086" i="53"/>
  <c r="AO1086" i="53"/>
  <c r="AM1086" i="53"/>
  <c r="AK1086" i="53"/>
  <c r="AG1086" i="53"/>
  <c r="AJ1086" i="53"/>
  <c r="AD1086" i="53"/>
  <c r="AE1086" i="53"/>
  <c r="AF1086" i="53"/>
  <c r="Y1086" i="53"/>
  <c r="X1086" i="53"/>
  <c r="D1086" i="53"/>
  <c r="C1086" i="53"/>
  <c r="B1086" i="53"/>
  <c r="A1086" i="53"/>
  <c r="AZ1085" i="53"/>
  <c r="BA1085" i="53"/>
  <c r="AV1085" i="53"/>
  <c r="AW1085" i="53"/>
  <c r="AU1085" i="53"/>
  <c r="AS1085" i="53"/>
  <c r="AQ1085" i="53"/>
  <c r="AO1085" i="53"/>
  <c r="AM1085" i="53"/>
  <c r="AK1085" i="53"/>
  <c r="AG1085" i="53"/>
  <c r="AJ1085" i="53"/>
  <c r="AE1085" i="53"/>
  <c r="AF1085" i="53"/>
  <c r="Y1085" i="53"/>
  <c r="X1085" i="53"/>
  <c r="D1085" i="53"/>
  <c r="C1085" i="53"/>
  <c r="B1085" i="53"/>
  <c r="A1085" i="53"/>
  <c r="AZ1084" i="53"/>
  <c r="AX1084" i="53"/>
  <c r="AV1084" i="53"/>
  <c r="AJ1084" i="53"/>
  <c r="AH1084" i="53"/>
  <c r="Y1084" i="53"/>
  <c r="X1084" i="53"/>
  <c r="D1084" i="53"/>
  <c r="C1084" i="53"/>
  <c r="B1084" i="53"/>
  <c r="A1084" i="53"/>
  <c r="AZ1083" i="53"/>
  <c r="AH1083" i="53"/>
  <c r="BA1083" i="53"/>
  <c r="AX1083" i="53"/>
  <c r="AY1083" i="53"/>
  <c r="AV1083" i="53"/>
  <c r="AW1083" i="53"/>
  <c r="AU1083" i="53"/>
  <c r="AQ1083" i="53"/>
  <c r="AM1083" i="53"/>
  <c r="AJ1083" i="53"/>
  <c r="AS1083" i="53"/>
  <c r="AD1083" i="53"/>
  <c r="AE1083" i="53"/>
  <c r="AF1083" i="53"/>
  <c r="Y1083" i="53"/>
  <c r="X1083" i="53"/>
  <c r="D1083" i="53"/>
  <c r="C1083" i="53"/>
  <c r="B1083" i="53"/>
  <c r="A1083" i="53"/>
  <c r="AZ1082" i="53"/>
  <c r="AX1082" i="53"/>
  <c r="AV1082" i="53"/>
  <c r="AJ1082" i="53"/>
  <c r="AH1082" i="53"/>
  <c r="Y1082" i="53"/>
  <c r="X1082" i="53"/>
  <c r="D1082" i="53"/>
  <c r="C1082" i="53"/>
  <c r="B1082" i="53"/>
  <c r="A1082" i="53"/>
  <c r="AN1081" i="53"/>
  <c r="AZ1081" i="53"/>
  <c r="BA1081" i="53"/>
  <c r="AW1081" i="53"/>
  <c r="AU1081" i="53"/>
  <c r="AS1081" i="53"/>
  <c r="AQ1081" i="53"/>
  <c r="AO1081" i="53"/>
  <c r="AX1081" i="53"/>
  <c r="AY1081" i="53"/>
  <c r="AM1081" i="53"/>
  <c r="AD1081" i="53"/>
  <c r="AE1081" i="53"/>
  <c r="AF1081" i="53"/>
  <c r="Y1081" i="53"/>
  <c r="X1081" i="53"/>
  <c r="D1081" i="53"/>
  <c r="C1081" i="53"/>
  <c r="B1081" i="53"/>
  <c r="A1081" i="53"/>
  <c r="AZ1080" i="53"/>
  <c r="BA1080" i="53"/>
  <c r="AX1080" i="53"/>
  <c r="AY1080" i="53"/>
  <c r="AV1080" i="53"/>
  <c r="AW1080" i="53"/>
  <c r="AU1080" i="53"/>
  <c r="AS1080" i="53"/>
  <c r="AQ1080" i="53"/>
  <c r="AO1080" i="53"/>
  <c r="AM1080" i="53"/>
  <c r="AK1080" i="53"/>
  <c r="AE1080" i="53"/>
  <c r="AF1080" i="53"/>
  <c r="Y1080" i="53"/>
  <c r="X1080" i="53"/>
  <c r="D1080" i="53"/>
  <c r="C1080" i="53"/>
  <c r="B1080" i="53"/>
  <c r="A1080" i="53"/>
  <c r="AZ1079" i="53"/>
  <c r="AX1079" i="53"/>
  <c r="AV1079" i="53"/>
  <c r="AJ1079" i="53"/>
  <c r="AH1079" i="53"/>
  <c r="Y1079" i="53"/>
  <c r="X1079" i="53"/>
  <c r="D1079" i="53"/>
  <c r="C1079" i="53"/>
  <c r="B1079" i="53"/>
  <c r="A1079" i="53"/>
  <c r="AJ1078" i="53"/>
  <c r="AG1078" i="53"/>
  <c r="AC1078" i="53"/>
  <c r="AB1078" i="53"/>
  <c r="C1078" i="53"/>
  <c r="B1078" i="53"/>
  <c r="A1078" i="53"/>
  <c r="AZ1076" i="53"/>
  <c r="BA1076" i="53"/>
  <c r="AX1076" i="53"/>
  <c r="AY1076" i="53"/>
  <c r="AV1076" i="53"/>
  <c r="AW1076" i="53"/>
  <c r="AU1076" i="53"/>
  <c r="AS1076" i="53"/>
  <c r="AQ1076" i="53"/>
  <c r="AO1076" i="53"/>
  <c r="AM1076" i="53"/>
  <c r="AK1076" i="53"/>
  <c r="AE1076" i="53"/>
  <c r="AF1076" i="53"/>
  <c r="Y1076" i="53"/>
  <c r="X1076" i="53"/>
  <c r="D1076" i="53"/>
  <c r="C1076" i="53"/>
  <c r="B1076" i="53"/>
  <c r="A1076" i="53"/>
  <c r="AZ1075" i="53"/>
  <c r="BA1075" i="53"/>
  <c r="AX1075" i="53"/>
  <c r="AY1075" i="53"/>
  <c r="AV1075" i="53"/>
  <c r="AW1075" i="53"/>
  <c r="AU1075" i="53"/>
  <c r="AS1075" i="53"/>
  <c r="AQ1075" i="53"/>
  <c r="AO1075" i="53"/>
  <c r="AM1075" i="53"/>
  <c r="AK1075" i="53"/>
  <c r="AE1075" i="53"/>
  <c r="AF1075" i="53"/>
  <c r="Y1075" i="53"/>
  <c r="X1075" i="53"/>
  <c r="D1075" i="53"/>
  <c r="C1075" i="53"/>
  <c r="B1075" i="53"/>
  <c r="A1075" i="53"/>
  <c r="AZ1074" i="53"/>
  <c r="BA1074" i="53"/>
  <c r="AX1074" i="53"/>
  <c r="AY1074" i="53"/>
  <c r="AV1074" i="53"/>
  <c r="AW1074" i="53"/>
  <c r="AU1074" i="53"/>
  <c r="AS1074" i="53"/>
  <c r="AQ1074" i="53"/>
  <c r="AO1074" i="53"/>
  <c r="AM1074" i="53"/>
  <c r="AK1074" i="53"/>
  <c r="AE1074" i="53"/>
  <c r="AF1074" i="53"/>
  <c r="Y1074" i="53"/>
  <c r="X1074" i="53"/>
  <c r="D1074" i="53"/>
  <c r="C1074" i="53"/>
  <c r="B1074" i="53"/>
  <c r="A1074" i="53"/>
  <c r="AZ1073" i="53"/>
  <c r="BA1073" i="53"/>
  <c r="AX1073" i="53"/>
  <c r="AY1073" i="53"/>
  <c r="AV1073" i="53"/>
  <c r="AW1073" i="53"/>
  <c r="AU1073" i="53"/>
  <c r="AS1073" i="53"/>
  <c r="AQ1073" i="53"/>
  <c r="AO1073" i="53"/>
  <c r="AM1073" i="53"/>
  <c r="AK1073" i="53"/>
  <c r="AE1073" i="53"/>
  <c r="AF1073" i="53"/>
  <c r="Y1073" i="53"/>
  <c r="X1073" i="53"/>
  <c r="D1073" i="53"/>
  <c r="C1073" i="53"/>
  <c r="B1073" i="53"/>
  <c r="A1073" i="53"/>
  <c r="AZ1072" i="53"/>
  <c r="BA1072" i="53"/>
  <c r="AX1072" i="53"/>
  <c r="AY1072" i="53"/>
  <c r="AV1072" i="53"/>
  <c r="AW1072" i="53"/>
  <c r="AU1072" i="53"/>
  <c r="AS1072" i="53"/>
  <c r="AQ1072" i="53"/>
  <c r="AO1072" i="53"/>
  <c r="AM1072" i="53"/>
  <c r="AK1072" i="53"/>
  <c r="AE1072" i="53"/>
  <c r="AF1072" i="53"/>
  <c r="Y1072" i="53"/>
  <c r="X1072" i="53"/>
  <c r="D1072" i="53"/>
  <c r="C1072" i="53"/>
  <c r="B1072" i="53"/>
  <c r="A1072" i="53"/>
  <c r="AZ1071" i="53"/>
  <c r="BA1071" i="53"/>
  <c r="AX1071" i="53"/>
  <c r="AY1071" i="53"/>
  <c r="AV1071" i="53"/>
  <c r="AW1071" i="53"/>
  <c r="AU1071" i="53"/>
  <c r="AS1071" i="53"/>
  <c r="AQ1071" i="53"/>
  <c r="AO1071" i="53"/>
  <c r="AM1071" i="53"/>
  <c r="AK1071" i="53"/>
  <c r="AE1071" i="53"/>
  <c r="AF1071" i="53"/>
  <c r="Y1071" i="53"/>
  <c r="X1071" i="53"/>
  <c r="D1071" i="53"/>
  <c r="C1071" i="53"/>
  <c r="B1071" i="53"/>
  <c r="A1071" i="53"/>
  <c r="AZ1070" i="53"/>
  <c r="AH1070" i="53"/>
  <c r="BA1070" i="53"/>
  <c r="AX1070" i="53"/>
  <c r="AY1070" i="53"/>
  <c r="AV1070" i="53"/>
  <c r="AW1070" i="53"/>
  <c r="AJ1070" i="53"/>
  <c r="AU1070" i="53"/>
  <c r="AE1070" i="53"/>
  <c r="AF1070" i="53"/>
  <c r="Y1070" i="53"/>
  <c r="X1070" i="53"/>
  <c r="D1070" i="53"/>
  <c r="C1070" i="53"/>
  <c r="B1070" i="53"/>
  <c r="A1070" i="53"/>
  <c r="AZ1069" i="53"/>
  <c r="AH1069" i="53"/>
  <c r="BA1069" i="53"/>
  <c r="AX1069" i="53"/>
  <c r="AY1069" i="53"/>
  <c r="AV1069" i="53"/>
  <c r="AW1069" i="53"/>
  <c r="AJ1069" i="53"/>
  <c r="AU1069" i="53"/>
  <c r="AE1069" i="53"/>
  <c r="AF1069" i="53"/>
  <c r="Y1069" i="53"/>
  <c r="X1069" i="53"/>
  <c r="D1069" i="53"/>
  <c r="C1069" i="53"/>
  <c r="B1069" i="53"/>
  <c r="A1069" i="53"/>
  <c r="AZ1068" i="53"/>
  <c r="AH1068" i="53"/>
  <c r="BA1068" i="53"/>
  <c r="AX1068" i="53"/>
  <c r="AY1068" i="53"/>
  <c r="AV1068" i="53"/>
  <c r="AW1068" i="53"/>
  <c r="AJ1068" i="53"/>
  <c r="AU1068" i="53"/>
  <c r="AE1068" i="53"/>
  <c r="AF1068" i="53"/>
  <c r="Y1068" i="53"/>
  <c r="X1068" i="53"/>
  <c r="D1068" i="53"/>
  <c r="C1068" i="53"/>
  <c r="B1068" i="53"/>
  <c r="A1068" i="53"/>
  <c r="AZ1067" i="53"/>
  <c r="BA1067" i="53"/>
  <c r="AX1067" i="53"/>
  <c r="AY1067" i="53"/>
  <c r="AV1067" i="53"/>
  <c r="AW1067" i="53"/>
  <c r="AU1067" i="53"/>
  <c r="AS1067" i="53"/>
  <c r="AQ1067" i="53"/>
  <c r="AO1067" i="53"/>
  <c r="AM1067" i="53"/>
  <c r="AK1067" i="53"/>
  <c r="AG1067" i="53"/>
  <c r="AJ1067" i="53"/>
  <c r="AD1067" i="53"/>
  <c r="AE1067" i="53"/>
  <c r="AF1067" i="53"/>
  <c r="Y1067" i="53"/>
  <c r="X1067" i="53"/>
  <c r="D1067" i="53"/>
  <c r="C1067" i="53"/>
  <c r="B1067" i="53"/>
  <c r="A1067" i="53"/>
  <c r="AZ1066" i="53"/>
  <c r="BA1066" i="53"/>
  <c r="AX1066" i="53"/>
  <c r="AY1066" i="53"/>
  <c r="AV1066" i="53"/>
  <c r="AW1066" i="53"/>
  <c r="AU1066" i="53"/>
  <c r="AS1066" i="53"/>
  <c r="AQ1066" i="53"/>
  <c r="AO1066" i="53"/>
  <c r="AM1066" i="53"/>
  <c r="AK1066" i="53"/>
  <c r="AG1066" i="53"/>
  <c r="AJ1066" i="53"/>
  <c r="AD1066" i="53"/>
  <c r="AE1066" i="53"/>
  <c r="AF1066" i="53"/>
  <c r="Y1066" i="53"/>
  <c r="X1066" i="53"/>
  <c r="D1066" i="53"/>
  <c r="C1066" i="53"/>
  <c r="B1066" i="53"/>
  <c r="A1066" i="53"/>
  <c r="AZ1065" i="53"/>
  <c r="BA1065" i="53"/>
  <c r="AX1065" i="53"/>
  <c r="AY1065" i="53"/>
  <c r="AV1065" i="53"/>
  <c r="AW1065" i="53"/>
  <c r="AU1065" i="53"/>
  <c r="AS1065" i="53"/>
  <c r="AQ1065" i="53"/>
  <c r="AO1065" i="53"/>
  <c r="AM1065" i="53"/>
  <c r="AK1065" i="53"/>
  <c r="AG1065" i="53"/>
  <c r="AJ1065" i="53"/>
  <c r="AD1065" i="53"/>
  <c r="AE1065" i="53"/>
  <c r="AF1065" i="53"/>
  <c r="Y1065" i="53"/>
  <c r="X1065" i="53"/>
  <c r="D1065" i="53"/>
  <c r="C1065" i="53"/>
  <c r="B1065" i="53"/>
  <c r="A1065" i="53"/>
  <c r="AZ1064" i="53"/>
  <c r="BA1064" i="53"/>
  <c r="AX1064" i="53"/>
  <c r="AY1064" i="53"/>
  <c r="AV1064" i="53"/>
  <c r="AW1064" i="53"/>
  <c r="AU1064" i="53"/>
  <c r="AS1064" i="53"/>
  <c r="AQ1064" i="53"/>
  <c r="AO1064" i="53"/>
  <c r="AM1064" i="53"/>
  <c r="AK1064" i="53"/>
  <c r="AG1064" i="53"/>
  <c r="AJ1064" i="53"/>
  <c r="AD1064" i="53"/>
  <c r="AE1064" i="53"/>
  <c r="AF1064" i="53"/>
  <c r="Y1064" i="53"/>
  <c r="X1064" i="53"/>
  <c r="D1064" i="53"/>
  <c r="C1064" i="53"/>
  <c r="B1064" i="53"/>
  <c r="A1064" i="53"/>
  <c r="AZ1063" i="53"/>
  <c r="BA1063" i="53"/>
  <c r="AX1063" i="53"/>
  <c r="AY1063" i="53"/>
  <c r="AV1063" i="53"/>
  <c r="AW1063" i="53"/>
  <c r="AU1063" i="53"/>
  <c r="AS1063" i="53"/>
  <c r="AQ1063" i="53"/>
  <c r="AO1063" i="53"/>
  <c r="AM1063" i="53"/>
  <c r="AK1063" i="53"/>
  <c r="AG1063" i="53"/>
  <c r="AJ1063" i="53"/>
  <c r="AE1063" i="53"/>
  <c r="AF1063" i="53"/>
  <c r="Y1063" i="53"/>
  <c r="X1063" i="53"/>
  <c r="D1063" i="53"/>
  <c r="C1063" i="53"/>
  <c r="B1063" i="53"/>
  <c r="A1063" i="53"/>
  <c r="AZ1062" i="53"/>
  <c r="AH1062" i="53"/>
  <c r="BA1062" i="53"/>
  <c r="AX1062" i="53"/>
  <c r="AY1062" i="53"/>
  <c r="AV1062" i="53"/>
  <c r="AW1062" i="53"/>
  <c r="AJ1062" i="53"/>
  <c r="AU1062" i="53"/>
  <c r="Y1062" i="53"/>
  <c r="X1062" i="53"/>
  <c r="D1062" i="53"/>
  <c r="C1062" i="53"/>
  <c r="B1062" i="53"/>
  <c r="A1062" i="53"/>
  <c r="AZ1061" i="53"/>
  <c r="AH1061" i="53"/>
  <c r="BA1061" i="53"/>
  <c r="AX1061" i="53"/>
  <c r="AY1061" i="53"/>
  <c r="AV1061" i="53"/>
  <c r="AW1061" i="53"/>
  <c r="AU1061" i="53"/>
  <c r="AQ1061" i="53"/>
  <c r="AM1061" i="53"/>
  <c r="AJ1061" i="53"/>
  <c r="AS1061" i="53"/>
  <c r="AD1061" i="53"/>
  <c r="AE1061" i="53"/>
  <c r="AF1061" i="53"/>
  <c r="Y1061" i="53"/>
  <c r="X1061" i="53"/>
  <c r="D1061" i="53"/>
  <c r="C1061" i="53"/>
  <c r="B1061" i="53"/>
  <c r="A1061" i="53"/>
  <c r="AZ1060" i="53"/>
  <c r="AH1060" i="53"/>
  <c r="BA1060" i="53"/>
  <c r="AX1060" i="53"/>
  <c r="AY1060" i="53"/>
  <c r="AV1060" i="53"/>
  <c r="AW1060" i="53"/>
  <c r="AJ1060" i="53"/>
  <c r="AU1060" i="53"/>
  <c r="Y1060" i="53"/>
  <c r="X1060" i="53"/>
  <c r="D1060" i="53"/>
  <c r="C1060" i="53"/>
  <c r="B1060" i="53"/>
  <c r="A1060" i="53"/>
  <c r="AW1059" i="53"/>
  <c r="AU1059" i="53"/>
  <c r="AS1059" i="53"/>
  <c r="AQ1059" i="53"/>
  <c r="AN1059" i="53"/>
  <c r="AO1059" i="53"/>
  <c r="AZ1059" i="53"/>
  <c r="AM1059" i="53"/>
  <c r="AD1059" i="53"/>
  <c r="AE1059" i="53"/>
  <c r="AF1059" i="53"/>
  <c r="Y1059" i="53"/>
  <c r="X1059" i="53"/>
  <c r="D1059" i="53"/>
  <c r="C1059" i="53"/>
  <c r="B1059" i="53"/>
  <c r="A1059" i="53"/>
  <c r="AZ1058" i="53"/>
  <c r="BA1058" i="53"/>
  <c r="AX1058" i="53"/>
  <c r="AY1058" i="53"/>
  <c r="AV1058" i="53"/>
  <c r="AW1058" i="53"/>
  <c r="AU1058" i="53"/>
  <c r="AS1058" i="53"/>
  <c r="AQ1058" i="53"/>
  <c r="AO1058" i="53"/>
  <c r="AM1058" i="53"/>
  <c r="AK1058" i="53"/>
  <c r="AE1058" i="53"/>
  <c r="AF1058" i="53"/>
  <c r="Y1058" i="53"/>
  <c r="X1058" i="53"/>
  <c r="D1058" i="53"/>
  <c r="C1058" i="53"/>
  <c r="B1058" i="53"/>
  <c r="A1058" i="53"/>
  <c r="AZ1057" i="53"/>
  <c r="AH1057" i="53"/>
  <c r="BA1057" i="53"/>
  <c r="AX1057" i="53"/>
  <c r="AY1057" i="53"/>
  <c r="AV1057" i="53"/>
  <c r="AW1057" i="53"/>
  <c r="AU1057" i="53"/>
  <c r="AQ1057" i="53"/>
  <c r="AM1057" i="53"/>
  <c r="AJ1057" i="53"/>
  <c r="AJ1056" i="53"/>
  <c r="AS1057" i="53"/>
  <c r="AD1057" i="53"/>
  <c r="AE1057" i="53"/>
  <c r="AF1057" i="53"/>
  <c r="Y1057" i="53"/>
  <c r="X1057" i="53"/>
  <c r="D1057" i="53"/>
  <c r="C1057" i="53"/>
  <c r="B1057" i="53"/>
  <c r="A1057" i="53"/>
  <c r="AH1056" i="53"/>
  <c r="AG1056" i="53"/>
  <c r="AC1056" i="53"/>
  <c r="AB1056" i="53"/>
  <c r="C1056" i="53"/>
  <c r="B1056" i="53"/>
  <c r="A1056" i="53"/>
  <c r="AZ1054" i="53"/>
  <c r="BA1054" i="53"/>
  <c r="AX1054" i="53"/>
  <c r="AY1054" i="53"/>
  <c r="AV1054" i="53"/>
  <c r="AW1054" i="53"/>
  <c r="AU1054" i="53"/>
  <c r="AS1054" i="53"/>
  <c r="AQ1054" i="53"/>
  <c r="AO1054" i="53"/>
  <c r="AM1054" i="53"/>
  <c r="AK1054" i="53"/>
  <c r="AE1054" i="53"/>
  <c r="AF1054" i="53"/>
  <c r="Y1054" i="53"/>
  <c r="X1054" i="53"/>
  <c r="D1054" i="53"/>
  <c r="C1054" i="53"/>
  <c r="B1054" i="53"/>
  <c r="A1054" i="53"/>
  <c r="AZ1053" i="53"/>
  <c r="BA1053" i="53"/>
  <c r="AX1053" i="53"/>
  <c r="AY1053" i="53"/>
  <c r="AV1053" i="53"/>
  <c r="AW1053" i="53"/>
  <c r="AU1053" i="53"/>
  <c r="AS1053" i="53"/>
  <c r="AQ1053" i="53"/>
  <c r="AO1053" i="53"/>
  <c r="AM1053" i="53"/>
  <c r="AK1053" i="53"/>
  <c r="AE1053" i="53"/>
  <c r="AF1053" i="53"/>
  <c r="Y1053" i="53"/>
  <c r="X1053" i="53"/>
  <c r="D1053" i="53"/>
  <c r="C1053" i="53"/>
  <c r="B1053" i="53"/>
  <c r="A1053" i="53"/>
  <c r="AZ1052" i="53"/>
  <c r="BA1052" i="53"/>
  <c r="AX1052" i="53"/>
  <c r="AY1052" i="53"/>
  <c r="AV1052" i="53"/>
  <c r="AW1052" i="53"/>
  <c r="AU1052" i="53"/>
  <c r="AS1052" i="53"/>
  <c r="AQ1052" i="53"/>
  <c r="AO1052" i="53"/>
  <c r="AM1052" i="53"/>
  <c r="AK1052" i="53"/>
  <c r="AE1052" i="53"/>
  <c r="AF1052" i="53"/>
  <c r="Y1052" i="53"/>
  <c r="X1052" i="53"/>
  <c r="D1052" i="53"/>
  <c r="C1052" i="53"/>
  <c r="B1052" i="53"/>
  <c r="A1052" i="53"/>
  <c r="AZ1051" i="53"/>
  <c r="BA1051" i="53"/>
  <c r="AX1051" i="53"/>
  <c r="AY1051" i="53"/>
  <c r="AV1051" i="53"/>
  <c r="AW1051" i="53"/>
  <c r="AU1051" i="53"/>
  <c r="AS1051" i="53"/>
  <c r="AQ1051" i="53"/>
  <c r="AO1051" i="53"/>
  <c r="AM1051" i="53"/>
  <c r="AK1051" i="53"/>
  <c r="AE1051" i="53"/>
  <c r="AF1051" i="53"/>
  <c r="Y1051" i="53"/>
  <c r="X1051" i="53"/>
  <c r="D1051" i="53"/>
  <c r="C1051" i="53"/>
  <c r="B1051" i="53"/>
  <c r="A1051" i="53"/>
  <c r="AZ1050" i="53"/>
  <c r="BA1050" i="53"/>
  <c r="AX1050" i="53"/>
  <c r="AY1050" i="53"/>
  <c r="AV1050" i="53"/>
  <c r="AW1050" i="53"/>
  <c r="AU1050" i="53"/>
  <c r="AS1050" i="53"/>
  <c r="AQ1050" i="53"/>
  <c r="AO1050" i="53"/>
  <c r="AM1050" i="53"/>
  <c r="AK1050" i="53"/>
  <c r="AE1050" i="53"/>
  <c r="AF1050" i="53"/>
  <c r="Y1050" i="53"/>
  <c r="X1050" i="53"/>
  <c r="D1050" i="53"/>
  <c r="C1050" i="53"/>
  <c r="B1050" i="53"/>
  <c r="A1050" i="53"/>
  <c r="AZ1049" i="53"/>
  <c r="BA1049" i="53"/>
  <c r="AX1049" i="53"/>
  <c r="AY1049" i="53"/>
  <c r="AV1049" i="53"/>
  <c r="AW1049" i="53"/>
  <c r="AU1049" i="53"/>
  <c r="AS1049" i="53"/>
  <c r="AQ1049" i="53"/>
  <c r="AO1049" i="53"/>
  <c r="AM1049" i="53"/>
  <c r="AK1049" i="53"/>
  <c r="AE1049" i="53"/>
  <c r="AF1049" i="53"/>
  <c r="Y1049" i="53"/>
  <c r="X1049" i="53"/>
  <c r="D1049" i="53"/>
  <c r="C1049" i="53"/>
  <c r="B1049" i="53"/>
  <c r="A1049" i="53"/>
  <c r="AZ1048" i="53"/>
  <c r="AH1048" i="53"/>
  <c r="BA1048" i="53"/>
  <c r="AX1048" i="53"/>
  <c r="AY1048" i="53"/>
  <c r="AV1048" i="53"/>
  <c r="AW1048" i="53"/>
  <c r="AU1048" i="53"/>
  <c r="AQ1048" i="53"/>
  <c r="AM1048" i="53"/>
  <c r="AJ1048" i="53"/>
  <c r="AS1048" i="53"/>
  <c r="AE1048" i="53"/>
  <c r="AF1048" i="53"/>
  <c r="Y1048" i="53"/>
  <c r="X1048" i="53"/>
  <c r="D1048" i="53"/>
  <c r="C1048" i="53"/>
  <c r="B1048" i="53"/>
  <c r="A1048" i="53"/>
  <c r="AZ1047" i="53"/>
  <c r="AH1047" i="53"/>
  <c r="BA1047" i="53"/>
  <c r="AX1047" i="53"/>
  <c r="AY1047" i="53"/>
  <c r="AV1047" i="53"/>
  <c r="AW1047" i="53"/>
  <c r="AU1047" i="53"/>
  <c r="AQ1047" i="53"/>
  <c r="AM1047" i="53"/>
  <c r="AJ1047" i="53"/>
  <c r="AS1047" i="53"/>
  <c r="AE1047" i="53"/>
  <c r="AF1047" i="53"/>
  <c r="Y1047" i="53"/>
  <c r="X1047" i="53"/>
  <c r="D1047" i="53"/>
  <c r="C1047" i="53"/>
  <c r="B1047" i="53"/>
  <c r="A1047" i="53"/>
  <c r="AZ1046" i="53"/>
  <c r="AH1046" i="53"/>
  <c r="BA1046" i="53"/>
  <c r="AX1046" i="53"/>
  <c r="AY1046" i="53"/>
  <c r="AV1046" i="53"/>
  <c r="AW1046" i="53"/>
  <c r="AU1046" i="53"/>
  <c r="AQ1046" i="53"/>
  <c r="AM1046" i="53"/>
  <c r="AJ1046" i="53"/>
  <c r="AS1046" i="53"/>
  <c r="AE1046" i="53"/>
  <c r="AF1046" i="53"/>
  <c r="Y1046" i="53"/>
  <c r="X1046" i="53"/>
  <c r="D1046" i="53"/>
  <c r="C1046" i="53"/>
  <c r="B1046" i="53"/>
  <c r="A1046" i="53"/>
  <c r="AZ1045" i="53"/>
  <c r="BA1045" i="53"/>
  <c r="AX1045" i="53"/>
  <c r="AY1045" i="53"/>
  <c r="AV1045" i="53"/>
  <c r="AW1045" i="53"/>
  <c r="AU1045" i="53"/>
  <c r="AS1045" i="53"/>
  <c r="AQ1045" i="53"/>
  <c r="AO1045" i="53"/>
  <c r="AM1045" i="53"/>
  <c r="AK1045" i="53"/>
  <c r="AG1045" i="53"/>
  <c r="AJ1045" i="53"/>
  <c r="AD1045" i="53"/>
  <c r="AE1045" i="53"/>
  <c r="AF1045" i="53"/>
  <c r="Y1045" i="53"/>
  <c r="X1045" i="53"/>
  <c r="D1045" i="53"/>
  <c r="C1045" i="53"/>
  <c r="B1045" i="53"/>
  <c r="A1045" i="53"/>
  <c r="AZ1044" i="53"/>
  <c r="BA1044" i="53"/>
  <c r="AX1044" i="53"/>
  <c r="AY1044" i="53"/>
  <c r="AV1044" i="53"/>
  <c r="AW1044" i="53"/>
  <c r="AU1044" i="53"/>
  <c r="AS1044" i="53"/>
  <c r="AQ1044" i="53"/>
  <c r="AO1044" i="53"/>
  <c r="AM1044" i="53"/>
  <c r="AK1044" i="53"/>
  <c r="AG1044" i="53"/>
  <c r="AJ1044" i="53"/>
  <c r="AD1044" i="53"/>
  <c r="AE1044" i="53"/>
  <c r="AF1044" i="53"/>
  <c r="Y1044" i="53"/>
  <c r="X1044" i="53"/>
  <c r="D1044" i="53"/>
  <c r="C1044" i="53"/>
  <c r="B1044" i="53"/>
  <c r="A1044" i="53"/>
  <c r="AZ1043" i="53"/>
  <c r="BA1043" i="53"/>
  <c r="AX1043" i="53"/>
  <c r="AY1043" i="53"/>
  <c r="AV1043" i="53"/>
  <c r="AW1043" i="53"/>
  <c r="AU1043" i="53"/>
  <c r="AS1043" i="53"/>
  <c r="AQ1043" i="53"/>
  <c r="AO1043" i="53"/>
  <c r="AM1043" i="53"/>
  <c r="AK1043" i="53"/>
  <c r="AG1043" i="53"/>
  <c r="AJ1043" i="53"/>
  <c r="AD1043" i="53"/>
  <c r="AE1043" i="53"/>
  <c r="AF1043" i="53"/>
  <c r="Y1043" i="53"/>
  <c r="X1043" i="53"/>
  <c r="D1043" i="53"/>
  <c r="C1043" i="53"/>
  <c r="B1043" i="53"/>
  <c r="A1043" i="53"/>
  <c r="AZ1042" i="53"/>
  <c r="BA1042" i="53"/>
  <c r="AV1042" i="53"/>
  <c r="AW1042" i="53"/>
  <c r="AU1042" i="53"/>
  <c r="AS1042" i="53"/>
  <c r="AQ1042" i="53"/>
  <c r="AO1042" i="53"/>
  <c r="AM1042" i="53"/>
  <c r="AK1042" i="53"/>
  <c r="AG1042" i="53"/>
  <c r="AJ1042" i="53"/>
  <c r="AD1042" i="53"/>
  <c r="AE1042" i="53"/>
  <c r="AF1042" i="53"/>
  <c r="Y1042" i="53"/>
  <c r="X1042" i="53"/>
  <c r="D1042" i="53"/>
  <c r="C1042" i="53"/>
  <c r="B1042" i="53"/>
  <c r="A1042" i="53"/>
  <c r="AZ1041" i="53"/>
  <c r="BA1041" i="53"/>
  <c r="AX1041" i="53"/>
  <c r="AY1041" i="53"/>
  <c r="AV1041" i="53"/>
  <c r="AW1041" i="53"/>
  <c r="AU1041" i="53"/>
  <c r="AS1041" i="53"/>
  <c r="AQ1041" i="53"/>
  <c r="AO1041" i="53"/>
  <c r="AM1041" i="53"/>
  <c r="AK1041" i="53"/>
  <c r="AG1041" i="53"/>
  <c r="AJ1041" i="53"/>
  <c r="AE1041" i="53"/>
  <c r="AF1041" i="53"/>
  <c r="Y1041" i="53"/>
  <c r="X1041" i="53"/>
  <c r="D1041" i="53"/>
  <c r="C1041" i="53"/>
  <c r="B1041" i="53"/>
  <c r="A1041" i="53"/>
  <c r="AZ1040" i="53"/>
  <c r="AH1040" i="53"/>
  <c r="BA1040" i="53"/>
  <c r="AX1040" i="53"/>
  <c r="AY1040" i="53"/>
  <c r="AV1040" i="53"/>
  <c r="AW1040" i="53"/>
  <c r="AU1040" i="53"/>
  <c r="AQ1040" i="53"/>
  <c r="AM1040" i="53"/>
  <c r="AJ1040" i="53"/>
  <c r="AS1040" i="53"/>
  <c r="AD1040" i="53"/>
  <c r="AE1040" i="53"/>
  <c r="AF1040" i="53"/>
  <c r="Y1040" i="53"/>
  <c r="X1040" i="53"/>
  <c r="D1040" i="53"/>
  <c r="C1040" i="53"/>
  <c r="B1040" i="53"/>
  <c r="A1040" i="53"/>
  <c r="AZ1039" i="53"/>
  <c r="AX1039" i="53"/>
  <c r="AV1039" i="53"/>
  <c r="AJ1039" i="53"/>
  <c r="AH1039" i="53"/>
  <c r="AO1039" i="53"/>
  <c r="Y1039" i="53"/>
  <c r="X1039" i="53"/>
  <c r="D1039" i="53"/>
  <c r="C1039" i="53"/>
  <c r="B1039" i="53"/>
  <c r="A1039" i="53"/>
  <c r="AZ1038" i="53"/>
  <c r="AH1038" i="53"/>
  <c r="BA1038" i="53"/>
  <c r="AX1038" i="53"/>
  <c r="AY1038" i="53"/>
  <c r="AV1038" i="53"/>
  <c r="AW1038" i="53"/>
  <c r="AU1038" i="53"/>
  <c r="AQ1038" i="53"/>
  <c r="AM1038" i="53"/>
  <c r="AJ1038" i="53"/>
  <c r="AS1038" i="53"/>
  <c r="AD1038" i="53"/>
  <c r="AE1038" i="53"/>
  <c r="AF1038" i="53"/>
  <c r="Y1038" i="53"/>
  <c r="X1038" i="53"/>
  <c r="D1038" i="53"/>
  <c r="C1038" i="53"/>
  <c r="B1038" i="53"/>
  <c r="A1038" i="53"/>
  <c r="AZ1037" i="53"/>
  <c r="BA1037" i="53"/>
  <c r="AX1037" i="53"/>
  <c r="AY1037" i="53"/>
  <c r="AV1037" i="53"/>
  <c r="AW1037" i="53"/>
  <c r="AU1037" i="53"/>
  <c r="AS1037" i="53"/>
  <c r="AQ1037" i="53"/>
  <c r="AO1037" i="53"/>
  <c r="AM1037" i="53"/>
  <c r="AD1037" i="53"/>
  <c r="AE1037" i="53"/>
  <c r="AF1037" i="53"/>
  <c r="Y1037" i="53"/>
  <c r="X1037" i="53"/>
  <c r="D1037" i="53"/>
  <c r="C1037" i="53"/>
  <c r="B1037" i="53"/>
  <c r="A1037" i="53"/>
  <c r="AZ1036" i="53"/>
  <c r="BA1036" i="53"/>
  <c r="AX1036" i="53"/>
  <c r="AY1036" i="53"/>
  <c r="AV1036" i="53"/>
  <c r="AW1036" i="53"/>
  <c r="AU1036" i="53"/>
  <c r="AS1036" i="53"/>
  <c r="AQ1036" i="53"/>
  <c r="AO1036" i="53"/>
  <c r="AM1036" i="53"/>
  <c r="AK1036" i="53"/>
  <c r="AE1036" i="53"/>
  <c r="AF1036" i="53"/>
  <c r="Y1036" i="53"/>
  <c r="X1036" i="53"/>
  <c r="D1036" i="53"/>
  <c r="C1036" i="53"/>
  <c r="B1036" i="53"/>
  <c r="A1036" i="53"/>
  <c r="AZ1035" i="53"/>
  <c r="AH1035" i="53"/>
  <c r="BA1035" i="53"/>
  <c r="AX1035" i="53"/>
  <c r="AY1035" i="53"/>
  <c r="AV1035" i="53"/>
  <c r="AW1035" i="53"/>
  <c r="AJ1035" i="53"/>
  <c r="AS1035" i="53"/>
  <c r="Y1035" i="53"/>
  <c r="X1035" i="53"/>
  <c r="D1035" i="53"/>
  <c r="C1035" i="53"/>
  <c r="B1035" i="53"/>
  <c r="A1035" i="53"/>
  <c r="AJ1034" i="53"/>
  <c r="AG1034" i="53"/>
  <c r="AC1034" i="53"/>
  <c r="AB1034" i="53"/>
  <c r="C1034" i="53"/>
  <c r="B1034" i="53"/>
  <c r="A1034" i="53"/>
  <c r="AZ1032" i="53"/>
  <c r="BA1032" i="53"/>
  <c r="AX1032" i="53"/>
  <c r="AY1032" i="53"/>
  <c r="AV1032" i="53"/>
  <c r="AW1032" i="53"/>
  <c r="AU1032" i="53"/>
  <c r="AS1032" i="53"/>
  <c r="AQ1032" i="53"/>
  <c r="AO1032" i="53"/>
  <c r="AM1032" i="53"/>
  <c r="AK1032" i="53"/>
  <c r="AE1032" i="53"/>
  <c r="AF1032" i="53"/>
  <c r="Y1032" i="53"/>
  <c r="X1032" i="53"/>
  <c r="D1032" i="53"/>
  <c r="C1032" i="53"/>
  <c r="B1032" i="53"/>
  <c r="A1032" i="53"/>
  <c r="AZ1031" i="53"/>
  <c r="BA1031" i="53"/>
  <c r="AX1031" i="53"/>
  <c r="AY1031" i="53"/>
  <c r="AV1031" i="53"/>
  <c r="AW1031" i="53"/>
  <c r="AU1031" i="53"/>
  <c r="AS1031" i="53"/>
  <c r="AQ1031" i="53"/>
  <c r="AO1031" i="53"/>
  <c r="AM1031" i="53"/>
  <c r="AK1031" i="53"/>
  <c r="AE1031" i="53"/>
  <c r="AF1031" i="53"/>
  <c r="Y1031" i="53"/>
  <c r="X1031" i="53"/>
  <c r="D1031" i="53"/>
  <c r="C1031" i="53"/>
  <c r="B1031" i="53"/>
  <c r="A1031" i="53"/>
  <c r="AZ1030" i="53"/>
  <c r="BA1030" i="53"/>
  <c r="AX1030" i="53"/>
  <c r="AY1030" i="53"/>
  <c r="AV1030" i="53"/>
  <c r="AW1030" i="53"/>
  <c r="AU1030" i="53"/>
  <c r="AS1030" i="53"/>
  <c r="AQ1030" i="53"/>
  <c r="AO1030" i="53"/>
  <c r="AM1030" i="53"/>
  <c r="AK1030" i="53"/>
  <c r="AE1030" i="53"/>
  <c r="AF1030" i="53"/>
  <c r="Y1030" i="53"/>
  <c r="X1030" i="53"/>
  <c r="D1030" i="53"/>
  <c r="C1030" i="53"/>
  <c r="B1030" i="53"/>
  <c r="A1030" i="53"/>
  <c r="AZ1029" i="53"/>
  <c r="BA1029" i="53"/>
  <c r="AX1029" i="53"/>
  <c r="AY1029" i="53"/>
  <c r="AV1029" i="53"/>
  <c r="AW1029" i="53"/>
  <c r="AU1029" i="53"/>
  <c r="AS1029" i="53"/>
  <c r="AQ1029" i="53"/>
  <c r="AO1029" i="53"/>
  <c r="AM1029" i="53"/>
  <c r="AK1029" i="53"/>
  <c r="AE1029" i="53"/>
  <c r="AF1029" i="53"/>
  <c r="Y1029" i="53"/>
  <c r="X1029" i="53"/>
  <c r="D1029" i="53"/>
  <c r="C1029" i="53"/>
  <c r="B1029" i="53"/>
  <c r="A1029" i="53"/>
  <c r="AZ1028" i="53"/>
  <c r="BA1028" i="53"/>
  <c r="AX1028" i="53"/>
  <c r="AY1028" i="53"/>
  <c r="AV1028" i="53"/>
  <c r="AW1028" i="53"/>
  <c r="AU1028" i="53"/>
  <c r="AS1028" i="53"/>
  <c r="AQ1028" i="53"/>
  <c r="AO1028" i="53"/>
  <c r="AM1028" i="53"/>
  <c r="AK1028" i="53"/>
  <c r="AE1028" i="53"/>
  <c r="AF1028" i="53"/>
  <c r="Y1028" i="53"/>
  <c r="X1028" i="53"/>
  <c r="D1028" i="53"/>
  <c r="C1028" i="53"/>
  <c r="B1028" i="53"/>
  <c r="A1028" i="53"/>
  <c r="AZ1027" i="53"/>
  <c r="BA1027" i="53"/>
  <c r="AX1027" i="53"/>
  <c r="AY1027" i="53"/>
  <c r="AV1027" i="53"/>
  <c r="AW1027" i="53"/>
  <c r="AU1027" i="53"/>
  <c r="AS1027" i="53"/>
  <c r="AQ1027" i="53"/>
  <c r="AO1027" i="53"/>
  <c r="AM1027" i="53"/>
  <c r="AK1027" i="53"/>
  <c r="AE1027" i="53"/>
  <c r="AF1027" i="53"/>
  <c r="Y1027" i="53"/>
  <c r="X1027" i="53"/>
  <c r="D1027" i="53"/>
  <c r="C1027" i="53"/>
  <c r="B1027" i="53"/>
  <c r="A1027" i="53"/>
  <c r="AZ1026" i="53"/>
  <c r="AH1026" i="53"/>
  <c r="BA1026" i="53"/>
  <c r="AX1026" i="53"/>
  <c r="AY1026" i="53"/>
  <c r="AV1026" i="53"/>
  <c r="AW1026" i="53"/>
  <c r="AJ1026" i="53"/>
  <c r="AS1026" i="53"/>
  <c r="AE1026" i="53"/>
  <c r="AF1026" i="53"/>
  <c r="Y1026" i="53"/>
  <c r="X1026" i="53"/>
  <c r="D1026" i="53"/>
  <c r="C1026" i="53"/>
  <c r="B1026" i="53"/>
  <c r="A1026" i="53"/>
  <c r="AZ1025" i="53"/>
  <c r="AH1025" i="53"/>
  <c r="BA1025" i="53"/>
  <c r="AX1025" i="53"/>
  <c r="AY1025" i="53"/>
  <c r="AV1025" i="53"/>
  <c r="AW1025" i="53"/>
  <c r="AJ1025" i="53"/>
  <c r="AS1025" i="53"/>
  <c r="AE1025" i="53"/>
  <c r="AF1025" i="53"/>
  <c r="Y1025" i="53"/>
  <c r="X1025" i="53"/>
  <c r="D1025" i="53"/>
  <c r="C1025" i="53"/>
  <c r="B1025" i="53"/>
  <c r="A1025" i="53"/>
  <c r="AZ1024" i="53"/>
  <c r="AH1024" i="53"/>
  <c r="BA1024" i="53"/>
  <c r="AX1024" i="53"/>
  <c r="AY1024" i="53"/>
  <c r="AV1024" i="53"/>
  <c r="AW1024" i="53"/>
  <c r="AJ1024" i="53"/>
  <c r="AS1024" i="53"/>
  <c r="AE1024" i="53"/>
  <c r="AF1024" i="53"/>
  <c r="Y1024" i="53"/>
  <c r="X1024" i="53"/>
  <c r="D1024" i="53"/>
  <c r="C1024" i="53"/>
  <c r="B1024" i="53"/>
  <c r="A1024" i="53"/>
  <c r="AZ1023" i="53"/>
  <c r="BA1023" i="53"/>
  <c r="AX1023" i="53"/>
  <c r="AY1023" i="53"/>
  <c r="AV1023" i="53"/>
  <c r="AW1023" i="53"/>
  <c r="AU1023" i="53"/>
  <c r="AS1023" i="53"/>
  <c r="AQ1023" i="53"/>
  <c r="AO1023" i="53"/>
  <c r="AM1023" i="53"/>
  <c r="AK1023" i="53"/>
  <c r="AG1023" i="53"/>
  <c r="AJ1023" i="53"/>
  <c r="AD1023" i="53"/>
  <c r="AE1023" i="53"/>
  <c r="AF1023" i="53"/>
  <c r="Y1023" i="53"/>
  <c r="X1023" i="53"/>
  <c r="D1023" i="53"/>
  <c r="C1023" i="53"/>
  <c r="B1023" i="53"/>
  <c r="A1023" i="53"/>
  <c r="AZ1022" i="53"/>
  <c r="BA1022" i="53"/>
  <c r="AX1022" i="53"/>
  <c r="AY1022" i="53"/>
  <c r="AV1022" i="53"/>
  <c r="AW1022" i="53"/>
  <c r="AU1022" i="53"/>
  <c r="AS1022" i="53"/>
  <c r="AQ1022" i="53"/>
  <c r="AO1022" i="53"/>
  <c r="AM1022" i="53"/>
  <c r="AK1022" i="53"/>
  <c r="AG1022" i="53"/>
  <c r="AJ1022" i="53"/>
  <c r="AD1022" i="53"/>
  <c r="AE1022" i="53"/>
  <c r="AF1022" i="53"/>
  <c r="Y1022" i="53"/>
  <c r="X1022" i="53"/>
  <c r="D1022" i="53"/>
  <c r="C1022" i="53"/>
  <c r="B1022" i="53"/>
  <c r="A1022" i="53"/>
  <c r="AZ1021" i="53"/>
  <c r="BA1021" i="53"/>
  <c r="AX1021" i="53"/>
  <c r="AY1021" i="53"/>
  <c r="AV1021" i="53"/>
  <c r="AW1021" i="53"/>
  <c r="AU1021" i="53"/>
  <c r="AS1021" i="53"/>
  <c r="AQ1021" i="53"/>
  <c r="AO1021" i="53"/>
  <c r="AM1021" i="53"/>
  <c r="AK1021" i="53"/>
  <c r="AG1021" i="53"/>
  <c r="AJ1021" i="53"/>
  <c r="AD1021" i="53"/>
  <c r="AE1021" i="53"/>
  <c r="AF1021" i="53"/>
  <c r="Y1021" i="53"/>
  <c r="X1021" i="53"/>
  <c r="D1021" i="53"/>
  <c r="C1021" i="53"/>
  <c r="B1021" i="53"/>
  <c r="A1021" i="53"/>
  <c r="AZ1020" i="53"/>
  <c r="BA1020" i="53"/>
  <c r="AX1020" i="53"/>
  <c r="AY1020" i="53"/>
  <c r="AV1020" i="53"/>
  <c r="AW1020" i="53"/>
  <c r="AU1020" i="53"/>
  <c r="AS1020" i="53"/>
  <c r="AQ1020" i="53"/>
  <c r="AO1020" i="53"/>
  <c r="AM1020" i="53"/>
  <c r="AK1020" i="53"/>
  <c r="AG1020" i="53"/>
  <c r="AJ1020" i="53"/>
  <c r="AD1020" i="53"/>
  <c r="AE1020" i="53"/>
  <c r="AF1020" i="53"/>
  <c r="Y1020" i="53"/>
  <c r="X1020" i="53"/>
  <c r="D1020" i="53"/>
  <c r="C1020" i="53"/>
  <c r="B1020" i="53"/>
  <c r="A1020" i="53"/>
  <c r="AZ1019" i="53"/>
  <c r="BA1019" i="53"/>
  <c r="AX1019" i="53"/>
  <c r="AY1019" i="53"/>
  <c r="AV1019" i="53"/>
  <c r="AW1019" i="53"/>
  <c r="AU1019" i="53"/>
  <c r="AS1019" i="53"/>
  <c r="AQ1019" i="53"/>
  <c r="AO1019" i="53"/>
  <c r="AM1019" i="53"/>
  <c r="AK1019" i="53"/>
  <c r="AG1019" i="53"/>
  <c r="AJ1019" i="53"/>
  <c r="AE1019" i="53"/>
  <c r="AF1019" i="53"/>
  <c r="Y1019" i="53"/>
  <c r="X1019" i="53"/>
  <c r="D1019" i="53"/>
  <c r="C1019" i="53"/>
  <c r="B1019" i="53"/>
  <c r="A1019" i="53"/>
  <c r="AZ1018" i="53"/>
  <c r="AH1018" i="53"/>
  <c r="BA1018" i="53"/>
  <c r="AX1018" i="53"/>
  <c r="AY1018" i="53"/>
  <c r="AV1018" i="53"/>
  <c r="AW1018" i="53"/>
  <c r="AJ1018" i="53"/>
  <c r="AS1018" i="53"/>
  <c r="Y1018" i="53"/>
  <c r="X1018" i="53"/>
  <c r="D1018" i="53"/>
  <c r="C1018" i="53"/>
  <c r="B1018" i="53"/>
  <c r="A1018" i="53"/>
  <c r="AZ1017" i="53"/>
  <c r="AH1017" i="53"/>
  <c r="BA1017" i="53"/>
  <c r="AX1017" i="53"/>
  <c r="AY1017" i="53"/>
  <c r="AV1017" i="53"/>
  <c r="AW1017" i="53"/>
  <c r="AU1017" i="53"/>
  <c r="AQ1017" i="53"/>
  <c r="AM1017" i="53"/>
  <c r="AJ1017" i="53"/>
  <c r="AS1017" i="53"/>
  <c r="AD1017" i="53"/>
  <c r="AE1017" i="53"/>
  <c r="AF1017" i="53"/>
  <c r="Y1017" i="53"/>
  <c r="X1017" i="53"/>
  <c r="D1017" i="53"/>
  <c r="C1017" i="53"/>
  <c r="B1017" i="53"/>
  <c r="A1017" i="53"/>
  <c r="AZ1016" i="53"/>
  <c r="AH1016" i="53"/>
  <c r="BA1016" i="53"/>
  <c r="AX1016" i="53"/>
  <c r="AY1016" i="53"/>
  <c r="AV1016" i="53"/>
  <c r="AW1016" i="53"/>
  <c r="AJ1016" i="53"/>
  <c r="AS1016" i="53"/>
  <c r="Y1016" i="53"/>
  <c r="X1016" i="53"/>
  <c r="D1016" i="53"/>
  <c r="C1016" i="53"/>
  <c r="B1016" i="53"/>
  <c r="A1016" i="53"/>
  <c r="AZ1015" i="53"/>
  <c r="BA1015" i="53"/>
  <c r="AX1015" i="53"/>
  <c r="AY1015" i="53"/>
  <c r="AV1015" i="53"/>
  <c r="AW1015" i="53"/>
  <c r="AU1015" i="53"/>
  <c r="AS1015" i="53"/>
  <c r="AQ1015" i="53"/>
  <c r="AO1015" i="53"/>
  <c r="AM1015" i="53"/>
  <c r="AD1015" i="53"/>
  <c r="AE1015" i="53"/>
  <c r="AF1015" i="53"/>
  <c r="Y1015" i="53"/>
  <c r="X1015" i="53"/>
  <c r="D1015" i="53"/>
  <c r="C1015" i="53"/>
  <c r="B1015" i="53"/>
  <c r="A1015" i="53"/>
  <c r="AZ1014" i="53"/>
  <c r="BA1014" i="53"/>
  <c r="AX1014" i="53"/>
  <c r="AY1014" i="53"/>
  <c r="AV1014" i="53"/>
  <c r="AW1014" i="53"/>
  <c r="AU1014" i="53"/>
  <c r="AS1014" i="53"/>
  <c r="AQ1014" i="53"/>
  <c r="AO1014" i="53"/>
  <c r="AM1014" i="53"/>
  <c r="AK1014" i="53"/>
  <c r="AE1014" i="53"/>
  <c r="AF1014" i="53"/>
  <c r="Y1014" i="53"/>
  <c r="X1014" i="53"/>
  <c r="D1014" i="53"/>
  <c r="C1014" i="53"/>
  <c r="B1014" i="53"/>
  <c r="A1014" i="53"/>
  <c r="AZ1013" i="53"/>
  <c r="AH1013" i="53"/>
  <c r="BA1013" i="53"/>
  <c r="AX1013" i="53"/>
  <c r="AY1013" i="53"/>
  <c r="AV1013" i="53"/>
  <c r="AW1013" i="53"/>
  <c r="AU1013" i="53"/>
  <c r="AQ1013" i="53"/>
  <c r="AM1013" i="53"/>
  <c r="AJ1013" i="53"/>
  <c r="AJ1012" i="53"/>
  <c r="AS1013" i="53"/>
  <c r="AD1013" i="53"/>
  <c r="AE1013" i="53"/>
  <c r="AF1013" i="53"/>
  <c r="Y1013" i="53"/>
  <c r="X1013" i="53"/>
  <c r="D1013" i="53"/>
  <c r="C1013" i="53"/>
  <c r="B1013" i="53"/>
  <c r="A1013" i="53"/>
  <c r="AH1012" i="53"/>
  <c r="AC1012" i="53"/>
  <c r="AB1012" i="53"/>
  <c r="C1012" i="53"/>
  <c r="B1012" i="53"/>
  <c r="A1012" i="53"/>
  <c r="AZ1010" i="53"/>
  <c r="BA1010" i="53"/>
  <c r="AX1010" i="53"/>
  <c r="AY1010" i="53"/>
  <c r="AV1010" i="53"/>
  <c r="AW1010" i="53"/>
  <c r="AU1010" i="53"/>
  <c r="AS1010" i="53"/>
  <c r="AQ1010" i="53"/>
  <c r="AO1010" i="53"/>
  <c r="AM1010" i="53"/>
  <c r="AK1010" i="53"/>
  <c r="AE1010" i="53"/>
  <c r="AF1010" i="53"/>
  <c r="Y1010" i="53"/>
  <c r="X1010" i="53"/>
  <c r="D1010" i="53"/>
  <c r="C1010" i="53"/>
  <c r="B1010" i="53"/>
  <c r="A1010" i="53"/>
  <c r="AZ1009" i="53"/>
  <c r="BA1009" i="53"/>
  <c r="AX1009" i="53"/>
  <c r="AY1009" i="53"/>
  <c r="AV1009" i="53"/>
  <c r="AW1009" i="53"/>
  <c r="AU1009" i="53"/>
  <c r="AS1009" i="53"/>
  <c r="AQ1009" i="53"/>
  <c r="AO1009" i="53"/>
  <c r="AM1009" i="53"/>
  <c r="AK1009" i="53"/>
  <c r="AE1009" i="53"/>
  <c r="AF1009" i="53"/>
  <c r="Y1009" i="53"/>
  <c r="X1009" i="53"/>
  <c r="D1009" i="53"/>
  <c r="C1009" i="53"/>
  <c r="B1009" i="53"/>
  <c r="A1009" i="53"/>
  <c r="AZ1008" i="53"/>
  <c r="BA1008" i="53"/>
  <c r="AX1008" i="53"/>
  <c r="AY1008" i="53"/>
  <c r="AV1008" i="53"/>
  <c r="AW1008" i="53"/>
  <c r="AU1008" i="53"/>
  <c r="AS1008" i="53"/>
  <c r="AQ1008" i="53"/>
  <c r="AO1008" i="53"/>
  <c r="AM1008" i="53"/>
  <c r="AK1008" i="53"/>
  <c r="AE1008" i="53"/>
  <c r="AF1008" i="53"/>
  <c r="Y1008" i="53"/>
  <c r="X1008" i="53"/>
  <c r="D1008" i="53"/>
  <c r="C1008" i="53"/>
  <c r="B1008" i="53"/>
  <c r="A1008" i="53"/>
  <c r="AZ1007" i="53"/>
  <c r="BA1007" i="53"/>
  <c r="AX1007" i="53"/>
  <c r="AY1007" i="53"/>
  <c r="AV1007" i="53"/>
  <c r="AW1007" i="53"/>
  <c r="AU1007" i="53"/>
  <c r="AS1007" i="53"/>
  <c r="AQ1007" i="53"/>
  <c r="AO1007" i="53"/>
  <c r="AM1007" i="53"/>
  <c r="AK1007" i="53"/>
  <c r="AE1007" i="53"/>
  <c r="AF1007" i="53"/>
  <c r="Y1007" i="53"/>
  <c r="X1007" i="53"/>
  <c r="D1007" i="53"/>
  <c r="C1007" i="53"/>
  <c r="B1007" i="53"/>
  <c r="A1007" i="53"/>
  <c r="AZ1006" i="53"/>
  <c r="BA1006" i="53"/>
  <c r="AX1006" i="53"/>
  <c r="AY1006" i="53"/>
  <c r="AV1006" i="53"/>
  <c r="AW1006" i="53"/>
  <c r="AU1006" i="53"/>
  <c r="AS1006" i="53"/>
  <c r="AQ1006" i="53"/>
  <c r="AO1006" i="53"/>
  <c r="AM1006" i="53"/>
  <c r="AK1006" i="53"/>
  <c r="AE1006" i="53"/>
  <c r="AF1006" i="53"/>
  <c r="Y1006" i="53"/>
  <c r="X1006" i="53"/>
  <c r="D1006" i="53"/>
  <c r="C1006" i="53"/>
  <c r="B1006" i="53"/>
  <c r="A1006" i="53"/>
  <c r="AZ1005" i="53"/>
  <c r="BA1005" i="53"/>
  <c r="AX1005" i="53"/>
  <c r="AY1005" i="53"/>
  <c r="AV1005" i="53"/>
  <c r="AW1005" i="53"/>
  <c r="AU1005" i="53"/>
  <c r="AS1005" i="53"/>
  <c r="AQ1005" i="53"/>
  <c r="AO1005" i="53"/>
  <c r="AM1005" i="53"/>
  <c r="AK1005" i="53"/>
  <c r="AE1005" i="53"/>
  <c r="AF1005" i="53"/>
  <c r="Y1005" i="53"/>
  <c r="X1005" i="53"/>
  <c r="D1005" i="53"/>
  <c r="C1005" i="53"/>
  <c r="B1005" i="53"/>
  <c r="A1005" i="53"/>
  <c r="AZ1004" i="53"/>
  <c r="AH1004" i="53"/>
  <c r="BA1004" i="53"/>
  <c r="AX1004" i="53"/>
  <c r="AY1004" i="53"/>
  <c r="AV1004" i="53"/>
  <c r="AW1004" i="53"/>
  <c r="AU1004" i="53"/>
  <c r="AQ1004" i="53"/>
  <c r="AM1004" i="53"/>
  <c r="AJ1004" i="53"/>
  <c r="AS1004" i="53"/>
  <c r="AE1004" i="53"/>
  <c r="AF1004" i="53"/>
  <c r="Y1004" i="53"/>
  <c r="X1004" i="53"/>
  <c r="D1004" i="53"/>
  <c r="C1004" i="53"/>
  <c r="B1004" i="53"/>
  <c r="A1004" i="53"/>
  <c r="AZ1003" i="53"/>
  <c r="AH1003" i="53"/>
  <c r="BA1003" i="53"/>
  <c r="AX1003" i="53"/>
  <c r="AY1003" i="53"/>
  <c r="AV1003" i="53"/>
  <c r="AW1003" i="53"/>
  <c r="AU1003" i="53"/>
  <c r="AQ1003" i="53"/>
  <c r="AM1003" i="53"/>
  <c r="AJ1003" i="53"/>
  <c r="AS1003" i="53"/>
  <c r="AE1003" i="53"/>
  <c r="AF1003" i="53"/>
  <c r="Y1003" i="53"/>
  <c r="X1003" i="53"/>
  <c r="D1003" i="53"/>
  <c r="C1003" i="53"/>
  <c r="B1003" i="53"/>
  <c r="A1003" i="53"/>
  <c r="AZ1002" i="53"/>
  <c r="AH1002" i="53"/>
  <c r="BA1002" i="53"/>
  <c r="AX1002" i="53"/>
  <c r="AY1002" i="53"/>
  <c r="AV1002" i="53"/>
  <c r="AW1002" i="53"/>
  <c r="AU1002" i="53"/>
  <c r="AQ1002" i="53"/>
  <c r="AM1002" i="53"/>
  <c r="AJ1002" i="53"/>
  <c r="AS1002" i="53"/>
  <c r="AE1002" i="53"/>
  <c r="AF1002" i="53"/>
  <c r="Y1002" i="53"/>
  <c r="X1002" i="53"/>
  <c r="D1002" i="53"/>
  <c r="C1002" i="53"/>
  <c r="B1002" i="53"/>
  <c r="A1002" i="53"/>
  <c r="AZ1001" i="53"/>
  <c r="BA1001" i="53"/>
  <c r="AX1001" i="53"/>
  <c r="AY1001" i="53"/>
  <c r="AV1001" i="53"/>
  <c r="AW1001" i="53"/>
  <c r="AU1001" i="53"/>
  <c r="AS1001" i="53"/>
  <c r="AQ1001" i="53"/>
  <c r="AO1001" i="53"/>
  <c r="AM1001" i="53"/>
  <c r="AK1001" i="53"/>
  <c r="AG1001" i="53"/>
  <c r="AJ1001" i="53"/>
  <c r="AD1001" i="53"/>
  <c r="AE1001" i="53"/>
  <c r="AF1001" i="53"/>
  <c r="Y1001" i="53"/>
  <c r="X1001" i="53"/>
  <c r="D1001" i="53"/>
  <c r="C1001" i="53"/>
  <c r="B1001" i="53"/>
  <c r="A1001" i="53"/>
  <c r="AZ1000" i="53"/>
  <c r="BA1000" i="53"/>
  <c r="AX1000" i="53"/>
  <c r="AY1000" i="53"/>
  <c r="AV1000" i="53"/>
  <c r="AW1000" i="53"/>
  <c r="AU1000" i="53"/>
  <c r="AS1000" i="53"/>
  <c r="AQ1000" i="53"/>
  <c r="AO1000" i="53"/>
  <c r="AM1000" i="53"/>
  <c r="AK1000" i="53"/>
  <c r="AG1000" i="53"/>
  <c r="AJ1000" i="53"/>
  <c r="AD1000" i="53"/>
  <c r="AE1000" i="53"/>
  <c r="AF1000" i="53"/>
  <c r="Y1000" i="53"/>
  <c r="X1000" i="53"/>
  <c r="D1000" i="53"/>
  <c r="C1000" i="53"/>
  <c r="B1000" i="53"/>
  <c r="A1000" i="53"/>
  <c r="AZ999" i="53"/>
  <c r="BA999" i="53"/>
  <c r="AX999" i="53"/>
  <c r="AY999" i="53"/>
  <c r="AV999" i="53"/>
  <c r="AW999" i="53"/>
  <c r="AU999" i="53"/>
  <c r="AS999" i="53"/>
  <c r="AQ999" i="53"/>
  <c r="AO999" i="53"/>
  <c r="AM999" i="53"/>
  <c r="AK999" i="53"/>
  <c r="AG999" i="53"/>
  <c r="AJ999" i="53"/>
  <c r="AD999" i="53"/>
  <c r="AE999" i="53"/>
  <c r="AF999" i="53"/>
  <c r="Y999" i="53"/>
  <c r="X999" i="53"/>
  <c r="D999" i="53"/>
  <c r="C999" i="53"/>
  <c r="B999" i="53"/>
  <c r="A999" i="53"/>
  <c r="AZ998" i="53"/>
  <c r="BA998" i="53"/>
  <c r="AX998" i="53"/>
  <c r="AY998" i="53"/>
  <c r="AV998" i="53"/>
  <c r="AW998" i="53"/>
  <c r="AU998" i="53"/>
  <c r="AS998" i="53"/>
  <c r="AQ998" i="53"/>
  <c r="AO998" i="53"/>
  <c r="AM998" i="53"/>
  <c r="AK998" i="53"/>
  <c r="AG998" i="53"/>
  <c r="AJ998" i="53"/>
  <c r="AD998" i="53"/>
  <c r="AE998" i="53"/>
  <c r="AF998" i="53"/>
  <c r="Y998" i="53"/>
  <c r="X998" i="53"/>
  <c r="D998" i="53"/>
  <c r="C998" i="53"/>
  <c r="B998" i="53"/>
  <c r="A998" i="53"/>
  <c r="AZ997" i="53"/>
  <c r="BA997" i="53"/>
  <c r="AX997" i="53"/>
  <c r="AY997" i="53"/>
  <c r="AV997" i="53"/>
  <c r="AW997" i="53"/>
  <c r="AU997" i="53"/>
  <c r="AS997" i="53"/>
  <c r="AQ997" i="53"/>
  <c r="AO997" i="53"/>
  <c r="AM997" i="53"/>
  <c r="AK997" i="53"/>
  <c r="AG997" i="53"/>
  <c r="AJ997" i="53"/>
  <c r="AE997" i="53"/>
  <c r="AF997" i="53"/>
  <c r="Y997" i="53"/>
  <c r="X997" i="53"/>
  <c r="D997" i="53"/>
  <c r="C997" i="53"/>
  <c r="B997" i="53"/>
  <c r="A997" i="53"/>
  <c r="AZ996" i="53"/>
  <c r="AH996" i="53"/>
  <c r="BA996" i="53"/>
  <c r="AX996" i="53"/>
  <c r="AY996" i="53"/>
  <c r="AV996" i="53"/>
  <c r="AW996" i="53"/>
  <c r="AU996" i="53"/>
  <c r="AQ996" i="53"/>
  <c r="AM996" i="53"/>
  <c r="AJ996" i="53"/>
  <c r="AS996" i="53"/>
  <c r="AD996" i="53"/>
  <c r="AE996" i="53"/>
  <c r="AF996" i="53"/>
  <c r="Y996" i="53"/>
  <c r="X996" i="53"/>
  <c r="D996" i="53"/>
  <c r="C996" i="53"/>
  <c r="B996" i="53"/>
  <c r="A996" i="53"/>
  <c r="AZ995" i="53"/>
  <c r="AH995" i="53"/>
  <c r="BA995" i="53"/>
  <c r="AX995" i="53"/>
  <c r="AY995" i="53"/>
  <c r="AV995" i="53"/>
  <c r="AW995" i="53"/>
  <c r="AJ995" i="53"/>
  <c r="AS995" i="53"/>
  <c r="Y995" i="53"/>
  <c r="X995" i="53"/>
  <c r="D995" i="53"/>
  <c r="C995" i="53"/>
  <c r="B995" i="53"/>
  <c r="A995" i="53"/>
  <c r="AZ994" i="53"/>
  <c r="AH994" i="53"/>
  <c r="BA994" i="53"/>
  <c r="AX994" i="53"/>
  <c r="AY994" i="53"/>
  <c r="AV994" i="53"/>
  <c r="AW994" i="53"/>
  <c r="AU994" i="53"/>
  <c r="AQ994" i="53"/>
  <c r="AM994" i="53"/>
  <c r="AJ994" i="53"/>
  <c r="AS994" i="53"/>
  <c r="AD994" i="53"/>
  <c r="AE994" i="53"/>
  <c r="AF994" i="53"/>
  <c r="Y994" i="53"/>
  <c r="X994" i="53"/>
  <c r="D994" i="53"/>
  <c r="C994" i="53"/>
  <c r="B994" i="53"/>
  <c r="A994" i="53"/>
  <c r="AZ993" i="53"/>
  <c r="BA993" i="53"/>
  <c r="AX993" i="53"/>
  <c r="AY993" i="53"/>
  <c r="AV993" i="53"/>
  <c r="AW993" i="53"/>
  <c r="AU993" i="53"/>
  <c r="AS993" i="53"/>
  <c r="AQ993" i="53"/>
  <c r="AO993" i="53"/>
  <c r="AM993" i="53"/>
  <c r="AD993" i="53"/>
  <c r="AE993" i="53"/>
  <c r="AF993" i="53"/>
  <c r="Y993" i="53"/>
  <c r="X993" i="53"/>
  <c r="D993" i="53"/>
  <c r="C993" i="53"/>
  <c r="B993" i="53"/>
  <c r="A993" i="53"/>
  <c r="AZ992" i="53"/>
  <c r="BA992" i="53"/>
  <c r="AX992" i="53"/>
  <c r="AY992" i="53"/>
  <c r="AV992" i="53"/>
  <c r="AW992" i="53"/>
  <c r="AU992" i="53"/>
  <c r="AS992" i="53"/>
  <c r="AQ992" i="53"/>
  <c r="AO992" i="53"/>
  <c r="AM992" i="53"/>
  <c r="AK992" i="53"/>
  <c r="AE992" i="53"/>
  <c r="AF992" i="53"/>
  <c r="Y992" i="53"/>
  <c r="X992" i="53"/>
  <c r="D992" i="53"/>
  <c r="C992" i="53"/>
  <c r="B992" i="53"/>
  <c r="A992" i="53"/>
  <c r="AZ991" i="53"/>
  <c r="AH991" i="53"/>
  <c r="BA991" i="53"/>
  <c r="AX991" i="53"/>
  <c r="AY991" i="53"/>
  <c r="AV991" i="53"/>
  <c r="AW991" i="53"/>
  <c r="AW990" i="53"/>
  <c r="AJ991" i="53"/>
  <c r="AS991" i="53"/>
  <c r="AS990" i="53"/>
  <c r="Y991" i="53"/>
  <c r="X991" i="53"/>
  <c r="D991" i="53"/>
  <c r="C991" i="53"/>
  <c r="B991" i="53"/>
  <c r="A991" i="53"/>
  <c r="AG990" i="53"/>
  <c r="AC990" i="53"/>
  <c r="AB990" i="53"/>
  <c r="C990" i="53"/>
  <c r="B990" i="53"/>
  <c r="A990" i="53"/>
  <c r="AZ988" i="53"/>
  <c r="BA988" i="53"/>
  <c r="AX988" i="53"/>
  <c r="AY988" i="53"/>
  <c r="AV988" i="53"/>
  <c r="AW988" i="53"/>
  <c r="AU988" i="53"/>
  <c r="AS988" i="53"/>
  <c r="AQ988" i="53"/>
  <c r="AO988" i="53"/>
  <c r="AM988" i="53"/>
  <c r="AK988" i="53"/>
  <c r="AE988" i="53"/>
  <c r="AF988" i="53"/>
  <c r="Y988" i="53"/>
  <c r="X988" i="53"/>
  <c r="D988" i="53"/>
  <c r="C988" i="53"/>
  <c r="B988" i="53"/>
  <c r="A988" i="53"/>
  <c r="AZ987" i="53"/>
  <c r="BA987" i="53"/>
  <c r="AX987" i="53"/>
  <c r="AY987" i="53"/>
  <c r="AV987" i="53"/>
  <c r="AW987" i="53"/>
  <c r="AU987" i="53"/>
  <c r="AS987" i="53"/>
  <c r="AQ987" i="53"/>
  <c r="AO987" i="53"/>
  <c r="AM987" i="53"/>
  <c r="AK987" i="53"/>
  <c r="AE987" i="53"/>
  <c r="AF987" i="53"/>
  <c r="Y987" i="53"/>
  <c r="X987" i="53"/>
  <c r="D987" i="53"/>
  <c r="C987" i="53"/>
  <c r="B987" i="53"/>
  <c r="A987" i="53"/>
  <c r="AZ986" i="53"/>
  <c r="BA986" i="53"/>
  <c r="AX986" i="53"/>
  <c r="AY986" i="53"/>
  <c r="AV986" i="53"/>
  <c r="AW986" i="53"/>
  <c r="AU986" i="53"/>
  <c r="AS986" i="53"/>
  <c r="AQ986" i="53"/>
  <c r="AO986" i="53"/>
  <c r="AM986" i="53"/>
  <c r="AK986" i="53"/>
  <c r="AE986" i="53"/>
  <c r="AF986" i="53"/>
  <c r="Y986" i="53"/>
  <c r="X986" i="53"/>
  <c r="D986" i="53"/>
  <c r="C986" i="53"/>
  <c r="B986" i="53"/>
  <c r="A986" i="53"/>
  <c r="AZ985" i="53"/>
  <c r="BA985" i="53"/>
  <c r="AX985" i="53"/>
  <c r="AY985" i="53"/>
  <c r="AV985" i="53"/>
  <c r="AW985" i="53"/>
  <c r="AU985" i="53"/>
  <c r="AS985" i="53"/>
  <c r="AQ985" i="53"/>
  <c r="AO985" i="53"/>
  <c r="AM985" i="53"/>
  <c r="AK985" i="53"/>
  <c r="AE985" i="53"/>
  <c r="AF985" i="53"/>
  <c r="Y985" i="53"/>
  <c r="X985" i="53"/>
  <c r="D985" i="53"/>
  <c r="C985" i="53"/>
  <c r="B985" i="53"/>
  <c r="A985" i="53"/>
  <c r="AZ984" i="53"/>
  <c r="BA984" i="53"/>
  <c r="AX984" i="53"/>
  <c r="AY984" i="53"/>
  <c r="AV984" i="53"/>
  <c r="AW984" i="53"/>
  <c r="AU984" i="53"/>
  <c r="AS984" i="53"/>
  <c r="AQ984" i="53"/>
  <c r="AO984" i="53"/>
  <c r="AM984" i="53"/>
  <c r="AK984" i="53"/>
  <c r="AE984" i="53"/>
  <c r="AF984" i="53"/>
  <c r="Y984" i="53"/>
  <c r="X984" i="53"/>
  <c r="D984" i="53"/>
  <c r="C984" i="53"/>
  <c r="B984" i="53"/>
  <c r="A984" i="53"/>
  <c r="AZ983" i="53"/>
  <c r="BA983" i="53"/>
  <c r="AX983" i="53"/>
  <c r="AY983" i="53"/>
  <c r="AV983" i="53"/>
  <c r="AW983" i="53"/>
  <c r="AU983" i="53"/>
  <c r="AS983" i="53"/>
  <c r="AQ983" i="53"/>
  <c r="AO983" i="53"/>
  <c r="AM983" i="53"/>
  <c r="AK983" i="53"/>
  <c r="AE983" i="53"/>
  <c r="AF983" i="53"/>
  <c r="Y983" i="53"/>
  <c r="X983" i="53"/>
  <c r="D983" i="53"/>
  <c r="C983" i="53"/>
  <c r="B983" i="53"/>
  <c r="A983" i="53"/>
  <c r="AZ982" i="53"/>
  <c r="AH982" i="53"/>
  <c r="BA982" i="53"/>
  <c r="AX982" i="53"/>
  <c r="AY982" i="53"/>
  <c r="AV982" i="53"/>
  <c r="AW982" i="53"/>
  <c r="AJ982" i="53"/>
  <c r="AS982" i="53"/>
  <c r="AE982" i="53"/>
  <c r="AF982" i="53"/>
  <c r="Y982" i="53"/>
  <c r="X982" i="53"/>
  <c r="D982" i="53"/>
  <c r="C982" i="53"/>
  <c r="B982" i="53"/>
  <c r="A982" i="53"/>
  <c r="AZ981" i="53"/>
  <c r="AH981" i="53"/>
  <c r="BA981" i="53"/>
  <c r="AX981" i="53"/>
  <c r="AY981" i="53"/>
  <c r="AV981" i="53"/>
  <c r="AW981" i="53"/>
  <c r="AJ981" i="53"/>
  <c r="AS981" i="53"/>
  <c r="AE981" i="53"/>
  <c r="AF981" i="53"/>
  <c r="Y981" i="53"/>
  <c r="X981" i="53"/>
  <c r="D981" i="53"/>
  <c r="C981" i="53"/>
  <c r="B981" i="53"/>
  <c r="A981" i="53"/>
  <c r="AZ980" i="53"/>
  <c r="AH980" i="53"/>
  <c r="BA980" i="53"/>
  <c r="AX980" i="53"/>
  <c r="AY980" i="53"/>
  <c r="AV980" i="53"/>
  <c r="AW980" i="53"/>
  <c r="AJ980" i="53"/>
  <c r="AS980" i="53"/>
  <c r="AE980" i="53"/>
  <c r="AF980" i="53"/>
  <c r="Y980" i="53"/>
  <c r="X980" i="53"/>
  <c r="D980" i="53"/>
  <c r="C980" i="53"/>
  <c r="B980" i="53"/>
  <c r="A980" i="53"/>
  <c r="AZ979" i="53"/>
  <c r="BA979" i="53"/>
  <c r="AX979" i="53"/>
  <c r="AY979" i="53"/>
  <c r="AV979" i="53"/>
  <c r="AW979" i="53"/>
  <c r="AU979" i="53"/>
  <c r="AS979" i="53"/>
  <c r="AQ979" i="53"/>
  <c r="AO979" i="53"/>
  <c r="AM979" i="53"/>
  <c r="AK979" i="53"/>
  <c r="AG979" i="53"/>
  <c r="AJ979" i="53"/>
  <c r="AD979" i="53"/>
  <c r="AE979" i="53"/>
  <c r="AF979" i="53"/>
  <c r="Y979" i="53"/>
  <c r="X979" i="53"/>
  <c r="D979" i="53"/>
  <c r="C979" i="53"/>
  <c r="B979" i="53"/>
  <c r="A979" i="53"/>
  <c r="AZ978" i="53"/>
  <c r="BA978" i="53"/>
  <c r="AX978" i="53"/>
  <c r="AY978" i="53"/>
  <c r="AV978" i="53"/>
  <c r="AW978" i="53"/>
  <c r="AU978" i="53"/>
  <c r="AS978" i="53"/>
  <c r="AQ978" i="53"/>
  <c r="AO978" i="53"/>
  <c r="AM978" i="53"/>
  <c r="AK978" i="53"/>
  <c r="AG978" i="53"/>
  <c r="AJ978" i="53"/>
  <c r="AD978" i="53"/>
  <c r="AE978" i="53"/>
  <c r="AF978" i="53"/>
  <c r="Y978" i="53"/>
  <c r="X978" i="53"/>
  <c r="D978" i="53"/>
  <c r="C978" i="53"/>
  <c r="B978" i="53"/>
  <c r="A978" i="53"/>
  <c r="AZ977" i="53"/>
  <c r="BA977" i="53"/>
  <c r="AX977" i="53"/>
  <c r="AY977" i="53"/>
  <c r="AV977" i="53"/>
  <c r="AW977" i="53"/>
  <c r="AU977" i="53"/>
  <c r="AS977" i="53"/>
  <c r="AQ977" i="53"/>
  <c r="AO977" i="53"/>
  <c r="AM977" i="53"/>
  <c r="AK977" i="53"/>
  <c r="AG977" i="53"/>
  <c r="AJ977" i="53"/>
  <c r="AD977" i="53"/>
  <c r="AE977" i="53"/>
  <c r="AF977" i="53"/>
  <c r="Y977" i="53"/>
  <c r="X977" i="53"/>
  <c r="D977" i="53"/>
  <c r="C977" i="53"/>
  <c r="B977" i="53"/>
  <c r="A977" i="53"/>
  <c r="AZ976" i="53"/>
  <c r="BA976" i="53"/>
  <c r="AX976" i="53"/>
  <c r="AY976" i="53"/>
  <c r="AV976" i="53"/>
  <c r="AW976" i="53"/>
  <c r="AU976" i="53"/>
  <c r="AS976" i="53"/>
  <c r="AQ976" i="53"/>
  <c r="AO976" i="53"/>
  <c r="AM976" i="53"/>
  <c r="AK976" i="53"/>
  <c r="AG976" i="53"/>
  <c r="AJ976" i="53"/>
  <c r="AD976" i="53"/>
  <c r="AE976" i="53"/>
  <c r="AF976" i="53"/>
  <c r="Y976" i="53"/>
  <c r="X976" i="53"/>
  <c r="D976" i="53"/>
  <c r="C976" i="53"/>
  <c r="B976" i="53"/>
  <c r="A976" i="53"/>
  <c r="AZ975" i="53"/>
  <c r="BA975" i="53"/>
  <c r="AX975" i="53"/>
  <c r="AY975" i="53"/>
  <c r="AV975" i="53"/>
  <c r="AW975" i="53"/>
  <c r="AU975" i="53"/>
  <c r="AS975" i="53"/>
  <c r="AQ975" i="53"/>
  <c r="AO975" i="53"/>
  <c r="AM975" i="53"/>
  <c r="AK975" i="53"/>
  <c r="AG975" i="53"/>
  <c r="AJ975" i="53"/>
  <c r="AE975" i="53"/>
  <c r="AF975" i="53"/>
  <c r="Y975" i="53"/>
  <c r="X975" i="53"/>
  <c r="D975" i="53"/>
  <c r="C975" i="53"/>
  <c r="B975" i="53"/>
  <c r="A975" i="53"/>
  <c r="AZ974" i="53"/>
  <c r="AH974" i="53"/>
  <c r="BA974" i="53"/>
  <c r="AX974" i="53"/>
  <c r="AY974" i="53"/>
  <c r="AV974" i="53"/>
  <c r="AW974" i="53"/>
  <c r="AJ974" i="53"/>
  <c r="AS974" i="53"/>
  <c r="Y974" i="53"/>
  <c r="X974" i="53"/>
  <c r="D974" i="53"/>
  <c r="C974" i="53"/>
  <c r="B974" i="53"/>
  <c r="A974" i="53"/>
  <c r="AZ973" i="53"/>
  <c r="AH973" i="53"/>
  <c r="BA973" i="53"/>
  <c r="AX973" i="53"/>
  <c r="AY973" i="53"/>
  <c r="AV973" i="53"/>
  <c r="AW973" i="53"/>
  <c r="AU973" i="53"/>
  <c r="AQ973" i="53"/>
  <c r="AM973" i="53"/>
  <c r="AJ973" i="53"/>
  <c r="AS973" i="53"/>
  <c r="AD973" i="53"/>
  <c r="AE973" i="53"/>
  <c r="AF973" i="53"/>
  <c r="Y973" i="53"/>
  <c r="X973" i="53"/>
  <c r="D973" i="53"/>
  <c r="C973" i="53"/>
  <c r="B973" i="53"/>
  <c r="A973" i="53"/>
  <c r="AZ972" i="53"/>
  <c r="AH972" i="53"/>
  <c r="BA972" i="53"/>
  <c r="AX972" i="53"/>
  <c r="AY972" i="53"/>
  <c r="AV972" i="53"/>
  <c r="AW972" i="53"/>
  <c r="AJ972" i="53"/>
  <c r="AS972" i="53"/>
  <c r="Y972" i="53"/>
  <c r="X972" i="53"/>
  <c r="D972" i="53"/>
  <c r="C972" i="53"/>
  <c r="B972" i="53"/>
  <c r="A972" i="53"/>
  <c r="AZ971" i="53"/>
  <c r="BA971" i="53"/>
  <c r="AX971" i="53"/>
  <c r="AY971" i="53"/>
  <c r="AV971" i="53"/>
  <c r="AW971" i="53"/>
  <c r="AU971" i="53"/>
  <c r="AS971" i="53"/>
  <c r="AQ971" i="53"/>
  <c r="AO971" i="53"/>
  <c r="AM971" i="53"/>
  <c r="AK971" i="53"/>
  <c r="AE971" i="53"/>
  <c r="AF971" i="53"/>
  <c r="Y971" i="53"/>
  <c r="X971" i="53"/>
  <c r="D971" i="53"/>
  <c r="C971" i="53"/>
  <c r="B971" i="53"/>
  <c r="A971" i="53"/>
  <c r="AZ970" i="53"/>
  <c r="AH970" i="53"/>
  <c r="BA970" i="53"/>
  <c r="AX970" i="53"/>
  <c r="AY970" i="53"/>
  <c r="AV970" i="53"/>
  <c r="AW970" i="53"/>
  <c r="AU970" i="53"/>
  <c r="AQ970" i="53"/>
  <c r="AM970" i="53"/>
  <c r="AJ970" i="53"/>
  <c r="AS970" i="53"/>
  <c r="AS969" i="53"/>
  <c r="AD970" i="53"/>
  <c r="AE970" i="53"/>
  <c r="AF970" i="53"/>
  <c r="Y970" i="53"/>
  <c r="X970" i="53"/>
  <c r="D970" i="53"/>
  <c r="C970" i="53"/>
  <c r="B970" i="53"/>
  <c r="A970" i="53"/>
  <c r="AW969" i="53"/>
  <c r="AH969" i="53"/>
  <c r="AC969" i="53"/>
  <c r="AB969" i="53"/>
  <c r="C969" i="53"/>
  <c r="B969" i="53"/>
  <c r="A969" i="53"/>
  <c r="Z967" i="53"/>
  <c r="AZ966" i="53"/>
  <c r="BA966" i="53"/>
  <c r="AX966" i="53"/>
  <c r="AY966" i="53"/>
  <c r="AV966" i="53"/>
  <c r="AW966" i="53"/>
  <c r="AU966" i="53"/>
  <c r="AS966" i="53"/>
  <c r="AQ966" i="53"/>
  <c r="AO966" i="53"/>
  <c r="AM966" i="53"/>
  <c r="AK966" i="53"/>
  <c r="AJ966" i="53"/>
  <c r="AF966" i="53"/>
  <c r="C966" i="53"/>
  <c r="B966" i="53"/>
  <c r="A966" i="53"/>
  <c r="AZ965" i="53"/>
  <c r="BA965" i="53"/>
  <c r="AX965" i="53"/>
  <c r="AY965" i="53"/>
  <c r="AV965" i="53"/>
  <c r="AW965" i="53"/>
  <c r="AU965" i="53"/>
  <c r="AS965" i="53"/>
  <c r="AQ965" i="53"/>
  <c r="AO965" i="53"/>
  <c r="AM965" i="53"/>
  <c r="AK965" i="53"/>
  <c r="AJ965" i="53"/>
  <c r="AF965" i="53"/>
  <c r="C965" i="53"/>
  <c r="B965" i="53"/>
  <c r="A965" i="53"/>
  <c r="AZ964" i="53"/>
  <c r="BA964" i="53"/>
  <c r="AV964" i="53"/>
  <c r="AW964" i="53"/>
  <c r="AU964" i="53"/>
  <c r="AS964" i="53"/>
  <c r="AQ964" i="53"/>
  <c r="AO964" i="53"/>
  <c r="AM964" i="53"/>
  <c r="AK964" i="53"/>
  <c r="AJ964" i="53"/>
  <c r="AF964" i="53"/>
  <c r="C964" i="53"/>
  <c r="B964" i="53"/>
  <c r="A964" i="53"/>
  <c r="AZ963" i="53"/>
  <c r="BA963" i="53"/>
  <c r="AX963" i="53"/>
  <c r="AY963" i="53"/>
  <c r="AV963" i="53"/>
  <c r="AW963" i="53"/>
  <c r="AU963" i="53"/>
  <c r="AS963" i="53"/>
  <c r="AQ963" i="53"/>
  <c r="AO963" i="53"/>
  <c r="AM963" i="53"/>
  <c r="AK963" i="53"/>
  <c r="AJ963" i="53"/>
  <c r="AF963" i="53"/>
  <c r="C963" i="53"/>
  <c r="B963" i="53"/>
  <c r="A963" i="53"/>
  <c r="AZ962" i="53"/>
  <c r="BA962" i="53"/>
  <c r="AX962" i="53"/>
  <c r="AY962" i="53"/>
  <c r="AV962" i="53"/>
  <c r="AW962" i="53"/>
  <c r="AU962" i="53"/>
  <c r="AS962" i="53"/>
  <c r="AQ962" i="53"/>
  <c r="AO962" i="53"/>
  <c r="AM962" i="53"/>
  <c r="AK962" i="53"/>
  <c r="AJ962" i="53"/>
  <c r="AF962" i="53"/>
  <c r="C962" i="53"/>
  <c r="B962" i="53"/>
  <c r="A962" i="53"/>
  <c r="AZ961" i="53"/>
  <c r="BA961" i="53"/>
  <c r="AX961" i="53"/>
  <c r="AY961" i="53"/>
  <c r="AV961" i="53"/>
  <c r="AW961" i="53"/>
  <c r="AU961" i="53"/>
  <c r="AS961" i="53"/>
  <c r="AQ961" i="53"/>
  <c r="AO961" i="53"/>
  <c r="AM961" i="53"/>
  <c r="AK961" i="53"/>
  <c r="AJ961" i="53"/>
  <c r="AF961" i="53"/>
  <c r="C961" i="53"/>
  <c r="B961" i="53"/>
  <c r="A961" i="53"/>
  <c r="AZ960" i="53"/>
  <c r="AH960" i="53"/>
  <c r="BA960" i="53"/>
  <c r="AV960" i="53"/>
  <c r="AW960" i="53"/>
  <c r="AO960" i="53"/>
  <c r="AJ960" i="53"/>
  <c r="C960" i="53"/>
  <c r="B960" i="53"/>
  <c r="A960" i="53"/>
  <c r="AZ959" i="53"/>
  <c r="AH959" i="53"/>
  <c r="BA959" i="53"/>
  <c r="AX959" i="53"/>
  <c r="AY959" i="53"/>
  <c r="AV959" i="53"/>
  <c r="AW959" i="53"/>
  <c r="AU959" i="53"/>
  <c r="AQ959" i="53"/>
  <c r="AM959" i="53"/>
  <c r="AJ959" i="53"/>
  <c r="AS959" i="53"/>
  <c r="C959" i="53"/>
  <c r="B959" i="53"/>
  <c r="A959" i="53"/>
  <c r="AZ958" i="53"/>
  <c r="AX958" i="53"/>
  <c r="AV958" i="53"/>
  <c r="AJ958" i="53"/>
  <c r="AH958" i="53"/>
  <c r="AO958" i="53"/>
  <c r="C958" i="53"/>
  <c r="B958" i="53"/>
  <c r="A958" i="53"/>
  <c r="AZ957" i="53"/>
  <c r="BA957" i="53"/>
  <c r="AX957" i="53"/>
  <c r="AY957" i="53"/>
  <c r="AV957" i="53"/>
  <c r="AW957" i="53"/>
  <c r="AU957" i="53"/>
  <c r="AS957" i="53"/>
  <c r="AQ957" i="53"/>
  <c r="AO957" i="53"/>
  <c r="AM957" i="53"/>
  <c r="AK957" i="53"/>
  <c r="AG957" i="53"/>
  <c r="AJ957" i="53"/>
  <c r="AF957" i="53"/>
  <c r="C957" i="53"/>
  <c r="B957" i="53"/>
  <c r="A957" i="53"/>
  <c r="AZ956" i="53"/>
  <c r="BA956" i="53"/>
  <c r="AX956" i="53"/>
  <c r="AY956" i="53"/>
  <c r="AV956" i="53"/>
  <c r="AW956" i="53"/>
  <c r="AU956" i="53"/>
  <c r="AS956" i="53"/>
  <c r="AQ956" i="53"/>
  <c r="AO956" i="53"/>
  <c r="AM956" i="53"/>
  <c r="AK956" i="53"/>
  <c r="AG956" i="53"/>
  <c r="AJ956" i="53"/>
  <c r="AF956" i="53"/>
  <c r="C956" i="53"/>
  <c r="B956" i="53"/>
  <c r="A956" i="53"/>
  <c r="AZ955" i="53"/>
  <c r="BA955" i="53"/>
  <c r="AX955" i="53"/>
  <c r="AY955" i="53"/>
  <c r="AV955" i="53"/>
  <c r="AW955" i="53"/>
  <c r="AU955" i="53"/>
  <c r="AS955" i="53"/>
  <c r="AQ955" i="53"/>
  <c r="AO955" i="53"/>
  <c r="AM955" i="53"/>
  <c r="AK955" i="53"/>
  <c r="AG955" i="53"/>
  <c r="AJ955" i="53"/>
  <c r="C955" i="53"/>
  <c r="B955" i="53"/>
  <c r="A955" i="53"/>
  <c r="AZ954" i="53"/>
  <c r="BA954" i="53"/>
  <c r="AX954" i="53"/>
  <c r="AY954" i="53"/>
  <c r="AV954" i="53"/>
  <c r="AW954" i="53"/>
  <c r="AU954" i="53"/>
  <c r="AS954" i="53"/>
  <c r="AQ954" i="53"/>
  <c r="AO954" i="53"/>
  <c r="AM954" i="53"/>
  <c r="AK954" i="53"/>
  <c r="AG954" i="53"/>
  <c r="AJ954" i="53"/>
  <c r="AF954" i="53"/>
  <c r="C954" i="53"/>
  <c r="B954" i="53"/>
  <c r="A954" i="53"/>
  <c r="AZ953" i="53"/>
  <c r="BA953" i="53"/>
  <c r="AX953" i="53"/>
  <c r="AY953" i="53"/>
  <c r="AV953" i="53"/>
  <c r="AW953" i="53"/>
  <c r="AU953" i="53"/>
  <c r="AS953" i="53"/>
  <c r="AQ953" i="53"/>
  <c r="AO953" i="53"/>
  <c r="AM953" i="53"/>
  <c r="AK953" i="53"/>
  <c r="AG953" i="53"/>
  <c r="AJ953" i="53"/>
  <c r="AD953" i="53"/>
  <c r="AE953" i="53"/>
  <c r="AF953" i="53"/>
  <c r="C953" i="53"/>
  <c r="B953" i="53"/>
  <c r="A953" i="53"/>
  <c r="AZ952" i="53"/>
  <c r="BA952" i="53"/>
  <c r="AV952" i="53"/>
  <c r="AW952" i="53"/>
  <c r="AU952" i="53"/>
  <c r="AS952" i="53"/>
  <c r="AQ952" i="53"/>
  <c r="AO952" i="53"/>
  <c r="AM952" i="53"/>
  <c r="AK952" i="53"/>
  <c r="AG952" i="53"/>
  <c r="AJ952" i="53"/>
  <c r="AD952" i="53"/>
  <c r="AE952" i="53"/>
  <c r="AF952" i="53"/>
  <c r="C952" i="53"/>
  <c r="B952" i="53"/>
  <c r="A952" i="53"/>
  <c r="AZ951" i="53"/>
  <c r="BA951" i="53"/>
  <c r="AX951" i="53"/>
  <c r="AY951" i="53"/>
  <c r="AV951" i="53"/>
  <c r="AW951" i="53"/>
  <c r="AU951" i="53"/>
  <c r="AS951" i="53"/>
  <c r="AQ951" i="53"/>
  <c r="AO951" i="53"/>
  <c r="AM951" i="53"/>
  <c r="AK951" i="53"/>
  <c r="AG951" i="53"/>
  <c r="AJ951" i="53"/>
  <c r="AJ950" i="53"/>
  <c r="AD951" i="53"/>
  <c r="AE951" i="53"/>
  <c r="AF951" i="53"/>
  <c r="C951" i="53"/>
  <c r="B951" i="53"/>
  <c r="A951" i="53"/>
  <c r="AD950" i="53"/>
  <c r="AB950" i="53"/>
  <c r="AE950" i="53"/>
  <c r="AC950" i="53"/>
  <c r="C950" i="53"/>
  <c r="B950" i="53"/>
  <c r="A950" i="53"/>
  <c r="AZ949" i="53"/>
  <c r="BA949" i="53"/>
  <c r="AX949" i="53"/>
  <c r="AY949" i="53"/>
  <c r="AV949" i="53"/>
  <c r="AW949" i="53"/>
  <c r="AU949" i="53"/>
  <c r="AS949" i="53"/>
  <c r="AQ949" i="53"/>
  <c r="AO949" i="53"/>
  <c r="AM949" i="53"/>
  <c r="AK949" i="53"/>
  <c r="AJ949" i="53"/>
  <c r="AF949" i="53"/>
  <c r="C949" i="53"/>
  <c r="B949" i="53"/>
  <c r="A949" i="53"/>
  <c r="AZ948" i="53"/>
  <c r="BA948" i="53"/>
  <c r="AX948" i="53"/>
  <c r="AY948" i="53"/>
  <c r="AV948" i="53"/>
  <c r="AW948" i="53"/>
  <c r="AU948" i="53"/>
  <c r="AS948" i="53"/>
  <c r="AQ948" i="53"/>
  <c r="AO948" i="53"/>
  <c r="AM948" i="53"/>
  <c r="AK948" i="53"/>
  <c r="AJ948" i="53"/>
  <c r="AF948" i="53"/>
  <c r="C948" i="53"/>
  <c r="B948" i="53"/>
  <c r="A948" i="53"/>
  <c r="AZ947" i="53"/>
  <c r="BA947" i="53"/>
  <c r="AX947" i="53"/>
  <c r="AY947" i="53"/>
  <c r="AV947" i="53"/>
  <c r="AW947" i="53"/>
  <c r="AU947" i="53"/>
  <c r="AS947" i="53"/>
  <c r="AQ947" i="53"/>
  <c r="AO947" i="53"/>
  <c r="AM947" i="53"/>
  <c r="AK947" i="53"/>
  <c r="AJ947" i="53"/>
  <c r="AF947" i="53"/>
  <c r="AZ946" i="53"/>
  <c r="BA946" i="53"/>
  <c r="AX946" i="53"/>
  <c r="AY946" i="53"/>
  <c r="AV946" i="53"/>
  <c r="AW946" i="53"/>
  <c r="AU946" i="53"/>
  <c r="AU945" i="53"/>
  <c r="AU944" i="53"/>
  <c r="AS946" i="53"/>
  <c r="AQ946" i="53"/>
  <c r="AQ945" i="53"/>
  <c r="AQ944" i="53"/>
  <c r="AO946" i="53"/>
  <c r="AM946" i="53"/>
  <c r="AM945" i="53"/>
  <c r="AM944" i="53"/>
  <c r="AK946" i="53"/>
  <c r="AJ946" i="53"/>
  <c r="AF946" i="53"/>
  <c r="C946" i="53"/>
  <c r="B946" i="53"/>
  <c r="A946" i="53"/>
  <c r="AZ945" i="53"/>
  <c r="BA945" i="53"/>
  <c r="AX945" i="53"/>
  <c r="AY945" i="53"/>
  <c r="AV945" i="53"/>
  <c r="AW945" i="53"/>
  <c r="AS945" i="53"/>
  <c r="AO945" i="53"/>
  <c r="AK945" i="53"/>
  <c r="AG945" i="53"/>
  <c r="AJ945" i="53"/>
  <c r="AJ944" i="53"/>
  <c r="AF945" i="53"/>
  <c r="C945" i="53"/>
  <c r="B945" i="53"/>
  <c r="A945" i="53"/>
  <c r="AS944" i="53"/>
  <c r="AO944" i="53"/>
  <c r="AK944" i="53"/>
  <c r="AH944" i="53"/>
  <c r="AG944" i="53"/>
  <c r="AD944" i="53"/>
  <c r="AB944" i="53"/>
  <c r="AE944" i="53"/>
  <c r="AF944" i="53"/>
  <c r="AC944" i="53"/>
  <c r="C944" i="53"/>
  <c r="B944" i="53"/>
  <c r="A944" i="53"/>
  <c r="AZ943" i="53"/>
  <c r="BA943" i="53"/>
  <c r="AX943" i="53"/>
  <c r="AY943" i="53"/>
  <c r="AV943" i="53"/>
  <c r="AW943" i="53"/>
  <c r="AU943" i="53"/>
  <c r="AS943" i="53"/>
  <c r="AQ943" i="53"/>
  <c r="AO943" i="53"/>
  <c r="AM943" i="53"/>
  <c r="AK943" i="53"/>
  <c r="AJ943" i="53"/>
  <c r="AF943" i="53"/>
  <c r="C943" i="53"/>
  <c r="B943" i="53"/>
  <c r="A943" i="53"/>
  <c r="AZ942" i="53"/>
  <c r="BA942" i="53"/>
  <c r="AX942" i="53"/>
  <c r="AY942" i="53"/>
  <c r="AV942" i="53"/>
  <c r="AW942" i="53"/>
  <c r="AU942" i="53"/>
  <c r="AS942" i="53"/>
  <c r="AQ942" i="53"/>
  <c r="AO942" i="53"/>
  <c r="AM942" i="53"/>
  <c r="AK942" i="53"/>
  <c r="AJ942" i="53"/>
  <c r="AF942" i="53"/>
  <c r="C942" i="53"/>
  <c r="B942" i="53"/>
  <c r="A942" i="53"/>
  <c r="AZ941" i="53"/>
  <c r="BA941" i="53"/>
  <c r="AX941" i="53"/>
  <c r="AY941" i="53"/>
  <c r="AV941" i="53"/>
  <c r="AW941" i="53"/>
  <c r="AU941" i="53"/>
  <c r="AS941" i="53"/>
  <c r="AQ941" i="53"/>
  <c r="AO941" i="53"/>
  <c r="AM941" i="53"/>
  <c r="AK941" i="53"/>
  <c r="AJ941" i="53"/>
  <c r="AF941" i="53"/>
  <c r="C941" i="53"/>
  <c r="B941" i="53"/>
  <c r="A941" i="53"/>
  <c r="AZ940" i="53"/>
  <c r="BA940" i="53"/>
  <c r="AX940" i="53"/>
  <c r="AY940" i="53"/>
  <c r="AV940" i="53"/>
  <c r="AW940" i="53"/>
  <c r="AU940" i="53"/>
  <c r="AS940" i="53"/>
  <c r="AQ940" i="53"/>
  <c r="AO940" i="53"/>
  <c r="AM940" i="53"/>
  <c r="AK940" i="53"/>
  <c r="AJ940" i="53"/>
  <c r="AF940" i="53"/>
  <c r="C940" i="53"/>
  <c r="B940" i="53"/>
  <c r="A940" i="53"/>
  <c r="AZ939" i="53"/>
  <c r="BA939" i="53"/>
  <c r="AX939" i="53"/>
  <c r="AY939" i="53"/>
  <c r="AV939" i="53"/>
  <c r="AW939" i="53"/>
  <c r="AU939" i="53"/>
  <c r="AS939" i="53"/>
  <c r="AQ939" i="53"/>
  <c r="AO939" i="53"/>
  <c r="AM939" i="53"/>
  <c r="AK939" i="53"/>
  <c r="AJ939" i="53"/>
  <c r="AF939" i="53"/>
  <c r="C939" i="53"/>
  <c r="B939" i="53"/>
  <c r="A939" i="53"/>
  <c r="AZ938" i="53"/>
  <c r="BA938" i="53"/>
  <c r="AX938" i="53"/>
  <c r="AY938" i="53"/>
  <c r="AV938" i="53"/>
  <c r="AW938" i="53"/>
  <c r="AU938" i="53"/>
  <c r="AS938" i="53"/>
  <c r="AQ938" i="53"/>
  <c r="AO938" i="53"/>
  <c r="AM938" i="53"/>
  <c r="AK938" i="53"/>
  <c r="AJ938" i="53"/>
  <c r="AF938" i="53"/>
  <c r="AZ937" i="53"/>
  <c r="BA937" i="53"/>
  <c r="AX937" i="53"/>
  <c r="AY937" i="53"/>
  <c r="AV937" i="53"/>
  <c r="AW937" i="53"/>
  <c r="AU937" i="53"/>
  <c r="AS937" i="53"/>
  <c r="AQ937" i="53"/>
  <c r="AO937" i="53"/>
  <c r="AM937" i="53"/>
  <c r="AK937" i="53"/>
  <c r="AG937" i="53"/>
  <c r="AJ937" i="53"/>
  <c r="AD937" i="53"/>
  <c r="AE937" i="53"/>
  <c r="AF937" i="53"/>
  <c r="C937" i="53"/>
  <c r="B937" i="53"/>
  <c r="A937" i="53"/>
  <c r="AZ936" i="53"/>
  <c r="BA936" i="53"/>
  <c r="AX936" i="53"/>
  <c r="AY936" i="53"/>
  <c r="AV936" i="53"/>
  <c r="AW936" i="53"/>
  <c r="AU936" i="53"/>
  <c r="AS936" i="53"/>
  <c r="AQ936" i="53"/>
  <c r="AO936" i="53"/>
  <c r="AM936" i="53"/>
  <c r="AK936" i="53"/>
  <c r="AG936" i="53"/>
  <c r="AJ936" i="53"/>
  <c r="AD936" i="53"/>
  <c r="AE936" i="53"/>
  <c r="AF936" i="53"/>
  <c r="C936" i="53"/>
  <c r="B936" i="53"/>
  <c r="A936" i="53"/>
  <c r="AZ935" i="53"/>
  <c r="BA935" i="53"/>
  <c r="AX935" i="53"/>
  <c r="AY935" i="53"/>
  <c r="AV935" i="53"/>
  <c r="AW935" i="53"/>
  <c r="AU935" i="53"/>
  <c r="AS935" i="53"/>
  <c r="AQ935" i="53"/>
  <c r="AO935" i="53"/>
  <c r="AM935" i="53"/>
  <c r="AK935" i="53"/>
  <c r="AG935" i="53"/>
  <c r="AJ935" i="53"/>
  <c r="AD935" i="53"/>
  <c r="AE935" i="53"/>
  <c r="AF935" i="53"/>
  <c r="C935" i="53"/>
  <c r="B935" i="53"/>
  <c r="A935" i="53"/>
  <c r="AZ934" i="53"/>
  <c r="BA934" i="53"/>
  <c r="AX934" i="53"/>
  <c r="AY934" i="53"/>
  <c r="AV934" i="53"/>
  <c r="AW934" i="53"/>
  <c r="AU934" i="53"/>
  <c r="AS934" i="53"/>
  <c r="AQ934" i="53"/>
  <c r="AO934" i="53"/>
  <c r="AM934" i="53"/>
  <c r="AK934" i="53"/>
  <c r="AG934" i="53"/>
  <c r="AJ934" i="53"/>
  <c r="AD934" i="53"/>
  <c r="AE934" i="53"/>
  <c r="AF934" i="53"/>
  <c r="C934" i="53"/>
  <c r="B934" i="53"/>
  <c r="A934" i="53"/>
  <c r="AZ933" i="53"/>
  <c r="BA933" i="53"/>
  <c r="AX933" i="53"/>
  <c r="AY933" i="53"/>
  <c r="AV933" i="53"/>
  <c r="AW933" i="53"/>
  <c r="AU933" i="53"/>
  <c r="AS933" i="53"/>
  <c r="AQ933" i="53"/>
  <c r="AO933" i="53"/>
  <c r="AM933" i="53"/>
  <c r="AK933" i="53"/>
  <c r="AG933" i="53"/>
  <c r="AJ933" i="53"/>
  <c r="AG931" i="53"/>
  <c r="AJ931" i="53"/>
  <c r="AJ932" i="53"/>
  <c r="AJ930" i="53"/>
  <c r="AD933" i="53"/>
  <c r="AE933" i="53"/>
  <c r="AF933" i="53"/>
  <c r="C933" i="53"/>
  <c r="B933" i="53"/>
  <c r="A933" i="53"/>
  <c r="AZ932" i="53"/>
  <c r="BA932" i="53"/>
  <c r="AX932" i="53"/>
  <c r="AY932" i="53"/>
  <c r="AV932" i="53"/>
  <c r="AW932" i="53"/>
  <c r="AU932" i="53"/>
  <c r="AS932" i="53"/>
  <c r="AS931" i="53"/>
  <c r="AS930" i="53"/>
  <c r="AQ932" i="53"/>
  <c r="AO932" i="53"/>
  <c r="AO931" i="53"/>
  <c r="AO930" i="53"/>
  <c r="AM932" i="53"/>
  <c r="AK932" i="53"/>
  <c r="AK931" i="53"/>
  <c r="AK930" i="53"/>
  <c r="AF932" i="53"/>
  <c r="C932" i="53"/>
  <c r="B932" i="53"/>
  <c r="A932" i="53"/>
  <c r="AZ931" i="53"/>
  <c r="BA931" i="53"/>
  <c r="AX931" i="53"/>
  <c r="AY931" i="53"/>
  <c r="AV931" i="53"/>
  <c r="AW931" i="53"/>
  <c r="AW930" i="53"/>
  <c r="AU931" i="53"/>
  <c r="AQ931" i="53"/>
  <c r="AM931" i="53"/>
  <c r="AD931" i="53"/>
  <c r="AE931" i="53"/>
  <c r="AF931" i="53"/>
  <c r="C931" i="53"/>
  <c r="B931" i="53"/>
  <c r="A931" i="53"/>
  <c r="AU930" i="53"/>
  <c r="AQ930" i="53"/>
  <c r="AM930" i="53"/>
  <c r="AH930" i="53"/>
  <c r="AG930" i="53"/>
  <c r="AC930" i="53"/>
  <c r="AB930" i="53"/>
  <c r="C930" i="53"/>
  <c r="B930" i="53"/>
  <c r="A930" i="53"/>
  <c r="AZ929" i="53"/>
  <c r="BA929" i="53"/>
  <c r="AX929" i="53"/>
  <c r="AY929" i="53"/>
  <c r="AV929" i="53"/>
  <c r="AW929" i="53"/>
  <c r="AU929" i="53"/>
  <c r="AS929" i="53"/>
  <c r="AQ929" i="53"/>
  <c r="AO929" i="53"/>
  <c r="AM929" i="53"/>
  <c r="AK929" i="53"/>
  <c r="AJ929" i="53"/>
  <c r="AF929" i="53"/>
  <c r="C929" i="53"/>
  <c r="B929" i="53"/>
  <c r="A929" i="53"/>
  <c r="AZ928" i="53"/>
  <c r="BA928" i="53"/>
  <c r="AX928" i="53"/>
  <c r="AY928" i="53"/>
  <c r="AV928" i="53"/>
  <c r="AW928" i="53"/>
  <c r="AU928" i="53"/>
  <c r="AS928" i="53"/>
  <c r="AQ928" i="53"/>
  <c r="AO928" i="53"/>
  <c r="AM928" i="53"/>
  <c r="AK928" i="53"/>
  <c r="AJ928" i="53"/>
  <c r="AF928" i="53"/>
  <c r="C928" i="53"/>
  <c r="B928" i="53"/>
  <c r="A928" i="53"/>
  <c r="AZ927" i="53"/>
  <c r="BA927" i="53"/>
  <c r="AX927" i="53"/>
  <c r="AY927" i="53"/>
  <c r="AV927" i="53"/>
  <c r="AW927" i="53"/>
  <c r="AU927" i="53"/>
  <c r="AS927" i="53"/>
  <c r="AQ927" i="53"/>
  <c r="AO927" i="53"/>
  <c r="AM927" i="53"/>
  <c r="AK927" i="53"/>
  <c r="AJ927" i="53"/>
  <c r="AF927" i="53"/>
  <c r="C927" i="53"/>
  <c r="B927" i="53"/>
  <c r="A927" i="53"/>
  <c r="AZ926" i="53"/>
  <c r="BA926" i="53"/>
  <c r="AX926" i="53"/>
  <c r="AY926" i="53"/>
  <c r="AV926" i="53"/>
  <c r="AW926" i="53"/>
  <c r="AU926" i="53"/>
  <c r="AS926" i="53"/>
  <c r="AQ926" i="53"/>
  <c r="AO926" i="53"/>
  <c r="AM926" i="53"/>
  <c r="AK926" i="53"/>
  <c r="AJ926" i="53"/>
  <c r="AF926" i="53"/>
  <c r="C926" i="53"/>
  <c r="B926" i="53"/>
  <c r="A926" i="53"/>
  <c r="AZ925" i="53"/>
  <c r="BA925" i="53"/>
  <c r="AX925" i="53"/>
  <c r="AY925" i="53"/>
  <c r="AV925" i="53"/>
  <c r="AW925" i="53"/>
  <c r="AU925" i="53"/>
  <c r="AS925" i="53"/>
  <c r="AQ925" i="53"/>
  <c r="AO925" i="53"/>
  <c r="AM925" i="53"/>
  <c r="AK925" i="53"/>
  <c r="AG925" i="53"/>
  <c r="AJ925" i="53"/>
  <c r="AF925" i="53"/>
  <c r="C925" i="53"/>
  <c r="B925" i="53"/>
  <c r="A925" i="53"/>
  <c r="AZ924" i="53"/>
  <c r="BA924" i="53"/>
  <c r="AX924" i="53"/>
  <c r="AY924" i="53"/>
  <c r="AV924" i="53"/>
  <c r="AW924" i="53"/>
  <c r="AU924" i="53"/>
  <c r="AS924" i="53"/>
  <c r="AQ924" i="53"/>
  <c r="AO924" i="53"/>
  <c r="AM924" i="53"/>
  <c r="AK924" i="53"/>
  <c r="AG924" i="53"/>
  <c r="AJ924" i="53"/>
  <c r="AF924" i="53"/>
  <c r="C924" i="53"/>
  <c r="B924" i="53"/>
  <c r="A924" i="53"/>
  <c r="AZ923" i="53"/>
  <c r="BA923" i="53"/>
  <c r="AX923" i="53"/>
  <c r="AY923" i="53"/>
  <c r="AV923" i="53"/>
  <c r="AW923" i="53"/>
  <c r="AU923" i="53"/>
  <c r="AS923" i="53"/>
  <c r="AQ923" i="53"/>
  <c r="AO923" i="53"/>
  <c r="AM923" i="53"/>
  <c r="AK923" i="53"/>
  <c r="AG923" i="53"/>
  <c r="AJ923" i="53"/>
  <c r="AG921" i="53"/>
  <c r="AJ921" i="53"/>
  <c r="AJ922" i="53"/>
  <c r="AJ920" i="53"/>
  <c r="AF923" i="53"/>
  <c r="C923" i="53"/>
  <c r="B923" i="53"/>
  <c r="A923" i="53"/>
  <c r="AZ922" i="53"/>
  <c r="BA922" i="53"/>
  <c r="AX922" i="53"/>
  <c r="AY922" i="53"/>
  <c r="AV922" i="53"/>
  <c r="AW922" i="53"/>
  <c r="AU922" i="53"/>
  <c r="AS922" i="53"/>
  <c r="AS921" i="53"/>
  <c r="AS920" i="53"/>
  <c r="AQ922" i="53"/>
  <c r="AO922" i="53"/>
  <c r="AO921" i="53"/>
  <c r="AO920" i="53"/>
  <c r="AM922" i="53"/>
  <c r="AK922" i="53"/>
  <c r="AK921" i="53"/>
  <c r="AK920" i="53"/>
  <c r="AF922" i="53"/>
  <c r="C922" i="53"/>
  <c r="B922" i="53"/>
  <c r="A922" i="53"/>
  <c r="AZ921" i="53"/>
  <c r="BA921" i="53"/>
  <c r="AX921" i="53"/>
  <c r="AY921" i="53"/>
  <c r="AV921" i="53"/>
  <c r="AW921" i="53"/>
  <c r="AW920" i="53"/>
  <c r="AU921" i="53"/>
  <c r="AQ921" i="53"/>
  <c r="AM921" i="53"/>
  <c r="AF921" i="53"/>
  <c r="C921" i="53"/>
  <c r="B921" i="53"/>
  <c r="A921" i="53"/>
  <c r="AU920" i="53"/>
  <c r="AQ920" i="53"/>
  <c r="AM920" i="53"/>
  <c r="AH920" i="53"/>
  <c r="AG920" i="53"/>
  <c r="AD920" i="53"/>
  <c r="AB920" i="53"/>
  <c r="AE920" i="53"/>
  <c r="AF920" i="53"/>
  <c r="AC920" i="53"/>
  <c r="C920" i="53"/>
  <c r="B920" i="53"/>
  <c r="A920" i="53"/>
  <c r="AZ919" i="53"/>
  <c r="BA919" i="53"/>
  <c r="AX919" i="53"/>
  <c r="AY919" i="53"/>
  <c r="AV919" i="53"/>
  <c r="AW919" i="53"/>
  <c r="AU919" i="53"/>
  <c r="AS919" i="53"/>
  <c r="AQ919" i="53"/>
  <c r="AO919" i="53"/>
  <c r="AM919" i="53"/>
  <c r="AK919" i="53"/>
  <c r="AJ919" i="53"/>
  <c r="AF919" i="53"/>
  <c r="C919" i="53"/>
  <c r="B919" i="53"/>
  <c r="A919" i="53"/>
  <c r="AZ918" i="53"/>
  <c r="BA918" i="53"/>
  <c r="AX918" i="53"/>
  <c r="AY918" i="53"/>
  <c r="AV918" i="53"/>
  <c r="AW918" i="53"/>
  <c r="AU918" i="53"/>
  <c r="AS918" i="53"/>
  <c r="AQ918" i="53"/>
  <c r="AO918" i="53"/>
  <c r="AM918" i="53"/>
  <c r="AK918" i="53"/>
  <c r="AJ918" i="53"/>
  <c r="AF918" i="53"/>
  <c r="C918" i="53"/>
  <c r="B918" i="53"/>
  <c r="A918" i="53"/>
  <c r="AZ917" i="53"/>
  <c r="BA917" i="53"/>
  <c r="AX917" i="53"/>
  <c r="AY917" i="53"/>
  <c r="AV917" i="53"/>
  <c r="AW917" i="53"/>
  <c r="AU917" i="53"/>
  <c r="AS917" i="53"/>
  <c r="AQ917" i="53"/>
  <c r="AO917" i="53"/>
  <c r="AM917" i="53"/>
  <c r="AK917" i="53"/>
  <c r="AJ917" i="53"/>
  <c r="AF917" i="53"/>
  <c r="C917" i="53"/>
  <c r="B917" i="53"/>
  <c r="A917" i="53"/>
  <c r="AZ916" i="53"/>
  <c r="BA916" i="53"/>
  <c r="AX916" i="53"/>
  <c r="AY916" i="53"/>
  <c r="AV916" i="53"/>
  <c r="AW916" i="53"/>
  <c r="AU916" i="53"/>
  <c r="AS916" i="53"/>
  <c r="AQ916" i="53"/>
  <c r="AO916" i="53"/>
  <c r="AM916" i="53"/>
  <c r="AK916" i="53"/>
  <c r="AJ916" i="53"/>
  <c r="AF916" i="53"/>
  <c r="AZ915" i="53"/>
  <c r="BA915" i="53"/>
  <c r="AX915" i="53"/>
  <c r="AY915" i="53"/>
  <c r="AV915" i="53"/>
  <c r="AW915" i="53"/>
  <c r="AU915" i="53"/>
  <c r="AS915" i="53"/>
  <c r="AQ915" i="53"/>
  <c r="AO915" i="53"/>
  <c r="AM915" i="53"/>
  <c r="AK915" i="53"/>
  <c r="AJ915" i="53"/>
  <c r="AF915" i="53"/>
  <c r="AZ914" i="53"/>
  <c r="BA914" i="53"/>
  <c r="AX914" i="53"/>
  <c r="AY914" i="53"/>
  <c r="AV914" i="53"/>
  <c r="AW914" i="53"/>
  <c r="AU914" i="53"/>
  <c r="AS914" i="53"/>
  <c r="AQ914" i="53"/>
  <c r="AO914" i="53"/>
  <c r="AM914" i="53"/>
  <c r="AK914" i="53"/>
  <c r="AG914" i="53"/>
  <c r="AJ914" i="53"/>
  <c r="C914" i="53"/>
  <c r="B914" i="53"/>
  <c r="A914" i="53"/>
  <c r="AZ913" i="53"/>
  <c r="BA913" i="53"/>
  <c r="AX913" i="53"/>
  <c r="AY913" i="53"/>
  <c r="AV913" i="53"/>
  <c r="AW913" i="53"/>
  <c r="AU913" i="53"/>
  <c r="AS913" i="53"/>
  <c r="AQ913" i="53"/>
  <c r="AO913" i="53"/>
  <c r="AM913" i="53"/>
  <c r="AK913" i="53"/>
  <c r="AG913" i="53"/>
  <c r="AJ913" i="53"/>
  <c r="C913" i="53"/>
  <c r="B913" i="53"/>
  <c r="A913" i="53"/>
  <c r="AZ912" i="53"/>
  <c r="BA912" i="53"/>
  <c r="AX912" i="53"/>
  <c r="AY912" i="53"/>
  <c r="AV912" i="53"/>
  <c r="AW912" i="53"/>
  <c r="AU912" i="53"/>
  <c r="AS912" i="53"/>
  <c r="AQ912" i="53"/>
  <c r="AO912" i="53"/>
  <c r="AM912" i="53"/>
  <c r="AK912" i="53"/>
  <c r="AG912" i="53"/>
  <c r="AJ912" i="53"/>
  <c r="C912" i="53"/>
  <c r="B912" i="53"/>
  <c r="A912" i="53"/>
  <c r="AZ911" i="53"/>
  <c r="BA911" i="53"/>
  <c r="AX911" i="53"/>
  <c r="AY911" i="53"/>
  <c r="AV911" i="53"/>
  <c r="AW911" i="53"/>
  <c r="AU911" i="53"/>
  <c r="AS911" i="53"/>
  <c r="AQ911" i="53"/>
  <c r="AO911" i="53"/>
  <c r="AM911" i="53"/>
  <c r="AK911" i="53"/>
  <c r="AG911" i="53"/>
  <c r="AJ911" i="53"/>
  <c r="C911" i="53"/>
  <c r="B911" i="53"/>
  <c r="A911" i="53"/>
  <c r="AZ910" i="53"/>
  <c r="BA910" i="53"/>
  <c r="AX910" i="53"/>
  <c r="AY910" i="53"/>
  <c r="AV910" i="53"/>
  <c r="AW910" i="53"/>
  <c r="AU910" i="53"/>
  <c r="AS910" i="53"/>
  <c r="AQ910" i="53"/>
  <c r="AO910" i="53"/>
  <c r="AM910" i="53"/>
  <c r="AK910" i="53"/>
  <c r="AG910" i="53"/>
  <c r="AJ910" i="53"/>
  <c r="C910" i="53"/>
  <c r="B910" i="53"/>
  <c r="A910" i="53"/>
  <c r="AZ909" i="53"/>
  <c r="BA909" i="53"/>
  <c r="AX909" i="53"/>
  <c r="AY909" i="53"/>
  <c r="AV909" i="53"/>
  <c r="AW909" i="53"/>
  <c r="AU909" i="53"/>
  <c r="AS909" i="53"/>
  <c r="AQ909" i="53"/>
  <c r="AO909" i="53"/>
  <c r="AM909" i="53"/>
  <c r="AK909" i="53"/>
  <c r="AG909" i="53"/>
  <c r="AJ909" i="53"/>
  <c r="AG906" i="53"/>
  <c r="AJ906" i="53"/>
  <c r="AJ907" i="53"/>
  <c r="AJ905" i="53"/>
  <c r="B905" i="53"/>
  <c r="B909" i="53"/>
  <c r="AZ908" i="53"/>
  <c r="BA908" i="53"/>
  <c r="AX908" i="53"/>
  <c r="AY908" i="53"/>
  <c r="AV908" i="53"/>
  <c r="AW908" i="53"/>
  <c r="AU908" i="53"/>
  <c r="AS908" i="53"/>
  <c r="AQ908" i="53"/>
  <c r="AO908" i="53"/>
  <c r="AM908" i="53"/>
  <c r="AF908" i="53"/>
  <c r="AZ907" i="53"/>
  <c r="BA907" i="53"/>
  <c r="AX907" i="53"/>
  <c r="AY907" i="53"/>
  <c r="AV907" i="53"/>
  <c r="AW907" i="53"/>
  <c r="AU907" i="53"/>
  <c r="AS907" i="53"/>
  <c r="AS906" i="53"/>
  <c r="AS905" i="53"/>
  <c r="AQ907" i="53"/>
  <c r="AO907" i="53"/>
  <c r="AO906" i="53"/>
  <c r="AO905" i="53"/>
  <c r="AM907" i="53"/>
  <c r="AK907" i="53"/>
  <c r="AK906" i="53"/>
  <c r="AK905" i="53"/>
  <c r="AF907" i="53"/>
  <c r="C907" i="53"/>
  <c r="B907" i="53"/>
  <c r="A907" i="53"/>
  <c r="AZ906" i="53"/>
  <c r="BA906" i="53"/>
  <c r="AX906" i="53"/>
  <c r="AY906" i="53"/>
  <c r="AV906" i="53"/>
  <c r="AW906" i="53"/>
  <c r="AU906" i="53"/>
  <c r="AQ906" i="53"/>
  <c r="AM906" i="53"/>
  <c r="AD906" i="53"/>
  <c r="AE906" i="53"/>
  <c r="AF906" i="53"/>
  <c r="B906" i="53"/>
  <c r="AU905" i="53"/>
  <c r="AQ905" i="53"/>
  <c r="AM905" i="53"/>
  <c r="AH905" i="53"/>
  <c r="AG905" i="53"/>
  <c r="AC905" i="53"/>
  <c r="AB905" i="53"/>
  <c r="C905" i="53"/>
  <c r="C908" i="53"/>
  <c r="B908" i="53"/>
  <c r="A905" i="53"/>
  <c r="A908" i="53"/>
  <c r="AZ904" i="53"/>
  <c r="BA904" i="53"/>
  <c r="AX904" i="53"/>
  <c r="AY904" i="53"/>
  <c r="AV904" i="53"/>
  <c r="AW904" i="53"/>
  <c r="AU904" i="53"/>
  <c r="AS904" i="53"/>
  <c r="AQ904" i="53"/>
  <c r="AO904" i="53"/>
  <c r="AM904" i="53"/>
  <c r="AK904" i="53"/>
  <c r="AJ904" i="53"/>
  <c r="AF904" i="53"/>
  <c r="Y904" i="53"/>
  <c r="X904" i="53"/>
  <c r="D904" i="53"/>
  <c r="C904" i="53"/>
  <c r="B904" i="53"/>
  <c r="A904" i="53"/>
  <c r="AZ903" i="53"/>
  <c r="BA903" i="53"/>
  <c r="AX903" i="53"/>
  <c r="AY903" i="53"/>
  <c r="AV903" i="53"/>
  <c r="AW903" i="53"/>
  <c r="AU903" i="53"/>
  <c r="AS903" i="53"/>
  <c r="AQ903" i="53"/>
  <c r="AO903" i="53"/>
  <c r="AM903" i="53"/>
  <c r="AF903" i="53"/>
  <c r="Y903" i="53"/>
  <c r="X903" i="53"/>
  <c r="D903" i="53"/>
  <c r="C903" i="53"/>
  <c r="B903" i="53"/>
  <c r="A903" i="53"/>
  <c r="AZ902" i="53"/>
  <c r="BA902" i="53"/>
  <c r="AX902" i="53"/>
  <c r="AY902" i="53"/>
  <c r="AV902" i="53"/>
  <c r="AW902" i="53"/>
  <c r="AU902" i="53"/>
  <c r="AS902" i="53"/>
  <c r="AQ902" i="53"/>
  <c r="AO902" i="53"/>
  <c r="AM902" i="53"/>
  <c r="AK902" i="53"/>
  <c r="AJ902" i="53"/>
  <c r="AF902" i="53"/>
  <c r="Y902" i="53"/>
  <c r="X902" i="53"/>
  <c r="D902" i="53"/>
  <c r="C902" i="53"/>
  <c r="B902" i="53"/>
  <c r="A902" i="53"/>
  <c r="AZ901" i="53"/>
  <c r="BA901" i="53"/>
  <c r="AX901" i="53"/>
  <c r="AY901" i="53"/>
  <c r="AV901" i="53"/>
  <c r="AW901" i="53"/>
  <c r="AU901" i="53"/>
  <c r="AS901" i="53"/>
  <c r="AQ901" i="53"/>
  <c r="AO901" i="53"/>
  <c r="AM901" i="53"/>
  <c r="AK901" i="53"/>
  <c r="AJ901" i="53"/>
  <c r="AF901" i="53"/>
  <c r="Y901" i="53"/>
  <c r="X901" i="53"/>
  <c r="D901" i="53"/>
  <c r="C901" i="53"/>
  <c r="B901" i="53"/>
  <c r="A901" i="53"/>
  <c r="AZ900" i="53"/>
  <c r="BA900" i="53"/>
  <c r="AX900" i="53"/>
  <c r="AY900" i="53"/>
  <c r="AV900" i="53"/>
  <c r="AW900" i="53"/>
  <c r="AU900" i="53"/>
  <c r="AS900" i="53"/>
  <c r="AQ900" i="53"/>
  <c r="AO900" i="53"/>
  <c r="AM900" i="53"/>
  <c r="AK900" i="53"/>
  <c r="AJ900" i="53"/>
  <c r="AF900" i="53"/>
  <c r="Y900" i="53"/>
  <c r="X900" i="53"/>
  <c r="D900" i="53"/>
  <c r="C900" i="53"/>
  <c r="B900" i="53"/>
  <c r="A900" i="53"/>
  <c r="AZ899" i="53"/>
  <c r="BA899" i="53"/>
  <c r="AX899" i="53"/>
  <c r="AY899" i="53"/>
  <c r="AV899" i="53"/>
  <c r="AW899" i="53"/>
  <c r="AU899" i="53"/>
  <c r="AS899" i="53"/>
  <c r="AQ899" i="53"/>
  <c r="AO899" i="53"/>
  <c r="AM899" i="53"/>
  <c r="AK899" i="53"/>
  <c r="AJ899" i="53"/>
  <c r="AF899" i="53"/>
  <c r="Y899" i="53"/>
  <c r="X899" i="53"/>
  <c r="D899" i="53"/>
  <c r="C899" i="53"/>
  <c r="B899" i="53"/>
  <c r="A899" i="53"/>
  <c r="AZ898" i="53"/>
  <c r="AH898" i="53"/>
  <c r="BA898" i="53"/>
  <c r="AX898" i="53"/>
  <c r="AY898" i="53"/>
  <c r="AV898" i="53"/>
  <c r="AW898" i="53"/>
  <c r="AJ898" i="53"/>
  <c r="AS898" i="53"/>
  <c r="Y898" i="53"/>
  <c r="X898" i="53"/>
  <c r="D898" i="53"/>
  <c r="C898" i="53"/>
  <c r="B898" i="53"/>
  <c r="A898" i="53"/>
  <c r="AZ897" i="53"/>
  <c r="AH897" i="53"/>
  <c r="BA897" i="53"/>
  <c r="AX897" i="53"/>
  <c r="AY897" i="53"/>
  <c r="AV897" i="53"/>
  <c r="AW897" i="53"/>
  <c r="AJ897" i="53"/>
  <c r="AS897" i="53"/>
  <c r="Y897" i="53"/>
  <c r="X897" i="53"/>
  <c r="D897" i="53"/>
  <c r="C897" i="53"/>
  <c r="B897" i="53"/>
  <c r="A897" i="53"/>
  <c r="AZ896" i="53"/>
  <c r="AH896" i="53"/>
  <c r="BA896" i="53"/>
  <c r="AX896" i="53"/>
  <c r="AY896" i="53"/>
  <c r="AV896" i="53"/>
  <c r="AW896" i="53"/>
  <c r="AJ896" i="53"/>
  <c r="AS896" i="53"/>
  <c r="Y896" i="53"/>
  <c r="X896" i="53"/>
  <c r="D896" i="53"/>
  <c r="C896" i="53"/>
  <c r="B896" i="53"/>
  <c r="A896" i="53"/>
  <c r="AZ895" i="53"/>
  <c r="AH895" i="53"/>
  <c r="BA895" i="53"/>
  <c r="AX895" i="53"/>
  <c r="AY895" i="53"/>
  <c r="AV895" i="53"/>
  <c r="AW895" i="53"/>
  <c r="AJ895" i="53"/>
  <c r="AS895" i="53"/>
  <c r="Y895" i="53"/>
  <c r="X895" i="53"/>
  <c r="D895" i="53"/>
  <c r="C895" i="53"/>
  <c r="B895" i="53"/>
  <c r="A895" i="53"/>
  <c r="AZ894" i="53"/>
  <c r="AH894" i="53"/>
  <c r="BA894" i="53"/>
  <c r="AX894" i="53"/>
  <c r="AY894" i="53"/>
  <c r="AV894" i="53"/>
  <c r="AW894" i="53"/>
  <c r="AJ894" i="53"/>
  <c r="AS894" i="53"/>
  <c r="Y894" i="53"/>
  <c r="X894" i="53"/>
  <c r="D894" i="53"/>
  <c r="C894" i="53"/>
  <c r="B894" i="53"/>
  <c r="A894" i="53"/>
  <c r="AZ893" i="53"/>
  <c r="AH893" i="53"/>
  <c r="BA893" i="53"/>
  <c r="AX893" i="53"/>
  <c r="AY893" i="53"/>
  <c r="AV893" i="53"/>
  <c r="AW893" i="53"/>
  <c r="AJ893" i="53"/>
  <c r="AS893" i="53"/>
  <c r="Y893" i="53"/>
  <c r="X893" i="53"/>
  <c r="D893" i="53"/>
  <c r="C893" i="53"/>
  <c r="B893" i="53"/>
  <c r="A893" i="53"/>
  <c r="AZ892" i="53"/>
  <c r="AH892" i="53"/>
  <c r="BA892" i="53"/>
  <c r="AX892" i="53"/>
  <c r="AY892" i="53"/>
  <c r="AV892" i="53"/>
  <c r="AW892" i="53"/>
  <c r="AJ892" i="53"/>
  <c r="AS892" i="53"/>
  <c r="Y892" i="53"/>
  <c r="X892" i="53"/>
  <c r="D892" i="53"/>
  <c r="C892" i="53"/>
  <c r="B892" i="53"/>
  <c r="A892" i="53"/>
  <c r="AZ891" i="53"/>
  <c r="AH891" i="53"/>
  <c r="BA891" i="53"/>
  <c r="AX891" i="53"/>
  <c r="AY891" i="53"/>
  <c r="AV891" i="53"/>
  <c r="AW891" i="53"/>
  <c r="AJ891" i="53"/>
  <c r="AS891" i="53"/>
  <c r="Y891" i="53"/>
  <c r="X891" i="53"/>
  <c r="D891" i="53"/>
  <c r="C891" i="53"/>
  <c r="B891" i="53"/>
  <c r="A891" i="53"/>
  <c r="AZ890" i="53"/>
  <c r="AH890" i="53"/>
  <c r="BA890" i="53"/>
  <c r="AX890" i="53"/>
  <c r="AY890" i="53"/>
  <c r="AV890" i="53"/>
  <c r="AW890" i="53"/>
  <c r="AU890" i="53"/>
  <c r="AQ890" i="53"/>
  <c r="AM890" i="53"/>
  <c r="AJ890" i="53"/>
  <c r="AS890" i="53"/>
  <c r="AD890" i="53"/>
  <c r="AE890" i="53"/>
  <c r="AF890" i="53"/>
  <c r="Y890" i="53"/>
  <c r="X890" i="53"/>
  <c r="D890" i="53"/>
  <c r="C890" i="53"/>
  <c r="B890" i="53"/>
  <c r="A890" i="53"/>
  <c r="AZ889" i="53"/>
  <c r="BA889" i="53"/>
  <c r="AX889" i="53"/>
  <c r="AY889" i="53"/>
  <c r="AV889" i="53"/>
  <c r="AW889" i="53"/>
  <c r="AU889" i="53"/>
  <c r="AS889" i="53"/>
  <c r="AQ889" i="53"/>
  <c r="AO889" i="53"/>
  <c r="AM889" i="53"/>
  <c r="AK889" i="53"/>
  <c r="AJ889" i="53"/>
  <c r="AF889" i="53"/>
  <c r="Y889" i="53"/>
  <c r="X889" i="53"/>
  <c r="D889" i="53"/>
  <c r="C889" i="53"/>
  <c r="B889" i="53"/>
  <c r="A889" i="53"/>
  <c r="AZ888" i="53"/>
  <c r="AH888" i="53"/>
  <c r="BA888" i="53"/>
  <c r="AX888" i="53"/>
  <c r="AY888" i="53"/>
  <c r="AV888" i="53"/>
  <c r="AW888" i="53"/>
  <c r="AW887" i="53"/>
  <c r="AJ888" i="53"/>
  <c r="AS888" i="53"/>
  <c r="AS887" i="53"/>
  <c r="Y888" i="53"/>
  <c r="X888" i="53"/>
  <c r="D888" i="53"/>
  <c r="C888" i="53"/>
  <c r="B888" i="53"/>
  <c r="A888" i="53"/>
  <c r="AJ887" i="53"/>
  <c r="AC887" i="53"/>
  <c r="AB887" i="53"/>
  <c r="C887" i="53"/>
  <c r="B887" i="53"/>
  <c r="A887" i="53"/>
  <c r="AZ886" i="53"/>
  <c r="BA886" i="53"/>
  <c r="AX886" i="53"/>
  <c r="AY886" i="53"/>
  <c r="AV886" i="53"/>
  <c r="AW886" i="53"/>
  <c r="AU886" i="53"/>
  <c r="AS886" i="53"/>
  <c r="AQ886" i="53"/>
  <c r="AO886" i="53"/>
  <c r="AM886" i="53"/>
  <c r="AK886" i="53"/>
  <c r="AJ886" i="53"/>
  <c r="AF886" i="53"/>
  <c r="C886" i="53"/>
  <c r="B886" i="53"/>
  <c r="A886" i="53"/>
  <c r="AZ885" i="53"/>
  <c r="BA885" i="53"/>
  <c r="AX885" i="53"/>
  <c r="AY885" i="53"/>
  <c r="AV885" i="53"/>
  <c r="AW885" i="53"/>
  <c r="AU885" i="53"/>
  <c r="AS885" i="53"/>
  <c r="AQ885" i="53"/>
  <c r="AO885" i="53"/>
  <c r="AM885" i="53"/>
  <c r="AK885" i="53"/>
  <c r="AJ885" i="53"/>
  <c r="AF885" i="53"/>
  <c r="C885" i="53"/>
  <c r="B885" i="53"/>
  <c r="A885" i="53"/>
  <c r="AZ884" i="53"/>
  <c r="BA884" i="53"/>
  <c r="AX884" i="53"/>
  <c r="AY884" i="53"/>
  <c r="AV884" i="53"/>
  <c r="AW884" i="53"/>
  <c r="AU884" i="53"/>
  <c r="AS884" i="53"/>
  <c r="AQ884" i="53"/>
  <c r="AO884" i="53"/>
  <c r="AM884" i="53"/>
  <c r="AF884" i="53"/>
  <c r="C884" i="53"/>
  <c r="B884" i="53"/>
  <c r="A884" i="53"/>
  <c r="AZ883" i="53"/>
  <c r="BA883" i="53"/>
  <c r="AX883" i="53"/>
  <c r="AY883" i="53"/>
  <c r="AV883" i="53"/>
  <c r="AW883" i="53"/>
  <c r="AU883" i="53"/>
  <c r="AS883" i="53"/>
  <c r="AQ883" i="53"/>
  <c r="AO883" i="53"/>
  <c r="AM883" i="53"/>
  <c r="AK883" i="53"/>
  <c r="AJ883" i="53"/>
  <c r="AF883" i="53"/>
  <c r="AZ882" i="53"/>
  <c r="BA882" i="53"/>
  <c r="AX882" i="53"/>
  <c r="AY882" i="53"/>
  <c r="AV882" i="53"/>
  <c r="AW882" i="53"/>
  <c r="AU882" i="53"/>
  <c r="AS882" i="53"/>
  <c r="AQ882" i="53"/>
  <c r="AO882" i="53"/>
  <c r="AM882" i="53"/>
  <c r="AK882" i="53"/>
  <c r="AG882" i="53"/>
  <c r="AJ882" i="53"/>
  <c r="C882" i="53"/>
  <c r="B882" i="53"/>
  <c r="A882" i="53"/>
  <c r="AZ881" i="53"/>
  <c r="BA881" i="53"/>
  <c r="AX881" i="53"/>
  <c r="AY881" i="53"/>
  <c r="AV881" i="53"/>
  <c r="AW881" i="53"/>
  <c r="AU881" i="53"/>
  <c r="AS881" i="53"/>
  <c r="AQ881" i="53"/>
  <c r="AO881" i="53"/>
  <c r="AM881" i="53"/>
  <c r="AK881" i="53"/>
  <c r="AG881" i="53"/>
  <c r="AJ881" i="53"/>
  <c r="C881" i="53"/>
  <c r="B881" i="53"/>
  <c r="A881" i="53"/>
  <c r="AZ880" i="53"/>
  <c r="BA880" i="53"/>
  <c r="AX880" i="53"/>
  <c r="AY880" i="53"/>
  <c r="AV880" i="53"/>
  <c r="AW880" i="53"/>
  <c r="AU880" i="53"/>
  <c r="AS880" i="53"/>
  <c r="AQ880" i="53"/>
  <c r="AO880" i="53"/>
  <c r="AM880" i="53"/>
  <c r="AK880" i="53"/>
  <c r="AG880" i="53"/>
  <c r="AJ880" i="53"/>
  <c r="AD880" i="53"/>
  <c r="AE880" i="53"/>
  <c r="AF880" i="53"/>
  <c r="C880" i="53"/>
  <c r="B880" i="53"/>
  <c r="A880" i="53"/>
  <c r="AZ879" i="53"/>
  <c r="BA879" i="53"/>
  <c r="AX879" i="53"/>
  <c r="AY879" i="53"/>
  <c r="AV879" i="53"/>
  <c r="AW879" i="53"/>
  <c r="AU879" i="53"/>
  <c r="AS879" i="53"/>
  <c r="AQ879" i="53"/>
  <c r="AO879" i="53"/>
  <c r="AM879" i="53"/>
  <c r="AK879" i="53"/>
  <c r="AG879" i="53"/>
  <c r="AJ879" i="53"/>
  <c r="AD879" i="53"/>
  <c r="AE879" i="53"/>
  <c r="AF879" i="53"/>
  <c r="C879" i="53"/>
  <c r="B879" i="53"/>
  <c r="A879" i="53"/>
  <c r="AW878" i="53"/>
  <c r="AU878" i="53"/>
  <c r="AS878" i="53"/>
  <c r="AQ878" i="53"/>
  <c r="AN878" i="53"/>
  <c r="AZ878" i="53"/>
  <c r="AM878" i="53"/>
  <c r="AF878" i="53"/>
  <c r="AZ877" i="53"/>
  <c r="BA877" i="53"/>
  <c r="AX877" i="53"/>
  <c r="AY877" i="53"/>
  <c r="AV877" i="53"/>
  <c r="AW877" i="53"/>
  <c r="AU877" i="53"/>
  <c r="AU876" i="53"/>
  <c r="AU875" i="53"/>
  <c r="AS877" i="53"/>
  <c r="AQ877" i="53"/>
  <c r="AQ876" i="53"/>
  <c r="AQ875" i="53"/>
  <c r="AO877" i="53"/>
  <c r="AM877" i="53"/>
  <c r="AM876" i="53"/>
  <c r="AM875" i="53"/>
  <c r="AK877" i="53"/>
  <c r="AJ877" i="53"/>
  <c r="AF877" i="53"/>
  <c r="C877" i="53"/>
  <c r="B877" i="53"/>
  <c r="A877" i="53"/>
  <c r="AZ876" i="53"/>
  <c r="BA876" i="53"/>
  <c r="AX876" i="53"/>
  <c r="AY876" i="53"/>
  <c r="AV876" i="53"/>
  <c r="AW876" i="53"/>
  <c r="AW875" i="53"/>
  <c r="AS876" i="53"/>
  <c r="AO876" i="53"/>
  <c r="AK876" i="53"/>
  <c r="AG876" i="53"/>
  <c r="AJ876" i="53"/>
  <c r="AD876" i="53"/>
  <c r="AE876" i="53"/>
  <c r="AF876" i="53"/>
  <c r="C875" i="53"/>
  <c r="C876" i="53"/>
  <c r="A875" i="53"/>
  <c r="A876" i="53"/>
  <c r="AS875" i="53"/>
  <c r="AK875" i="53"/>
  <c r="AH875" i="53"/>
  <c r="AG875" i="53"/>
  <c r="AD875" i="53"/>
  <c r="AB875" i="53"/>
  <c r="AE875" i="53"/>
  <c r="AF875" i="53"/>
  <c r="AC875" i="53"/>
  <c r="C878" i="53"/>
  <c r="B875" i="53"/>
  <c r="B878" i="53"/>
  <c r="A878" i="53"/>
  <c r="AZ874" i="53"/>
  <c r="BA874" i="53"/>
  <c r="AX874" i="53"/>
  <c r="AY874" i="53"/>
  <c r="AV874" i="53"/>
  <c r="AW874" i="53"/>
  <c r="AU874" i="53"/>
  <c r="AS874" i="53"/>
  <c r="AQ874" i="53"/>
  <c r="AO874" i="53"/>
  <c r="AM874" i="53"/>
  <c r="AK874" i="53"/>
  <c r="AJ874" i="53"/>
  <c r="AF874" i="53"/>
  <c r="C874" i="53"/>
  <c r="B874" i="53"/>
  <c r="A874" i="53"/>
  <c r="AZ873" i="53"/>
  <c r="BA873" i="53"/>
  <c r="AX873" i="53"/>
  <c r="AY873" i="53"/>
  <c r="AV873" i="53"/>
  <c r="AW873" i="53"/>
  <c r="AU873" i="53"/>
  <c r="AS873" i="53"/>
  <c r="AQ873" i="53"/>
  <c r="AO873" i="53"/>
  <c r="AM873" i="53"/>
  <c r="AK873" i="53"/>
  <c r="AJ873" i="53"/>
  <c r="AF873" i="53"/>
  <c r="C873" i="53"/>
  <c r="B873" i="53"/>
  <c r="A873" i="53"/>
  <c r="AZ872" i="53"/>
  <c r="BA872" i="53"/>
  <c r="AX872" i="53"/>
  <c r="AY872" i="53"/>
  <c r="AV872" i="53"/>
  <c r="AW872" i="53"/>
  <c r="AU872" i="53"/>
  <c r="AS872" i="53"/>
  <c r="AQ872" i="53"/>
  <c r="AO872" i="53"/>
  <c r="AM872" i="53"/>
  <c r="AF872" i="53"/>
  <c r="C872" i="53"/>
  <c r="B872" i="53"/>
  <c r="A872" i="53"/>
  <c r="AZ871" i="53"/>
  <c r="BA871" i="53"/>
  <c r="AX871" i="53"/>
  <c r="AY871" i="53"/>
  <c r="AV871" i="53"/>
  <c r="AW871" i="53"/>
  <c r="AU871" i="53"/>
  <c r="AS871" i="53"/>
  <c r="AQ871" i="53"/>
  <c r="AO871" i="53"/>
  <c r="AM871" i="53"/>
  <c r="AK871" i="53"/>
  <c r="AJ871" i="53"/>
  <c r="AF871" i="53"/>
  <c r="AW870" i="53"/>
  <c r="AU870" i="53"/>
  <c r="AS870" i="53"/>
  <c r="AQ870" i="53"/>
  <c r="AN870" i="53"/>
  <c r="AZ870" i="53"/>
  <c r="AM870" i="53"/>
  <c r="AF870" i="53"/>
  <c r="C870" i="53"/>
  <c r="B870" i="53"/>
  <c r="A870" i="53"/>
  <c r="AZ869" i="53"/>
  <c r="BA869" i="53"/>
  <c r="AX869" i="53"/>
  <c r="AY869" i="53"/>
  <c r="AV869" i="53"/>
  <c r="AW869" i="53"/>
  <c r="AU869" i="53"/>
  <c r="AS869" i="53"/>
  <c r="AQ869" i="53"/>
  <c r="AO869" i="53"/>
  <c r="AM869" i="53"/>
  <c r="AK869" i="53"/>
  <c r="AJ869" i="53"/>
  <c r="AF869" i="53"/>
  <c r="C869" i="53"/>
  <c r="B869" i="53"/>
  <c r="A869" i="53"/>
  <c r="AZ868" i="53"/>
  <c r="BA868" i="53"/>
  <c r="AX868" i="53"/>
  <c r="AY868" i="53"/>
  <c r="AV868" i="53"/>
  <c r="AW868" i="53"/>
  <c r="AU868" i="53"/>
  <c r="AS868" i="53"/>
  <c r="AS867" i="53"/>
  <c r="AQ868" i="53"/>
  <c r="AO868" i="53"/>
  <c r="AM868" i="53"/>
  <c r="AK868" i="53"/>
  <c r="AK867" i="53"/>
  <c r="AG868" i="53"/>
  <c r="AJ868" i="53"/>
  <c r="AJ867" i="53"/>
  <c r="C868" i="53"/>
  <c r="B868" i="53"/>
  <c r="A868" i="53"/>
  <c r="AU867" i="53"/>
  <c r="AQ867" i="53"/>
  <c r="AM867" i="53"/>
  <c r="AH867" i="53"/>
  <c r="AG867" i="53"/>
  <c r="AD867" i="53"/>
  <c r="AB867" i="53"/>
  <c r="AE867" i="53"/>
  <c r="AF867" i="53"/>
  <c r="AC867" i="53"/>
  <c r="C867" i="53"/>
  <c r="B867" i="53"/>
  <c r="A867" i="53"/>
  <c r="AZ866" i="53"/>
  <c r="BA866" i="53"/>
  <c r="AX866" i="53"/>
  <c r="AY866" i="53"/>
  <c r="AV866" i="53"/>
  <c r="AW866" i="53"/>
  <c r="AU866" i="53"/>
  <c r="AS866" i="53"/>
  <c r="AQ866" i="53"/>
  <c r="AO866" i="53"/>
  <c r="AM866" i="53"/>
  <c r="AK866" i="53"/>
  <c r="AJ866" i="53"/>
  <c r="AF866" i="53"/>
  <c r="C866" i="53"/>
  <c r="B866" i="53"/>
  <c r="A866" i="53"/>
  <c r="AZ865" i="53"/>
  <c r="BA865" i="53"/>
  <c r="AX865" i="53"/>
  <c r="AY865" i="53"/>
  <c r="AV865" i="53"/>
  <c r="AW865" i="53"/>
  <c r="AU865" i="53"/>
  <c r="AS865" i="53"/>
  <c r="AQ865" i="53"/>
  <c r="AO865" i="53"/>
  <c r="AM865" i="53"/>
  <c r="AK865" i="53"/>
  <c r="AJ865" i="53"/>
  <c r="AF865" i="53"/>
  <c r="C865" i="53"/>
  <c r="B865" i="53"/>
  <c r="A865" i="53"/>
  <c r="AZ864" i="53"/>
  <c r="BA864" i="53"/>
  <c r="AX864" i="53"/>
  <c r="AY864" i="53"/>
  <c r="AV864" i="53"/>
  <c r="AW864" i="53"/>
  <c r="AU864" i="53"/>
  <c r="AS864" i="53"/>
  <c r="AQ864" i="53"/>
  <c r="AO864" i="53"/>
  <c r="AM864" i="53"/>
  <c r="AK864" i="53"/>
  <c r="AJ864" i="53"/>
  <c r="AF864" i="53"/>
  <c r="C864" i="53"/>
  <c r="B864" i="53"/>
  <c r="A864" i="53"/>
  <c r="AZ863" i="53"/>
  <c r="BA863" i="53"/>
  <c r="AX863" i="53"/>
  <c r="AY863" i="53"/>
  <c r="AV863" i="53"/>
  <c r="AW863" i="53"/>
  <c r="AU863" i="53"/>
  <c r="AS863" i="53"/>
  <c r="AQ863" i="53"/>
  <c r="AO863" i="53"/>
  <c r="AM863" i="53"/>
  <c r="AK863" i="53"/>
  <c r="AJ863" i="53"/>
  <c r="AF863" i="53"/>
  <c r="AZ862" i="53"/>
  <c r="BA862" i="53"/>
  <c r="AX862" i="53"/>
  <c r="AY862" i="53"/>
  <c r="AV862" i="53"/>
  <c r="AW862" i="53"/>
  <c r="AU862" i="53"/>
  <c r="AS862" i="53"/>
  <c r="AQ862" i="53"/>
  <c r="AO862" i="53"/>
  <c r="AM862" i="53"/>
  <c r="AK862" i="53"/>
  <c r="AG862" i="53"/>
  <c r="AJ862" i="53"/>
  <c r="C862" i="53"/>
  <c r="B862" i="53"/>
  <c r="A862" i="53"/>
  <c r="AZ861" i="53"/>
  <c r="BA861" i="53"/>
  <c r="AX861" i="53"/>
  <c r="AY861" i="53"/>
  <c r="AV861" i="53"/>
  <c r="AW861" i="53"/>
  <c r="AU861" i="53"/>
  <c r="AS861" i="53"/>
  <c r="AQ861" i="53"/>
  <c r="AO861" i="53"/>
  <c r="AM861" i="53"/>
  <c r="AK861" i="53"/>
  <c r="AG861" i="53"/>
  <c r="AJ861" i="53"/>
  <c r="C861" i="53"/>
  <c r="B861" i="53"/>
  <c r="A861" i="53"/>
  <c r="AZ860" i="53"/>
  <c r="BA860" i="53"/>
  <c r="AX860" i="53"/>
  <c r="AY860" i="53"/>
  <c r="AV860" i="53"/>
  <c r="AW860" i="53"/>
  <c r="AU860" i="53"/>
  <c r="AS860" i="53"/>
  <c r="AQ860" i="53"/>
  <c r="AO860" i="53"/>
  <c r="AM860" i="53"/>
  <c r="AK860" i="53"/>
  <c r="AG860" i="53"/>
  <c r="AJ860" i="53"/>
  <c r="AF860" i="53"/>
  <c r="C860" i="53"/>
  <c r="B860" i="53"/>
  <c r="A860" i="53"/>
  <c r="AZ859" i="53"/>
  <c r="BA859" i="53"/>
  <c r="AX859" i="53"/>
  <c r="AY859" i="53"/>
  <c r="AV859" i="53"/>
  <c r="AW859" i="53"/>
  <c r="AU859" i="53"/>
  <c r="AS859" i="53"/>
  <c r="AQ859" i="53"/>
  <c r="AO859" i="53"/>
  <c r="AM859" i="53"/>
  <c r="AK859" i="53"/>
  <c r="AG859" i="53"/>
  <c r="AJ859" i="53"/>
  <c r="AD859" i="53"/>
  <c r="AE859" i="53"/>
  <c r="AF859" i="53"/>
  <c r="C859" i="53"/>
  <c r="B859" i="53"/>
  <c r="A859" i="53"/>
  <c r="AZ858" i="53"/>
  <c r="BA858" i="53"/>
  <c r="AX858" i="53"/>
  <c r="AY858" i="53"/>
  <c r="AV858" i="53"/>
  <c r="AW858" i="53"/>
  <c r="AU858" i="53"/>
  <c r="AU857" i="53"/>
  <c r="AU856" i="53"/>
  <c r="AS858" i="53"/>
  <c r="AQ858" i="53"/>
  <c r="AQ857" i="53"/>
  <c r="AQ856" i="53"/>
  <c r="AO858" i="53"/>
  <c r="AM858" i="53"/>
  <c r="AM857" i="53"/>
  <c r="AM856" i="53"/>
  <c r="AK858" i="53"/>
  <c r="AJ858" i="53"/>
  <c r="AF858" i="53"/>
  <c r="C858" i="53"/>
  <c r="B858" i="53"/>
  <c r="A858" i="53"/>
  <c r="AZ857" i="53"/>
  <c r="BA857" i="53"/>
  <c r="AX857" i="53"/>
  <c r="AY857" i="53"/>
  <c r="AV857" i="53"/>
  <c r="AW857" i="53"/>
  <c r="AW856" i="53"/>
  <c r="AS857" i="53"/>
  <c r="AO857" i="53"/>
  <c r="AK857" i="53"/>
  <c r="AG857" i="53"/>
  <c r="AJ857" i="53"/>
  <c r="AJ856" i="53"/>
  <c r="AD857" i="53"/>
  <c r="AE857" i="53"/>
  <c r="AF857" i="53"/>
  <c r="C857" i="53"/>
  <c r="B857" i="53"/>
  <c r="A857" i="53"/>
  <c r="AS856" i="53"/>
  <c r="AO856" i="53"/>
  <c r="AK856" i="53"/>
  <c r="AH856" i="53"/>
  <c r="AG856" i="53"/>
  <c r="AD856" i="53"/>
  <c r="AB856" i="53"/>
  <c r="AE856" i="53"/>
  <c r="AF856" i="53"/>
  <c r="AC856" i="53"/>
  <c r="C856" i="53"/>
  <c r="B856" i="53"/>
  <c r="A856" i="53"/>
  <c r="AZ855" i="53"/>
  <c r="BA855" i="53"/>
  <c r="AX855" i="53"/>
  <c r="AY855" i="53"/>
  <c r="AV855" i="53"/>
  <c r="AW855" i="53"/>
  <c r="AU855" i="53"/>
  <c r="AS855" i="53"/>
  <c r="AQ855" i="53"/>
  <c r="AO855" i="53"/>
  <c r="AM855" i="53"/>
  <c r="AK855" i="53"/>
  <c r="AJ855" i="53"/>
  <c r="AF855" i="53"/>
  <c r="C854" i="53"/>
  <c r="C855" i="53"/>
  <c r="B855" i="53"/>
  <c r="AZ854" i="53"/>
  <c r="BA854" i="53"/>
  <c r="AX854" i="53"/>
  <c r="AY854" i="53"/>
  <c r="AV854" i="53"/>
  <c r="AW854" i="53"/>
  <c r="AU854" i="53"/>
  <c r="AS854" i="53"/>
  <c r="AQ854" i="53"/>
  <c r="AO854" i="53"/>
  <c r="AM854" i="53"/>
  <c r="AK854" i="53"/>
  <c r="AJ854" i="53"/>
  <c r="AF854" i="53"/>
  <c r="A854" i="53"/>
  <c r="A855" i="53"/>
  <c r="AZ853" i="53"/>
  <c r="BA853" i="53"/>
  <c r="AX853" i="53"/>
  <c r="AY853" i="53"/>
  <c r="AV853" i="53"/>
  <c r="AW853" i="53"/>
  <c r="AU853" i="53"/>
  <c r="AS853" i="53"/>
  <c r="AQ853" i="53"/>
  <c r="AO853" i="53"/>
  <c r="AM853" i="53"/>
  <c r="AK853" i="53"/>
  <c r="AJ853" i="53"/>
  <c r="AF853" i="53"/>
  <c r="C853" i="53"/>
  <c r="A853" i="53"/>
  <c r="AZ852" i="53"/>
  <c r="BA852" i="53"/>
  <c r="AX852" i="53"/>
  <c r="AY852" i="53"/>
  <c r="AV852" i="53"/>
  <c r="AW852" i="53"/>
  <c r="AU852" i="53"/>
  <c r="AS852" i="53"/>
  <c r="AS850" i="53"/>
  <c r="AS851" i="53"/>
  <c r="AS849" i="53"/>
  <c r="AQ852" i="53"/>
  <c r="AO852" i="53"/>
  <c r="AO850" i="53"/>
  <c r="AO851" i="53"/>
  <c r="AO849" i="53"/>
  <c r="AM852" i="53"/>
  <c r="AK852" i="53"/>
  <c r="AK850" i="53"/>
  <c r="AK851" i="53"/>
  <c r="AK849" i="53"/>
  <c r="AJ852" i="53"/>
  <c r="AF852" i="53"/>
  <c r="C852" i="53"/>
  <c r="AZ851" i="53"/>
  <c r="BA851" i="53"/>
  <c r="AX851" i="53"/>
  <c r="AY851" i="53"/>
  <c r="AV851" i="53"/>
  <c r="AW851" i="53"/>
  <c r="AU851" i="53"/>
  <c r="AQ851" i="53"/>
  <c r="AM851" i="53"/>
  <c r="AJ851" i="53"/>
  <c r="AF851" i="53"/>
  <c r="C851" i="53"/>
  <c r="A851" i="53"/>
  <c r="AZ850" i="53"/>
  <c r="BA850" i="53"/>
  <c r="AX850" i="53"/>
  <c r="AY850" i="53"/>
  <c r="AV850" i="53"/>
  <c r="AW850" i="53"/>
  <c r="AU850" i="53"/>
  <c r="AQ850" i="53"/>
  <c r="AM850" i="53"/>
  <c r="AG850" i="53"/>
  <c r="AJ850" i="53"/>
  <c r="C850" i="53"/>
  <c r="A850" i="53"/>
  <c r="AU849" i="53"/>
  <c r="AQ849" i="53"/>
  <c r="AM849" i="53"/>
  <c r="AJ849" i="53"/>
  <c r="AH849" i="53"/>
  <c r="AG849" i="53"/>
  <c r="AD849" i="53"/>
  <c r="AB849" i="53"/>
  <c r="AE849" i="53"/>
  <c r="AF849" i="53"/>
  <c r="AC849" i="53"/>
  <c r="C849" i="53"/>
  <c r="A849" i="53"/>
  <c r="AZ848" i="53"/>
  <c r="BA848" i="53"/>
  <c r="AX848" i="53"/>
  <c r="AY848" i="53"/>
  <c r="AV848" i="53"/>
  <c r="AW848" i="53"/>
  <c r="AU848" i="53"/>
  <c r="AS848" i="53"/>
  <c r="AQ848" i="53"/>
  <c r="AO848" i="53"/>
  <c r="AM848" i="53"/>
  <c r="AK848" i="53"/>
  <c r="AJ848" i="53"/>
  <c r="AF848" i="53"/>
  <c r="C848" i="53"/>
  <c r="B848" i="53"/>
  <c r="A848" i="53"/>
  <c r="AZ847" i="53"/>
  <c r="BA847" i="53"/>
  <c r="AX847" i="53"/>
  <c r="AY847" i="53"/>
  <c r="AV847" i="53"/>
  <c r="AW847" i="53"/>
  <c r="AU847" i="53"/>
  <c r="AS847" i="53"/>
  <c r="AQ847" i="53"/>
  <c r="AO847" i="53"/>
  <c r="AM847" i="53"/>
  <c r="AK847" i="53"/>
  <c r="AJ847" i="53"/>
  <c r="AF847" i="53"/>
  <c r="C847" i="53"/>
  <c r="B847" i="53"/>
  <c r="A847" i="53"/>
  <c r="AZ846" i="53"/>
  <c r="BA846" i="53"/>
  <c r="AX846" i="53"/>
  <c r="AY846" i="53"/>
  <c r="AV846" i="53"/>
  <c r="AW846" i="53"/>
  <c r="AU846" i="53"/>
  <c r="AS846" i="53"/>
  <c r="AQ846" i="53"/>
  <c r="AO846" i="53"/>
  <c r="AM846" i="53"/>
  <c r="AK846" i="53"/>
  <c r="AJ846" i="53"/>
  <c r="AF846" i="53"/>
  <c r="C846" i="53"/>
  <c r="B846" i="53"/>
  <c r="A846" i="53"/>
  <c r="AZ845" i="53"/>
  <c r="BA845" i="53"/>
  <c r="AX845" i="53"/>
  <c r="AY845" i="53"/>
  <c r="AV845" i="53"/>
  <c r="AW845" i="53"/>
  <c r="AU845" i="53"/>
  <c r="AS845" i="53"/>
  <c r="AQ845" i="53"/>
  <c r="AO845" i="53"/>
  <c r="AM845" i="53"/>
  <c r="AK845" i="53"/>
  <c r="AJ845" i="53"/>
  <c r="AF845" i="53"/>
  <c r="C845" i="53"/>
  <c r="B845" i="53"/>
  <c r="A845" i="53"/>
  <c r="AZ844" i="53"/>
  <c r="BA844" i="53"/>
  <c r="AX844" i="53"/>
  <c r="AY844" i="53"/>
  <c r="AV844" i="53"/>
  <c r="AW844" i="53"/>
  <c r="AU844" i="53"/>
  <c r="AS844" i="53"/>
  <c r="AQ844" i="53"/>
  <c r="AO844" i="53"/>
  <c r="AM844" i="53"/>
  <c r="AK844" i="53"/>
  <c r="AJ844" i="53"/>
  <c r="AF844" i="53"/>
  <c r="C844" i="53"/>
  <c r="B844" i="53"/>
  <c r="A844" i="53"/>
  <c r="AZ843" i="53"/>
  <c r="BA843" i="53"/>
  <c r="AX843" i="53"/>
  <c r="AY843" i="53"/>
  <c r="AV843" i="53"/>
  <c r="AW843" i="53"/>
  <c r="AU843" i="53"/>
  <c r="AS843" i="53"/>
  <c r="AQ843" i="53"/>
  <c r="AO843" i="53"/>
  <c r="AM843" i="53"/>
  <c r="AK843" i="53"/>
  <c r="AJ843" i="53"/>
  <c r="AF843" i="53"/>
  <c r="C843" i="53"/>
  <c r="B843" i="53"/>
  <c r="A843" i="53"/>
  <c r="AZ842" i="53"/>
  <c r="BA842" i="53"/>
  <c r="AX842" i="53"/>
  <c r="AY842" i="53"/>
  <c r="AV842" i="53"/>
  <c r="AW842" i="53"/>
  <c r="AU842" i="53"/>
  <c r="AS842" i="53"/>
  <c r="AQ842" i="53"/>
  <c r="AO842" i="53"/>
  <c r="AM842" i="53"/>
  <c r="AK842" i="53"/>
  <c r="AG842" i="53"/>
  <c r="AJ842" i="53"/>
  <c r="AF842" i="53"/>
  <c r="C842" i="53"/>
  <c r="B842" i="53"/>
  <c r="A842" i="53"/>
  <c r="AZ841" i="53"/>
  <c r="BA841" i="53"/>
  <c r="AX841" i="53"/>
  <c r="AY841" i="53"/>
  <c r="AV841" i="53"/>
  <c r="AW841" i="53"/>
  <c r="AU841" i="53"/>
  <c r="AS841" i="53"/>
  <c r="AQ841" i="53"/>
  <c r="AO841" i="53"/>
  <c r="AM841" i="53"/>
  <c r="AK841" i="53"/>
  <c r="AG841" i="53"/>
  <c r="AJ841" i="53"/>
  <c r="AF841" i="53"/>
  <c r="C841" i="53"/>
  <c r="B841" i="53"/>
  <c r="A841" i="53"/>
  <c r="AZ840" i="53"/>
  <c r="BA840" i="53"/>
  <c r="AX840" i="53"/>
  <c r="AY840" i="53"/>
  <c r="AV840" i="53"/>
  <c r="AW840" i="53"/>
  <c r="AU840" i="53"/>
  <c r="AS840" i="53"/>
  <c r="AQ840" i="53"/>
  <c r="AO840" i="53"/>
  <c r="AM840" i="53"/>
  <c r="AK840" i="53"/>
  <c r="AG840" i="53"/>
  <c r="AJ840" i="53"/>
  <c r="AF840" i="53"/>
  <c r="C840" i="53"/>
  <c r="B840" i="53"/>
  <c r="A840" i="53"/>
  <c r="AZ839" i="53"/>
  <c r="BA839" i="53"/>
  <c r="AX839" i="53"/>
  <c r="AY839" i="53"/>
  <c r="AV839" i="53"/>
  <c r="AW839" i="53"/>
  <c r="AU839" i="53"/>
  <c r="AS839" i="53"/>
  <c r="AQ839" i="53"/>
  <c r="AO839" i="53"/>
  <c r="AM839" i="53"/>
  <c r="AK839" i="53"/>
  <c r="AG839" i="53"/>
  <c r="AJ839" i="53"/>
  <c r="AF839" i="53"/>
  <c r="C839" i="53"/>
  <c r="B839" i="53"/>
  <c r="A839" i="53"/>
  <c r="AZ838" i="53"/>
  <c r="BA838" i="53"/>
  <c r="AX838" i="53"/>
  <c r="AY838" i="53"/>
  <c r="AV838" i="53"/>
  <c r="AW838" i="53"/>
  <c r="AU838" i="53"/>
  <c r="AS838" i="53"/>
  <c r="AQ838" i="53"/>
  <c r="AO838" i="53"/>
  <c r="AM838" i="53"/>
  <c r="AK838" i="53"/>
  <c r="AG838" i="53"/>
  <c r="AJ838" i="53"/>
  <c r="AF838" i="53"/>
  <c r="C838" i="53"/>
  <c r="B838" i="53"/>
  <c r="A838" i="53"/>
  <c r="AZ837" i="53"/>
  <c r="BA837" i="53"/>
  <c r="AX837" i="53"/>
  <c r="AY837" i="53"/>
  <c r="AV837" i="53"/>
  <c r="AW837" i="53"/>
  <c r="AU837" i="53"/>
  <c r="AU836" i="53"/>
  <c r="AU835" i="53"/>
  <c r="AS837" i="53"/>
  <c r="AQ837" i="53"/>
  <c r="AQ836" i="53"/>
  <c r="AQ835" i="53"/>
  <c r="AO837" i="53"/>
  <c r="AM837" i="53"/>
  <c r="AM836" i="53"/>
  <c r="AM835" i="53"/>
  <c r="AK837" i="53"/>
  <c r="AJ837" i="53"/>
  <c r="AF837" i="53"/>
  <c r="C837" i="53"/>
  <c r="B837" i="53"/>
  <c r="A837" i="53"/>
  <c r="AZ836" i="53"/>
  <c r="BA836" i="53"/>
  <c r="AX836" i="53"/>
  <c r="AY836" i="53"/>
  <c r="AV836" i="53"/>
  <c r="AW836" i="53"/>
  <c r="AS836" i="53"/>
  <c r="AO836" i="53"/>
  <c r="AK836" i="53"/>
  <c r="AG836" i="53"/>
  <c r="AJ836" i="53"/>
  <c r="AJ835" i="53"/>
  <c r="AF836" i="53"/>
  <c r="C836" i="53"/>
  <c r="B836" i="53"/>
  <c r="A836" i="53"/>
  <c r="AS835" i="53"/>
  <c r="AO835" i="53"/>
  <c r="AK835" i="53"/>
  <c r="AH835" i="53"/>
  <c r="AG835" i="53"/>
  <c r="AD835" i="53"/>
  <c r="AB835" i="53"/>
  <c r="AE835" i="53"/>
  <c r="AF835" i="53"/>
  <c r="AC835" i="53"/>
  <c r="C835" i="53"/>
  <c r="B835" i="53"/>
  <c r="A835" i="53"/>
  <c r="AZ834" i="53"/>
  <c r="BA834" i="53"/>
  <c r="AX834" i="53"/>
  <c r="AY834" i="53"/>
  <c r="AV834" i="53"/>
  <c r="AW834" i="53"/>
  <c r="AU834" i="53"/>
  <c r="AS834" i="53"/>
  <c r="AQ834" i="53"/>
  <c r="AO834" i="53"/>
  <c r="AM834" i="53"/>
  <c r="AK834" i="53"/>
  <c r="AJ834" i="53"/>
  <c r="AF834" i="53"/>
  <c r="C833" i="53"/>
  <c r="C834" i="53"/>
  <c r="B834" i="53"/>
  <c r="AZ833" i="53"/>
  <c r="BA833" i="53"/>
  <c r="AX833" i="53"/>
  <c r="AY833" i="53"/>
  <c r="AV833" i="53"/>
  <c r="AW833" i="53"/>
  <c r="AU833" i="53"/>
  <c r="AS833" i="53"/>
  <c r="AQ833" i="53"/>
  <c r="AO833" i="53"/>
  <c r="AM833" i="53"/>
  <c r="AK833" i="53"/>
  <c r="AJ833" i="53"/>
  <c r="AF833" i="53"/>
  <c r="A833" i="53"/>
  <c r="A834" i="53"/>
  <c r="AZ832" i="53"/>
  <c r="BA832" i="53"/>
  <c r="AX832" i="53"/>
  <c r="AY832" i="53"/>
  <c r="AV832" i="53"/>
  <c r="AW832" i="53"/>
  <c r="AU832" i="53"/>
  <c r="AS832" i="53"/>
  <c r="AQ832" i="53"/>
  <c r="AO832" i="53"/>
  <c r="AM832" i="53"/>
  <c r="AK832" i="53"/>
  <c r="AJ832" i="53"/>
  <c r="AF832" i="53"/>
  <c r="C832" i="53"/>
  <c r="A832" i="53"/>
  <c r="AZ831" i="53"/>
  <c r="BA831" i="53"/>
  <c r="AX831" i="53"/>
  <c r="AY831" i="53"/>
  <c r="AV831" i="53"/>
  <c r="AW831" i="53"/>
  <c r="AU831" i="53"/>
  <c r="AS831" i="53"/>
  <c r="AQ831" i="53"/>
  <c r="AO831" i="53"/>
  <c r="AM831" i="53"/>
  <c r="AK831" i="53"/>
  <c r="AJ831" i="53"/>
  <c r="AF831" i="53"/>
  <c r="AZ830" i="53"/>
  <c r="BA830" i="53"/>
  <c r="AX830" i="53"/>
  <c r="AY830" i="53"/>
  <c r="AV830" i="53"/>
  <c r="AW830" i="53"/>
  <c r="AU830" i="53"/>
  <c r="AS830" i="53"/>
  <c r="AQ830" i="53"/>
  <c r="AO830" i="53"/>
  <c r="AM830" i="53"/>
  <c r="AK830" i="53"/>
  <c r="AG830" i="53"/>
  <c r="AJ830" i="53"/>
  <c r="AF830" i="53"/>
  <c r="C830" i="53"/>
  <c r="A830" i="53"/>
  <c r="AZ829" i="53"/>
  <c r="BA829" i="53"/>
  <c r="AX829" i="53"/>
  <c r="AY829" i="53"/>
  <c r="AV829" i="53"/>
  <c r="AW829" i="53"/>
  <c r="AU829" i="53"/>
  <c r="AS829" i="53"/>
  <c r="AQ829" i="53"/>
  <c r="AO829" i="53"/>
  <c r="AM829" i="53"/>
  <c r="AK829" i="53"/>
  <c r="AG829" i="53"/>
  <c r="AJ829" i="53"/>
  <c r="AF829" i="53"/>
  <c r="C829" i="53"/>
  <c r="A829" i="53"/>
  <c r="AZ828" i="53"/>
  <c r="AH828" i="53"/>
  <c r="BA828" i="53"/>
  <c r="AX828" i="53"/>
  <c r="AY828" i="53"/>
  <c r="AV828" i="53"/>
  <c r="AW828" i="53"/>
  <c r="AJ828" i="53"/>
  <c r="AS828" i="53"/>
  <c r="AS823" i="53"/>
  <c r="AS824" i="53"/>
  <c r="AS825" i="53"/>
  <c r="AS826" i="53"/>
  <c r="AS827" i="53"/>
  <c r="AS822" i="53"/>
  <c r="C828" i="53"/>
  <c r="A828" i="53"/>
  <c r="AZ827" i="53"/>
  <c r="BA827" i="53"/>
  <c r="AX827" i="53"/>
  <c r="AY827" i="53"/>
  <c r="AV827" i="53"/>
  <c r="AW827" i="53"/>
  <c r="AU827" i="53"/>
  <c r="AQ827" i="53"/>
  <c r="AO827" i="53"/>
  <c r="AM827" i="53"/>
  <c r="AK827" i="53"/>
  <c r="AG827" i="53"/>
  <c r="AJ827" i="53"/>
  <c r="AF827" i="53"/>
  <c r="C827" i="53"/>
  <c r="A827" i="53"/>
  <c r="AZ826" i="53"/>
  <c r="BA826" i="53"/>
  <c r="AX826" i="53"/>
  <c r="AY826" i="53"/>
  <c r="AV826" i="53"/>
  <c r="AW826" i="53"/>
  <c r="AU826" i="53"/>
  <c r="AQ826" i="53"/>
  <c r="AO826" i="53"/>
  <c r="AM826" i="53"/>
  <c r="AK826" i="53"/>
  <c r="AG826" i="53"/>
  <c r="AJ826" i="53"/>
  <c r="AF826" i="53"/>
  <c r="C826" i="53"/>
  <c r="A826" i="53"/>
  <c r="AZ825" i="53"/>
  <c r="BA825" i="53"/>
  <c r="AX825" i="53"/>
  <c r="AY825" i="53"/>
  <c r="AV825" i="53"/>
  <c r="AW825" i="53"/>
  <c r="AU825" i="53"/>
  <c r="AQ825" i="53"/>
  <c r="AO825" i="53"/>
  <c r="AM825" i="53"/>
  <c r="AK825" i="53"/>
  <c r="AG825" i="53"/>
  <c r="AJ825" i="53"/>
  <c r="AF825" i="53"/>
  <c r="C825" i="53"/>
  <c r="A825" i="53"/>
  <c r="AZ824" i="53"/>
  <c r="BA824" i="53"/>
  <c r="AX824" i="53"/>
  <c r="AY824" i="53"/>
  <c r="AV824" i="53"/>
  <c r="AW824" i="53"/>
  <c r="AU824" i="53"/>
  <c r="AQ824" i="53"/>
  <c r="AO824" i="53"/>
  <c r="AM824" i="53"/>
  <c r="AK824" i="53"/>
  <c r="AJ824" i="53"/>
  <c r="AF824" i="53"/>
  <c r="C824" i="53"/>
  <c r="A824" i="53"/>
  <c r="AZ823" i="53"/>
  <c r="BA823" i="53"/>
  <c r="AX823" i="53"/>
  <c r="AY823" i="53"/>
  <c r="AV823" i="53"/>
  <c r="AW823" i="53"/>
  <c r="AU823" i="53"/>
  <c r="AQ823" i="53"/>
  <c r="AO823" i="53"/>
  <c r="AM823" i="53"/>
  <c r="AK823" i="53"/>
  <c r="AG823" i="53"/>
  <c r="AJ823" i="53"/>
  <c r="AJ822" i="53"/>
  <c r="AF823" i="53"/>
  <c r="C823" i="53"/>
  <c r="A823" i="53"/>
  <c r="AH822" i="53"/>
  <c r="AG822" i="53"/>
  <c r="AD822" i="53"/>
  <c r="AB822" i="53"/>
  <c r="AE822" i="53"/>
  <c r="AF822" i="53"/>
  <c r="AC822" i="53"/>
  <c r="C822" i="53"/>
  <c r="A822" i="53"/>
  <c r="AZ821" i="53"/>
  <c r="BA821" i="53"/>
  <c r="AX821" i="53"/>
  <c r="AY821" i="53"/>
  <c r="AV821" i="53"/>
  <c r="AW821" i="53"/>
  <c r="AU821" i="53"/>
  <c r="AS821" i="53"/>
  <c r="AQ821" i="53"/>
  <c r="AO821" i="53"/>
  <c r="AM821" i="53"/>
  <c r="AK821" i="53"/>
  <c r="AJ821" i="53"/>
  <c r="AF821" i="53"/>
  <c r="Y821" i="53"/>
  <c r="X821" i="53"/>
  <c r="D821" i="53"/>
  <c r="C821" i="53"/>
  <c r="B821" i="53"/>
  <c r="A821" i="53"/>
  <c r="AZ820" i="53"/>
  <c r="BA820" i="53"/>
  <c r="AX820" i="53"/>
  <c r="AY820" i="53"/>
  <c r="AV820" i="53"/>
  <c r="AW820" i="53"/>
  <c r="AU820" i="53"/>
  <c r="AS820" i="53"/>
  <c r="AQ820" i="53"/>
  <c r="AO820" i="53"/>
  <c r="AM820" i="53"/>
  <c r="AK820" i="53"/>
  <c r="AJ820" i="53"/>
  <c r="AF820" i="53"/>
  <c r="Y820" i="53"/>
  <c r="X820" i="53"/>
  <c r="D820" i="53"/>
  <c r="C820" i="53"/>
  <c r="B820" i="53"/>
  <c r="A820" i="53"/>
  <c r="AZ819" i="53"/>
  <c r="BA819" i="53"/>
  <c r="AX819" i="53"/>
  <c r="AY819" i="53"/>
  <c r="AV819" i="53"/>
  <c r="AW819" i="53"/>
  <c r="AU819" i="53"/>
  <c r="AS819" i="53"/>
  <c r="AQ819" i="53"/>
  <c r="AO819" i="53"/>
  <c r="AM819" i="53"/>
  <c r="AK819" i="53"/>
  <c r="AJ819" i="53"/>
  <c r="AF819" i="53"/>
  <c r="Y819" i="53"/>
  <c r="X819" i="53"/>
  <c r="D819" i="53"/>
  <c r="C819" i="53"/>
  <c r="B819" i="53"/>
  <c r="A819" i="53"/>
  <c r="AZ818" i="53"/>
  <c r="BA818" i="53"/>
  <c r="AX818" i="53"/>
  <c r="AY818" i="53"/>
  <c r="AV818" i="53"/>
  <c r="AW818" i="53"/>
  <c r="AU818" i="53"/>
  <c r="AS818" i="53"/>
  <c r="AQ818" i="53"/>
  <c r="AO818" i="53"/>
  <c r="AM818" i="53"/>
  <c r="AK818" i="53"/>
  <c r="AJ818" i="53"/>
  <c r="AF818" i="53"/>
  <c r="Y818" i="53"/>
  <c r="X818" i="53"/>
  <c r="D818" i="53"/>
  <c r="C818" i="53"/>
  <c r="B818" i="53"/>
  <c r="A818" i="53"/>
  <c r="AZ817" i="53"/>
  <c r="BA817" i="53"/>
  <c r="AX817" i="53"/>
  <c r="AY817" i="53"/>
  <c r="AV817" i="53"/>
  <c r="AW817" i="53"/>
  <c r="AU817" i="53"/>
  <c r="AS817" i="53"/>
  <c r="AQ817" i="53"/>
  <c r="AO817" i="53"/>
  <c r="AM817" i="53"/>
  <c r="AK817" i="53"/>
  <c r="AJ817" i="53"/>
  <c r="AF817" i="53"/>
  <c r="Y817" i="53"/>
  <c r="X817" i="53"/>
  <c r="D817" i="53"/>
  <c r="C817" i="53"/>
  <c r="B817" i="53"/>
  <c r="A817" i="53"/>
  <c r="AZ816" i="53"/>
  <c r="AH816" i="53"/>
  <c r="BA816" i="53"/>
  <c r="AX816" i="53"/>
  <c r="AY816" i="53"/>
  <c r="AV816" i="53"/>
  <c r="AW816" i="53"/>
  <c r="AJ816" i="53"/>
  <c r="AS816" i="53"/>
  <c r="Y816" i="53"/>
  <c r="X816" i="53"/>
  <c r="D816" i="53"/>
  <c r="C816" i="53"/>
  <c r="B816" i="53"/>
  <c r="A816" i="53"/>
  <c r="AZ815" i="53"/>
  <c r="AH815" i="53"/>
  <c r="BA815" i="53"/>
  <c r="AX815" i="53"/>
  <c r="AY815" i="53"/>
  <c r="AV815" i="53"/>
  <c r="AW815" i="53"/>
  <c r="AJ815" i="53"/>
  <c r="AS815" i="53"/>
  <c r="Y815" i="53"/>
  <c r="X815" i="53"/>
  <c r="D815" i="53"/>
  <c r="C815" i="53"/>
  <c r="B815" i="53"/>
  <c r="A815" i="53"/>
  <c r="AZ814" i="53"/>
  <c r="AH814" i="53"/>
  <c r="BA814" i="53"/>
  <c r="AX814" i="53"/>
  <c r="AY814" i="53"/>
  <c r="AV814" i="53"/>
  <c r="AW814" i="53"/>
  <c r="AJ814" i="53"/>
  <c r="AS814" i="53"/>
  <c r="Y814" i="53"/>
  <c r="X814" i="53"/>
  <c r="D814" i="53"/>
  <c r="C814" i="53"/>
  <c r="B814" i="53"/>
  <c r="A814" i="53"/>
  <c r="AZ813" i="53"/>
  <c r="AH813" i="53"/>
  <c r="BA813" i="53"/>
  <c r="AX813" i="53"/>
  <c r="AY813" i="53"/>
  <c r="AV813" i="53"/>
  <c r="AW813" i="53"/>
  <c r="AJ813" i="53"/>
  <c r="AS813" i="53"/>
  <c r="Y813" i="53"/>
  <c r="X813" i="53"/>
  <c r="D813" i="53"/>
  <c r="C813" i="53"/>
  <c r="B813" i="53"/>
  <c r="A813" i="53"/>
  <c r="AZ812" i="53"/>
  <c r="AH812" i="53"/>
  <c r="BA812" i="53"/>
  <c r="AX812" i="53"/>
  <c r="AY812" i="53"/>
  <c r="AV812" i="53"/>
  <c r="AW812" i="53"/>
  <c r="AJ812" i="53"/>
  <c r="AS812" i="53"/>
  <c r="Y812" i="53"/>
  <c r="X812" i="53"/>
  <c r="D812" i="53"/>
  <c r="C812" i="53"/>
  <c r="B812" i="53"/>
  <c r="A812" i="53"/>
  <c r="AZ811" i="53"/>
  <c r="AH811" i="53"/>
  <c r="BA811" i="53"/>
  <c r="AX811" i="53"/>
  <c r="AY811" i="53"/>
  <c r="AV811" i="53"/>
  <c r="AW811" i="53"/>
  <c r="AJ811" i="53"/>
  <c r="AS811" i="53"/>
  <c r="Y811" i="53"/>
  <c r="X811" i="53"/>
  <c r="D811" i="53"/>
  <c r="C811" i="53"/>
  <c r="B811" i="53"/>
  <c r="A811" i="53"/>
  <c r="AZ810" i="53"/>
  <c r="AH810" i="53"/>
  <c r="BA810" i="53"/>
  <c r="AX810" i="53"/>
  <c r="AY810" i="53"/>
  <c r="AV810" i="53"/>
  <c r="AW810" i="53"/>
  <c r="AU810" i="53"/>
  <c r="AQ810" i="53"/>
  <c r="AM810" i="53"/>
  <c r="AJ810" i="53"/>
  <c r="AS810" i="53"/>
  <c r="AD810" i="53"/>
  <c r="AE810" i="53"/>
  <c r="AF810" i="53"/>
  <c r="Y810" i="53"/>
  <c r="X810" i="53"/>
  <c r="D810" i="53"/>
  <c r="C810" i="53"/>
  <c r="B810" i="53"/>
  <c r="A810" i="53"/>
  <c r="AZ809" i="53"/>
  <c r="BA809" i="53"/>
  <c r="AX809" i="53"/>
  <c r="AY809" i="53"/>
  <c r="AV809" i="53"/>
  <c r="AW809" i="53"/>
  <c r="AU809" i="53"/>
  <c r="AS809" i="53"/>
  <c r="AQ809" i="53"/>
  <c r="AO809" i="53"/>
  <c r="AM809" i="53"/>
  <c r="AF809" i="53"/>
  <c r="Y809" i="53"/>
  <c r="X809" i="53"/>
  <c r="D809" i="53"/>
  <c r="C809" i="53"/>
  <c r="B809" i="53"/>
  <c r="A809" i="53"/>
  <c r="AZ808" i="53"/>
  <c r="AH808" i="53"/>
  <c r="BA808" i="53"/>
  <c r="AX808" i="53"/>
  <c r="AY808" i="53"/>
  <c r="AV808" i="53"/>
  <c r="AW808" i="53"/>
  <c r="AJ808" i="53"/>
  <c r="AS808" i="53"/>
  <c r="Y808" i="53"/>
  <c r="X808" i="53"/>
  <c r="D808" i="53"/>
  <c r="C808" i="53"/>
  <c r="B808" i="53"/>
  <c r="A808" i="53"/>
  <c r="AJ807" i="53"/>
  <c r="AC807" i="53"/>
  <c r="AB807" i="53"/>
  <c r="C807" i="53"/>
  <c r="B807" i="53"/>
  <c r="A807" i="53"/>
  <c r="AZ806" i="53"/>
  <c r="BA806" i="53"/>
  <c r="AX806" i="53"/>
  <c r="AY806" i="53"/>
  <c r="AV806" i="53"/>
  <c r="AW806" i="53"/>
  <c r="AU806" i="53"/>
  <c r="AS806" i="53"/>
  <c r="AQ806" i="53"/>
  <c r="AO806" i="53"/>
  <c r="AM806" i="53"/>
  <c r="AK806" i="53"/>
  <c r="AJ806" i="53"/>
  <c r="AF806" i="53"/>
  <c r="Y806" i="53"/>
  <c r="X806" i="53"/>
  <c r="D806" i="53"/>
  <c r="C806" i="53"/>
  <c r="B806" i="53"/>
  <c r="A806" i="53"/>
  <c r="AZ805" i="53"/>
  <c r="BA805" i="53"/>
  <c r="AX805" i="53"/>
  <c r="AY805" i="53"/>
  <c r="AV805" i="53"/>
  <c r="AW805" i="53"/>
  <c r="AU805" i="53"/>
  <c r="AS805" i="53"/>
  <c r="AQ805" i="53"/>
  <c r="AO805" i="53"/>
  <c r="AM805" i="53"/>
  <c r="AK805" i="53"/>
  <c r="AJ805" i="53"/>
  <c r="AF805" i="53"/>
  <c r="Y805" i="53"/>
  <c r="X805" i="53"/>
  <c r="D805" i="53"/>
  <c r="C805" i="53"/>
  <c r="B805" i="53"/>
  <c r="A805" i="53"/>
  <c r="AZ804" i="53"/>
  <c r="BA804" i="53"/>
  <c r="AX804" i="53"/>
  <c r="AY804" i="53"/>
  <c r="AV804" i="53"/>
  <c r="AW804" i="53"/>
  <c r="AU804" i="53"/>
  <c r="AS804" i="53"/>
  <c r="AQ804" i="53"/>
  <c r="AO804" i="53"/>
  <c r="AM804" i="53"/>
  <c r="AK804" i="53"/>
  <c r="AJ804" i="53"/>
  <c r="AF804" i="53"/>
  <c r="Y804" i="53"/>
  <c r="X804" i="53"/>
  <c r="D804" i="53"/>
  <c r="C804" i="53"/>
  <c r="B804" i="53"/>
  <c r="A804" i="53"/>
  <c r="AZ803" i="53"/>
  <c r="BA803" i="53"/>
  <c r="AX803" i="53"/>
  <c r="AY803" i="53"/>
  <c r="AV803" i="53"/>
  <c r="AW803" i="53"/>
  <c r="AU803" i="53"/>
  <c r="AS803" i="53"/>
  <c r="AQ803" i="53"/>
  <c r="AO803" i="53"/>
  <c r="AM803" i="53"/>
  <c r="AK803" i="53"/>
  <c r="AJ803" i="53"/>
  <c r="AF803" i="53"/>
  <c r="Y803" i="53"/>
  <c r="X803" i="53"/>
  <c r="D803" i="53"/>
  <c r="C803" i="53"/>
  <c r="B803" i="53"/>
  <c r="A803" i="53"/>
  <c r="AZ802" i="53"/>
  <c r="BA802" i="53"/>
  <c r="AX802" i="53"/>
  <c r="AY802" i="53"/>
  <c r="AV802" i="53"/>
  <c r="AW802" i="53"/>
  <c r="AU802" i="53"/>
  <c r="AS802" i="53"/>
  <c r="AQ802" i="53"/>
  <c r="AO802" i="53"/>
  <c r="AM802" i="53"/>
  <c r="AK802" i="53"/>
  <c r="AJ802" i="53"/>
  <c r="AF802" i="53"/>
  <c r="Y802" i="53"/>
  <c r="X802" i="53"/>
  <c r="D802" i="53"/>
  <c r="C802" i="53"/>
  <c r="B802" i="53"/>
  <c r="A802" i="53"/>
  <c r="AZ801" i="53"/>
  <c r="BA801" i="53"/>
  <c r="AX801" i="53"/>
  <c r="AY801" i="53"/>
  <c r="AV801" i="53"/>
  <c r="AW801" i="53"/>
  <c r="AU801" i="53"/>
  <c r="AS801" i="53"/>
  <c r="AS800" i="53"/>
  <c r="AQ801" i="53"/>
  <c r="AO801" i="53"/>
  <c r="AO800" i="53"/>
  <c r="AM801" i="53"/>
  <c r="AK801" i="53"/>
  <c r="AK800" i="53"/>
  <c r="AG801" i="53"/>
  <c r="AJ801" i="53"/>
  <c r="AJ800" i="53"/>
  <c r="AF801" i="53"/>
  <c r="Y801" i="53"/>
  <c r="X801" i="53"/>
  <c r="D801" i="53"/>
  <c r="C801" i="53"/>
  <c r="B801" i="53"/>
  <c r="A801" i="53"/>
  <c r="AU800" i="53"/>
  <c r="AQ800" i="53"/>
  <c r="AM800" i="53"/>
  <c r="AH800" i="53"/>
  <c r="AG800" i="53"/>
  <c r="AD800" i="53"/>
  <c r="AB800" i="53"/>
  <c r="AE800" i="53"/>
  <c r="AF800" i="53"/>
  <c r="AC800" i="53"/>
  <c r="C800" i="53"/>
  <c r="B800" i="53"/>
  <c r="A800" i="53"/>
  <c r="AZ799" i="53"/>
  <c r="BA799" i="53"/>
  <c r="AX799" i="53"/>
  <c r="AY799" i="53"/>
  <c r="AV799" i="53"/>
  <c r="AW799" i="53"/>
  <c r="AU799" i="53"/>
  <c r="AS799" i="53"/>
  <c r="AQ799" i="53"/>
  <c r="AO799" i="53"/>
  <c r="AM799" i="53"/>
  <c r="AK799" i="53"/>
  <c r="AJ799" i="53"/>
  <c r="AF799" i="53"/>
  <c r="B799" i="53"/>
  <c r="AZ798" i="53"/>
  <c r="BA798" i="53"/>
  <c r="AX798" i="53"/>
  <c r="AY798" i="53"/>
  <c r="AV798" i="53"/>
  <c r="AW798" i="53"/>
  <c r="AU798" i="53"/>
  <c r="AS798" i="53"/>
  <c r="AQ798" i="53"/>
  <c r="AO798" i="53"/>
  <c r="AM798" i="53"/>
  <c r="AK798" i="53"/>
  <c r="AJ798" i="53"/>
  <c r="AF798" i="53"/>
  <c r="C798" i="53"/>
  <c r="C799" i="53"/>
  <c r="A798" i="53"/>
  <c r="A799" i="53"/>
  <c r="AZ797" i="53"/>
  <c r="BA797" i="53"/>
  <c r="AX797" i="53"/>
  <c r="AY797" i="53"/>
  <c r="AV797" i="53"/>
  <c r="AW797" i="53"/>
  <c r="AU797" i="53"/>
  <c r="AS797" i="53"/>
  <c r="AQ797" i="53"/>
  <c r="AO797" i="53"/>
  <c r="AM797" i="53"/>
  <c r="AK797" i="53"/>
  <c r="AJ797" i="53"/>
  <c r="AF797" i="53"/>
  <c r="C797" i="53"/>
  <c r="A797" i="53"/>
  <c r="AZ796" i="53"/>
  <c r="BA796" i="53"/>
  <c r="AX796" i="53"/>
  <c r="AY796" i="53"/>
  <c r="AV796" i="53"/>
  <c r="AW796" i="53"/>
  <c r="AU796" i="53"/>
  <c r="AS796" i="53"/>
  <c r="AQ796" i="53"/>
  <c r="AO796" i="53"/>
  <c r="AM796" i="53"/>
  <c r="AF796" i="53"/>
  <c r="C796" i="53"/>
  <c r="A796" i="53"/>
  <c r="AZ795" i="53"/>
  <c r="BA795" i="53"/>
  <c r="AX795" i="53"/>
  <c r="AY795" i="53"/>
  <c r="AV795" i="53"/>
  <c r="AW795" i="53"/>
  <c r="AU795" i="53"/>
  <c r="AS795" i="53"/>
  <c r="AQ795" i="53"/>
  <c r="AO795" i="53"/>
  <c r="AM795" i="53"/>
  <c r="AK795" i="53"/>
  <c r="AJ795" i="53"/>
  <c r="AF795" i="53"/>
  <c r="AZ794" i="53"/>
  <c r="BA794" i="53"/>
  <c r="AX794" i="53"/>
  <c r="AY794" i="53"/>
  <c r="AV794" i="53"/>
  <c r="AW794" i="53"/>
  <c r="AU794" i="53"/>
  <c r="AS794" i="53"/>
  <c r="AQ794" i="53"/>
  <c r="AO794" i="53"/>
  <c r="AM794" i="53"/>
  <c r="AK794" i="53"/>
  <c r="AG794" i="53"/>
  <c r="AJ794" i="53"/>
  <c r="AF794" i="53"/>
  <c r="C794" i="53"/>
  <c r="A794" i="53"/>
  <c r="AZ793" i="53"/>
  <c r="BA793" i="53"/>
  <c r="AX793" i="53"/>
  <c r="AY793" i="53"/>
  <c r="AV793" i="53"/>
  <c r="AW793" i="53"/>
  <c r="AU793" i="53"/>
  <c r="AS793" i="53"/>
  <c r="AQ793" i="53"/>
  <c r="AO793" i="53"/>
  <c r="AM793" i="53"/>
  <c r="AK793" i="53"/>
  <c r="AG793" i="53"/>
  <c r="AJ793" i="53"/>
  <c r="AF793" i="53"/>
  <c r="C793" i="53"/>
  <c r="A793" i="53"/>
  <c r="AZ792" i="53"/>
  <c r="BA792" i="53"/>
  <c r="AX792" i="53"/>
  <c r="AY792" i="53"/>
  <c r="AV792" i="53"/>
  <c r="AW792" i="53"/>
  <c r="AU792" i="53"/>
  <c r="AS792" i="53"/>
  <c r="AQ792" i="53"/>
  <c r="AO792" i="53"/>
  <c r="AM792" i="53"/>
  <c r="AK792" i="53"/>
  <c r="AG792" i="53"/>
  <c r="AJ792" i="53"/>
  <c r="AF792" i="53"/>
  <c r="C792" i="53"/>
  <c r="A792" i="53"/>
  <c r="AZ791" i="53"/>
  <c r="BA791" i="53"/>
  <c r="AX791" i="53"/>
  <c r="AY791" i="53"/>
  <c r="AV791" i="53"/>
  <c r="AW791" i="53"/>
  <c r="AU791" i="53"/>
  <c r="AS791" i="53"/>
  <c r="AQ791" i="53"/>
  <c r="AO791" i="53"/>
  <c r="AM791" i="53"/>
  <c r="AK791" i="53"/>
  <c r="AG791" i="53"/>
  <c r="AJ791" i="53"/>
  <c r="AF791" i="53"/>
  <c r="C791" i="53"/>
  <c r="A791" i="53"/>
  <c r="AZ790" i="53"/>
  <c r="BA790" i="53"/>
  <c r="AX790" i="53"/>
  <c r="AY790" i="53"/>
  <c r="AV790" i="53"/>
  <c r="AW790" i="53"/>
  <c r="AU790" i="53"/>
  <c r="AS790" i="53"/>
  <c r="AQ790" i="53"/>
  <c r="AO790" i="53"/>
  <c r="AM790" i="53"/>
  <c r="AK790" i="53"/>
  <c r="AG790" i="53"/>
  <c r="AJ790" i="53"/>
  <c r="AF790" i="53"/>
  <c r="C790" i="53"/>
  <c r="A790" i="53"/>
  <c r="AZ789" i="53"/>
  <c r="BA789" i="53"/>
  <c r="AX789" i="53"/>
  <c r="AY789" i="53"/>
  <c r="AV789" i="53"/>
  <c r="AW789" i="53"/>
  <c r="AU789" i="53"/>
  <c r="AS789" i="53"/>
  <c r="AS788" i="53"/>
  <c r="AQ789" i="53"/>
  <c r="AO789" i="53"/>
  <c r="AO788" i="53"/>
  <c r="AM789" i="53"/>
  <c r="AK789" i="53"/>
  <c r="AK788" i="53"/>
  <c r="AG789" i="53"/>
  <c r="AJ789" i="53"/>
  <c r="AJ788" i="53"/>
  <c r="AF789" i="53"/>
  <c r="C789" i="53"/>
  <c r="A789" i="53"/>
  <c r="AU788" i="53"/>
  <c r="AQ788" i="53"/>
  <c r="AM788" i="53"/>
  <c r="AH788" i="53"/>
  <c r="AG788" i="53"/>
  <c r="AD788" i="53"/>
  <c r="AB788" i="53"/>
  <c r="AE788" i="53"/>
  <c r="AF788" i="53"/>
  <c r="AC788" i="53"/>
  <c r="C788" i="53"/>
  <c r="A788" i="53"/>
  <c r="AZ787" i="53"/>
  <c r="BA787" i="53"/>
  <c r="AX787" i="53"/>
  <c r="AY787" i="53"/>
  <c r="AV787" i="53"/>
  <c r="AW787" i="53"/>
  <c r="AU787" i="53"/>
  <c r="AS787" i="53"/>
  <c r="AQ787" i="53"/>
  <c r="AO787" i="53"/>
  <c r="AM787" i="53"/>
  <c r="AK787" i="53"/>
  <c r="AJ787" i="53"/>
  <c r="AF787" i="53"/>
  <c r="C786" i="53"/>
  <c r="C787" i="53"/>
  <c r="B787" i="53"/>
  <c r="AZ786" i="53"/>
  <c r="BA786" i="53"/>
  <c r="AX786" i="53"/>
  <c r="AY786" i="53"/>
  <c r="AV786" i="53"/>
  <c r="AW786" i="53"/>
  <c r="AU786" i="53"/>
  <c r="AS786" i="53"/>
  <c r="AQ786" i="53"/>
  <c r="AO786" i="53"/>
  <c r="AM786" i="53"/>
  <c r="AK786" i="53"/>
  <c r="AJ786" i="53"/>
  <c r="AF786" i="53"/>
  <c r="A786" i="53"/>
  <c r="A787" i="53"/>
  <c r="AZ785" i="53"/>
  <c r="BA785" i="53"/>
  <c r="AX785" i="53"/>
  <c r="AY785" i="53"/>
  <c r="AV785" i="53"/>
  <c r="AW785" i="53"/>
  <c r="AU785" i="53"/>
  <c r="AS785" i="53"/>
  <c r="AQ785" i="53"/>
  <c r="AO785" i="53"/>
  <c r="AM785" i="53"/>
  <c r="AK785" i="53"/>
  <c r="AJ785" i="53"/>
  <c r="AF785" i="53"/>
  <c r="C785" i="53"/>
  <c r="A785" i="53"/>
  <c r="AZ784" i="53"/>
  <c r="BA784" i="53"/>
  <c r="AX784" i="53"/>
  <c r="AY784" i="53"/>
  <c r="AV784" i="53"/>
  <c r="AW784" i="53"/>
  <c r="AU784" i="53"/>
  <c r="AS784" i="53"/>
  <c r="AQ784" i="53"/>
  <c r="AO784" i="53"/>
  <c r="AM784" i="53"/>
  <c r="AK784" i="53"/>
  <c r="AJ784" i="53"/>
  <c r="AF784" i="53"/>
  <c r="C784" i="53"/>
  <c r="A784" i="53"/>
  <c r="AZ783" i="53"/>
  <c r="BA783" i="53"/>
  <c r="AX783" i="53"/>
  <c r="AY783" i="53"/>
  <c r="AV783" i="53"/>
  <c r="AW783" i="53"/>
  <c r="AU783" i="53"/>
  <c r="AS783" i="53"/>
  <c r="AQ783" i="53"/>
  <c r="AO783" i="53"/>
  <c r="AM783" i="53"/>
  <c r="AK783" i="53"/>
  <c r="AJ783" i="53"/>
  <c r="AF783" i="53"/>
  <c r="AZ782" i="53"/>
  <c r="AH782" i="53"/>
  <c r="BA782" i="53"/>
  <c r="AX782" i="53"/>
  <c r="AY782" i="53"/>
  <c r="AV782" i="53"/>
  <c r="AW782" i="53"/>
  <c r="AJ782" i="53"/>
  <c r="AS782" i="53"/>
  <c r="C782" i="53"/>
  <c r="A782" i="53"/>
  <c r="AZ781" i="53"/>
  <c r="AH781" i="53"/>
  <c r="BA781" i="53"/>
  <c r="AX781" i="53"/>
  <c r="AY781" i="53"/>
  <c r="AV781" i="53"/>
  <c r="AW781" i="53"/>
  <c r="AJ781" i="53"/>
  <c r="AS781" i="53"/>
  <c r="C781" i="53"/>
  <c r="A781" i="53"/>
  <c r="AZ780" i="53"/>
  <c r="AH780" i="53"/>
  <c r="BA780" i="53"/>
  <c r="AX780" i="53"/>
  <c r="AY780" i="53"/>
  <c r="AV780" i="53"/>
  <c r="AW780" i="53"/>
  <c r="AJ780" i="53"/>
  <c r="AS780" i="53"/>
  <c r="C780" i="53"/>
  <c r="A780" i="53"/>
  <c r="AZ779" i="53"/>
  <c r="BA779" i="53"/>
  <c r="AX779" i="53"/>
  <c r="AY779" i="53"/>
  <c r="AV779" i="53"/>
  <c r="AW779" i="53"/>
  <c r="AU779" i="53"/>
  <c r="AS779" i="53"/>
  <c r="AQ779" i="53"/>
  <c r="AO779" i="53"/>
  <c r="AM779" i="53"/>
  <c r="AK779" i="53"/>
  <c r="AG779" i="53"/>
  <c r="AJ779" i="53"/>
  <c r="AF779" i="53"/>
  <c r="C779" i="53"/>
  <c r="A779" i="53"/>
  <c r="AZ778" i="53"/>
  <c r="BA778" i="53"/>
  <c r="AX778" i="53"/>
  <c r="AY778" i="53"/>
  <c r="AV778" i="53"/>
  <c r="AW778" i="53"/>
  <c r="AU778" i="53"/>
  <c r="AS778" i="53"/>
  <c r="AQ778" i="53"/>
  <c r="AO778" i="53"/>
  <c r="AM778" i="53"/>
  <c r="AK778" i="53"/>
  <c r="AG778" i="53"/>
  <c r="AJ778" i="53"/>
  <c r="AF778" i="53"/>
  <c r="C778" i="53"/>
  <c r="A778" i="53"/>
  <c r="AZ777" i="53"/>
  <c r="BA777" i="53"/>
  <c r="AX777" i="53"/>
  <c r="AY777" i="53"/>
  <c r="AV777" i="53"/>
  <c r="AW777" i="53"/>
  <c r="AU777" i="53"/>
  <c r="AS777" i="53"/>
  <c r="AQ777" i="53"/>
  <c r="AO777" i="53"/>
  <c r="AM777" i="53"/>
  <c r="AK777" i="53"/>
  <c r="AG777" i="53"/>
  <c r="AJ777" i="53"/>
  <c r="AF777" i="53"/>
  <c r="C777" i="53"/>
  <c r="A777" i="53"/>
  <c r="AZ776" i="53"/>
  <c r="BA776" i="53"/>
  <c r="AX776" i="53"/>
  <c r="AY776" i="53"/>
  <c r="AV776" i="53"/>
  <c r="AW776" i="53"/>
  <c r="AU776" i="53"/>
  <c r="AS776" i="53"/>
  <c r="AQ776" i="53"/>
  <c r="AO776" i="53"/>
  <c r="AM776" i="53"/>
  <c r="AK776" i="53"/>
  <c r="AG776" i="53"/>
  <c r="AJ776" i="53"/>
  <c r="AF776" i="53"/>
  <c r="C776" i="53"/>
  <c r="A776" i="53"/>
  <c r="AZ775" i="53"/>
  <c r="BA775" i="53"/>
  <c r="AX775" i="53"/>
  <c r="AY775" i="53"/>
  <c r="AV775" i="53"/>
  <c r="AW775" i="53"/>
  <c r="AU775" i="53"/>
  <c r="AS775" i="53"/>
  <c r="AQ775" i="53"/>
  <c r="AO775" i="53"/>
  <c r="AM775" i="53"/>
  <c r="AK775" i="53"/>
  <c r="AG775" i="53"/>
  <c r="AJ775" i="53"/>
  <c r="AF775" i="53"/>
  <c r="C775" i="53"/>
  <c r="A775" i="53"/>
  <c r="AZ774" i="53"/>
  <c r="BA774" i="53"/>
  <c r="AX774" i="53"/>
  <c r="AY774" i="53"/>
  <c r="AV774" i="53"/>
  <c r="AW774" i="53"/>
  <c r="AU774" i="53"/>
  <c r="AS774" i="53"/>
  <c r="AQ774" i="53"/>
  <c r="AO774" i="53"/>
  <c r="AM774" i="53"/>
  <c r="AK774" i="53"/>
  <c r="AG774" i="53"/>
  <c r="AJ774" i="53"/>
  <c r="AF774" i="53"/>
  <c r="C774" i="53"/>
  <c r="A774" i="53"/>
  <c r="AZ773" i="53"/>
  <c r="BA773" i="53"/>
  <c r="AX773" i="53"/>
  <c r="AY773" i="53"/>
  <c r="AV773" i="53"/>
  <c r="AW773" i="53"/>
  <c r="AU773" i="53"/>
  <c r="AS773" i="53"/>
  <c r="AQ773" i="53"/>
  <c r="AO773" i="53"/>
  <c r="AM773" i="53"/>
  <c r="AK773" i="53"/>
  <c r="AJ773" i="53"/>
  <c r="AF773" i="53"/>
  <c r="C773" i="53"/>
  <c r="A773" i="53"/>
  <c r="AZ772" i="53"/>
  <c r="BA772" i="53"/>
  <c r="AX772" i="53"/>
  <c r="AY772" i="53"/>
  <c r="AV772" i="53"/>
  <c r="AW772" i="53"/>
  <c r="AU772" i="53"/>
  <c r="AS772" i="53"/>
  <c r="AQ772" i="53"/>
  <c r="AO772" i="53"/>
  <c r="AM772" i="53"/>
  <c r="AK772" i="53"/>
  <c r="AG772" i="53"/>
  <c r="AJ772" i="53"/>
  <c r="AJ771" i="53"/>
  <c r="AF772" i="53"/>
  <c r="C772" i="53"/>
  <c r="A772" i="53"/>
  <c r="AD771" i="53"/>
  <c r="AB771" i="53"/>
  <c r="AE771" i="53"/>
  <c r="AF771" i="53"/>
  <c r="AC771" i="53"/>
  <c r="C771" i="53"/>
  <c r="A771" i="53"/>
  <c r="AZ770" i="53"/>
  <c r="BA770" i="53"/>
  <c r="AX770" i="53"/>
  <c r="AY770" i="53"/>
  <c r="AV770" i="53"/>
  <c r="AW770" i="53"/>
  <c r="AU770" i="53"/>
  <c r="AS770" i="53"/>
  <c r="AQ770" i="53"/>
  <c r="AO770" i="53"/>
  <c r="AM770" i="53"/>
  <c r="AK770" i="53"/>
  <c r="AJ770" i="53"/>
  <c r="AF770" i="53"/>
  <c r="Y770" i="53"/>
  <c r="X770" i="53"/>
  <c r="D770" i="53"/>
  <c r="C770" i="53"/>
  <c r="B770" i="53"/>
  <c r="A770" i="53"/>
  <c r="AZ769" i="53"/>
  <c r="BA769" i="53"/>
  <c r="AX769" i="53"/>
  <c r="AY769" i="53"/>
  <c r="AV769" i="53"/>
  <c r="AW769" i="53"/>
  <c r="AU769" i="53"/>
  <c r="AS769" i="53"/>
  <c r="AQ769" i="53"/>
  <c r="AO769" i="53"/>
  <c r="AM769" i="53"/>
  <c r="AK769" i="53"/>
  <c r="AJ769" i="53"/>
  <c r="AF769" i="53"/>
  <c r="Y769" i="53"/>
  <c r="X769" i="53"/>
  <c r="D769" i="53"/>
  <c r="C769" i="53"/>
  <c r="B769" i="53"/>
  <c r="A769" i="53"/>
  <c r="AZ768" i="53"/>
  <c r="BA768" i="53"/>
  <c r="AX768" i="53"/>
  <c r="AY768" i="53"/>
  <c r="AV768" i="53"/>
  <c r="AW768" i="53"/>
  <c r="AU768" i="53"/>
  <c r="AS768" i="53"/>
  <c r="AQ768" i="53"/>
  <c r="AO768" i="53"/>
  <c r="AM768" i="53"/>
  <c r="AK768" i="53"/>
  <c r="AJ768" i="53"/>
  <c r="AF768" i="53"/>
  <c r="Y768" i="53"/>
  <c r="X768" i="53"/>
  <c r="D768" i="53"/>
  <c r="C768" i="53"/>
  <c r="B768" i="53"/>
  <c r="A768" i="53"/>
  <c r="AZ767" i="53"/>
  <c r="BA767" i="53"/>
  <c r="AX767" i="53"/>
  <c r="AY767" i="53"/>
  <c r="AV767" i="53"/>
  <c r="AW767" i="53"/>
  <c r="AU767" i="53"/>
  <c r="AS767" i="53"/>
  <c r="AQ767" i="53"/>
  <c r="AO767" i="53"/>
  <c r="AM767" i="53"/>
  <c r="AK767" i="53"/>
  <c r="AJ767" i="53"/>
  <c r="AF767" i="53"/>
  <c r="Y767" i="53"/>
  <c r="X767" i="53"/>
  <c r="D767" i="53"/>
  <c r="C767" i="53"/>
  <c r="B767" i="53"/>
  <c r="A767" i="53"/>
  <c r="AZ766" i="53"/>
  <c r="BA766" i="53"/>
  <c r="AX766" i="53"/>
  <c r="AY766" i="53"/>
  <c r="AV766" i="53"/>
  <c r="AW766" i="53"/>
  <c r="AU766" i="53"/>
  <c r="AS766" i="53"/>
  <c r="AQ766" i="53"/>
  <c r="AO766" i="53"/>
  <c r="AM766" i="53"/>
  <c r="AK766" i="53"/>
  <c r="AJ766" i="53"/>
  <c r="AF766" i="53"/>
  <c r="Y766" i="53"/>
  <c r="X766" i="53"/>
  <c r="D766" i="53"/>
  <c r="C766" i="53"/>
  <c r="B766" i="53"/>
  <c r="A766" i="53"/>
  <c r="AZ765" i="53"/>
  <c r="AH765" i="53"/>
  <c r="BA765" i="53"/>
  <c r="AX765" i="53"/>
  <c r="AY765" i="53"/>
  <c r="AV765" i="53"/>
  <c r="AW765" i="53"/>
  <c r="AU765" i="53"/>
  <c r="AQ765" i="53"/>
  <c r="AM765" i="53"/>
  <c r="AJ765" i="53"/>
  <c r="AS765" i="53"/>
  <c r="Y765" i="53"/>
  <c r="X765" i="53"/>
  <c r="D765" i="53"/>
  <c r="C765" i="53"/>
  <c r="B765" i="53"/>
  <c r="A765" i="53"/>
  <c r="AZ764" i="53"/>
  <c r="AH764" i="53"/>
  <c r="BA764" i="53"/>
  <c r="AX764" i="53"/>
  <c r="AY764" i="53"/>
  <c r="AV764" i="53"/>
  <c r="AW764" i="53"/>
  <c r="AU764" i="53"/>
  <c r="AQ764" i="53"/>
  <c r="AQ756" i="53"/>
  <c r="AQ757" i="53"/>
  <c r="AQ758" i="53"/>
  <c r="AQ759" i="53"/>
  <c r="AQ760" i="53"/>
  <c r="AQ761" i="53"/>
  <c r="AQ762" i="53"/>
  <c r="AH763" i="53"/>
  <c r="AQ763" i="53"/>
  <c r="AQ755" i="53"/>
  <c r="AM764" i="53"/>
  <c r="AJ764" i="53"/>
  <c r="AS764" i="53"/>
  <c r="Y764" i="53"/>
  <c r="X764" i="53"/>
  <c r="D764" i="53"/>
  <c r="C764" i="53"/>
  <c r="B764" i="53"/>
  <c r="A764" i="53"/>
  <c r="AZ763" i="53"/>
  <c r="BA763" i="53"/>
  <c r="AX763" i="53"/>
  <c r="AY763" i="53"/>
  <c r="AV763" i="53"/>
  <c r="AW763" i="53"/>
  <c r="AU763" i="53"/>
  <c r="AM763" i="53"/>
  <c r="AJ763" i="53"/>
  <c r="AS763" i="53"/>
  <c r="Y763" i="53"/>
  <c r="X763" i="53"/>
  <c r="D763" i="53"/>
  <c r="C763" i="53"/>
  <c r="B763" i="53"/>
  <c r="A763" i="53"/>
  <c r="AZ762" i="53"/>
  <c r="BA762" i="53"/>
  <c r="AX762" i="53"/>
  <c r="AY762" i="53"/>
  <c r="AV762" i="53"/>
  <c r="AW762" i="53"/>
  <c r="AU762" i="53"/>
  <c r="AS762" i="53"/>
  <c r="AO762" i="53"/>
  <c r="AM762" i="53"/>
  <c r="AK762" i="53"/>
  <c r="AG762" i="53"/>
  <c r="AJ762" i="53"/>
  <c r="Y762" i="53"/>
  <c r="X762" i="53"/>
  <c r="D762" i="53"/>
  <c r="C762" i="53"/>
  <c r="B762" i="53"/>
  <c r="A762" i="53"/>
  <c r="AZ761" i="53"/>
  <c r="BA761" i="53"/>
  <c r="AX761" i="53"/>
  <c r="AY761" i="53"/>
  <c r="AV761" i="53"/>
  <c r="AW761" i="53"/>
  <c r="AU761" i="53"/>
  <c r="AS761" i="53"/>
  <c r="AO761" i="53"/>
  <c r="AM761" i="53"/>
  <c r="AK761" i="53"/>
  <c r="AG761" i="53"/>
  <c r="AJ761" i="53"/>
  <c r="Y761" i="53"/>
  <c r="X761" i="53"/>
  <c r="D761" i="53"/>
  <c r="C761" i="53"/>
  <c r="B761" i="53"/>
  <c r="A761" i="53"/>
  <c r="AZ760" i="53"/>
  <c r="BA760" i="53"/>
  <c r="AX760" i="53"/>
  <c r="AY760" i="53"/>
  <c r="AV760" i="53"/>
  <c r="AW760" i="53"/>
  <c r="AU760" i="53"/>
  <c r="AS760" i="53"/>
  <c r="AO760" i="53"/>
  <c r="AM760" i="53"/>
  <c r="AK760" i="53"/>
  <c r="AG760" i="53"/>
  <c r="AJ760" i="53"/>
  <c r="AD760" i="53"/>
  <c r="AE760" i="53"/>
  <c r="AF760" i="53"/>
  <c r="Y760" i="53"/>
  <c r="X760" i="53"/>
  <c r="D760" i="53"/>
  <c r="C760" i="53"/>
  <c r="B760" i="53"/>
  <c r="A760" i="53"/>
  <c r="AZ759" i="53"/>
  <c r="BA759" i="53"/>
  <c r="AX759" i="53"/>
  <c r="AY759" i="53"/>
  <c r="AV759" i="53"/>
  <c r="AW759" i="53"/>
  <c r="AU759" i="53"/>
  <c r="AS759" i="53"/>
  <c r="AO759" i="53"/>
  <c r="AM759" i="53"/>
  <c r="AK759" i="53"/>
  <c r="AG759" i="53"/>
  <c r="AJ759" i="53"/>
  <c r="AG756" i="53"/>
  <c r="AJ756" i="53"/>
  <c r="AJ757" i="53"/>
  <c r="AG758" i="53"/>
  <c r="AJ758" i="53"/>
  <c r="AJ755" i="53"/>
  <c r="AD759" i="53"/>
  <c r="AE759" i="53"/>
  <c r="AF759" i="53"/>
  <c r="Y759" i="53"/>
  <c r="X759" i="53"/>
  <c r="D759" i="53"/>
  <c r="C759" i="53"/>
  <c r="B759" i="53"/>
  <c r="A759" i="53"/>
  <c r="AZ758" i="53"/>
  <c r="BA758" i="53"/>
  <c r="AX758" i="53"/>
  <c r="AY758" i="53"/>
  <c r="AV758" i="53"/>
  <c r="AW758" i="53"/>
  <c r="AU758" i="53"/>
  <c r="AS758" i="53"/>
  <c r="AO758" i="53"/>
  <c r="AM758" i="53"/>
  <c r="AK758" i="53"/>
  <c r="AD758" i="53"/>
  <c r="AC758" i="53"/>
  <c r="AB758" i="53"/>
  <c r="AB755" i="53"/>
  <c r="Y758" i="53"/>
  <c r="X758" i="53"/>
  <c r="D758" i="53"/>
  <c r="C758" i="53"/>
  <c r="B758" i="53"/>
  <c r="A758" i="53"/>
  <c r="AZ757" i="53"/>
  <c r="BA757" i="53"/>
  <c r="AX757" i="53"/>
  <c r="AY757" i="53"/>
  <c r="AV757" i="53"/>
  <c r="AW757" i="53"/>
  <c r="AU757" i="53"/>
  <c r="AS757" i="53"/>
  <c r="AO757" i="53"/>
  <c r="AM757" i="53"/>
  <c r="AK757" i="53"/>
  <c r="AF757" i="53"/>
  <c r="Y757" i="53"/>
  <c r="X757" i="53"/>
  <c r="D757" i="53"/>
  <c r="C757" i="53"/>
  <c r="B757" i="53"/>
  <c r="A757" i="53"/>
  <c r="AZ756" i="53"/>
  <c r="BA756" i="53"/>
  <c r="AV756" i="53"/>
  <c r="AW756" i="53"/>
  <c r="AW755" i="53"/>
  <c r="AS756" i="53"/>
  <c r="AS755" i="53"/>
  <c r="AU756" i="53"/>
  <c r="AU755" i="53"/>
  <c r="AY755" i="53"/>
  <c r="BA755" i="53"/>
  <c r="AO756" i="53"/>
  <c r="AM756" i="53"/>
  <c r="AK756" i="53"/>
  <c r="AD756" i="53"/>
  <c r="AE756" i="53"/>
  <c r="AF756" i="53"/>
  <c r="Y756" i="53"/>
  <c r="X756" i="53"/>
  <c r="D756" i="53"/>
  <c r="C756" i="53"/>
  <c r="B756" i="53"/>
  <c r="A756" i="53"/>
  <c r="AM755" i="53"/>
  <c r="AH755" i="53"/>
  <c r="AG755" i="53"/>
  <c r="AC755" i="53"/>
  <c r="C755" i="53"/>
  <c r="B755" i="53"/>
  <c r="A755" i="53"/>
  <c r="AZ754" i="53"/>
  <c r="BA754" i="53"/>
  <c r="AX754" i="53"/>
  <c r="AY754" i="53"/>
  <c r="AV754" i="53"/>
  <c r="AW754" i="53"/>
  <c r="AU754" i="53"/>
  <c r="AS754" i="53"/>
  <c r="AQ754" i="53"/>
  <c r="AO754" i="53"/>
  <c r="AM754" i="53"/>
  <c r="AK754" i="53"/>
  <c r="AJ754" i="53"/>
  <c r="AF754" i="53"/>
  <c r="C754" i="53"/>
  <c r="B754" i="53"/>
  <c r="A754" i="53"/>
  <c r="AZ753" i="53"/>
  <c r="BA753" i="53"/>
  <c r="AX753" i="53"/>
  <c r="AY753" i="53"/>
  <c r="AV753" i="53"/>
  <c r="AW753" i="53"/>
  <c r="AU753" i="53"/>
  <c r="AS753" i="53"/>
  <c r="AQ753" i="53"/>
  <c r="AO753" i="53"/>
  <c r="AM753" i="53"/>
  <c r="AK753" i="53"/>
  <c r="AJ753" i="53"/>
  <c r="AF753" i="53"/>
  <c r="C753" i="53"/>
  <c r="B753" i="53"/>
  <c r="A753" i="53"/>
  <c r="AZ752" i="53"/>
  <c r="BA752" i="53"/>
  <c r="AV752" i="53"/>
  <c r="AW752" i="53"/>
  <c r="AU752" i="53"/>
  <c r="AS752" i="53"/>
  <c r="AQ752" i="53"/>
  <c r="AO752" i="53"/>
  <c r="AM752" i="53"/>
  <c r="AK752" i="53"/>
  <c r="AJ752" i="53"/>
  <c r="AF752" i="53"/>
  <c r="C752" i="53"/>
  <c r="B752" i="53"/>
  <c r="A752" i="53"/>
  <c r="AZ751" i="53"/>
  <c r="BA751" i="53"/>
  <c r="AX751" i="53"/>
  <c r="AY751" i="53"/>
  <c r="AV751" i="53"/>
  <c r="AW751" i="53"/>
  <c r="AU751" i="53"/>
  <c r="AU748" i="53"/>
  <c r="AU749" i="53"/>
  <c r="AU750" i="53"/>
  <c r="AU747" i="53"/>
  <c r="AS751" i="53"/>
  <c r="AQ751" i="53"/>
  <c r="AO751" i="53"/>
  <c r="AM751" i="53"/>
  <c r="AM748" i="53"/>
  <c r="AM749" i="53"/>
  <c r="AM750" i="53"/>
  <c r="AM747" i="53"/>
  <c r="AK751" i="53"/>
  <c r="AJ751" i="53"/>
  <c r="AF751" i="53"/>
  <c r="C751" i="53"/>
  <c r="B751" i="53"/>
  <c r="A751" i="53"/>
  <c r="AZ750" i="53"/>
  <c r="BA750" i="53"/>
  <c r="AX750" i="53"/>
  <c r="AY750" i="53"/>
  <c r="AV750" i="53"/>
  <c r="AW750" i="53"/>
  <c r="AS750" i="53"/>
  <c r="AQ750" i="53"/>
  <c r="AO750" i="53"/>
  <c r="AK750" i="53"/>
  <c r="AG750" i="53"/>
  <c r="AJ750" i="53"/>
  <c r="AF750" i="53"/>
  <c r="C750" i="53"/>
  <c r="B750" i="53"/>
  <c r="A750" i="53"/>
  <c r="AZ749" i="53"/>
  <c r="BA749" i="53"/>
  <c r="AX749" i="53"/>
  <c r="AY749" i="53"/>
  <c r="AV749" i="53"/>
  <c r="AW749" i="53"/>
  <c r="AS749" i="53"/>
  <c r="AQ749" i="53"/>
  <c r="AO749" i="53"/>
  <c r="AK749" i="53"/>
  <c r="AJ749" i="53"/>
  <c r="AF749" i="53"/>
  <c r="C749" i="53"/>
  <c r="B749" i="53"/>
  <c r="A749" i="53"/>
  <c r="AZ748" i="53"/>
  <c r="BA748" i="53"/>
  <c r="AX748" i="53"/>
  <c r="AY748" i="53"/>
  <c r="AV748" i="53"/>
  <c r="AW748" i="53"/>
  <c r="AS748" i="53"/>
  <c r="AQ748" i="53"/>
  <c r="AO748" i="53"/>
  <c r="AK748" i="53"/>
  <c r="AG748" i="53"/>
  <c r="AJ748" i="53"/>
  <c r="AF748" i="53"/>
  <c r="C748" i="53"/>
  <c r="B748" i="53"/>
  <c r="A748" i="53"/>
  <c r="AQ747" i="53"/>
  <c r="AJ747" i="53"/>
  <c r="AH747" i="53"/>
  <c r="AG747" i="53"/>
  <c r="AD747" i="53"/>
  <c r="AB747" i="53"/>
  <c r="AE747" i="53"/>
  <c r="AF747" i="53"/>
  <c r="AC747" i="53"/>
  <c r="C747" i="53"/>
  <c r="B747" i="53"/>
  <c r="A747" i="53"/>
  <c r="AZ746" i="53"/>
  <c r="BA746" i="53"/>
  <c r="AV746" i="53"/>
  <c r="AW746" i="53"/>
  <c r="AU746" i="53"/>
  <c r="AS746" i="53"/>
  <c r="AQ746" i="53"/>
  <c r="AO746" i="53"/>
  <c r="AM746" i="53"/>
  <c r="AK746" i="53"/>
  <c r="AJ746" i="53"/>
  <c r="AF746" i="53"/>
  <c r="B746" i="53"/>
  <c r="AZ745" i="53"/>
  <c r="BA745" i="53"/>
  <c r="AX745" i="53"/>
  <c r="AY745" i="53"/>
  <c r="AV745" i="53"/>
  <c r="AW745" i="53"/>
  <c r="AU745" i="53"/>
  <c r="AS745" i="53"/>
  <c r="AQ745" i="53"/>
  <c r="AO745" i="53"/>
  <c r="AM745" i="53"/>
  <c r="AF745" i="53"/>
  <c r="C745" i="53"/>
  <c r="C746" i="53"/>
  <c r="A745" i="53"/>
  <c r="A746" i="53"/>
  <c r="AZ744" i="53"/>
  <c r="BA744" i="53"/>
  <c r="AX744" i="53"/>
  <c r="AY744" i="53"/>
  <c r="AV744" i="53"/>
  <c r="AW744" i="53"/>
  <c r="AU744" i="53"/>
  <c r="AS744" i="53"/>
  <c r="AQ744" i="53"/>
  <c r="AO744" i="53"/>
  <c r="AM744" i="53"/>
  <c r="AF744" i="53"/>
  <c r="C744" i="53"/>
  <c r="A744" i="53"/>
  <c r="AZ743" i="53"/>
  <c r="BA743" i="53"/>
  <c r="AX743" i="53"/>
  <c r="AY743" i="53"/>
  <c r="AV743" i="53"/>
  <c r="AW743" i="53"/>
  <c r="AU743" i="53"/>
  <c r="AS743" i="53"/>
  <c r="AQ743" i="53"/>
  <c r="AO743" i="53"/>
  <c r="AM743" i="53"/>
  <c r="AF743" i="53"/>
  <c r="C743" i="53"/>
  <c r="A743" i="53"/>
  <c r="AZ742" i="53"/>
  <c r="BA742" i="53"/>
  <c r="AX742" i="53"/>
  <c r="AY742" i="53"/>
  <c r="AV742" i="53"/>
  <c r="AW742" i="53"/>
  <c r="AU742" i="53"/>
  <c r="AS742" i="53"/>
  <c r="AQ742" i="53"/>
  <c r="AO742" i="53"/>
  <c r="AM742" i="53"/>
  <c r="AK742" i="53"/>
  <c r="AJ742" i="53"/>
  <c r="AF742" i="53"/>
  <c r="AZ741" i="53"/>
  <c r="BA741" i="53"/>
  <c r="AX741" i="53"/>
  <c r="AY741" i="53"/>
  <c r="AV741" i="53"/>
  <c r="AW741" i="53"/>
  <c r="AU741" i="53"/>
  <c r="AS741" i="53"/>
  <c r="AQ741" i="53"/>
  <c r="AO741" i="53"/>
  <c r="AM741" i="53"/>
  <c r="AF741" i="53"/>
  <c r="C741" i="53"/>
  <c r="A741" i="53"/>
  <c r="AZ740" i="53"/>
  <c r="BA740" i="53"/>
  <c r="AX740" i="53"/>
  <c r="AY740" i="53"/>
  <c r="AV740" i="53"/>
  <c r="AW740" i="53"/>
  <c r="AU740" i="53"/>
  <c r="AS740" i="53"/>
  <c r="AQ740" i="53"/>
  <c r="AO740" i="53"/>
  <c r="AM740" i="53"/>
  <c r="AK740" i="53"/>
  <c r="AJ740" i="53"/>
  <c r="AF740" i="53"/>
  <c r="C740" i="53"/>
  <c r="A740" i="53"/>
  <c r="AZ739" i="53"/>
  <c r="BA739" i="53"/>
  <c r="AX739" i="53"/>
  <c r="AY739" i="53"/>
  <c r="AV739" i="53"/>
  <c r="AW739" i="53"/>
  <c r="AU739" i="53"/>
  <c r="AU731" i="53"/>
  <c r="AU732" i="53"/>
  <c r="AU733" i="53"/>
  <c r="AU734" i="53"/>
  <c r="AU735" i="53"/>
  <c r="AU736" i="53"/>
  <c r="AU737" i="53"/>
  <c r="AU738" i="53"/>
  <c r="AU730" i="53"/>
  <c r="AS739" i="53"/>
  <c r="AQ739" i="53"/>
  <c r="AQ731" i="53"/>
  <c r="AQ732" i="53"/>
  <c r="AQ733" i="53"/>
  <c r="AQ734" i="53"/>
  <c r="AQ735" i="53"/>
  <c r="AQ736" i="53"/>
  <c r="AQ737" i="53"/>
  <c r="AQ738" i="53"/>
  <c r="AQ730" i="53"/>
  <c r="AO739" i="53"/>
  <c r="AM739" i="53"/>
  <c r="AM731" i="53"/>
  <c r="AM732" i="53"/>
  <c r="AM733" i="53"/>
  <c r="AM734" i="53"/>
  <c r="AM735" i="53"/>
  <c r="AM736" i="53"/>
  <c r="AM737" i="53"/>
  <c r="AM738" i="53"/>
  <c r="AM730" i="53"/>
  <c r="AK739" i="53"/>
  <c r="AJ739" i="53"/>
  <c r="AF739" i="53"/>
  <c r="C739" i="53"/>
  <c r="B739" i="53"/>
  <c r="A739" i="53"/>
  <c r="AZ738" i="53"/>
  <c r="BA738" i="53"/>
  <c r="AX738" i="53"/>
  <c r="AY738" i="53"/>
  <c r="AV738" i="53"/>
  <c r="AW738" i="53"/>
  <c r="AS738" i="53"/>
  <c r="AO738" i="53"/>
  <c r="AK738" i="53"/>
  <c r="AJ738" i="53"/>
  <c r="AF738" i="53"/>
  <c r="C738" i="53"/>
  <c r="A738" i="53"/>
  <c r="AZ737" i="53"/>
  <c r="BA737" i="53"/>
  <c r="AV737" i="53"/>
  <c r="AW737" i="53"/>
  <c r="AS737" i="53"/>
  <c r="AO737" i="53"/>
  <c r="AK737" i="53"/>
  <c r="AJ737" i="53"/>
  <c r="AF737" i="53"/>
  <c r="C737" i="53"/>
  <c r="A737" i="53"/>
  <c r="AZ736" i="53"/>
  <c r="BA736" i="53"/>
  <c r="AX736" i="53"/>
  <c r="AY736" i="53"/>
  <c r="AV736" i="53"/>
  <c r="AW736" i="53"/>
  <c r="AS736" i="53"/>
  <c r="AO736" i="53"/>
  <c r="AK736" i="53"/>
  <c r="AJ736" i="53"/>
  <c r="AF736" i="53"/>
  <c r="C736" i="53"/>
  <c r="A736" i="53"/>
  <c r="AZ735" i="53"/>
  <c r="BA735" i="53"/>
  <c r="AV735" i="53"/>
  <c r="AW735" i="53"/>
  <c r="AS735" i="53"/>
  <c r="AO735" i="53"/>
  <c r="AF735" i="53"/>
  <c r="C735" i="53"/>
  <c r="A735" i="53"/>
  <c r="AZ734" i="53"/>
  <c r="BA734" i="53"/>
  <c r="AX734" i="53"/>
  <c r="AY734" i="53"/>
  <c r="AV734" i="53"/>
  <c r="AW734" i="53"/>
  <c r="AS734" i="53"/>
  <c r="AO734" i="53"/>
  <c r="AF734" i="53"/>
  <c r="C734" i="53"/>
  <c r="A734" i="53"/>
  <c r="AZ733" i="53"/>
  <c r="BA733" i="53"/>
  <c r="AV733" i="53"/>
  <c r="AW733" i="53"/>
  <c r="AS733" i="53"/>
  <c r="AO733" i="53"/>
  <c r="AF733" i="53"/>
  <c r="C733" i="53"/>
  <c r="A733" i="53"/>
  <c r="AZ732" i="53"/>
  <c r="BA732" i="53"/>
  <c r="AX732" i="53"/>
  <c r="AY732" i="53"/>
  <c r="AV732" i="53"/>
  <c r="AW732" i="53"/>
  <c r="AS732" i="53"/>
  <c r="AO732" i="53"/>
  <c r="AK732" i="53"/>
  <c r="AJ732" i="53"/>
  <c r="AF732" i="53"/>
  <c r="C732" i="53"/>
  <c r="A732" i="53"/>
  <c r="AZ731" i="53"/>
  <c r="BA731" i="53"/>
  <c r="AV731" i="53"/>
  <c r="AW731" i="53"/>
  <c r="AW730" i="53"/>
  <c r="AS731" i="53"/>
  <c r="AO731" i="53"/>
  <c r="AO730" i="53"/>
  <c r="AK731" i="53"/>
  <c r="AG731" i="53"/>
  <c r="AJ731" i="53"/>
  <c r="C731" i="53"/>
  <c r="A731" i="53"/>
  <c r="AS730" i="53"/>
  <c r="AK730" i="53"/>
  <c r="AH730" i="53"/>
  <c r="AG730" i="53"/>
  <c r="AD730" i="53"/>
  <c r="AC730" i="53"/>
  <c r="AB730" i="53"/>
  <c r="C730" i="53"/>
  <c r="A730" i="53"/>
  <c r="AZ729" i="53"/>
  <c r="BA729" i="53"/>
  <c r="AV729" i="53"/>
  <c r="AW729" i="53"/>
  <c r="AU729" i="53"/>
  <c r="AS729" i="53"/>
  <c r="AQ729" i="53"/>
  <c r="AO729" i="53"/>
  <c r="AM729" i="53"/>
  <c r="AK729" i="53"/>
  <c r="AJ729" i="53"/>
  <c r="AF729" i="53"/>
  <c r="C729" i="53"/>
  <c r="B729" i="53"/>
  <c r="A729" i="53"/>
  <c r="AZ728" i="53"/>
  <c r="BA728" i="53"/>
  <c r="AX728" i="53"/>
  <c r="AY728" i="53"/>
  <c r="AV728" i="53"/>
  <c r="AW728" i="53"/>
  <c r="AU728" i="53"/>
  <c r="AS728" i="53"/>
  <c r="AQ728" i="53"/>
  <c r="AO728" i="53"/>
  <c r="AM728" i="53"/>
  <c r="AK728" i="53"/>
  <c r="AJ728" i="53"/>
  <c r="AF728" i="53"/>
  <c r="C728" i="53"/>
  <c r="B728" i="53"/>
  <c r="A728" i="53"/>
  <c r="AZ727" i="53"/>
  <c r="BA727" i="53"/>
  <c r="AX727" i="53"/>
  <c r="AY727" i="53"/>
  <c r="AV727" i="53"/>
  <c r="AW727" i="53"/>
  <c r="AU727" i="53"/>
  <c r="AS727" i="53"/>
  <c r="AQ727" i="53"/>
  <c r="AO727" i="53"/>
  <c r="AM727" i="53"/>
  <c r="AK727" i="53"/>
  <c r="AJ727" i="53"/>
  <c r="AF727" i="53"/>
  <c r="C727" i="53"/>
  <c r="B727" i="53"/>
  <c r="A727" i="53"/>
  <c r="AZ726" i="53"/>
  <c r="BA726" i="53"/>
  <c r="AX726" i="53"/>
  <c r="AY726" i="53"/>
  <c r="AV726" i="53"/>
  <c r="AW726" i="53"/>
  <c r="AU726" i="53"/>
  <c r="AS726" i="53"/>
  <c r="AQ726" i="53"/>
  <c r="AO726" i="53"/>
  <c r="AM726" i="53"/>
  <c r="AK726" i="53"/>
  <c r="AJ726" i="53"/>
  <c r="AF726" i="53"/>
  <c r="AZ725" i="53"/>
  <c r="BA725" i="53"/>
  <c r="AX725" i="53"/>
  <c r="AY725" i="53"/>
  <c r="AV725" i="53"/>
  <c r="AW725" i="53"/>
  <c r="AU725" i="53"/>
  <c r="AS725" i="53"/>
  <c r="AQ725" i="53"/>
  <c r="AO725" i="53"/>
  <c r="AM725" i="53"/>
  <c r="AK725" i="53"/>
  <c r="AG725" i="53"/>
  <c r="AJ725" i="53"/>
  <c r="AF725" i="53"/>
  <c r="C725" i="53"/>
  <c r="B725" i="53"/>
  <c r="A725" i="53"/>
  <c r="AZ724" i="53"/>
  <c r="BA724" i="53"/>
  <c r="AX724" i="53"/>
  <c r="AY724" i="53"/>
  <c r="AV724" i="53"/>
  <c r="AW724" i="53"/>
  <c r="AU724" i="53"/>
  <c r="AS724" i="53"/>
  <c r="AQ724" i="53"/>
  <c r="AO724" i="53"/>
  <c r="AM724" i="53"/>
  <c r="AK724" i="53"/>
  <c r="AG724" i="53"/>
  <c r="AJ724" i="53"/>
  <c r="AF724" i="53"/>
  <c r="C724" i="53"/>
  <c r="B724" i="53"/>
  <c r="A724" i="53"/>
  <c r="AZ723" i="53"/>
  <c r="BA723" i="53"/>
  <c r="AX723" i="53"/>
  <c r="AY723" i="53"/>
  <c r="AV723" i="53"/>
  <c r="AW723" i="53"/>
  <c r="AU723" i="53"/>
  <c r="AS723" i="53"/>
  <c r="AQ723" i="53"/>
  <c r="AO723" i="53"/>
  <c r="AM723" i="53"/>
  <c r="AK723" i="53"/>
  <c r="AG723" i="53"/>
  <c r="AJ723" i="53"/>
  <c r="AF723" i="53"/>
  <c r="C723" i="53"/>
  <c r="B723" i="53"/>
  <c r="A723" i="53"/>
  <c r="AZ722" i="53"/>
  <c r="BA722" i="53"/>
  <c r="AX722" i="53"/>
  <c r="AY722" i="53"/>
  <c r="AV722" i="53"/>
  <c r="AW722" i="53"/>
  <c r="AU722" i="53"/>
  <c r="AS722" i="53"/>
  <c r="AQ722" i="53"/>
  <c r="AO722" i="53"/>
  <c r="AM722" i="53"/>
  <c r="AK722" i="53"/>
  <c r="AJ722" i="53"/>
  <c r="AF722" i="53"/>
  <c r="C722" i="53"/>
  <c r="B722" i="53"/>
  <c r="A722" i="53"/>
  <c r="AZ721" i="53"/>
  <c r="BA721" i="53"/>
  <c r="AV721" i="53"/>
  <c r="AW721" i="53"/>
  <c r="AW720" i="53"/>
  <c r="AU721" i="53"/>
  <c r="AS721" i="53"/>
  <c r="AQ721" i="53"/>
  <c r="AO721" i="53"/>
  <c r="AO720" i="53"/>
  <c r="AM721" i="53"/>
  <c r="AK721" i="53"/>
  <c r="AG721" i="53"/>
  <c r="AJ721" i="53"/>
  <c r="AF721" i="53"/>
  <c r="C721" i="53"/>
  <c r="B721" i="53"/>
  <c r="A721" i="53"/>
  <c r="AS720" i="53"/>
  <c r="AK720" i="53"/>
  <c r="AH720" i="53"/>
  <c r="AG720" i="53"/>
  <c r="AD720" i="53"/>
  <c r="AC720" i="53"/>
  <c r="AB720" i="53"/>
  <c r="C720" i="53"/>
  <c r="B720" i="53"/>
  <c r="A720" i="53"/>
  <c r="AZ719" i="53"/>
  <c r="BA719" i="53"/>
  <c r="AX719" i="53"/>
  <c r="AY719" i="53"/>
  <c r="AV719" i="53"/>
  <c r="AW719" i="53"/>
  <c r="AU719" i="53"/>
  <c r="AS719" i="53"/>
  <c r="AQ719" i="53"/>
  <c r="AO719" i="53"/>
  <c r="AM719" i="53"/>
  <c r="AK719" i="53"/>
  <c r="AJ719" i="53"/>
  <c r="AF719" i="53"/>
  <c r="C719" i="53"/>
  <c r="B719" i="53"/>
  <c r="A719" i="53"/>
  <c r="AZ718" i="53"/>
  <c r="BA718" i="53"/>
  <c r="AX718" i="53"/>
  <c r="AY718" i="53"/>
  <c r="AV718" i="53"/>
  <c r="AW718" i="53"/>
  <c r="AU718" i="53"/>
  <c r="AS718" i="53"/>
  <c r="AQ718" i="53"/>
  <c r="AO718" i="53"/>
  <c r="AM718" i="53"/>
  <c r="AK718" i="53"/>
  <c r="AJ718" i="53"/>
  <c r="AF718" i="53"/>
  <c r="C718" i="53"/>
  <c r="B718" i="53"/>
  <c r="A718" i="53"/>
  <c r="AZ717" i="53"/>
  <c r="BA717" i="53"/>
  <c r="AX717" i="53"/>
  <c r="AY717" i="53"/>
  <c r="AV717" i="53"/>
  <c r="AW717" i="53"/>
  <c r="AU717" i="53"/>
  <c r="AS717" i="53"/>
  <c r="AQ717" i="53"/>
  <c r="AO717" i="53"/>
  <c r="AM717" i="53"/>
  <c r="AK717" i="53"/>
  <c r="AJ717" i="53"/>
  <c r="AF717" i="53"/>
  <c r="C717" i="53"/>
  <c r="B717" i="53"/>
  <c r="A717" i="53"/>
  <c r="AZ716" i="53"/>
  <c r="BA716" i="53"/>
  <c r="AX716" i="53"/>
  <c r="AY716" i="53"/>
  <c r="AV716" i="53"/>
  <c r="AW716" i="53"/>
  <c r="AU716" i="53"/>
  <c r="AS716" i="53"/>
  <c r="AQ716" i="53"/>
  <c r="AO716" i="53"/>
  <c r="AM716" i="53"/>
  <c r="AK716" i="53"/>
  <c r="AJ716" i="53"/>
  <c r="AF716" i="53"/>
  <c r="C716" i="53"/>
  <c r="B716" i="53"/>
  <c r="A716" i="53"/>
  <c r="AZ715" i="53"/>
  <c r="BA715" i="53"/>
  <c r="AX715" i="53"/>
  <c r="AY715" i="53"/>
  <c r="AV715" i="53"/>
  <c r="AW715" i="53"/>
  <c r="AU715" i="53"/>
  <c r="AU713" i="53"/>
  <c r="AU714" i="53"/>
  <c r="AU712" i="53"/>
  <c r="AS715" i="53"/>
  <c r="AQ715" i="53"/>
  <c r="AQ713" i="53"/>
  <c r="AQ714" i="53"/>
  <c r="AQ712" i="53"/>
  <c r="AO715" i="53"/>
  <c r="AM715" i="53"/>
  <c r="AM713" i="53"/>
  <c r="AM714" i="53"/>
  <c r="AM712" i="53"/>
  <c r="AK715" i="53"/>
  <c r="AJ715" i="53"/>
  <c r="AF715" i="53"/>
  <c r="C715" i="53"/>
  <c r="B715" i="53"/>
  <c r="A715" i="53"/>
  <c r="AZ714" i="53"/>
  <c r="BA714" i="53"/>
  <c r="AX714" i="53"/>
  <c r="AY714" i="53"/>
  <c r="AV714" i="53"/>
  <c r="AW714" i="53"/>
  <c r="AS714" i="53"/>
  <c r="AO714" i="53"/>
  <c r="AK714" i="53"/>
  <c r="AJ714" i="53"/>
  <c r="AF714" i="53"/>
  <c r="AZ713" i="53"/>
  <c r="BA713" i="53"/>
  <c r="AX713" i="53"/>
  <c r="AY713" i="53"/>
  <c r="AV713" i="53"/>
  <c r="AW713" i="53"/>
  <c r="AW712" i="53"/>
  <c r="AS713" i="53"/>
  <c r="AO713" i="53"/>
  <c r="AK713" i="53"/>
  <c r="AG713" i="53"/>
  <c r="AJ713" i="53"/>
  <c r="AJ712" i="53"/>
  <c r="AD713" i="53"/>
  <c r="AE713" i="53"/>
  <c r="AF713" i="53"/>
  <c r="C713" i="53"/>
  <c r="B713" i="53"/>
  <c r="A713" i="53"/>
  <c r="AS712" i="53"/>
  <c r="AO712" i="53"/>
  <c r="AK712" i="53"/>
  <c r="AH712" i="53"/>
  <c r="AG712" i="53"/>
  <c r="AD712" i="53"/>
  <c r="AB712" i="53"/>
  <c r="AE712" i="53"/>
  <c r="AF712" i="53"/>
  <c r="AC712" i="53"/>
  <c r="C712" i="53"/>
  <c r="B712" i="53"/>
  <c r="A712" i="53"/>
  <c r="AZ711" i="53"/>
  <c r="BA711" i="53"/>
  <c r="AX711" i="53"/>
  <c r="AY711" i="53"/>
  <c r="AV711" i="53"/>
  <c r="AW711" i="53"/>
  <c r="AU711" i="53"/>
  <c r="AS711" i="53"/>
  <c r="AQ711" i="53"/>
  <c r="AO711" i="53"/>
  <c r="AM711" i="53"/>
  <c r="AK711" i="53"/>
  <c r="AJ711" i="53"/>
  <c r="AF711" i="53"/>
  <c r="C711" i="53"/>
  <c r="B711" i="53"/>
  <c r="A711" i="53"/>
  <c r="AZ710" i="53"/>
  <c r="BA710" i="53"/>
  <c r="AX710" i="53"/>
  <c r="AY710" i="53"/>
  <c r="AV710" i="53"/>
  <c r="AW710" i="53"/>
  <c r="AU710" i="53"/>
  <c r="AS710" i="53"/>
  <c r="AQ710" i="53"/>
  <c r="AO710" i="53"/>
  <c r="AM710" i="53"/>
  <c r="AK710" i="53"/>
  <c r="AJ710" i="53"/>
  <c r="AF710" i="53"/>
  <c r="C710" i="53"/>
  <c r="B710" i="53"/>
  <c r="A710" i="53"/>
  <c r="AZ709" i="53"/>
  <c r="BA709" i="53"/>
  <c r="AX709" i="53"/>
  <c r="AY709" i="53"/>
  <c r="AV709" i="53"/>
  <c r="AW709" i="53"/>
  <c r="AU709" i="53"/>
  <c r="AS709" i="53"/>
  <c r="AQ709" i="53"/>
  <c r="AO709" i="53"/>
  <c r="AM709" i="53"/>
  <c r="AK709" i="53"/>
  <c r="AJ709" i="53"/>
  <c r="AF709" i="53"/>
  <c r="C709" i="53"/>
  <c r="B709" i="53"/>
  <c r="A709" i="53"/>
  <c r="AZ708" i="53"/>
  <c r="BA708" i="53"/>
  <c r="AX708" i="53"/>
  <c r="AY708" i="53"/>
  <c r="AV708" i="53"/>
  <c r="AW708" i="53"/>
  <c r="AU708" i="53"/>
  <c r="AS708" i="53"/>
  <c r="AQ708" i="53"/>
  <c r="AO708" i="53"/>
  <c r="AM708" i="53"/>
  <c r="AK708" i="53"/>
  <c r="AJ708" i="53"/>
  <c r="AF708" i="53"/>
  <c r="C708" i="53"/>
  <c r="B708" i="53"/>
  <c r="A708" i="53"/>
  <c r="AZ707" i="53"/>
  <c r="BA707" i="53"/>
  <c r="AX707" i="53"/>
  <c r="AY707" i="53"/>
  <c r="AV707" i="53"/>
  <c r="AW707" i="53"/>
  <c r="AU707" i="53"/>
  <c r="AS707" i="53"/>
  <c r="AQ707" i="53"/>
  <c r="AO707" i="53"/>
  <c r="AM707" i="53"/>
  <c r="AK707" i="53"/>
  <c r="AG707" i="53"/>
  <c r="AJ707" i="53"/>
  <c r="C707" i="53"/>
  <c r="B707" i="53"/>
  <c r="A707" i="53"/>
  <c r="AZ706" i="53"/>
  <c r="BA706" i="53"/>
  <c r="AX706" i="53"/>
  <c r="AY706" i="53"/>
  <c r="AV706" i="53"/>
  <c r="AW706" i="53"/>
  <c r="AU706" i="53"/>
  <c r="AS706" i="53"/>
  <c r="AQ706" i="53"/>
  <c r="AO706" i="53"/>
  <c r="AM706" i="53"/>
  <c r="AK706" i="53"/>
  <c r="AG706" i="53"/>
  <c r="AJ706" i="53"/>
  <c r="C706" i="53"/>
  <c r="B706" i="53"/>
  <c r="A706" i="53"/>
  <c r="AZ705" i="53"/>
  <c r="BA705" i="53"/>
  <c r="AX705" i="53"/>
  <c r="AY705" i="53"/>
  <c r="AV705" i="53"/>
  <c r="AW705" i="53"/>
  <c r="AU705" i="53"/>
  <c r="AS705" i="53"/>
  <c r="AQ705" i="53"/>
  <c r="AO705" i="53"/>
  <c r="AM705" i="53"/>
  <c r="AK705" i="53"/>
  <c r="AG705" i="53"/>
  <c r="AJ705" i="53"/>
  <c r="C705" i="53"/>
  <c r="B705" i="53"/>
  <c r="A705" i="53"/>
  <c r="AZ704" i="53"/>
  <c r="BA704" i="53"/>
  <c r="AX704" i="53"/>
  <c r="AY704" i="53"/>
  <c r="AV704" i="53"/>
  <c r="AW704" i="53"/>
  <c r="AU704" i="53"/>
  <c r="AS704" i="53"/>
  <c r="AQ704" i="53"/>
  <c r="AO704" i="53"/>
  <c r="AM704" i="53"/>
  <c r="AK704" i="53"/>
  <c r="AG704" i="53"/>
  <c r="AJ704" i="53"/>
  <c r="C704" i="53"/>
  <c r="B704" i="53"/>
  <c r="A704" i="53"/>
  <c r="AZ703" i="53"/>
  <c r="BA703" i="53"/>
  <c r="AX703" i="53"/>
  <c r="AY703" i="53"/>
  <c r="AV703" i="53"/>
  <c r="AW703" i="53"/>
  <c r="AU703" i="53"/>
  <c r="AS703" i="53"/>
  <c r="AQ703" i="53"/>
  <c r="AO703" i="53"/>
  <c r="AM703" i="53"/>
  <c r="AK703" i="53"/>
  <c r="AJ703" i="53"/>
  <c r="AF703" i="53"/>
  <c r="C703" i="53"/>
  <c r="B703" i="53"/>
  <c r="A703" i="53"/>
  <c r="AZ702" i="53"/>
  <c r="BA702" i="53"/>
  <c r="AX702" i="53"/>
  <c r="AY702" i="53"/>
  <c r="AV702" i="53"/>
  <c r="AW702" i="53"/>
  <c r="AW701" i="53"/>
  <c r="AU702" i="53"/>
  <c r="AS702" i="53"/>
  <c r="AS701" i="53"/>
  <c r="AQ702" i="53"/>
  <c r="AO702" i="53"/>
  <c r="AO701" i="53"/>
  <c r="AM702" i="53"/>
  <c r="AK702" i="53"/>
  <c r="AK701" i="53"/>
  <c r="AG702" i="53"/>
  <c r="AJ702" i="53"/>
  <c r="AJ701" i="53"/>
  <c r="C702" i="53"/>
  <c r="B702" i="53"/>
  <c r="A702" i="53"/>
  <c r="AU701" i="53"/>
  <c r="AQ701" i="53"/>
  <c r="AM701" i="53"/>
  <c r="AH701" i="53"/>
  <c r="AG701" i="53"/>
  <c r="AD701" i="53"/>
  <c r="AB701" i="53"/>
  <c r="AE701" i="53"/>
  <c r="AF701" i="53"/>
  <c r="AC701" i="53"/>
  <c r="C701" i="53"/>
  <c r="B701" i="53"/>
  <c r="A701" i="53"/>
  <c r="AZ700" i="53"/>
  <c r="BA700" i="53"/>
  <c r="AX700" i="53"/>
  <c r="AY700" i="53"/>
  <c r="AV700" i="53"/>
  <c r="AW700" i="53"/>
  <c r="AU700" i="53"/>
  <c r="AS700" i="53"/>
  <c r="AQ700" i="53"/>
  <c r="AO700" i="53"/>
  <c r="AM700" i="53"/>
  <c r="AK700" i="53"/>
  <c r="AG700" i="53"/>
  <c r="AJ700" i="53"/>
  <c r="AF700" i="53"/>
  <c r="Y700" i="53"/>
  <c r="X700" i="53"/>
  <c r="D700" i="53"/>
  <c r="C700" i="53"/>
  <c r="B700" i="53"/>
  <c r="A700" i="53"/>
  <c r="AZ699" i="53"/>
  <c r="BA699" i="53"/>
  <c r="AX699" i="53"/>
  <c r="AY699" i="53"/>
  <c r="AV699" i="53"/>
  <c r="AW699" i="53"/>
  <c r="AU699" i="53"/>
  <c r="AS699" i="53"/>
  <c r="AQ699" i="53"/>
  <c r="AO699" i="53"/>
  <c r="AM699" i="53"/>
  <c r="AK699" i="53"/>
  <c r="AG699" i="53"/>
  <c r="AJ699" i="53"/>
  <c r="AF699" i="53"/>
  <c r="Y699" i="53"/>
  <c r="X699" i="53"/>
  <c r="D699" i="53"/>
  <c r="C699" i="53"/>
  <c r="B699" i="53"/>
  <c r="A699" i="53"/>
  <c r="AZ698" i="53"/>
  <c r="BA698" i="53"/>
  <c r="AX698" i="53"/>
  <c r="AY698" i="53"/>
  <c r="AV698" i="53"/>
  <c r="AW698" i="53"/>
  <c r="AU698" i="53"/>
  <c r="AS698" i="53"/>
  <c r="AQ698" i="53"/>
  <c r="AO698" i="53"/>
  <c r="AM698" i="53"/>
  <c r="AK698" i="53"/>
  <c r="AG698" i="53"/>
  <c r="AJ698" i="53"/>
  <c r="AF698" i="53"/>
  <c r="Y698" i="53"/>
  <c r="X698" i="53"/>
  <c r="D698" i="53"/>
  <c r="C698" i="53"/>
  <c r="B698" i="53"/>
  <c r="A698" i="53"/>
  <c r="AZ697" i="53"/>
  <c r="BA697" i="53"/>
  <c r="AX697" i="53"/>
  <c r="AY697" i="53"/>
  <c r="AV697" i="53"/>
  <c r="AW697" i="53"/>
  <c r="AU697" i="53"/>
  <c r="AS697" i="53"/>
  <c r="AQ697" i="53"/>
  <c r="AO697" i="53"/>
  <c r="AM697" i="53"/>
  <c r="AK697" i="53"/>
  <c r="AG697" i="53"/>
  <c r="AJ697" i="53"/>
  <c r="AF697" i="53"/>
  <c r="Y697" i="53"/>
  <c r="X697" i="53"/>
  <c r="D697" i="53"/>
  <c r="C697" i="53"/>
  <c r="B697" i="53"/>
  <c r="A697" i="53"/>
  <c r="AZ696" i="53"/>
  <c r="AH696" i="53"/>
  <c r="BA696" i="53"/>
  <c r="AX696" i="53"/>
  <c r="AY696" i="53"/>
  <c r="AV696" i="53"/>
  <c r="AW696" i="53"/>
  <c r="AJ696" i="53"/>
  <c r="AS696" i="53"/>
  <c r="AF696" i="53"/>
  <c r="Y696" i="53"/>
  <c r="X696" i="53"/>
  <c r="D696" i="53"/>
  <c r="C696" i="53"/>
  <c r="B696" i="53"/>
  <c r="A696" i="53"/>
  <c r="AZ695" i="53"/>
  <c r="AH695" i="53"/>
  <c r="BA695" i="53"/>
  <c r="AX695" i="53"/>
  <c r="AY695" i="53"/>
  <c r="AV695" i="53"/>
  <c r="AW695" i="53"/>
  <c r="AU695" i="53"/>
  <c r="AQ695" i="53"/>
  <c r="AM695" i="53"/>
  <c r="AJ695" i="53"/>
  <c r="AS695" i="53"/>
  <c r="AF695" i="53"/>
  <c r="Y695" i="53"/>
  <c r="X695" i="53"/>
  <c r="D695" i="53"/>
  <c r="C695" i="53"/>
  <c r="B695" i="53"/>
  <c r="A695" i="53"/>
  <c r="AZ694" i="53"/>
  <c r="BA694" i="53"/>
  <c r="AX694" i="53"/>
  <c r="AY694" i="53"/>
  <c r="AV694" i="53"/>
  <c r="AW694" i="53"/>
  <c r="AU694" i="53"/>
  <c r="AS694" i="53"/>
  <c r="AQ694" i="53"/>
  <c r="AO694" i="53"/>
  <c r="AM694" i="53"/>
  <c r="AK694" i="53"/>
  <c r="AG694" i="53"/>
  <c r="AJ694" i="53"/>
  <c r="AF694" i="53"/>
  <c r="Y694" i="53"/>
  <c r="X694" i="53"/>
  <c r="D694" i="53"/>
  <c r="C694" i="53"/>
  <c r="B694" i="53"/>
  <c r="A694" i="53"/>
  <c r="AZ693" i="53"/>
  <c r="AH693" i="53"/>
  <c r="BA693" i="53"/>
  <c r="AX693" i="53"/>
  <c r="AY693" i="53"/>
  <c r="AV693" i="53"/>
  <c r="AW693" i="53"/>
  <c r="AU693" i="53"/>
  <c r="AQ693" i="53"/>
  <c r="AM693" i="53"/>
  <c r="AJ693" i="53"/>
  <c r="AS693" i="53"/>
  <c r="AF693" i="53"/>
  <c r="Y693" i="53"/>
  <c r="X693" i="53"/>
  <c r="D693" i="53"/>
  <c r="C693" i="53"/>
  <c r="B693" i="53"/>
  <c r="A693" i="53"/>
  <c r="AZ692" i="53"/>
  <c r="AH692" i="53"/>
  <c r="BA692" i="53"/>
  <c r="AX692" i="53"/>
  <c r="AY692" i="53"/>
  <c r="AV692" i="53"/>
  <c r="AW692" i="53"/>
  <c r="AJ692" i="53"/>
  <c r="AS692" i="53"/>
  <c r="AF692" i="53"/>
  <c r="Y692" i="53"/>
  <c r="X692" i="53"/>
  <c r="D692" i="53"/>
  <c r="C692" i="53"/>
  <c r="B692" i="53"/>
  <c r="A692" i="53"/>
  <c r="AZ691" i="53"/>
  <c r="AH691" i="53"/>
  <c r="BA691" i="53"/>
  <c r="AX691" i="53"/>
  <c r="AY691" i="53"/>
  <c r="AV691" i="53"/>
  <c r="AW691" i="53"/>
  <c r="AU691" i="53"/>
  <c r="AQ691" i="53"/>
  <c r="AM691" i="53"/>
  <c r="AJ691" i="53"/>
  <c r="AS691" i="53"/>
  <c r="AF691" i="53"/>
  <c r="Y691" i="53"/>
  <c r="X691" i="53"/>
  <c r="D691" i="53"/>
  <c r="C691" i="53"/>
  <c r="B691" i="53"/>
  <c r="A691" i="53"/>
  <c r="AZ690" i="53"/>
  <c r="BA690" i="53"/>
  <c r="AX690" i="53"/>
  <c r="AY690" i="53"/>
  <c r="AV690" i="53"/>
  <c r="AW690" i="53"/>
  <c r="AZ689" i="53"/>
  <c r="AV689" i="53"/>
  <c r="AH689" i="53"/>
  <c r="AW689" i="53"/>
  <c r="AW688" i="53"/>
  <c r="AU690" i="53"/>
  <c r="AS690" i="53"/>
  <c r="AQ690" i="53"/>
  <c r="AO690" i="53"/>
  <c r="AM690" i="53"/>
  <c r="AK690" i="53"/>
  <c r="AG690" i="53"/>
  <c r="AJ690" i="53"/>
  <c r="AF690" i="53"/>
  <c r="Y690" i="53"/>
  <c r="X690" i="53"/>
  <c r="D690" i="53"/>
  <c r="C690" i="53"/>
  <c r="B690" i="53"/>
  <c r="A690" i="53"/>
  <c r="BA689" i="53"/>
  <c r="AX689" i="53"/>
  <c r="AY689" i="53"/>
  <c r="AU689" i="53"/>
  <c r="AQ689" i="53"/>
  <c r="AM689" i="53"/>
  <c r="AJ689" i="53"/>
  <c r="AJ688" i="53"/>
  <c r="AS689" i="53"/>
  <c r="AF689" i="53"/>
  <c r="Y689" i="53"/>
  <c r="X689" i="53"/>
  <c r="D689" i="53"/>
  <c r="C689" i="53"/>
  <c r="B689" i="53"/>
  <c r="A689" i="53"/>
  <c r="AH688" i="53"/>
  <c r="AD688" i="53"/>
  <c r="AB688" i="53"/>
  <c r="AE688" i="53"/>
  <c r="AF688" i="53"/>
  <c r="AC688" i="53"/>
  <c r="C688" i="53"/>
  <c r="B688" i="53"/>
  <c r="A688" i="53"/>
  <c r="AZ687" i="53"/>
  <c r="BA687" i="53"/>
  <c r="AX687" i="53"/>
  <c r="AY687" i="53"/>
  <c r="AV687" i="53"/>
  <c r="AW687" i="53"/>
  <c r="AU687" i="53"/>
  <c r="AS687" i="53"/>
  <c r="AQ687" i="53"/>
  <c r="AO687" i="53"/>
  <c r="AM687" i="53"/>
  <c r="AK687" i="53"/>
  <c r="AJ687" i="53"/>
  <c r="AF687" i="53"/>
  <c r="C687" i="53"/>
  <c r="B687" i="53"/>
  <c r="A687" i="53"/>
  <c r="AZ686" i="53"/>
  <c r="BA686" i="53"/>
  <c r="AX686" i="53"/>
  <c r="AY686" i="53"/>
  <c r="AV686" i="53"/>
  <c r="AW686" i="53"/>
  <c r="AU686" i="53"/>
  <c r="AS686" i="53"/>
  <c r="AQ686" i="53"/>
  <c r="AO686" i="53"/>
  <c r="AM686" i="53"/>
  <c r="AK686" i="53"/>
  <c r="AJ686" i="53"/>
  <c r="AF686" i="53"/>
  <c r="C686" i="53"/>
  <c r="B686" i="53"/>
  <c r="A686" i="53"/>
  <c r="AZ685" i="53"/>
  <c r="BA685" i="53"/>
  <c r="AX685" i="53"/>
  <c r="AY685" i="53"/>
  <c r="AV685" i="53"/>
  <c r="AW685" i="53"/>
  <c r="AU685" i="53"/>
  <c r="AS685" i="53"/>
  <c r="AQ685" i="53"/>
  <c r="AO685" i="53"/>
  <c r="AM685" i="53"/>
  <c r="AF685" i="53"/>
  <c r="C685" i="53"/>
  <c r="B685" i="53"/>
  <c r="A685" i="53"/>
  <c r="AZ684" i="53"/>
  <c r="BA684" i="53"/>
  <c r="AX684" i="53"/>
  <c r="AY684" i="53"/>
  <c r="AV684" i="53"/>
  <c r="AW684" i="53"/>
  <c r="AU684" i="53"/>
  <c r="AS684" i="53"/>
  <c r="AQ684" i="53"/>
  <c r="AO684" i="53"/>
  <c r="AM684" i="53"/>
  <c r="AF684" i="53"/>
  <c r="C684" i="53"/>
  <c r="B684" i="53"/>
  <c r="A684" i="53"/>
  <c r="AZ683" i="53"/>
  <c r="BA683" i="53"/>
  <c r="AX683" i="53"/>
  <c r="AY683" i="53"/>
  <c r="AV683" i="53"/>
  <c r="AW683" i="53"/>
  <c r="AU683" i="53"/>
  <c r="AS683" i="53"/>
  <c r="AQ683" i="53"/>
  <c r="AO683" i="53"/>
  <c r="AM683" i="53"/>
  <c r="AF683" i="53"/>
  <c r="C683" i="53"/>
  <c r="B683" i="53"/>
  <c r="A683" i="53"/>
  <c r="AZ682" i="53"/>
  <c r="BA682" i="53"/>
  <c r="AX682" i="53"/>
  <c r="AY682" i="53"/>
  <c r="AV682" i="53"/>
  <c r="AW682" i="53"/>
  <c r="AU682" i="53"/>
  <c r="AS682" i="53"/>
  <c r="AQ682" i="53"/>
  <c r="AO682" i="53"/>
  <c r="AM682" i="53"/>
  <c r="AK682" i="53"/>
  <c r="AJ682" i="53"/>
  <c r="AF682" i="53"/>
  <c r="AZ681" i="53"/>
  <c r="BA681" i="53"/>
  <c r="AX681" i="53"/>
  <c r="AY681" i="53"/>
  <c r="AV681" i="53"/>
  <c r="AW681" i="53"/>
  <c r="AU681" i="53"/>
  <c r="AS681" i="53"/>
  <c r="AQ681" i="53"/>
  <c r="AO681" i="53"/>
  <c r="AM681" i="53"/>
  <c r="AK681" i="53"/>
  <c r="AG681" i="53"/>
  <c r="AJ681" i="53"/>
  <c r="AD681" i="53"/>
  <c r="AE681" i="53"/>
  <c r="AF681" i="53"/>
  <c r="C681" i="53"/>
  <c r="B681" i="53"/>
  <c r="A681" i="53"/>
  <c r="AZ680" i="53"/>
  <c r="BA680" i="53"/>
  <c r="AX680" i="53"/>
  <c r="AY680" i="53"/>
  <c r="AV680" i="53"/>
  <c r="AW680" i="53"/>
  <c r="AU680" i="53"/>
  <c r="AS680" i="53"/>
  <c r="AQ680" i="53"/>
  <c r="AO680" i="53"/>
  <c r="AM680" i="53"/>
  <c r="AK680" i="53"/>
  <c r="AG680" i="53"/>
  <c r="AJ680" i="53"/>
  <c r="AF680" i="53"/>
  <c r="C680" i="53"/>
  <c r="B680" i="53"/>
  <c r="A680" i="53"/>
  <c r="AZ679" i="53"/>
  <c r="BA679" i="53"/>
  <c r="AX679" i="53"/>
  <c r="AY679" i="53"/>
  <c r="AV679" i="53"/>
  <c r="AW679" i="53"/>
  <c r="AU679" i="53"/>
  <c r="AS679" i="53"/>
  <c r="AQ679" i="53"/>
  <c r="AO679" i="53"/>
  <c r="AM679" i="53"/>
  <c r="AK679" i="53"/>
  <c r="AG679" i="53"/>
  <c r="AJ679" i="53"/>
  <c r="AD679" i="53"/>
  <c r="AE679" i="53"/>
  <c r="AF679" i="53"/>
  <c r="C679" i="53"/>
  <c r="B679" i="53"/>
  <c r="A679" i="53"/>
  <c r="AZ678" i="53"/>
  <c r="AH678" i="53"/>
  <c r="BA678" i="53"/>
  <c r="AX678" i="53"/>
  <c r="AY678" i="53"/>
  <c r="AV678" i="53"/>
  <c r="AW678" i="53"/>
  <c r="AS678" i="53"/>
  <c r="AF678" i="53"/>
  <c r="C678" i="53"/>
  <c r="B678" i="53"/>
  <c r="A678" i="53"/>
  <c r="AZ677" i="53"/>
  <c r="AH677" i="53"/>
  <c r="BA677" i="53"/>
  <c r="AX677" i="53"/>
  <c r="AY677" i="53"/>
  <c r="AV677" i="53"/>
  <c r="AW677" i="53"/>
  <c r="AU677" i="53"/>
  <c r="AQ677" i="53"/>
  <c r="AM677" i="53"/>
  <c r="AS677" i="53"/>
  <c r="AS672" i="53"/>
  <c r="AS673" i="53"/>
  <c r="AS674" i="53"/>
  <c r="AS675" i="53"/>
  <c r="AS676" i="53"/>
  <c r="AS671" i="53"/>
  <c r="AG677" i="53"/>
  <c r="AJ677" i="53"/>
  <c r="AD677" i="53"/>
  <c r="AE677" i="53"/>
  <c r="AF677" i="53"/>
  <c r="C677" i="53"/>
  <c r="B677" i="53"/>
  <c r="A677" i="53"/>
  <c r="AZ676" i="53"/>
  <c r="BA676" i="53"/>
  <c r="AX676" i="53"/>
  <c r="AY676" i="53"/>
  <c r="AV676" i="53"/>
  <c r="AW676" i="53"/>
  <c r="AU676" i="53"/>
  <c r="AQ676" i="53"/>
  <c r="AO676" i="53"/>
  <c r="AM676" i="53"/>
  <c r="AK676" i="53"/>
  <c r="AG676" i="53"/>
  <c r="AJ676" i="53"/>
  <c r="AD676" i="53"/>
  <c r="AE676" i="53"/>
  <c r="AF676" i="53"/>
  <c r="C676" i="53"/>
  <c r="B676" i="53"/>
  <c r="A676" i="53"/>
  <c r="AZ675" i="53"/>
  <c r="BA675" i="53"/>
  <c r="AX675" i="53"/>
  <c r="AY675" i="53"/>
  <c r="AV675" i="53"/>
  <c r="AW675" i="53"/>
  <c r="AU675" i="53"/>
  <c r="AQ675" i="53"/>
  <c r="AO675" i="53"/>
  <c r="AM675" i="53"/>
  <c r="AK675" i="53"/>
  <c r="AG675" i="53"/>
  <c r="AJ675" i="53"/>
  <c r="AD675" i="53"/>
  <c r="AE675" i="53"/>
  <c r="AF675" i="53"/>
  <c r="C675" i="53"/>
  <c r="B675" i="53"/>
  <c r="A675" i="53"/>
  <c r="AW674" i="53"/>
  <c r="AU674" i="53"/>
  <c r="AQ674" i="53"/>
  <c r="AN674" i="53"/>
  <c r="AZ674" i="53"/>
  <c r="AM674" i="53"/>
  <c r="AF674" i="53"/>
  <c r="AZ673" i="53"/>
  <c r="BA673" i="53"/>
  <c r="AX673" i="53"/>
  <c r="AY673" i="53"/>
  <c r="AV673" i="53"/>
  <c r="AW673" i="53"/>
  <c r="AU673" i="53"/>
  <c r="AQ673" i="53"/>
  <c r="AO673" i="53"/>
  <c r="AM673" i="53"/>
  <c r="AK673" i="53"/>
  <c r="AJ673" i="53"/>
  <c r="AF673" i="53"/>
  <c r="C673" i="53"/>
  <c r="B673" i="53"/>
  <c r="A673" i="53"/>
  <c r="AZ672" i="53"/>
  <c r="BA672" i="53"/>
  <c r="AX672" i="53"/>
  <c r="AY672" i="53"/>
  <c r="AV672" i="53"/>
  <c r="AW672" i="53"/>
  <c r="AW671" i="53"/>
  <c r="AU672" i="53"/>
  <c r="AQ672" i="53"/>
  <c r="AO672" i="53"/>
  <c r="AM672" i="53"/>
  <c r="AK672" i="53"/>
  <c r="AG672" i="53"/>
  <c r="AJ672" i="53"/>
  <c r="AD672" i="53"/>
  <c r="AE672" i="53"/>
  <c r="AF672" i="53"/>
  <c r="C671" i="53"/>
  <c r="C672" i="53"/>
  <c r="A671" i="53"/>
  <c r="A672" i="53"/>
  <c r="AH671" i="53"/>
  <c r="AG671" i="53"/>
  <c r="AD671" i="53"/>
  <c r="AB671" i="53"/>
  <c r="AE671" i="53"/>
  <c r="AF671" i="53"/>
  <c r="AC671" i="53"/>
  <c r="C674" i="53"/>
  <c r="B671" i="53"/>
  <c r="B674" i="53"/>
  <c r="A674" i="53"/>
  <c r="AZ670" i="53"/>
  <c r="BA670" i="53"/>
  <c r="AX670" i="53"/>
  <c r="AY670" i="53"/>
  <c r="AV670" i="53"/>
  <c r="AW670" i="53"/>
  <c r="AU670" i="53"/>
  <c r="AS670" i="53"/>
  <c r="AQ670" i="53"/>
  <c r="AO670" i="53"/>
  <c r="AM670" i="53"/>
  <c r="AK670" i="53"/>
  <c r="AJ670" i="53"/>
  <c r="AF670" i="53"/>
  <c r="C669" i="53"/>
  <c r="C670" i="53"/>
  <c r="B670" i="53"/>
  <c r="AZ669" i="53"/>
  <c r="BA669" i="53"/>
  <c r="AX669" i="53"/>
  <c r="AY669" i="53"/>
  <c r="AV669" i="53"/>
  <c r="AW669" i="53"/>
  <c r="AU669" i="53"/>
  <c r="AS669" i="53"/>
  <c r="AQ669" i="53"/>
  <c r="AO669" i="53"/>
  <c r="AM669" i="53"/>
  <c r="AK669" i="53"/>
  <c r="AJ669" i="53"/>
  <c r="AF669" i="53"/>
  <c r="A669" i="53"/>
  <c r="A670" i="53"/>
  <c r="AZ668" i="53"/>
  <c r="BA668" i="53"/>
  <c r="AX668" i="53"/>
  <c r="AY668" i="53"/>
  <c r="AV668" i="53"/>
  <c r="AW668" i="53"/>
  <c r="AU668" i="53"/>
  <c r="AS668" i="53"/>
  <c r="AQ668" i="53"/>
  <c r="AO668" i="53"/>
  <c r="AM668" i="53"/>
  <c r="AK668" i="53"/>
  <c r="AJ668" i="53"/>
  <c r="AF668" i="53"/>
  <c r="C668" i="53"/>
  <c r="A668" i="53"/>
  <c r="AZ667" i="53"/>
  <c r="BA667" i="53"/>
  <c r="AX667" i="53"/>
  <c r="AY667" i="53"/>
  <c r="AV667" i="53"/>
  <c r="AW667" i="53"/>
  <c r="AU667" i="53"/>
  <c r="AS667" i="53"/>
  <c r="AQ667" i="53"/>
  <c r="AO667" i="53"/>
  <c r="AM667" i="53"/>
  <c r="AK667" i="53"/>
  <c r="AJ667" i="53"/>
  <c r="AF667" i="53"/>
  <c r="C667" i="53"/>
  <c r="A667" i="53"/>
  <c r="AZ666" i="53"/>
  <c r="BA666" i="53"/>
  <c r="AX666" i="53"/>
  <c r="AY666" i="53"/>
  <c r="AV666" i="53"/>
  <c r="AW666" i="53"/>
  <c r="AU666" i="53"/>
  <c r="AS666" i="53"/>
  <c r="AQ666" i="53"/>
  <c r="AO666" i="53"/>
  <c r="AM666" i="53"/>
  <c r="AK666" i="53"/>
  <c r="AJ666" i="53"/>
  <c r="AF666" i="53"/>
  <c r="AZ665" i="53"/>
  <c r="BA665" i="53"/>
  <c r="AX665" i="53"/>
  <c r="AY665" i="53"/>
  <c r="AV665" i="53"/>
  <c r="AW665" i="53"/>
  <c r="AU665" i="53"/>
  <c r="AS665" i="53"/>
  <c r="AQ665" i="53"/>
  <c r="AO665" i="53"/>
  <c r="AM665" i="53"/>
  <c r="AK665" i="53"/>
  <c r="AG665" i="53"/>
  <c r="AJ665" i="53"/>
  <c r="AF665" i="53"/>
  <c r="C665" i="53"/>
  <c r="A665" i="53"/>
  <c r="AZ664" i="53"/>
  <c r="AH664" i="53"/>
  <c r="BA664" i="53"/>
  <c r="AX664" i="53"/>
  <c r="AY664" i="53"/>
  <c r="AV664" i="53"/>
  <c r="AW664" i="53"/>
  <c r="AU664" i="53"/>
  <c r="AQ664" i="53"/>
  <c r="AM664" i="53"/>
  <c r="AS664" i="53"/>
  <c r="AG664" i="53"/>
  <c r="AJ664" i="53"/>
  <c r="AF664" i="53"/>
  <c r="C664" i="53"/>
  <c r="A664" i="53"/>
  <c r="AZ663" i="53"/>
  <c r="AH663" i="53"/>
  <c r="BA663" i="53"/>
  <c r="AX663" i="53"/>
  <c r="AY663" i="53"/>
  <c r="AV663" i="53"/>
  <c r="AW663" i="53"/>
  <c r="AU663" i="53"/>
  <c r="AQ663" i="53"/>
  <c r="AM663" i="53"/>
  <c r="AS663" i="53"/>
  <c r="AS658" i="53"/>
  <c r="AS659" i="53"/>
  <c r="AS660" i="53"/>
  <c r="AS661" i="53"/>
  <c r="AS662" i="53"/>
  <c r="AS657" i="53"/>
  <c r="AG663" i="53"/>
  <c r="AJ663" i="53"/>
  <c r="AF663" i="53"/>
  <c r="C663" i="53"/>
  <c r="A663" i="53"/>
  <c r="AZ662" i="53"/>
  <c r="BA662" i="53"/>
  <c r="AX662" i="53"/>
  <c r="AY662" i="53"/>
  <c r="AV662" i="53"/>
  <c r="AW662" i="53"/>
  <c r="AU662" i="53"/>
  <c r="AQ662" i="53"/>
  <c r="AO662" i="53"/>
  <c r="AM662" i="53"/>
  <c r="AK662" i="53"/>
  <c r="AG662" i="53"/>
  <c r="AJ662" i="53"/>
  <c r="AF662" i="53"/>
  <c r="C662" i="53"/>
  <c r="A662" i="53"/>
  <c r="AZ661" i="53"/>
  <c r="BA661" i="53"/>
  <c r="AX661" i="53"/>
  <c r="AY661" i="53"/>
  <c r="AV661" i="53"/>
  <c r="AW661" i="53"/>
  <c r="AZ658" i="53"/>
  <c r="AV658" i="53"/>
  <c r="AW658" i="53"/>
  <c r="AZ659" i="53"/>
  <c r="AV659" i="53"/>
  <c r="AW659" i="53"/>
  <c r="AZ660" i="53"/>
  <c r="AV660" i="53"/>
  <c r="AW660" i="53"/>
  <c r="AW657" i="53"/>
  <c r="AU661" i="53"/>
  <c r="AQ661" i="53"/>
  <c r="AO661" i="53"/>
  <c r="AM661" i="53"/>
  <c r="AK661" i="53"/>
  <c r="AG661" i="53"/>
  <c r="AJ661" i="53"/>
  <c r="AF661" i="53"/>
  <c r="C661" i="53"/>
  <c r="A661" i="53"/>
  <c r="BA660" i="53"/>
  <c r="AX660" i="53"/>
  <c r="AY660" i="53"/>
  <c r="AU660" i="53"/>
  <c r="AQ660" i="53"/>
  <c r="AO660" i="53"/>
  <c r="AM660" i="53"/>
  <c r="AF660" i="53"/>
  <c r="C660" i="53"/>
  <c r="A660" i="53"/>
  <c r="BA659" i="53"/>
  <c r="AX659" i="53"/>
  <c r="AY659" i="53"/>
  <c r="AU659" i="53"/>
  <c r="AQ659" i="53"/>
  <c r="AO659" i="53"/>
  <c r="AM659" i="53"/>
  <c r="AK659" i="53"/>
  <c r="AJ659" i="53"/>
  <c r="AF659" i="53"/>
  <c r="C659" i="53"/>
  <c r="A659" i="53"/>
  <c r="BA658" i="53"/>
  <c r="AX658" i="53"/>
  <c r="AY658" i="53"/>
  <c r="AU658" i="53"/>
  <c r="AU657" i="53"/>
  <c r="AQ658" i="53"/>
  <c r="AQ657" i="53"/>
  <c r="AO658" i="53"/>
  <c r="AM658" i="53"/>
  <c r="AM657" i="53"/>
  <c r="AK658" i="53"/>
  <c r="AG658" i="53"/>
  <c r="AJ658" i="53"/>
  <c r="AJ657" i="53"/>
  <c r="AF658" i="53"/>
  <c r="C658" i="53"/>
  <c r="A658" i="53"/>
  <c r="AH657" i="53"/>
  <c r="AG657" i="53"/>
  <c r="AD657" i="53"/>
  <c r="AB657" i="53"/>
  <c r="AE657" i="53"/>
  <c r="AF657" i="53"/>
  <c r="AC657" i="53"/>
  <c r="C657" i="53"/>
  <c r="A657" i="53"/>
  <c r="AZ656" i="53"/>
  <c r="BA656" i="53"/>
  <c r="AX656" i="53"/>
  <c r="AY656" i="53"/>
  <c r="AV656" i="53"/>
  <c r="AW656" i="53"/>
  <c r="AU656" i="53"/>
  <c r="AS656" i="53"/>
  <c r="AQ656" i="53"/>
  <c r="AO656" i="53"/>
  <c r="AM656" i="53"/>
  <c r="AK656" i="53"/>
  <c r="AJ656" i="53"/>
  <c r="AF656" i="53"/>
  <c r="B656" i="53"/>
  <c r="AZ655" i="53"/>
  <c r="BA655" i="53"/>
  <c r="AX655" i="53"/>
  <c r="AY655" i="53"/>
  <c r="AV655" i="53"/>
  <c r="AW655" i="53"/>
  <c r="AU655" i="53"/>
  <c r="AS655" i="53"/>
  <c r="AQ655" i="53"/>
  <c r="AO655" i="53"/>
  <c r="AM655" i="53"/>
  <c r="AK655" i="53"/>
  <c r="AJ655" i="53"/>
  <c r="AF655" i="53"/>
  <c r="C655" i="53"/>
  <c r="C656" i="53"/>
  <c r="A655" i="53"/>
  <c r="A656" i="53"/>
  <c r="AZ654" i="53"/>
  <c r="BA654" i="53"/>
  <c r="AX654" i="53"/>
  <c r="AY654" i="53"/>
  <c r="AV654" i="53"/>
  <c r="AW654" i="53"/>
  <c r="AU654" i="53"/>
  <c r="AS654" i="53"/>
  <c r="AQ654" i="53"/>
  <c r="AO654" i="53"/>
  <c r="AM654" i="53"/>
  <c r="AK654" i="53"/>
  <c r="AJ654" i="53"/>
  <c r="AF654" i="53"/>
  <c r="C654" i="53"/>
  <c r="A654" i="53"/>
  <c r="AZ653" i="53"/>
  <c r="BA653" i="53"/>
  <c r="AX653" i="53"/>
  <c r="AY653" i="53"/>
  <c r="AV653" i="53"/>
  <c r="AW653" i="53"/>
  <c r="AU653" i="53"/>
  <c r="AS653" i="53"/>
  <c r="AQ653" i="53"/>
  <c r="AO653" i="53"/>
  <c r="AM653" i="53"/>
  <c r="AK653" i="53"/>
  <c r="AJ653" i="53"/>
  <c r="AF653" i="53"/>
  <c r="C653" i="53"/>
  <c r="AZ652" i="53"/>
  <c r="BA652" i="53"/>
  <c r="AX652" i="53"/>
  <c r="AY652" i="53"/>
  <c r="AV652" i="53"/>
  <c r="AW652" i="53"/>
  <c r="AU652" i="53"/>
  <c r="AS652" i="53"/>
  <c r="AQ652" i="53"/>
  <c r="AO652" i="53"/>
  <c r="AM652" i="53"/>
  <c r="AK652" i="53"/>
  <c r="AG652" i="53"/>
  <c r="AJ652" i="53"/>
  <c r="AF652" i="53"/>
  <c r="C652" i="53"/>
  <c r="A652" i="53"/>
  <c r="AZ651" i="53"/>
  <c r="BA651" i="53"/>
  <c r="AX651" i="53"/>
  <c r="AY651" i="53"/>
  <c r="AV651" i="53"/>
  <c r="AW651" i="53"/>
  <c r="AU651" i="53"/>
  <c r="AS651" i="53"/>
  <c r="AQ651" i="53"/>
  <c r="AO651" i="53"/>
  <c r="AM651" i="53"/>
  <c r="AK651" i="53"/>
  <c r="AG651" i="53"/>
  <c r="AJ651" i="53"/>
  <c r="AF651" i="53"/>
  <c r="C651" i="53"/>
  <c r="A651" i="53"/>
  <c r="AZ650" i="53"/>
  <c r="AH650" i="53"/>
  <c r="BA650" i="53"/>
  <c r="AX650" i="53"/>
  <c r="AY650" i="53"/>
  <c r="AV650" i="53"/>
  <c r="AW650" i="53"/>
  <c r="AS650" i="53"/>
  <c r="AF650" i="53"/>
  <c r="C650" i="53"/>
  <c r="A650" i="53"/>
  <c r="AZ649" i="53"/>
  <c r="BA649" i="53"/>
  <c r="AX649" i="53"/>
  <c r="AY649" i="53"/>
  <c r="AV649" i="53"/>
  <c r="AW649" i="53"/>
  <c r="AU649" i="53"/>
  <c r="AS649" i="53"/>
  <c r="AQ649" i="53"/>
  <c r="AO649" i="53"/>
  <c r="AM649" i="53"/>
  <c r="AK649" i="53"/>
  <c r="AG649" i="53"/>
  <c r="AJ649" i="53"/>
  <c r="AF649" i="53"/>
  <c r="C649" i="53"/>
  <c r="A649" i="53"/>
  <c r="AZ648" i="53"/>
  <c r="BA648" i="53"/>
  <c r="AX648" i="53"/>
  <c r="AY648" i="53"/>
  <c r="AV648" i="53"/>
  <c r="AW648" i="53"/>
  <c r="AU648" i="53"/>
  <c r="AS648" i="53"/>
  <c r="AQ648" i="53"/>
  <c r="AO648" i="53"/>
  <c r="AM648" i="53"/>
  <c r="AK648" i="53"/>
  <c r="AG648" i="53"/>
  <c r="AJ648" i="53"/>
  <c r="AF648" i="53"/>
  <c r="C648" i="53"/>
  <c r="A648" i="53"/>
  <c r="AZ647" i="53"/>
  <c r="BA647" i="53"/>
  <c r="AX647" i="53"/>
  <c r="AY647" i="53"/>
  <c r="AV647" i="53"/>
  <c r="AW647" i="53"/>
  <c r="AU647" i="53"/>
  <c r="AS647" i="53"/>
  <c r="AQ647" i="53"/>
  <c r="AO647" i="53"/>
  <c r="AM647" i="53"/>
  <c r="AK647" i="53"/>
  <c r="AJ647" i="53"/>
  <c r="AF647" i="53"/>
  <c r="C647" i="53"/>
  <c r="A647" i="53"/>
  <c r="AZ646" i="53"/>
  <c r="BA646" i="53"/>
  <c r="AX646" i="53"/>
  <c r="AY646" i="53"/>
  <c r="AV646" i="53"/>
  <c r="AW646" i="53"/>
  <c r="AW645" i="53"/>
  <c r="AU646" i="53"/>
  <c r="AS646" i="53"/>
  <c r="AS645" i="53"/>
  <c r="AQ646" i="53"/>
  <c r="AO646" i="53"/>
  <c r="AM646" i="53"/>
  <c r="AK646" i="53"/>
  <c r="AG646" i="53"/>
  <c r="AJ646" i="53"/>
  <c r="AF646" i="53"/>
  <c r="C646" i="53"/>
  <c r="A646" i="53"/>
  <c r="AD645" i="53"/>
  <c r="AB645" i="53"/>
  <c r="AE645" i="53"/>
  <c r="AF645" i="53"/>
  <c r="AC645" i="53"/>
  <c r="C645" i="53"/>
  <c r="A645" i="53"/>
  <c r="AZ644" i="53"/>
  <c r="BA644" i="53"/>
  <c r="AX644" i="53"/>
  <c r="AY644" i="53"/>
  <c r="AV644" i="53"/>
  <c r="AW644" i="53"/>
  <c r="AU644" i="53"/>
  <c r="AS644" i="53"/>
  <c r="AQ644" i="53"/>
  <c r="AO644" i="53"/>
  <c r="AM644" i="53"/>
  <c r="AK644" i="53"/>
  <c r="AJ644" i="53"/>
  <c r="AF644" i="53"/>
  <c r="C644" i="53"/>
  <c r="B644" i="53"/>
  <c r="A644" i="53"/>
  <c r="AZ643" i="53"/>
  <c r="BA643" i="53"/>
  <c r="AX643" i="53"/>
  <c r="AY643" i="53"/>
  <c r="AV643" i="53"/>
  <c r="AW643" i="53"/>
  <c r="AU643" i="53"/>
  <c r="AS643" i="53"/>
  <c r="AQ643" i="53"/>
  <c r="AO643" i="53"/>
  <c r="AM643" i="53"/>
  <c r="AK643" i="53"/>
  <c r="AJ643" i="53"/>
  <c r="AF643" i="53"/>
  <c r="C643" i="53"/>
  <c r="B643" i="53"/>
  <c r="A643" i="53"/>
  <c r="AZ642" i="53"/>
  <c r="BA642" i="53"/>
  <c r="AX642" i="53"/>
  <c r="AY642" i="53"/>
  <c r="AV642" i="53"/>
  <c r="AW642" i="53"/>
  <c r="AU642" i="53"/>
  <c r="AS642" i="53"/>
  <c r="AQ642" i="53"/>
  <c r="AO642" i="53"/>
  <c r="AM642" i="53"/>
  <c r="AK642" i="53"/>
  <c r="AJ642" i="53"/>
  <c r="AF642" i="53"/>
  <c r="C642" i="53"/>
  <c r="B642" i="53"/>
  <c r="A642" i="53"/>
  <c r="AZ641" i="53"/>
  <c r="BA641" i="53"/>
  <c r="AX641" i="53"/>
  <c r="AY641" i="53"/>
  <c r="AV641" i="53"/>
  <c r="AW641" i="53"/>
  <c r="AU641" i="53"/>
  <c r="AS641" i="53"/>
  <c r="AQ641" i="53"/>
  <c r="AO641" i="53"/>
  <c r="AM641" i="53"/>
  <c r="AK641" i="53"/>
  <c r="AJ641" i="53"/>
  <c r="AF641" i="53"/>
  <c r="C641" i="53"/>
  <c r="B641" i="53"/>
  <c r="A641" i="53"/>
  <c r="AZ640" i="53"/>
  <c r="BA640" i="53"/>
  <c r="AX640" i="53"/>
  <c r="AY640" i="53"/>
  <c r="AV640" i="53"/>
  <c r="AW640" i="53"/>
  <c r="AU640" i="53"/>
  <c r="AS640" i="53"/>
  <c r="AQ640" i="53"/>
  <c r="AO640" i="53"/>
  <c r="AM640" i="53"/>
  <c r="AK640" i="53"/>
  <c r="AG640" i="53"/>
  <c r="AJ640" i="53"/>
  <c r="AF640" i="53"/>
  <c r="C640" i="53"/>
  <c r="B640" i="53"/>
  <c r="A640" i="53"/>
  <c r="AZ639" i="53"/>
  <c r="BA639" i="53"/>
  <c r="AX639" i="53"/>
  <c r="AY639" i="53"/>
  <c r="AV639" i="53"/>
  <c r="AW639" i="53"/>
  <c r="AU639" i="53"/>
  <c r="AS639" i="53"/>
  <c r="AQ639" i="53"/>
  <c r="AO639" i="53"/>
  <c r="AM639" i="53"/>
  <c r="AK639" i="53"/>
  <c r="AG639" i="53"/>
  <c r="AJ639" i="53"/>
  <c r="AF639" i="53"/>
  <c r="C639" i="53"/>
  <c r="B639" i="53"/>
  <c r="A639" i="53"/>
  <c r="AZ638" i="53"/>
  <c r="BA638" i="53"/>
  <c r="AX638" i="53"/>
  <c r="AY638" i="53"/>
  <c r="AV638" i="53"/>
  <c r="AW638" i="53"/>
  <c r="AU638" i="53"/>
  <c r="AS638" i="53"/>
  <c r="AQ638" i="53"/>
  <c r="AO638" i="53"/>
  <c r="AM638" i="53"/>
  <c r="AK638" i="53"/>
  <c r="AG638" i="53"/>
  <c r="AJ638" i="53"/>
  <c r="AF638" i="53"/>
  <c r="C638" i="53"/>
  <c r="B638" i="53"/>
  <c r="A638" i="53"/>
  <c r="AZ637" i="53"/>
  <c r="BA637" i="53"/>
  <c r="AX637" i="53"/>
  <c r="AY637" i="53"/>
  <c r="AV637" i="53"/>
  <c r="AW637" i="53"/>
  <c r="AU637" i="53"/>
  <c r="AS637" i="53"/>
  <c r="AQ637" i="53"/>
  <c r="AO637" i="53"/>
  <c r="AM637" i="53"/>
  <c r="AK637" i="53"/>
  <c r="AG637" i="53"/>
  <c r="AJ637" i="53"/>
  <c r="AF637" i="53"/>
  <c r="C637" i="53"/>
  <c r="B637" i="53"/>
  <c r="A637" i="53"/>
  <c r="AZ636" i="53"/>
  <c r="BA636" i="53"/>
  <c r="AX636" i="53"/>
  <c r="AY636" i="53"/>
  <c r="AV636" i="53"/>
  <c r="AW636" i="53"/>
  <c r="AU636" i="53"/>
  <c r="AS636" i="53"/>
  <c r="AQ636" i="53"/>
  <c r="AO636" i="53"/>
  <c r="AM636" i="53"/>
  <c r="AK636" i="53"/>
  <c r="AG636" i="53"/>
  <c r="AJ636" i="53"/>
  <c r="AF636" i="53"/>
  <c r="C636" i="53"/>
  <c r="B636" i="53"/>
  <c r="A636" i="53"/>
  <c r="AZ635" i="53"/>
  <c r="BA635" i="53"/>
  <c r="AX635" i="53"/>
  <c r="AY635" i="53"/>
  <c r="AV635" i="53"/>
  <c r="AW635" i="53"/>
  <c r="AU635" i="53"/>
  <c r="AU634" i="53"/>
  <c r="AU633" i="53"/>
  <c r="AS635" i="53"/>
  <c r="AQ635" i="53"/>
  <c r="AQ634" i="53"/>
  <c r="AQ633" i="53"/>
  <c r="AO635" i="53"/>
  <c r="AM635" i="53"/>
  <c r="AM634" i="53"/>
  <c r="AM633" i="53"/>
  <c r="AK635" i="53"/>
  <c r="AJ635" i="53"/>
  <c r="AF635" i="53"/>
  <c r="C635" i="53"/>
  <c r="B635" i="53"/>
  <c r="A635" i="53"/>
  <c r="AZ634" i="53"/>
  <c r="BA634" i="53"/>
  <c r="AX634" i="53"/>
  <c r="AY634" i="53"/>
  <c r="AV634" i="53"/>
  <c r="AW634" i="53"/>
  <c r="AW633" i="53"/>
  <c r="AS634" i="53"/>
  <c r="AO634" i="53"/>
  <c r="AK634" i="53"/>
  <c r="AG634" i="53"/>
  <c r="AJ634" i="53"/>
  <c r="AJ633" i="53"/>
  <c r="AF634" i="53"/>
  <c r="C634" i="53"/>
  <c r="B634" i="53"/>
  <c r="A634" i="53"/>
  <c r="AS633" i="53"/>
  <c r="AO633" i="53"/>
  <c r="AK633" i="53"/>
  <c r="AH633" i="53"/>
  <c r="AG633" i="53"/>
  <c r="AD633" i="53"/>
  <c r="AB633" i="53"/>
  <c r="AE633" i="53"/>
  <c r="AF633" i="53"/>
  <c r="AC633" i="53"/>
  <c r="C633" i="53"/>
  <c r="B633" i="53"/>
  <c r="A633" i="53"/>
  <c r="AZ632" i="53"/>
  <c r="BA632" i="53"/>
  <c r="AX632" i="53"/>
  <c r="AY632" i="53"/>
  <c r="AV632" i="53"/>
  <c r="AW632" i="53"/>
  <c r="AU632" i="53"/>
  <c r="AS632" i="53"/>
  <c r="AQ632" i="53"/>
  <c r="AO632" i="53"/>
  <c r="AM632" i="53"/>
  <c r="AK632" i="53"/>
  <c r="AJ632" i="53"/>
  <c r="AF632" i="53"/>
  <c r="C632" i="53"/>
  <c r="B632" i="53"/>
  <c r="A632" i="53"/>
  <c r="AZ631" i="53"/>
  <c r="BA631" i="53"/>
  <c r="AX631" i="53"/>
  <c r="AY631" i="53"/>
  <c r="AV631" i="53"/>
  <c r="AW631" i="53"/>
  <c r="AU631" i="53"/>
  <c r="AS631" i="53"/>
  <c r="AQ631" i="53"/>
  <c r="AO631" i="53"/>
  <c r="AM631" i="53"/>
  <c r="AK631" i="53"/>
  <c r="AJ631" i="53"/>
  <c r="AF631" i="53"/>
  <c r="C631" i="53"/>
  <c r="B631" i="53"/>
  <c r="A631" i="53"/>
  <c r="AZ630" i="53"/>
  <c r="BA630" i="53"/>
  <c r="AX630" i="53"/>
  <c r="AY630" i="53"/>
  <c r="AV630" i="53"/>
  <c r="AW630" i="53"/>
  <c r="AU630" i="53"/>
  <c r="AS630" i="53"/>
  <c r="AQ630" i="53"/>
  <c r="AO630" i="53"/>
  <c r="AM630" i="53"/>
  <c r="AK630" i="53"/>
  <c r="AJ630" i="53"/>
  <c r="AF630" i="53"/>
  <c r="C630" i="53"/>
  <c r="B630" i="53"/>
  <c r="A630" i="53"/>
  <c r="AZ629" i="53"/>
  <c r="BA629" i="53"/>
  <c r="AX629" i="53"/>
  <c r="AY629" i="53"/>
  <c r="AV629" i="53"/>
  <c r="AW629" i="53"/>
  <c r="AU629" i="53"/>
  <c r="AS629" i="53"/>
  <c r="AQ629" i="53"/>
  <c r="AO629" i="53"/>
  <c r="AM629" i="53"/>
  <c r="AK629" i="53"/>
  <c r="AJ629" i="53"/>
  <c r="AF629" i="53"/>
  <c r="C629" i="53"/>
  <c r="B629" i="53"/>
  <c r="A629" i="53"/>
  <c r="AW628" i="53"/>
  <c r="AU628" i="53"/>
  <c r="AS628" i="53"/>
  <c r="AQ628" i="53"/>
  <c r="AN628" i="53"/>
  <c r="AO628" i="53"/>
  <c r="AZ628" i="53"/>
  <c r="AM628" i="53"/>
  <c r="AF628" i="53"/>
  <c r="C628" i="53"/>
  <c r="B628" i="53"/>
  <c r="A628" i="53"/>
  <c r="AZ627" i="53"/>
  <c r="BA627" i="53"/>
  <c r="AX627" i="53"/>
  <c r="AY627" i="53"/>
  <c r="AV627" i="53"/>
  <c r="AW627" i="53"/>
  <c r="AU627" i="53"/>
  <c r="AS627" i="53"/>
  <c r="AS626" i="53"/>
  <c r="AS625" i="53"/>
  <c r="AQ627" i="53"/>
  <c r="AO627" i="53"/>
  <c r="AO626" i="53"/>
  <c r="AO625" i="53"/>
  <c r="AM627" i="53"/>
  <c r="AK627" i="53"/>
  <c r="AK626" i="53"/>
  <c r="AK625" i="53"/>
  <c r="AJ627" i="53"/>
  <c r="AF627" i="53"/>
  <c r="C627" i="53"/>
  <c r="B627" i="53"/>
  <c r="A627" i="53"/>
  <c r="AZ626" i="53"/>
  <c r="BA626" i="53"/>
  <c r="AX626" i="53"/>
  <c r="AY626" i="53"/>
  <c r="AV626" i="53"/>
  <c r="AW626" i="53"/>
  <c r="AU626" i="53"/>
  <c r="AQ626" i="53"/>
  <c r="AM626" i="53"/>
  <c r="AG626" i="53"/>
  <c r="AJ626" i="53"/>
  <c r="AF626" i="53"/>
  <c r="C626" i="53"/>
  <c r="B626" i="53"/>
  <c r="A626" i="53"/>
  <c r="AU625" i="53"/>
  <c r="AQ625" i="53"/>
  <c r="AM625" i="53"/>
  <c r="AJ625" i="53"/>
  <c r="AH625" i="53"/>
  <c r="AG625" i="53"/>
  <c r="AD625" i="53"/>
  <c r="AB625" i="53"/>
  <c r="AE625" i="53"/>
  <c r="AF625" i="53"/>
  <c r="AC625" i="53"/>
  <c r="C625" i="53"/>
  <c r="B625" i="53"/>
  <c r="A625" i="53"/>
  <c r="AZ624" i="53"/>
  <c r="BA624" i="53"/>
  <c r="AX624" i="53"/>
  <c r="AY624" i="53"/>
  <c r="AV624" i="53"/>
  <c r="AW624" i="53"/>
  <c r="AU624" i="53"/>
  <c r="AS624" i="53"/>
  <c r="AQ624" i="53"/>
  <c r="AO624" i="53"/>
  <c r="AM624" i="53"/>
  <c r="AK624" i="53"/>
  <c r="AJ624" i="53"/>
  <c r="AF624" i="53"/>
  <c r="B624" i="53"/>
  <c r="AZ623" i="53"/>
  <c r="BA623" i="53"/>
  <c r="AX623" i="53"/>
  <c r="AY623" i="53"/>
  <c r="AV623" i="53"/>
  <c r="AW623" i="53"/>
  <c r="AU623" i="53"/>
  <c r="AS623" i="53"/>
  <c r="AQ623" i="53"/>
  <c r="AO623" i="53"/>
  <c r="AM623" i="53"/>
  <c r="AF623" i="53"/>
  <c r="C623" i="53"/>
  <c r="C624" i="53"/>
  <c r="A623" i="53"/>
  <c r="A624" i="53"/>
  <c r="AZ622" i="53"/>
  <c r="BA622" i="53"/>
  <c r="AX622" i="53"/>
  <c r="AY622" i="53"/>
  <c r="AV622" i="53"/>
  <c r="AW622" i="53"/>
  <c r="AU622" i="53"/>
  <c r="AS622" i="53"/>
  <c r="AQ622" i="53"/>
  <c r="AO622" i="53"/>
  <c r="AM622" i="53"/>
  <c r="AF622" i="53"/>
  <c r="C622" i="53"/>
  <c r="A622" i="53"/>
  <c r="AZ621" i="53"/>
  <c r="BA621" i="53"/>
  <c r="AX621" i="53"/>
  <c r="AY621" i="53"/>
  <c r="AV621" i="53"/>
  <c r="AW621" i="53"/>
  <c r="AU621" i="53"/>
  <c r="AU619" i="53"/>
  <c r="AU620" i="53"/>
  <c r="AU618" i="53"/>
  <c r="AS621" i="53"/>
  <c r="AQ621" i="53"/>
  <c r="AQ619" i="53"/>
  <c r="AQ620" i="53"/>
  <c r="AQ618" i="53"/>
  <c r="AO621" i="53"/>
  <c r="AM621" i="53"/>
  <c r="AM619" i="53"/>
  <c r="AM620" i="53"/>
  <c r="AM618" i="53"/>
  <c r="AK621" i="53"/>
  <c r="AJ621" i="53"/>
  <c r="AF621" i="53"/>
  <c r="C621" i="53"/>
  <c r="AZ620" i="53"/>
  <c r="BA620" i="53"/>
  <c r="AX620" i="53"/>
  <c r="AY620" i="53"/>
  <c r="AV620" i="53"/>
  <c r="AW620" i="53"/>
  <c r="AS620" i="53"/>
  <c r="AO620" i="53"/>
  <c r="AK620" i="53"/>
  <c r="AG620" i="53"/>
  <c r="AJ620" i="53"/>
  <c r="C620" i="53"/>
  <c r="A620" i="53"/>
  <c r="AZ619" i="53"/>
  <c r="BA619" i="53"/>
  <c r="AX619" i="53"/>
  <c r="AY619" i="53"/>
  <c r="AV619" i="53"/>
  <c r="AW619" i="53"/>
  <c r="AW618" i="53"/>
  <c r="AS619" i="53"/>
  <c r="AO619" i="53"/>
  <c r="AK619" i="53"/>
  <c r="AG619" i="53"/>
  <c r="AJ619" i="53"/>
  <c r="AJ618" i="53"/>
  <c r="C619" i="53"/>
  <c r="A619" i="53"/>
  <c r="AS618" i="53"/>
  <c r="AO618" i="53"/>
  <c r="AK618" i="53"/>
  <c r="AH618" i="53"/>
  <c r="AG618" i="53"/>
  <c r="AD618" i="53"/>
  <c r="AB618" i="53"/>
  <c r="AE618" i="53"/>
  <c r="AF618" i="53"/>
  <c r="AC618" i="53"/>
  <c r="C618" i="53"/>
  <c r="A618" i="53"/>
  <c r="AZ617" i="53"/>
  <c r="BA617" i="53"/>
  <c r="AX617" i="53"/>
  <c r="AY617" i="53"/>
  <c r="AV617" i="53"/>
  <c r="AW617" i="53"/>
  <c r="AU617" i="53"/>
  <c r="AS617" i="53"/>
  <c r="AQ617" i="53"/>
  <c r="AO617" i="53"/>
  <c r="AM617" i="53"/>
  <c r="AK617" i="53"/>
  <c r="AJ617" i="53"/>
  <c r="AF617" i="53"/>
  <c r="AZ616" i="53"/>
  <c r="BA616" i="53"/>
  <c r="AX616" i="53"/>
  <c r="AY616" i="53"/>
  <c r="AV616" i="53"/>
  <c r="AW616" i="53"/>
  <c r="AU616" i="53"/>
  <c r="AS616" i="53"/>
  <c r="AQ616" i="53"/>
  <c r="AO616" i="53"/>
  <c r="AM616" i="53"/>
  <c r="AF616" i="53"/>
  <c r="C615" i="53"/>
  <c r="C616" i="53"/>
  <c r="C617" i="53"/>
  <c r="A615" i="53"/>
  <c r="A616" i="53"/>
  <c r="A617" i="53"/>
  <c r="AZ615" i="53"/>
  <c r="BA615" i="53"/>
  <c r="AX615" i="53"/>
  <c r="AY615" i="53"/>
  <c r="AV615" i="53"/>
  <c r="AW615" i="53"/>
  <c r="AU615" i="53"/>
  <c r="AS615" i="53"/>
  <c r="AQ615" i="53"/>
  <c r="AO615" i="53"/>
  <c r="AM615" i="53"/>
  <c r="AK615" i="53"/>
  <c r="AJ615" i="53"/>
  <c r="AF615" i="53"/>
  <c r="B615" i="53"/>
  <c r="B616" i="53"/>
  <c r="B617" i="53"/>
  <c r="AZ614" i="53"/>
  <c r="BA614" i="53"/>
  <c r="AX614" i="53"/>
  <c r="AY614" i="53"/>
  <c r="AV614" i="53"/>
  <c r="AW614" i="53"/>
  <c r="AU614" i="53"/>
  <c r="AU608" i="53"/>
  <c r="AU609" i="53"/>
  <c r="AU610" i="53"/>
  <c r="AU611" i="53"/>
  <c r="AU612" i="53"/>
  <c r="AU613" i="53"/>
  <c r="AU607" i="53"/>
  <c r="AS614" i="53"/>
  <c r="AQ614" i="53"/>
  <c r="AQ608" i="53"/>
  <c r="AQ609" i="53"/>
  <c r="AQ610" i="53"/>
  <c r="AQ611" i="53"/>
  <c r="AQ612" i="53"/>
  <c r="AQ613" i="53"/>
  <c r="AQ607" i="53"/>
  <c r="AO614" i="53"/>
  <c r="AM614" i="53"/>
  <c r="AM608" i="53"/>
  <c r="AM609" i="53"/>
  <c r="AM610" i="53"/>
  <c r="AM611" i="53"/>
  <c r="AM612" i="53"/>
  <c r="AM613" i="53"/>
  <c r="AM607" i="53"/>
  <c r="AK614" i="53"/>
  <c r="AJ614" i="53"/>
  <c r="AF614" i="53"/>
  <c r="C614" i="53"/>
  <c r="AZ613" i="53"/>
  <c r="BA613" i="53"/>
  <c r="AX613" i="53"/>
  <c r="AY613" i="53"/>
  <c r="AV613" i="53"/>
  <c r="AW613" i="53"/>
  <c r="AS613" i="53"/>
  <c r="AO613" i="53"/>
  <c r="AK613" i="53"/>
  <c r="AG613" i="53"/>
  <c r="AJ613" i="53"/>
  <c r="AF613" i="53"/>
  <c r="C613" i="53"/>
  <c r="B613" i="53"/>
  <c r="A613" i="53"/>
  <c r="AZ612" i="53"/>
  <c r="BA612" i="53"/>
  <c r="AX612" i="53"/>
  <c r="AY612" i="53"/>
  <c r="AV612" i="53"/>
  <c r="AW612" i="53"/>
  <c r="AS612" i="53"/>
  <c r="AO612" i="53"/>
  <c r="AK612" i="53"/>
  <c r="AG612" i="53"/>
  <c r="AJ612" i="53"/>
  <c r="AF612" i="53"/>
  <c r="C612" i="53"/>
  <c r="B612" i="53"/>
  <c r="A612" i="53"/>
  <c r="AZ611" i="53"/>
  <c r="BA611" i="53"/>
  <c r="AX611" i="53"/>
  <c r="AY611" i="53"/>
  <c r="AV611" i="53"/>
  <c r="AW611" i="53"/>
  <c r="AS611" i="53"/>
  <c r="AO611" i="53"/>
  <c r="AK611" i="53"/>
  <c r="AG611" i="53"/>
  <c r="AJ611" i="53"/>
  <c r="AF611" i="53"/>
  <c r="C611" i="53"/>
  <c r="B611" i="53"/>
  <c r="A611" i="53"/>
  <c r="AZ610" i="53"/>
  <c r="BA610" i="53"/>
  <c r="AX610" i="53"/>
  <c r="AY610" i="53"/>
  <c r="AV610" i="53"/>
  <c r="AW610" i="53"/>
  <c r="AS610" i="53"/>
  <c r="AO610" i="53"/>
  <c r="AK610" i="53"/>
  <c r="AG610" i="53"/>
  <c r="AJ610" i="53"/>
  <c r="AF610" i="53"/>
  <c r="C610" i="53"/>
  <c r="B610" i="53"/>
  <c r="A610" i="53"/>
  <c r="AZ609" i="53"/>
  <c r="BA609" i="53"/>
  <c r="AX609" i="53"/>
  <c r="AY609" i="53"/>
  <c r="AV609" i="53"/>
  <c r="AW609" i="53"/>
  <c r="AS609" i="53"/>
  <c r="AO609" i="53"/>
  <c r="AK609" i="53"/>
  <c r="AG609" i="53"/>
  <c r="AJ609" i="53"/>
  <c r="AF609" i="53"/>
  <c r="C609" i="53"/>
  <c r="B609" i="53"/>
  <c r="A609" i="53"/>
  <c r="AZ608" i="53"/>
  <c r="BA608" i="53"/>
  <c r="AX608" i="53"/>
  <c r="AY608" i="53"/>
  <c r="AV608" i="53"/>
  <c r="AW608" i="53"/>
  <c r="AW607" i="53"/>
  <c r="AS608" i="53"/>
  <c r="AO608" i="53"/>
  <c r="AK608" i="53"/>
  <c r="AG608" i="53"/>
  <c r="AJ608" i="53"/>
  <c r="AJ607" i="53"/>
  <c r="AF608" i="53"/>
  <c r="C608" i="53"/>
  <c r="B608" i="53"/>
  <c r="A608" i="53"/>
  <c r="AS607" i="53"/>
  <c r="AO607" i="53"/>
  <c r="AK607" i="53"/>
  <c r="AH607" i="53"/>
  <c r="AG607" i="53"/>
  <c r="AD607" i="53"/>
  <c r="AB607" i="53"/>
  <c r="AE607" i="53"/>
  <c r="AF607" i="53"/>
  <c r="AC607" i="53"/>
  <c r="C607" i="53"/>
  <c r="B607" i="53"/>
  <c r="A607" i="53"/>
  <c r="AZ606" i="53"/>
  <c r="BA606" i="53"/>
  <c r="AX606" i="53"/>
  <c r="AY606" i="53"/>
  <c r="AV606" i="53"/>
  <c r="AW606" i="53"/>
  <c r="AU606" i="53"/>
  <c r="AS606" i="53"/>
  <c r="AQ606" i="53"/>
  <c r="AO606" i="53"/>
  <c r="AM606" i="53"/>
  <c r="AK606" i="53"/>
  <c r="AJ606" i="53"/>
  <c r="AF606" i="53"/>
  <c r="C606" i="53"/>
  <c r="A606" i="53"/>
  <c r="AZ605" i="53"/>
  <c r="BA605" i="53"/>
  <c r="AX605" i="53"/>
  <c r="AY605" i="53"/>
  <c r="AV605" i="53"/>
  <c r="AW605" i="53"/>
  <c r="AU605" i="53"/>
  <c r="AS605" i="53"/>
  <c r="AQ605" i="53"/>
  <c r="AO605" i="53"/>
  <c r="AM605" i="53"/>
  <c r="AK605" i="53"/>
  <c r="AJ605" i="53"/>
  <c r="AF605" i="53"/>
  <c r="C605" i="53"/>
  <c r="A605" i="53"/>
  <c r="AZ604" i="53"/>
  <c r="BA604" i="53"/>
  <c r="AX604" i="53"/>
  <c r="AY604" i="53"/>
  <c r="AV604" i="53"/>
  <c r="AW604" i="53"/>
  <c r="AU604" i="53"/>
  <c r="AS604" i="53"/>
  <c r="AQ604" i="53"/>
  <c r="AO604" i="53"/>
  <c r="AM604" i="53"/>
  <c r="AK604" i="53"/>
  <c r="AJ604" i="53"/>
  <c r="AF604" i="53"/>
  <c r="C604" i="53"/>
  <c r="A604" i="53"/>
  <c r="AZ603" i="53"/>
  <c r="BA603" i="53"/>
  <c r="AX603" i="53"/>
  <c r="AY603" i="53"/>
  <c r="AV603" i="53"/>
  <c r="AW603" i="53"/>
  <c r="AU603" i="53"/>
  <c r="AS603" i="53"/>
  <c r="AQ603" i="53"/>
  <c r="AO603" i="53"/>
  <c r="AM603" i="53"/>
  <c r="AF603" i="53"/>
  <c r="C603" i="53"/>
  <c r="A603" i="53"/>
  <c r="AZ602" i="53"/>
  <c r="BA602" i="53"/>
  <c r="AX602" i="53"/>
  <c r="AY602" i="53"/>
  <c r="AV602" i="53"/>
  <c r="AW602" i="53"/>
  <c r="AU602" i="53"/>
  <c r="AS602" i="53"/>
  <c r="AQ602" i="53"/>
  <c r="AO602" i="53"/>
  <c r="AM602" i="53"/>
  <c r="AF602" i="53"/>
  <c r="C602" i="53"/>
  <c r="A602" i="53"/>
  <c r="AZ601" i="53"/>
  <c r="BA601" i="53"/>
  <c r="AX601" i="53"/>
  <c r="AY601" i="53"/>
  <c r="AV601" i="53"/>
  <c r="AW601" i="53"/>
  <c r="AU601" i="53"/>
  <c r="AS601" i="53"/>
  <c r="AQ601" i="53"/>
  <c r="AO601" i="53"/>
  <c r="AM601" i="53"/>
  <c r="AK601" i="53"/>
  <c r="AJ601" i="53"/>
  <c r="AF601" i="53"/>
  <c r="A601" i="53"/>
  <c r="AZ600" i="53"/>
  <c r="BA600" i="53"/>
  <c r="AX600" i="53"/>
  <c r="AY600" i="53"/>
  <c r="AV600" i="53"/>
  <c r="AW600" i="53"/>
  <c r="AU600" i="53"/>
  <c r="AS600" i="53"/>
  <c r="AQ600" i="53"/>
  <c r="AO600" i="53"/>
  <c r="AM600" i="53"/>
  <c r="AK600" i="53"/>
  <c r="AG600" i="53"/>
  <c r="AJ600" i="53"/>
  <c r="C600" i="53"/>
  <c r="A600" i="53"/>
  <c r="AZ599" i="53"/>
  <c r="BA599" i="53"/>
  <c r="AX599" i="53"/>
  <c r="AY599" i="53"/>
  <c r="AV599" i="53"/>
  <c r="AW599" i="53"/>
  <c r="AZ594" i="53"/>
  <c r="AV594" i="53"/>
  <c r="AW594" i="53"/>
  <c r="AZ595" i="53"/>
  <c r="AV595" i="53"/>
  <c r="AW595" i="53"/>
  <c r="AZ596" i="53"/>
  <c r="AV596" i="53"/>
  <c r="AW596" i="53"/>
  <c r="AZ597" i="53"/>
  <c r="AV597" i="53"/>
  <c r="AW597" i="53"/>
  <c r="AZ598" i="53"/>
  <c r="AV598" i="53"/>
  <c r="AW598" i="53"/>
  <c r="AW593" i="53"/>
  <c r="AU599" i="53"/>
  <c r="AS599" i="53"/>
  <c r="AQ599" i="53"/>
  <c r="AO599" i="53"/>
  <c r="AM599" i="53"/>
  <c r="AK599" i="53"/>
  <c r="AG599" i="53"/>
  <c r="AJ599" i="53"/>
  <c r="AF599" i="53"/>
  <c r="C599" i="53"/>
  <c r="A599" i="53"/>
  <c r="BA598" i="53"/>
  <c r="AX598" i="53"/>
  <c r="AY598" i="53"/>
  <c r="AU598" i="53"/>
  <c r="AS598" i="53"/>
  <c r="AQ598" i="53"/>
  <c r="AO598" i="53"/>
  <c r="AM598" i="53"/>
  <c r="AK598" i="53"/>
  <c r="AG598" i="53"/>
  <c r="AJ598" i="53"/>
  <c r="C598" i="53"/>
  <c r="A598" i="53"/>
  <c r="BA597" i="53"/>
  <c r="AX597" i="53"/>
  <c r="AY597" i="53"/>
  <c r="AU597" i="53"/>
  <c r="AS597" i="53"/>
  <c r="AQ597" i="53"/>
  <c r="AO597" i="53"/>
  <c r="AM597" i="53"/>
  <c r="AK597" i="53"/>
  <c r="AG597" i="53"/>
  <c r="AJ597" i="53"/>
  <c r="C597" i="53"/>
  <c r="A597" i="53"/>
  <c r="BA596" i="53"/>
  <c r="AX596" i="53"/>
  <c r="AY596" i="53"/>
  <c r="AU596" i="53"/>
  <c r="AS596" i="53"/>
  <c r="AQ596" i="53"/>
  <c r="AO596" i="53"/>
  <c r="AM596" i="53"/>
  <c r="AK596" i="53"/>
  <c r="AG596" i="53"/>
  <c r="AJ596" i="53"/>
  <c r="C596" i="53"/>
  <c r="A596" i="53"/>
  <c r="BA595" i="53"/>
  <c r="AX595" i="53"/>
  <c r="AY595" i="53"/>
  <c r="AU595" i="53"/>
  <c r="AS595" i="53"/>
  <c r="AQ595" i="53"/>
  <c r="AO595" i="53"/>
  <c r="AM595" i="53"/>
  <c r="AK595" i="53"/>
  <c r="AJ595" i="53"/>
  <c r="AF595" i="53"/>
  <c r="C595" i="53"/>
  <c r="A595" i="53"/>
  <c r="BA594" i="53"/>
  <c r="AX594" i="53"/>
  <c r="AY594" i="53"/>
  <c r="AU594" i="53"/>
  <c r="AU593" i="53"/>
  <c r="AS594" i="53"/>
  <c r="AQ594" i="53"/>
  <c r="AQ593" i="53"/>
  <c r="AO594" i="53"/>
  <c r="AM594" i="53"/>
  <c r="AM593" i="53"/>
  <c r="AK594" i="53"/>
  <c r="AG594" i="53"/>
  <c r="AJ594" i="53"/>
  <c r="AJ593" i="53"/>
  <c r="AD594" i="53"/>
  <c r="AE594" i="53"/>
  <c r="AF594" i="53"/>
  <c r="C594" i="53"/>
  <c r="A594" i="53"/>
  <c r="AS593" i="53"/>
  <c r="AO593" i="53"/>
  <c r="AK593" i="53"/>
  <c r="AH593" i="53"/>
  <c r="AG593" i="53"/>
  <c r="AD593" i="53"/>
  <c r="AB593" i="53"/>
  <c r="AE593" i="53"/>
  <c r="AF593" i="53"/>
  <c r="AC593" i="53"/>
  <c r="C593" i="53"/>
  <c r="A593" i="53"/>
  <c r="AZ592" i="53"/>
  <c r="BA592" i="53"/>
  <c r="AX592" i="53"/>
  <c r="AY592" i="53"/>
  <c r="AV592" i="53"/>
  <c r="AW592" i="53"/>
  <c r="AU592" i="53"/>
  <c r="AS592" i="53"/>
  <c r="AQ592" i="53"/>
  <c r="AO592" i="53"/>
  <c r="AM592" i="53"/>
  <c r="AK592" i="53"/>
  <c r="AJ592" i="53"/>
  <c r="AF592" i="53"/>
  <c r="AZ591" i="53"/>
  <c r="BA591" i="53"/>
  <c r="AX591" i="53"/>
  <c r="AY591" i="53"/>
  <c r="AV591" i="53"/>
  <c r="AW591" i="53"/>
  <c r="AU591" i="53"/>
  <c r="AS591" i="53"/>
  <c r="AQ591" i="53"/>
  <c r="AO591" i="53"/>
  <c r="AM591" i="53"/>
  <c r="AK591" i="53"/>
  <c r="AJ591" i="53"/>
  <c r="AF591" i="53"/>
  <c r="C590" i="53"/>
  <c r="C591" i="53"/>
  <c r="C592" i="53"/>
  <c r="A590" i="53"/>
  <c r="A591" i="53"/>
  <c r="A592" i="53"/>
  <c r="AZ590" i="53"/>
  <c r="BA590" i="53"/>
  <c r="AX590" i="53"/>
  <c r="AY590" i="53"/>
  <c r="AV590" i="53"/>
  <c r="AW590" i="53"/>
  <c r="AU590" i="53"/>
  <c r="AS590" i="53"/>
  <c r="AQ590" i="53"/>
  <c r="AO590" i="53"/>
  <c r="AM590" i="53"/>
  <c r="AK590" i="53"/>
  <c r="AJ590" i="53"/>
  <c r="AF590" i="53"/>
  <c r="B590" i="53"/>
  <c r="B591" i="53"/>
  <c r="B592" i="53"/>
  <c r="AZ589" i="53"/>
  <c r="BA589" i="53"/>
  <c r="AX589" i="53"/>
  <c r="AY589" i="53"/>
  <c r="AV589" i="53"/>
  <c r="AW589" i="53"/>
  <c r="AU589" i="53"/>
  <c r="AS589" i="53"/>
  <c r="AQ589" i="53"/>
  <c r="AO589" i="53"/>
  <c r="AM589" i="53"/>
  <c r="AK589" i="53"/>
  <c r="AJ589" i="53"/>
  <c r="AF589" i="53"/>
  <c r="AZ588" i="53"/>
  <c r="BA588" i="53"/>
  <c r="AX588" i="53"/>
  <c r="AY588" i="53"/>
  <c r="AV588" i="53"/>
  <c r="AW588" i="53"/>
  <c r="AU588" i="53"/>
  <c r="AS588" i="53"/>
  <c r="AQ588" i="53"/>
  <c r="AO588" i="53"/>
  <c r="AM588" i="53"/>
  <c r="AK588" i="53"/>
  <c r="AG588" i="53"/>
  <c r="AJ588" i="53"/>
  <c r="C588" i="53"/>
  <c r="B588" i="53"/>
  <c r="A588" i="53"/>
  <c r="AZ587" i="53"/>
  <c r="BA587" i="53"/>
  <c r="AX587" i="53"/>
  <c r="AY587" i="53"/>
  <c r="AV587" i="53"/>
  <c r="AW587" i="53"/>
  <c r="AU587" i="53"/>
  <c r="AS587" i="53"/>
  <c r="AQ587" i="53"/>
  <c r="AO587" i="53"/>
  <c r="AM587" i="53"/>
  <c r="AK587" i="53"/>
  <c r="AG587" i="53"/>
  <c r="AJ587" i="53"/>
  <c r="AF587" i="53"/>
  <c r="C587" i="53"/>
  <c r="B587" i="53"/>
  <c r="A587" i="53"/>
  <c r="AZ586" i="53"/>
  <c r="BA586" i="53"/>
  <c r="AX586" i="53"/>
  <c r="AY586" i="53"/>
  <c r="AV586" i="53"/>
  <c r="AW586" i="53"/>
  <c r="AU586" i="53"/>
  <c r="AS586" i="53"/>
  <c r="AQ586" i="53"/>
  <c r="AO586" i="53"/>
  <c r="AM586" i="53"/>
  <c r="AK586" i="53"/>
  <c r="AG586" i="53"/>
  <c r="AJ586" i="53"/>
  <c r="C586" i="53"/>
  <c r="B586" i="53"/>
  <c r="A586" i="53"/>
  <c r="AZ585" i="53"/>
  <c r="BA585" i="53"/>
  <c r="AX585" i="53"/>
  <c r="AY585" i="53"/>
  <c r="AV585" i="53"/>
  <c r="AW585" i="53"/>
  <c r="AU585" i="53"/>
  <c r="AS585" i="53"/>
  <c r="AQ585" i="53"/>
  <c r="AO585" i="53"/>
  <c r="AM585" i="53"/>
  <c r="AK585" i="53"/>
  <c r="AG585" i="53"/>
  <c r="AJ585" i="53"/>
  <c r="AF585" i="53"/>
  <c r="C585" i="53"/>
  <c r="B585" i="53"/>
  <c r="A585" i="53"/>
  <c r="AZ584" i="53"/>
  <c r="BA584" i="53"/>
  <c r="AX584" i="53"/>
  <c r="AY584" i="53"/>
  <c r="AV584" i="53"/>
  <c r="AW584" i="53"/>
  <c r="AU584" i="53"/>
  <c r="AS584" i="53"/>
  <c r="AQ584" i="53"/>
  <c r="AO584" i="53"/>
  <c r="AM584" i="53"/>
  <c r="AK584" i="53"/>
  <c r="AG584" i="53"/>
  <c r="AJ584" i="53"/>
  <c r="AD584" i="53"/>
  <c r="AE584" i="53"/>
  <c r="AF584" i="53"/>
  <c r="C584" i="53"/>
  <c r="B584" i="53"/>
  <c r="A584" i="53"/>
  <c r="AZ583" i="53"/>
  <c r="BA583" i="53"/>
  <c r="AX583" i="53"/>
  <c r="AY583" i="53"/>
  <c r="AV583" i="53"/>
  <c r="AW583" i="53"/>
  <c r="AU583" i="53"/>
  <c r="AS583" i="53"/>
  <c r="AQ583" i="53"/>
  <c r="AO583" i="53"/>
  <c r="AM583" i="53"/>
  <c r="AK583" i="53"/>
  <c r="AJ583" i="53"/>
  <c r="AF583" i="53"/>
  <c r="C583" i="53"/>
  <c r="B583" i="53"/>
  <c r="A583" i="53"/>
  <c r="AZ582" i="53"/>
  <c r="AH582" i="53"/>
  <c r="BA582" i="53"/>
  <c r="AX582" i="53"/>
  <c r="AY582" i="53"/>
  <c r="AV582" i="53"/>
  <c r="AW582" i="53"/>
  <c r="AW581" i="53"/>
  <c r="AS582" i="53"/>
  <c r="AS581" i="53"/>
  <c r="AD582" i="53"/>
  <c r="AE582" i="53"/>
  <c r="AF582" i="53"/>
  <c r="C582" i="53"/>
  <c r="B582" i="53"/>
  <c r="A582" i="53"/>
  <c r="AC581" i="53"/>
  <c r="AB581" i="53"/>
  <c r="C581" i="53"/>
  <c r="B581" i="53"/>
  <c r="A581" i="53"/>
  <c r="AZ580" i="53"/>
  <c r="BA580" i="53"/>
  <c r="AX580" i="53"/>
  <c r="AY580" i="53"/>
  <c r="AV580" i="53"/>
  <c r="AW580" i="53"/>
  <c r="AU580" i="53"/>
  <c r="AS580" i="53"/>
  <c r="AQ580" i="53"/>
  <c r="AO580" i="53"/>
  <c r="AM580" i="53"/>
  <c r="AK580" i="53"/>
  <c r="AJ580" i="53"/>
  <c r="AF580" i="53"/>
  <c r="AZ579" i="53"/>
  <c r="BA579" i="53"/>
  <c r="AX579" i="53"/>
  <c r="AY579" i="53"/>
  <c r="AV579" i="53"/>
  <c r="AW579" i="53"/>
  <c r="AU579" i="53"/>
  <c r="AS579" i="53"/>
  <c r="AQ579" i="53"/>
  <c r="AO579" i="53"/>
  <c r="AM579" i="53"/>
  <c r="AK579" i="53"/>
  <c r="AJ579" i="53"/>
  <c r="AF579" i="53"/>
  <c r="C578" i="53"/>
  <c r="C579" i="53"/>
  <c r="C580" i="53"/>
  <c r="A578" i="53"/>
  <c r="A579" i="53"/>
  <c r="A580" i="53"/>
  <c r="AZ578" i="53"/>
  <c r="BA578" i="53"/>
  <c r="AX578" i="53"/>
  <c r="AY578" i="53"/>
  <c r="AV578" i="53"/>
  <c r="AW578" i="53"/>
  <c r="AU578" i="53"/>
  <c r="AS578" i="53"/>
  <c r="AQ578" i="53"/>
  <c r="AO578" i="53"/>
  <c r="AM578" i="53"/>
  <c r="AK578" i="53"/>
  <c r="AJ578" i="53"/>
  <c r="AF578" i="53"/>
  <c r="B578" i="53"/>
  <c r="B579" i="53"/>
  <c r="B580" i="53"/>
  <c r="AZ577" i="53"/>
  <c r="BA577" i="53"/>
  <c r="AX577" i="53"/>
  <c r="AY577" i="53"/>
  <c r="AV577" i="53"/>
  <c r="AW577" i="53"/>
  <c r="AU577" i="53"/>
  <c r="AS577" i="53"/>
  <c r="AQ577" i="53"/>
  <c r="AO577" i="53"/>
  <c r="AM577" i="53"/>
  <c r="AK577" i="53"/>
  <c r="AJ577" i="53"/>
  <c r="AF577" i="53"/>
  <c r="C577" i="53"/>
  <c r="B577" i="53"/>
  <c r="A577" i="53"/>
  <c r="AZ576" i="53"/>
  <c r="BA576" i="53"/>
  <c r="AX576" i="53"/>
  <c r="AY576" i="53"/>
  <c r="AV576" i="53"/>
  <c r="AW576" i="53"/>
  <c r="AU576" i="53"/>
  <c r="AS576" i="53"/>
  <c r="AQ576" i="53"/>
  <c r="AO576" i="53"/>
  <c r="AM576" i="53"/>
  <c r="AK576" i="53"/>
  <c r="AJ576" i="53"/>
  <c r="AF576" i="53"/>
  <c r="AZ575" i="53"/>
  <c r="BA575" i="53"/>
  <c r="AX575" i="53"/>
  <c r="AY575" i="53"/>
  <c r="AV575" i="53"/>
  <c r="AW575" i="53"/>
  <c r="AU575" i="53"/>
  <c r="AS575" i="53"/>
  <c r="AQ575" i="53"/>
  <c r="AO575" i="53"/>
  <c r="AM575" i="53"/>
  <c r="AK575" i="53"/>
  <c r="AG575" i="53"/>
  <c r="AJ575" i="53"/>
  <c r="AD575" i="53"/>
  <c r="AE575" i="53"/>
  <c r="AF575" i="53"/>
  <c r="C575" i="53"/>
  <c r="B575" i="53"/>
  <c r="A575" i="53"/>
  <c r="AZ574" i="53"/>
  <c r="BA574" i="53"/>
  <c r="AX574" i="53"/>
  <c r="AY574" i="53"/>
  <c r="AV574" i="53"/>
  <c r="AW574" i="53"/>
  <c r="AU574" i="53"/>
  <c r="AS574" i="53"/>
  <c r="AQ574" i="53"/>
  <c r="AO574" i="53"/>
  <c r="AM574" i="53"/>
  <c r="AK574" i="53"/>
  <c r="AG574" i="53"/>
  <c r="AJ574" i="53"/>
  <c r="AD574" i="53"/>
  <c r="AE574" i="53"/>
  <c r="AF574" i="53"/>
  <c r="C574" i="53"/>
  <c r="B574" i="53"/>
  <c r="A574" i="53"/>
  <c r="AZ573" i="53"/>
  <c r="BA573" i="53"/>
  <c r="AX573" i="53"/>
  <c r="AY573" i="53"/>
  <c r="AV573" i="53"/>
  <c r="AW573" i="53"/>
  <c r="AU573" i="53"/>
  <c r="AS573" i="53"/>
  <c r="AQ573" i="53"/>
  <c r="AO573" i="53"/>
  <c r="AM573" i="53"/>
  <c r="AK573" i="53"/>
  <c r="AG573" i="53"/>
  <c r="AJ573" i="53"/>
  <c r="AF573" i="53"/>
  <c r="C573" i="53"/>
  <c r="B573" i="53"/>
  <c r="A573" i="53"/>
  <c r="AZ572" i="53"/>
  <c r="BA572" i="53"/>
  <c r="AX572" i="53"/>
  <c r="AY572" i="53"/>
  <c r="AV572" i="53"/>
  <c r="AW572" i="53"/>
  <c r="AU572" i="53"/>
  <c r="AS572" i="53"/>
  <c r="AQ572" i="53"/>
  <c r="AO572" i="53"/>
  <c r="AM572" i="53"/>
  <c r="AK572" i="53"/>
  <c r="AG572" i="53"/>
  <c r="AJ572" i="53"/>
  <c r="AD572" i="53"/>
  <c r="AE572" i="53"/>
  <c r="AF572" i="53"/>
  <c r="C572" i="53"/>
  <c r="B572" i="53"/>
  <c r="A572" i="53"/>
  <c r="AZ571" i="53"/>
  <c r="BA571" i="53"/>
  <c r="AX571" i="53"/>
  <c r="AY571" i="53"/>
  <c r="AV571" i="53"/>
  <c r="AW571" i="53"/>
  <c r="AU571" i="53"/>
  <c r="AS571" i="53"/>
  <c r="AQ571" i="53"/>
  <c r="AO571" i="53"/>
  <c r="AM571" i="53"/>
  <c r="AK571" i="53"/>
  <c r="AG571" i="53"/>
  <c r="AJ571" i="53"/>
  <c r="AD571" i="53"/>
  <c r="AE571" i="53"/>
  <c r="AF571" i="53"/>
  <c r="C571" i="53"/>
  <c r="B571" i="53"/>
  <c r="A571" i="53"/>
  <c r="AZ570" i="53"/>
  <c r="BA570" i="53"/>
  <c r="AX570" i="53"/>
  <c r="AY570" i="53"/>
  <c r="AV570" i="53"/>
  <c r="AW570" i="53"/>
  <c r="AU570" i="53"/>
  <c r="AS570" i="53"/>
  <c r="AQ570" i="53"/>
  <c r="AO570" i="53"/>
  <c r="AM570" i="53"/>
  <c r="AK570" i="53"/>
  <c r="AG570" i="53"/>
  <c r="AJ570" i="53"/>
  <c r="AD570" i="53"/>
  <c r="AE570" i="53"/>
  <c r="AF570" i="53"/>
  <c r="C570" i="53"/>
  <c r="B570" i="53"/>
  <c r="A570" i="53"/>
  <c r="AZ569" i="53"/>
  <c r="BA569" i="53"/>
  <c r="AX569" i="53"/>
  <c r="AY569" i="53"/>
  <c r="AV569" i="53"/>
  <c r="AW569" i="53"/>
  <c r="AU569" i="53"/>
  <c r="AU568" i="53"/>
  <c r="AU567" i="53"/>
  <c r="AS569" i="53"/>
  <c r="AQ569" i="53"/>
  <c r="AQ568" i="53"/>
  <c r="AQ567" i="53"/>
  <c r="AO569" i="53"/>
  <c r="AM569" i="53"/>
  <c r="AM568" i="53"/>
  <c r="AM567" i="53"/>
  <c r="AK569" i="53"/>
  <c r="AJ569" i="53"/>
  <c r="AF569" i="53"/>
  <c r="C569" i="53"/>
  <c r="B569" i="53"/>
  <c r="A569" i="53"/>
  <c r="AZ568" i="53"/>
  <c r="BA568" i="53"/>
  <c r="AX568" i="53"/>
  <c r="AY568" i="53"/>
  <c r="AV568" i="53"/>
  <c r="AW568" i="53"/>
  <c r="AW567" i="53"/>
  <c r="AS568" i="53"/>
  <c r="AO568" i="53"/>
  <c r="AK568" i="53"/>
  <c r="AG568" i="53"/>
  <c r="AJ568" i="53"/>
  <c r="AJ567" i="53"/>
  <c r="AD568" i="53"/>
  <c r="AE568" i="53"/>
  <c r="AF568" i="53"/>
  <c r="C568" i="53"/>
  <c r="B568" i="53"/>
  <c r="A568" i="53"/>
  <c r="AS567" i="53"/>
  <c r="AO567" i="53"/>
  <c r="AK567" i="53"/>
  <c r="AH567" i="53"/>
  <c r="AG567" i="53"/>
  <c r="AD567" i="53"/>
  <c r="AB567" i="53"/>
  <c r="AE567" i="53"/>
  <c r="AF567" i="53"/>
  <c r="AC567" i="53"/>
  <c r="C567" i="53"/>
  <c r="B567" i="53"/>
  <c r="A567" i="53"/>
  <c r="A576" i="53"/>
  <c r="AZ566" i="53"/>
  <c r="BA566" i="53"/>
  <c r="AX566" i="53"/>
  <c r="AY566" i="53"/>
  <c r="AV566" i="53"/>
  <c r="AW566" i="53"/>
  <c r="AU566" i="53"/>
  <c r="AS566" i="53"/>
  <c r="AQ566" i="53"/>
  <c r="AO566" i="53"/>
  <c r="AM566" i="53"/>
  <c r="AK566" i="53"/>
  <c r="AJ566" i="53"/>
  <c r="AF566" i="53"/>
  <c r="C566" i="53"/>
  <c r="B566" i="53"/>
  <c r="A566" i="53"/>
  <c r="AZ565" i="53"/>
  <c r="BA565" i="53"/>
  <c r="AX565" i="53"/>
  <c r="AY565" i="53"/>
  <c r="AV565" i="53"/>
  <c r="AW565" i="53"/>
  <c r="AU565" i="53"/>
  <c r="AS565" i="53"/>
  <c r="AQ565" i="53"/>
  <c r="AO565" i="53"/>
  <c r="AM565" i="53"/>
  <c r="AK565" i="53"/>
  <c r="AJ565" i="53"/>
  <c r="AF565" i="53"/>
  <c r="C565" i="53"/>
  <c r="B565" i="53"/>
  <c r="A565" i="53"/>
  <c r="AZ564" i="53"/>
  <c r="BA564" i="53"/>
  <c r="AX564" i="53"/>
  <c r="AY564" i="53"/>
  <c r="AV564" i="53"/>
  <c r="AW564" i="53"/>
  <c r="AU564" i="53"/>
  <c r="AS564" i="53"/>
  <c r="AQ564" i="53"/>
  <c r="AO564" i="53"/>
  <c r="AM564" i="53"/>
  <c r="AF564" i="53"/>
  <c r="C564" i="53"/>
  <c r="B564" i="53"/>
  <c r="A564" i="53"/>
  <c r="AZ563" i="53"/>
  <c r="BA563" i="53"/>
  <c r="AX563" i="53"/>
  <c r="AY563" i="53"/>
  <c r="AV563" i="53"/>
  <c r="AW563" i="53"/>
  <c r="AU563" i="53"/>
  <c r="AS563" i="53"/>
  <c r="AQ563" i="53"/>
  <c r="AO563" i="53"/>
  <c r="AM563" i="53"/>
  <c r="AK563" i="53"/>
  <c r="AJ563" i="53"/>
  <c r="AF563" i="53"/>
  <c r="AZ562" i="53"/>
  <c r="BA562" i="53"/>
  <c r="AX562" i="53"/>
  <c r="AY562" i="53"/>
  <c r="AV562" i="53"/>
  <c r="AW562" i="53"/>
  <c r="AU562" i="53"/>
  <c r="AS562" i="53"/>
  <c r="AQ562" i="53"/>
  <c r="AO562" i="53"/>
  <c r="AM562" i="53"/>
  <c r="AF562" i="53"/>
  <c r="C562" i="53"/>
  <c r="B562" i="53"/>
  <c r="A562" i="53"/>
  <c r="AZ561" i="53"/>
  <c r="BA561" i="53"/>
  <c r="AX561" i="53"/>
  <c r="AY561" i="53"/>
  <c r="AV561" i="53"/>
  <c r="AW561" i="53"/>
  <c r="AU561" i="53"/>
  <c r="AS561" i="53"/>
  <c r="AQ561" i="53"/>
  <c r="AO561" i="53"/>
  <c r="AM561" i="53"/>
  <c r="AK561" i="53"/>
  <c r="AJ561" i="53"/>
  <c r="AF561" i="53"/>
  <c r="C561" i="53"/>
  <c r="B561" i="53"/>
  <c r="A561" i="53"/>
  <c r="AZ560" i="53"/>
  <c r="BA560" i="53"/>
  <c r="AX560" i="53"/>
  <c r="AY560" i="53"/>
  <c r="AV560" i="53"/>
  <c r="AW560" i="53"/>
  <c r="AU560" i="53"/>
  <c r="AS560" i="53"/>
  <c r="AQ560" i="53"/>
  <c r="AO560" i="53"/>
  <c r="AM560" i="53"/>
  <c r="AK560" i="53"/>
  <c r="AG560" i="53"/>
  <c r="AJ560" i="53"/>
  <c r="C560" i="53"/>
  <c r="B560" i="53"/>
  <c r="A560" i="53"/>
  <c r="AZ559" i="53"/>
  <c r="BA559" i="53"/>
  <c r="AX559" i="53"/>
  <c r="AY559" i="53"/>
  <c r="AV559" i="53"/>
  <c r="AW559" i="53"/>
  <c r="AU559" i="53"/>
  <c r="AS559" i="53"/>
  <c r="AQ559" i="53"/>
  <c r="AO559" i="53"/>
  <c r="AM559" i="53"/>
  <c r="AK559" i="53"/>
  <c r="AG559" i="53"/>
  <c r="AJ559" i="53"/>
  <c r="C559" i="53"/>
  <c r="B559" i="53"/>
  <c r="A559" i="53"/>
  <c r="AZ558" i="53"/>
  <c r="BA558" i="53"/>
  <c r="AX558" i="53"/>
  <c r="AY558" i="53"/>
  <c r="AV558" i="53"/>
  <c r="AW558" i="53"/>
  <c r="AU558" i="53"/>
  <c r="AS558" i="53"/>
  <c r="AQ558" i="53"/>
  <c r="AO558" i="53"/>
  <c r="AM558" i="53"/>
  <c r="AK558" i="53"/>
  <c r="AG558" i="53"/>
  <c r="AJ558" i="53"/>
  <c r="C558" i="53"/>
  <c r="B558" i="53"/>
  <c r="A558" i="53"/>
  <c r="AZ557" i="53"/>
  <c r="BA557" i="53"/>
  <c r="AX557" i="53"/>
  <c r="AY557" i="53"/>
  <c r="AV557" i="53"/>
  <c r="AW557" i="53"/>
  <c r="AU557" i="53"/>
  <c r="AS557" i="53"/>
  <c r="AQ557" i="53"/>
  <c r="AO557" i="53"/>
  <c r="AM557" i="53"/>
  <c r="AK557" i="53"/>
  <c r="AG557" i="53"/>
  <c r="AJ557" i="53"/>
  <c r="AD557" i="53"/>
  <c r="AE557" i="53"/>
  <c r="AF557" i="53"/>
  <c r="C557" i="53"/>
  <c r="B557" i="53"/>
  <c r="A557" i="53"/>
  <c r="AZ556" i="53"/>
  <c r="BA556" i="53"/>
  <c r="AX556" i="53"/>
  <c r="AY556" i="53"/>
  <c r="AV556" i="53"/>
  <c r="AW556" i="53"/>
  <c r="AU556" i="53"/>
  <c r="AS556" i="53"/>
  <c r="AQ556" i="53"/>
  <c r="AO556" i="53"/>
  <c r="AM556" i="53"/>
  <c r="AK556" i="53"/>
  <c r="AG556" i="53"/>
  <c r="AJ556" i="53"/>
  <c r="AD556" i="53"/>
  <c r="AE556" i="53"/>
  <c r="AF556" i="53"/>
  <c r="C556" i="53"/>
  <c r="B556" i="53"/>
  <c r="A556" i="53"/>
  <c r="AZ555" i="53"/>
  <c r="BA555" i="53"/>
  <c r="AX555" i="53"/>
  <c r="AY555" i="53"/>
  <c r="AV555" i="53"/>
  <c r="AW555" i="53"/>
  <c r="AU555" i="53"/>
  <c r="AU554" i="53"/>
  <c r="AU553" i="53"/>
  <c r="AS555" i="53"/>
  <c r="AQ555" i="53"/>
  <c r="AQ554" i="53"/>
  <c r="AQ553" i="53"/>
  <c r="AO555" i="53"/>
  <c r="AM555" i="53"/>
  <c r="AM554" i="53"/>
  <c r="AM553" i="53"/>
  <c r="AK555" i="53"/>
  <c r="AJ555" i="53"/>
  <c r="AF555" i="53"/>
  <c r="C555" i="53"/>
  <c r="B555" i="53"/>
  <c r="A555" i="53"/>
  <c r="AZ554" i="53"/>
  <c r="BA554" i="53"/>
  <c r="AX554" i="53"/>
  <c r="AY554" i="53"/>
  <c r="AV554" i="53"/>
  <c r="AW554" i="53"/>
  <c r="AW553" i="53"/>
  <c r="AS554" i="53"/>
  <c r="AO554" i="53"/>
  <c r="AK554" i="53"/>
  <c r="AG554" i="53"/>
  <c r="AJ554" i="53"/>
  <c r="AJ553" i="53"/>
  <c r="AD554" i="53"/>
  <c r="AE554" i="53"/>
  <c r="AF554" i="53"/>
  <c r="C554" i="53"/>
  <c r="B554" i="53"/>
  <c r="A554" i="53"/>
  <c r="AS553" i="53"/>
  <c r="AO553" i="53"/>
  <c r="AK553" i="53"/>
  <c r="AH553" i="53"/>
  <c r="AG553" i="53"/>
  <c r="AD553" i="53"/>
  <c r="AB553" i="53"/>
  <c r="AE553" i="53"/>
  <c r="AF553" i="53"/>
  <c r="AC553" i="53"/>
  <c r="C553" i="53"/>
  <c r="B553" i="53"/>
  <c r="A553" i="53"/>
  <c r="AZ552" i="53"/>
  <c r="BA552" i="53"/>
  <c r="AX552" i="53"/>
  <c r="AY552" i="53"/>
  <c r="AV552" i="53"/>
  <c r="AW552" i="53"/>
  <c r="AU552" i="53"/>
  <c r="AS552" i="53"/>
  <c r="AQ552" i="53"/>
  <c r="AO552" i="53"/>
  <c r="AM552" i="53"/>
  <c r="AK552" i="53"/>
  <c r="AG552" i="53"/>
  <c r="AJ552" i="53"/>
  <c r="AF552" i="53"/>
  <c r="Y552" i="53"/>
  <c r="X552" i="53"/>
  <c r="D552" i="53"/>
  <c r="C541" i="53"/>
  <c r="C552" i="53"/>
  <c r="B552" i="53"/>
  <c r="A552" i="53"/>
  <c r="AZ551" i="53"/>
  <c r="BA551" i="53"/>
  <c r="AX551" i="53"/>
  <c r="AY551" i="53"/>
  <c r="AV551" i="53"/>
  <c r="AW551" i="53"/>
  <c r="AU551" i="53"/>
  <c r="AS551" i="53"/>
  <c r="AQ551" i="53"/>
  <c r="AO551" i="53"/>
  <c r="AM551" i="53"/>
  <c r="AK551" i="53"/>
  <c r="AG551" i="53"/>
  <c r="AJ551" i="53"/>
  <c r="AF551" i="53"/>
  <c r="Y551" i="53"/>
  <c r="X551" i="53"/>
  <c r="D551" i="53"/>
  <c r="B551" i="53"/>
  <c r="A551" i="53"/>
  <c r="AZ550" i="53"/>
  <c r="BA550" i="53"/>
  <c r="AX550" i="53"/>
  <c r="AY550" i="53"/>
  <c r="AV550" i="53"/>
  <c r="AW550" i="53"/>
  <c r="AU550" i="53"/>
  <c r="AS550" i="53"/>
  <c r="AQ550" i="53"/>
  <c r="AO550" i="53"/>
  <c r="AM550" i="53"/>
  <c r="AK550" i="53"/>
  <c r="AG550" i="53"/>
  <c r="AJ550" i="53"/>
  <c r="AF550" i="53"/>
  <c r="Y550" i="53"/>
  <c r="X550" i="53"/>
  <c r="D550" i="53"/>
  <c r="C550" i="53"/>
  <c r="B550" i="53"/>
  <c r="A550" i="53"/>
  <c r="AZ549" i="53"/>
  <c r="BA549" i="53"/>
  <c r="AX549" i="53"/>
  <c r="AY549" i="53"/>
  <c r="AV549" i="53"/>
  <c r="AW549" i="53"/>
  <c r="AU549" i="53"/>
  <c r="AS549" i="53"/>
  <c r="AQ549" i="53"/>
  <c r="AO549" i="53"/>
  <c r="AM549" i="53"/>
  <c r="AK549" i="53"/>
  <c r="AG549" i="53"/>
  <c r="AJ549" i="53"/>
  <c r="AF549" i="53"/>
  <c r="Y549" i="53"/>
  <c r="X549" i="53"/>
  <c r="D549" i="53"/>
  <c r="B549" i="53"/>
  <c r="A549" i="53"/>
  <c r="AZ548" i="53"/>
  <c r="AH548" i="53"/>
  <c r="BA548" i="53"/>
  <c r="AX548" i="53"/>
  <c r="AY548" i="53"/>
  <c r="AV548" i="53"/>
  <c r="AW548" i="53"/>
  <c r="AU548" i="53"/>
  <c r="AQ548" i="53"/>
  <c r="AM548" i="53"/>
  <c r="AJ548" i="53"/>
  <c r="AS548" i="53"/>
  <c r="AF548" i="53"/>
  <c r="Y548" i="53"/>
  <c r="X548" i="53"/>
  <c r="D548" i="53"/>
  <c r="C548" i="53"/>
  <c r="B548" i="53"/>
  <c r="A548" i="53"/>
  <c r="AZ547" i="53"/>
  <c r="AH547" i="53"/>
  <c r="BA547" i="53"/>
  <c r="AX547" i="53"/>
  <c r="AY547" i="53"/>
  <c r="AV547" i="53"/>
  <c r="AW547" i="53"/>
  <c r="AJ547" i="53"/>
  <c r="AS547" i="53"/>
  <c r="AF547" i="53"/>
  <c r="Y547" i="53"/>
  <c r="X547" i="53"/>
  <c r="D547" i="53"/>
  <c r="B547" i="53"/>
  <c r="A547" i="53"/>
  <c r="AZ546" i="53"/>
  <c r="AH546" i="53"/>
  <c r="BA546" i="53"/>
  <c r="AX546" i="53"/>
  <c r="AY546" i="53"/>
  <c r="AV546" i="53"/>
  <c r="AW546" i="53"/>
  <c r="AU546" i="53"/>
  <c r="AQ546" i="53"/>
  <c r="AM546" i="53"/>
  <c r="AJ546" i="53"/>
  <c r="AS546" i="53"/>
  <c r="AF546" i="53"/>
  <c r="Y546" i="53"/>
  <c r="X546" i="53"/>
  <c r="D546" i="53"/>
  <c r="C546" i="53"/>
  <c r="B546" i="53"/>
  <c r="A546" i="53"/>
  <c r="AZ545" i="53"/>
  <c r="AH545" i="53"/>
  <c r="BA545" i="53"/>
  <c r="AX545" i="53"/>
  <c r="AY545" i="53"/>
  <c r="AV545" i="53"/>
  <c r="AW545" i="53"/>
  <c r="AJ545" i="53"/>
  <c r="AS545" i="53"/>
  <c r="AF545" i="53"/>
  <c r="Y545" i="53"/>
  <c r="X545" i="53"/>
  <c r="D545" i="53"/>
  <c r="B545" i="53"/>
  <c r="A545" i="53"/>
  <c r="AZ544" i="53"/>
  <c r="AH544" i="53"/>
  <c r="BA544" i="53"/>
  <c r="AX544" i="53"/>
  <c r="AY544" i="53"/>
  <c r="AV544" i="53"/>
  <c r="AW544" i="53"/>
  <c r="AU544" i="53"/>
  <c r="AQ544" i="53"/>
  <c r="AM544" i="53"/>
  <c r="AJ544" i="53"/>
  <c r="AS544" i="53"/>
  <c r="AF544" i="53"/>
  <c r="Y544" i="53"/>
  <c r="X544" i="53"/>
  <c r="D544" i="53"/>
  <c r="C544" i="53"/>
  <c r="B544" i="53"/>
  <c r="A544" i="53"/>
  <c r="AZ543" i="53"/>
  <c r="BA543" i="53"/>
  <c r="AX543" i="53"/>
  <c r="AY543" i="53"/>
  <c r="AV543" i="53"/>
  <c r="AW543" i="53"/>
  <c r="AU543" i="53"/>
  <c r="AS543" i="53"/>
  <c r="AQ543" i="53"/>
  <c r="AO543" i="53"/>
  <c r="AM543" i="53"/>
  <c r="AK543" i="53"/>
  <c r="AG543" i="53"/>
  <c r="AJ543" i="53"/>
  <c r="AF543" i="53"/>
  <c r="Y543" i="53"/>
  <c r="X543" i="53"/>
  <c r="D543" i="53"/>
  <c r="B543" i="53"/>
  <c r="A543" i="53"/>
  <c r="AZ542" i="53"/>
  <c r="AH542" i="53"/>
  <c r="BA542" i="53"/>
  <c r="AX542" i="53"/>
  <c r="AY542" i="53"/>
  <c r="AV542" i="53"/>
  <c r="AW542" i="53"/>
  <c r="AU542" i="53"/>
  <c r="AQ542" i="53"/>
  <c r="AM542" i="53"/>
  <c r="AJ542" i="53"/>
  <c r="AJ541" i="53"/>
  <c r="AS542" i="53"/>
  <c r="AF542" i="53"/>
  <c r="Y542" i="53"/>
  <c r="X542" i="53"/>
  <c r="D542" i="53"/>
  <c r="C542" i="53"/>
  <c r="B542" i="53"/>
  <c r="A542" i="53"/>
  <c r="AH541" i="53"/>
  <c r="AD541" i="53"/>
  <c r="AB541" i="53"/>
  <c r="AE541" i="53"/>
  <c r="AF541" i="53"/>
  <c r="AC541" i="53"/>
  <c r="C551" i="53"/>
  <c r="B541" i="53"/>
  <c r="A541" i="53"/>
  <c r="AZ540" i="53"/>
  <c r="BA540" i="53"/>
  <c r="AX540" i="53"/>
  <c r="AY540" i="53"/>
  <c r="AV540" i="53"/>
  <c r="AW540" i="53"/>
  <c r="AU540" i="53"/>
  <c r="AS540" i="53"/>
  <c r="AQ540" i="53"/>
  <c r="AO540" i="53"/>
  <c r="AM540" i="53"/>
  <c r="AK540" i="53"/>
  <c r="AJ540" i="53"/>
  <c r="AF540" i="53"/>
  <c r="B540" i="53"/>
  <c r="AZ539" i="53"/>
  <c r="BA539" i="53"/>
  <c r="AX539" i="53"/>
  <c r="AY539" i="53"/>
  <c r="AV539" i="53"/>
  <c r="AW539" i="53"/>
  <c r="AU539" i="53"/>
  <c r="AS539" i="53"/>
  <c r="AQ539" i="53"/>
  <c r="AO539" i="53"/>
  <c r="AM539" i="53"/>
  <c r="AK539" i="53"/>
  <c r="AJ539" i="53"/>
  <c r="AF539" i="53"/>
  <c r="AZ538" i="53"/>
  <c r="BA538" i="53"/>
  <c r="AX538" i="53"/>
  <c r="AY538" i="53"/>
  <c r="AV538" i="53"/>
  <c r="AW538" i="53"/>
  <c r="AU538" i="53"/>
  <c r="AS538" i="53"/>
  <c r="AQ538" i="53"/>
  <c r="AO538" i="53"/>
  <c r="AM538" i="53"/>
  <c r="AK538" i="53"/>
  <c r="AJ538" i="53"/>
  <c r="AF538" i="53"/>
  <c r="AZ537" i="53"/>
  <c r="BA537" i="53"/>
  <c r="AX537" i="53"/>
  <c r="AY537" i="53"/>
  <c r="AV537" i="53"/>
  <c r="AW537" i="53"/>
  <c r="AU537" i="53"/>
  <c r="AS537" i="53"/>
  <c r="AQ537" i="53"/>
  <c r="AO537" i="53"/>
  <c r="AM537" i="53"/>
  <c r="AK537" i="53"/>
  <c r="AJ537" i="53"/>
  <c r="AF537" i="53"/>
  <c r="AZ536" i="53"/>
  <c r="BA536" i="53"/>
  <c r="AX536" i="53"/>
  <c r="AY536" i="53"/>
  <c r="AV536" i="53"/>
  <c r="AW536" i="53"/>
  <c r="AU536" i="53"/>
  <c r="AS536" i="53"/>
  <c r="AQ536" i="53"/>
  <c r="AO536" i="53"/>
  <c r="AM536" i="53"/>
  <c r="AK536" i="53"/>
  <c r="AG536" i="53"/>
  <c r="AJ536" i="53"/>
  <c r="C536" i="53"/>
  <c r="B536" i="53"/>
  <c r="A536" i="53"/>
  <c r="AZ535" i="53"/>
  <c r="BA535" i="53"/>
  <c r="AX535" i="53"/>
  <c r="AY535" i="53"/>
  <c r="AV535" i="53"/>
  <c r="AW535" i="53"/>
  <c r="AU535" i="53"/>
  <c r="AU530" i="53"/>
  <c r="AU531" i="53"/>
  <c r="AU532" i="53"/>
  <c r="AU533" i="53"/>
  <c r="AU534" i="53"/>
  <c r="AU529" i="53"/>
  <c r="AS535" i="53"/>
  <c r="AQ535" i="53"/>
  <c r="AQ530" i="53"/>
  <c r="AQ531" i="53"/>
  <c r="AQ532" i="53"/>
  <c r="AQ533" i="53"/>
  <c r="AQ534" i="53"/>
  <c r="AQ529" i="53"/>
  <c r="AO535" i="53"/>
  <c r="AM535" i="53"/>
  <c r="AM530" i="53"/>
  <c r="AM531" i="53"/>
  <c r="AM532" i="53"/>
  <c r="AM533" i="53"/>
  <c r="AM534" i="53"/>
  <c r="AM529" i="53"/>
  <c r="AK535" i="53"/>
  <c r="AG535" i="53"/>
  <c r="AJ535" i="53"/>
  <c r="C535" i="53"/>
  <c r="B535" i="53"/>
  <c r="A535" i="53"/>
  <c r="AZ534" i="53"/>
  <c r="BA534" i="53"/>
  <c r="AX534" i="53"/>
  <c r="AY534" i="53"/>
  <c r="AV534" i="53"/>
  <c r="AW534" i="53"/>
  <c r="AS534" i="53"/>
  <c r="AO534" i="53"/>
  <c r="AK534" i="53"/>
  <c r="AG534" i="53"/>
  <c r="AJ534" i="53"/>
  <c r="AZ533" i="53"/>
  <c r="BA533" i="53"/>
  <c r="AX533" i="53"/>
  <c r="AY533" i="53"/>
  <c r="AV533" i="53"/>
  <c r="AW533" i="53"/>
  <c r="AS533" i="53"/>
  <c r="AO533" i="53"/>
  <c r="AK533" i="53"/>
  <c r="AG533" i="53"/>
  <c r="AJ533" i="53"/>
  <c r="AZ532" i="53"/>
  <c r="BA532" i="53"/>
  <c r="AX532" i="53"/>
  <c r="AY532" i="53"/>
  <c r="AV532" i="53"/>
  <c r="AW532" i="53"/>
  <c r="AS532" i="53"/>
  <c r="AO532" i="53"/>
  <c r="AK532" i="53"/>
  <c r="AG532" i="53"/>
  <c r="AJ532" i="53"/>
  <c r="AZ531" i="53"/>
  <c r="BA531" i="53"/>
  <c r="AX531" i="53"/>
  <c r="AY531" i="53"/>
  <c r="AV531" i="53"/>
  <c r="AW531" i="53"/>
  <c r="AS531" i="53"/>
  <c r="AO531" i="53"/>
  <c r="AK531" i="53"/>
  <c r="AJ531" i="53"/>
  <c r="AF531" i="53"/>
  <c r="AZ530" i="53"/>
  <c r="BA530" i="53"/>
  <c r="AX530" i="53"/>
  <c r="AY530" i="53"/>
  <c r="AV530" i="53"/>
  <c r="AW530" i="53"/>
  <c r="AS530" i="53"/>
  <c r="AO530" i="53"/>
  <c r="AK530" i="53"/>
  <c r="AG530" i="53"/>
  <c r="AJ530" i="53"/>
  <c r="AJ529" i="53"/>
  <c r="AS529" i="53"/>
  <c r="AO529" i="53"/>
  <c r="AK529" i="53"/>
  <c r="AH529" i="53"/>
  <c r="AG529" i="53"/>
  <c r="AD529" i="53"/>
  <c r="AB529" i="53"/>
  <c r="AE529" i="53"/>
  <c r="AF529" i="53"/>
  <c r="AC529" i="53"/>
  <c r="C529" i="53"/>
  <c r="C539" i="53"/>
  <c r="C540" i="53"/>
  <c r="A529" i="53"/>
  <c r="A539" i="53"/>
  <c r="A540" i="53"/>
  <c r="AZ528" i="53"/>
  <c r="BA528" i="53"/>
  <c r="AX528" i="53"/>
  <c r="AY528" i="53"/>
  <c r="AV528" i="53"/>
  <c r="AW528" i="53"/>
  <c r="AZ523" i="53"/>
  <c r="AV523" i="53"/>
  <c r="AW523" i="53"/>
  <c r="AZ524" i="53"/>
  <c r="AV524" i="53"/>
  <c r="AW524" i="53"/>
  <c r="AZ525" i="53"/>
  <c r="AV525" i="53"/>
  <c r="AW525" i="53"/>
  <c r="AZ526" i="53"/>
  <c r="AV526" i="53"/>
  <c r="AW526" i="53"/>
  <c r="AZ527" i="53"/>
  <c r="AV527" i="53"/>
  <c r="AW527" i="53"/>
  <c r="AW522" i="53"/>
  <c r="AU528" i="53"/>
  <c r="AS528" i="53"/>
  <c r="AQ528" i="53"/>
  <c r="AO528" i="53"/>
  <c r="AM528" i="53"/>
  <c r="AK528" i="53"/>
  <c r="AJ528" i="53"/>
  <c r="AF528" i="53"/>
  <c r="B528" i="53"/>
  <c r="A528" i="53"/>
  <c r="BA527" i="53"/>
  <c r="AX527" i="53"/>
  <c r="AY527" i="53"/>
  <c r="AU527" i="53"/>
  <c r="AS527" i="53"/>
  <c r="AQ527" i="53"/>
  <c r="AO527" i="53"/>
  <c r="AM527" i="53"/>
  <c r="AK527" i="53"/>
  <c r="AJ527" i="53"/>
  <c r="AF527" i="53"/>
  <c r="C527" i="53"/>
  <c r="C528" i="53"/>
  <c r="A527" i="53"/>
  <c r="BA526" i="53"/>
  <c r="AX526" i="53"/>
  <c r="AY526" i="53"/>
  <c r="AU526" i="53"/>
  <c r="AS526" i="53"/>
  <c r="AQ526" i="53"/>
  <c r="AO526" i="53"/>
  <c r="AM526" i="53"/>
  <c r="AK526" i="53"/>
  <c r="AJ526" i="53"/>
  <c r="AF526" i="53"/>
  <c r="C526" i="53"/>
  <c r="A526" i="53"/>
  <c r="BA525" i="53"/>
  <c r="AX525" i="53"/>
  <c r="AY525" i="53"/>
  <c r="AU525" i="53"/>
  <c r="AS525" i="53"/>
  <c r="AQ525" i="53"/>
  <c r="AO525" i="53"/>
  <c r="AM525" i="53"/>
  <c r="AK525" i="53"/>
  <c r="AJ525" i="53"/>
  <c r="AF525" i="53"/>
  <c r="BA524" i="53"/>
  <c r="AX524" i="53"/>
  <c r="AY524" i="53"/>
  <c r="AU524" i="53"/>
  <c r="AS524" i="53"/>
  <c r="AQ524" i="53"/>
  <c r="AO524" i="53"/>
  <c r="AM524" i="53"/>
  <c r="AK524" i="53"/>
  <c r="AJ524" i="53"/>
  <c r="AF524" i="53"/>
  <c r="C524" i="53"/>
  <c r="A524" i="53"/>
  <c r="BA523" i="53"/>
  <c r="AX523" i="53"/>
  <c r="AY523" i="53"/>
  <c r="AU523" i="53"/>
  <c r="AU522" i="53"/>
  <c r="AS523" i="53"/>
  <c r="AQ523" i="53"/>
  <c r="AQ522" i="53"/>
  <c r="AO523" i="53"/>
  <c r="AM523" i="53"/>
  <c r="AM522" i="53"/>
  <c r="AK523" i="53"/>
  <c r="AG523" i="53"/>
  <c r="AJ523" i="53"/>
  <c r="AJ522" i="53"/>
  <c r="AF523" i="53"/>
  <c r="C523" i="53"/>
  <c r="A523" i="53"/>
  <c r="AS522" i="53"/>
  <c r="AO522" i="53"/>
  <c r="AK522" i="53"/>
  <c r="AH522" i="53"/>
  <c r="AG522" i="53"/>
  <c r="AD522" i="53"/>
  <c r="AB522" i="53"/>
  <c r="AE522" i="53"/>
  <c r="AF522" i="53"/>
  <c r="AC522" i="53"/>
  <c r="C522" i="53"/>
  <c r="A522" i="53"/>
  <c r="AZ521" i="53"/>
  <c r="BA521" i="53"/>
  <c r="AX521" i="53"/>
  <c r="AY521" i="53"/>
  <c r="AV521" i="53"/>
  <c r="AW521" i="53"/>
  <c r="AU521" i="53"/>
  <c r="AS521" i="53"/>
  <c r="AQ521" i="53"/>
  <c r="AO521" i="53"/>
  <c r="AM521" i="53"/>
  <c r="AK521" i="53"/>
  <c r="AJ521" i="53"/>
  <c r="AF521" i="53"/>
  <c r="B521" i="53"/>
  <c r="AZ520" i="53"/>
  <c r="BA520" i="53"/>
  <c r="AX520" i="53"/>
  <c r="AY520" i="53"/>
  <c r="AV520" i="53"/>
  <c r="AW520" i="53"/>
  <c r="AU520" i="53"/>
  <c r="AS520" i="53"/>
  <c r="AQ520" i="53"/>
  <c r="AO520" i="53"/>
  <c r="AM520" i="53"/>
  <c r="AK520" i="53"/>
  <c r="AJ520" i="53"/>
  <c r="AF520" i="53"/>
  <c r="C520" i="53"/>
  <c r="C521" i="53"/>
  <c r="A520" i="53"/>
  <c r="A521" i="53"/>
  <c r="AZ519" i="53"/>
  <c r="BA519" i="53"/>
  <c r="AX519" i="53"/>
  <c r="AY519" i="53"/>
  <c r="AV519" i="53"/>
  <c r="AW519" i="53"/>
  <c r="AU519" i="53"/>
  <c r="AS519" i="53"/>
  <c r="AQ519" i="53"/>
  <c r="AO519" i="53"/>
  <c r="AM519" i="53"/>
  <c r="AK519" i="53"/>
  <c r="AJ519" i="53"/>
  <c r="AF519" i="53"/>
  <c r="C519" i="53"/>
  <c r="A519" i="53"/>
  <c r="AZ518" i="53"/>
  <c r="BA518" i="53"/>
  <c r="AX518" i="53"/>
  <c r="AY518" i="53"/>
  <c r="AV518" i="53"/>
  <c r="AW518" i="53"/>
  <c r="AU518" i="53"/>
  <c r="AS518" i="53"/>
  <c r="AQ518" i="53"/>
  <c r="AO518" i="53"/>
  <c r="AM518" i="53"/>
  <c r="AK518" i="53"/>
  <c r="AJ518" i="53"/>
  <c r="AF518" i="53"/>
  <c r="AZ517" i="53"/>
  <c r="BA517" i="53"/>
  <c r="AX517" i="53"/>
  <c r="AY517" i="53"/>
  <c r="AV517" i="53"/>
  <c r="AW517" i="53"/>
  <c r="AU517" i="53"/>
  <c r="AS517" i="53"/>
  <c r="AQ517" i="53"/>
  <c r="AO517" i="53"/>
  <c r="AM517" i="53"/>
  <c r="AK517" i="53"/>
  <c r="AG517" i="53"/>
  <c r="AJ517" i="53"/>
  <c r="AF517" i="53"/>
  <c r="C517" i="53"/>
  <c r="A517" i="53"/>
  <c r="AZ516" i="53"/>
  <c r="BA516" i="53"/>
  <c r="AX516" i="53"/>
  <c r="AY516" i="53"/>
  <c r="AV516" i="53"/>
  <c r="AW516" i="53"/>
  <c r="AU516" i="53"/>
  <c r="AS516" i="53"/>
  <c r="AQ516" i="53"/>
  <c r="AO516" i="53"/>
  <c r="AM516" i="53"/>
  <c r="AK516" i="53"/>
  <c r="AG516" i="53"/>
  <c r="AJ516" i="53"/>
  <c r="AF516" i="53"/>
  <c r="C516" i="53"/>
  <c r="A516" i="53"/>
  <c r="AZ515" i="53"/>
  <c r="BA515" i="53"/>
  <c r="AX515" i="53"/>
  <c r="AY515" i="53"/>
  <c r="AV515" i="53"/>
  <c r="AW515" i="53"/>
  <c r="AU515" i="53"/>
  <c r="AS515" i="53"/>
  <c r="AQ515" i="53"/>
  <c r="AO515" i="53"/>
  <c r="AM515" i="53"/>
  <c r="AK515" i="53"/>
  <c r="AG515" i="53"/>
  <c r="AJ515" i="53"/>
  <c r="AF515" i="53"/>
  <c r="C515" i="53"/>
  <c r="A515" i="53"/>
  <c r="AZ514" i="53"/>
  <c r="BA514" i="53"/>
  <c r="AX514" i="53"/>
  <c r="AY514" i="53"/>
  <c r="AV514" i="53"/>
  <c r="AW514" i="53"/>
  <c r="AU514" i="53"/>
  <c r="AS514" i="53"/>
  <c r="AQ514" i="53"/>
  <c r="AO514" i="53"/>
  <c r="AM514" i="53"/>
  <c r="AK514" i="53"/>
  <c r="AG514" i="53"/>
  <c r="AJ514" i="53"/>
  <c r="AF514" i="53"/>
  <c r="C514" i="53"/>
  <c r="A514" i="53"/>
  <c r="AZ513" i="53"/>
  <c r="BA513" i="53"/>
  <c r="AX513" i="53"/>
  <c r="AY513" i="53"/>
  <c r="AV513" i="53"/>
  <c r="AW513" i="53"/>
  <c r="AU513" i="53"/>
  <c r="AS513" i="53"/>
  <c r="AQ513" i="53"/>
  <c r="AO513" i="53"/>
  <c r="AM513" i="53"/>
  <c r="AK513" i="53"/>
  <c r="AG513" i="53"/>
  <c r="AJ513" i="53"/>
  <c r="AF513" i="53"/>
  <c r="C513" i="53"/>
  <c r="A513" i="53"/>
  <c r="AZ512" i="53"/>
  <c r="BA512" i="53"/>
  <c r="AX512" i="53"/>
  <c r="AY512" i="53"/>
  <c r="AV512" i="53"/>
  <c r="AW512" i="53"/>
  <c r="AU512" i="53"/>
  <c r="AS512" i="53"/>
  <c r="AQ512" i="53"/>
  <c r="AO512" i="53"/>
  <c r="AM512" i="53"/>
  <c r="AK512" i="53"/>
  <c r="AJ512" i="53"/>
  <c r="AF512" i="53"/>
  <c r="C512" i="53"/>
  <c r="A512" i="53"/>
  <c r="AZ511" i="53"/>
  <c r="BA511" i="53"/>
  <c r="AX511" i="53"/>
  <c r="AY511" i="53"/>
  <c r="AV511" i="53"/>
  <c r="AW511" i="53"/>
  <c r="AU511" i="53"/>
  <c r="AS511" i="53"/>
  <c r="AS510" i="53"/>
  <c r="AQ511" i="53"/>
  <c r="AO511" i="53"/>
  <c r="AO510" i="53"/>
  <c r="AM511" i="53"/>
  <c r="AK511" i="53"/>
  <c r="AK510" i="53"/>
  <c r="AG511" i="53"/>
  <c r="AJ511" i="53"/>
  <c r="AJ510" i="53"/>
  <c r="AF511" i="53"/>
  <c r="C511" i="53"/>
  <c r="A511" i="53"/>
  <c r="AU510" i="53"/>
  <c r="AQ510" i="53"/>
  <c r="AM510" i="53"/>
  <c r="AH510" i="53"/>
  <c r="AG510" i="53"/>
  <c r="AD510" i="53"/>
  <c r="AB510" i="53"/>
  <c r="AE510" i="53"/>
  <c r="AF510" i="53"/>
  <c r="AC510" i="53"/>
  <c r="C510" i="53"/>
  <c r="A510" i="53"/>
  <c r="AZ509" i="53"/>
  <c r="BA509" i="53"/>
  <c r="AX509" i="53"/>
  <c r="AY509" i="53"/>
  <c r="AV509" i="53"/>
  <c r="AW509" i="53"/>
  <c r="AU509" i="53"/>
  <c r="AS509" i="53"/>
  <c r="AQ509" i="53"/>
  <c r="AO509" i="53"/>
  <c r="AM509" i="53"/>
  <c r="AK509" i="53"/>
  <c r="AJ509" i="53"/>
  <c r="AF509" i="53"/>
  <c r="AZ508" i="53"/>
  <c r="BA508" i="53"/>
  <c r="AX508" i="53"/>
  <c r="AY508" i="53"/>
  <c r="AV508" i="53"/>
  <c r="AW508" i="53"/>
  <c r="AU508" i="53"/>
  <c r="AS508" i="53"/>
  <c r="AQ508" i="53"/>
  <c r="AO508" i="53"/>
  <c r="AM508" i="53"/>
  <c r="AK508" i="53"/>
  <c r="AJ508" i="53"/>
  <c r="AF508" i="53"/>
  <c r="B507" i="53"/>
  <c r="B508" i="53"/>
  <c r="B509" i="53"/>
  <c r="AZ507" i="53"/>
  <c r="BA507" i="53"/>
  <c r="AX507" i="53"/>
  <c r="AY507" i="53"/>
  <c r="AV507" i="53"/>
  <c r="AW507" i="53"/>
  <c r="AU507" i="53"/>
  <c r="AS507" i="53"/>
  <c r="AQ507" i="53"/>
  <c r="AO507" i="53"/>
  <c r="AM507" i="53"/>
  <c r="AK507" i="53"/>
  <c r="AJ507" i="53"/>
  <c r="AF507" i="53"/>
  <c r="C507" i="53"/>
  <c r="C508" i="53"/>
  <c r="C509" i="53"/>
  <c r="A507" i="53"/>
  <c r="A508" i="53"/>
  <c r="A509" i="53"/>
  <c r="AZ506" i="53"/>
  <c r="BA506" i="53"/>
  <c r="AX506" i="53"/>
  <c r="AY506" i="53"/>
  <c r="AV506" i="53"/>
  <c r="AW506" i="53"/>
  <c r="AU506" i="53"/>
  <c r="AS506" i="53"/>
  <c r="AQ506" i="53"/>
  <c r="AO506" i="53"/>
  <c r="AM506" i="53"/>
  <c r="AK506" i="53"/>
  <c r="AJ506" i="53"/>
  <c r="AF506" i="53"/>
  <c r="C506" i="53"/>
  <c r="B506" i="53"/>
  <c r="A506" i="53"/>
  <c r="AZ505" i="53"/>
  <c r="BA505" i="53"/>
  <c r="AX505" i="53"/>
  <c r="AY505" i="53"/>
  <c r="AV505" i="53"/>
  <c r="AW505" i="53"/>
  <c r="AU505" i="53"/>
  <c r="AS505" i="53"/>
  <c r="AQ505" i="53"/>
  <c r="AO505" i="53"/>
  <c r="AM505" i="53"/>
  <c r="AK505" i="53"/>
  <c r="AJ505" i="53"/>
  <c r="AF505" i="53"/>
  <c r="AZ504" i="53"/>
  <c r="AH504" i="53"/>
  <c r="BA504" i="53"/>
  <c r="AX504" i="53"/>
  <c r="AY504" i="53"/>
  <c r="AV504" i="53"/>
  <c r="AW504" i="53"/>
  <c r="AU504" i="53"/>
  <c r="AQ504" i="53"/>
  <c r="AM504" i="53"/>
  <c r="AJ504" i="53"/>
  <c r="AS504" i="53"/>
  <c r="C504" i="53"/>
  <c r="B504" i="53"/>
  <c r="A504" i="53"/>
  <c r="AZ503" i="53"/>
  <c r="AH503" i="53"/>
  <c r="BA503" i="53"/>
  <c r="AX503" i="53"/>
  <c r="AY503" i="53"/>
  <c r="AV503" i="53"/>
  <c r="AW503" i="53"/>
  <c r="AJ503" i="53"/>
  <c r="AS503" i="53"/>
  <c r="C503" i="53"/>
  <c r="B503" i="53"/>
  <c r="A503" i="53"/>
  <c r="AZ502" i="53"/>
  <c r="BA502" i="53"/>
  <c r="AX502" i="53"/>
  <c r="AY502" i="53"/>
  <c r="AV502" i="53"/>
  <c r="AW502" i="53"/>
  <c r="AU502" i="53"/>
  <c r="AS502" i="53"/>
  <c r="AQ502" i="53"/>
  <c r="AO502" i="53"/>
  <c r="AM502" i="53"/>
  <c r="AK502" i="53"/>
  <c r="AG502" i="53"/>
  <c r="AJ502" i="53"/>
  <c r="AD502" i="53"/>
  <c r="AE502" i="53"/>
  <c r="AF502" i="53"/>
  <c r="C502" i="53"/>
  <c r="B502" i="53"/>
  <c r="A502" i="53"/>
  <c r="AZ501" i="53"/>
  <c r="BA501" i="53"/>
  <c r="AX501" i="53"/>
  <c r="AY501" i="53"/>
  <c r="AV501" i="53"/>
  <c r="AW501" i="53"/>
  <c r="AU501" i="53"/>
  <c r="AS501" i="53"/>
  <c r="AQ501" i="53"/>
  <c r="AO501" i="53"/>
  <c r="AM501" i="53"/>
  <c r="AK501" i="53"/>
  <c r="AG501" i="53"/>
  <c r="AJ501" i="53"/>
  <c r="AD501" i="53"/>
  <c r="AE501" i="53"/>
  <c r="AF501" i="53"/>
  <c r="C501" i="53"/>
  <c r="B501" i="53"/>
  <c r="A501" i="53"/>
  <c r="AZ500" i="53"/>
  <c r="BA500" i="53"/>
  <c r="AX500" i="53"/>
  <c r="AY500" i="53"/>
  <c r="AV500" i="53"/>
  <c r="AW500" i="53"/>
  <c r="AU500" i="53"/>
  <c r="AS500" i="53"/>
  <c r="AQ500" i="53"/>
  <c r="AO500" i="53"/>
  <c r="AM500" i="53"/>
  <c r="AK500" i="53"/>
  <c r="AG500" i="53"/>
  <c r="AJ500" i="53"/>
  <c r="C500" i="53"/>
  <c r="B500" i="53"/>
  <c r="A500" i="53"/>
  <c r="AZ499" i="53"/>
  <c r="BA499" i="53"/>
  <c r="AX499" i="53"/>
  <c r="AY499" i="53"/>
  <c r="AV499" i="53"/>
  <c r="AW499" i="53"/>
  <c r="AU499" i="53"/>
  <c r="AS499" i="53"/>
  <c r="AQ499" i="53"/>
  <c r="AO499" i="53"/>
  <c r="AM499" i="53"/>
  <c r="AK499" i="53"/>
  <c r="AG499" i="53"/>
  <c r="AJ499" i="53"/>
  <c r="AD499" i="53"/>
  <c r="AE499" i="53"/>
  <c r="AF499" i="53"/>
  <c r="C499" i="53"/>
  <c r="B499" i="53"/>
  <c r="A499" i="53"/>
  <c r="AZ498" i="53"/>
  <c r="BA498" i="53"/>
  <c r="AX498" i="53"/>
  <c r="AY498" i="53"/>
  <c r="AV498" i="53"/>
  <c r="AW498" i="53"/>
  <c r="AU498" i="53"/>
  <c r="AS498" i="53"/>
  <c r="AQ498" i="53"/>
  <c r="AO498" i="53"/>
  <c r="AM498" i="53"/>
  <c r="AK498" i="53"/>
  <c r="AG498" i="53"/>
  <c r="AJ498" i="53"/>
  <c r="AD498" i="53"/>
  <c r="AE498" i="53"/>
  <c r="AF498" i="53"/>
  <c r="C498" i="53"/>
  <c r="B498" i="53"/>
  <c r="A498" i="53"/>
  <c r="AZ497" i="53"/>
  <c r="BA497" i="53"/>
  <c r="AX497" i="53"/>
  <c r="AY497" i="53"/>
  <c r="AV497" i="53"/>
  <c r="AW497" i="53"/>
  <c r="AU497" i="53"/>
  <c r="AS497" i="53"/>
  <c r="AQ497" i="53"/>
  <c r="AO497" i="53"/>
  <c r="AM497" i="53"/>
  <c r="AK497" i="53"/>
  <c r="AG497" i="53"/>
  <c r="AJ497" i="53"/>
  <c r="AD497" i="53"/>
  <c r="AE497" i="53"/>
  <c r="AF497" i="53"/>
  <c r="C497" i="53"/>
  <c r="B497" i="53"/>
  <c r="A497" i="53"/>
  <c r="AZ496" i="53"/>
  <c r="BA496" i="53"/>
  <c r="AX496" i="53"/>
  <c r="AY496" i="53"/>
  <c r="AV496" i="53"/>
  <c r="AW496" i="53"/>
  <c r="AZ495" i="53"/>
  <c r="AV495" i="53"/>
  <c r="AH495" i="53"/>
  <c r="AW495" i="53"/>
  <c r="AW494" i="53"/>
  <c r="AU496" i="53"/>
  <c r="AS496" i="53"/>
  <c r="AQ496" i="53"/>
  <c r="AO496" i="53"/>
  <c r="AM496" i="53"/>
  <c r="AK496" i="53"/>
  <c r="AJ496" i="53"/>
  <c r="AF496" i="53"/>
  <c r="C496" i="53"/>
  <c r="B496" i="53"/>
  <c r="A496" i="53"/>
  <c r="BA495" i="53"/>
  <c r="AX495" i="53"/>
  <c r="AY495" i="53"/>
  <c r="AU495" i="53"/>
  <c r="AQ495" i="53"/>
  <c r="AM495" i="53"/>
  <c r="AS495" i="53"/>
  <c r="AS494" i="53"/>
  <c r="AG495" i="53"/>
  <c r="AJ495" i="53"/>
  <c r="AJ494" i="53"/>
  <c r="AD495" i="53"/>
  <c r="AE495" i="53"/>
  <c r="AF495" i="53"/>
  <c r="C495" i="53"/>
  <c r="B495" i="53"/>
  <c r="A495" i="53"/>
  <c r="AH494" i="53"/>
  <c r="AG494" i="53"/>
  <c r="AD494" i="53"/>
  <c r="AB494" i="53"/>
  <c r="AE494" i="53"/>
  <c r="AF494" i="53"/>
  <c r="AC494" i="53"/>
  <c r="C494" i="53"/>
  <c r="B494" i="53"/>
  <c r="A494" i="53"/>
  <c r="AZ493" i="53"/>
  <c r="BA493" i="53"/>
  <c r="AX493" i="53"/>
  <c r="AY493" i="53"/>
  <c r="AV493" i="53"/>
  <c r="AW493" i="53"/>
  <c r="AU493" i="53"/>
  <c r="AS493" i="53"/>
  <c r="AQ493" i="53"/>
  <c r="AO493" i="53"/>
  <c r="AM493" i="53"/>
  <c r="AK493" i="53"/>
  <c r="AJ493" i="53"/>
  <c r="AF493" i="53"/>
  <c r="C493" i="53"/>
  <c r="B493" i="53"/>
  <c r="A493" i="53"/>
  <c r="AZ492" i="53"/>
  <c r="BA492" i="53"/>
  <c r="AX492" i="53"/>
  <c r="AY492" i="53"/>
  <c r="AV492" i="53"/>
  <c r="AW492" i="53"/>
  <c r="AU492" i="53"/>
  <c r="AS492" i="53"/>
  <c r="AQ492" i="53"/>
  <c r="AO492" i="53"/>
  <c r="AM492" i="53"/>
  <c r="AK492" i="53"/>
  <c r="AK483" i="53"/>
  <c r="AK484" i="53"/>
  <c r="AK485" i="53"/>
  <c r="AK486" i="53"/>
  <c r="AK487" i="53"/>
  <c r="AK488" i="53"/>
  <c r="AK489" i="53"/>
  <c r="AK482" i="53"/>
  <c r="AJ492" i="53"/>
  <c r="AF492" i="53"/>
  <c r="C492" i="53"/>
  <c r="B492" i="53"/>
  <c r="A492" i="53"/>
  <c r="AZ491" i="53"/>
  <c r="BA491" i="53"/>
  <c r="AX491" i="53"/>
  <c r="AY491" i="53"/>
  <c r="AV491" i="53"/>
  <c r="AW491" i="53"/>
  <c r="AU491" i="53"/>
  <c r="AS491" i="53"/>
  <c r="AQ491" i="53"/>
  <c r="AO491" i="53"/>
  <c r="AM491" i="53"/>
  <c r="AF491" i="53"/>
  <c r="C491" i="53"/>
  <c r="B491" i="53"/>
  <c r="A491" i="53"/>
  <c r="AZ490" i="53"/>
  <c r="BA490" i="53"/>
  <c r="AX490" i="53"/>
  <c r="AY490" i="53"/>
  <c r="AV490" i="53"/>
  <c r="AW490" i="53"/>
  <c r="AU490" i="53"/>
  <c r="AS490" i="53"/>
  <c r="AS483" i="53"/>
  <c r="AS484" i="53"/>
  <c r="AS485" i="53"/>
  <c r="AS486" i="53"/>
  <c r="AS487" i="53"/>
  <c r="AS488" i="53"/>
  <c r="AS489" i="53"/>
  <c r="AS482" i="53"/>
  <c r="AQ490" i="53"/>
  <c r="AO490" i="53"/>
  <c r="AO483" i="53"/>
  <c r="AO484" i="53"/>
  <c r="AO485" i="53"/>
  <c r="AO486" i="53"/>
  <c r="AO487" i="53"/>
  <c r="AO488" i="53"/>
  <c r="AO489" i="53"/>
  <c r="AO482" i="53"/>
  <c r="AM490" i="53"/>
  <c r="AF490" i="53"/>
  <c r="C490" i="53"/>
  <c r="B490" i="53"/>
  <c r="A490" i="53"/>
  <c r="AZ489" i="53"/>
  <c r="BA489" i="53"/>
  <c r="AX489" i="53"/>
  <c r="AY489" i="53"/>
  <c r="AV489" i="53"/>
  <c r="AW489" i="53"/>
  <c r="AU489" i="53"/>
  <c r="AQ489" i="53"/>
  <c r="AM489" i="53"/>
  <c r="AJ489" i="53"/>
  <c r="AF489" i="53"/>
  <c r="AZ488" i="53"/>
  <c r="BA488" i="53"/>
  <c r="AX488" i="53"/>
  <c r="AY488" i="53"/>
  <c r="AV488" i="53"/>
  <c r="AW488" i="53"/>
  <c r="AU488" i="53"/>
  <c r="AQ488" i="53"/>
  <c r="AM488" i="53"/>
  <c r="AG488" i="53"/>
  <c r="AJ488" i="53"/>
  <c r="AF488" i="53"/>
  <c r="C488" i="53"/>
  <c r="B488" i="53"/>
  <c r="A488" i="53"/>
  <c r="AZ487" i="53"/>
  <c r="BA487" i="53"/>
  <c r="AX487" i="53"/>
  <c r="AY487" i="53"/>
  <c r="AV487" i="53"/>
  <c r="AW487" i="53"/>
  <c r="AU487" i="53"/>
  <c r="AQ487" i="53"/>
  <c r="AM487" i="53"/>
  <c r="AG487" i="53"/>
  <c r="AJ487" i="53"/>
  <c r="AF487" i="53"/>
  <c r="C487" i="53"/>
  <c r="B487" i="53"/>
  <c r="A487" i="53"/>
  <c r="AZ486" i="53"/>
  <c r="BA486" i="53"/>
  <c r="AX486" i="53"/>
  <c r="AY486" i="53"/>
  <c r="AV486" i="53"/>
  <c r="AW486" i="53"/>
  <c r="AU486" i="53"/>
  <c r="AQ486" i="53"/>
  <c r="AM486" i="53"/>
  <c r="AG486" i="53"/>
  <c r="AJ486" i="53"/>
  <c r="AF486" i="53"/>
  <c r="C486" i="53"/>
  <c r="B486" i="53"/>
  <c r="A486" i="53"/>
  <c r="AZ485" i="53"/>
  <c r="BA485" i="53"/>
  <c r="AX485" i="53"/>
  <c r="AY485" i="53"/>
  <c r="AV485" i="53"/>
  <c r="AW485" i="53"/>
  <c r="AU485" i="53"/>
  <c r="AQ485" i="53"/>
  <c r="AM485" i="53"/>
  <c r="AG485" i="53"/>
  <c r="AJ485" i="53"/>
  <c r="AD485" i="53"/>
  <c r="AE485" i="53"/>
  <c r="AF485" i="53"/>
  <c r="C485" i="53"/>
  <c r="B485" i="53"/>
  <c r="A485" i="53"/>
  <c r="AZ484" i="53"/>
  <c r="BA484" i="53"/>
  <c r="AX484" i="53"/>
  <c r="AY484" i="53"/>
  <c r="AV484" i="53"/>
  <c r="AW484" i="53"/>
  <c r="AU484" i="53"/>
  <c r="AQ484" i="53"/>
  <c r="AM484" i="53"/>
  <c r="AG484" i="53"/>
  <c r="AJ484" i="53"/>
  <c r="AD484" i="53"/>
  <c r="AE484" i="53"/>
  <c r="AF484" i="53"/>
  <c r="C484" i="53"/>
  <c r="B484" i="53"/>
  <c r="A484" i="53"/>
  <c r="AZ483" i="53"/>
  <c r="BA483" i="53"/>
  <c r="AX483" i="53"/>
  <c r="AY483" i="53"/>
  <c r="AV483" i="53"/>
  <c r="AW483" i="53"/>
  <c r="AW482" i="53"/>
  <c r="AU483" i="53"/>
  <c r="AQ483" i="53"/>
  <c r="AM483" i="53"/>
  <c r="AG483" i="53"/>
  <c r="AJ483" i="53"/>
  <c r="AD483" i="53"/>
  <c r="AE483" i="53"/>
  <c r="AF483" i="53"/>
  <c r="C483" i="53"/>
  <c r="B483" i="53"/>
  <c r="A483" i="53"/>
  <c r="AU482" i="53"/>
  <c r="AQ482" i="53"/>
  <c r="AM482" i="53"/>
  <c r="AJ482" i="53"/>
  <c r="AH482" i="53"/>
  <c r="AG482" i="53"/>
  <c r="AC482" i="53"/>
  <c r="AB482" i="53"/>
  <c r="C482" i="53"/>
  <c r="B482" i="53"/>
  <c r="A482" i="53"/>
  <c r="AZ481" i="53"/>
  <c r="BA481" i="53"/>
  <c r="AX481" i="53"/>
  <c r="AY481" i="53"/>
  <c r="AV481" i="53"/>
  <c r="AW481" i="53"/>
  <c r="AU481" i="53"/>
  <c r="AS481" i="53"/>
  <c r="AQ481" i="53"/>
  <c r="AO481" i="53"/>
  <c r="AM481" i="53"/>
  <c r="AK481" i="53"/>
  <c r="AJ481" i="53"/>
  <c r="AF481" i="53"/>
  <c r="Y481" i="53"/>
  <c r="X481" i="53"/>
  <c r="D481" i="53"/>
  <c r="C481" i="53"/>
  <c r="B481" i="53"/>
  <c r="A481" i="53"/>
  <c r="AZ480" i="53"/>
  <c r="BA480" i="53"/>
  <c r="AX480" i="53"/>
  <c r="AY480" i="53"/>
  <c r="AV480" i="53"/>
  <c r="AW480" i="53"/>
  <c r="AU480" i="53"/>
  <c r="AS480" i="53"/>
  <c r="AQ480" i="53"/>
  <c r="AO480" i="53"/>
  <c r="AM480" i="53"/>
  <c r="AK480" i="53"/>
  <c r="AJ480" i="53"/>
  <c r="AF480" i="53"/>
  <c r="Y480" i="53"/>
  <c r="X480" i="53"/>
  <c r="D480" i="53"/>
  <c r="C480" i="53"/>
  <c r="B480" i="53"/>
  <c r="A480" i="53"/>
  <c r="AZ479" i="53"/>
  <c r="BA479" i="53"/>
  <c r="AX479" i="53"/>
  <c r="AY479" i="53"/>
  <c r="AV479" i="53"/>
  <c r="AW479" i="53"/>
  <c r="AU479" i="53"/>
  <c r="AS479" i="53"/>
  <c r="AQ479" i="53"/>
  <c r="AO479" i="53"/>
  <c r="AM479" i="53"/>
  <c r="AK479" i="53"/>
  <c r="AJ479" i="53"/>
  <c r="AF479" i="53"/>
  <c r="Y479" i="53"/>
  <c r="X479" i="53"/>
  <c r="D479" i="53"/>
  <c r="C479" i="53"/>
  <c r="B479" i="53"/>
  <c r="A479" i="53"/>
  <c r="AZ478" i="53"/>
  <c r="BA478" i="53"/>
  <c r="AX478" i="53"/>
  <c r="AY478" i="53"/>
  <c r="AV478" i="53"/>
  <c r="AW478" i="53"/>
  <c r="AU478" i="53"/>
  <c r="AS478" i="53"/>
  <c r="AQ478" i="53"/>
  <c r="AO478" i="53"/>
  <c r="AM478" i="53"/>
  <c r="AK478" i="53"/>
  <c r="AJ478" i="53"/>
  <c r="AF478" i="53"/>
  <c r="Y478" i="53"/>
  <c r="X478" i="53"/>
  <c r="D478" i="53"/>
  <c r="C478" i="53"/>
  <c r="B478" i="53"/>
  <c r="A478" i="53"/>
  <c r="AZ477" i="53"/>
  <c r="BA477" i="53"/>
  <c r="AX477" i="53"/>
  <c r="AY477" i="53"/>
  <c r="AV477" i="53"/>
  <c r="AW477" i="53"/>
  <c r="AU477" i="53"/>
  <c r="AS477" i="53"/>
  <c r="AQ477" i="53"/>
  <c r="AO477" i="53"/>
  <c r="AM477" i="53"/>
  <c r="AK477" i="53"/>
  <c r="AG477" i="53"/>
  <c r="AJ477" i="53"/>
  <c r="AF477" i="53"/>
  <c r="Y477" i="53"/>
  <c r="X477" i="53"/>
  <c r="D477" i="53"/>
  <c r="C477" i="53"/>
  <c r="B477" i="53"/>
  <c r="A477" i="53"/>
  <c r="AZ476" i="53"/>
  <c r="BA476" i="53"/>
  <c r="AX476" i="53"/>
  <c r="AY476" i="53"/>
  <c r="AV476" i="53"/>
  <c r="AW476" i="53"/>
  <c r="AU476" i="53"/>
  <c r="AS476" i="53"/>
  <c r="AQ476" i="53"/>
  <c r="AO476" i="53"/>
  <c r="AM476" i="53"/>
  <c r="AK476" i="53"/>
  <c r="AG476" i="53"/>
  <c r="AJ476" i="53"/>
  <c r="AF476" i="53"/>
  <c r="Y476" i="53"/>
  <c r="X476" i="53"/>
  <c r="D476" i="53"/>
  <c r="C476" i="53"/>
  <c r="B476" i="53"/>
  <c r="A476" i="53"/>
  <c r="AZ475" i="53"/>
  <c r="BA475" i="53"/>
  <c r="AX475" i="53"/>
  <c r="AY475" i="53"/>
  <c r="AV475" i="53"/>
  <c r="AW475" i="53"/>
  <c r="AW474" i="53"/>
  <c r="AU475" i="53"/>
  <c r="AS475" i="53"/>
  <c r="AS474" i="53"/>
  <c r="AQ475" i="53"/>
  <c r="AO475" i="53"/>
  <c r="AO474" i="53"/>
  <c r="AM475" i="53"/>
  <c r="AK475" i="53"/>
  <c r="AK474" i="53"/>
  <c r="AG475" i="53"/>
  <c r="AJ475" i="53"/>
  <c r="AJ474" i="53"/>
  <c r="AF475" i="53"/>
  <c r="Y475" i="53"/>
  <c r="X475" i="53"/>
  <c r="D475" i="53"/>
  <c r="C475" i="53"/>
  <c r="B475" i="53"/>
  <c r="A475" i="53"/>
  <c r="AU474" i="53"/>
  <c r="AQ474" i="53"/>
  <c r="AM474" i="53"/>
  <c r="AH474" i="53"/>
  <c r="AG474" i="53"/>
  <c r="AD474" i="53"/>
  <c r="AB474" i="53"/>
  <c r="AE474" i="53"/>
  <c r="AF474" i="53"/>
  <c r="AC474" i="53"/>
  <c r="C474" i="53"/>
  <c r="B474" i="53"/>
  <c r="A474" i="53"/>
  <c r="AZ473" i="53"/>
  <c r="BA473" i="53"/>
  <c r="AX473" i="53"/>
  <c r="AY473" i="53"/>
  <c r="AV473" i="53"/>
  <c r="AW473" i="53"/>
  <c r="AU473" i="53"/>
  <c r="AS473" i="53"/>
  <c r="AQ473" i="53"/>
  <c r="AO473" i="53"/>
  <c r="AM473" i="53"/>
  <c r="AK473" i="53"/>
  <c r="AJ473" i="53"/>
  <c r="AF473" i="53"/>
  <c r="C473" i="53"/>
  <c r="B473" i="53"/>
  <c r="A473" i="53"/>
  <c r="AZ472" i="53"/>
  <c r="BA472" i="53"/>
  <c r="AX472" i="53"/>
  <c r="AY472" i="53"/>
  <c r="AV472" i="53"/>
  <c r="AW472" i="53"/>
  <c r="AU472" i="53"/>
  <c r="AS472" i="53"/>
  <c r="AQ472" i="53"/>
  <c r="AO472" i="53"/>
  <c r="AM472" i="53"/>
  <c r="AK472" i="53"/>
  <c r="AJ472" i="53"/>
  <c r="AF472" i="53"/>
  <c r="C472" i="53"/>
  <c r="B472" i="53"/>
  <c r="A472" i="53"/>
  <c r="AZ471" i="53"/>
  <c r="BA471" i="53"/>
  <c r="AX471" i="53"/>
  <c r="AY471" i="53"/>
  <c r="AV471" i="53"/>
  <c r="AW471" i="53"/>
  <c r="AU471" i="53"/>
  <c r="AS471" i="53"/>
  <c r="AQ471" i="53"/>
  <c r="AO471" i="53"/>
  <c r="AM471" i="53"/>
  <c r="AF471" i="53"/>
  <c r="C471" i="53"/>
  <c r="B471" i="53"/>
  <c r="A471" i="53"/>
  <c r="AZ470" i="53"/>
  <c r="BA470" i="53"/>
  <c r="AX470" i="53"/>
  <c r="AY470" i="53"/>
  <c r="AV470" i="53"/>
  <c r="AW470" i="53"/>
  <c r="AU470" i="53"/>
  <c r="AS470" i="53"/>
  <c r="AQ470" i="53"/>
  <c r="AO470" i="53"/>
  <c r="AM470" i="53"/>
  <c r="AF470" i="53"/>
  <c r="C470" i="53"/>
  <c r="B470" i="53"/>
  <c r="A470" i="53"/>
  <c r="AZ469" i="53"/>
  <c r="BA469" i="53"/>
  <c r="AX469" i="53"/>
  <c r="AY469" i="53"/>
  <c r="AV469" i="53"/>
  <c r="AW469" i="53"/>
  <c r="AU469" i="53"/>
  <c r="AS469" i="53"/>
  <c r="AQ469" i="53"/>
  <c r="AO469" i="53"/>
  <c r="AM469" i="53"/>
  <c r="AK469" i="53"/>
  <c r="AJ469" i="53"/>
  <c r="AF469" i="53"/>
  <c r="AZ468" i="53"/>
  <c r="AH468" i="53"/>
  <c r="BA468" i="53"/>
  <c r="AX468" i="53"/>
  <c r="AY468" i="53"/>
  <c r="AV468" i="53"/>
  <c r="AW468" i="53"/>
  <c r="AJ468" i="53"/>
  <c r="AS468" i="53"/>
  <c r="AF468" i="53"/>
  <c r="C468" i="53"/>
  <c r="B468" i="53"/>
  <c r="A468" i="53"/>
  <c r="AZ467" i="53"/>
  <c r="AH467" i="53"/>
  <c r="BA467" i="53"/>
  <c r="AX467" i="53"/>
  <c r="AY467" i="53"/>
  <c r="AV467" i="53"/>
  <c r="AW467" i="53"/>
  <c r="AJ467" i="53"/>
  <c r="AS467" i="53"/>
  <c r="AF467" i="53"/>
  <c r="C467" i="53"/>
  <c r="B467" i="53"/>
  <c r="A467" i="53"/>
  <c r="AZ466" i="53"/>
  <c r="AH466" i="53"/>
  <c r="BA466" i="53"/>
  <c r="AX466" i="53"/>
  <c r="AY466" i="53"/>
  <c r="AV466" i="53"/>
  <c r="AW466" i="53"/>
  <c r="AJ466" i="53"/>
  <c r="AS466" i="53"/>
  <c r="AS456" i="53"/>
  <c r="AS457" i="53"/>
  <c r="AS458" i="53"/>
  <c r="AS459" i="53"/>
  <c r="AS460" i="53"/>
  <c r="AS461" i="53"/>
  <c r="AS462" i="53"/>
  <c r="AS463" i="53"/>
  <c r="AS464" i="53"/>
  <c r="AS465" i="53"/>
  <c r="AS455" i="53"/>
  <c r="AF466" i="53"/>
  <c r="C466" i="53"/>
  <c r="B466" i="53"/>
  <c r="A466" i="53"/>
  <c r="AZ465" i="53"/>
  <c r="BA465" i="53"/>
  <c r="AX465" i="53"/>
  <c r="AY465" i="53"/>
  <c r="AV465" i="53"/>
  <c r="AW465" i="53"/>
  <c r="AU465" i="53"/>
  <c r="AQ465" i="53"/>
  <c r="AO465" i="53"/>
  <c r="AM465" i="53"/>
  <c r="AK465" i="53"/>
  <c r="AG465" i="53"/>
  <c r="AJ465" i="53"/>
  <c r="C465" i="53"/>
  <c r="B465" i="53"/>
  <c r="A465" i="53"/>
  <c r="AZ464" i="53"/>
  <c r="BA464" i="53"/>
  <c r="AX464" i="53"/>
  <c r="AY464" i="53"/>
  <c r="AV464" i="53"/>
  <c r="AW464" i="53"/>
  <c r="AU464" i="53"/>
  <c r="AQ464" i="53"/>
  <c r="AO464" i="53"/>
  <c r="AM464" i="53"/>
  <c r="AK464" i="53"/>
  <c r="AG464" i="53"/>
  <c r="AJ464" i="53"/>
  <c r="Y464" i="53"/>
  <c r="X464" i="53"/>
  <c r="D464" i="53"/>
  <c r="AZ463" i="53"/>
  <c r="BA463" i="53"/>
  <c r="AX463" i="53"/>
  <c r="AY463" i="53"/>
  <c r="AV463" i="53"/>
  <c r="AW463" i="53"/>
  <c r="AU463" i="53"/>
  <c r="AQ463" i="53"/>
  <c r="AO463" i="53"/>
  <c r="AM463" i="53"/>
  <c r="AK463" i="53"/>
  <c r="AG463" i="53"/>
  <c r="AJ463" i="53"/>
  <c r="C463" i="53"/>
  <c r="B463" i="53"/>
  <c r="A463" i="53"/>
  <c r="AZ462" i="53"/>
  <c r="BA462" i="53"/>
  <c r="AX462" i="53"/>
  <c r="AY462" i="53"/>
  <c r="AV462" i="53"/>
  <c r="AW462" i="53"/>
  <c r="AU462" i="53"/>
  <c r="AQ462" i="53"/>
  <c r="AO462" i="53"/>
  <c r="AM462" i="53"/>
  <c r="AK462" i="53"/>
  <c r="AG462" i="53"/>
  <c r="AJ462" i="53"/>
  <c r="C462" i="53"/>
  <c r="B462" i="53"/>
  <c r="A462" i="53"/>
  <c r="AZ461" i="53"/>
  <c r="BA461" i="53"/>
  <c r="AX461" i="53"/>
  <c r="AY461" i="53"/>
  <c r="AV461" i="53"/>
  <c r="AW461" i="53"/>
  <c r="AU461" i="53"/>
  <c r="AQ461" i="53"/>
  <c r="AO461" i="53"/>
  <c r="AM461" i="53"/>
  <c r="AK461" i="53"/>
  <c r="AG461" i="53"/>
  <c r="AJ461" i="53"/>
  <c r="C461" i="53"/>
  <c r="B461" i="53"/>
  <c r="A461" i="53"/>
  <c r="AZ460" i="53"/>
  <c r="BA460" i="53"/>
  <c r="AX460" i="53"/>
  <c r="AY460" i="53"/>
  <c r="AV460" i="53"/>
  <c r="AW460" i="53"/>
  <c r="AZ456" i="53"/>
  <c r="AV456" i="53"/>
  <c r="AW456" i="53"/>
  <c r="AZ457" i="53"/>
  <c r="AV457" i="53"/>
  <c r="AW457" i="53"/>
  <c r="AW458" i="53"/>
  <c r="AZ459" i="53"/>
  <c r="AV459" i="53"/>
  <c r="AW459" i="53"/>
  <c r="AW455" i="53"/>
  <c r="AU460" i="53"/>
  <c r="AQ460" i="53"/>
  <c r="AO460" i="53"/>
  <c r="AM460" i="53"/>
  <c r="AK460" i="53"/>
  <c r="AG460" i="53"/>
  <c r="AJ460" i="53"/>
  <c r="C460" i="53"/>
  <c r="B460" i="53"/>
  <c r="A460" i="53"/>
  <c r="BA459" i="53"/>
  <c r="AX459" i="53"/>
  <c r="AY459" i="53"/>
  <c r="AU459" i="53"/>
  <c r="AQ459" i="53"/>
  <c r="AO459" i="53"/>
  <c r="AM459" i="53"/>
  <c r="AK459" i="53"/>
  <c r="AG459" i="53"/>
  <c r="AJ459" i="53"/>
  <c r="C459" i="53"/>
  <c r="B459" i="53"/>
  <c r="A459" i="53"/>
  <c r="AU458" i="53"/>
  <c r="AQ458" i="53"/>
  <c r="AN458" i="53"/>
  <c r="AZ458" i="53"/>
  <c r="AM458" i="53"/>
  <c r="AF458" i="53"/>
  <c r="C458" i="53"/>
  <c r="B458" i="53"/>
  <c r="A458" i="53"/>
  <c r="BA457" i="53"/>
  <c r="AX457" i="53"/>
  <c r="AY457" i="53"/>
  <c r="AU457" i="53"/>
  <c r="AQ457" i="53"/>
  <c r="AO457" i="53"/>
  <c r="AM457" i="53"/>
  <c r="AK457" i="53"/>
  <c r="AJ457" i="53"/>
  <c r="C457" i="53"/>
  <c r="B457" i="53"/>
  <c r="A457" i="53"/>
  <c r="BA456" i="53"/>
  <c r="AX456" i="53"/>
  <c r="AY456" i="53"/>
  <c r="AU456" i="53"/>
  <c r="AQ456" i="53"/>
  <c r="AO456" i="53"/>
  <c r="AM456" i="53"/>
  <c r="AK456" i="53"/>
  <c r="AG456" i="53"/>
  <c r="AJ456" i="53"/>
  <c r="AJ455" i="53"/>
  <c r="C456" i="53"/>
  <c r="B456" i="53"/>
  <c r="A456" i="53"/>
  <c r="AH455" i="53"/>
  <c r="AG455" i="53"/>
  <c r="AD455" i="53"/>
  <c r="AB455" i="53"/>
  <c r="AE455" i="53"/>
  <c r="AF455" i="53"/>
  <c r="AC455" i="53"/>
  <c r="C455" i="53"/>
  <c r="C464" i="53"/>
  <c r="B455" i="53"/>
  <c r="B464" i="53"/>
  <c r="A455" i="53"/>
  <c r="A464" i="53"/>
  <c r="AZ454" i="53"/>
  <c r="BA454" i="53"/>
  <c r="AX454" i="53"/>
  <c r="AY454" i="53"/>
  <c r="AV454" i="53"/>
  <c r="AW454" i="53"/>
  <c r="AU454" i="53"/>
  <c r="AS454" i="53"/>
  <c r="AQ454" i="53"/>
  <c r="AO454" i="53"/>
  <c r="AM454" i="53"/>
  <c r="AK454" i="53"/>
  <c r="AJ454" i="53"/>
  <c r="AF454" i="53"/>
  <c r="AZ453" i="53"/>
  <c r="BA453" i="53"/>
  <c r="AX453" i="53"/>
  <c r="AY453" i="53"/>
  <c r="AV453" i="53"/>
  <c r="AW453" i="53"/>
  <c r="AU453" i="53"/>
  <c r="AS453" i="53"/>
  <c r="AQ453" i="53"/>
  <c r="AO453" i="53"/>
  <c r="AM453" i="53"/>
  <c r="AK453" i="53"/>
  <c r="AJ453" i="53"/>
  <c r="AF453" i="53"/>
  <c r="B452" i="53"/>
  <c r="B453" i="53"/>
  <c r="B454" i="53"/>
  <c r="AZ452" i="53"/>
  <c r="BA452" i="53"/>
  <c r="AX452" i="53"/>
  <c r="AY452" i="53"/>
  <c r="AV452" i="53"/>
  <c r="AW452" i="53"/>
  <c r="AU452" i="53"/>
  <c r="AS452" i="53"/>
  <c r="AQ452" i="53"/>
  <c r="AO452" i="53"/>
  <c r="AM452" i="53"/>
  <c r="AK452" i="53"/>
  <c r="AJ452" i="53"/>
  <c r="AF452" i="53"/>
  <c r="C452" i="53"/>
  <c r="C453" i="53"/>
  <c r="C454" i="53"/>
  <c r="A452" i="53"/>
  <c r="A453" i="53"/>
  <c r="A454" i="53"/>
  <c r="AZ451" i="53"/>
  <c r="BA451" i="53"/>
  <c r="AX451" i="53"/>
  <c r="AY451" i="53"/>
  <c r="AV451" i="53"/>
  <c r="AW451" i="53"/>
  <c r="AU451" i="53"/>
  <c r="AS451" i="53"/>
  <c r="AQ451" i="53"/>
  <c r="AO451" i="53"/>
  <c r="AM451" i="53"/>
  <c r="AF451" i="53"/>
  <c r="C451" i="53"/>
  <c r="B451" i="53"/>
  <c r="A451" i="53"/>
  <c r="AZ450" i="53"/>
  <c r="BA450" i="53"/>
  <c r="AX450" i="53"/>
  <c r="AY450" i="53"/>
  <c r="AV450" i="53"/>
  <c r="AW450" i="53"/>
  <c r="AU450" i="53"/>
  <c r="AS450" i="53"/>
  <c r="AQ450" i="53"/>
  <c r="AO450" i="53"/>
  <c r="AM450" i="53"/>
  <c r="AK450" i="53"/>
  <c r="AJ450" i="53"/>
  <c r="AF450" i="53"/>
  <c r="AZ449" i="53"/>
  <c r="BA449" i="53"/>
  <c r="AX449" i="53"/>
  <c r="AY449" i="53"/>
  <c r="AV449" i="53"/>
  <c r="AW449" i="53"/>
  <c r="AU449" i="53"/>
  <c r="AS449" i="53"/>
  <c r="AQ449" i="53"/>
  <c r="AO449" i="53"/>
  <c r="AM449" i="53"/>
  <c r="AK449" i="53"/>
  <c r="AG449" i="53"/>
  <c r="AJ449" i="53"/>
  <c r="C449" i="53"/>
  <c r="B449" i="53"/>
  <c r="A449" i="53"/>
  <c r="AZ448" i="53"/>
  <c r="BA448" i="53"/>
  <c r="AX448" i="53"/>
  <c r="AY448" i="53"/>
  <c r="AV448" i="53"/>
  <c r="AW448" i="53"/>
  <c r="AZ446" i="53"/>
  <c r="AV446" i="53"/>
  <c r="AW446" i="53"/>
  <c r="AZ447" i="53"/>
  <c r="AV447" i="53"/>
  <c r="AW447" i="53"/>
  <c r="AW445" i="53"/>
  <c r="AU448" i="53"/>
  <c r="AS448" i="53"/>
  <c r="AQ448" i="53"/>
  <c r="AO448" i="53"/>
  <c r="AM448" i="53"/>
  <c r="AK448" i="53"/>
  <c r="AG448" i="53"/>
  <c r="AJ448" i="53"/>
  <c r="C448" i="53"/>
  <c r="B448" i="53"/>
  <c r="A448" i="53"/>
  <c r="BA447" i="53"/>
  <c r="AX447" i="53"/>
  <c r="AY447" i="53"/>
  <c r="AU447" i="53"/>
  <c r="AS447" i="53"/>
  <c r="AQ447" i="53"/>
  <c r="AO447" i="53"/>
  <c r="AM447" i="53"/>
  <c r="AK447" i="53"/>
  <c r="AJ447" i="53"/>
  <c r="C447" i="53"/>
  <c r="B447" i="53"/>
  <c r="A447" i="53"/>
  <c r="BA446" i="53"/>
  <c r="AX446" i="53"/>
  <c r="AY446" i="53"/>
  <c r="AU446" i="53"/>
  <c r="AU445" i="53"/>
  <c r="AS446" i="53"/>
  <c r="AQ446" i="53"/>
  <c r="AQ445" i="53"/>
  <c r="AO446" i="53"/>
  <c r="AM446" i="53"/>
  <c r="AM445" i="53"/>
  <c r="AK446" i="53"/>
  <c r="AG446" i="53"/>
  <c r="AJ446" i="53"/>
  <c r="AJ445" i="53"/>
  <c r="C446" i="53"/>
  <c r="B446" i="53"/>
  <c r="A446" i="53"/>
  <c r="AS445" i="53"/>
  <c r="AO445" i="53"/>
  <c r="AK445" i="53"/>
  <c r="AH445" i="53"/>
  <c r="AG445" i="53"/>
  <c r="AD445" i="53"/>
  <c r="AB445" i="53"/>
  <c r="AE445" i="53"/>
  <c r="AF445" i="53"/>
  <c r="AC445" i="53"/>
  <c r="C445" i="53"/>
  <c r="B445" i="53"/>
  <c r="A445" i="53"/>
  <c r="AZ444" i="53"/>
  <c r="BA444" i="53"/>
  <c r="AX444" i="53"/>
  <c r="AY444" i="53"/>
  <c r="AV444" i="53"/>
  <c r="AW444" i="53"/>
  <c r="AU444" i="53"/>
  <c r="AS444" i="53"/>
  <c r="AQ444" i="53"/>
  <c r="AO444" i="53"/>
  <c r="AM444" i="53"/>
  <c r="AK444" i="53"/>
  <c r="AJ444" i="53"/>
  <c r="AF444" i="53"/>
  <c r="Y444" i="53"/>
  <c r="X444" i="53"/>
  <c r="D444" i="53"/>
  <c r="C444" i="53"/>
  <c r="B444" i="53"/>
  <c r="A444" i="53"/>
  <c r="AZ443" i="53"/>
  <c r="BA443" i="53"/>
  <c r="AX443" i="53"/>
  <c r="AY443" i="53"/>
  <c r="AV443" i="53"/>
  <c r="AW443" i="53"/>
  <c r="AU443" i="53"/>
  <c r="AS443" i="53"/>
  <c r="AQ443" i="53"/>
  <c r="AO443" i="53"/>
  <c r="AM443" i="53"/>
  <c r="AK443" i="53"/>
  <c r="AJ443" i="53"/>
  <c r="AF443" i="53"/>
  <c r="Y443" i="53"/>
  <c r="X443" i="53"/>
  <c r="D443" i="53"/>
  <c r="C443" i="53"/>
  <c r="B443" i="53"/>
  <c r="A443" i="53"/>
  <c r="AZ442" i="53"/>
  <c r="BA442" i="53"/>
  <c r="AX442" i="53"/>
  <c r="AY442" i="53"/>
  <c r="AV442" i="53"/>
  <c r="AW442" i="53"/>
  <c r="AU442" i="53"/>
  <c r="AS442" i="53"/>
  <c r="AQ442" i="53"/>
  <c r="AO442" i="53"/>
  <c r="AM442" i="53"/>
  <c r="AK442" i="53"/>
  <c r="AJ442" i="53"/>
  <c r="AF442" i="53"/>
  <c r="Y442" i="53"/>
  <c r="X442" i="53"/>
  <c r="D442" i="53"/>
  <c r="C442" i="53"/>
  <c r="B442" i="53"/>
  <c r="A442" i="53"/>
  <c r="AZ441" i="53"/>
  <c r="BA441" i="53"/>
  <c r="AX441" i="53"/>
  <c r="AY441" i="53"/>
  <c r="AV441" i="53"/>
  <c r="AW441" i="53"/>
  <c r="AU441" i="53"/>
  <c r="AS441" i="53"/>
  <c r="AQ441" i="53"/>
  <c r="AO441" i="53"/>
  <c r="AM441" i="53"/>
  <c r="AK441" i="53"/>
  <c r="AJ441" i="53"/>
  <c r="AF441" i="53"/>
  <c r="Y441" i="53"/>
  <c r="X441" i="53"/>
  <c r="D441" i="53"/>
  <c r="C441" i="53"/>
  <c r="B441" i="53"/>
  <c r="A441" i="53"/>
  <c r="AZ440" i="53"/>
  <c r="BA440" i="53"/>
  <c r="AX440" i="53"/>
  <c r="AY440" i="53"/>
  <c r="AV440" i="53"/>
  <c r="AW440" i="53"/>
  <c r="AU440" i="53"/>
  <c r="AS440" i="53"/>
  <c r="AQ440" i="53"/>
  <c r="AO440" i="53"/>
  <c r="AM440" i="53"/>
  <c r="AK440" i="53"/>
  <c r="AG440" i="53"/>
  <c r="AJ440" i="53"/>
  <c r="AD440" i="53"/>
  <c r="AE440" i="53"/>
  <c r="AF440" i="53"/>
  <c r="Y440" i="53"/>
  <c r="X440" i="53"/>
  <c r="D440" i="53"/>
  <c r="C440" i="53"/>
  <c r="B440" i="53"/>
  <c r="A440" i="53"/>
  <c r="AZ439" i="53"/>
  <c r="BA439" i="53"/>
  <c r="AX439" i="53"/>
  <c r="AY439" i="53"/>
  <c r="AV439" i="53"/>
  <c r="AW439" i="53"/>
  <c r="AU439" i="53"/>
  <c r="AS439" i="53"/>
  <c r="AQ439" i="53"/>
  <c r="AO439" i="53"/>
  <c r="AM439" i="53"/>
  <c r="AK439" i="53"/>
  <c r="AG439" i="53"/>
  <c r="AJ439" i="53"/>
  <c r="AD439" i="53"/>
  <c r="AE439" i="53"/>
  <c r="AF439" i="53"/>
  <c r="Y439" i="53"/>
  <c r="X439" i="53"/>
  <c r="D439" i="53"/>
  <c r="C439" i="53"/>
  <c r="B439" i="53"/>
  <c r="A439" i="53"/>
  <c r="AZ438" i="53"/>
  <c r="BA438" i="53"/>
  <c r="AX438" i="53"/>
  <c r="AY438" i="53"/>
  <c r="AV438" i="53"/>
  <c r="AW438" i="53"/>
  <c r="AU438" i="53"/>
  <c r="AS438" i="53"/>
  <c r="AQ438" i="53"/>
  <c r="AO438" i="53"/>
  <c r="AM438" i="53"/>
  <c r="AK438" i="53"/>
  <c r="AG438" i="53"/>
  <c r="AJ438" i="53"/>
  <c r="AD438" i="53"/>
  <c r="AE438" i="53"/>
  <c r="AF438" i="53"/>
  <c r="Y438" i="53"/>
  <c r="X438" i="53"/>
  <c r="D438" i="53"/>
  <c r="C438" i="53"/>
  <c r="B438" i="53"/>
  <c r="A438" i="53"/>
  <c r="AZ437" i="53"/>
  <c r="BA437" i="53"/>
  <c r="AX437" i="53"/>
  <c r="AY437" i="53"/>
  <c r="AV437" i="53"/>
  <c r="AW437" i="53"/>
  <c r="AU437" i="53"/>
  <c r="AS437" i="53"/>
  <c r="AQ437" i="53"/>
  <c r="AO437" i="53"/>
  <c r="AM437" i="53"/>
  <c r="AK437" i="53"/>
  <c r="AJ437" i="53"/>
  <c r="AF437" i="53"/>
  <c r="Y437" i="53"/>
  <c r="X437" i="53"/>
  <c r="D437" i="53"/>
  <c r="C437" i="53"/>
  <c r="B437" i="53"/>
  <c r="A437" i="53"/>
  <c r="AZ436" i="53"/>
  <c r="BA436" i="53"/>
  <c r="AX436" i="53"/>
  <c r="AY436" i="53"/>
  <c r="AV436" i="53"/>
  <c r="AW436" i="53"/>
  <c r="AU436" i="53"/>
  <c r="AS436" i="53"/>
  <c r="AS435" i="53"/>
  <c r="AQ436" i="53"/>
  <c r="AO436" i="53"/>
  <c r="AO435" i="53"/>
  <c r="AM436" i="53"/>
  <c r="AK436" i="53"/>
  <c r="AK435" i="53"/>
  <c r="AG436" i="53"/>
  <c r="AJ436" i="53"/>
  <c r="AJ435" i="53"/>
  <c r="AD436" i="53"/>
  <c r="AE436" i="53"/>
  <c r="AF436" i="53"/>
  <c r="Y436" i="53"/>
  <c r="X436" i="53"/>
  <c r="D436" i="53"/>
  <c r="C436" i="53"/>
  <c r="B436" i="53"/>
  <c r="A436" i="53"/>
  <c r="AU435" i="53"/>
  <c r="AQ435" i="53"/>
  <c r="AM435" i="53"/>
  <c r="AH435" i="53"/>
  <c r="AG435" i="53"/>
  <c r="AC435" i="53"/>
  <c r="AB435" i="53"/>
  <c r="C435" i="53"/>
  <c r="B435" i="53"/>
  <c r="A435" i="53"/>
  <c r="AZ434" i="53"/>
  <c r="BA434" i="53"/>
  <c r="AX434" i="53"/>
  <c r="AY434" i="53"/>
  <c r="AV434" i="53"/>
  <c r="AW434" i="53"/>
  <c r="AU434" i="53"/>
  <c r="AS434" i="53"/>
  <c r="AQ434" i="53"/>
  <c r="AO434" i="53"/>
  <c r="AM434" i="53"/>
  <c r="AK434" i="53"/>
  <c r="AJ434" i="53"/>
  <c r="AF434" i="53"/>
  <c r="B434" i="53"/>
  <c r="AZ433" i="53"/>
  <c r="BA433" i="53"/>
  <c r="AX433" i="53"/>
  <c r="AY433" i="53"/>
  <c r="AV433" i="53"/>
  <c r="AW433" i="53"/>
  <c r="AU433" i="53"/>
  <c r="AS433" i="53"/>
  <c r="AQ433" i="53"/>
  <c r="AO433" i="53"/>
  <c r="AM433" i="53"/>
  <c r="AK433" i="53"/>
  <c r="AJ433" i="53"/>
  <c r="AF433" i="53"/>
  <c r="C433" i="53"/>
  <c r="C434" i="53"/>
  <c r="A433" i="53"/>
  <c r="A434" i="53"/>
  <c r="AZ432" i="53"/>
  <c r="BA432" i="53"/>
  <c r="AX432" i="53"/>
  <c r="AY432" i="53"/>
  <c r="AV432" i="53"/>
  <c r="AW432" i="53"/>
  <c r="AU432" i="53"/>
  <c r="AS432" i="53"/>
  <c r="AQ432" i="53"/>
  <c r="AO432" i="53"/>
  <c r="AM432" i="53"/>
  <c r="AK432" i="53"/>
  <c r="AJ432" i="53"/>
  <c r="AF432" i="53"/>
  <c r="C432" i="53"/>
  <c r="A432" i="53"/>
  <c r="AZ431" i="53"/>
  <c r="BA431" i="53"/>
  <c r="AX431" i="53"/>
  <c r="AY431" i="53"/>
  <c r="AV431" i="53"/>
  <c r="AW431" i="53"/>
  <c r="AU431" i="53"/>
  <c r="AU423" i="53"/>
  <c r="AU424" i="53"/>
  <c r="AU425" i="53"/>
  <c r="AU426" i="53"/>
  <c r="AU427" i="53"/>
  <c r="AU428" i="53"/>
  <c r="AU429" i="53"/>
  <c r="AU430" i="53"/>
  <c r="AU422" i="53"/>
  <c r="AS431" i="53"/>
  <c r="AQ431" i="53"/>
  <c r="AQ423" i="53"/>
  <c r="AQ424" i="53"/>
  <c r="AQ425" i="53"/>
  <c r="AQ426" i="53"/>
  <c r="AQ427" i="53"/>
  <c r="AQ428" i="53"/>
  <c r="AQ429" i="53"/>
  <c r="AQ430" i="53"/>
  <c r="AQ422" i="53"/>
  <c r="AO431" i="53"/>
  <c r="AM431" i="53"/>
  <c r="AM423" i="53"/>
  <c r="AM424" i="53"/>
  <c r="AM425" i="53"/>
  <c r="AM426" i="53"/>
  <c r="AM427" i="53"/>
  <c r="AM428" i="53"/>
  <c r="AM429" i="53"/>
  <c r="AM430" i="53"/>
  <c r="AM422" i="53"/>
  <c r="AF431" i="53"/>
  <c r="C431" i="53"/>
  <c r="B431" i="53"/>
  <c r="A431" i="53"/>
  <c r="AZ430" i="53"/>
  <c r="BA430" i="53"/>
  <c r="AX430" i="53"/>
  <c r="AY430" i="53"/>
  <c r="AV430" i="53"/>
  <c r="AW430" i="53"/>
  <c r="AS430" i="53"/>
  <c r="AO430" i="53"/>
  <c r="AK430" i="53"/>
  <c r="AJ430" i="53"/>
  <c r="AF430" i="53"/>
  <c r="C430" i="53"/>
  <c r="A430" i="53"/>
  <c r="AZ429" i="53"/>
  <c r="BA429" i="53"/>
  <c r="AX429" i="53"/>
  <c r="AY429" i="53"/>
  <c r="AV429" i="53"/>
  <c r="AW429" i="53"/>
  <c r="AS429" i="53"/>
  <c r="AO429" i="53"/>
  <c r="AK429" i="53"/>
  <c r="AJ429" i="53"/>
  <c r="AF429" i="53"/>
  <c r="AZ428" i="53"/>
  <c r="BA428" i="53"/>
  <c r="AX428" i="53"/>
  <c r="AY428" i="53"/>
  <c r="AV428" i="53"/>
  <c r="AW428" i="53"/>
  <c r="AS428" i="53"/>
  <c r="AO428" i="53"/>
  <c r="AK428" i="53"/>
  <c r="AG428" i="53"/>
  <c r="AJ428" i="53"/>
  <c r="C428" i="53"/>
  <c r="A428" i="53"/>
  <c r="AZ427" i="53"/>
  <c r="BA427" i="53"/>
  <c r="AX427" i="53"/>
  <c r="AY427" i="53"/>
  <c r="AV427" i="53"/>
  <c r="AW427" i="53"/>
  <c r="AS427" i="53"/>
  <c r="AO427" i="53"/>
  <c r="AK427" i="53"/>
  <c r="AG427" i="53"/>
  <c r="AJ427" i="53"/>
  <c r="C427" i="53"/>
  <c r="A427" i="53"/>
  <c r="AZ426" i="53"/>
  <c r="BA426" i="53"/>
  <c r="AX426" i="53"/>
  <c r="AY426" i="53"/>
  <c r="AV426" i="53"/>
  <c r="AW426" i="53"/>
  <c r="AS426" i="53"/>
  <c r="AO426" i="53"/>
  <c r="AK426" i="53"/>
  <c r="AG426" i="53"/>
  <c r="AJ426" i="53"/>
  <c r="C426" i="53"/>
  <c r="A426" i="53"/>
  <c r="AZ425" i="53"/>
  <c r="BA425" i="53"/>
  <c r="AX425" i="53"/>
  <c r="AY425" i="53"/>
  <c r="AV425" i="53"/>
  <c r="AW425" i="53"/>
  <c r="AS425" i="53"/>
  <c r="AO425" i="53"/>
  <c r="AK425" i="53"/>
  <c r="AG425" i="53"/>
  <c r="AJ425" i="53"/>
  <c r="C425" i="53"/>
  <c r="A425" i="53"/>
  <c r="AZ424" i="53"/>
  <c r="BA424" i="53"/>
  <c r="AX424" i="53"/>
  <c r="AY424" i="53"/>
  <c r="AV424" i="53"/>
  <c r="AW424" i="53"/>
  <c r="AS424" i="53"/>
  <c r="AO424" i="53"/>
  <c r="AK424" i="53"/>
  <c r="AG424" i="53"/>
  <c r="AJ424" i="53"/>
  <c r="C424" i="53"/>
  <c r="A424" i="53"/>
  <c r="AZ423" i="53"/>
  <c r="BA423" i="53"/>
  <c r="AX423" i="53"/>
  <c r="AY423" i="53"/>
  <c r="AV423" i="53"/>
  <c r="AW423" i="53"/>
  <c r="AW422" i="53"/>
  <c r="AS423" i="53"/>
  <c r="AO423" i="53"/>
  <c r="AK423" i="53"/>
  <c r="AG423" i="53"/>
  <c r="AJ423" i="53"/>
  <c r="AJ422" i="53"/>
  <c r="C423" i="53"/>
  <c r="A423" i="53"/>
  <c r="AS422" i="53"/>
  <c r="AO422" i="53"/>
  <c r="AK422" i="53"/>
  <c r="AH422" i="53"/>
  <c r="AG422" i="53"/>
  <c r="AD422" i="53"/>
  <c r="AB422" i="53"/>
  <c r="AE422" i="53"/>
  <c r="AF422" i="53"/>
  <c r="AC422" i="53"/>
  <c r="C422" i="53"/>
  <c r="A422" i="53"/>
  <c r="AZ421" i="53"/>
  <c r="BA421" i="53"/>
  <c r="AX421" i="53"/>
  <c r="AY421" i="53"/>
  <c r="AV421" i="53"/>
  <c r="AW421" i="53"/>
  <c r="AU421" i="53"/>
  <c r="AS421" i="53"/>
  <c r="AQ421" i="53"/>
  <c r="AO421" i="53"/>
  <c r="AM421" i="53"/>
  <c r="AK421" i="53"/>
  <c r="AE421" i="53"/>
  <c r="AF421" i="53"/>
  <c r="Y421" i="53"/>
  <c r="X421" i="53"/>
  <c r="D421" i="53"/>
  <c r="C421" i="53"/>
  <c r="B421" i="53"/>
  <c r="A421" i="53"/>
  <c r="AZ420" i="53"/>
  <c r="BA420" i="53"/>
  <c r="AX420" i="53"/>
  <c r="AY420" i="53"/>
  <c r="AV420" i="53"/>
  <c r="AW420" i="53"/>
  <c r="AU420" i="53"/>
  <c r="AS420" i="53"/>
  <c r="AQ420" i="53"/>
  <c r="AO420" i="53"/>
  <c r="AM420" i="53"/>
  <c r="AK420" i="53"/>
  <c r="AE420" i="53"/>
  <c r="AF420" i="53"/>
  <c r="Y420" i="53"/>
  <c r="X420" i="53"/>
  <c r="D420" i="53"/>
  <c r="C420" i="53"/>
  <c r="B420" i="53"/>
  <c r="A420" i="53"/>
  <c r="AZ419" i="53"/>
  <c r="BA419" i="53"/>
  <c r="AX419" i="53"/>
  <c r="AY419" i="53"/>
  <c r="AV419" i="53"/>
  <c r="AW419" i="53"/>
  <c r="AU419" i="53"/>
  <c r="AS419" i="53"/>
  <c r="AQ419" i="53"/>
  <c r="AO419" i="53"/>
  <c r="AM419" i="53"/>
  <c r="AK419" i="53"/>
  <c r="AE419" i="53"/>
  <c r="AF419" i="53"/>
  <c r="Y419" i="53"/>
  <c r="X419" i="53"/>
  <c r="D419" i="53"/>
  <c r="C419" i="53"/>
  <c r="B419" i="53"/>
  <c r="A419" i="53"/>
  <c r="AZ418" i="53"/>
  <c r="BA418" i="53"/>
  <c r="AX418" i="53"/>
  <c r="AY418" i="53"/>
  <c r="AV418" i="53"/>
  <c r="AW418" i="53"/>
  <c r="AU418" i="53"/>
  <c r="AS418" i="53"/>
  <c r="AQ418" i="53"/>
  <c r="AO418" i="53"/>
  <c r="AM418" i="53"/>
  <c r="AK418" i="53"/>
  <c r="AE418" i="53"/>
  <c r="AF418" i="53"/>
  <c r="Y418" i="53"/>
  <c r="X418" i="53"/>
  <c r="D418" i="53"/>
  <c r="C418" i="53"/>
  <c r="B418" i="53"/>
  <c r="A418" i="53"/>
  <c r="AZ417" i="53"/>
  <c r="BA417" i="53"/>
  <c r="AX417" i="53"/>
  <c r="AY417" i="53"/>
  <c r="AV417" i="53"/>
  <c r="AW417" i="53"/>
  <c r="AU417" i="53"/>
  <c r="AS417" i="53"/>
  <c r="AQ417" i="53"/>
  <c r="AO417" i="53"/>
  <c r="AM417" i="53"/>
  <c r="AK417" i="53"/>
  <c r="AE417" i="53"/>
  <c r="AF417" i="53"/>
  <c r="Y417" i="53"/>
  <c r="X417" i="53"/>
  <c r="D417" i="53"/>
  <c r="C417" i="53"/>
  <c r="B417" i="53"/>
  <c r="A417" i="53"/>
  <c r="AZ416" i="53"/>
  <c r="AH416" i="53"/>
  <c r="BA416" i="53"/>
  <c r="AX416" i="53"/>
  <c r="AY416" i="53"/>
  <c r="AV416" i="53"/>
  <c r="AW416" i="53"/>
  <c r="AJ416" i="53"/>
  <c r="AS416" i="53"/>
  <c r="AE416" i="53"/>
  <c r="AF416" i="53"/>
  <c r="Y416" i="53"/>
  <c r="X416" i="53"/>
  <c r="D416" i="53"/>
  <c r="C416" i="53"/>
  <c r="B416" i="53"/>
  <c r="A416" i="53"/>
  <c r="AZ415" i="53"/>
  <c r="AH415" i="53"/>
  <c r="BA415" i="53"/>
  <c r="AX415" i="53"/>
  <c r="AY415" i="53"/>
  <c r="AV415" i="53"/>
  <c r="AW415" i="53"/>
  <c r="AJ415" i="53"/>
  <c r="AS415" i="53"/>
  <c r="AE415" i="53"/>
  <c r="AF415" i="53"/>
  <c r="Y415" i="53"/>
  <c r="X415" i="53"/>
  <c r="D415" i="53"/>
  <c r="C415" i="53"/>
  <c r="B415" i="53"/>
  <c r="A415" i="53"/>
  <c r="AZ414" i="53"/>
  <c r="AH414" i="53"/>
  <c r="BA414" i="53"/>
  <c r="AX414" i="53"/>
  <c r="AY414" i="53"/>
  <c r="AV414" i="53"/>
  <c r="AW414" i="53"/>
  <c r="AJ414" i="53"/>
  <c r="AS414" i="53"/>
  <c r="AE414" i="53"/>
  <c r="AF414" i="53"/>
  <c r="Y414" i="53"/>
  <c r="X414" i="53"/>
  <c r="D414" i="53"/>
  <c r="C414" i="53"/>
  <c r="B414" i="53"/>
  <c r="A414" i="53"/>
  <c r="AZ413" i="53"/>
  <c r="BA413" i="53"/>
  <c r="AX413" i="53"/>
  <c r="AY413" i="53"/>
  <c r="AV413" i="53"/>
  <c r="AW413" i="53"/>
  <c r="AU413" i="53"/>
  <c r="AS413" i="53"/>
  <c r="AQ413" i="53"/>
  <c r="AO413" i="53"/>
  <c r="AM413" i="53"/>
  <c r="AK413" i="53"/>
  <c r="AG413" i="53"/>
  <c r="AJ413" i="53"/>
  <c r="AD413" i="53"/>
  <c r="AE413" i="53"/>
  <c r="AF413" i="53"/>
  <c r="Y413" i="53"/>
  <c r="X413" i="53"/>
  <c r="D413" i="53"/>
  <c r="C413" i="53"/>
  <c r="B413" i="53"/>
  <c r="A413" i="53"/>
  <c r="AZ412" i="53"/>
  <c r="BA412" i="53"/>
  <c r="AX412" i="53"/>
  <c r="AY412" i="53"/>
  <c r="AV412" i="53"/>
  <c r="AW412" i="53"/>
  <c r="AU412" i="53"/>
  <c r="AS412" i="53"/>
  <c r="AQ412" i="53"/>
  <c r="AO412" i="53"/>
  <c r="AM412" i="53"/>
  <c r="AK412" i="53"/>
  <c r="AG412" i="53"/>
  <c r="AJ412" i="53"/>
  <c r="AD412" i="53"/>
  <c r="AE412" i="53"/>
  <c r="AF412" i="53"/>
  <c r="Y412" i="53"/>
  <c r="X412" i="53"/>
  <c r="D412" i="53"/>
  <c r="C412" i="53"/>
  <c r="B412" i="53"/>
  <c r="A412" i="53"/>
  <c r="AZ411" i="53"/>
  <c r="BA411" i="53"/>
  <c r="AX411" i="53"/>
  <c r="AY411" i="53"/>
  <c r="AV411" i="53"/>
  <c r="AW411" i="53"/>
  <c r="AU411" i="53"/>
  <c r="AS411" i="53"/>
  <c r="AQ411" i="53"/>
  <c r="AO411" i="53"/>
  <c r="AM411" i="53"/>
  <c r="AK411" i="53"/>
  <c r="AG411" i="53"/>
  <c r="AJ411" i="53"/>
  <c r="AE411" i="53"/>
  <c r="AF411" i="53"/>
  <c r="Y411" i="53"/>
  <c r="X411" i="53"/>
  <c r="D411" i="53"/>
  <c r="C411" i="53"/>
  <c r="B411" i="53"/>
  <c r="A411" i="53"/>
  <c r="AZ410" i="53"/>
  <c r="AH410" i="53"/>
  <c r="BA410" i="53"/>
  <c r="AX410" i="53"/>
  <c r="AY410" i="53"/>
  <c r="AV410" i="53"/>
  <c r="AW410" i="53"/>
  <c r="AJ410" i="53"/>
  <c r="AS410" i="53"/>
  <c r="Y410" i="53"/>
  <c r="X410" i="53"/>
  <c r="D410" i="53"/>
  <c r="C410" i="53"/>
  <c r="B410" i="53"/>
  <c r="A410" i="53"/>
  <c r="AZ409" i="53"/>
  <c r="AH409" i="53"/>
  <c r="BA409" i="53"/>
  <c r="AX409" i="53"/>
  <c r="AY409" i="53"/>
  <c r="AV409" i="53"/>
  <c r="AW409" i="53"/>
  <c r="AU409" i="53"/>
  <c r="AQ409" i="53"/>
  <c r="AM409" i="53"/>
  <c r="AJ409" i="53"/>
  <c r="AS409" i="53"/>
  <c r="AD409" i="53"/>
  <c r="AE409" i="53"/>
  <c r="AF409" i="53"/>
  <c r="Y409" i="53"/>
  <c r="X409" i="53"/>
  <c r="D409" i="53"/>
  <c r="C409" i="53"/>
  <c r="B409" i="53"/>
  <c r="A409" i="53"/>
  <c r="AZ408" i="53"/>
  <c r="AH408" i="53"/>
  <c r="BA408" i="53"/>
  <c r="AX408" i="53"/>
  <c r="AY408" i="53"/>
  <c r="AV408" i="53"/>
  <c r="AW408" i="53"/>
  <c r="AZ406" i="53"/>
  <c r="AV406" i="53"/>
  <c r="AH406" i="53"/>
  <c r="AW406" i="53"/>
  <c r="AZ407" i="53"/>
  <c r="AV407" i="53"/>
  <c r="AW407" i="53"/>
  <c r="AW405" i="53"/>
  <c r="AJ408" i="53"/>
  <c r="AS408" i="53"/>
  <c r="Y408" i="53"/>
  <c r="X408" i="53"/>
  <c r="D408" i="53"/>
  <c r="C408" i="53"/>
  <c r="B408" i="53"/>
  <c r="A408" i="53"/>
  <c r="BA407" i="53"/>
  <c r="AX407" i="53"/>
  <c r="AY407" i="53"/>
  <c r="AU407" i="53"/>
  <c r="AS407" i="53"/>
  <c r="AQ407" i="53"/>
  <c r="AO407" i="53"/>
  <c r="AM407" i="53"/>
  <c r="AK407" i="53"/>
  <c r="AE407" i="53"/>
  <c r="AF407" i="53"/>
  <c r="Y407" i="53"/>
  <c r="X407" i="53"/>
  <c r="D407" i="53"/>
  <c r="C407" i="53"/>
  <c r="B407" i="53"/>
  <c r="A407" i="53"/>
  <c r="BA406" i="53"/>
  <c r="AX406" i="53"/>
  <c r="AY406" i="53"/>
  <c r="AU406" i="53"/>
  <c r="AQ406" i="53"/>
  <c r="AM406" i="53"/>
  <c r="AJ406" i="53"/>
  <c r="AJ405" i="53"/>
  <c r="AS406" i="53"/>
  <c r="AD406" i="53"/>
  <c r="AE406" i="53"/>
  <c r="AF406" i="53"/>
  <c r="Y406" i="53"/>
  <c r="X406" i="53"/>
  <c r="D406" i="53"/>
  <c r="C406" i="53"/>
  <c r="B406" i="53"/>
  <c r="A406" i="53"/>
  <c r="AH405" i="53"/>
  <c r="AC405" i="53"/>
  <c r="AB405" i="53"/>
  <c r="C405" i="53"/>
  <c r="B405" i="53"/>
  <c r="A405" i="53"/>
  <c r="AZ404" i="53"/>
  <c r="BA404" i="53"/>
  <c r="AX404" i="53"/>
  <c r="AY404" i="53"/>
  <c r="AV404" i="53"/>
  <c r="AW404" i="53"/>
  <c r="AU404" i="53"/>
  <c r="AS404" i="53"/>
  <c r="AQ404" i="53"/>
  <c r="AO404" i="53"/>
  <c r="AM404" i="53"/>
  <c r="AK404" i="53"/>
  <c r="AE404" i="53"/>
  <c r="AF404" i="53"/>
  <c r="Y404" i="53"/>
  <c r="X404" i="53"/>
  <c r="D404" i="53"/>
  <c r="C404" i="53"/>
  <c r="B404" i="53"/>
  <c r="A404" i="53"/>
  <c r="AZ403" i="53"/>
  <c r="BA403" i="53"/>
  <c r="AX403" i="53"/>
  <c r="AY403" i="53"/>
  <c r="AV403" i="53"/>
  <c r="AW403" i="53"/>
  <c r="AU403" i="53"/>
  <c r="AS403" i="53"/>
  <c r="AQ403" i="53"/>
  <c r="AO403" i="53"/>
  <c r="AM403" i="53"/>
  <c r="AK403" i="53"/>
  <c r="AE403" i="53"/>
  <c r="AF403" i="53"/>
  <c r="Y403" i="53"/>
  <c r="X403" i="53"/>
  <c r="D403" i="53"/>
  <c r="C403" i="53"/>
  <c r="B403" i="53"/>
  <c r="A403" i="53"/>
  <c r="AZ402" i="53"/>
  <c r="BA402" i="53"/>
  <c r="AX402" i="53"/>
  <c r="AY402" i="53"/>
  <c r="AV402" i="53"/>
  <c r="AW402" i="53"/>
  <c r="AU402" i="53"/>
  <c r="AS402" i="53"/>
  <c r="AQ402" i="53"/>
  <c r="AO402" i="53"/>
  <c r="AM402" i="53"/>
  <c r="AK402" i="53"/>
  <c r="AE402" i="53"/>
  <c r="AF402" i="53"/>
  <c r="Y402" i="53"/>
  <c r="X402" i="53"/>
  <c r="D402" i="53"/>
  <c r="C402" i="53"/>
  <c r="B402" i="53"/>
  <c r="A402" i="53"/>
  <c r="AZ401" i="53"/>
  <c r="BA401" i="53"/>
  <c r="AX401" i="53"/>
  <c r="AY401" i="53"/>
  <c r="AV401" i="53"/>
  <c r="AW401" i="53"/>
  <c r="AU401" i="53"/>
  <c r="AS401" i="53"/>
  <c r="AQ401" i="53"/>
  <c r="AO401" i="53"/>
  <c r="AM401" i="53"/>
  <c r="AK401" i="53"/>
  <c r="AE401" i="53"/>
  <c r="AF401" i="53"/>
  <c r="Y401" i="53"/>
  <c r="X401" i="53"/>
  <c r="D401" i="53"/>
  <c r="C401" i="53"/>
  <c r="B401" i="53"/>
  <c r="A401" i="53"/>
  <c r="AZ400" i="53"/>
  <c r="BA400" i="53"/>
  <c r="AX400" i="53"/>
  <c r="AY400" i="53"/>
  <c r="AV400" i="53"/>
  <c r="AW400" i="53"/>
  <c r="AU400" i="53"/>
  <c r="AS400" i="53"/>
  <c r="AQ400" i="53"/>
  <c r="AO400" i="53"/>
  <c r="AM400" i="53"/>
  <c r="AK400" i="53"/>
  <c r="AG400" i="53"/>
  <c r="AJ400" i="53"/>
  <c r="AD400" i="53"/>
  <c r="AE400" i="53"/>
  <c r="AF400" i="53"/>
  <c r="Y400" i="53"/>
  <c r="X400" i="53"/>
  <c r="D400" i="53"/>
  <c r="C400" i="53"/>
  <c r="B400" i="53"/>
  <c r="A400" i="53"/>
  <c r="AZ399" i="53"/>
  <c r="BA399" i="53"/>
  <c r="AX399" i="53"/>
  <c r="AY399" i="53"/>
  <c r="AV399" i="53"/>
  <c r="AW399" i="53"/>
  <c r="AU399" i="53"/>
  <c r="AS399" i="53"/>
  <c r="AQ399" i="53"/>
  <c r="AO399" i="53"/>
  <c r="AM399" i="53"/>
  <c r="AK399" i="53"/>
  <c r="AG399" i="53"/>
  <c r="AJ399" i="53"/>
  <c r="AJ393" i="53"/>
  <c r="AJ395" i="53"/>
  <c r="AJ396" i="53"/>
  <c r="AJ397" i="53"/>
  <c r="AG398" i="53"/>
  <c r="AJ398" i="53"/>
  <c r="AJ392" i="53"/>
  <c r="AD399" i="53"/>
  <c r="AE399" i="53"/>
  <c r="AF399" i="53"/>
  <c r="Y399" i="53"/>
  <c r="X399" i="53"/>
  <c r="D399" i="53"/>
  <c r="C399" i="53"/>
  <c r="B399" i="53"/>
  <c r="A399" i="53"/>
  <c r="AZ398" i="53"/>
  <c r="BA398" i="53"/>
  <c r="AX398" i="53"/>
  <c r="AY398" i="53"/>
  <c r="AV398" i="53"/>
  <c r="AW398" i="53"/>
  <c r="AU398" i="53"/>
  <c r="AS398" i="53"/>
  <c r="AQ398" i="53"/>
  <c r="AO398" i="53"/>
  <c r="AM398" i="53"/>
  <c r="AK398" i="53"/>
  <c r="AE398" i="53"/>
  <c r="AF398" i="53"/>
  <c r="Y398" i="53"/>
  <c r="X398" i="53"/>
  <c r="D398" i="53"/>
  <c r="C398" i="53"/>
  <c r="B398" i="53"/>
  <c r="A398" i="53"/>
  <c r="AZ397" i="53"/>
  <c r="AH397" i="53"/>
  <c r="BA397" i="53"/>
  <c r="AX397" i="53"/>
  <c r="AY397" i="53"/>
  <c r="AV397" i="53"/>
  <c r="AW397" i="53"/>
  <c r="AU397" i="53"/>
  <c r="AQ397" i="53"/>
  <c r="AM397" i="53"/>
  <c r="AS397" i="53"/>
  <c r="AD397" i="53"/>
  <c r="AE397" i="53"/>
  <c r="AF397" i="53"/>
  <c r="Y397" i="53"/>
  <c r="X397" i="53"/>
  <c r="D397" i="53"/>
  <c r="C397" i="53"/>
  <c r="B397" i="53"/>
  <c r="A397" i="53"/>
  <c r="AZ396" i="53"/>
  <c r="AH396" i="53"/>
  <c r="BA396" i="53"/>
  <c r="AX396" i="53"/>
  <c r="AY396" i="53"/>
  <c r="AV396" i="53"/>
  <c r="AW396" i="53"/>
  <c r="AS396" i="53"/>
  <c r="Y396" i="53"/>
  <c r="X396" i="53"/>
  <c r="D396" i="53"/>
  <c r="C396" i="53"/>
  <c r="B396" i="53"/>
  <c r="A396" i="53"/>
  <c r="AZ395" i="53"/>
  <c r="AH395" i="53"/>
  <c r="BA395" i="53"/>
  <c r="AX395" i="53"/>
  <c r="AY395" i="53"/>
  <c r="AV395" i="53"/>
  <c r="AW395" i="53"/>
  <c r="AU395" i="53"/>
  <c r="AQ395" i="53"/>
  <c r="AM395" i="53"/>
  <c r="AS395" i="53"/>
  <c r="AD395" i="53"/>
  <c r="AE395" i="53"/>
  <c r="AF395" i="53"/>
  <c r="Y395" i="53"/>
  <c r="X395" i="53"/>
  <c r="D395" i="53"/>
  <c r="C395" i="53"/>
  <c r="B395" i="53"/>
  <c r="A395" i="53"/>
  <c r="AZ394" i="53"/>
  <c r="BA394" i="53"/>
  <c r="AX394" i="53"/>
  <c r="AY394" i="53"/>
  <c r="AV394" i="53"/>
  <c r="AW394" i="53"/>
  <c r="AU394" i="53"/>
  <c r="AS394" i="53"/>
  <c r="AQ394" i="53"/>
  <c r="AO394" i="53"/>
  <c r="AM394" i="53"/>
  <c r="AK394" i="53"/>
  <c r="AE394" i="53"/>
  <c r="AF394" i="53"/>
  <c r="Y394" i="53"/>
  <c r="X394" i="53"/>
  <c r="D394" i="53"/>
  <c r="C394" i="53"/>
  <c r="B394" i="53"/>
  <c r="A394" i="53"/>
  <c r="AZ393" i="53"/>
  <c r="AH393" i="53"/>
  <c r="BA393" i="53"/>
  <c r="AX393" i="53"/>
  <c r="AY393" i="53"/>
  <c r="AV393" i="53"/>
  <c r="AW393" i="53"/>
  <c r="AS393" i="53"/>
  <c r="Y393" i="53"/>
  <c r="X393" i="53"/>
  <c r="D393" i="53"/>
  <c r="C393" i="53"/>
  <c r="B393" i="53"/>
  <c r="A393" i="53"/>
  <c r="AG392" i="53"/>
  <c r="AC392" i="53"/>
  <c r="AB392" i="53"/>
  <c r="C392" i="53"/>
  <c r="B392" i="53"/>
  <c r="A392" i="53"/>
  <c r="AZ391" i="53"/>
  <c r="BA391" i="53"/>
  <c r="AX391" i="53"/>
  <c r="AY391" i="53"/>
  <c r="AV391" i="53"/>
  <c r="AW391" i="53"/>
  <c r="AU391" i="53"/>
  <c r="AS391" i="53"/>
  <c r="AQ391" i="53"/>
  <c r="AO391" i="53"/>
  <c r="AM391" i="53"/>
  <c r="AK391" i="53"/>
  <c r="AJ391" i="53"/>
  <c r="AF391" i="53"/>
  <c r="B390" i="53"/>
  <c r="B391" i="53"/>
  <c r="AZ390" i="53"/>
  <c r="BA390" i="53"/>
  <c r="AX390" i="53"/>
  <c r="AY390" i="53"/>
  <c r="AV390" i="53"/>
  <c r="AW390" i="53"/>
  <c r="AU390" i="53"/>
  <c r="AS390" i="53"/>
  <c r="AQ390" i="53"/>
  <c r="AO390" i="53"/>
  <c r="AM390" i="53"/>
  <c r="AK390" i="53"/>
  <c r="AJ390" i="53"/>
  <c r="AF390" i="53"/>
  <c r="C390" i="53"/>
  <c r="C391" i="53"/>
  <c r="A390" i="53"/>
  <c r="A391" i="53"/>
  <c r="AZ389" i="53"/>
  <c r="BA389" i="53"/>
  <c r="AX389" i="53"/>
  <c r="AY389" i="53"/>
  <c r="AV389" i="53"/>
  <c r="AW389" i="53"/>
  <c r="AU389" i="53"/>
  <c r="AS389" i="53"/>
  <c r="AQ389" i="53"/>
  <c r="AO389" i="53"/>
  <c r="AM389" i="53"/>
  <c r="AK389" i="53"/>
  <c r="AJ389" i="53"/>
  <c r="AF389" i="53"/>
  <c r="C389" i="53"/>
  <c r="B389" i="53"/>
  <c r="A389" i="53"/>
  <c r="AZ388" i="53"/>
  <c r="BA388" i="53"/>
  <c r="AX388" i="53"/>
  <c r="AY388" i="53"/>
  <c r="AV388" i="53"/>
  <c r="AW388" i="53"/>
  <c r="AU388" i="53"/>
  <c r="AS388" i="53"/>
  <c r="AQ388" i="53"/>
  <c r="AO388" i="53"/>
  <c r="AM388" i="53"/>
  <c r="AK388" i="53"/>
  <c r="AJ388" i="53"/>
  <c r="AF388" i="53"/>
  <c r="C388" i="53"/>
  <c r="B388" i="53"/>
  <c r="A388" i="53"/>
  <c r="AZ387" i="53"/>
  <c r="BA387" i="53"/>
  <c r="AX387" i="53"/>
  <c r="AY387" i="53"/>
  <c r="AV387" i="53"/>
  <c r="AW387" i="53"/>
  <c r="AU387" i="53"/>
  <c r="AS387" i="53"/>
  <c r="AQ387" i="53"/>
  <c r="AO387" i="53"/>
  <c r="AM387" i="53"/>
  <c r="AK387" i="53"/>
  <c r="AJ387" i="53"/>
  <c r="AF387" i="53"/>
  <c r="AZ386" i="53"/>
  <c r="AH386" i="53"/>
  <c r="BA386" i="53"/>
  <c r="AX386" i="53"/>
  <c r="AY386" i="53"/>
  <c r="AV386" i="53"/>
  <c r="AW386" i="53"/>
  <c r="AJ386" i="53"/>
  <c r="AS386" i="53"/>
  <c r="AF386" i="53"/>
  <c r="C386" i="53"/>
  <c r="B386" i="53"/>
  <c r="A386" i="53"/>
  <c r="AZ385" i="53"/>
  <c r="AH385" i="53"/>
  <c r="BA385" i="53"/>
  <c r="AX385" i="53"/>
  <c r="AY385" i="53"/>
  <c r="AV385" i="53"/>
  <c r="AW385" i="53"/>
  <c r="AJ385" i="53"/>
  <c r="AS385" i="53"/>
  <c r="AF385" i="53"/>
  <c r="C385" i="53"/>
  <c r="B385" i="53"/>
  <c r="A385" i="53"/>
  <c r="AZ384" i="53"/>
  <c r="AH384" i="53"/>
  <c r="BA384" i="53"/>
  <c r="AX384" i="53"/>
  <c r="AY384" i="53"/>
  <c r="AV384" i="53"/>
  <c r="AW384" i="53"/>
  <c r="AJ384" i="53"/>
  <c r="AS384" i="53"/>
  <c r="AF384" i="53"/>
  <c r="C384" i="53"/>
  <c r="B384" i="53"/>
  <c r="A384" i="53"/>
  <c r="AZ383" i="53"/>
  <c r="BA383" i="53"/>
  <c r="AX383" i="53"/>
  <c r="AY383" i="53"/>
  <c r="AV383" i="53"/>
  <c r="AW383" i="53"/>
  <c r="AU383" i="53"/>
  <c r="AS383" i="53"/>
  <c r="AQ383" i="53"/>
  <c r="AO383" i="53"/>
  <c r="AM383" i="53"/>
  <c r="AK383" i="53"/>
  <c r="AG383" i="53"/>
  <c r="AJ383" i="53"/>
  <c r="AD383" i="53"/>
  <c r="AE383" i="53"/>
  <c r="AF383" i="53"/>
  <c r="C383" i="53"/>
  <c r="B383" i="53"/>
  <c r="A383" i="53"/>
  <c r="AZ382" i="53"/>
  <c r="BA382" i="53"/>
  <c r="AX382" i="53"/>
  <c r="AY382" i="53"/>
  <c r="AV382" i="53"/>
  <c r="AW382" i="53"/>
  <c r="AU382" i="53"/>
  <c r="AS382" i="53"/>
  <c r="AQ382" i="53"/>
  <c r="AO382" i="53"/>
  <c r="AM382" i="53"/>
  <c r="AK382" i="53"/>
  <c r="AG382" i="53"/>
  <c r="AJ382" i="53"/>
  <c r="AD382" i="53"/>
  <c r="AE382" i="53"/>
  <c r="AF382" i="53"/>
  <c r="C382" i="53"/>
  <c r="B382" i="53"/>
  <c r="A382" i="53"/>
  <c r="AZ381" i="53"/>
  <c r="BA381" i="53"/>
  <c r="AX381" i="53"/>
  <c r="AY381" i="53"/>
  <c r="AV381" i="53"/>
  <c r="AW381" i="53"/>
  <c r="AU381" i="53"/>
  <c r="AS381" i="53"/>
  <c r="AQ381" i="53"/>
  <c r="AO381" i="53"/>
  <c r="AM381" i="53"/>
  <c r="AK381" i="53"/>
  <c r="AG381" i="53"/>
  <c r="AJ381" i="53"/>
  <c r="AD381" i="53"/>
  <c r="AE381" i="53"/>
  <c r="AF381" i="53"/>
  <c r="C381" i="53"/>
  <c r="B381" i="53"/>
  <c r="A381" i="53"/>
  <c r="AZ380" i="53"/>
  <c r="BA380" i="53"/>
  <c r="AX380" i="53"/>
  <c r="AY380" i="53"/>
  <c r="AV380" i="53"/>
  <c r="AW380" i="53"/>
  <c r="AU380" i="53"/>
  <c r="AS380" i="53"/>
  <c r="AQ380" i="53"/>
  <c r="AO380" i="53"/>
  <c r="AM380" i="53"/>
  <c r="AK380" i="53"/>
  <c r="AG380" i="53"/>
  <c r="AJ380" i="53"/>
  <c r="AD380" i="53"/>
  <c r="AE380" i="53"/>
  <c r="AF380" i="53"/>
  <c r="C380" i="53"/>
  <c r="B380" i="53"/>
  <c r="A380" i="53"/>
  <c r="AZ379" i="53"/>
  <c r="BA379" i="53"/>
  <c r="AX379" i="53"/>
  <c r="AY379" i="53"/>
  <c r="AV379" i="53"/>
  <c r="AW379" i="53"/>
  <c r="AU379" i="53"/>
  <c r="AS379" i="53"/>
  <c r="AQ379" i="53"/>
  <c r="AO379" i="53"/>
  <c r="AM379" i="53"/>
  <c r="AK379" i="53"/>
  <c r="AG379" i="53"/>
  <c r="AJ379" i="53"/>
  <c r="AD379" i="53"/>
  <c r="AE379" i="53"/>
  <c r="AF379" i="53"/>
  <c r="C379" i="53"/>
  <c r="B379" i="53"/>
  <c r="A379" i="53"/>
  <c r="AZ378" i="53"/>
  <c r="BA378" i="53"/>
  <c r="AX378" i="53"/>
  <c r="AY378" i="53"/>
  <c r="AV378" i="53"/>
  <c r="AW378" i="53"/>
  <c r="AU378" i="53"/>
  <c r="AS378" i="53"/>
  <c r="AS377" i="53"/>
  <c r="AS376" i="53"/>
  <c r="AQ378" i="53"/>
  <c r="AO378" i="53"/>
  <c r="AM378" i="53"/>
  <c r="AK378" i="53"/>
  <c r="AJ378" i="53"/>
  <c r="AF378" i="53"/>
  <c r="C378" i="53"/>
  <c r="B378" i="53"/>
  <c r="A378" i="53"/>
  <c r="AZ377" i="53"/>
  <c r="BA377" i="53"/>
  <c r="AX377" i="53"/>
  <c r="AY377" i="53"/>
  <c r="AV377" i="53"/>
  <c r="AW377" i="53"/>
  <c r="AU377" i="53"/>
  <c r="AQ377" i="53"/>
  <c r="AO377" i="53"/>
  <c r="AM377" i="53"/>
  <c r="AK377" i="53"/>
  <c r="AG377" i="53"/>
  <c r="AJ377" i="53"/>
  <c r="AD377" i="53"/>
  <c r="AE377" i="53"/>
  <c r="AF377" i="53"/>
  <c r="C377" i="53"/>
  <c r="B377" i="53"/>
  <c r="A377" i="53"/>
  <c r="AC376" i="53"/>
  <c r="AB376" i="53"/>
  <c r="C376" i="53"/>
  <c r="B376" i="53"/>
  <c r="A376" i="53"/>
  <c r="AZ375" i="53"/>
  <c r="BA375" i="53"/>
  <c r="AX375" i="53"/>
  <c r="AY375" i="53"/>
  <c r="AV375" i="53"/>
  <c r="AW375" i="53"/>
  <c r="AU375" i="53"/>
  <c r="AS375" i="53"/>
  <c r="AQ375" i="53"/>
  <c r="AO375" i="53"/>
  <c r="AM375" i="53"/>
  <c r="AK375" i="53"/>
  <c r="AJ375" i="53"/>
  <c r="AF375" i="53"/>
  <c r="B375" i="53"/>
  <c r="AZ374" i="53"/>
  <c r="BA374" i="53"/>
  <c r="AX374" i="53"/>
  <c r="AY374" i="53"/>
  <c r="AV374" i="53"/>
  <c r="AW374" i="53"/>
  <c r="AU374" i="53"/>
  <c r="AS374" i="53"/>
  <c r="AQ374" i="53"/>
  <c r="AO374" i="53"/>
  <c r="AM374" i="53"/>
  <c r="AK374" i="53"/>
  <c r="AJ374" i="53"/>
  <c r="AF374" i="53"/>
  <c r="C374" i="53"/>
  <c r="C375" i="53"/>
  <c r="A374" i="53"/>
  <c r="A375" i="53"/>
  <c r="AZ373" i="53"/>
  <c r="BA373" i="53"/>
  <c r="AX373" i="53"/>
  <c r="AY373" i="53"/>
  <c r="AV373" i="53"/>
  <c r="AW373" i="53"/>
  <c r="AU373" i="53"/>
  <c r="AS373" i="53"/>
  <c r="AQ373" i="53"/>
  <c r="AO373" i="53"/>
  <c r="AM373" i="53"/>
  <c r="AK373" i="53"/>
  <c r="AJ373" i="53"/>
  <c r="AF373" i="53"/>
  <c r="C373" i="53"/>
  <c r="A373" i="53"/>
  <c r="AZ372" i="53"/>
  <c r="BA372" i="53"/>
  <c r="AX372" i="53"/>
  <c r="AY372" i="53"/>
  <c r="AV372" i="53"/>
  <c r="AW372" i="53"/>
  <c r="AU372" i="53"/>
  <c r="AS372" i="53"/>
  <c r="AQ372" i="53"/>
  <c r="AO372" i="53"/>
  <c r="AM372" i="53"/>
  <c r="AK372" i="53"/>
  <c r="AJ372" i="53"/>
  <c r="AF372" i="53"/>
  <c r="AZ371" i="53"/>
  <c r="BA371" i="53"/>
  <c r="AX371" i="53"/>
  <c r="AY371" i="53"/>
  <c r="AV371" i="53"/>
  <c r="AW371" i="53"/>
  <c r="AU371" i="53"/>
  <c r="AS371" i="53"/>
  <c r="AQ371" i="53"/>
  <c r="AO371" i="53"/>
  <c r="AM371" i="53"/>
  <c r="AK371" i="53"/>
  <c r="AG371" i="53"/>
  <c r="AJ371" i="53"/>
  <c r="C371" i="53"/>
  <c r="A371" i="53"/>
  <c r="AZ370" i="53"/>
  <c r="BA370" i="53"/>
  <c r="AX370" i="53"/>
  <c r="AY370" i="53"/>
  <c r="AV370" i="53"/>
  <c r="AW370" i="53"/>
  <c r="AU370" i="53"/>
  <c r="AS370" i="53"/>
  <c r="AQ370" i="53"/>
  <c r="AO370" i="53"/>
  <c r="AM370" i="53"/>
  <c r="AK370" i="53"/>
  <c r="AG370" i="53"/>
  <c r="AJ370" i="53"/>
  <c r="C370" i="53"/>
  <c r="A370" i="53"/>
  <c r="AZ369" i="53"/>
  <c r="BA369" i="53"/>
  <c r="AX369" i="53"/>
  <c r="AY369" i="53"/>
  <c r="AV369" i="53"/>
  <c r="AW369" i="53"/>
  <c r="AU369" i="53"/>
  <c r="AS369" i="53"/>
  <c r="AQ369" i="53"/>
  <c r="AO369" i="53"/>
  <c r="AM369" i="53"/>
  <c r="AK369" i="53"/>
  <c r="AG369" i="53"/>
  <c r="AJ369" i="53"/>
  <c r="C369" i="53"/>
  <c r="A369" i="53"/>
  <c r="AZ368" i="53"/>
  <c r="BA368" i="53"/>
  <c r="AX368" i="53"/>
  <c r="AY368" i="53"/>
  <c r="AV368" i="53"/>
  <c r="AW368" i="53"/>
  <c r="AU368" i="53"/>
  <c r="AS368" i="53"/>
  <c r="AQ368" i="53"/>
  <c r="AO368" i="53"/>
  <c r="AM368" i="53"/>
  <c r="AK368" i="53"/>
  <c r="AG368" i="53"/>
  <c r="AJ368" i="53"/>
  <c r="C368" i="53"/>
  <c r="A368" i="53"/>
  <c r="AZ367" i="53"/>
  <c r="BA367" i="53"/>
  <c r="AX367" i="53"/>
  <c r="AY367" i="53"/>
  <c r="AV367" i="53"/>
  <c r="AW367" i="53"/>
  <c r="AU367" i="53"/>
  <c r="AS367" i="53"/>
  <c r="AQ367" i="53"/>
  <c r="AO367" i="53"/>
  <c r="AM367" i="53"/>
  <c r="AK367" i="53"/>
  <c r="AG367" i="53"/>
  <c r="AJ367" i="53"/>
  <c r="C367" i="53"/>
  <c r="A367" i="53"/>
  <c r="AZ366" i="53"/>
  <c r="BA366" i="53"/>
  <c r="AX366" i="53"/>
  <c r="AY366" i="53"/>
  <c r="AV366" i="53"/>
  <c r="AW366" i="53"/>
  <c r="AU366" i="53"/>
  <c r="AS366" i="53"/>
  <c r="AQ366" i="53"/>
  <c r="AO366" i="53"/>
  <c r="AM366" i="53"/>
  <c r="AK366" i="53"/>
  <c r="AG366" i="53"/>
  <c r="AJ366" i="53"/>
  <c r="C366" i="53"/>
  <c r="A366" i="53"/>
  <c r="AZ365" i="53"/>
  <c r="BA365" i="53"/>
  <c r="AX365" i="53"/>
  <c r="AY365" i="53"/>
  <c r="AV365" i="53"/>
  <c r="AW365" i="53"/>
  <c r="AU365" i="53"/>
  <c r="AU364" i="53"/>
  <c r="AU363" i="53"/>
  <c r="AS365" i="53"/>
  <c r="AQ365" i="53"/>
  <c r="AQ364" i="53"/>
  <c r="AQ363" i="53"/>
  <c r="AO365" i="53"/>
  <c r="AM365" i="53"/>
  <c r="AM364" i="53"/>
  <c r="AM363" i="53"/>
  <c r="AK365" i="53"/>
  <c r="AJ365" i="53"/>
  <c r="C365" i="53"/>
  <c r="A365" i="53"/>
  <c r="AZ364" i="53"/>
  <c r="BA364" i="53"/>
  <c r="AX364" i="53"/>
  <c r="AY364" i="53"/>
  <c r="AV364" i="53"/>
  <c r="AW364" i="53"/>
  <c r="AW363" i="53"/>
  <c r="AS364" i="53"/>
  <c r="AO364" i="53"/>
  <c r="AK364" i="53"/>
  <c r="AG364" i="53"/>
  <c r="AJ364" i="53"/>
  <c r="AJ363" i="53"/>
  <c r="C364" i="53"/>
  <c r="A364" i="53"/>
  <c r="AS363" i="53"/>
  <c r="AO363" i="53"/>
  <c r="AK363" i="53"/>
  <c r="AH363" i="53"/>
  <c r="AG363" i="53"/>
  <c r="AD363" i="53"/>
  <c r="AB363" i="53"/>
  <c r="AE363" i="53"/>
  <c r="AF363" i="53"/>
  <c r="AC363" i="53"/>
  <c r="C363" i="53"/>
  <c r="A363" i="53"/>
  <c r="AZ362" i="53"/>
  <c r="BA362" i="53"/>
  <c r="AX362" i="53"/>
  <c r="AY362" i="53"/>
  <c r="AV362" i="53"/>
  <c r="AW362" i="53"/>
  <c r="AU362" i="53"/>
  <c r="AS362" i="53"/>
  <c r="AQ362" i="53"/>
  <c r="AO362" i="53"/>
  <c r="AM362" i="53"/>
  <c r="AK362" i="53"/>
  <c r="AF362" i="53"/>
  <c r="Y362" i="53"/>
  <c r="X362" i="53"/>
  <c r="D362" i="53"/>
  <c r="C362" i="53"/>
  <c r="B362" i="53"/>
  <c r="A362" i="53"/>
  <c r="AZ361" i="53"/>
  <c r="BA361" i="53"/>
  <c r="AX361" i="53"/>
  <c r="AY361" i="53"/>
  <c r="AV361" i="53"/>
  <c r="AW361" i="53"/>
  <c r="AU361" i="53"/>
  <c r="AS361" i="53"/>
  <c r="AQ361" i="53"/>
  <c r="AO361" i="53"/>
  <c r="AM361" i="53"/>
  <c r="AK361" i="53"/>
  <c r="AF361" i="53"/>
  <c r="Y361" i="53"/>
  <c r="X361" i="53"/>
  <c r="D361" i="53"/>
  <c r="C361" i="53"/>
  <c r="B361" i="53"/>
  <c r="A361" i="53"/>
  <c r="AZ360" i="53"/>
  <c r="BA360" i="53"/>
  <c r="AX360" i="53"/>
  <c r="AY360" i="53"/>
  <c r="AV360" i="53"/>
  <c r="AW360" i="53"/>
  <c r="AU360" i="53"/>
  <c r="AS360" i="53"/>
  <c r="AQ360" i="53"/>
  <c r="AO360" i="53"/>
  <c r="AM360" i="53"/>
  <c r="AK360" i="53"/>
  <c r="AF360" i="53"/>
  <c r="Y360" i="53"/>
  <c r="X360" i="53"/>
  <c r="D360" i="53"/>
  <c r="C360" i="53"/>
  <c r="B360" i="53"/>
  <c r="A360" i="53"/>
  <c r="AZ359" i="53"/>
  <c r="BA359" i="53"/>
  <c r="AX359" i="53"/>
  <c r="AY359" i="53"/>
  <c r="AV359" i="53"/>
  <c r="AW359" i="53"/>
  <c r="AU359" i="53"/>
  <c r="AS359" i="53"/>
  <c r="AQ359" i="53"/>
  <c r="AO359" i="53"/>
  <c r="AM359" i="53"/>
  <c r="AK359" i="53"/>
  <c r="AF359" i="53"/>
  <c r="Y359" i="53"/>
  <c r="X359" i="53"/>
  <c r="D359" i="53"/>
  <c r="C359" i="53"/>
  <c r="B359" i="53"/>
  <c r="A359" i="53"/>
  <c r="AZ358" i="53"/>
  <c r="BA358" i="53"/>
  <c r="AX358" i="53"/>
  <c r="AY358" i="53"/>
  <c r="AV358" i="53"/>
  <c r="AW358" i="53"/>
  <c r="AU358" i="53"/>
  <c r="AS358" i="53"/>
  <c r="AQ358" i="53"/>
  <c r="AO358" i="53"/>
  <c r="AM358" i="53"/>
  <c r="AK358" i="53"/>
  <c r="AG358" i="53"/>
  <c r="AJ358" i="53"/>
  <c r="AF358" i="53"/>
  <c r="Y358" i="53"/>
  <c r="X358" i="53"/>
  <c r="D358" i="53"/>
  <c r="C358" i="53"/>
  <c r="B358" i="53"/>
  <c r="A358" i="53"/>
  <c r="AZ357" i="53"/>
  <c r="BA357" i="53"/>
  <c r="AX357" i="53"/>
  <c r="AY357" i="53"/>
  <c r="AV357" i="53"/>
  <c r="AW357" i="53"/>
  <c r="AU357" i="53"/>
  <c r="AS357" i="53"/>
  <c r="AQ357" i="53"/>
  <c r="AO357" i="53"/>
  <c r="AM357" i="53"/>
  <c r="AK357" i="53"/>
  <c r="AG357" i="53"/>
  <c r="AJ357" i="53"/>
  <c r="AF357" i="53"/>
  <c r="Y357" i="53"/>
  <c r="X357" i="53"/>
  <c r="D357" i="53"/>
  <c r="C357" i="53"/>
  <c r="B357" i="53"/>
  <c r="A357" i="53"/>
  <c r="AZ356" i="53"/>
  <c r="AH356" i="53"/>
  <c r="BA356" i="53"/>
  <c r="AX356" i="53"/>
  <c r="AY356" i="53"/>
  <c r="AV356" i="53"/>
  <c r="AW356" i="53"/>
  <c r="AJ356" i="53"/>
  <c r="AS356" i="53"/>
  <c r="AF356" i="53"/>
  <c r="Y356" i="53"/>
  <c r="X356" i="53"/>
  <c r="D356" i="53"/>
  <c r="C356" i="53"/>
  <c r="B356" i="53"/>
  <c r="A356" i="53"/>
  <c r="AZ355" i="53"/>
  <c r="AH355" i="53"/>
  <c r="BA355" i="53"/>
  <c r="AX355" i="53"/>
  <c r="AY355" i="53"/>
  <c r="AV355" i="53"/>
  <c r="AW355" i="53"/>
  <c r="AU355" i="53"/>
  <c r="AQ355" i="53"/>
  <c r="AM355" i="53"/>
  <c r="AJ355" i="53"/>
  <c r="AS355" i="53"/>
  <c r="AF355" i="53"/>
  <c r="Y355" i="53"/>
  <c r="X355" i="53"/>
  <c r="D355" i="53"/>
  <c r="C355" i="53"/>
  <c r="B355" i="53"/>
  <c r="A355" i="53"/>
  <c r="AZ354" i="53"/>
  <c r="AH354" i="53"/>
  <c r="BA354" i="53"/>
  <c r="AX354" i="53"/>
  <c r="AY354" i="53"/>
  <c r="AV354" i="53"/>
  <c r="AW354" i="53"/>
  <c r="AZ353" i="53"/>
  <c r="AV353" i="53"/>
  <c r="AH353" i="53"/>
  <c r="AW353" i="53"/>
  <c r="AW352" i="53"/>
  <c r="AJ354" i="53"/>
  <c r="AS354" i="53"/>
  <c r="AF354" i="53"/>
  <c r="Y354" i="53"/>
  <c r="X354" i="53"/>
  <c r="D354" i="53"/>
  <c r="C354" i="53"/>
  <c r="B354" i="53"/>
  <c r="A354" i="53"/>
  <c r="BA353" i="53"/>
  <c r="AX353" i="53"/>
  <c r="AY353" i="53"/>
  <c r="AU353" i="53"/>
  <c r="AQ353" i="53"/>
  <c r="AM353" i="53"/>
  <c r="AJ353" i="53"/>
  <c r="AJ352" i="53"/>
  <c r="AS353" i="53"/>
  <c r="AS352" i="53"/>
  <c r="AF353" i="53"/>
  <c r="Y353" i="53"/>
  <c r="X353" i="53"/>
  <c r="D353" i="53"/>
  <c r="C353" i="53"/>
  <c r="B353" i="53"/>
  <c r="A353" i="53"/>
  <c r="AH352" i="53"/>
  <c r="AD352" i="53"/>
  <c r="AB352" i="53"/>
  <c r="AE352" i="53"/>
  <c r="AF352" i="53"/>
  <c r="AC352" i="53"/>
  <c r="C352" i="53"/>
  <c r="B352" i="53"/>
  <c r="A352" i="53"/>
  <c r="AZ351" i="53"/>
  <c r="BA351" i="53"/>
  <c r="AX351" i="53"/>
  <c r="AY351" i="53"/>
  <c r="AV351" i="53"/>
  <c r="AW351" i="53"/>
  <c r="AU351" i="53"/>
  <c r="AS351" i="53"/>
  <c r="AQ351" i="53"/>
  <c r="AO351" i="53"/>
  <c r="AM351" i="53"/>
  <c r="AK351" i="53"/>
  <c r="AJ351" i="53"/>
  <c r="AF351" i="53"/>
  <c r="Y351" i="53"/>
  <c r="X351" i="53"/>
  <c r="D351" i="53"/>
  <c r="C351" i="53"/>
  <c r="B351" i="53"/>
  <c r="A351" i="53"/>
  <c r="AZ350" i="53"/>
  <c r="BA350" i="53"/>
  <c r="AX350" i="53"/>
  <c r="AY350" i="53"/>
  <c r="AV350" i="53"/>
  <c r="AW350" i="53"/>
  <c r="AU350" i="53"/>
  <c r="AS350" i="53"/>
  <c r="AQ350" i="53"/>
  <c r="AO350" i="53"/>
  <c r="AM350" i="53"/>
  <c r="AK350" i="53"/>
  <c r="AJ350" i="53"/>
  <c r="AF350" i="53"/>
  <c r="Y350" i="53"/>
  <c r="X350" i="53"/>
  <c r="D350" i="53"/>
  <c r="C350" i="53"/>
  <c r="B350" i="53"/>
  <c r="A350" i="53"/>
  <c r="AZ349" i="53"/>
  <c r="BA349" i="53"/>
  <c r="AX349" i="53"/>
  <c r="AY349" i="53"/>
  <c r="AV349" i="53"/>
  <c r="AW349" i="53"/>
  <c r="AU349" i="53"/>
  <c r="AS349" i="53"/>
  <c r="AQ349" i="53"/>
  <c r="AO349" i="53"/>
  <c r="AM349" i="53"/>
  <c r="AK349" i="53"/>
  <c r="AJ349" i="53"/>
  <c r="AF349" i="53"/>
  <c r="Y349" i="53"/>
  <c r="X349" i="53"/>
  <c r="D349" i="53"/>
  <c r="C349" i="53"/>
  <c r="B349" i="53"/>
  <c r="A349" i="53"/>
  <c r="AZ348" i="53"/>
  <c r="BA348" i="53"/>
  <c r="AX348" i="53"/>
  <c r="AY348" i="53"/>
  <c r="AV348" i="53"/>
  <c r="AW348" i="53"/>
  <c r="AU348" i="53"/>
  <c r="AS348" i="53"/>
  <c r="AQ348" i="53"/>
  <c r="AO348" i="53"/>
  <c r="AM348" i="53"/>
  <c r="AK348" i="53"/>
  <c r="AJ348" i="53"/>
  <c r="AF348" i="53"/>
  <c r="Y348" i="53"/>
  <c r="X348" i="53"/>
  <c r="D348" i="53"/>
  <c r="C348" i="53"/>
  <c r="B348" i="53"/>
  <c r="A348" i="53"/>
  <c r="AZ347" i="53"/>
  <c r="AH347" i="53"/>
  <c r="BA347" i="53"/>
  <c r="AX347" i="53"/>
  <c r="AY347" i="53"/>
  <c r="AV347" i="53"/>
  <c r="AW347" i="53"/>
  <c r="AU347" i="53"/>
  <c r="AQ347" i="53"/>
  <c r="AM347" i="53"/>
  <c r="AJ347" i="53"/>
  <c r="AS347" i="53"/>
  <c r="AF347" i="53"/>
  <c r="Y347" i="53"/>
  <c r="X347" i="53"/>
  <c r="D347" i="53"/>
  <c r="C347" i="53"/>
  <c r="B347" i="53"/>
  <c r="A347" i="53"/>
  <c r="AZ346" i="53"/>
  <c r="AH346" i="53"/>
  <c r="BA346" i="53"/>
  <c r="AX346" i="53"/>
  <c r="AY346" i="53"/>
  <c r="AV346" i="53"/>
  <c r="AW346" i="53"/>
  <c r="AZ344" i="53"/>
  <c r="AV344" i="53"/>
  <c r="AH344" i="53"/>
  <c r="AW344" i="53"/>
  <c r="AZ345" i="53"/>
  <c r="AV345" i="53"/>
  <c r="AW345" i="53"/>
  <c r="AW343" i="53"/>
  <c r="AJ346" i="53"/>
  <c r="AS346" i="53"/>
  <c r="AF346" i="53"/>
  <c r="Y346" i="53"/>
  <c r="X346" i="53"/>
  <c r="D346" i="53"/>
  <c r="C346" i="53"/>
  <c r="B346" i="53"/>
  <c r="A346" i="53"/>
  <c r="BA345" i="53"/>
  <c r="AX345" i="53"/>
  <c r="AY345" i="53"/>
  <c r="AU345" i="53"/>
  <c r="AS345" i="53"/>
  <c r="AQ345" i="53"/>
  <c r="AO345" i="53"/>
  <c r="AM345" i="53"/>
  <c r="AK345" i="53"/>
  <c r="AJ345" i="53"/>
  <c r="AF345" i="53"/>
  <c r="Y345" i="53"/>
  <c r="X345" i="53"/>
  <c r="D345" i="53"/>
  <c r="C345" i="53"/>
  <c r="B345" i="53"/>
  <c r="A345" i="53"/>
  <c r="BA344" i="53"/>
  <c r="AX344" i="53"/>
  <c r="AY344" i="53"/>
  <c r="AU344" i="53"/>
  <c r="AQ344" i="53"/>
  <c r="AM344" i="53"/>
  <c r="AJ344" i="53"/>
  <c r="AJ343" i="53"/>
  <c r="AS344" i="53"/>
  <c r="AS343" i="53"/>
  <c r="AF344" i="53"/>
  <c r="Y344" i="53"/>
  <c r="X344" i="53"/>
  <c r="D344" i="53"/>
  <c r="C344" i="53"/>
  <c r="B344" i="53"/>
  <c r="A344" i="53"/>
  <c r="AH343" i="53"/>
  <c r="AD343" i="53"/>
  <c r="AB343" i="53"/>
  <c r="AE343" i="53"/>
  <c r="AF343" i="53"/>
  <c r="AC343" i="53"/>
  <c r="C343" i="53"/>
  <c r="B343" i="53"/>
  <c r="A343" i="53"/>
  <c r="AZ342" i="53"/>
  <c r="BA342" i="53"/>
  <c r="AX342" i="53"/>
  <c r="AY342" i="53"/>
  <c r="AV342" i="53"/>
  <c r="AW342" i="53"/>
  <c r="AU342" i="53"/>
  <c r="AS342" i="53"/>
  <c r="AQ342" i="53"/>
  <c r="AO342" i="53"/>
  <c r="AM342" i="53"/>
  <c r="AK342" i="53"/>
  <c r="AJ342" i="53"/>
  <c r="AF342" i="53"/>
  <c r="B342" i="53"/>
  <c r="AZ341" i="53"/>
  <c r="BA341" i="53"/>
  <c r="AX341" i="53"/>
  <c r="AY341" i="53"/>
  <c r="AV341" i="53"/>
  <c r="AW341" i="53"/>
  <c r="AU341" i="53"/>
  <c r="AS341" i="53"/>
  <c r="AQ341" i="53"/>
  <c r="AO341" i="53"/>
  <c r="AM341" i="53"/>
  <c r="AK341" i="53"/>
  <c r="AJ341" i="53"/>
  <c r="A341" i="53"/>
  <c r="A342" i="53"/>
  <c r="AZ340" i="53"/>
  <c r="BA340" i="53"/>
  <c r="AX340" i="53"/>
  <c r="AY340" i="53"/>
  <c r="AV340" i="53"/>
  <c r="AW340" i="53"/>
  <c r="AU340" i="53"/>
  <c r="AS340" i="53"/>
  <c r="AQ340" i="53"/>
  <c r="AO340" i="53"/>
  <c r="AM340" i="53"/>
  <c r="AK340" i="53"/>
  <c r="AJ340" i="53"/>
  <c r="A340" i="53"/>
  <c r="AZ339" i="53"/>
  <c r="BA339" i="53"/>
  <c r="AX339" i="53"/>
  <c r="AY339" i="53"/>
  <c r="AV339" i="53"/>
  <c r="AW339" i="53"/>
  <c r="AU339" i="53"/>
  <c r="AS339" i="53"/>
  <c r="AQ339" i="53"/>
  <c r="AO339" i="53"/>
  <c r="AM339" i="53"/>
  <c r="AK339" i="53"/>
  <c r="AJ339" i="53"/>
  <c r="A339" i="53"/>
  <c r="AZ338" i="53"/>
  <c r="BA338" i="53"/>
  <c r="AX338" i="53"/>
  <c r="AY338" i="53"/>
  <c r="AV338" i="53"/>
  <c r="AW338" i="53"/>
  <c r="AU338" i="53"/>
  <c r="AS338" i="53"/>
  <c r="AQ338" i="53"/>
  <c r="AO338" i="53"/>
  <c r="AM338" i="53"/>
  <c r="AK338" i="53"/>
  <c r="AJ338" i="53"/>
  <c r="A338" i="53"/>
  <c r="AZ337" i="53"/>
  <c r="BA337" i="53"/>
  <c r="AX337" i="53"/>
  <c r="AY337" i="53"/>
  <c r="AV337" i="53"/>
  <c r="AW337" i="53"/>
  <c r="AU337" i="53"/>
  <c r="AS337" i="53"/>
  <c r="AQ337" i="53"/>
  <c r="AO337" i="53"/>
  <c r="AM337" i="53"/>
  <c r="AK337" i="53"/>
  <c r="AG337" i="53"/>
  <c r="AJ337" i="53"/>
  <c r="A337" i="53"/>
  <c r="AZ336" i="53"/>
  <c r="BA336" i="53"/>
  <c r="AX336" i="53"/>
  <c r="AY336" i="53"/>
  <c r="AV336" i="53"/>
  <c r="AW336" i="53"/>
  <c r="AU336" i="53"/>
  <c r="AS336" i="53"/>
  <c r="AQ336" i="53"/>
  <c r="AO336" i="53"/>
  <c r="AM336" i="53"/>
  <c r="AK336" i="53"/>
  <c r="AG336" i="53"/>
  <c r="AJ336" i="53"/>
  <c r="A336" i="53"/>
  <c r="AZ335" i="53"/>
  <c r="BA335" i="53"/>
  <c r="AX335" i="53"/>
  <c r="AY335" i="53"/>
  <c r="AV335" i="53"/>
  <c r="AW335" i="53"/>
  <c r="AU335" i="53"/>
  <c r="AS335" i="53"/>
  <c r="AQ335" i="53"/>
  <c r="AO335" i="53"/>
  <c r="AM335" i="53"/>
  <c r="AK335" i="53"/>
  <c r="AG335" i="53"/>
  <c r="AJ335" i="53"/>
  <c r="A335" i="53"/>
  <c r="AZ334" i="53"/>
  <c r="AH334" i="53"/>
  <c r="BA334" i="53"/>
  <c r="AX334" i="53"/>
  <c r="AY334" i="53"/>
  <c r="AV334" i="53"/>
  <c r="AW334" i="53"/>
  <c r="AU334" i="53"/>
  <c r="AQ334" i="53"/>
  <c r="AM334" i="53"/>
  <c r="AS334" i="53"/>
  <c r="AG334" i="53"/>
  <c r="AJ334" i="53"/>
  <c r="A334" i="53"/>
  <c r="AZ333" i="53"/>
  <c r="BA333" i="53"/>
  <c r="AX333" i="53"/>
  <c r="AY333" i="53"/>
  <c r="AV333" i="53"/>
  <c r="AW333" i="53"/>
  <c r="AU333" i="53"/>
  <c r="AS333" i="53"/>
  <c r="AQ333" i="53"/>
  <c r="AO333" i="53"/>
  <c r="AM333" i="53"/>
  <c r="AK333" i="53"/>
  <c r="AG333" i="53"/>
  <c r="AJ333" i="53"/>
  <c r="A333" i="53"/>
  <c r="AZ332" i="53"/>
  <c r="BA332" i="53"/>
  <c r="AX332" i="53"/>
  <c r="AY332" i="53"/>
  <c r="AV332" i="53"/>
  <c r="AW332" i="53"/>
  <c r="AU332" i="53"/>
  <c r="AS332" i="53"/>
  <c r="AQ332" i="53"/>
  <c r="AO332" i="53"/>
  <c r="AM332" i="53"/>
  <c r="AK332" i="53"/>
  <c r="AG332" i="53"/>
  <c r="AJ332" i="53"/>
  <c r="AG330" i="53"/>
  <c r="AJ330" i="53"/>
  <c r="AJ331" i="53"/>
  <c r="AJ329" i="53"/>
  <c r="A332" i="53"/>
  <c r="AZ331" i="53"/>
  <c r="BA331" i="53"/>
  <c r="AX331" i="53"/>
  <c r="AY331" i="53"/>
  <c r="AV331" i="53"/>
  <c r="AW331" i="53"/>
  <c r="AU331" i="53"/>
  <c r="AS331" i="53"/>
  <c r="AS330" i="53"/>
  <c r="AS329" i="53"/>
  <c r="AQ331" i="53"/>
  <c r="AO331" i="53"/>
  <c r="AM331" i="53"/>
  <c r="AK331" i="53"/>
  <c r="A331" i="53"/>
  <c r="AZ330" i="53"/>
  <c r="BA330" i="53"/>
  <c r="AX330" i="53"/>
  <c r="AY330" i="53"/>
  <c r="AV330" i="53"/>
  <c r="AW330" i="53"/>
  <c r="AU330" i="53"/>
  <c r="AQ330" i="53"/>
  <c r="AO330" i="53"/>
  <c r="AM330" i="53"/>
  <c r="AK330" i="53"/>
  <c r="A330" i="53"/>
  <c r="AU329" i="53"/>
  <c r="AQ329" i="53"/>
  <c r="AM329" i="53"/>
  <c r="AH329" i="53"/>
  <c r="AG329" i="53"/>
  <c r="AD329" i="53"/>
  <c r="AB329" i="53"/>
  <c r="AE329" i="53"/>
  <c r="AF329" i="53"/>
  <c r="AC329" i="53"/>
  <c r="C329" i="53"/>
  <c r="C340" i="53"/>
  <c r="A329" i="53"/>
  <c r="AZ328" i="53"/>
  <c r="BA328" i="53"/>
  <c r="AX328" i="53"/>
  <c r="AY328" i="53"/>
  <c r="AV328" i="53"/>
  <c r="AW328" i="53"/>
  <c r="AU328" i="53"/>
  <c r="AS328" i="53"/>
  <c r="AQ328" i="53"/>
  <c r="AO328" i="53"/>
  <c r="AM328" i="53"/>
  <c r="AK328" i="53"/>
  <c r="AJ328" i="53"/>
  <c r="AF328" i="53"/>
  <c r="C327" i="53"/>
  <c r="C328" i="53"/>
  <c r="B328" i="53"/>
  <c r="AZ327" i="53"/>
  <c r="BA327" i="53"/>
  <c r="AX327" i="53"/>
  <c r="AY327" i="53"/>
  <c r="AV327" i="53"/>
  <c r="AW327" i="53"/>
  <c r="AU327" i="53"/>
  <c r="AS327" i="53"/>
  <c r="AQ327" i="53"/>
  <c r="AO327" i="53"/>
  <c r="AM327" i="53"/>
  <c r="AF327" i="53"/>
  <c r="A327" i="53"/>
  <c r="A328" i="53"/>
  <c r="AZ326" i="53"/>
  <c r="BA326" i="53"/>
  <c r="AX326" i="53"/>
  <c r="AY326" i="53"/>
  <c r="AV326" i="53"/>
  <c r="AW326" i="53"/>
  <c r="AU326" i="53"/>
  <c r="AS326" i="53"/>
  <c r="AQ326" i="53"/>
  <c r="AO326" i="53"/>
  <c r="AM326" i="53"/>
  <c r="AK326" i="53"/>
  <c r="AJ326" i="53"/>
  <c r="AF326" i="53"/>
  <c r="C326" i="53"/>
  <c r="A326" i="53"/>
  <c r="AZ325" i="53"/>
  <c r="BA325" i="53"/>
  <c r="AX325" i="53"/>
  <c r="AY325" i="53"/>
  <c r="AV325" i="53"/>
  <c r="AW325" i="53"/>
  <c r="AU325" i="53"/>
  <c r="AS325" i="53"/>
  <c r="AQ325" i="53"/>
  <c r="AO325" i="53"/>
  <c r="AM325" i="53"/>
  <c r="AK325" i="53"/>
  <c r="AJ325" i="53"/>
  <c r="AF325" i="53"/>
  <c r="C325" i="53"/>
  <c r="A325" i="53"/>
  <c r="AZ324" i="53"/>
  <c r="BA324" i="53"/>
  <c r="AX324" i="53"/>
  <c r="AY324" i="53"/>
  <c r="AV324" i="53"/>
  <c r="AW324" i="53"/>
  <c r="AU324" i="53"/>
  <c r="AS324" i="53"/>
  <c r="AQ324" i="53"/>
  <c r="AO324" i="53"/>
  <c r="AM324" i="53"/>
  <c r="AK324" i="53"/>
  <c r="AJ324" i="53"/>
  <c r="AF324" i="53"/>
  <c r="C324" i="53"/>
  <c r="AZ323" i="53"/>
  <c r="BA323" i="53"/>
  <c r="AX323" i="53"/>
  <c r="AY323" i="53"/>
  <c r="AV323" i="53"/>
  <c r="AW323" i="53"/>
  <c r="AU323" i="53"/>
  <c r="AS323" i="53"/>
  <c r="AQ323" i="53"/>
  <c r="AO323" i="53"/>
  <c r="AM323" i="53"/>
  <c r="AK323" i="53"/>
  <c r="AG323" i="53"/>
  <c r="AJ323" i="53"/>
  <c r="Y323" i="53"/>
  <c r="X323" i="53"/>
  <c r="C323" i="53"/>
  <c r="B323" i="53"/>
  <c r="A323" i="53"/>
  <c r="AZ322" i="53"/>
  <c r="BA322" i="53"/>
  <c r="AX322" i="53"/>
  <c r="AY322" i="53"/>
  <c r="AV322" i="53"/>
  <c r="AW322" i="53"/>
  <c r="AU322" i="53"/>
  <c r="AS322" i="53"/>
  <c r="AQ322" i="53"/>
  <c r="AO322" i="53"/>
  <c r="AM322" i="53"/>
  <c r="AK322" i="53"/>
  <c r="AG322" i="53"/>
  <c r="AJ322" i="53"/>
  <c r="Y322" i="53"/>
  <c r="X322" i="53"/>
  <c r="C322" i="53"/>
  <c r="B322" i="53"/>
  <c r="A322" i="53"/>
  <c r="AZ321" i="53"/>
  <c r="AH321" i="53"/>
  <c r="BA321" i="53"/>
  <c r="AX321" i="53"/>
  <c r="AY321" i="53"/>
  <c r="AV321" i="53"/>
  <c r="AW321" i="53"/>
  <c r="AU321" i="53"/>
  <c r="AQ321" i="53"/>
  <c r="AM321" i="53"/>
  <c r="AS321" i="53"/>
  <c r="AG321" i="53"/>
  <c r="AJ321" i="53"/>
  <c r="Y321" i="53"/>
  <c r="X321" i="53"/>
  <c r="C321" i="53"/>
  <c r="B321" i="53"/>
  <c r="A321" i="53"/>
  <c r="AZ320" i="53"/>
  <c r="AH320" i="53"/>
  <c r="BA320" i="53"/>
  <c r="AX320" i="53"/>
  <c r="AY320" i="53"/>
  <c r="AV320" i="53"/>
  <c r="AW320" i="53"/>
  <c r="AU320" i="53"/>
  <c r="AQ320" i="53"/>
  <c r="AM320" i="53"/>
  <c r="AS320" i="53"/>
  <c r="AG320" i="53"/>
  <c r="AJ320" i="53"/>
  <c r="Y320" i="53"/>
  <c r="X320" i="53"/>
  <c r="C320" i="53"/>
  <c r="B320" i="53"/>
  <c r="A320" i="53"/>
  <c r="AZ319" i="53"/>
  <c r="BA319" i="53"/>
  <c r="AX319" i="53"/>
  <c r="AY319" i="53"/>
  <c r="AV319" i="53"/>
  <c r="AW319" i="53"/>
  <c r="AU319" i="53"/>
  <c r="AU318" i="53"/>
  <c r="AU317" i="53"/>
  <c r="AS319" i="53"/>
  <c r="AQ319" i="53"/>
  <c r="AQ318" i="53"/>
  <c r="AQ317" i="53"/>
  <c r="AO319" i="53"/>
  <c r="AM319" i="53"/>
  <c r="AM318" i="53"/>
  <c r="AM317" i="53"/>
  <c r="AK319" i="53"/>
  <c r="AJ319" i="53"/>
  <c r="C319" i="53"/>
  <c r="A319" i="53"/>
  <c r="AZ318" i="53"/>
  <c r="BA318" i="53"/>
  <c r="AX318" i="53"/>
  <c r="AY318" i="53"/>
  <c r="AV318" i="53"/>
  <c r="AW318" i="53"/>
  <c r="AS318" i="53"/>
  <c r="AO318" i="53"/>
  <c r="AK318" i="53"/>
  <c r="AG318" i="53"/>
  <c r="AJ318" i="53"/>
  <c r="C318" i="53"/>
  <c r="A318" i="53"/>
  <c r="AW317" i="53"/>
  <c r="AS317" i="53"/>
  <c r="AH317" i="53"/>
  <c r="AG317" i="53"/>
  <c r="AD317" i="53"/>
  <c r="AB317" i="53"/>
  <c r="AE317" i="53"/>
  <c r="AF317" i="53"/>
  <c r="C317" i="53"/>
  <c r="A317" i="53"/>
  <c r="AZ316" i="53"/>
  <c r="BA316" i="53"/>
  <c r="AX316" i="53"/>
  <c r="AY316" i="53"/>
  <c r="AV316" i="53"/>
  <c r="AW316" i="53"/>
  <c r="AU316" i="53"/>
  <c r="AS316" i="53"/>
  <c r="AQ316" i="53"/>
  <c r="AO316" i="53"/>
  <c r="AM316" i="53"/>
  <c r="AK316" i="53"/>
  <c r="AJ316" i="53"/>
  <c r="AF316" i="53"/>
  <c r="C315" i="53"/>
  <c r="C316" i="53"/>
  <c r="A315" i="53"/>
  <c r="A316" i="53"/>
  <c r="AZ315" i="53"/>
  <c r="BA315" i="53"/>
  <c r="AV315" i="53"/>
  <c r="AW315" i="53"/>
  <c r="AU315" i="53"/>
  <c r="AS315" i="53"/>
  <c r="AQ315" i="53"/>
  <c r="AO315" i="53"/>
  <c r="AM315" i="53"/>
  <c r="AK315" i="53"/>
  <c r="AJ315" i="53"/>
  <c r="AF315" i="53"/>
  <c r="B302" i="53"/>
  <c r="B315" i="53"/>
  <c r="AZ314" i="53"/>
  <c r="BA314" i="53"/>
  <c r="AX314" i="53"/>
  <c r="AY314" i="53"/>
  <c r="AV314" i="53"/>
  <c r="AW314" i="53"/>
  <c r="AU314" i="53"/>
  <c r="AS314" i="53"/>
  <c r="AQ314" i="53"/>
  <c r="AO314" i="53"/>
  <c r="AM314" i="53"/>
  <c r="AK314" i="53"/>
  <c r="AJ314" i="53"/>
  <c r="AF314" i="53"/>
  <c r="C314" i="53"/>
  <c r="A314" i="53"/>
  <c r="AZ313" i="53"/>
  <c r="BA313" i="53"/>
  <c r="AV313" i="53"/>
  <c r="AW313" i="53"/>
  <c r="AU313" i="53"/>
  <c r="AS313" i="53"/>
  <c r="AQ313" i="53"/>
  <c r="AO313" i="53"/>
  <c r="AM313" i="53"/>
  <c r="AK313" i="53"/>
  <c r="AJ313" i="53"/>
  <c r="AF313" i="53"/>
  <c r="C313" i="53"/>
  <c r="B313" i="53"/>
  <c r="A313" i="53"/>
  <c r="AZ312" i="53"/>
  <c r="BA312" i="53"/>
  <c r="AX312" i="53"/>
  <c r="AY312" i="53"/>
  <c r="AV312" i="53"/>
  <c r="AW312" i="53"/>
  <c r="AU312" i="53"/>
  <c r="AS312" i="53"/>
  <c r="AQ312" i="53"/>
  <c r="AO312" i="53"/>
  <c r="AM312" i="53"/>
  <c r="AK312" i="53"/>
  <c r="AJ312" i="53"/>
  <c r="AF312" i="53"/>
  <c r="AZ311" i="53"/>
  <c r="BA311" i="53"/>
  <c r="AX311" i="53"/>
  <c r="AY311" i="53"/>
  <c r="AV311" i="53"/>
  <c r="AW311" i="53"/>
  <c r="AU311" i="53"/>
  <c r="AS311" i="53"/>
  <c r="AQ311" i="53"/>
  <c r="AO311" i="53"/>
  <c r="AM311" i="53"/>
  <c r="AK311" i="53"/>
  <c r="AG311" i="53"/>
  <c r="AJ311" i="53"/>
  <c r="C311" i="53"/>
  <c r="A311" i="53"/>
  <c r="AZ310" i="53"/>
  <c r="BA310" i="53"/>
  <c r="AV310" i="53"/>
  <c r="AW310" i="53"/>
  <c r="AU310" i="53"/>
  <c r="AS310" i="53"/>
  <c r="AQ310" i="53"/>
  <c r="AO310" i="53"/>
  <c r="AM310" i="53"/>
  <c r="AK310" i="53"/>
  <c r="AG310" i="53"/>
  <c r="AJ310" i="53"/>
  <c r="C310" i="53"/>
  <c r="B310" i="53"/>
  <c r="A310" i="53"/>
  <c r="AZ309" i="53"/>
  <c r="BA309" i="53"/>
  <c r="AX309" i="53"/>
  <c r="AY309" i="53"/>
  <c r="AV309" i="53"/>
  <c r="AW309" i="53"/>
  <c r="AU309" i="53"/>
  <c r="AS309" i="53"/>
  <c r="AQ309" i="53"/>
  <c r="AO309" i="53"/>
  <c r="AM309" i="53"/>
  <c r="AK309" i="53"/>
  <c r="AG309" i="53"/>
  <c r="AJ309" i="53"/>
  <c r="C309" i="53"/>
  <c r="A309" i="53"/>
  <c r="AZ308" i="53"/>
  <c r="BA308" i="53"/>
  <c r="AX308" i="53"/>
  <c r="AY308" i="53"/>
  <c r="AV308" i="53"/>
  <c r="AW308" i="53"/>
  <c r="AU308" i="53"/>
  <c r="AS308" i="53"/>
  <c r="AQ308" i="53"/>
  <c r="AO308" i="53"/>
  <c r="AM308" i="53"/>
  <c r="AK308" i="53"/>
  <c r="AG308" i="53"/>
  <c r="AJ308" i="53"/>
  <c r="C308" i="53"/>
  <c r="B308" i="53"/>
  <c r="A308" i="53"/>
  <c r="AZ307" i="53"/>
  <c r="BA307" i="53"/>
  <c r="AX307" i="53"/>
  <c r="AY307" i="53"/>
  <c r="AV307" i="53"/>
  <c r="AW307" i="53"/>
  <c r="AU307" i="53"/>
  <c r="AS307" i="53"/>
  <c r="AQ307" i="53"/>
  <c r="AO307" i="53"/>
  <c r="AM307" i="53"/>
  <c r="AK307" i="53"/>
  <c r="AG307" i="53"/>
  <c r="AJ307" i="53"/>
  <c r="C307" i="53"/>
  <c r="A307" i="53"/>
  <c r="AZ306" i="53"/>
  <c r="BA306" i="53"/>
  <c r="AV306" i="53"/>
  <c r="AW306" i="53"/>
  <c r="AU306" i="53"/>
  <c r="AS306" i="53"/>
  <c r="AQ306" i="53"/>
  <c r="AO306" i="53"/>
  <c r="AM306" i="53"/>
  <c r="AK306" i="53"/>
  <c r="AG306" i="53"/>
  <c r="AJ306" i="53"/>
  <c r="C306" i="53"/>
  <c r="B306" i="53"/>
  <c r="A306" i="53"/>
  <c r="AQ305" i="53"/>
  <c r="BA305" i="53"/>
  <c r="AS305" i="53"/>
  <c r="AU305" i="53"/>
  <c r="AN305" i="53"/>
  <c r="AM305" i="53"/>
  <c r="AF305" i="53"/>
  <c r="C305" i="53"/>
  <c r="B305" i="53"/>
  <c r="A305" i="53"/>
  <c r="AZ304" i="53"/>
  <c r="BA304" i="53"/>
  <c r="AX304" i="53"/>
  <c r="AY304" i="53"/>
  <c r="AV304" i="53"/>
  <c r="AW304" i="53"/>
  <c r="AU304" i="53"/>
  <c r="AU303" i="53"/>
  <c r="AU302" i="53"/>
  <c r="AZ303" i="53"/>
  <c r="AV303" i="53"/>
  <c r="AW303" i="53"/>
  <c r="AW302" i="53"/>
  <c r="AS303" i="53"/>
  <c r="AS304" i="53"/>
  <c r="AS302" i="53"/>
  <c r="AY302" i="53"/>
  <c r="AQ303" i="53"/>
  <c r="AQ304" i="53"/>
  <c r="AQ302" i="53"/>
  <c r="BA302" i="53"/>
  <c r="AO304" i="53"/>
  <c r="AM304" i="53"/>
  <c r="AM303" i="53"/>
  <c r="AM302" i="53"/>
  <c r="AK304" i="53"/>
  <c r="AJ304" i="53"/>
  <c r="AF304" i="53"/>
  <c r="C304" i="53"/>
  <c r="A304" i="53"/>
  <c r="BA303" i="53"/>
  <c r="AK303" i="53"/>
  <c r="AK302" i="53"/>
  <c r="BB302" i="53"/>
  <c r="AO303" i="53"/>
  <c r="AO302" i="53"/>
  <c r="AG303" i="53"/>
  <c r="AJ303" i="53"/>
  <c r="C303" i="53"/>
  <c r="B303" i="53"/>
  <c r="A303" i="53"/>
  <c r="AJ302" i="53"/>
  <c r="AH302" i="53"/>
  <c r="AG302" i="53"/>
  <c r="AD302" i="53"/>
  <c r="AB302" i="53"/>
  <c r="AE302" i="53"/>
  <c r="AF302" i="53"/>
  <c r="AC302" i="53"/>
  <c r="C302" i="53"/>
  <c r="B316" i="53"/>
  <c r="A302" i="53"/>
  <c r="AZ301" i="53"/>
  <c r="BA301" i="53"/>
  <c r="AV301" i="53"/>
  <c r="AW301" i="53"/>
  <c r="AU301" i="53"/>
  <c r="AS301" i="53"/>
  <c r="AQ301" i="53"/>
  <c r="AO301" i="53"/>
  <c r="AM301" i="53"/>
  <c r="AK301" i="53"/>
  <c r="AJ301" i="53"/>
  <c r="AF301" i="53"/>
  <c r="B301" i="53"/>
  <c r="AZ300" i="53"/>
  <c r="BA300" i="53"/>
  <c r="AX300" i="53"/>
  <c r="AY300" i="53"/>
  <c r="AV300" i="53"/>
  <c r="AW300" i="53"/>
  <c r="AU300" i="53"/>
  <c r="AS300" i="53"/>
  <c r="AQ300" i="53"/>
  <c r="AO300" i="53"/>
  <c r="AM300" i="53"/>
  <c r="AK300" i="53"/>
  <c r="AJ300" i="53"/>
  <c r="AF300" i="53"/>
  <c r="C300" i="53"/>
  <c r="C301" i="53"/>
  <c r="B300" i="53"/>
  <c r="A300" i="53"/>
  <c r="A301" i="53"/>
  <c r="AZ299" i="53"/>
  <c r="BA299" i="53"/>
  <c r="AX299" i="53"/>
  <c r="AY299" i="53"/>
  <c r="AV299" i="53"/>
  <c r="AW299" i="53"/>
  <c r="AU299" i="53"/>
  <c r="AS299" i="53"/>
  <c r="AQ299" i="53"/>
  <c r="AO299" i="53"/>
  <c r="AM299" i="53"/>
  <c r="AK299" i="53"/>
  <c r="AJ299" i="53"/>
  <c r="AF299" i="53"/>
  <c r="C299" i="53"/>
  <c r="B299" i="53"/>
  <c r="A299" i="53"/>
  <c r="AZ298" i="53"/>
  <c r="BA298" i="53"/>
  <c r="AX298" i="53"/>
  <c r="AY298" i="53"/>
  <c r="AV298" i="53"/>
  <c r="AW298" i="53"/>
  <c r="AU298" i="53"/>
  <c r="AS298" i="53"/>
  <c r="AQ298" i="53"/>
  <c r="AO298" i="53"/>
  <c r="AM298" i="53"/>
  <c r="AK298" i="53"/>
  <c r="AJ298" i="53"/>
  <c r="AF298" i="53"/>
  <c r="B298" i="53"/>
  <c r="AZ297" i="53"/>
  <c r="AH297" i="53"/>
  <c r="BA297" i="53"/>
  <c r="AV297" i="53"/>
  <c r="AW297" i="53"/>
  <c r="AO297" i="53"/>
  <c r="AJ297" i="53"/>
  <c r="AF297" i="53"/>
  <c r="C297" i="53"/>
  <c r="B297" i="53"/>
  <c r="A297" i="53"/>
  <c r="AZ296" i="53"/>
  <c r="AH296" i="53"/>
  <c r="BA296" i="53"/>
  <c r="AV296" i="53"/>
  <c r="AW296" i="53"/>
  <c r="AO296" i="53"/>
  <c r="AJ296" i="53"/>
  <c r="AF296" i="53"/>
  <c r="C296" i="53"/>
  <c r="B296" i="53"/>
  <c r="A296" i="53"/>
  <c r="AZ295" i="53"/>
  <c r="AH295" i="53"/>
  <c r="BA295" i="53"/>
  <c r="AV295" i="53"/>
  <c r="AW295" i="53"/>
  <c r="AO295" i="53"/>
  <c r="AJ295" i="53"/>
  <c r="AF295" i="53"/>
  <c r="C295" i="53"/>
  <c r="B295" i="53"/>
  <c r="A295" i="53"/>
  <c r="AZ294" i="53"/>
  <c r="AV294" i="53"/>
  <c r="AH294" i="53"/>
  <c r="C294" i="53"/>
  <c r="B294" i="53"/>
  <c r="A294" i="53"/>
  <c r="AZ293" i="53"/>
  <c r="BA293" i="53"/>
  <c r="AV293" i="53"/>
  <c r="AW293" i="53"/>
  <c r="AU293" i="53"/>
  <c r="AS293" i="53"/>
  <c r="AQ293" i="53"/>
  <c r="AO293" i="53"/>
  <c r="AM293" i="53"/>
  <c r="AK293" i="53"/>
  <c r="AG293" i="53"/>
  <c r="AJ293" i="53"/>
  <c r="AF293" i="53"/>
  <c r="C293" i="53"/>
  <c r="B293" i="53"/>
  <c r="A293" i="53"/>
  <c r="AZ292" i="53"/>
  <c r="BA292" i="53"/>
  <c r="AV292" i="53"/>
  <c r="AW292" i="53"/>
  <c r="AU292" i="53"/>
  <c r="AS292" i="53"/>
  <c r="AQ292" i="53"/>
  <c r="AO292" i="53"/>
  <c r="AM292" i="53"/>
  <c r="AK292" i="53"/>
  <c r="AG292" i="53"/>
  <c r="AJ292" i="53"/>
  <c r="AF292" i="53"/>
  <c r="C292" i="53"/>
  <c r="B292" i="53"/>
  <c r="A292" i="53"/>
  <c r="AD291" i="53"/>
  <c r="AC291" i="53"/>
  <c r="AB291" i="53"/>
  <c r="C291" i="53"/>
  <c r="A291" i="53"/>
  <c r="AZ290" i="53"/>
  <c r="BA290" i="53"/>
  <c r="AV290" i="53"/>
  <c r="AW290" i="53"/>
  <c r="AU290" i="53"/>
  <c r="AS290" i="53"/>
  <c r="AQ290" i="53"/>
  <c r="AO290" i="53"/>
  <c r="AM290" i="53"/>
  <c r="AK290" i="53"/>
  <c r="AJ290" i="53"/>
  <c r="AF290" i="53"/>
  <c r="B289" i="53"/>
  <c r="B290" i="53"/>
  <c r="AZ289" i="53"/>
  <c r="BA289" i="53"/>
  <c r="AX289" i="53"/>
  <c r="AY289" i="53"/>
  <c r="AV289" i="53"/>
  <c r="AW289" i="53"/>
  <c r="AU289" i="53"/>
  <c r="AS289" i="53"/>
  <c r="AQ289" i="53"/>
  <c r="AO289" i="53"/>
  <c r="AM289" i="53"/>
  <c r="AK289" i="53"/>
  <c r="AJ289" i="53"/>
  <c r="AF289" i="53"/>
  <c r="C289" i="53"/>
  <c r="C290" i="53"/>
  <c r="A289" i="53"/>
  <c r="A290" i="53"/>
  <c r="AZ288" i="53"/>
  <c r="BA288" i="53"/>
  <c r="AX288" i="53"/>
  <c r="AY288" i="53"/>
  <c r="AV288" i="53"/>
  <c r="AW288" i="53"/>
  <c r="AU288" i="53"/>
  <c r="AS288" i="53"/>
  <c r="AQ288" i="53"/>
  <c r="AO288" i="53"/>
  <c r="AM288" i="53"/>
  <c r="AK288" i="53"/>
  <c r="AJ288" i="53"/>
  <c r="AF288" i="53"/>
  <c r="C288" i="53"/>
  <c r="B288" i="53"/>
  <c r="A288" i="53"/>
  <c r="AZ287" i="53"/>
  <c r="BA287" i="53"/>
  <c r="AX287" i="53"/>
  <c r="AY287" i="53"/>
  <c r="AV287" i="53"/>
  <c r="AW287" i="53"/>
  <c r="AU287" i="53"/>
  <c r="AS287" i="53"/>
  <c r="AQ287" i="53"/>
  <c r="AO287" i="53"/>
  <c r="AM287" i="53"/>
  <c r="AK287" i="53"/>
  <c r="AJ287" i="53"/>
  <c r="AF287" i="53"/>
  <c r="C287" i="53"/>
  <c r="B287" i="53"/>
  <c r="A287" i="53"/>
  <c r="AZ286" i="53"/>
  <c r="BA286" i="53"/>
  <c r="AV286" i="53"/>
  <c r="AW286" i="53"/>
  <c r="AU286" i="53"/>
  <c r="AS286" i="53"/>
  <c r="AQ286" i="53"/>
  <c r="AO286" i="53"/>
  <c r="AM286" i="53"/>
  <c r="AK286" i="53"/>
  <c r="AJ286" i="53"/>
  <c r="AF286" i="53"/>
  <c r="AZ285" i="53"/>
  <c r="AX285" i="53"/>
  <c r="AV285" i="53"/>
  <c r="AJ285" i="53"/>
  <c r="AH285" i="53"/>
  <c r="AF285" i="53"/>
  <c r="C285" i="53"/>
  <c r="B285" i="53"/>
  <c r="A285" i="53"/>
  <c r="AZ284" i="53"/>
  <c r="AX284" i="53"/>
  <c r="AV284" i="53"/>
  <c r="AJ284" i="53"/>
  <c r="AH284" i="53"/>
  <c r="AF284" i="53"/>
  <c r="C284" i="53"/>
  <c r="B284" i="53"/>
  <c r="A284" i="53"/>
  <c r="AZ283" i="53"/>
  <c r="AX283" i="53"/>
  <c r="AV283" i="53"/>
  <c r="AJ283" i="53"/>
  <c r="AH283" i="53"/>
  <c r="AF283" i="53"/>
  <c r="C283" i="53"/>
  <c r="B283" i="53"/>
  <c r="A283" i="53"/>
  <c r="AZ282" i="53"/>
  <c r="BA282" i="53"/>
  <c r="AX282" i="53"/>
  <c r="AY282" i="53"/>
  <c r="AV282" i="53"/>
  <c r="AW282" i="53"/>
  <c r="AU282" i="53"/>
  <c r="AS282" i="53"/>
  <c r="AQ282" i="53"/>
  <c r="AO282" i="53"/>
  <c r="AM282" i="53"/>
  <c r="AK282" i="53"/>
  <c r="AG282" i="53"/>
  <c r="AJ282" i="53"/>
  <c r="AD282" i="53"/>
  <c r="AE282" i="53"/>
  <c r="AF282" i="53"/>
  <c r="C282" i="53"/>
  <c r="B282" i="53"/>
  <c r="A282" i="53"/>
  <c r="AZ281" i="53"/>
  <c r="BA281" i="53"/>
  <c r="AV281" i="53"/>
  <c r="AW281" i="53"/>
  <c r="AU281" i="53"/>
  <c r="AS281" i="53"/>
  <c r="AQ281" i="53"/>
  <c r="AO281" i="53"/>
  <c r="AM281" i="53"/>
  <c r="AK281" i="53"/>
  <c r="AG281" i="53"/>
  <c r="AJ281" i="53"/>
  <c r="AD281" i="53"/>
  <c r="AE281" i="53"/>
  <c r="AF281" i="53"/>
  <c r="C281" i="53"/>
  <c r="B281" i="53"/>
  <c r="A281" i="53"/>
  <c r="AZ280" i="53"/>
  <c r="BA280" i="53"/>
  <c r="AX280" i="53"/>
  <c r="AY280" i="53"/>
  <c r="AV280" i="53"/>
  <c r="AW280" i="53"/>
  <c r="AU280" i="53"/>
  <c r="AS280" i="53"/>
  <c r="AQ280" i="53"/>
  <c r="AO280" i="53"/>
  <c r="AM280" i="53"/>
  <c r="AK280" i="53"/>
  <c r="AG280" i="53"/>
  <c r="AJ280" i="53"/>
  <c r="C280" i="53"/>
  <c r="B280" i="53"/>
  <c r="A280" i="53"/>
  <c r="AZ279" i="53"/>
  <c r="BA279" i="53"/>
  <c r="AX279" i="53"/>
  <c r="AY279" i="53"/>
  <c r="AV279" i="53"/>
  <c r="AW279" i="53"/>
  <c r="AU279" i="53"/>
  <c r="AS279" i="53"/>
  <c r="AQ279" i="53"/>
  <c r="AO279" i="53"/>
  <c r="AM279" i="53"/>
  <c r="AK279" i="53"/>
  <c r="AG279" i="53"/>
  <c r="AJ279" i="53"/>
  <c r="AD279" i="53"/>
  <c r="AE279" i="53"/>
  <c r="AF279" i="53"/>
  <c r="C279" i="53"/>
  <c r="B279" i="53"/>
  <c r="A279" i="53"/>
  <c r="AZ278" i="53"/>
  <c r="BA278" i="53"/>
  <c r="AX278" i="53"/>
  <c r="AY278" i="53"/>
  <c r="AV278" i="53"/>
  <c r="AW278" i="53"/>
  <c r="AU278" i="53"/>
  <c r="AS278" i="53"/>
  <c r="AQ278" i="53"/>
  <c r="AO278" i="53"/>
  <c r="AM278" i="53"/>
  <c r="AK278" i="53"/>
  <c r="AG278" i="53"/>
  <c r="AJ278" i="53"/>
  <c r="AD278" i="53"/>
  <c r="AE278" i="53"/>
  <c r="AF278" i="53"/>
  <c r="C278" i="53"/>
  <c r="B278" i="53"/>
  <c r="A278" i="53"/>
  <c r="AZ277" i="53"/>
  <c r="BA277" i="53"/>
  <c r="AX277" i="53"/>
  <c r="AY277" i="53"/>
  <c r="AV277" i="53"/>
  <c r="AW277" i="53"/>
  <c r="AU277" i="53"/>
  <c r="AS277" i="53"/>
  <c r="AQ277" i="53"/>
  <c r="AO277" i="53"/>
  <c r="AM277" i="53"/>
  <c r="AK277" i="53"/>
  <c r="AG277" i="53"/>
  <c r="AJ277" i="53"/>
  <c r="AD277" i="53"/>
  <c r="C277" i="53"/>
  <c r="B277" i="53"/>
  <c r="A277" i="53"/>
  <c r="AJ276" i="53"/>
  <c r="AC276" i="53"/>
  <c r="AB276" i="53"/>
  <c r="C276" i="53"/>
  <c r="B276" i="53"/>
  <c r="A276" i="53"/>
  <c r="AZ275" i="53"/>
  <c r="BA275" i="53"/>
  <c r="AV275" i="53"/>
  <c r="AW275" i="53"/>
  <c r="AU275" i="53"/>
  <c r="AS275" i="53"/>
  <c r="AQ275" i="53"/>
  <c r="AO275" i="53"/>
  <c r="AM275" i="53"/>
  <c r="AK275" i="53"/>
  <c r="AJ275" i="53"/>
  <c r="AF275" i="53"/>
  <c r="B275" i="53"/>
  <c r="AZ274" i="53"/>
  <c r="BA274" i="53"/>
  <c r="AX274" i="53"/>
  <c r="AY274" i="53"/>
  <c r="AV274" i="53"/>
  <c r="AW274" i="53"/>
  <c r="AU274" i="53"/>
  <c r="AS274" i="53"/>
  <c r="AQ274" i="53"/>
  <c r="AO274" i="53"/>
  <c r="AM274" i="53"/>
  <c r="AK274" i="53"/>
  <c r="AJ274" i="53"/>
  <c r="AF274" i="53"/>
  <c r="C274" i="53"/>
  <c r="C275" i="53"/>
  <c r="A274" i="53"/>
  <c r="A275" i="53"/>
  <c r="AZ273" i="53"/>
  <c r="BA273" i="53"/>
  <c r="AX273" i="53"/>
  <c r="AY273" i="53"/>
  <c r="AV273" i="53"/>
  <c r="AW273" i="53"/>
  <c r="AU273" i="53"/>
  <c r="AS273" i="53"/>
  <c r="AQ273" i="53"/>
  <c r="AO273" i="53"/>
  <c r="AM273" i="53"/>
  <c r="AK273" i="53"/>
  <c r="AJ273" i="53"/>
  <c r="AF273" i="53"/>
  <c r="C273" i="53"/>
  <c r="A273" i="53"/>
  <c r="AZ272" i="53"/>
  <c r="BA272" i="53"/>
  <c r="AX272" i="53"/>
  <c r="AY272" i="53"/>
  <c r="AV272" i="53"/>
  <c r="AW272" i="53"/>
  <c r="AU272" i="53"/>
  <c r="AS272" i="53"/>
  <c r="AQ272" i="53"/>
  <c r="AO272" i="53"/>
  <c r="AM272" i="53"/>
  <c r="AK272" i="53"/>
  <c r="AJ272" i="53"/>
  <c r="AF272" i="53"/>
  <c r="C272" i="53"/>
  <c r="A272" i="53"/>
  <c r="AZ271" i="53"/>
  <c r="BA271" i="53"/>
  <c r="AX271" i="53"/>
  <c r="AY271" i="53"/>
  <c r="AV271" i="53"/>
  <c r="AW271" i="53"/>
  <c r="AU271" i="53"/>
  <c r="AS271" i="53"/>
  <c r="AQ271" i="53"/>
  <c r="AO271" i="53"/>
  <c r="AM271" i="53"/>
  <c r="AK271" i="53"/>
  <c r="AG271" i="53"/>
  <c r="AJ271" i="53"/>
  <c r="C271" i="53"/>
  <c r="A271" i="53"/>
  <c r="AZ270" i="53"/>
  <c r="BA270" i="53"/>
  <c r="AX270" i="53"/>
  <c r="AY270" i="53"/>
  <c r="AV270" i="53"/>
  <c r="AW270" i="53"/>
  <c r="AU270" i="53"/>
  <c r="AS270" i="53"/>
  <c r="AQ270" i="53"/>
  <c r="AO270" i="53"/>
  <c r="AM270" i="53"/>
  <c r="AK270" i="53"/>
  <c r="AG270" i="53"/>
  <c r="AJ270" i="53"/>
  <c r="AF270" i="53"/>
  <c r="C270" i="53"/>
  <c r="A270" i="53"/>
  <c r="AZ269" i="53"/>
  <c r="BA269" i="53"/>
  <c r="AX269" i="53"/>
  <c r="AY269" i="53"/>
  <c r="AV269" i="53"/>
  <c r="AW269" i="53"/>
  <c r="AU269" i="53"/>
  <c r="AS269" i="53"/>
  <c r="AQ269" i="53"/>
  <c r="AO269" i="53"/>
  <c r="AM269" i="53"/>
  <c r="AK269" i="53"/>
  <c r="AG269" i="53"/>
  <c r="AJ269" i="53"/>
  <c r="AF269" i="53"/>
  <c r="C269" i="53"/>
  <c r="A269" i="53"/>
  <c r="AZ268" i="53"/>
  <c r="BA268" i="53"/>
  <c r="AX268" i="53"/>
  <c r="AY268" i="53"/>
  <c r="AV268" i="53"/>
  <c r="AW268" i="53"/>
  <c r="AU268" i="53"/>
  <c r="AS268" i="53"/>
  <c r="AQ268" i="53"/>
  <c r="AO268" i="53"/>
  <c r="AM268" i="53"/>
  <c r="AK268" i="53"/>
  <c r="AG268" i="53"/>
  <c r="AJ268" i="53"/>
  <c r="AF268" i="53"/>
  <c r="C268" i="53"/>
  <c r="A268" i="53"/>
  <c r="AZ267" i="53"/>
  <c r="BA267" i="53"/>
  <c r="AX267" i="53"/>
  <c r="AY267" i="53"/>
  <c r="AV267" i="53"/>
  <c r="AW267" i="53"/>
  <c r="AU267" i="53"/>
  <c r="AS267" i="53"/>
  <c r="AQ267" i="53"/>
  <c r="AO267" i="53"/>
  <c r="AM267" i="53"/>
  <c r="AK267" i="53"/>
  <c r="AG267" i="53"/>
  <c r="AJ267" i="53"/>
  <c r="AF267" i="53"/>
  <c r="C267" i="53"/>
  <c r="A267" i="53"/>
  <c r="AZ266" i="53"/>
  <c r="BA266" i="53"/>
  <c r="AX266" i="53"/>
  <c r="AY266" i="53"/>
  <c r="AV266" i="53"/>
  <c r="AW266" i="53"/>
  <c r="AU266" i="53"/>
  <c r="AS266" i="53"/>
  <c r="AQ266" i="53"/>
  <c r="AO266" i="53"/>
  <c r="AM266" i="53"/>
  <c r="AM263" i="53"/>
  <c r="AM264" i="53"/>
  <c r="AM265" i="53"/>
  <c r="AM262" i="53"/>
  <c r="AK266" i="53"/>
  <c r="AG266" i="53"/>
  <c r="AJ266" i="53"/>
  <c r="AF266" i="53"/>
  <c r="C266" i="53"/>
  <c r="A266" i="53"/>
  <c r="AZ265" i="53"/>
  <c r="BA265" i="53"/>
  <c r="AX265" i="53"/>
  <c r="AY265" i="53"/>
  <c r="AV265" i="53"/>
  <c r="AW265" i="53"/>
  <c r="AS265" i="53"/>
  <c r="AU265" i="53"/>
  <c r="AU263" i="53"/>
  <c r="AU264" i="53"/>
  <c r="AU262" i="53"/>
  <c r="AZ263" i="53"/>
  <c r="AV263" i="53"/>
  <c r="AW263" i="53"/>
  <c r="AZ264" i="53"/>
  <c r="AV264" i="53"/>
  <c r="AW264" i="53"/>
  <c r="AW262" i="53"/>
  <c r="AS263" i="53"/>
  <c r="AS264" i="53"/>
  <c r="AS262" i="53"/>
  <c r="AY262" i="53"/>
  <c r="AQ263" i="53"/>
  <c r="AQ264" i="53"/>
  <c r="AQ265" i="53"/>
  <c r="AQ262" i="53"/>
  <c r="BA262" i="53"/>
  <c r="AO265" i="53"/>
  <c r="AF265" i="53"/>
  <c r="C265" i="53"/>
  <c r="A265" i="53"/>
  <c r="BA264" i="53"/>
  <c r="AX264" i="53"/>
  <c r="AY264" i="53"/>
  <c r="AO264" i="53"/>
  <c r="AK264" i="53"/>
  <c r="AJ264" i="53"/>
  <c r="AF264" i="53"/>
  <c r="C264" i="53"/>
  <c r="A264" i="53"/>
  <c r="BA263" i="53"/>
  <c r="AK263" i="53"/>
  <c r="AK262" i="53"/>
  <c r="BB262" i="53"/>
  <c r="AO263" i="53"/>
  <c r="AO262" i="53"/>
  <c r="AG263" i="53"/>
  <c r="AJ263" i="53"/>
  <c r="AF263" i="53"/>
  <c r="C263" i="53"/>
  <c r="A263" i="53"/>
  <c r="AJ262" i="53"/>
  <c r="AH262" i="53"/>
  <c r="AG262" i="53"/>
  <c r="AD262" i="53"/>
  <c r="AB262" i="53"/>
  <c r="AE262" i="53"/>
  <c r="AF262" i="53"/>
  <c r="AC262" i="53"/>
  <c r="C262" i="53"/>
  <c r="A262" i="53"/>
  <c r="AZ261" i="53"/>
  <c r="BA261" i="53"/>
  <c r="AX261" i="53"/>
  <c r="AY261" i="53"/>
  <c r="AV261" i="53"/>
  <c r="AW261" i="53"/>
  <c r="AU261" i="53"/>
  <c r="AS261" i="53"/>
  <c r="AQ261" i="53"/>
  <c r="AO261" i="53"/>
  <c r="AM261" i="53"/>
  <c r="AK261" i="53"/>
  <c r="AJ261" i="53"/>
  <c r="AF261" i="53"/>
  <c r="C261" i="53"/>
  <c r="B261" i="53"/>
  <c r="A261" i="53"/>
  <c r="AZ260" i="53"/>
  <c r="BA260" i="53"/>
  <c r="AV260" i="53"/>
  <c r="AW260" i="53"/>
  <c r="AU260" i="53"/>
  <c r="AS260" i="53"/>
  <c r="AQ260" i="53"/>
  <c r="AO260" i="53"/>
  <c r="AM260" i="53"/>
  <c r="AK260" i="53"/>
  <c r="AJ260" i="53"/>
  <c r="AF260" i="53"/>
  <c r="C260" i="53"/>
  <c r="B260" i="53"/>
  <c r="A260" i="53"/>
  <c r="AZ259" i="53"/>
  <c r="BA259" i="53"/>
  <c r="AX259" i="53"/>
  <c r="AY259" i="53"/>
  <c r="AV259" i="53"/>
  <c r="AW259" i="53"/>
  <c r="AU259" i="53"/>
  <c r="AS259" i="53"/>
  <c r="AQ259" i="53"/>
  <c r="AO259" i="53"/>
  <c r="AM259" i="53"/>
  <c r="AK259" i="53"/>
  <c r="AJ259" i="53"/>
  <c r="AF259" i="53"/>
  <c r="C259" i="53"/>
  <c r="B259" i="53"/>
  <c r="A259" i="53"/>
  <c r="AZ258" i="53"/>
  <c r="BA258" i="53"/>
  <c r="AX258" i="53"/>
  <c r="AY258" i="53"/>
  <c r="AV258" i="53"/>
  <c r="AW258" i="53"/>
  <c r="AU258" i="53"/>
  <c r="AS258" i="53"/>
  <c r="AQ258" i="53"/>
  <c r="AO258" i="53"/>
  <c r="AM258" i="53"/>
  <c r="AK258" i="53"/>
  <c r="AJ258" i="53"/>
  <c r="AF258" i="53"/>
  <c r="C258" i="53"/>
  <c r="B258" i="53"/>
  <c r="A258" i="53"/>
  <c r="AZ257" i="53"/>
  <c r="BA257" i="53"/>
  <c r="AX257" i="53"/>
  <c r="AY257" i="53"/>
  <c r="AV257" i="53"/>
  <c r="AW257" i="53"/>
  <c r="AU257" i="53"/>
  <c r="AS257" i="53"/>
  <c r="AQ257" i="53"/>
  <c r="AO257" i="53"/>
  <c r="AM257" i="53"/>
  <c r="AK257" i="53"/>
  <c r="AJ257" i="53"/>
  <c r="AF257" i="53"/>
  <c r="AZ256" i="53"/>
  <c r="BA256" i="53"/>
  <c r="AX256" i="53"/>
  <c r="AY256" i="53"/>
  <c r="AV256" i="53"/>
  <c r="AW256" i="53"/>
  <c r="AU256" i="53"/>
  <c r="AS256" i="53"/>
  <c r="AQ256" i="53"/>
  <c r="AO256" i="53"/>
  <c r="AM256" i="53"/>
  <c r="AK256" i="53"/>
  <c r="AG256" i="53"/>
  <c r="AJ256" i="53"/>
  <c r="AD256" i="53"/>
  <c r="AE256" i="53"/>
  <c r="AF256" i="53"/>
  <c r="C256" i="53"/>
  <c r="B256" i="53"/>
  <c r="A256" i="53"/>
  <c r="AZ255" i="53"/>
  <c r="BA255" i="53"/>
  <c r="AX255" i="53"/>
  <c r="AY255" i="53"/>
  <c r="AV255" i="53"/>
  <c r="AW255" i="53"/>
  <c r="AU255" i="53"/>
  <c r="AS255" i="53"/>
  <c r="AQ255" i="53"/>
  <c r="AO255" i="53"/>
  <c r="AM255" i="53"/>
  <c r="AK255" i="53"/>
  <c r="AG255" i="53"/>
  <c r="AJ255" i="53"/>
  <c r="AD255" i="53"/>
  <c r="AE255" i="53"/>
  <c r="AF255" i="53"/>
  <c r="C255" i="53"/>
  <c r="B255" i="53"/>
  <c r="A255" i="53"/>
  <c r="AZ254" i="53"/>
  <c r="BA254" i="53"/>
  <c r="AX254" i="53"/>
  <c r="AY254" i="53"/>
  <c r="AV254" i="53"/>
  <c r="AW254" i="53"/>
  <c r="AU254" i="53"/>
  <c r="AS254" i="53"/>
  <c r="AQ254" i="53"/>
  <c r="AO254" i="53"/>
  <c r="AM254" i="53"/>
  <c r="AK254" i="53"/>
  <c r="AG254" i="53"/>
  <c r="AJ254" i="53"/>
  <c r="C254" i="53"/>
  <c r="B254" i="53"/>
  <c r="A254" i="53"/>
  <c r="AZ253" i="53"/>
  <c r="BA253" i="53"/>
  <c r="AU253" i="53"/>
  <c r="AS253" i="53"/>
  <c r="AQ253" i="53"/>
  <c r="AO253" i="53"/>
  <c r="AM253" i="53"/>
  <c r="AK253" i="53"/>
  <c r="AG253" i="53"/>
  <c r="AJ253" i="53"/>
  <c r="AD253" i="53"/>
  <c r="AE253" i="53"/>
  <c r="AF253" i="53"/>
  <c r="C253" i="53"/>
  <c r="B253" i="53"/>
  <c r="A253" i="53"/>
  <c r="AZ252" i="53"/>
  <c r="BA252" i="53"/>
  <c r="AX252" i="53"/>
  <c r="AY252" i="53"/>
  <c r="AV252" i="53"/>
  <c r="AW252" i="53"/>
  <c r="AU252" i="53"/>
  <c r="AS252" i="53"/>
  <c r="AQ252" i="53"/>
  <c r="AO252" i="53"/>
  <c r="AM252" i="53"/>
  <c r="AK252" i="53"/>
  <c r="AG252" i="53"/>
  <c r="AJ252" i="53"/>
  <c r="AD252" i="53"/>
  <c r="AE252" i="53"/>
  <c r="AF252" i="53"/>
  <c r="C252" i="53"/>
  <c r="B252" i="53"/>
  <c r="A252" i="53"/>
  <c r="AZ251" i="53"/>
  <c r="BA251" i="53"/>
  <c r="AX251" i="53"/>
  <c r="AY251" i="53"/>
  <c r="AV251" i="53"/>
  <c r="AW251" i="53"/>
  <c r="AU251" i="53"/>
  <c r="AS251" i="53"/>
  <c r="AQ251" i="53"/>
  <c r="AO251" i="53"/>
  <c r="AM251" i="53"/>
  <c r="AK251" i="53"/>
  <c r="AG251" i="53"/>
  <c r="AJ251" i="53"/>
  <c r="AD251" i="53"/>
  <c r="AE251" i="53"/>
  <c r="AF251" i="53"/>
  <c r="C251" i="53"/>
  <c r="B251" i="53"/>
  <c r="A251" i="53"/>
  <c r="AZ250" i="53"/>
  <c r="BA250" i="53"/>
  <c r="AX250" i="53"/>
  <c r="AY250" i="53"/>
  <c r="AV250" i="53"/>
  <c r="AW250" i="53"/>
  <c r="AU250" i="53"/>
  <c r="AU249" i="53"/>
  <c r="AU248" i="53"/>
  <c r="AS250" i="53"/>
  <c r="AQ250" i="53"/>
  <c r="AQ249" i="53"/>
  <c r="AQ248" i="53"/>
  <c r="AO250" i="53"/>
  <c r="AM250" i="53"/>
  <c r="AM249" i="53"/>
  <c r="AM248" i="53"/>
  <c r="AK250" i="53"/>
  <c r="AJ250" i="53"/>
  <c r="AF250" i="53"/>
  <c r="C250" i="53"/>
  <c r="B250" i="53"/>
  <c r="A250" i="53"/>
  <c r="AZ249" i="53"/>
  <c r="BA249" i="53"/>
  <c r="AX249" i="53"/>
  <c r="AY249" i="53"/>
  <c r="AV249" i="53"/>
  <c r="AW249" i="53"/>
  <c r="AS249" i="53"/>
  <c r="AO249" i="53"/>
  <c r="AK249" i="53"/>
  <c r="AG249" i="53"/>
  <c r="AJ249" i="53"/>
  <c r="AJ248" i="53"/>
  <c r="AD249" i="53"/>
  <c r="AE249" i="53"/>
  <c r="AF249" i="53"/>
  <c r="C249" i="53"/>
  <c r="B249" i="53"/>
  <c r="A249" i="53"/>
  <c r="AS248" i="53"/>
  <c r="AO248" i="53"/>
  <c r="AK248" i="53"/>
  <c r="AH248" i="53"/>
  <c r="AG248" i="53"/>
  <c r="AD248" i="53"/>
  <c r="AB248" i="53"/>
  <c r="AE248" i="53"/>
  <c r="AF248" i="53"/>
  <c r="AC248" i="53"/>
  <c r="C248" i="53"/>
  <c r="B248" i="53"/>
  <c r="A248" i="53"/>
  <c r="AZ247" i="53"/>
  <c r="BA247" i="53"/>
  <c r="AX247" i="53"/>
  <c r="AY247" i="53"/>
  <c r="AV247" i="53"/>
  <c r="AW247" i="53"/>
  <c r="AU247" i="53"/>
  <c r="AS247" i="53"/>
  <c r="AQ247" i="53"/>
  <c r="AO247" i="53"/>
  <c r="AM247" i="53"/>
  <c r="AK247" i="53"/>
  <c r="AJ247" i="53"/>
  <c r="AF247" i="53"/>
  <c r="C246" i="53"/>
  <c r="C247" i="53"/>
  <c r="B247" i="53"/>
  <c r="A246" i="53"/>
  <c r="A247" i="53"/>
  <c r="AZ246" i="53"/>
  <c r="BA246" i="53"/>
  <c r="AX246" i="53"/>
  <c r="AY246" i="53"/>
  <c r="AV246" i="53"/>
  <c r="AW246" i="53"/>
  <c r="AZ240" i="53"/>
  <c r="AV240" i="53"/>
  <c r="AW240" i="53"/>
  <c r="AZ241" i="53"/>
  <c r="AV241" i="53"/>
  <c r="AW241" i="53"/>
  <c r="AZ242" i="53"/>
  <c r="AV242" i="53"/>
  <c r="AH242" i="53"/>
  <c r="AW242" i="53"/>
  <c r="AZ243" i="53"/>
  <c r="AV243" i="53"/>
  <c r="AH243" i="53"/>
  <c r="AW243" i="53"/>
  <c r="AZ244" i="53"/>
  <c r="AV244" i="53"/>
  <c r="AW244" i="53"/>
  <c r="AZ245" i="53"/>
  <c r="AV245" i="53"/>
  <c r="AW245" i="53"/>
  <c r="AW239" i="53"/>
  <c r="AU246" i="53"/>
  <c r="AS246" i="53"/>
  <c r="AQ246" i="53"/>
  <c r="AO246" i="53"/>
  <c r="AM246" i="53"/>
  <c r="AK246" i="53"/>
  <c r="AJ246" i="53"/>
  <c r="AF246" i="53"/>
  <c r="B246" i="53"/>
  <c r="BA245" i="53"/>
  <c r="AX245" i="53"/>
  <c r="AY245" i="53"/>
  <c r="AU245" i="53"/>
  <c r="AS245" i="53"/>
  <c r="AQ245" i="53"/>
  <c r="AO245" i="53"/>
  <c r="AM245" i="53"/>
  <c r="AK245" i="53"/>
  <c r="AJ245" i="53"/>
  <c r="C245" i="53"/>
  <c r="B245" i="53"/>
  <c r="A245" i="53"/>
  <c r="BA244" i="53"/>
  <c r="AX244" i="53"/>
  <c r="AY244" i="53"/>
  <c r="AU244" i="53"/>
  <c r="AS244" i="53"/>
  <c r="AQ244" i="53"/>
  <c r="AO244" i="53"/>
  <c r="AM244" i="53"/>
  <c r="AK244" i="53"/>
  <c r="AJ244" i="53"/>
  <c r="B244" i="53"/>
  <c r="BA243" i="53"/>
  <c r="AX243" i="53"/>
  <c r="AY243" i="53"/>
  <c r="AU243" i="53"/>
  <c r="AQ243" i="53"/>
  <c r="AM243" i="53"/>
  <c r="AS243" i="53"/>
  <c r="AG243" i="53"/>
  <c r="AJ243" i="53"/>
  <c r="C243" i="53"/>
  <c r="B243" i="53"/>
  <c r="A243" i="53"/>
  <c r="BA242" i="53"/>
  <c r="AX242" i="53"/>
  <c r="AY242" i="53"/>
  <c r="AU242" i="53"/>
  <c r="AQ242" i="53"/>
  <c r="AM242" i="53"/>
  <c r="AS242" i="53"/>
  <c r="AS240" i="53"/>
  <c r="AS241" i="53"/>
  <c r="AS239" i="53"/>
  <c r="AG242" i="53"/>
  <c r="AJ242" i="53"/>
  <c r="C242" i="53"/>
  <c r="B242" i="53"/>
  <c r="A242" i="53"/>
  <c r="BA241" i="53"/>
  <c r="AX241" i="53"/>
  <c r="AY241" i="53"/>
  <c r="AU241" i="53"/>
  <c r="AQ241" i="53"/>
  <c r="AO241" i="53"/>
  <c r="AM241" i="53"/>
  <c r="AK241" i="53"/>
  <c r="AJ241" i="53"/>
  <c r="C241" i="53"/>
  <c r="B241" i="53"/>
  <c r="A241" i="53"/>
  <c r="BA240" i="53"/>
  <c r="AX240" i="53"/>
  <c r="AY240" i="53"/>
  <c r="AU240" i="53"/>
  <c r="AU239" i="53"/>
  <c r="AQ240" i="53"/>
  <c r="AQ239" i="53"/>
  <c r="AO240" i="53"/>
  <c r="AM240" i="53"/>
  <c r="AM239" i="53"/>
  <c r="AK240" i="53"/>
  <c r="AG240" i="53"/>
  <c r="AJ240" i="53"/>
  <c r="AJ239" i="53"/>
  <c r="C240" i="53"/>
  <c r="B240" i="53"/>
  <c r="A240" i="53"/>
  <c r="AH239" i="53"/>
  <c r="AG239" i="53"/>
  <c r="AD239" i="53"/>
  <c r="AB239" i="53"/>
  <c r="AE239" i="53"/>
  <c r="AF239" i="53"/>
  <c r="AC239" i="53"/>
  <c r="C239" i="53"/>
  <c r="A239" i="53"/>
  <c r="AZ238" i="53"/>
  <c r="BA238" i="53"/>
  <c r="AX238" i="53"/>
  <c r="AY238" i="53"/>
  <c r="AV238" i="53"/>
  <c r="AW238" i="53"/>
  <c r="AU238" i="53"/>
  <c r="AS238" i="53"/>
  <c r="AQ238" i="53"/>
  <c r="AO238" i="53"/>
  <c r="AM238" i="53"/>
  <c r="AK238" i="53"/>
  <c r="AJ238" i="53"/>
  <c r="AF238" i="53"/>
  <c r="B238" i="53"/>
  <c r="AZ237" i="53"/>
  <c r="BA237" i="53"/>
  <c r="AX237" i="53"/>
  <c r="AY237" i="53"/>
  <c r="AV237" i="53"/>
  <c r="AW237" i="53"/>
  <c r="AU237" i="53"/>
  <c r="AS237" i="53"/>
  <c r="AQ237" i="53"/>
  <c r="AO237" i="53"/>
  <c r="AM237" i="53"/>
  <c r="AK237" i="53"/>
  <c r="AJ237" i="53"/>
  <c r="AF237" i="53"/>
  <c r="C237" i="53"/>
  <c r="C238" i="53"/>
  <c r="A237" i="53"/>
  <c r="A238" i="53"/>
  <c r="AZ236" i="53"/>
  <c r="BA236" i="53"/>
  <c r="AX236" i="53"/>
  <c r="AY236" i="53"/>
  <c r="AV236" i="53"/>
  <c r="AW236" i="53"/>
  <c r="AU236" i="53"/>
  <c r="AS236" i="53"/>
  <c r="AQ236" i="53"/>
  <c r="AO236" i="53"/>
  <c r="AM236" i="53"/>
  <c r="AF236" i="53"/>
  <c r="C236" i="53"/>
  <c r="A236" i="53"/>
  <c r="AZ235" i="53"/>
  <c r="BA235" i="53"/>
  <c r="AX235" i="53"/>
  <c r="AY235" i="53"/>
  <c r="AV235" i="53"/>
  <c r="AW235" i="53"/>
  <c r="AU235" i="53"/>
  <c r="AS235" i="53"/>
  <c r="AQ235" i="53"/>
  <c r="AO235" i="53"/>
  <c r="AM235" i="53"/>
  <c r="AF235" i="53"/>
  <c r="C235" i="53"/>
  <c r="A235" i="53"/>
  <c r="AZ234" i="53"/>
  <c r="BA234" i="53"/>
  <c r="AX234" i="53"/>
  <c r="AY234" i="53"/>
  <c r="AV234" i="53"/>
  <c r="AW234" i="53"/>
  <c r="AU234" i="53"/>
  <c r="AS234" i="53"/>
  <c r="AQ234" i="53"/>
  <c r="AO234" i="53"/>
  <c r="AM234" i="53"/>
  <c r="AK234" i="53"/>
  <c r="AJ234" i="53"/>
  <c r="AF234" i="53"/>
  <c r="AZ233" i="53"/>
  <c r="BA233" i="53"/>
  <c r="AX233" i="53"/>
  <c r="AY233" i="53"/>
  <c r="AV233" i="53"/>
  <c r="AW233" i="53"/>
  <c r="AU233" i="53"/>
  <c r="AS233" i="53"/>
  <c r="AQ233" i="53"/>
  <c r="AO233" i="53"/>
  <c r="AM233" i="53"/>
  <c r="AK233" i="53"/>
  <c r="AG233" i="53"/>
  <c r="AJ233" i="53"/>
  <c r="C233" i="53"/>
  <c r="A233" i="53"/>
  <c r="AZ232" i="53"/>
  <c r="BA232" i="53"/>
  <c r="AX232" i="53"/>
  <c r="AY232" i="53"/>
  <c r="AV232" i="53"/>
  <c r="AW232" i="53"/>
  <c r="AU232" i="53"/>
  <c r="AS232" i="53"/>
  <c r="AQ232" i="53"/>
  <c r="AO232" i="53"/>
  <c r="AM232" i="53"/>
  <c r="AK232" i="53"/>
  <c r="AG232" i="53"/>
  <c r="AJ232" i="53"/>
  <c r="C232" i="53"/>
  <c r="A232" i="53"/>
  <c r="AZ231" i="53"/>
  <c r="BA231" i="53"/>
  <c r="AX231" i="53"/>
  <c r="AY231" i="53"/>
  <c r="AV231" i="53"/>
  <c r="AW231" i="53"/>
  <c r="AU231" i="53"/>
  <c r="AS231" i="53"/>
  <c r="AQ231" i="53"/>
  <c r="AO231" i="53"/>
  <c r="AM231" i="53"/>
  <c r="AK231" i="53"/>
  <c r="AG231" i="53"/>
  <c r="AJ231" i="53"/>
  <c r="C231" i="53"/>
  <c r="A231" i="53"/>
  <c r="AZ230" i="53"/>
  <c r="BA230" i="53"/>
  <c r="AX230" i="53"/>
  <c r="AY230" i="53"/>
  <c r="AV230" i="53"/>
  <c r="AW230" i="53"/>
  <c r="AU230" i="53"/>
  <c r="AS230" i="53"/>
  <c r="AQ230" i="53"/>
  <c r="AO230" i="53"/>
  <c r="AM230" i="53"/>
  <c r="AK230" i="53"/>
  <c r="AG230" i="53"/>
  <c r="AJ230" i="53"/>
  <c r="C230" i="53"/>
  <c r="A230" i="53"/>
  <c r="AZ229" i="53"/>
  <c r="BA229" i="53"/>
  <c r="AX229" i="53"/>
  <c r="AY229" i="53"/>
  <c r="AV229" i="53"/>
  <c r="AW229" i="53"/>
  <c r="AU229" i="53"/>
  <c r="AS229" i="53"/>
  <c r="AQ229" i="53"/>
  <c r="AO229" i="53"/>
  <c r="AM229" i="53"/>
  <c r="AK229" i="53"/>
  <c r="AG229" i="53"/>
  <c r="AJ229" i="53"/>
  <c r="C229" i="53"/>
  <c r="A229" i="53"/>
  <c r="AZ228" i="53"/>
  <c r="BA228" i="53"/>
  <c r="AX228" i="53"/>
  <c r="AY228" i="53"/>
  <c r="AV228" i="53"/>
  <c r="AW228" i="53"/>
  <c r="AU228" i="53"/>
  <c r="AS228" i="53"/>
  <c r="AQ228" i="53"/>
  <c r="AO228" i="53"/>
  <c r="AM228" i="53"/>
  <c r="AF228" i="53"/>
  <c r="C228" i="53"/>
  <c r="A228" i="53"/>
  <c r="AZ227" i="53"/>
  <c r="BA227" i="53"/>
  <c r="AX227" i="53"/>
  <c r="AY227" i="53"/>
  <c r="AV227" i="53"/>
  <c r="AW227" i="53"/>
  <c r="AU227" i="53"/>
  <c r="AS227" i="53"/>
  <c r="AQ227" i="53"/>
  <c r="AO227" i="53"/>
  <c r="AM227" i="53"/>
  <c r="AK227" i="53"/>
  <c r="AJ227" i="53"/>
  <c r="AF227" i="53"/>
  <c r="C227" i="53"/>
  <c r="A227" i="53"/>
  <c r="AZ226" i="53"/>
  <c r="BA226" i="53"/>
  <c r="AX226" i="53"/>
  <c r="AY226" i="53"/>
  <c r="AV226" i="53"/>
  <c r="AW226" i="53"/>
  <c r="AW225" i="53"/>
  <c r="AU226" i="53"/>
  <c r="AS226" i="53"/>
  <c r="AQ226" i="53"/>
  <c r="AO226" i="53"/>
  <c r="AM226" i="53"/>
  <c r="AK226" i="53"/>
  <c r="AG226" i="53"/>
  <c r="AJ226" i="53"/>
  <c r="C226" i="53"/>
  <c r="A226" i="53"/>
  <c r="AU225" i="53"/>
  <c r="AS225" i="53"/>
  <c r="AQ225" i="53"/>
  <c r="AO225" i="53"/>
  <c r="AM225" i="53"/>
  <c r="AK225" i="53"/>
  <c r="AJ225" i="53"/>
  <c r="AH225" i="53"/>
  <c r="AG225" i="53"/>
  <c r="AD225" i="53"/>
  <c r="AB225" i="53"/>
  <c r="AE225" i="53"/>
  <c r="AF225" i="53"/>
  <c r="AC225" i="53"/>
  <c r="C225" i="53"/>
  <c r="A225" i="53"/>
  <c r="AZ224" i="53"/>
  <c r="BA224" i="53"/>
  <c r="AX224" i="53"/>
  <c r="AY224" i="53"/>
  <c r="AV224" i="53"/>
  <c r="AW224" i="53"/>
  <c r="AU224" i="53"/>
  <c r="AS224" i="53"/>
  <c r="AQ224" i="53"/>
  <c r="AO224" i="53"/>
  <c r="AM224" i="53"/>
  <c r="AK224" i="53"/>
  <c r="AJ224" i="53"/>
  <c r="AF224" i="53"/>
  <c r="C224" i="53"/>
  <c r="B224" i="53"/>
  <c r="A224" i="53"/>
  <c r="AZ223" i="53"/>
  <c r="BA223" i="53"/>
  <c r="AX223" i="53"/>
  <c r="AY223" i="53"/>
  <c r="AV223" i="53"/>
  <c r="AW223" i="53"/>
  <c r="AU223" i="53"/>
  <c r="AS223" i="53"/>
  <c r="AQ223" i="53"/>
  <c r="AO223" i="53"/>
  <c r="AM223" i="53"/>
  <c r="AK223" i="53"/>
  <c r="AJ223" i="53"/>
  <c r="AF223" i="53"/>
  <c r="C223" i="53"/>
  <c r="B223" i="53"/>
  <c r="A223" i="53"/>
  <c r="AZ222" i="53"/>
  <c r="BA222" i="53"/>
  <c r="AX222" i="53"/>
  <c r="AY222" i="53"/>
  <c r="AV222" i="53"/>
  <c r="AW222" i="53"/>
  <c r="AU222" i="53"/>
  <c r="AS222" i="53"/>
  <c r="AQ222" i="53"/>
  <c r="AO222" i="53"/>
  <c r="AM222" i="53"/>
  <c r="AK222" i="53"/>
  <c r="AJ222" i="53"/>
  <c r="AF222" i="53"/>
  <c r="C222" i="53"/>
  <c r="B222" i="53"/>
  <c r="A222" i="53"/>
  <c r="AZ221" i="53"/>
  <c r="BA221" i="53"/>
  <c r="AX221" i="53"/>
  <c r="AY221" i="53"/>
  <c r="AV221" i="53"/>
  <c r="AW221" i="53"/>
  <c r="AU221" i="53"/>
  <c r="AS221" i="53"/>
  <c r="AQ221" i="53"/>
  <c r="AO221" i="53"/>
  <c r="AM221" i="53"/>
  <c r="AK221" i="53"/>
  <c r="AJ221" i="53"/>
  <c r="AF221" i="53"/>
  <c r="C221" i="53"/>
  <c r="B221" i="53"/>
  <c r="A221" i="53"/>
  <c r="AZ220" i="53"/>
  <c r="BA220" i="53"/>
  <c r="AX220" i="53"/>
  <c r="AY220" i="53"/>
  <c r="AV220" i="53"/>
  <c r="AW220" i="53"/>
  <c r="AU220" i="53"/>
  <c r="AS220" i="53"/>
  <c r="AQ220" i="53"/>
  <c r="AO220" i="53"/>
  <c r="AM220" i="53"/>
  <c r="AK220" i="53"/>
  <c r="AJ220" i="53"/>
  <c r="AF220" i="53"/>
  <c r="C220" i="53"/>
  <c r="B220" i="53"/>
  <c r="A220" i="53"/>
  <c r="AZ219" i="53"/>
  <c r="AH219" i="53"/>
  <c r="BA219" i="53"/>
  <c r="AX219" i="53"/>
  <c r="AY219" i="53"/>
  <c r="AV219" i="53"/>
  <c r="AW219" i="53"/>
  <c r="AJ219" i="53"/>
  <c r="AU219" i="53"/>
  <c r="AF219" i="53"/>
  <c r="C219" i="53"/>
  <c r="B219" i="53"/>
  <c r="A219" i="53"/>
  <c r="AZ218" i="53"/>
  <c r="AH218" i="53"/>
  <c r="BA218" i="53"/>
  <c r="AX218" i="53"/>
  <c r="AY218" i="53"/>
  <c r="AV218" i="53"/>
  <c r="AW218" i="53"/>
  <c r="AJ218" i="53"/>
  <c r="AU218" i="53"/>
  <c r="AF218" i="53"/>
  <c r="C218" i="53"/>
  <c r="B218" i="53"/>
  <c r="A218" i="53"/>
  <c r="AZ217" i="53"/>
  <c r="AH217" i="53"/>
  <c r="BA217" i="53"/>
  <c r="AX217" i="53"/>
  <c r="AY217" i="53"/>
  <c r="AV217" i="53"/>
  <c r="AW217" i="53"/>
  <c r="AJ217" i="53"/>
  <c r="AU217" i="53"/>
  <c r="AF217" i="53"/>
  <c r="C217" i="53"/>
  <c r="B217" i="53"/>
  <c r="A217" i="53"/>
  <c r="AZ216" i="53"/>
  <c r="BA216" i="53"/>
  <c r="AX216" i="53"/>
  <c r="AY216" i="53"/>
  <c r="AV216" i="53"/>
  <c r="AW216" i="53"/>
  <c r="AU216" i="53"/>
  <c r="AS216" i="53"/>
  <c r="AQ216" i="53"/>
  <c r="AO216" i="53"/>
  <c r="AM216" i="53"/>
  <c r="AK216" i="53"/>
  <c r="AG216" i="53"/>
  <c r="AJ216" i="53"/>
  <c r="AF216" i="53"/>
  <c r="C216" i="53"/>
  <c r="B216" i="53"/>
  <c r="A216" i="53"/>
  <c r="AZ215" i="53"/>
  <c r="BA215" i="53"/>
  <c r="AX215" i="53"/>
  <c r="AY215" i="53"/>
  <c r="AV215" i="53"/>
  <c r="AW215" i="53"/>
  <c r="AU215" i="53"/>
  <c r="AS215" i="53"/>
  <c r="AQ215" i="53"/>
  <c r="AO215" i="53"/>
  <c r="AM215" i="53"/>
  <c r="AK215" i="53"/>
  <c r="AG215" i="53"/>
  <c r="AJ215" i="53"/>
  <c r="AF215" i="53"/>
  <c r="C215" i="53"/>
  <c r="B215" i="53"/>
  <c r="A215" i="53"/>
  <c r="AZ214" i="53"/>
  <c r="BA214" i="53"/>
  <c r="AX214" i="53"/>
  <c r="AY214" i="53"/>
  <c r="AV214" i="53"/>
  <c r="AW214" i="53"/>
  <c r="AU214" i="53"/>
  <c r="AS214" i="53"/>
  <c r="AQ214" i="53"/>
  <c r="AO214" i="53"/>
  <c r="AM214" i="53"/>
  <c r="AK214" i="53"/>
  <c r="AG214" i="53"/>
  <c r="AJ214" i="53"/>
  <c r="AF214" i="53"/>
  <c r="C214" i="53"/>
  <c r="B214" i="53"/>
  <c r="A214" i="53"/>
  <c r="AZ213" i="53"/>
  <c r="BA213" i="53"/>
  <c r="AX213" i="53"/>
  <c r="AY213" i="53"/>
  <c r="AV213" i="53"/>
  <c r="AW213" i="53"/>
  <c r="AU213" i="53"/>
  <c r="AS213" i="53"/>
  <c r="AQ213" i="53"/>
  <c r="AO213" i="53"/>
  <c r="AM213" i="53"/>
  <c r="AK213" i="53"/>
  <c r="AG213" i="53"/>
  <c r="AJ213" i="53"/>
  <c r="AF213" i="53"/>
  <c r="C213" i="53"/>
  <c r="B213" i="53"/>
  <c r="A213" i="53"/>
  <c r="AZ212" i="53"/>
  <c r="BA212" i="53"/>
  <c r="AX212" i="53"/>
  <c r="AY212" i="53"/>
  <c r="AV212" i="53"/>
  <c r="AW212" i="53"/>
  <c r="AU212" i="53"/>
  <c r="AS212" i="53"/>
  <c r="AQ212" i="53"/>
  <c r="AO212" i="53"/>
  <c r="AM212" i="53"/>
  <c r="AK212" i="53"/>
  <c r="AG212" i="53"/>
  <c r="AJ212" i="53"/>
  <c r="AF212" i="53"/>
  <c r="C212" i="53"/>
  <c r="B212" i="53"/>
  <c r="A212" i="53"/>
  <c r="AZ211" i="53"/>
  <c r="BA211" i="53"/>
  <c r="AX211" i="53"/>
  <c r="AY211" i="53"/>
  <c r="AV211" i="53"/>
  <c r="AW211" i="53"/>
  <c r="AU211" i="53"/>
  <c r="AS211" i="53"/>
  <c r="AQ211" i="53"/>
  <c r="AO211" i="53"/>
  <c r="AM211" i="53"/>
  <c r="AK211" i="53"/>
  <c r="AG211" i="53"/>
  <c r="AJ211" i="53"/>
  <c r="AF211" i="53"/>
  <c r="C211" i="53"/>
  <c r="B211" i="53"/>
  <c r="A211" i="53"/>
  <c r="AZ210" i="53"/>
  <c r="BA210" i="53"/>
  <c r="AX210" i="53"/>
  <c r="AY210" i="53"/>
  <c r="AV210" i="53"/>
  <c r="AW210" i="53"/>
  <c r="AU210" i="53"/>
  <c r="AS210" i="53"/>
  <c r="AQ210" i="53"/>
  <c r="AO210" i="53"/>
  <c r="AM210" i="53"/>
  <c r="AK210" i="53"/>
  <c r="AG210" i="53"/>
  <c r="AJ210" i="53"/>
  <c r="AG208" i="53"/>
  <c r="AJ208" i="53"/>
  <c r="AJ209" i="53"/>
  <c r="AJ207" i="53"/>
  <c r="AF210" i="53"/>
  <c r="C210" i="53"/>
  <c r="B210" i="53"/>
  <c r="A210" i="53"/>
  <c r="AZ209" i="53"/>
  <c r="BA209" i="53"/>
  <c r="AX209" i="53"/>
  <c r="AY209" i="53"/>
  <c r="AV209" i="53"/>
  <c r="AW209" i="53"/>
  <c r="AU209" i="53"/>
  <c r="AS209" i="53"/>
  <c r="AQ209" i="53"/>
  <c r="AO209" i="53"/>
  <c r="AM209" i="53"/>
  <c r="AK209" i="53"/>
  <c r="AF209" i="53"/>
  <c r="C209" i="53"/>
  <c r="B209" i="53"/>
  <c r="A209" i="53"/>
  <c r="AZ208" i="53"/>
  <c r="BA208" i="53"/>
  <c r="AX208" i="53"/>
  <c r="AY208" i="53"/>
  <c r="AV208" i="53"/>
  <c r="AW208" i="53"/>
  <c r="AW207" i="53"/>
  <c r="AU208" i="53"/>
  <c r="AS208" i="53"/>
  <c r="AQ208" i="53"/>
  <c r="AO208" i="53"/>
  <c r="AM208" i="53"/>
  <c r="AK208" i="53"/>
  <c r="AF208" i="53"/>
  <c r="C208" i="53"/>
  <c r="B208" i="53"/>
  <c r="A208" i="53"/>
  <c r="AH207" i="53"/>
  <c r="AG207" i="53"/>
  <c r="AD207" i="53"/>
  <c r="AB207" i="53"/>
  <c r="AE207" i="53"/>
  <c r="AF207" i="53"/>
  <c r="AC207" i="53"/>
  <c r="C207" i="53"/>
  <c r="B207" i="53"/>
  <c r="A207" i="53"/>
  <c r="AZ206" i="53"/>
  <c r="BA206" i="53"/>
  <c r="AX206" i="53"/>
  <c r="AY206" i="53"/>
  <c r="AV206" i="53"/>
  <c r="AW206" i="53"/>
  <c r="AU206" i="53"/>
  <c r="AS206" i="53"/>
  <c r="AQ206" i="53"/>
  <c r="AO206" i="53"/>
  <c r="AM206" i="53"/>
  <c r="AK206" i="53"/>
  <c r="AJ206" i="53"/>
  <c r="AF206" i="53"/>
  <c r="B206" i="53"/>
  <c r="AZ205" i="53"/>
  <c r="BA205" i="53"/>
  <c r="AX205" i="53"/>
  <c r="AY205" i="53"/>
  <c r="AV205" i="53"/>
  <c r="AW205" i="53"/>
  <c r="AU205" i="53"/>
  <c r="AS205" i="53"/>
  <c r="AQ205" i="53"/>
  <c r="AO205" i="53"/>
  <c r="AM205" i="53"/>
  <c r="AK205" i="53"/>
  <c r="AJ205" i="53"/>
  <c r="AF205" i="53"/>
  <c r="C205" i="53"/>
  <c r="C206" i="53"/>
  <c r="A205" i="53"/>
  <c r="A206" i="53"/>
  <c r="AZ204" i="53"/>
  <c r="BA204" i="53"/>
  <c r="AX204" i="53"/>
  <c r="AY204" i="53"/>
  <c r="AV204" i="53"/>
  <c r="AW204" i="53"/>
  <c r="AU204" i="53"/>
  <c r="AS204" i="53"/>
  <c r="AQ204" i="53"/>
  <c r="AO204" i="53"/>
  <c r="AM204" i="53"/>
  <c r="AK204" i="53"/>
  <c r="AJ204" i="53"/>
  <c r="AF204" i="53"/>
  <c r="C204" i="53"/>
  <c r="A204" i="53"/>
  <c r="AZ203" i="53"/>
  <c r="BA203" i="53"/>
  <c r="AX203" i="53"/>
  <c r="AY203" i="53"/>
  <c r="AV203" i="53"/>
  <c r="AW203" i="53"/>
  <c r="AU203" i="53"/>
  <c r="AS203" i="53"/>
  <c r="AQ203" i="53"/>
  <c r="AO203" i="53"/>
  <c r="AM203" i="53"/>
  <c r="AK203" i="53"/>
  <c r="AJ203" i="53"/>
  <c r="AF203" i="53"/>
  <c r="AZ202" i="53"/>
  <c r="BA202" i="53"/>
  <c r="AX202" i="53"/>
  <c r="AY202" i="53"/>
  <c r="AV202" i="53"/>
  <c r="AW202" i="53"/>
  <c r="AU202" i="53"/>
  <c r="AS202" i="53"/>
  <c r="AQ202" i="53"/>
  <c r="AO202" i="53"/>
  <c r="AM202" i="53"/>
  <c r="AF202" i="53"/>
  <c r="C202" i="53"/>
  <c r="A202" i="53"/>
  <c r="AZ201" i="53"/>
  <c r="BA201" i="53"/>
  <c r="AX201" i="53"/>
  <c r="AY201" i="53"/>
  <c r="AV201" i="53"/>
  <c r="AW201" i="53"/>
  <c r="AU201" i="53"/>
  <c r="AS201" i="53"/>
  <c r="AQ201" i="53"/>
  <c r="AO201" i="53"/>
  <c r="AM201" i="53"/>
  <c r="AF201" i="53"/>
  <c r="C201" i="53"/>
  <c r="A201" i="53"/>
  <c r="AZ200" i="53"/>
  <c r="BA200" i="53"/>
  <c r="AX200" i="53"/>
  <c r="AY200" i="53"/>
  <c r="AV200" i="53"/>
  <c r="AW200" i="53"/>
  <c r="AU200" i="53"/>
  <c r="AS200" i="53"/>
  <c r="AQ200" i="53"/>
  <c r="AO200" i="53"/>
  <c r="AM200" i="53"/>
  <c r="AK200" i="53"/>
  <c r="AG200" i="53"/>
  <c r="AJ200" i="53"/>
  <c r="C200" i="53"/>
  <c r="A200" i="53"/>
  <c r="AZ199" i="53"/>
  <c r="BA199" i="53"/>
  <c r="AX199" i="53"/>
  <c r="AY199" i="53"/>
  <c r="AV199" i="53"/>
  <c r="AW199" i="53"/>
  <c r="AU199" i="53"/>
  <c r="AS199" i="53"/>
  <c r="AQ199" i="53"/>
  <c r="AO199" i="53"/>
  <c r="AM199" i="53"/>
  <c r="AK199" i="53"/>
  <c r="AG199" i="53"/>
  <c r="AJ199" i="53"/>
  <c r="C199" i="53"/>
  <c r="A199" i="53"/>
  <c r="AZ198" i="53"/>
  <c r="BA198" i="53"/>
  <c r="AX198" i="53"/>
  <c r="AY198" i="53"/>
  <c r="AV198" i="53"/>
  <c r="AW198" i="53"/>
  <c r="AU198" i="53"/>
  <c r="AS198" i="53"/>
  <c r="AQ198" i="53"/>
  <c r="AO198" i="53"/>
  <c r="AM198" i="53"/>
  <c r="AK198" i="53"/>
  <c r="AG198" i="53"/>
  <c r="AJ198" i="53"/>
  <c r="C198" i="53"/>
  <c r="A198" i="53"/>
  <c r="AZ197" i="53"/>
  <c r="BA197" i="53"/>
  <c r="AX197" i="53"/>
  <c r="AY197" i="53"/>
  <c r="AV197" i="53"/>
  <c r="AW197" i="53"/>
  <c r="AW196" i="53"/>
  <c r="AU197" i="53"/>
  <c r="AS197" i="53"/>
  <c r="AQ197" i="53"/>
  <c r="AO197" i="53"/>
  <c r="AM197" i="53"/>
  <c r="AK197" i="53"/>
  <c r="AG197" i="53"/>
  <c r="AJ197" i="53"/>
  <c r="AJ196" i="53"/>
  <c r="C197" i="53"/>
  <c r="A197" i="53"/>
  <c r="AU196" i="53"/>
  <c r="AS196" i="53"/>
  <c r="AQ196" i="53"/>
  <c r="AO196" i="53"/>
  <c r="AM196" i="53"/>
  <c r="AK196" i="53"/>
  <c r="AH196" i="53"/>
  <c r="AG196" i="53"/>
  <c r="AD196" i="53"/>
  <c r="AB196" i="53"/>
  <c r="AE196" i="53"/>
  <c r="AF196" i="53"/>
  <c r="AC196" i="53"/>
  <c r="C196" i="53"/>
  <c r="A196" i="53"/>
  <c r="AZ195" i="53"/>
  <c r="BA195" i="53"/>
  <c r="AX195" i="53"/>
  <c r="AY195" i="53"/>
  <c r="AV195" i="53"/>
  <c r="AW195" i="53"/>
  <c r="AU195" i="53"/>
  <c r="AS195" i="53"/>
  <c r="AQ195" i="53"/>
  <c r="AO195" i="53"/>
  <c r="AM195" i="53"/>
  <c r="AK195" i="53"/>
  <c r="AJ195" i="53"/>
  <c r="AF195" i="53"/>
  <c r="AZ194" i="53"/>
  <c r="BA194" i="53"/>
  <c r="AX194" i="53"/>
  <c r="AY194" i="53"/>
  <c r="AV194" i="53"/>
  <c r="AW194" i="53"/>
  <c r="AU194" i="53"/>
  <c r="AS194" i="53"/>
  <c r="AQ194" i="53"/>
  <c r="AO194" i="53"/>
  <c r="AM194" i="53"/>
  <c r="AK194" i="53"/>
  <c r="AJ194" i="53"/>
  <c r="AF194" i="53"/>
  <c r="C194" i="53"/>
  <c r="C195" i="53"/>
  <c r="B194" i="53"/>
  <c r="B195" i="53"/>
  <c r="A194" i="53"/>
  <c r="A195" i="53"/>
  <c r="AZ193" i="53"/>
  <c r="BA193" i="53"/>
  <c r="AX193" i="53"/>
  <c r="AY193" i="53"/>
  <c r="AV193" i="53"/>
  <c r="AW193" i="53"/>
  <c r="AU193" i="53"/>
  <c r="AS193" i="53"/>
  <c r="AQ193" i="53"/>
  <c r="AO193" i="53"/>
  <c r="AM193" i="53"/>
  <c r="AK193" i="53"/>
  <c r="AJ193" i="53"/>
  <c r="AF193" i="53"/>
  <c r="C193" i="53"/>
  <c r="B193" i="53"/>
  <c r="A193" i="53"/>
  <c r="AZ192" i="53"/>
  <c r="BA192" i="53"/>
  <c r="AX192" i="53"/>
  <c r="AY192" i="53"/>
  <c r="AV192" i="53"/>
  <c r="AW192" i="53"/>
  <c r="AU192" i="53"/>
  <c r="AS192" i="53"/>
  <c r="AQ192" i="53"/>
  <c r="AO192" i="53"/>
  <c r="AM192" i="53"/>
  <c r="AK192" i="53"/>
  <c r="AJ192" i="53"/>
  <c r="AF192" i="53"/>
  <c r="AZ191" i="53"/>
  <c r="BA191" i="53"/>
  <c r="AX191" i="53"/>
  <c r="AY191" i="53"/>
  <c r="AV191" i="53"/>
  <c r="AW191" i="53"/>
  <c r="AU191" i="53"/>
  <c r="AS191" i="53"/>
  <c r="AQ191" i="53"/>
  <c r="AO191" i="53"/>
  <c r="AM191" i="53"/>
  <c r="AK191" i="53"/>
  <c r="AJ191" i="53"/>
  <c r="AF191" i="53"/>
  <c r="AZ190" i="53"/>
  <c r="AH190" i="53"/>
  <c r="BA190" i="53"/>
  <c r="AX190" i="53"/>
  <c r="AY190" i="53"/>
  <c r="AV190" i="53"/>
  <c r="AW190" i="53"/>
  <c r="AU190" i="53"/>
  <c r="AQ190" i="53"/>
  <c r="AM190" i="53"/>
  <c r="AJ190" i="53"/>
  <c r="AS190" i="53"/>
  <c r="AF190" i="53"/>
  <c r="C190" i="53"/>
  <c r="B190" i="53"/>
  <c r="A190" i="53"/>
  <c r="AZ189" i="53"/>
  <c r="AH189" i="53"/>
  <c r="BA189" i="53"/>
  <c r="AX189" i="53"/>
  <c r="AY189" i="53"/>
  <c r="AV189" i="53"/>
  <c r="AW189" i="53"/>
  <c r="AU189" i="53"/>
  <c r="AQ189" i="53"/>
  <c r="AM189" i="53"/>
  <c r="AJ189" i="53"/>
  <c r="AS189" i="53"/>
  <c r="AF189" i="53"/>
  <c r="C189" i="53"/>
  <c r="B189" i="53"/>
  <c r="A189" i="53"/>
  <c r="AZ188" i="53"/>
  <c r="AH188" i="53"/>
  <c r="BA188" i="53"/>
  <c r="AX188" i="53"/>
  <c r="AY188" i="53"/>
  <c r="AV188" i="53"/>
  <c r="AW188" i="53"/>
  <c r="AU188" i="53"/>
  <c r="AQ188" i="53"/>
  <c r="AM188" i="53"/>
  <c r="AJ188" i="53"/>
  <c r="AS188" i="53"/>
  <c r="AF188" i="53"/>
  <c r="C188" i="53"/>
  <c r="B188" i="53"/>
  <c r="A188" i="53"/>
  <c r="AZ187" i="53"/>
  <c r="BA187" i="53"/>
  <c r="AX187" i="53"/>
  <c r="AY187" i="53"/>
  <c r="AV187" i="53"/>
  <c r="AW187" i="53"/>
  <c r="AU187" i="53"/>
  <c r="AS187" i="53"/>
  <c r="AQ187" i="53"/>
  <c r="AO187" i="53"/>
  <c r="AM187" i="53"/>
  <c r="AK187" i="53"/>
  <c r="AG187" i="53"/>
  <c r="AJ187" i="53"/>
  <c r="AF187" i="53"/>
  <c r="C187" i="53"/>
  <c r="B187" i="53"/>
  <c r="A187" i="53"/>
  <c r="AZ186" i="53"/>
  <c r="BA186" i="53"/>
  <c r="AX186" i="53"/>
  <c r="AY186" i="53"/>
  <c r="AV186" i="53"/>
  <c r="AW186" i="53"/>
  <c r="AU186" i="53"/>
  <c r="AS186" i="53"/>
  <c r="AQ186" i="53"/>
  <c r="AO186" i="53"/>
  <c r="AM186" i="53"/>
  <c r="AK186" i="53"/>
  <c r="AG186" i="53"/>
  <c r="AJ186" i="53"/>
  <c r="AF186" i="53"/>
  <c r="C186" i="53"/>
  <c r="B186" i="53"/>
  <c r="A186" i="53"/>
  <c r="AZ185" i="53"/>
  <c r="BA185" i="53"/>
  <c r="AX185" i="53"/>
  <c r="AY185" i="53"/>
  <c r="AV185" i="53"/>
  <c r="AW185" i="53"/>
  <c r="AU185" i="53"/>
  <c r="AS185" i="53"/>
  <c r="AQ185" i="53"/>
  <c r="AO185" i="53"/>
  <c r="AM185" i="53"/>
  <c r="AK185" i="53"/>
  <c r="AG185" i="53"/>
  <c r="AJ185" i="53"/>
  <c r="C185" i="53"/>
  <c r="B185" i="53"/>
  <c r="A185" i="53"/>
  <c r="AZ184" i="53"/>
  <c r="BA184" i="53"/>
  <c r="AX184" i="53"/>
  <c r="AY184" i="53"/>
  <c r="AV184" i="53"/>
  <c r="AW184" i="53"/>
  <c r="AU184" i="53"/>
  <c r="AS184" i="53"/>
  <c r="AQ184" i="53"/>
  <c r="AO184" i="53"/>
  <c r="AM184" i="53"/>
  <c r="AK184" i="53"/>
  <c r="AG184" i="53"/>
  <c r="AJ184" i="53"/>
  <c r="AF184" i="53"/>
  <c r="C184" i="53"/>
  <c r="B184" i="53"/>
  <c r="A184" i="53"/>
  <c r="AZ183" i="53"/>
  <c r="BA183" i="53"/>
  <c r="AX183" i="53"/>
  <c r="AY183" i="53"/>
  <c r="AV183" i="53"/>
  <c r="AW183" i="53"/>
  <c r="AU183" i="53"/>
  <c r="AS183" i="53"/>
  <c r="AQ183" i="53"/>
  <c r="AO183" i="53"/>
  <c r="AM183" i="53"/>
  <c r="AK183" i="53"/>
  <c r="AG183" i="53"/>
  <c r="AJ183" i="53"/>
  <c r="AF183" i="53"/>
  <c r="C183" i="53"/>
  <c r="B183" i="53"/>
  <c r="A183" i="53"/>
  <c r="AZ182" i="53"/>
  <c r="BA182" i="53"/>
  <c r="AX182" i="53"/>
  <c r="AY182" i="53"/>
  <c r="AV182" i="53"/>
  <c r="AW182" i="53"/>
  <c r="AU182" i="53"/>
  <c r="AS182" i="53"/>
  <c r="AQ182" i="53"/>
  <c r="AO182" i="53"/>
  <c r="AM182" i="53"/>
  <c r="AK182" i="53"/>
  <c r="AG182" i="53"/>
  <c r="AJ182" i="53"/>
  <c r="AG181" i="53"/>
  <c r="AJ181" i="53"/>
  <c r="AJ180" i="53"/>
  <c r="C182" i="53"/>
  <c r="B182" i="53"/>
  <c r="A182" i="53"/>
  <c r="AZ181" i="53"/>
  <c r="BA181" i="53"/>
  <c r="AX181" i="53"/>
  <c r="AY181" i="53"/>
  <c r="AV181" i="53"/>
  <c r="AW181" i="53"/>
  <c r="AW180" i="53"/>
  <c r="AU181" i="53"/>
  <c r="AS181" i="53"/>
  <c r="AQ181" i="53"/>
  <c r="AO181" i="53"/>
  <c r="AM181" i="53"/>
  <c r="AK181" i="53"/>
  <c r="AF181" i="53"/>
  <c r="C181" i="53"/>
  <c r="B181" i="53"/>
  <c r="A181" i="53"/>
  <c r="AU180" i="53"/>
  <c r="AQ180" i="53"/>
  <c r="AM180" i="53"/>
  <c r="AH180" i="53"/>
  <c r="AG180" i="53"/>
  <c r="AD180" i="53"/>
  <c r="AB180" i="53"/>
  <c r="AE180" i="53"/>
  <c r="AF180" i="53"/>
  <c r="AC180" i="53"/>
  <c r="C180" i="53"/>
  <c r="B180" i="53"/>
  <c r="A180" i="53"/>
  <c r="AZ179" i="53"/>
  <c r="BA179" i="53"/>
  <c r="AX179" i="53"/>
  <c r="AY179" i="53"/>
  <c r="AV179" i="53"/>
  <c r="AW179" i="53"/>
  <c r="AU179" i="53"/>
  <c r="AS179" i="53"/>
  <c r="AQ179" i="53"/>
  <c r="AO179" i="53"/>
  <c r="AM179" i="53"/>
  <c r="AK179" i="53"/>
  <c r="AJ179" i="53"/>
  <c r="AF179" i="53"/>
  <c r="C179" i="53"/>
  <c r="B179" i="53"/>
  <c r="A179" i="53"/>
  <c r="AZ178" i="53"/>
  <c r="BA178" i="53"/>
  <c r="AX178" i="53"/>
  <c r="AY178" i="53"/>
  <c r="AV178" i="53"/>
  <c r="AW178" i="53"/>
  <c r="AU178" i="53"/>
  <c r="AS178" i="53"/>
  <c r="AQ178" i="53"/>
  <c r="AO178" i="53"/>
  <c r="AM178" i="53"/>
  <c r="AK178" i="53"/>
  <c r="AJ178" i="53"/>
  <c r="AF178" i="53"/>
  <c r="C178" i="53"/>
  <c r="B178" i="53"/>
  <c r="A178" i="53"/>
  <c r="AZ177" i="53"/>
  <c r="BA177" i="53"/>
  <c r="AX177" i="53"/>
  <c r="AY177" i="53"/>
  <c r="AV177" i="53"/>
  <c r="AW177" i="53"/>
  <c r="AU177" i="53"/>
  <c r="AS177" i="53"/>
  <c r="AQ177" i="53"/>
  <c r="AO177" i="53"/>
  <c r="AM177" i="53"/>
  <c r="AK177" i="53"/>
  <c r="AJ177" i="53"/>
  <c r="AF177" i="53"/>
  <c r="C177" i="53"/>
  <c r="B177" i="53"/>
  <c r="A177" i="53"/>
  <c r="AZ176" i="53"/>
  <c r="BA176" i="53"/>
  <c r="AX176" i="53"/>
  <c r="AY176" i="53"/>
  <c r="AV176" i="53"/>
  <c r="AW176" i="53"/>
  <c r="AU176" i="53"/>
  <c r="AS176" i="53"/>
  <c r="AQ176" i="53"/>
  <c r="AO176" i="53"/>
  <c r="AM176" i="53"/>
  <c r="AK176" i="53"/>
  <c r="AJ176" i="53"/>
  <c r="AF176" i="53"/>
  <c r="C176" i="53"/>
  <c r="B176" i="53"/>
  <c r="A176" i="53"/>
  <c r="AZ175" i="53"/>
  <c r="BA175" i="53"/>
  <c r="AX175" i="53"/>
  <c r="AY175" i="53"/>
  <c r="AV175" i="53"/>
  <c r="AW175" i="53"/>
  <c r="AU175" i="53"/>
  <c r="AS175" i="53"/>
  <c r="AQ175" i="53"/>
  <c r="AO175" i="53"/>
  <c r="AM175" i="53"/>
  <c r="AK175" i="53"/>
  <c r="AG175" i="53"/>
  <c r="AJ175" i="53"/>
  <c r="C175" i="53"/>
  <c r="B175" i="53"/>
  <c r="A175" i="53"/>
  <c r="AZ174" i="53"/>
  <c r="BA174" i="53"/>
  <c r="AX174" i="53"/>
  <c r="AY174" i="53"/>
  <c r="AV174" i="53"/>
  <c r="AW174" i="53"/>
  <c r="AU174" i="53"/>
  <c r="AS174" i="53"/>
  <c r="AQ174" i="53"/>
  <c r="AO174" i="53"/>
  <c r="AM174" i="53"/>
  <c r="AK174" i="53"/>
  <c r="AG174" i="53"/>
  <c r="AJ174" i="53"/>
  <c r="C174" i="53"/>
  <c r="B174" i="53"/>
  <c r="A174" i="53"/>
  <c r="AZ173" i="53"/>
  <c r="BA173" i="53"/>
  <c r="AX173" i="53"/>
  <c r="AY173" i="53"/>
  <c r="AV173" i="53"/>
  <c r="AW173" i="53"/>
  <c r="AU173" i="53"/>
  <c r="AS173" i="53"/>
  <c r="AQ173" i="53"/>
  <c r="AO173" i="53"/>
  <c r="AM173" i="53"/>
  <c r="AK173" i="53"/>
  <c r="AG173" i="53"/>
  <c r="AJ173" i="53"/>
  <c r="C173" i="53"/>
  <c r="B173" i="53"/>
  <c r="A173" i="53"/>
  <c r="AZ172" i="53"/>
  <c r="BA172" i="53"/>
  <c r="AX172" i="53"/>
  <c r="AY172" i="53"/>
  <c r="AV172" i="53"/>
  <c r="AW172" i="53"/>
  <c r="AU172" i="53"/>
  <c r="AS172" i="53"/>
  <c r="AQ172" i="53"/>
  <c r="AO172" i="53"/>
  <c r="AM172" i="53"/>
  <c r="AK172" i="53"/>
  <c r="AG172" i="53"/>
  <c r="AJ172" i="53"/>
  <c r="C172" i="53"/>
  <c r="B172" i="53"/>
  <c r="A172" i="53"/>
  <c r="AZ171" i="53"/>
  <c r="BA171" i="53"/>
  <c r="AX171" i="53"/>
  <c r="AY171" i="53"/>
  <c r="AV171" i="53"/>
  <c r="AW171" i="53"/>
  <c r="AU171" i="53"/>
  <c r="AS171" i="53"/>
  <c r="AQ171" i="53"/>
  <c r="AO171" i="53"/>
  <c r="AM171" i="53"/>
  <c r="AK171" i="53"/>
  <c r="AG171" i="53"/>
  <c r="AJ171" i="53"/>
  <c r="C171" i="53"/>
  <c r="B171" i="53"/>
  <c r="A171" i="53"/>
  <c r="AZ170" i="53"/>
  <c r="BA170" i="53"/>
  <c r="AX170" i="53"/>
  <c r="AY170" i="53"/>
  <c r="AV170" i="53"/>
  <c r="AW170" i="53"/>
  <c r="AU170" i="53"/>
  <c r="AS170" i="53"/>
  <c r="AQ170" i="53"/>
  <c r="AO170" i="53"/>
  <c r="AM170" i="53"/>
  <c r="AK170" i="53"/>
  <c r="AG170" i="53"/>
  <c r="AJ170" i="53"/>
  <c r="AD170" i="53"/>
  <c r="AE170" i="53"/>
  <c r="AF170" i="53"/>
  <c r="C170" i="53"/>
  <c r="B170" i="53"/>
  <c r="A170" i="53"/>
  <c r="AZ169" i="53"/>
  <c r="BA169" i="53"/>
  <c r="AX169" i="53"/>
  <c r="AY169" i="53"/>
  <c r="AV169" i="53"/>
  <c r="AW169" i="53"/>
  <c r="AU169" i="53"/>
  <c r="AS169" i="53"/>
  <c r="AQ169" i="53"/>
  <c r="AO169" i="53"/>
  <c r="AM169" i="53"/>
  <c r="AK169" i="53"/>
  <c r="AJ169" i="53"/>
  <c r="AF169" i="53"/>
  <c r="C169" i="53"/>
  <c r="B169" i="53"/>
  <c r="A169" i="53"/>
  <c r="AZ168" i="53"/>
  <c r="BA168" i="53"/>
  <c r="AX168" i="53"/>
  <c r="AY168" i="53"/>
  <c r="AV168" i="53"/>
  <c r="AW168" i="53"/>
  <c r="AW167" i="53"/>
  <c r="AU168" i="53"/>
  <c r="AS168" i="53"/>
  <c r="AS167" i="53"/>
  <c r="AQ168" i="53"/>
  <c r="AO168" i="53"/>
  <c r="AO167" i="53"/>
  <c r="AM168" i="53"/>
  <c r="AK168" i="53"/>
  <c r="AK167" i="53"/>
  <c r="AG168" i="53"/>
  <c r="AJ168" i="53"/>
  <c r="AJ167" i="53"/>
  <c r="AD168" i="53"/>
  <c r="AB168" i="53"/>
  <c r="AE168" i="53"/>
  <c r="AF168" i="53"/>
  <c r="C168" i="53"/>
  <c r="B168" i="53"/>
  <c r="A168" i="53"/>
  <c r="AU167" i="53"/>
  <c r="AQ167" i="53"/>
  <c r="AM167" i="53"/>
  <c r="AH167" i="53"/>
  <c r="AG167" i="53"/>
  <c r="AC167" i="53"/>
  <c r="C167" i="53"/>
  <c r="B167" i="53"/>
  <c r="A167" i="53"/>
  <c r="AZ166" i="53"/>
  <c r="BA166" i="53"/>
  <c r="AX166" i="53"/>
  <c r="AY166" i="53"/>
  <c r="AV166" i="53"/>
  <c r="AW166" i="53"/>
  <c r="AU166" i="53"/>
  <c r="AS166" i="53"/>
  <c r="AQ166" i="53"/>
  <c r="AO166" i="53"/>
  <c r="AM166" i="53"/>
  <c r="AK166" i="53"/>
  <c r="AJ166" i="53"/>
  <c r="AF166" i="53"/>
  <c r="C166" i="53"/>
  <c r="B166" i="53"/>
  <c r="A166" i="53"/>
  <c r="AZ165" i="53"/>
  <c r="BA165" i="53"/>
  <c r="AX165" i="53"/>
  <c r="AY165" i="53"/>
  <c r="AV165" i="53"/>
  <c r="AW165" i="53"/>
  <c r="AU165" i="53"/>
  <c r="AS165" i="53"/>
  <c r="AQ165" i="53"/>
  <c r="AO165" i="53"/>
  <c r="AM165" i="53"/>
  <c r="AK165" i="53"/>
  <c r="AJ165" i="53"/>
  <c r="AF165" i="53"/>
  <c r="C165" i="53"/>
  <c r="B165" i="53"/>
  <c r="A165" i="53"/>
  <c r="AZ164" i="53"/>
  <c r="BA164" i="53"/>
  <c r="AX164" i="53"/>
  <c r="AY164" i="53"/>
  <c r="AV164" i="53"/>
  <c r="AW164" i="53"/>
  <c r="AU164" i="53"/>
  <c r="AS164" i="53"/>
  <c r="AQ164" i="53"/>
  <c r="AO164" i="53"/>
  <c r="AM164" i="53"/>
  <c r="AK164" i="53"/>
  <c r="AJ164" i="53"/>
  <c r="AF164" i="53"/>
  <c r="C164" i="53"/>
  <c r="B164" i="53"/>
  <c r="A164" i="53"/>
  <c r="AZ163" i="53"/>
  <c r="BA163" i="53"/>
  <c r="AX163" i="53"/>
  <c r="AY163" i="53"/>
  <c r="AV163" i="53"/>
  <c r="AW163" i="53"/>
  <c r="AU163" i="53"/>
  <c r="AS163" i="53"/>
  <c r="AQ163" i="53"/>
  <c r="AO163" i="53"/>
  <c r="AM163" i="53"/>
  <c r="AK163" i="53"/>
  <c r="AJ163" i="53"/>
  <c r="AF163" i="53"/>
  <c r="B163" i="53"/>
  <c r="AZ162" i="53"/>
  <c r="AH162" i="53"/>
  <c r="BA162" i="53"/>
  <c r="AX162" i="53"/>
  <c r="AY162" i="53"/>
  <c r="AV162" i="53"/>
  <c r="AW162" i="53"/>
  <c r="AJ162" i="53"/>
  <c r="AS162" i="53"/>
  <c r="AF162" i="53"/>
  <c r="C162" i="53"/>
  <c r="B162" i="53"/>
  <c r="A162" i="53"/>
  <c r="AZ161" i="53"/>
  <c r="AG161" i="53"/>
  <c r="AH161" i="53"/>
  <c r="BA161" i="53"/>
  <c r="AX161" i="53"/>
  <c r="AY161" i="53"/>
  <c r="AV161" i="53"/>
  <c r="AW161" i="53"/>
  <c r="AS161" i="53"/>
  <c r="AJ161" i="53"/>
  <c r="AF161" i="53"/>
  <c r="C161" i="53"/>
  <c r="B161" i="53"/>
  <c r="A161" i="53"/>
  <c r="AZ160" i="53"/>
  <c r="AH160" i="53"/>
  <c r="BA160" i="53"/>
  <c r="AX160" i="53"/>
  <c r="AY160" i="53"/>
  <c r="AV160" i="53"/>
  <c r="AW160" i="53"/>
  <c r="AU160" i="53"/>
  <c r="AQ160" i="53"/>
  <c r="AM160" i="53"/>
  <c r="AJ160" i="53"/>
  <c r="AS160" i="53"/>
  <c r="AF160" i="53"/>
  <c r="C160" i="53"/>
  <c r="B160" i="53"/>
  <c r="A160" i="53"/>
  <c r="AZ159" i="53"/>
  <c r="BA159" i="53"/>
  <c r="AX159" i="53"/>
  <c r="AY159" i="53"/>
  <c r="AV159" i="53"/>
  <c r="AW159" i="53"/>
  <c r="AU159" i="53"/>
  <c r="AS159" i="53"/>
  <c r="AQ159" i="53"/>
  <c r="AO159" i="53"/>
  <c r="AM159" i="53"/>
  <c r="AK159" i="53"/>
  <c r="AG159" i="53"/>
  <c r="AJ159" i="53"/>
  <c r="AF159" i="53"/>
  <c r="C159" i="53"/>
  <c r="B159" i="53"/>
  <c r="A159" i="53"/>
  <c r="AZ158" i="53"/>
  <c r="BA158" i="53"/>
  <c r="AX158" i="53"/>
  <c r="AY158" i="53"/>
  <c r="AV158" i="53"/>
  <c r="AW158" i="53"/>
  <c r="AU158" i="53"/>
  <c r="AS158" i="53"/>
  <c r="AQ158" i="53"/>
  <c r="AO158" i="53"/>
  <c r="AM158" i="53"/>
  <c r="AK158" i="53"/>
  <c r="AG158" i="53"/>
  <c r="AJ158" i="53"/>
  <c r="C158" i="53"/>
  <c r="B158" i="53"/>
  <c r="A158" i="53"/>
  <c r="AZ157" i="53"/>
  <c r="BA157" i="53"/>
  <c r="AX157" i="53"/>
  <c r="AY157" i="53"/>
  <c r="AV157" i="53"/>
  <c r="AW157" i="53"/>
  <c r="AU157" i="53"/>
  <c r="AS157" i="53"/>
  <c r="AQ157" i="53"/>
  <c r="AO157" i="53"/>
  <c r="AM157" i="53"/>
  <c r="AK157" i="53"/>
  <c r="AG157" i="53"/>
  <c r="AJ157" i="53"/>
  <c r="C157" i="53"/>
  <c r="B157" i="53"/>
  <c r="A157" i="53"/>
  <c r="AZ156" i="53"/>
  <c r="BA156" i="53"/>
  <c r="AX156" i="53"/>
  <c r="AY156" i="53"/>
  <c r="AV156" i="53"/>
  <c r="AW156" i="53"/>
  <c r="AU156" i="53"/>
  <c r="AS156" i="53"/>
  <c r="AQ156" i="53"/>
  <c r="AO156" i="53"/>
  <c r="AM156" i="53"/>
  <c r="AK156" i="53"/>
  <c r="AG156" i="53"/>
  <c r="AJ156" i="53"/>
  <c r="C156" i="53"/>
  <c r="B156" i="53"/>
  <c r="A156" i="53"/>
  <c r="AZ155" i="53"/>
  <c r="BA155" i="53"/>
  <c r="AX155" i="53"/>
  <c r="AY155" i="53"/>
  <c r="AV155" i="53"/>
  <c r="AW155" i="53"/>
  <c r="AW154" i="53"/>
  <c r="AU155" i="53"/>
  <c r="AS155" i="53"/>
  <c r="AS154" i="53"/>
  <c r="AQ155" i="53"/>
  <c r="AO155" i="53"/>
  <c r="AM155" i="53"/>
  <c r="AK155" i="53"/>
  <c r="AG155" i="53"/>
  <c r="AJ155" i="53"/>
  <c r="AJ154" i="53"/>
  <c r="C155" i="53"/>
  <c r="B155" i="53"/>
  <c r="A155" i="53"/>
  <c r="AD154" i="53"/>
  <c r="AB154" i="53"/>
  <c r="AE154" i="53"/>
  <c r="AF154" i="53"/>
  <c r="AC154" i="53"/>
  <c r="C154" i="53"/>
  <c r="A154" i="53"/>
  <c r="AZ153" i="53"/>
  <c r="BA153" i="53"/>
  <c r="AX153" i="53"/>
  <c r="AY153" i="53"/>
  <c r="AV153" i="53"/>
  <c r="AW153" i="53"/>
  <c r="AU153" i="53"/>
  <c r="AS153" i="53"/>
  <c r="AQ153" i="53"/>
  <c r="AO153" i="53"/>
  <c r="AM153" i="53"/>
  <c r="AK153" i="53"/>
  <c r="AJ153" i="53"/>
  <c r="AF153" i="53"/>
  <c r="C152" i="53"/>
  <c r="C153" i="53"/>
  <c r="A152" i="53"/>
  <c r="A153" i="53"/>
  <c r="AZ152" i="53"/>
  <c r="BA152" i="53"/>
  <c r="AX152" i="53"/>
  <c r="AY152" i="53"/>
  <c r="AV152" i="53"/>
  <c r="AW152" i="53"/>
  <c r="AU152" i="53"/>
  <c r="AS152" i="53"/>
  <c r="AQ152" i="53"/>
  <c r="AO152" i="53"/>
  <c r="AM152" i="53"/>
  <c r="AK152" i="53"/>
  <c r="AJ152" i="53"/>
  <c r="AF152" i="53"/>
  <c r="B152" i="53"/>
  <c r="B153" i="53"/>
  <c r="AZ151" i="53"/>
  <c r="BA151" i="53"/>
  <c r="AX151" i="53"/>
  <c r="AY151" i="53"/>
  <c r="AV151" i="53"/>
  <c r="AW151" i="53"/>
  <c r="AU151" i="53"/>
  <c r="AS151" i="53"/>
  <c r="AQ151" i="53"/>
  <c r="AO151" i="53"/>
  <c r="AM151" i="53"/>
  <c r="AK151" i="53"/>
  <c r="AJ151" i="53"/>
  <c r="AF151" i="53"/>
  <c r="C151" i="53"/>
  <c r="B151" i="53"/>
  <c r="A151" i="53"/>
  <c r="AZ150" i="53"/>
  <c r="BA150" i="53"/>
  <c r="AX150" i="53"/>
  <c r="AY150" i="53"/>
  <c r="AV150" i="53"/>
  <c r="AW150" i="53"/>
  <c r="AU150" i="53"/>
  <c r="AS150" i="53"/>
  <c r="AQ150" i="53"/>
  <c r="AO150" i="53"/>
  <c r="AM150" i="53"/>
  <c r="AK150" i="53"/>
  <c r="AJ150" i="53"/>
  <c r="AF150" i="53"/>
  <c r="C150" i="53"/>
  <c r="B150" i="53"/>
  <c r="A150" i="53"/>
  <c r="AZ149" i="53"/>
  <c r="BA149" i="53"/>
  <c r="AX149" i="53"/>
  <c r="AY149" i="53"/>
  <c r="AV149" i="53"/>
  <c r="AW149" i="53"/>
  <c r="AU149" i="53"/>
  <c r="AS149" i="53"/>
  <c r="AQ149" i="53"/>
  <c r="AO149" i="53"/>
  <c r="AM149" i="53"/>
  <c r="AK149" i="53"/>
  <c r="AJ149" i="53"/>
  <c r="AF149" i="53"/>
  <c r="AZ148" i="53"/>
  <c r="BA148" i="53"/>
  <c r="AX148" i="53"/>
  <c r="AY148" i="53"/>
  <c r="AV148" i="53"/>
  <c r="AW148" i="53"/>
  <c r="AU148" i="53"/>
  <c r="AS148" i="53"/>
  <c r="AQ148" i="53"/>
  <c r="AO148" i="53"/>
  <c r="AM148" i="53"/>
  <c r="AK148" i="53"/>
  <c r="AG148" i="53"/>
  <c r="AJ148" i="53"/>
  <c r="AD148" i="53"/>
  <c r="AE148" i="53"/>
  <c r="AF148" i="53"/>
  <c r="C148" i="53"/>
  <c r="B148" i="53"/>
  <c r="A148" i="53"/>
  <c r="AZ147" i="53"/>
  <c r="BA147" i="53"/>
  <c r="AX147" i="53"/>
  <c r="AY147" i="53"/>
  <c r="AV147" i="53"/>
  <c r="AW147" i="53"/>
  <c r="AU147" i="53"/>
  <c r="AS147" i="53"/>
  <c r="AQ147" i="53"/>
  <c r="AO147" i="53"/>
  <c r="AM147" i="53"/>
  <c r="AK147" i="53"/>
  <c r="AG147" i="53"/>
  <c r="AJ147" i="53"/>
  <c r="AD147" i="53"/>
  <c r="AE147" i="53"/>
  <c r="AF147" i="53"/>
  <c r="C147" i="53"/>
  <c r="B147" i="53"/>
  <c r="A147" i="53"/>
  <c r="AZ146" i="53"/>
  <c r="BA146" i="53"/>
  <c r="AX146" i="53"/>
  <c r="AY146" i="53"/>
  <c r="AV146" i="53"/>
  <c r="AW146" i="53"/>
  <c r="AU146" i="53"/>
  <c r="AU145" i="53"/>
  <c r="AU144" i="53"/>
  <c r="AS146" i="53"/>
  <c r="AQ146" i="53"/>
  <c r="AQ145" i="53"/>
  <c r="AQ144" i="53"/>
  <c r="AO146" i="53"/>
  <c r="AM146" i="53"/>
  <c r="AM145" i="53"/>
  <c r="AM144" i="53"/>
  <c r="AK146" i="53"/>
  <c r="AJ146" i="53"/>
  <c r="AF146" i="53"/>
  <c r="C146" i="53"/>
  <c r="B146" i="53"/>
  <c r="A146" i="53"/>
  <c r="AZ145" i="53"/>
  <c r="BA145" i="53"/>
  <c r="AX145" i="53"/>
  <c r="AY145" i="53"/>
  <c r="AV145" i="53"/>
  <c r="AW145" i="53"/>
  <c r="AS145" i="53"/>
  <c r="AO145" i="53"/>
  <c r="AK145" i="53"/>
  <c r="AG145" i="53"/>
  <c r="AJ145" i="53"/>
  <c r="AJ144" i="53"/>
  <c r="AD145" i="53"/>
  <c r="AE145" i="53"/>
  <c r="AF145" i="53"/>
  <c r="C145" i="53"/>
  <c r="B145" i="53"/>
  <c r="A145" i="53"/>
  <c r="AS144" i="53"/>
  <c r="AO144" i="53"/>
  <c r="AK144" i="53"/>
  <c r="AH144" i="53"/>
  <c r="AG144" i="53"/>
  <c r="AD144" i="53"/>
  <c r="AB144" i="53"/>
  <c r="AE144" i="53"/>
  <c r="AF144" i="53"/>
  <c r="AC144" i="53"/>
  <c r="C144" i="53"/>
  <c r="B144" i="53"/>
  <c r="A144" i="53"/>
  <c r="AZ143" i="53"/>
  <c r="BA143" i="53"/>
  <c r="AX143" i="53"/>
  <c r="AY143" i="53"/>
  <c r="AV143" i="53"/>
  <c r="AW143" i="53"/>
  <c r="AU143" i="53"/>
  <c r="AS143" i="53"/>
  <c r="AQ143" i="53"/>
  <c r="AO143" i="53"/>
  <c r="AM143" i="53"/>
  <c r="AK143" i="53"/>
  <c r="AE143" i="53"/>
  <c r="AF143" i="53"/>
  <c r="Y143" i="53"/>
  <c r="X143" i="53"/>
  <c r="D143" i="53"/>
  <c r="C143" i="53"/>
  <c r="B143" i="53"/>
  <c r="A143" i="53"/>
  <c r="AZ142" i="53"/>
  <c r="BA142" i="53"/>
  <c r="AX142" i="53"/>
  <c r="AY142" i="53"/>
  <c r="AV142" i="53"/>
  <c r="AW142" i="53"/>
  <c r="AU142" i="53"/>
  <c r="AS142" i="53"/>
  <c r="AQ142" i="53"/>
  <c r="AO142" i="53"/>
  <c r="AM142" i="53"/>
  <c r="AK142" i="53"/>
  <c r="AE142" i="53"/>
  <c r="AF142" i="53"/>
  <c r="Y142" i="53"/>
  <c r="X142" i="53"/>
  <c r="D142" i="53"/>
  <c r="C142" i="53"/>
  <c r="B142" i="53"/>
  <c r="A142" i="53"/>
  <c r="AZ141" i="53"/>
  <c r="BA141" i="53"/>
  <c r="AX141" i="53"/>
  <c r="AY141" i="53"/>
  <c r="AV141" i="53"/>
  <c r="AW141" i="53"/>
  <c r="AU141" i="53"/>
  <c r="AS141" i="53"/>
  <c r="AQ141" i="53"/>
  <c r="AO141" i="53"/>
  <c r="AM141" i="53"/>
  <c r="AK141" i="53"/>
  <c r="AE141" i="53"/>
  <c r="AF141" i="53"/>
  <c r="Y141" i="53"/>
  <c r="X141" i="53"/>
  <c r="D141" i="53"/>
  <c r="C141" i="53"/>
  <c r="B141" i="53"/>
  <c r="A141" i="53"/>
  <c r="AZ140" i="53"/>
  <c r="BA140" i="53"/>
  <c r="AX140" i="53"/>
  <c r="AY140" i="53"/>
  <c r="AV140" i="53"/>
  <c r="AW140" i="53"/>
  <c r="AU140" i="53"/>
  <c r="AS140" i="53"/>
  <c r="AQ140" i="53"/>
  <c r="AO140" i="53"/>
  <c r="AM140" i="53"/>
  <c r="AK140" i="53"/>
  <c r="AE140" i="53"/>
  <c r="AF140" i="53"/>
  <c r="Y140" i="53"/>
  <c r="X140" i="53"/>
  <c r="D140" i="53"/>
  <c r="C140" i="53"/>
  <c r="B140" i="53"/>
  <c r="A140" i="53"/>
  <c r="AZ139" i="53"/>
  <c r="BA139" i="53"/>
  <c r="AX139" i="53"/>
  <c r="AY139" i="53"/>
  <c r="AV139" i="53"/>
  <c r="AW139" i="53"/>
  <c r="AU139" i="53"/>
  <c r="AS139" i="53"/>
  <c r="AQ139" i="53"/>
  <c r="AO139" i="53"/>
  <c r="AM139" i="53"/>
  <c r="AK139" i="53"/>
  <c r="AE139" i="53"/>
  <c r="AF139" i="53"/>
  <c r="Y139" i="53"/>
  <c r="X139" i="53"/>
  <c r="D139" i="53"/>
  <c r="C139" i="53"/>
  <c r="B139" i="53"/>
  <c r="A139" i="53"/>
  <c r="AZ138" i="53"/>
  <c r="AH138" i="53"/>
  <c r="BA138" i="53"/>
  <c r="AX138" i="53"/>
  <c r="AY138" i="53"/>
  <c r="AV138" i="53"/>
  <c r="AW138" i="53"/>
  <c r="AU138" i="53"/>
  <c r="AU137" i="53"/>
  <c r="AQ138" i="53"/>
  <c r="AQ137" i="53"/>
  <c r="AM138" i="53"/>
  <c r="AM137" i="53"/>
  <c r="AJ138" i="53"/>
  <c r="AJ137" i="53"/>
  <c r="AS138" i="53"/>
  <c r="AS137" i="53"/>
  <c r="AD138" i="53"/>
  <c r="AE138" i="53"/>
  <c r="AF138" i="53"/>
  <c r="Y138" i="53"/>
  <c r="X138" i="53"/>
  <c r="D138" i="53"/>
  <c r="C138" i="53"/>
  <c r="B138" i="53"/>
  <c r="A138" i="53"/>
  <c r="AW137" i="53"/>
  <c r="AH137" i="53"/>
  <c r="AG137" i="53"/>
  <c r="AD137" i="53"/>
  <c r="AB137" i="53"/>
  <c r="AE137" i="53"/>
  <c r="AF137" i="53"/>
  <c r="AC137" i="53"/>
  <c r="C137" i="53"/>
  <c r="B137" i="53"/>
  <c r="A137" i="53"/>
  <c r="AZ136" i="53"/>
  <c r="BA136" i="53"/>
  <c r="AX136" i="53"/>
  <c r="AY136" i="53"/>
  <c r="AV136" i="53"/>
  <c r="AW136" i="53"/>
  <c r="AU136" i="53"/>
  <c r="AS136" i="53"/>
  <c r="AQ136" i="53"/>
  <c r="AO136" i="53"/>
  <c r="AM136" i="53"/>
  <c r="AK136" i="53"/>
  <c r="AE136" i="53"/>
  <c r="AF136" i="53"/>
  <c r="Y136" i="53"/>
  <c r="X136" i="53"/>
  <c r="D136" i="53"/>
  <c r="C136" i="53"/>
  <c r="B136" i="53"/>
  <c r="A136" i="53"/>
  <c r="AZ135" i="53"/>
  <c r="BA135" i="53"/>
  <c r="AX135" i="53"/>
  <c r="AY135" i="53"/>
  <c r="AV135" i="53"/>
  <c r="AW135" i="53"/>
  <c r="AU135" i="53"/>
  <c r="AS135" i="53"/>
  <c r="AQ135" i="53"/>
  <c r="AO135" i="53"/>
  <c r="AM135" i="53"/>
  <c r="AK135" i="53"/>
  <c r="AE135" i="53"/>
  <c r="AF135" i="53"/>
  <c r="Y135" i="53"/>
  <c r="X135" i="53"/>
  <c r="D135" i="53"/>
  <c r="C135" i="53"/>
  <c r="B135" i="53"/>
  <c r="A135" i="53"/>
  <c r="AZ134" i="53"/>
  <c r="BA134" i="53"/>
  <c r="AX134" i="53"/>
  <c r="AY134" i="53"/>
  <c r="AV134" i="53"/>
  <c r="AW134" i="53"/>
  <c r="AU134" i="53"/>
  <c r="AS134" i="53"/>
  <c r="AQ134" i="53"/>
  <c r="AO134" i="53"/>
  <c r="AM134" i="53"/>
  <c r="AK134" i="53"/>
  <c r="AE134" i="53"/>
  <c r="AF134" i="53"/>
  <c r="Y134" i="53"/>
  <c r="X134" i="53"/>
  <c r="D134" i="53"/>
  <c r="C134" i="53"/>
  <c r="B134" i="53"/>
  <c r="A134" i="53"/>
  <c r="AZ133" i="53"/>
  <c r="BA133" i="53"/>
  <c r="AX133" i="53"/>
  <c r="AY133" i="53"/>
  <c r="AV133" i="53"/>
  <c r="AW133" i="53"/>
  <c r="AU133" i="53"/>
  <c r="AS133" i="53"/>
  <c r="AQ133" i="53"/>
  <c r="AO133" i="53"/>
  <c r="AM133" i="53"/>
  <c r="AK133" i="53"/>
  <c r="AE133" i="53"/>
  <c r="AF133" i="53"/>
  <c r="Y133" i="53"/>
  <c r="X133" i="53"/>
  <c r="D133" i="53"/>
  <c r="C133" i="53"/>
  <c r="B133" i="53"/>
  <c r="A133" i="53"/>
  <c r="AZ132" i="53"/>
  <c r="BA132" i="53"/>
  <c r="AX132" i="53"/>
  <c r="AY132" i="53"/>
  <c r="AV132" i="53"/>
  <c r="AW132" i="53"/>
  <c r="AU132" i="53"/>
  <c r="AS132" i="53"/>
  <c r="AQ132" i="53"/>
  <c r="AO132" i="53"/>
  <c r="AM132" i="53"/>
  <c r="AK132" i="53"/>
  <c r="AE132" i="53"/>
  <c r="AF132" i="53"/>
  <c r="Y132" i="53"/>
  <c r="X132" i="53"/>
  <c r="D132" i="53"/>
  <c r="C132" i="53"/>
  <c r="B132" i="53"/>
  <c r="A132" i="53"/>
  <c r="AZ131" i="53"/>
  <c r="AH131" i="53"/>
  <c r="BA131" i="53"/>
  <c r="AX131" i="53"/>
  <c r="AY131" i="53"/>
  <c r="AV131" i="53"/>
  <c r="AW131" i="53"/>
  <c r="AU131" i="53"/>
  <c r="AQ131" i="53"/>
  <c r="AM131" i="53"/>
  <c r="AJ131" i="53"/>
  <c r="AS131" i="53"/>
  <c r="AE131" i="53"/>
  <c r="AF131" i="53"/>
  <c r="Y131" i="53"/>
  <c r="X131" i="53"/>
  <c r="D131" i="53"/>
  <c r="C131" i="53"/>
  <c r="B131" i="53"/>
  <c r="A131" i="53"/>
  <c r="AZ130" i="53"/>
  <c r="AH130" i="53"/>
  <c r="BA130" i="53"/>
  <c r="AX130" i="53"/>
  <c r="AY130" i="53"/>
  <c r="AV130" i="53"/>
  <c r="AW130" i="53"/>
  <c r="AU130" i="53"/>
  <c r="AQ130" i="53"/>
  <c r="AM130" i="53"/>
  <c r="AJ130" i="53"/>
  <c r="AS130" i="53"/>
  <c r="AE130" i="53"/>
  <c r="AF130" i="53"/>
  <c r="Y130" i="53"/>
  <c r="X130" i="53"/>
  <c r="D130" i="53"/>
  <c r="C130" i="53"/>
  <c r="B130" i="53"/>
  <c r="A130" i="53"/>
  <c r="AZ129" i="53"/>
  <c r="AH129" i="53"/>
  <c r="BA129" i="53"/>
  <c r="AX129" i="53"/>
  <c r="AY129" i="53"/>
  <c r="AV129" i="53"/>
  <c r="AW129" i="53"/>
  <c r="AU129" i="53"/>
  <c r="AQ129" i="53"/>
  <c r="AM129" i="53"/>
  <c r="AJ129" i="53"/>
  <c r="AS129" i="53"/>
  <c r="AE129" i="53"/>
  <c r="AF129" i="53"/>
  <c r="Y129" i="53"/>
  <c r="X129" i="53"/>
  <c r="D129" i="53"/>
  <c r="C129" i="53"/>
  <c r="B129" i="53"/>
  <c r="A129" i="53"/>
  <c r="AZ128" i="53"/>
  <c r="BA128" i="53"/>
  <c r="AX128" i="53"/>
  <c r="AY128" i="53"/>
  <c r="AV128" i="53"/>
  <c r="AW128" i="53"/>
  <c r="AU128" i="53"/>
  <c r="AS128" i="53"/>
  <c r="AQ128" i="53"/>
  <c r="AO128" i="53"/>
  <c r="AM128" i="53"/>
  <c r="AK128" i="53"/>
  <c r="AG128" i="53"/>
  <c r="AJ128" i="53"/>
  <c r="AD128" i="53"/>
  <c r="AE128" i="53"/>
  <c r="AF128" i="53"/>
  <c r="Y128" i="53"/>
  <c r="X128" i="53"/>
  <c r="D128" i="53"/>
  <c r="C128" i="53"/>
  <c r="B128" i="53"/>
  <c r="A128" i="53"/>
  <c r="AZ127" i="53"/>
  <c r="BA127" i="53"/>
  <c r="AX127" i="53"/>
  <c r="AY127" i="53"/>
  <c r="AV127" i="53"/>
  <c r="AW127" i="53"/>
  <c r="AU127" i="53"/>
  <c r="AS127" i="53"/>
  <c r="AQ127" i="53"/>
  <c r="AO127" i="53"/>
  <c r="AM127" i="53"/>
  <c r="AK127" i="53"/>
  <c r="AG127" i="53"/>
  <c r="AJ127" i="53"/>
  <c r="AE127" i="53"/>
  <c r="AF127" i="53"/>
  <c r="Y127" i="53"/>
  <c r="X127" i="53"/>
  <c r="D127" i="53"/>
  <c r="C127" i="53"/>
  <c r="B127" i="53"/>
  <c r="A127" i="53"/>
  <c r="AZ126" i="53"/>
  <c r="AH126" i="53"/>
  <c r="BA126" i="53"/>
  <c r="AX126" i="53"/>
  <c r="AY126" i="53"/>
  <c r="AV126" i="53"/>
  <c r="AW126" i="53"/>
  <c r="AJ126" i="53"/>
  <c r="AS126" i="53"/>
  <c r="Y126" i="53"/>
  <c r="X126" i="53"/>
  <c r="D126" i="53"/>
  <c r="C126" i="53"/>
  <c r="B126" i="53"/>
  <c r="A126" i="53"/>
  <c r="AZ125" i="53"/>
  <c r="AH125" i="53"/>
  <c r="BA125" i="53"/>
  <c r="AX125" i="53"/>
  <c r="AY125" i="53"/>
  <c r="AV125" i="53"/>
  <c r="AW125" i="53"/>
  <c r="AU125" i="53"/>
  <c r="AQ125" i="53"/>
  <c r="AM125" i="53"/>
  <c r="AJ125" i="53"/>
  <c r="AS125" i="53"/>
  <c r="AD125" i="53"/>
  <c r="AE125" i="53"/>
  <c r="AF125" i="53"/>
  <c r="Y125" i="53"/>
  <c r="X125" i="53"/>
  <c r="D125" i="53"/>
  <c r="C125" i="53"/>
  <c r="B125" i="53"/>
  <c r="A125" i="53"/>
  <c r="AZ124" i="53"/>
  <c r="AH124" i="53"/>
  <c r="BA124" i="53"/>
  <c r="AX124" i="53"/>
  <c r="AY124" i="53"/>
  <c r="AV124" i="53"/>
  <c r="AW124" i="53"/>
  <c r="AJ124" i="53"/>
  <c r="AS124" i="53"/>
  <c r="Y124" i="53"/>
  <c r="X124" i="53"/>
  <c r="D124" i="53"/>
  <c r="C124" i="53"/>
  <c r="B124" i="53"/>
  <c r="A124" i="53"/>
  <c r="AZ123" i="53"/>
  <c r="BA123" i="53"/>
  <c r="AX123" i="53"/>
  <c r="AY123" i="53"/>
  <c r="AV123" i="53"/>
  <c r="AW123" i="53"/>
  <c r="AU123" i="53"/>
  <c r="AS123" i="53"/>
  <c r="AQ123" i="53"/>
  <c r="AO123" i="53"/>
  <c r="AM123" i="53"/>
  <c r="AK123" i="53"/>
  <c r="AE123" i="53"/>
  <c r="AF123" i="53"/>
  <c r="Y123" i="53"/>
  <c r="X123" i="53"/>
  <c r="D123" i="53"/>
  <c r="C123" i="53"/>
  <c r="B123" i="53"/>
  <c r="A123" i="53"/>
  <c r="AZ122" i="53"/>
  <c r="AH122" i="53"/>
  <c r="BA122" i="53"/>
  <c r="AX122" i="53"/>
  <c r="AY122" i="53"/>
  <c r="AV122" i="53"/>
  <c r="AW122" i="53"/>
  <c r="AU122" i="53"/>
  <c r="AQ122" i="53"/>
  <c r="AM122" i="53"/>
  <c r="AJ122" i="53"/>
  <c r="AS122" i="53"/>
  <c r="AS121" i="53"/>
  <c r="AD122" i="53"/>
  <c r="AE122" i="53"/>
  <c r="AF122" i="53"/>
  <c r="Y122" i="53"/>
  <c r="X122" i="53"/>
  <c r="D122" i="53"/>
  <c r="C122" i="53"/>
  <c r="B122" i="53"/>
  <c r="A122" i="53"/>
  <c r="AH121" i="53"/>
  <c r="AC121" i="53"/>
  <c r="AB121" i="53"/>
  <c r="C121" i="53"/>
  <c r="B121" i="53"/>
  <c r="A121" i="53"/>
  <c r="AZ120" i="53"/>
  <c r="BA120" i="53"/>
  <c r="AX120" i="53"/>
  <c r="AY120" i="53"/>
  <c r="AV120" i="53"/>
  <c r="AW120" i="53"/>
  <c r="AU120" i="53"/>
  <c r="AS120" i="53"/>
  <c r="AQ120" i="53"/>
  <c r="AO120" i="53"/>
  <c r="AM120" i="53"/>
  <c r="AK120" i="53"/>
  <c r="AJ120" i="53"/>
  <c r="AF120" i="53"/>
  <c r="C119" i="53"/>
  <c r="C120" i="53"/>
  <c r="A119" i="53"/>
  <c r="A120" i="53"/>
  <c r="AZ119" i="53"/>
  <c r="BA119" i="53"/>
  <c r="AX119" i="53"/>
  <c r="AY119" i="53"/>
  <c r="AV119" i="53"/>
  <c r="AW119" i="53"/>
  <c r="AU119" i="53"/>
  <c r="AS119" i="53"/>
  <c r="AQ119" i="53"/>
  <c r="AO119" i="53"/>
  <c r="AM119" i="53"/>
  <c r="AK119" i="53"/>
  <c r="AJ119" i="53"/>
  <c r="AF119" i="53"/>
  <c r="B119" i="53"/>
  <c r="B120" i="53"/>
  <c r="AZ118" i="53"/>
  <c r="BA118" i="53"/>
  <c r="AX118" i="53"/>
  <c r="AY118" i="53"/>
  <c r="AV118" i="53"/>
  <c r="AW118" i="53"/>
  <c r="AU118" i="53"/>
  <c r="AS118" i="53"/>
  <c r="AQ118" i="53"/>
  <c r="AO118" i="53"/>
  <c r="AM118" i="53"/>
  <c r="AK118" i="53"/>
  <c r="AJ118" i="53"/>
  <c r="AF118" i="53"/>
  <c r="C118" i="53"/>
  <c r="B118" i="53"/>
  <c r="A118" i="53"/>
  <c r="AZ117" i="53"/>
  <c r="BA117" i="53"/>
  <c r="AX117" i="53"/>
  <c r="AY117" i="53"/>
  <c r="AV117" i="53"/>
  <c r="AW117" i="53"/>
  <c r="AU117" i="53"/>
  <c r="AS117" i="53"/>
  <c r="AQ117" i="53"/>
  <c r="AO117" i="53"/>
  <c r="AM117" i="53"/>
  <c r="AK117" i="53"/>
  <c r="AJ117" i="53"/>
  <c r="AF117" i="53"/>
  <c r="C117" i="53"/>
  <c r="B117" i="53"/>
  <c r="A117" i="53"/>
  <c r="AZ116" i="53"/>
  <c r="BA116" i="53"/>
  <c r="AX116" i="53"/>
  <c r="AY116" i="53"/>
  <c r="AV116" i="53"/>
  <c r="AW116" i="53"/>
  <c r="AU116" i="53"/>
  <c r="AS116" i="53"/>
  <c r="AQ116" i="53"/>
  <c r="AO116" i="53"/>
  <c r="AM116" i="53"/>
  <c r="AK116" i="53"/>
  <c r="AJ116" i="53"/>
  <c r="AF116" i="53"/>
  <c r="AZ115" i="53"/>
  <c r="AH115" i="53"/>
  <c r="BA115" i="53"/>
  <c r="AX115" i="53"/>
  <c r="AY115" i="53"/>
  <c r="AV115" i="53"/>
  <c r="AW115" i="53"/>
  <c r="AU115" i="53"/>
  <c r="AQ115" i="53"/>
  <c r="AM115" i="53"/>
  <c r="AJ115" i="53"/>
  <c r="AS115" i="53"/>
  <c r="AF115" i="53"/>
  <c r="C115" i="53"/>
  <c r="B115" i="53"/>
  <c r="A115" i="53"/>
  <c r="AZ114" i="53"/>
  <c r="AH114" i="53"/>
  <c r="BA114" i="53"/>
  <c r="AX114" i="53"/>
  <c r="AY114" i="53"/>
  <c r="AV114" i="53"/>
  <c r="AW114" i="53"/>
  <c r="AU114" i="53"/>
  <c r="AQ114" i="53"/>
  <c r="AM114" i="53"/>
  <c r="AJ114" i="53"/>
  <c r="AS114" i="53"/>
  <c r="AF114" i="53"/>
  <c r="C114" i="53"/>
  <c r="B114" i="53"/>
  <c r="A114" i="53"/>
  <c r="AZ113" i="53"/>
  <c r="BA113" i="53"/>
  <c r="AX113" i="53"/>
  <c r="AY113" i="53"/>
  <c r="AV113" i="53"/>
  <c r="AW113" i="53"/>
  <c r="AU113" i="53"/>
  <c r="AS113" i="53"/>
  <c r="AQ113" i="53"/>
  <c r="AO113" i="53"/>
  <c r="AM113" i="53"/>
  <c r="AK113" i="53"/>
  <c r="AG113" i="53"/>
  <c r="AJ113" i="53"/>
  <c r="AD113" i="53"/>
  <c r="AE113" i="53"/>
  <c r="AF113" i="53"/>
  <c r="C113" i="53"/>
  <c r="B113" i="53"/>
  <c r="A113" i="53"/>
  <c r="AZ112" i="53"/>
  <c r="BA112" i="53"/>
  <c r="AX112" i="53"/>
  <c r="AY112" i="53"/>
  <c r="AV112" i="53"/>
  <c r="AW112" i="53"/>
  <c r="AU112" i="53"/>
  <c r="AS112" i="53"/>
  <c r="AQ112" i="53"/>
  <c r="AO112" i="53"/>
  <c r="AM112" i="53"/>
  <c r="AK112" i="53"/>
  <c r="AG112" i="53"/>
  <c r="AJ112" i="53"/>
  <c r="AD112" i="53"/>
  <c r="AE112" i="53"/>
  <c r="AF112" i="53"/>
  <c r="C112" i="53"/>
  <c r="B112" i="53"/>
  <c r="A112" i="53"/>
  <c r="AZ111" i="53"/>
  <c r="BA111" i="53"/>
  <c r="AX111" i="53"/>
  <c r="AY111" i="53"/>
  <c r="AV111" i="53"/>
  <c r="AW111" i="53"/>
  <c r="AU111" i="53"/>
  <c r="AS111" i="53"/>
  <c r="AQ111" i="53"/>
  <c r="AO111" i="53"/>
  <c r="AM111" i="53"/>
  <c r="AK111" i="53"/>
  <c r="AG111" i="53"/>
  <c r="AJ111" i="53"/>
  <c r="C111" i="53"/>
  <c r="B111" i="53"/>
  <c r="A111" i="53"/>
  <c r="AZ110" i="53"/>
  <c r="AH110" i="53"/>
  <c r="BA110" i="53"/>
  <c r="AX110" i="53"/>
  <c r="AY110" i="53"/>
  <c r="AV110" i="53"/>
  <c r="AW110" i="53"/>
  <c r="AS110" i="53"/>
  <c r="AD110" i="53"/>
  <c r="AE110" i="53"/>
  <c r="AF110" i="53"/>
  <c r="C110" i="53"/>
  <c r="B110" i="53"/>
  <c r="A110" i="53"/>
  <c r="AZ109" i="53"/>
  <c r="BA109" i="53"/>
  <c r="AX109" i="53"/>
  <c r="AY109" i="53"/>
  <c r="AV109" i="53"/>
  <c r="AW109" i="53"/>
  <c r="AU109" i="53"/>
  <c r="AS109" i="53"/>
  <c r="AQ109" i="53"/>
  <c r="AO109" i="53"/>
  <c r="AM109" i="53"/>
  <c r="AK109" i="53"/>
  <c r="AG109" i="53"/>
  <c r="AJ109" i="53"/>
  <c r="AD109" i="53"/>
  <c r="AE109" i="53"/>
  <c r="AF109" i="53"/>
  <c r="C109" i="53"/>
  <c r="B109" i="53"/>
  <c r="A109" i="53"/>
  <c r="AZ108" i="53"/>
  <c r="BA108" i="53"/>
  <c r="AX108" i="53"/>
  <c r="AY108" i="53"/>
  <c r="AV108" i="53"/>
  <c r="AW108" i="53"/>
  <c r="AU108" i="53"/>
  <c r="AS108" i="53"/>
  <c r="AQ108" i="53"/>
  <c r="AO108" i="53"/>
  <c r="AM108" i="53"/>
  <c r="AK108" i="53"/>
  <c r="AG108" i="53"/>
  <c r="AJ108" i="53"/>
  <c r="AD108" i="53"/>
  <c r="AE108" i="53"/>
  <c r="AF108" i="53"/>
  <c r="AC108" i="53"/>
  <c r="C108" i="53"/>
  <c r="B108" i="53"/>
  <c r="A108" i="53"/>
  <c r="AZ107" i="53"/>
  <c r="BA107" i="53"/>
  <c r="AX107" i="53"/>
  <c r="AY107" i="53"/>
  <c r="AV107" i="53"/>
  <c r="AW107" i="53"/>
  <c r="AU107" i="53"/>
  <c r="AS107" i="53"/>
  <c r="AQ107" i="53"/>
  <c r="AO107" i="53"/>
  <c r="AM107" i="53"/>
  <c r="AK107" i="53"/>
  <c r="AJ107" i="53"/>
  <c r="AF107" i="53"/>
  <c r="C107" i="53"/>
  <c r="B107" i="53"/>
  <c r="A107" i="53"/>
  <c r="AZ106" i="53"/>
  <c r="BA106" i="53"/>
  <c r="AX106" i="53"/>
  <c r="AY106" i="53"/>
  <c r="AV106" i="53"/>
  <c r="AW106" i="53"/>
  <c r="AU106" i="53"/>
  <c r="AS106" i="53"/>
  <c r="AQ106" i="53"/>
  <c r="AO106" i="53"/>
  <c r="AM106" i="53"/>
  <c r="AK106" i="53"/>
  <c r="AG106" i="53"/>
  <c r="AJ106" i="53"/>
  <c r="AD106" i="53"/>
  <c r="AE106" i="53"/>
  <c r="AF106" i="53"/>
  <c r="C106" i="53"/>
  <c r="B106" i="53"/>
  <c r="A106" i="53"/>
  <c r="AC105" i="53"/>
  <c r="AB105" i="53"/>
  <c r="C105" i="53"/>
  <c r="B105" i="53"/>
  <c r="A105" i="53"/>
  <c r="AZ104" i="53"/>
  <c r="BA104" i="53"/>
  <c r="AX104" i="53"/>
  <c r="AY104" i="53"/>
  <c r="AV104" i="53"/>
  <c r="AW104" i="53"/>
  <c r="AZ100" i="53"/>
  <c r="AV100" i="53"/>
  <c r="AW100" i="53"/>
  <c r="AZ101" i="53"/>
  <c r="AV101" i="53"/>
  <c r="AW101" i="53"/>
  <c r="AZ102" i="53"/>
  <c r="AV102" i="53"/>
  <c r="AW102" i="53"/>
  <c r="AZ103" i="53"/>
  <c r="AV103" i="53"/>
  <c r="AW103" i="53"/>
  <c r="AW99" i="53"/>
  <c r="AU104" i="53"/>
  <c r="AS104" i="53"/>
  <c r="AQ104" i="53"/>
  <c r="AO104" i="53"/>
  <c r="AM104" i="53"/>
  <c r="AK104" i="53"/>
  <c r="AJ104" i="53"/>
  <c r="AF104" i="53"/>
  <c r="B104" i="53"/>
  <c r="BA103" i="53"/>
  <c r="AX103" i="53"/>
  <c r="AY103" i="53"/>
  <c r="AU103" i="53"/>
  <c r="AS103" i="53"/>
  <c r="AQ103" i="53"/>
  <c r="AO103" i="53"/>
  <c r="AM103" i="53"/>
  <c r="AF103" i="53"/>
  <c r="C103" i="53"/>
  <c r="C104" i="53"/>
  <c r="A103" i="53"/>
  <c r="A104" i="53"/>
  <c r="BA102" i="53"/>
  <c r="AX102" i="53"/>
  <c r="AY102" i="53"/>
  <c r="AU102" i="53"/>
  <c r="AS102" i="53"/>
  <c r="AQ102" i="53"/>
  <c r="AO102" i="53"/>
  <c r="AM102" i="53"/>
  <c r="AF102" i="53"/>
  <c r="C102" i="53"/>
  <c r="A102" i="53"/>
  <c r="BA101" i="53"/>
  <c r="AX101" i="53"/>
  <c r="AY101" i="53"/>
  <c r="AU101" i="53"/>
  <c r="AS101" i="53"/>
  <c r="AQ101" i="53"/>
  <c r="AO101" i="53"/>
  <c r="AM101" i="53"/>
  <c r="AK101" i="53"/>
  <c r="AJ101" i="53"/>
  <c r="AF101" i="53"/>
  <c r="C101" i="53"/>
  <c r="A101" i="53"/>
  <c r="BA100" i="53"/>
  <c r="AX100" i="53"/>
  <c r="AY100" i="53"/>
  <c r="AU100" i="53"/>
  <c r="AU99" i="53"/>
  <c r="AS100" i="53"/>
  <c r="AQ100" i="53"/>
  <c r="AQ99" i="53"/>
  <c r="AO100" i="53"/>
  <c r="AM100" i="53"/>
  <c r="AM99" i="53"/>
  <c r="AK100" i="53"/>
  <c r="AG100" i="53"/>
  <c r="AJ100" i="53"/>
  <c r="AJ99" i="53"/>
  <c r="AF100" i="53"/>
  <c r="C100" i="53"/>
  <c r="A100" i="53"/>
  <c r="AS99" i="53"/>
  <c r="AO99" i="53"/>
  <c r="AK99" i="53"/>
  <c r="AH99" i="53"/>
  <c r="AG99" i="53"/>
  <c r="AD99" i="53"/>
  <c r="AB99" i="53"/>
  <c r="AE99" i="53"/>
  <c r="AF99" i="53"/>
  <c r="AC99" i="53"/>
  <c r="C99" i="53"/>
  <c r="A99" i="53"/>
  <c r="AZ98" i="53"/>
  <c r="BA98" i="53"/>
  <c r="AX98" i="53"/>
  <c r="AY98" i="53"/>
  <c r="AV98" i="53"/>
  <c r="AW98" i="53"/>
  <c r="AU98" i="53"/>
  <c r="AS98" i="53"/>
  <c r="AQ98" i="53"/>
  <c r="AO98" i="53"/>
  <c r="AM98" i="53"/>
  <c r="AK98" i="53"/>
  <c r="AJ98" i="53"/>
  <c r="AF98" i="53"/>
  <c r="B98" i="53"/>
  <c r="AZ97" i="53"/>
  <c r="BA97" i="53"/>
  <c r="AX97" i="53"/>
  <c r="AY97" i="53"/>
  <c r="AV97" i="53"/>
  <c r="AW97" i="53"/>
  <c r="AU97" i="53"/>
  <c r="AS97" i="53"/>
  <c r="AQ97" i="53"/>
  <c r="AO97" i="53"/>
  <c r="AM97" i="53"/>
  <c r="AF97" i="53"/>
  <c r="C97" i="53"/>
  <c r="C98" i="53"/>
  <c r="A97" i="53"/>
  <c r="A98" i="53"/>
  <c r="AZ96" i="53"/>
  <c r="BA96" i="53"/>
  <c r="AX96" i="53"/>
  <c r="AY96" i="53"/>
  <c r="AV96" i="53"/>
  <c r="AW96" i="53"/>
  <c r="AU96" i="53"/>
  <c r="AS96" i="53"/>
  <c r="AQ96" i="53"/>
  <c r="AO96" i="53"/>
  <c r="AM96" i="53"/>
  <c r="AK96" i="53"/>
  <c r="AJ96" i="53"/>
  <c r="AF96" i="53"/>
  <c r="C96" i="53"/>
  <c r="A96" i="53"/>
  <c r="AZ95" i="53"/>
  <c r="BA95" i="53"/>
  <c r="AX95" i="53"/>
  <c r="AY95" i="53"/>
  <c r="AV95" i="53"/>
  <c r="AW95" i="53"/>
  <c r="AU95" i="53"/>
  <c r="AS95" i="53"/>
  <c r="AQ95" i="53"/>
  <c r="AO95" i="53"/>
  <c r="AM95" i="53"/>
  <c r="AK95" i="53"/>
  <c r="AJ95" i="53"/>
  <c r="AF95" i="53"/>
  <c r="C95" i="53"/>
  <c r="A95" i="53"/>
  <c r="AZ94" i="53"/>
  <c r="BA94" i="53"/>
  <c r="AX94" i="53"/>
  <c r="AY94" i="53"/>
  <c r="AV94" i="53"/>
  <c r="AW94" i="53"/>
  <c r="AU94" i="53"/>
  <c r="AS94" i="53"/>
  <c r="AQ94" i="53"/>
  <c r="AO94" i="53"/>
  <c r="AM94" i="53"/>
  <c r="AK94" i="53"/>
  <c r="AJ94" i="53"/>
  <c r="AF94" i="53"/>
  <c r="C94" i="53"/>
  <c r="A94" i="53"/>
  <c r="AZ93" i="53"/>
  <c r="BA93" i="53"/>
  <c r="AX93" i="53"/>
  <c r="AY93" i="53"/>
  <c r="AV93" i="53"/>
  <c r="AW93" i="53"/>
  <c r="AU93" i="53"/>
  <c r="AS93" i="53"/>
  <c r="AQ93" i="53"/>
  <c r="AO93" i="53"/>
  <c r="AM93" i="53"/>
  <c r="AK93" i="53"/>
  <c r="AG93" i="53"/>
  <c r="AJ93" i="53"/>
  <c r="AF93" i="53"/>
  <c r="C93" i="53"/>
  <c r="A93" i="53"/>
  <c r="AZ92" i="53"/>
  <c r="BA92" i="53"/>
  <c r="AX92" i="53"/>
  <c r="AY92" i="53"/>
  <c r="AV92" i="53"/>
  <c r="AW92" i="53"/>
  <c r="AU92" i="53"/>
  <c r="AS92" i="53"/>
  <c r="AQ92" i="53"/>
  <c r="AO92" i="53"/>
  <c r="AM92" i="53"/>
  <c r="AK92" i="53"/>
  <c r="AG92" i="53"/>
  <c r="AJ92" i="53"/>
  <c r="AF92" i="53"/>
  <c r="C92" i="53"/>
  <c r="A92" i="53"/>
  <c r="AZ91" i="53"/>
  <c r="BA91" i="53"/>
  <c r="AX91" i="53"/>
  <c r="AY91" i="53"/>
  <c r="AV91" i="53"/>
  <c r="AW91" i="53"/>
  <c r="AU91" i="53"/>
  <c r="AS91" i="53"/>
  <c r="AQ91" i="53"/>
  <c r="AO91" i="53"/>
  <c r="AM91" i="53"/>
  <c r="AK91" i="53"/>
  <c r="AG91" i="53"/>
  <c r="AJ91" i="53"/>
  <c r="C91" i="53"/>
  <c r="A91" i="53"/>
  <c r="AZ90" i="53"/>
  <c r="BA90" i="53"/>
  <c r="AX90" i="53"/>
  <c r="AY90" i="53"/>
  <c r="AV90" i="53"/>
  <c r="AW90" i="53"/>
  <c r="AU90" i="53"/>
  <c r="AS90" i="53"/>
  <c r="AQ90" i="53"/>
  <c r="AO90" i="53"/>
  <c r="AM90" i="53"/>
  <c r="AK90" i="53"/>
  <c r="AG90" i="53"/>
  <c r="AJ90" i="53"/>
  <c r="AF90" i="53"/>
  <c r="C90" i="53"/>
  <c r="A90" i="53"/>
  <c r="AZ89" i="53"/>
  <c r="BA89" i="53"/>
  <c r="AX89" i="53"/>
  <c r="AY89" i="53"/>
  <c r="AV89" i="53"/>
  <c r="AW89" i="53"/>
  <c r="AU89" i="53"/>
  <c r="AS89" i="53"/>
  <c r="AQ89" i="53"/>
  <c r="AO89" i="53"/>
  <c r="AM89" i="53"/>
  <c r="AK89" i="53"/>
  <c r="AG89" i="53"/>
  <c r="AJ89" i="53"/>
  <c r="AF89" i="53"/>
  <c r="C89" i="53"/>
  <c r="A89" i="53"/>
  <c r="AZ88" i="53"/>
  <c r="BA88" i="53"/>
  <c r="AX88" i="53"/>
  <c r="AY88" i="53"/>
  <c r="AV88" i="53"/>
  <c r="AW88" i="53"/>
  <c r="AU88" i="53"/>
  <c r="AS88" i="53"/>
  <c r="AQ88" i="53"/>
  <c r="AO88" i="53"/>
  <c r="AM88" i="53"/>
  <c r="AK88" i="53"/>
  <c r="AG88" i="53"/>
  <c r="AJ88" i="53"/>
  <c r="AF88" i="53"/>
  <c r="C88" i="53"/>
  <c r="A88" i="53"/>
  <c r="AZ87" i="53"/>
  <c r="BA87" i="53"/>
  <c r="AX87" i="53"/>
  <c r="AY87" i="53"/>
  <c r="AV87" i="53"/>
  <c r="AW87" i="53"/>
  <c r="AU87" i="53"/>
  <c r="AS87" i="53"/>
  <c r="AQ87" i="53"/>
  <c r="AO87" i="53"/>
  <c r="AM87" i="53"/>
  <c r="AK87" i="53"/>
  <c r="AJ87" i="53"/>
  <c r="AF87" i="53"/>
  <c r="C87" i="53"/>
  <c r="A87" i="53"/>
  <c r="AZ86" i="53"/>
  <c r="BA86" i="53"/>
  <c r="AX86" i="53"/>
  <c r="AY86" i="53"/>
  <c r="AV86" i="53"/>
  <c r="AW86" i="53"/>
  <c r="AW85" i="53"/>
  <c r="AU86" i="53"/>
  <c r="AS86" i="53"/>
  <c r="AS85" i="53"/>
  <c r="AQ86" i="53"/>
  <c r="AO86" i="53"/>
  <c r="AO85" i="53"/>
  <c r="AM86" i="53"/>
  <c r="AK86" i="53"/>
  <c r="AK85" i="53"/>
  <c r="AG86" i="53"/>
  <c r="AJ86" i="53"/>
  <c r="AF86" i="53"/>
  <c r="C86" i="53"/>
  <c r="A86" i="53"/>
  <c r="AU85" i="53"/>
  <c r="AQ85" i="53"/>
  <c r="AM85" i="53"/>
  <c r="AH85" i="53"/>
  <c r="AG85" i="53"/>
  <c r="AD85" i="53"/>
  <c r="AB85" i="53"/>
  <c r="AE85" i="53"/>
  <c r="AF85" i="53"/>
  <c r="AC85" i="53"/>
  <c r="C85" i="53"/>
  <c r="A85" i="53"/>
  <c r="AZ84" i="53"/>
  <c r="BA84" i="53"/>
  <c r="AX84" i="53"/>
  <c r="AY84" i="53"/>
  <c r="AV84" i="53"/>
  <c r="AW84" i="53"/>
  <c r="AU84" i="53"/>
  <c r="AS84" i="53"/>
  <c r="AQ84" i="53"/>
  <c r="AO84" i="53"/>
  <c r="AM84" i="53"/>
  <c r="AK84" i="53"/>
  <c r="AJ84" i="53"/>
  <c r="AF84" i="53"/>
  <c r="C83" i="53"/>
  <c r="C84" i="53"/>
  <c r="A83" i="53"/>
  <c r="A84" i="53"/>
  <c r="AZ83" i="53"/>
  <c r="BA83" i="53"/>
  <c r="AX83" i="53"/>
  <c r="AY83" i="53"/>
  <c r="AV83" i="53"/>
  <c r="AW83" i="53"/>
  <c r="AU83" i="53"/>
  <c r="AS83" i="53"/>
  <c r="AQ83" i="53"/>
  <c r="AO83" i="53"/>
  <c r="AM83" i="53"/>
  <c r="AF83" i="53"/>
  <c r="B83" i="53"/>
  <c r="B84" i="53"/>
  <c r="AZ82" i="53"/>
  <c r="BA82" i="53"/>
  <c r="AX82" i="53"/>
  <c r="AY82" i="53"/>
  <c r="AV82" i="53"/>
  <c r="AW82" i="53"/>
  <c r="AU82" i="53"/>
  <c r="AU79" i="53"/>
  <c r="AU80" i="53"/>
  <c r="AU81" i="53"/>
  <c r="AU78" i="53"/>
  <c r="AS82" i="53"/>
  <c r="AQ82" i="53"/>
  <c r="AQ79" i="53"/>
  <c r="AQ80" i="53"/>
  <c r="AQ81" i="53"/>
  <c r="AQ78" i="53"/>
  <c r="AO82" i="53"/>
  <c r="AM82" i="53"/>
  <c r="AM79" i="53"/>
  <c r="AM80" i="53"/>
  <c r="AM81" i="53"/>
  <c r="AM78" i="53"/>
  <c r="AF82" i="53"/>
  <c r="C82" i="53"/>
  <c r="B82" i="53"/>
  <c r="A82" i="53"/>
  <c r="AZ81" i="53"/>
  <c r="BA81" i="53"/>
  <c r="AX81" i="53"/>
  <c r="AY81" i="53"/>
  <c r="AV81" i="53"/>
  <c r="AW81" i="53"/>
  <c r="AS81" i="53"/>
  <c r="AO81" i="53"/>
  <c r="AK81" i="53"/>
  <c r="AJ81" i="53"/>
  <c r="AF81" i="53"/>
  <c r="AZ80" i="53"/>
  <c r="BA80" i="53"/>
  <c r="AX80" i="53"/>
  <c r="AY80" i="53"/>
  <c r="AV80" i="53"/>
  <c r="AW80" i="53"/>
  <c r="AS80" i="53"/>
  <c r="AO80" i="53"/>
  <c r="AK80" i="53"/>
  <c r="AJ80" i="53"/>
  <c r="AF80" i="53"/>
  <c r="AZ79" i="53"/>
  <c r="BA79" i="53"/>
  <c r="AX79" i="53"/>
  <c r="AY79" i="53"/>
  <c r="AV79" i="53"/>
  <c r="AW79" i="53"/>
  <c r="AS79" i="53"/>
  <c r="AO79" i="53"/>
  <c r="AK79" i="53"/>
  <c r="AG79" i="53"/>
  <c r="AJ79" i="53"/>
  <c r="AJ78" i="53"/>
  <c r="AD79" i="53"/>
  <c r="AE79" i="53"/>
  <c r="AF79" i="53"/>
  <c r="C79" i="53"/>
  <c r="B79" i="53"/>
  <c r="A79" i="53"/>
  <c r="AS78" i="53"/>
  <c r="AO78" i="53"/>
  <c r="AK78" i="53"/>
  <c r="AH78" i="53"/>
  <c r="AG78" i="53"/>
  <c r="AD78" i="53"/>
  <c r="AB78" i="53"/>
  <c r="AE78" i="53"/>
  <c r="AF78" i="53"/>
  <c r="AC78" i="53"/>
  <c r="C78" i="53"/>
  <c r="B78" i="53"/>
  <c r="A78" i="53"/>
  <c r="AZ77" i="53"/>
  <c r="BA77" i="53"/>
  <c r="AX77" i="53"/>
  <c r="AY77" i="53"/>
  <c r="AV77" i="53"/>
  <c r="AW77" i="53"/>
  <c r="AU77" i="53"/>
  <c r="AS77" i="53"/>
  <c r="AQ77" i="53"/>
  <c r="AO77" i="53"/>
  <c r="AM77" i="53"/>
  <c r="AK77" i="53"/>
  <c r="AJ77" i="53"/>
  <c r="AF77" i="53"/>
  <c r="C76" i="53"/>
  <c r="C77" i="53"/>
  <c r="B77" i="53"/>
  <c r="A76" i="53"/>
  <c r="A77" i="53"/>
  <c r="AZ76" i="53"/>
  <c r="BA76" i="53"/>
  <c r="AX76" i="53"/>
  <c r="AY76" i="53"/>
  <c r="AV76" i="53"/>
  <c r="AW76" i="53"/>
  <c r="AU76" i="53"/>
  <c r="AS76" i="53"/>
  <c r="AQ76" i="53"/>
  <c r="AO76" i="53"/>
  <c r="AM76" i="53"/>
  <c r="AK76" i="53"/>
  <c r="AJ76" i="53"/>
  <c r="AF76" i="53"/>
  <c r="B76" i="53"/>
  <c r="AZ75" i="53"/>
  <c r="BA75" i="53"/>
  <c r="AX75" i="53"/>
  <c r="AY75" i="53"/>
  <c r="AV75" i="53"/>
  <c r="AW75" i="53"/>
  <c r="AU75" i="53"/>
  <c r="AS75" i="53"/>
  <c r="AQ75" i="53"/>
  <c r="AO75" i="53"/>
  <c r="AM75" i="53"/>
  <c r="AK75" i="53"/>
  <c r="AJ75" i="53"/>
  <c r="AF75" i="53"/>
  <c r="C75" i="53"/>
  <c r="B75" i="53"/>
  <c r="A75" i="53"/>
  <c r="AZ74" i="53"/>
  <c r="BA74" i="53"/>
  <c r="AX74" i="53"/>
  <c r="AY74" i="53"/>
  <c r="AV74" i="53"/>
  <c r="AW74" i="53"/>
  <c r="AU74" i="53"/>
  <c r="AS74" i="53"/>
  <c r="AQ74" i="53"/>
  <c r="AO74" i="53"/>
  <c r="AM74" i="53"/>
  <c r="AK74" i="53"/>
  <c r="AJ74" i="53"/>
  <c r="AF74" i="53"/>
  <c r="C74" i="53"/>
  <c r="B74" i="53"/>
  <c r="A74" i="53"/>
  <c r="AZ73" i="53"/>
  <c r="BA73" i="53"/>
  <c r="AX73" i="53"/>
  <c r="AY73" i="53"/>
  <c r="AV73" i="53"/>
  <c r="AW73" i="53"/>
  <c r="AU73" i="53"/>
  <c r="AS73" i="53"/>
  <c r="AQ73" i="53"/>
  <c r="AO73" i="53"/>
  <c r="AM73" i="53"/>
  <c r="AK73" i="53"/>
  <c r="AJ73" i="53"/>
  <c r="AF73" i="53"/>
  <c r="C73" i="53"/>
  <c r="B73" i="53"/>
  <c r="A73" i="53"/>
  <c r="AZ72" i="53"/>
  <c r="AH72" i="53"/>
  <c r="BA72" i="53"/>
  <c r="AX72" i="53"/>
  <c r="AY72" i="53"/>
  <c r="AV72" i="53"/>
  <c r="AW72" i="53"/>
  <c r="AS72" i="53"/>
  <c r="AS71" i="53"/>
  <c r="C72" i="53"/>
  <c r="B72" i="53"/>
  <c r="A72" i="53"/>
  <c r="AH71" i="53"/>
  <c r="AG71" i="53"/>
  <c r="AD71" i="53"/>
  <c r="AB71" i="53"/>
  <c r="AE71" i="53"/>
  <c r="AF71" i="53"/>
  <c r="AC71" i="53"/>
  <c r="C71" i="53"/>
  <c r="A71" i="53"/>
  <c r="AZ70" i="53"/>
  <c r="BA70" i="53"/>
  <c r="AX70" i="53"/>
  <c r="AY70" i="53"/>
  <c r="AV70" i="53"/>
  <c r="AW70" i="53"/>
  <c r="AU70" i="53"/>
  <c r="AS70" i="53"/>
  <c r="AQ70" i="53"/>
  <c r="AO70" i="53"/>
  <c r="AM70" i="53"/>
  <c r="AK70" i="53"/>
  <c r="AJ70" i="53"/>
  <c r="AF70" i="53"/>
  <c r="C70" i="53"/>
  <c r="B70" i="53"/>
  <c r="A70" i="53"/>
  <c r="AZ69" i="53"/>
  <c r="BA69" i="53"/>
  <c r="AX69" i="53"/>
  <c r="AY69" i="53"/>
  <c r="AV69" i="53"/>
  <c r="AW69" i="53"/>
  <c r="AU69" i="53"/>
  <c r="AS69" i="53"/>
  <c r="AQ69" i="53"/>
  <c r="AO69" i="53"/>
  <c r="AM69" i="53"/>
  <c r="AK69" i="53"/>
  <c r="AJ69" i="53"/>
  <c r="AF69" i="53"/>
  <c r="C69" i="53"/>
  <c r="B69" i="53"/>
  <c r="A69" i="53"/>
  <c r="AZ68" i="53"/>
  <c r="BA68" i="53"/>
  <c r="AX68" i="53"/>
  <c r="AY68" i="53"/>
  <c r="AV68" i="53"/>
  <c r="AW68" i="53"/>
  <c r="AU68" i="53"/>
  <c r="AS68" i="53"/>
  <c r="AQ68" i="53"/>
  <c r="AO68" i="53"/>
  <c r="AM68" i="53"/>
  <c r="AF68" i="53"/>
  <c r="C68" i="53"/>
  <c r="B68" i="53"/>
  <c r="A68" i="53"/>
  <c r="AZ67" i="53"/>
  <c r="BA67" i="53"/>
  <c r="AX67" i="53"/>
  <c r="AY67" i="53"/>
  <c r="AV67" i="53"/>
  <c r="AW67" i="53"/>
  <c r="AU67" i="53"/>
  <c r="AS67" i="53"/>
  <c r="AQ67" i="53"/>
  <c r="AO67" i="53"/>
  <c r="AM67" i="53"/>
  <c r="AK67" i="53"/>
  <c r="AJ67" i="53"/>
  <c r="AF67" i="53"/>
  <c r="C67" i="53"/>
  <c r="B67" i="53"/>
  <c r="A67" i="53"/>
  <c r="AZ66" i="53"/>
  <c r="BA66" i="53"/>
  <c r="AX66" i="53"/>
  <c r="AY66" i="53"/>
  <c r="AV66" i="53"/>
  <c r="AW66" i="53"/>
  <c r="AU66" i="53"/>
  <c r="AS66" i="53"/>
  <c r="AQ66" i="53"/>
  <c r="AO66" i="53"/>
  <c r="AM66" i="53"/>
  <c r="AK66" i="53"/>
  <c r="AG66" i="53"/>
  <c r="AJ66" i="53"/>
  <c r="C66" i="53"/>
  <c r="B66" i="53"/>
  <c r="A66" i="53"/>
  <c r="AZ65" i="53"/>
  <c r="BA65" i="53"/>
  <c r="AX65" i="53"/>
  <c r="AY65" i="53"/>
  <c r="AV65" i="53"/>
  <c r="AW65" i="53"/>
  <c r="AU65" i="53"/>
  <c r="AS65" i="53"/>
  <c r="AQ65" i="53"/>
  <c r="AO65" i="53"/>
  <c r="AM65" i="53"/>
  <c r="AK65" i="53"/>
  <c r="AG65" i="53"/>
  <c r="AJ65" i="53"/>
  <c r="C65" i="53"/>
  <c r="B65" i="53"/>
  <c r="A65" i="53"/>
  <c r="AZ64" i="53"/>
  <c r="BA64" i="53"/>
  <c r="AX64" i="53"/>
  <c r="AY64" i="53"/>
  <c r="AV64" i="53"/>
  <c r="AW64" i="53"/>
  <c r="AU64" i="53"/>
  <c r="AS64" i="53"/>
  <c r="AQ64" i="53"/>
  <c r="AO64" i="53"/>
  <c r="AM64" i="53"/>
  <c r="AK64" i="53"/>
  <c r="AG64" i="53"/>
  <c r="AJ64" i="53"/>
  <c r="C64" i="53"/>
  <c r="B64" i="53"/>
  <c r="A64" i="53"/>
  <c r="AZ63" i="53"/>
  <c r="BA63" i="53"/>
  <c r="AX63" i="53"/>
  <c r="AY63" i="53"/>
  <c r="AV63" i="53"/>
  <c r="AW63" i="53"/>
  <c r="AU63" i="53"/>
  <c r="AS63" i="53"/>
  <c r="AQ63" i="53"/>
  <c r="AO63" i="53"/>
  <c r="AM63" i="53"/>
  <c r="AK63" i="53"/>
  <c r="AG63" i="53"/>
  <c r="AJ63" i="53"/>
  <c r="C63" i="53"/>
  <c r="B63" i="53"/>
  <c r="A63" i="53"/>
  <c r="AZ62" i="53"/>
  <c r="BA62" i="53"/>
  <c r="AX62" i="53"/>
  <c r="AY62" i="53"/>
  <c r="AV62" i="53"/>
  <c r="AW62" i="53"/>
  <c r="AU62" i="53"/>
  <c r="AS62" i="53"/>
  <c r="AQ62" i="53"/>
  <c r="AO62" i="53"/>
  <c r="AM62" i="53"/>
  <c r="AK62" i="53"/>
  <c r="AG62" i="53"/>
  <c r="AJ62" i="53"/>
  <c r="AG59" i="53"/>
  <c r="AJ59" i="53"/>
  <c r="AJ60" i="53"/>
  <c r="AJ58" i="53"/>
  <c r="C62" i="53"/>
  <c r="B62" i="53"/>
  <c r="A62" i="53"/>
  <c r="AW61" i="53"/>
  <c r="AU61" i="53"/>
  <c r="AS61" i="53"/>
  <c r="AQ61" i="53"/>
  <c r="AN61" i="53"/>
  <c r="AO61" i="53"/>
  <c r="AZ61" i="53"/>
  <c r="AM61" i="53"/>
  <c r="AF61" i="53"/>
  <c r="C61" i="53"/>
  <c r="B61" i="53"/>
  <c r="A61" i="53"/>
  <c r="AZ60" i="53"/>
  <c r="BA60" i="53"/>
  <c r="AX60" i="53"/>
  <c r="AY60" i="53"/>
  <c r="AV60" i="53"/>
  <c r="AW60" i="53"/>
  <c r="AU60" i="53"/>
  <c r="AS60" i="53"/>
  <c r="AS59" i="53"/>
  <c r="AS58" i="53"/>
  <c r="AQ60" i="53"/>
  <c r="AO60" i="53"/>
  <c r="AO59" i="53"/>
  <c r="AO58" i="53"/>
  <c r="AM60" i="53"/>
  <c r="AK60" i="53"/>
  <c r="AK59" i="53"/>
  <c r="AK58" i="53"/>
  <c r="AF60" i="53"/>
  <c r="C60" i="53"/>
  <c r="B60" i="53"/>
  <c r="A60" i="53"/>
  <c r="AZ59" i="53"/>
  <c r="BA59" i="53"/>
  <c r="AX59" i="53"/>
  <c r="AY59" i="53"/>
  <c r="AV59" i="53"/>
  <c r="AW59" i="53"/>
  <c r="AW58" i="53"/>
  <c r="AU59" i="53"/>
  <c r="AQ59" i="53"/>
  <c r="AM59" i="53"/>
  <c r="AD59" i="53"/>
  <c r="AE59" i="53"/>
  <c r="AF59" i="53"/>
  <c r="C59" i="53"/>
  <c r="B59" i="53"/>
  <c r="A59" i="53"/>
  <c r="AU58" i="53"/>
  <c r="AQ58" i="53"/>
  <c r="AM58" i="53"/>
  <c r="AH58" i="53"/>
  <c r="AG58" i="53"/>
  <c r="AC58" i="53"/>
  <c r="AB58" i="53"/>
  <c r="C58" i="53"/>
  <c r="B58" i="53"/>
  <c r="A58" i="53"/>
  <c r="AZ57" i="53"/>
  <c r="BA57" i="53"/>
  <c r="AX57" i="53"/>
  <c r="AY57" i="53"/>
  <c r="AV57" i="53"/>
  <c r="AW57" i="53"/>
  <c r="AU57" i="53"/>
  <c r="AS57" i="53"/>
  <c r="AQ57" i="53"/>
  <c r="AO57" i="53"/>
  <c r="AM57" i="53"/>
  <c r="AK57" i="53"/>
  <c r="AJ57" i="53"/>
  <c r="AF57" i="53"/>
  <c r="Y57" i="53"/>
  <c r="X57" i="53"/>
  <c r="D57" i="53"/>
  <c r="C57" i="53"/>
  <c r="B57" i="53"/>
  <c r="A57" i="53"/>
  <c r="AZ56" i="53"/>
  <c r="BA56" i="53"/>
  <c r="AX56" i="53"/>
  <c r="AY56" i="53"/>
  <c r="AV56" i="53"/>
  <c r="AW56" i="53"/>
  <c r="AU56" i="53"/>
  <c r="AS56" i="53"/>
  <c r="AQ56" i="53"/>
  <c r="AO56" i="53"/>
  <c r="AM56" i="53"/>
  <c r="AK56" i="53"/>
  <c r="AJ56" i="53"/>
  <c r="AF56" i="53"/>
  <c r="Y56" i="53"/>
  <c r="X56" i="53"/>
  <c r="D56" i="53"/>
  <c r="C56" i="53"/>
  <c r="B56" i="53"/>
  <c r="A56" i="53"/>
  <c r="AZ55" i="53"/>
  <c r="BA55" i="53"/>
  <c r="AX55" i="53"/>
  <c r="AY55" i="53"/>
  <c r="AV55" i="53"/>
  <c r="AW55" i="53"/>
  <c r="AU55" i="53"/>
  <c r="AS55" i="53"/>
  <c r="AQ55" i="53"/>
  <c r="AO55" i="53"/>
  <c r="AM55" i="53"/>
  <c r="AK55" i="53"/>
  <c r="AJ55" i="53"/>
  <c r="AF55" i="53"/>
  <c r="Y55" i="53"/>
  <c r="X55" i="53"/>
  <c r="D55" i="53"/>
  <c r="C55" i="53"/>
  <c r="B55" i="53"/>
  <c r="A55" i="53"/>
  <c r="AZ54" i="53"/>
  <c r="BA54" i="53"/>
  <c r="AX54" i="53"/>
  <c r="AY54" i="53"/>
  <c r="AV54" i="53"/>
  <c r="AW54" i="53"/>
  <c r="AU54" i="53"/>
  <c r="AS54" i="53"/>
  <c r="AQ54" i="53"/>
  <c r="AO54" i="53"/>
  <c r="AM54" i="53"/>
  <c r="AK54" i="53"/>
  <c r="AJ54" i="53"/>
  <c r="AF54" i="53"/>
  <c r="Y54" i="53"/>
  <c r="X54" i="53"/>
  <c r="D54" i="53"/>
  <c r="C54" i="53"/>
  <c r="B54" i="53"/>
  <c r="A54" i="53"/>
  <c r="AZ53" i="53"/>
  <c r="AH53" i="53"/>
  <c r="BA53" i="53"/>
  <c r="AX53" i="53"/>
  <c r="AY53" i="53"/>
  <c r="AV53" i="53"/>
  <c r="AW53" i="53"/>
  <c r="AJ53" i="53"/>
  <c r="AS53" i="53"/>
  <c r="AF53" i="53"/>
  <c r="Y53" i="53"/>
  <c r="X53" i="53"/>
  <c r="D53" i="53"/>
  <c r="C53" i="53"/>
  <c r="B53" i="53"/>
  <c r="A53" i="53"/>
  <c r="AZ52" i="53"/>
  <c r="AH52" i="53"/>
  <c r="BA52" i="53"/>
  <c r="AX52" i="53"/>
  <c r="AY52" i="53"/>
  <c r="AV52" i="53"/>
  <c r="AW52" i="53"/>
  <c r="AU52" i="53"/>
  <c r="AQ52" i="53"/>
  <c r="AM52" i="53"/>
  <c r="AJ52" i="53"/>
  <c r="AS52" i="53"/>
  <c r="AF52" i="53"/>
  <c r="Y52" i="53"/>
  <c r="X52" i="53"/>
  <c r="D52" i="53"/>
  <c r="C52" i="53"/>
  <c r="B52" i="53"/>
  <c r="A52" i="53"/>
  <c r="AZ51" i="53"/>
  <c r="AH51" i="53"/>
  <c r="BA51" i="53"/>
  <c r="AX51" i="53"/>
  <c r="AY51" i="53"/>
  <c r="AV51" i="53"/>
  <c r="AW51" i="53"/>
  <c r="AJ51" i="53"/>
  <c r="AS51" i="53"/>
  <c r="AF51" i="53"/>
  <c r="Y51" i="53"/>
  <c r="X51" i="53"/>
  <c r="D51" i="53"/>
  <c r="C51" i="53"/>
  <c r="B51" i="53"/>
  <c r="A51" i="53"/>
  <c r="AZ50" i="53"/>
  <c r="AH50" i="53"/>
  <c r="BA50" i="53"/>
  <c r="AX50" i="53"/>
  <c r="AY50" i="53"/>
  <c r="AV50" i="53"/>
  <c r="AW50" i="53"/>
  <c r="AU50" i="53"/>
  <c r="AQ50" i="53"/>
  <c r="AM50" i="53"/>
  <c r="AJ50" i="53"/>
  <c r="AS50" i="53"/>
  <c r="AF50" i="53"/>
  <c r="Y50" i="53"/>
  <c r="X50" i="53"/>
  <c r="D50" i="53"/>
  <c r="C50" i="53"/>
  <c r="B50" i="53"/>
  <c r="A50" i="53"/>
  <c r="AZ49" i="53"/>
  <c r="AH49" i="53"/>
  <c r="BA49" i="53"/>
  <c r="AX49" i="53"/>
  <c r="AY49" i="53"/>
  <c r="AV49" i="53"/>
  <c r="AW49" i="53"/>
  <c r="AZ47" i="53"/>
  <c r="AV47" i="53"/>
  <c r="AH47" i="53"/>
  <c r="AW47" i="53"/>
  <c r="AZ48" i="53"/>
  <c r="AV48" i="53"/>
  <c r="AW48" i="53"/>
  <c r="AW46" i="53"/>
  <c r="AJ49" i="53"/>
  <c r="AS49" i="53"/>
  <c r="AF49" i="53"/>
  <c r="Y49" i="53"/>
  <c r="X49" i="53"/>
  <c r="D49" i="53"/>
  <c r="C49" i="53"/>
  <c r="B49" i="53"/>
  <c r="A49" i="53"/>
  <c r="BA48" i="53"/>
  <c r="AX48" i="53"/>
  <c r="AY48" i="53"/>
  <c r="AU48" i="53"/>
  <c r="AS48" i="53"/>
  <c r="AQ48" i="53"/>
  <c r="AO48" i="53"/>
  <c r="AM48" i="53"/>
  <c r="AK48" i="53"/>
  <c r="AJ48" i="53"/>
  <c r="AF48" i="53"/>
  <c r="Y48" i="53"/>
  <c r="X48" i="53"/>
  <c r="D48" i="53"/>
  <c r="C48" i="53"/>
  <c r="B48" i="53"/>
  <c r="A48" i="53"/>
  <c r="BA47" i="53"/>
  <c r="AX47" i="53"/>
  <c r="AY47" i="53"/>
  <c r="AU47" i="53"/>
  <c r="AQ47" i="53"/>
  <c r="AM47" i="53"/>
  <c r="AJ47" i="53"/>
  <c r="AJ46" i="53"/>
  <c r="AS47" i="53"/>
  <c r="AS46" i="53"/>
  <c r="AF47" i="53"/>
  <c r="Y47" i="53"/>
  <c r="X47" i="53"/>
  <c r="D47" i="53"/>
  <c r="C47" i="53"/>
  <c r="B47" i="53"/>
  <c r="A47" i="53"/>
  <c r="AH46" i="53"/>
  <c r="AD46" i="53"/>
  <c r="AB46" i="53"/>
  <c r="AE46" i="53"/>
  <c r="AF46" i="53"/>
  <c r="AC46" i="53"/>
  <c r="C46" i="53"/>
  <c r="B46" i="53"/>
  <c r="A46" i="53"/>
  <c r="AZ45" i="53"/>
  <c r="BA45" i="53"/>
  <c r="AX45" i="53"/>
  <c r="AY45" i="53"/>
  <c r="AV45" i="53"/>
  <c r="AW45" i="53"/>
  <c r="AU45" i="53"/>
  <c r="AS45" i="53"/>
  <c r="AQ45" i="53"/>
  <c r="AO45" i="53"/>
  <c r="AM45" i="53"/>
  <c r="AK45" i="53"/>
  <c r="AJ45" i="53"/>
  <c r="AF45" i="53"/>
  <c r="C45" i="53"/>
  <c r="A45" i="53"/>
  <c r="AZ44" i="53"/>
  <c r="BA44" i="53"/>
  <c r="AX44" i="53"/>
  <c r="AY44" i="53"/>
  <c r="AV44" i="53"/>
  <c r="AW44" i="53"/>
  <c r="AU44" i="53"/>
  <c r="AS44" i="53"/>
  <c r="AQ44" i="53"/>
  <c r="AO44" i="53"/>
  <c r="AM44" i="53"/>
  <c r="AF44" i="53"/>
  <c r="C44" i="53"/>
  <c r="A44" i="53"/>
  <c r="AZ43" i="53"/>
  <c r="BA43" i="53"/>
  <c r="AX43" i="53"/>
  <c r="AY43" i="53"/>
  <c r="AV43" i="53"/>
  <c r="AW43" i="53"/>
  <c r="AU43" i="53"/>
  <c r="AS43" i="53"/>
  <c r="AQ43" i="53"/>
  <c r="AO43" i="53"/>
  <c r="AM43" i="53"/>
  <c r="AK43" i="53"/>
  <c r="AJ43" i="53"/>
  <c r="AF43" i="53"/>
  <c r="C43" i="53"/>
  <c r="A43" i="53"/>
  <c r="AZ42" i="53"/>
  <c r="BA42" i="53"/>
  <c r="AX42" i="53"/>
  <c r="AY42" i="53"/>
  <c r="AV42" i="53"/>
  <c r="AW42" i="53"/>
  <c r="AU42" i="53"/>
  <c r="AS42" i="53"/>
  <c r="AQ42" i="53"/>
  <c r="AO42" i="53"/>
  <c r="AM42" i="53"/>
  <c r="AK42" i="53"/>
  <c r="AJ42" i="53"/>
  <c r="AF42" i="53"/>
  <c r="C42" i="53"/>
  <c r="A42" i="53"/>
  <c r="AZ41" i="53"/>
  <c r="BA41" i="53"/>
  <c r="AX41" i="53"/>
  <c r="AY41" i="53"/>
  <c r="AV41" i="53"/>
  <c r="AW41" i="53"/>
  <c r="AU41" i="53"/>
  <c r="AS41" i="53"/>
  <c r="AQ41" i="53"/>
  <c r="AO41" i="53"/>
  <c r="AM41" i="53"/>
  <c r="AK41" i="53"/>
  <c r="AJ41" i="53"/>
  <c r="C41" i="53"/>
  <c r="A41" i="53"/>
  <c r="AZ40" i="53"/>
  <c r="BA40" i="53"/>
  <c r="AX40" i="53"/>
  <c r="AY40" i="53"/>
  <c r="AV40" i="53"/>
  <c r="AW40" i="53"/>
  <c r="AU40" i="53"/>
  <c r="AS40" i="53"/>
  <c r="AQ40" i="53"/>
  <c r="AO40" i="53"/>
  <c r="AM40" i="53"/>
  <c r="AK40" i="53"/>
  <c r="AG40" i="53"/>
  <c r="AJ40" i="53"/>
  <c r="C40" i="53"/>
  <c r="A40" i="53"/>
  <c r="AZ39" i="53"/>
  <c r="BA39" i="53"/>
  <c r="AX39" i="53"/>
  <c r="AY39" i="53"/>
  <c r="AV39" i="53"/>
  <c r="AW39" i="53"/>
  <c r="AU39" i="53"/>
  <c r="AS39" i="53"/>
  <c r="AQ39" i="53"/>
  <c r="AO39" i="53"/>
  <c r="AM39" i="53"/>
  <c r="AK39" i="53"/>
  <c r="AG39" i="53"/>
  <c r="AJ39" i="53"/>
  <c r="C39" i="53"/>
  <c r="B39" i="53"/>
  <c r="A39" i="53"/>
  <c r="AZ38" i="53"/>
  <c r="BA38" i="53"/>
  <c r="AX38" i="53"/>
  <c r="AY38" i="53"/>
  <c r="AV38" i="53"/>
  <c r="AW38" i="53"/>
  <c r="AU38" i="53"/>
  <c r="AS38" i="53"/>
  <c r="AQ38" i="53"/>
  <c r="AO38" i="53"/>
  <c r="AM38" i="53"/>
  <c r="AK38" i="53"/>
  <c r="AG38" i="53"/>
  <c r="AJ38" i="53"/>
  <c r="C38" i="53"/>
  <c r="A38" i="53"/>
  <c r="AZ37" i="53"/>
  <c r="BA37" i="53"/>
  <c r="AX37" i="53"/>
  <c r="AY37" i="53"/>
  <c r="AV37" i="53"/>
  <c r="AW37" i="53"/>
  <c r="AU37" i="53"/>
  <c r="AS37" i="53"/>
  <c r="AQ37" i="53"/>
  <c r="AO37" i="53"/>
  <c r="AM37" i="53"/>
  <c r="AK37" i="53"/>
  <c r="AG37" i="53"/>
  <c r="AJ37" i="53"/>
  <c r="C37" i="53"/>
  <c r="A37" i="53"/>
  <c r="AZ36" i="53"/>
  <c r="BA36" i="53"/>
  <c r="AX36" i="53"/>
  <c r="AY36" i="53"/>
  <c r="AV36" i="53"/>
  <c r="AW36" i="53"/>
  <c r="AU36" i="53"/>
  <c r="AS36" i="53"/>
  <c r="AQ36" i="53"/>
  <c r="AO36" i="53"/>
  <c r="AM36" i="53"/>
  <c r="AK36" i="53"/>
  <c r="AG36" i="53"/>
  <c r="AJ36" i="53"/>
  <c r="AF36" i="53"/>
  <c r="C36" i="53"/>
  <c r="A36" i="53"/>
  <c r="AZ35" i="53"/>
  <c r="BA35" i="53"/>
  <c r="AX35" i="53"/>
  <c r="AY35" i="53"/>
  <c r="AV35" i="53"/>
  <c r="AW35" i="53"/>
  <c r="AU35" i="53"/>
  <c r="AS35" i="53"/>
  <c r="AQ35" i="53"/>
  <c r="AO35" i="53"/>
  <c r="AM35" i="53"/>
  <c r="AK35" i="53"/>
  <c r="AG35" i="53"/>
  <c r="AJ35" i="53"/>
  <c r="AF35" i="53"/>
  <c r="C35" i="53"/>
  <c r="A35" i="53"/>
  <c r="AZ34" i="53"/>
  <c r="BA34" i="53"/>
  <c r="AX34" i="53"/>
  <c r="AY34" i="53"/>
  <c r="AV34" i="53"/>
  <c r="AW34" i="53"/>
  <c r="AU34" i="53"/>
  <c r="AS34" i="53"/>
  <c r="AQ34" i="53"/>
  <c r="AO34" i="53"/>
  <c r="AM34" i="53"/>
  <c r="AK34" i="53"/>
  <c r="AG34" i="53"/>
  <c r="AJ34" i="53"/>
  <c r="AF34" i="53"/>
  <c r="C34" i="53"/>
  <c r="A34" i="53"/>
  <c r="AZ33" i="53"/>
  <c r="BA33" i="53"/>
  <c r="AX33" i="53"/>
  <c r="AY33" i="53"/>
  <c r="AV33" i="53"/>
  <c r="AW33" i="53"/>
  <c r="AU33" i="53"/>
  <c r="AS33" i="53"/>
  <c r="AQ33" i="53"/>
  <c r="AO33" i="53"/>
  <c r="AM33" i="53"/>
  <c r="AM31" i="53"/>
  <c r="AM32" i="53"/>
  <c r="AM30" i="53"/>
  <c r="AK33" i="53"/>
  <c r="AJ33" i="53"/>
  <c r="AF33" i="53"/>
  <c r="C33" i="53"/>
  <c r="A33" i="53"/>
  <c r="AZ32" i="53"/>
  <c r="BA32" i="53"/>
  <c r="AU32" i="53"/>
  <c r="AU31" i="53"/>
  <c r="AU30" i="53"/>
  <c r="AS32" i="53"/>
  <c r="AP32" i="53"/>
  <c r="AQ32" i="53"/>
  <c r="AQ31" i="53"/>
  <c r="AQ30" i="53"/>
  <c r="AX32" i="53"/>
  <c r="AY32" i="53"/>
  <c r="AO32" i="53"/>
  <c r="AF32" i="53"/>
  <c r="C32" i="53"/>
  <c r="A32" i="53"/>
  <c r="AZ31" i="53"/>
  <c r="BA31" i="53"/>
  <c r="AX31" i="53"/>
  <c r="AY31" i="53"/>
  <c r="AV31" i="53"/>
  <c r="AW31" i="53"/>
  <c r="AS31" i="53"/>
  <c r="AO31" i="53"/>
  <c r="AK31" i="53"/>
  <c r="AG31" i="53"/>
  <c r="AJ31" i="53"/>
  <c r="AJ30" i="53"/>
  <c r="C31" i="53"/>
  <c r="A31" i="53"/>
  <c r="AS30" i="53"/>
  <c r="AO30" i="53"/>
  <c r="AK30" i="53"/>
  <c r="AH30" i="53"/>
  <c r="AG30" i="53"/>
  <c r="AD30" i="53"/>
  <c r="AB30" i="53"/>
  <c r="AE30" i="53"/>
  <c r="AF30" i="53"/>
  <c r="AC30" i="53"/>
  <c r="C30" i="53"/>
  <c r="A30" i="53"/>
  <c r="AZ29" i="53"/>
  <c r="BA29" i="53"/>
  <c r="AX29" i="53"/>
  <c r="AY29" i="53"/>
  <c r="AV29" i="53"/>
  <c r="AW29" i="53"/>
  <c r="AU29" i="53"/>
  <c r="AS29" i="53"/>
  <c r="AQ29" i="53"/>
  <c r="AO29" i="53"/>
  <c r="AM29" i="53"/>
  <c r="AK29" i="53"/>
  <c r="AJ29" i="53"/>
  <c r="AF29" i="53"/>
  <c r="AZ28" i="53"/>
  <c r="BA28" i="53"/>
  <c r="AX28" i="53"/>
  <c r="AY28" i="53"/>
  <c r="AV28" i="53"/>
  <c r="AW28" i="53"/>
  <c r="AU28" i="53"/>
  <c r="AS28" i="53"/>
  <c r="AQ28" i="53"/>
  <c r="AO28" i="53"/>
  <c r="AM28" i="53"/>
  <c r="AK28" i="53"/>
  <c r="AJ28" i="53"/>
  <c r="AF28" i="53"/>
  <c r="C28" i="53"/>
  <c r="C29" i="53"/>
  <c r="A28" i="53"/>
  <c r="A29" i="53"/>
  <c r="AZ27" i="53"/>
  <c r="BA27" i="53"/>
  <c r="AX27" i="53"/>
  <c r="AY27" i="53"/>
  <c r="AV27" i="53"/>
  <c r="AW27" i="53"/>
  <c r="AU27" i="53"/>
  <c r="AS27" i="53"/>
  <c r="AQ27" i="53"/>
  <c r="AO27" i="53"/>
  <c r="AM27" i="53"/>
  <c r="AK27" i="53"/>
  <c r="AJ27" i="53"/>
  <c r="AF27" i="53"/>
  <c r="C27" i="53"/>
  <c r="A27" i="53"/>
  <c r="AZ26" i="53"/>
  <c r="AX26" i="53"/>
  <c r="AY26" i="53"/>
  <c r="AV26" i="53"/>
  <c r="AW26" i="53"/>
  <c r="AU26" i="53"/>
  <c r="AS26" i="53"/>
  <c r="AQ26" i="53"/>
  <c r="AO26" i="53"/>
  <c r="AM26" i="53"/>
  <c r="AK26" i="53"/>
  <c r="AJ26" i="53"/>
  <c r="AF26" i="53"/>
  <c r="C26" i="53"/>
  <c r="A26" i="53"/>
  <c r="AZ25" i="53"/>
  <c r="BA25" i="53"/>
  <c r="AX25" i="53"/>
  <c r="AY25" i="53"/>
  <c r="AV25" i="53"/>
  <c r="AW25" i="53"/>
  <c r="AU25" i="53"/>
  <c r="AS25" i="53"/>
  <c r="AQ25" i="53"/>
  <c r="AO25" i="53"/>
  <c r="AM25" i="53"/>
  <c r="AK25" i="53"/>
  <c r="AG25" i="53"/>
  <c r="AJ25" i="53"/>
  <c r="C25" i="53"/>
  <c r="A25" i="53"/>
  <c r="AZ24" i="53"/>
  <c r="BA24" i="53"/>
  <c r="AX24" i="53"/>
  <c r="AY24" i="53"/>
  <c r="AV24" i="53"/>
  <c r="AW24" i="53"/>
  <c r="AU24" i="53"/>
  <c r="AS24" i="53"/>
  <c r="AQ24" i="53"/>
  <c r="AO24" i="53"/>
  <c r="AM24" i="53"/>
  <c r="AK24" i="53"/>
  <c r="AG24" i="53"/>
  <c r="AJ24" i="53"/>
  <c r="C24" i="53"/>
  <c r="A24" i="53"/>
  <c r="AZ23" i="53"/>
  <c r="BA23" i="53"/>
  <c r="AX23" i="53"/>
  <c r="AY23" i="53"/>
  <c r="AV23" i="53"/>
  <c r="AW23" i="53"/>
  <c r="AU23" i="53"/>
  <c r="AS23" i="53"/>
  <c r="AQ23" i="53"/>
  <c r="AO23" i="53"/>
  <c r="AM23" i="53"/>
  <c r="AK23" i="53"/>
  <c r="AJ23" i="53"/>
  <c r="AF23" i="53"/>
  <c r="C23" i="53"/>
  <c r="A23" i="53"/>
  <c r="AZ22" i="53"/>
  <c r="AH22" i="53"/>
  <c r="BA22" i="53"/>
  <c r="AS22" i="53"/>
  <c r="AS21" i="53"/>
  <c r="C22" i="53"/>
  <c r="A22" i="53"/>
  <c r="AD21" i="53"/>
  <c r="AB21" i="53"/>
  <c r="AE21" i="53"/>
  <c r="AF21" i="53"/>
  <c r="AC21" i="53"/>
  <c r="C21" i="53"/>
  <c r="A21" i="53"/>
  <c r="AZ20" i="53"/>
  <c r="BA20" i="53"/>
  <c r="AX20" i="53"/>
  <c r="AY20" i="53"/>
  <c r="AV20" i="53"/>
  <c r="AW20" i="53"/>
  <c r="AU20" i="53"/>
  <c r="AS20" i="53"/>
  <c r="AQ20" i="53"/>
  <c r="AO20" i="53"/>
  <c r="AM20" i="53"/>
  <c r="AK20" i="53"/>
  <c r="AJ20" i="53"/>
  <c r="AF20" i="53"/>
  <c r="C20" i="53"/>
  <c r="B20" i="53"/>
  <c r="AZ19" i="53"/>
  <c r="AX19" i="53"/>
  <c r="AY19" i="53"/>
  <c r="AV19" i="53"/>
  <c r="AW19" i="53"/>
  <c r="AU19" i="53"/>
  <c r="AS19" i="53"/>
  <c r="AQ19" i="53"/>
  <c r="AO19" i="53"/>
  <c r="AM19" i="53"/>
  <c r="AK19" i="53"/>
  <c r="AJ19" i="53"/>
  <c r="AF19" i="53"/>
  <c r="C19" i="53"/>
  <c r="A19" i="53"/>
  <c r="A20" i="53"/>
  <c r="AZ18" i="53"/>
  <c r="BA18" i="53"/>
  <c r="AX18" i="53"/>
  <c r="AY18" i="53"/>
  <c r="AV18" i="53"/>
  <c r="AW18" i="53"/>
  <c r="AU18" i="53"/>
  <c r="AS18" i="53"/>
  <c r="AQ18" i="53"/>
  <c r="AO18" i="53"/>
  <c r="AM18" i="53"/>
  <c r="AK18" i="53"/>
  <c r="AJ18" i="53"/>
  <c r="AF18" i="53"/>
  <c r="C18" i="53"/>
  <c r="A18" i="53"/>
  <c r="AZ17" i="53"/>
  <c r="BA17" i="53"/>
  <c r="AX17" i="53"/>
  <c r="AY17" i="53"/>
  <c r="AV17" i="53"/>
  <c r="AW17" i="53"/>
  <c r="AU17" i="53"/>
  <c r="AS17" i="53"/>
  <c r="AQ17" i="53"/>
  <c r="AO17" i="53"/>
  <c r="AM17" i="53"/>
  <c r="AK17" i="53"/>
  <c r="AJ17" i="53"/>
  <c r="AF17" i="53"/>
  <c r="C17" i="53"/>
  <c r="A17" i="53"/>
  <c r="AZ16" i="53"/>
  <c r="BA16" i="53"/>
  <c r="AU16" i="53"/>
  <c r="AS16" i="53"/>
  <c r="AQ16" i="53"/>
  <c r="AO16" i="53"/>
  <c r="AM16" i="53"/>
  <c r="AK16" i="53"/>
  <c r="AJ16" i="53"/>
  <c r="AF16" i="53"/>
  <c r="C16" i="53"/>
  <c r="A16" i="53"/>
  <c r="AZ15" i="53"/>
  <c r="AH15" i="53"/>
  <c r="BA15" i="53"/>
  <c r="AJ15" i="53"/>
  <c r="AS15" i="53"/>
  <c r="AF15" i="53"/>
  <c r="C15" i="53"/>
  <c r="B15" i="53"/>
  <c r="A15" i="53"/>
  <c r="AZ14" i="53"/>
  <c r="AH14" i="53"/>
  <c r="BA14" i="53"/>
  <c r="AX14" i="53"/>
  <c r="AY14" i="53"/>
  <c r="AV14" i="53"/>
  <c r="AW14" i="53"/>
  <c r="AJ14" i="53"/>
  <c r="AO14" i="53"/>
  <c r="AF14" i="53"/>
  <c r="C14" i="53"/>
  <c r="B14" i="53"/>
  <c r="A14" i="53"/>
  <c r="AZ13" i="53"/>
  <c r="AH13" i="53"/>
  <c r="BA13" i="53"/>
  <c r="AX13" i="53"/>
  <c r="AY13" i="53"/>
  <c r="AV13" i="53"/>
  <c r="AW13" i="53"/>
  <c r="AJ13" i="53"/>
  <c r="AU13" i="53"/>
  <c r="AF13" i="53"/>
  <c r="C13" i="53"/>
  <c r="B13" i="53"/>
  <c r="A13" i="53"/>
  <c r="AZ12" i="53"/>
  <c r="BA12" i="53"/>
  <c r="AX12" i="53"/>
  <c r="AY12" i="53"/>
  <c r="AV12" i="53"/>
  <c r="AW12" i="53"/>
  <c r="AU12" i="53"/>
  <c r="AS12" i="53"/>
  <c r="AQ12" i="53"/>
  <c r="AO12" i="53"/>
  <c r="AM12" i="53"/>
  <c r="AK12" i="53"/>
  <c r="AG12" i="53"/>
  <c r="AJ12" i="53"/>
  <c r="AF12" i="53"/>
  <c r="C12" i="53"/>
  <c r="A12" i="53"/>
  <c r="AZ11" i="53"/>
  <c r="BA11" i="53"/>
  <c r="AX11" i="53"/>
  <c r="AY11" i="53"/>
  <c r="AV11" i="53"/>
  <c r="AW11" i="53"/>
  <c r="AU11" i="53"/>
  <c r="AS11" i="53"/>
  <c r="AQ11" i="53"/>
  <c r="AO11" i="53"/>
  <c r="AM11" i="53"/>
  <c r="AK11" i="53"/>
  <c r="AG11" i="53"/>
  <c r="AJ11" i="53"/>
  <c r="AF11" i="53"/>
  <c r="C11" i="53"/>
  <c r="A11" i="53"/>
  <c r="AZ10" i="53"/>
  <c r="AX10" i="53"/>
  <c r="AH10" i="53"/>
  <c r="AY10" i="53"/>
  <c r="AV10" i="53"/>
  <c r="AW10" i="53"/>
  <c r="AK10" i="53"/>
  <c r="AF10" i="53"/>
  <c r="C10" i="53"/>
  <c r="A10" i="53"/>
  <c r="AZ9" i="53"/>
  <c r="AH9" i="53"/>
  <c r="BA9" i="53"/>
  <c r="AV9" i="53"/>
  <c r="AW9" i="53"/>
  <c r="AS9" i="53"/>
  <c r="AF9" i="53"/>
  <c r="C9" i="53"/>
  <c r="A9" i="53"/>
  <c r="AZ8" i="53"/>
  <c r="BA8" i="53"/>
  <c r="AX8" i="53"/>
  <c r="AY8" i="53"/>
  <c r="AV8" i="53"/>
  <c r="AW8" i="53"/>
  <c r="AU8" i="53"/>
  <c r="AS8" i="53"/>
  <c r="AQ8" i="53"/>
  <c r="AO8" i="53"/>
  <c r="AM8" i="53"/>
  <c r="AK8" i="53"/>
  <c r="AG8" i="53"/>
  <c r="AJ8" i="53"/>
  <c r="AF8" i="53"/>
  <c r="C8" i="53"/>
  <c r="A8" i="53"/>
  <c r="AZ7" i="53"/>
  <c r="BA7" i="53"/>
  <c r="AX7" i="53"/>
  <c r="AY7" i="53"/>
  <c r="AV7" i="53"/>
  <c r="AW7" i="53"/>
  <c r="AU7" i="53"/>
  <c r="AS7" i="53"/>
  <c r="AQ7" i="53"/>
  <c r="AO7" i="53"/>
  <c r="AM7" i="53"/>
  <c r="AK7" i="53"/>
  <c r="AG7" i="53"/>
  <c r="AJ7" i="53"/>
  <c r="AF7" i="53"/>
  <c r="C7" i="53"/>
  <c r="A7" i="53"/>
  <c r="AZ6" i="53"/>
  <c r="BA6" i="53"/>
  <c r="AU6" i="53"/>
  <c r="AS6" i="53"/>
  <c r="AQ6" i="53"/>
  <c r="AO6" i="53"/>
  <c r="AM6" i="53"/>
  <c r="AK6" i="53"/>
  <c r="AJ6" i="53"/>
  <c r="AF6" i="53"/>
  <c r="C6" i="53"/>
  <c r="A6" i="53"/>
  <c r="AZ5" i="53"/>
  <c r="BA5" i="53"/>
  <c r="AV5" i="53"/>
  <c r="AW5" i="53"/>
  <c r="AU5" i="53"/>
  <c r="AS5" i="53"/>
  <c r="AQ5" i="53"/>
  <c r="AO5" i="53"/>
  <c r="AM5" i="53"/>
  <c r="AK5" i="53"/>
  <c r="AG5" i="53"/>
  <c r="AJ5" i="53"/>
  <c r="AF5" i="53"/>
  <c r="C5" i="53"/>
  <c r="A5" i="53"/>
  <c r="AD4" i="53"/>
  <c r="AB4" i="53"/>
  <c r="AE4" i="53"/>
  <c r="AF4" i="53"/>
  <c r="AC4" i="53"/>
  <c r="C4" i="53"/>
  <c r="A4" i="53"/>
  <c r="AW71" i="53"/>
  <c r="AW78" i="53"/>
  <c r="AJ85" i="53"/>
  <c r="AW105" i="53"/>
  <c r="AS105" i="53"/>
  <c r="AJ121" i="53"/>
  <c r="AW121" i="53"/>
  <c r="AW144" i="53"/>
  <c r="AS180" i="53"/>
  <c r="BB196" i="53"/>
  <c r="AY196" i="53"/>
  <c r="BA196" i="53"/>
  <c r="AU207" i="53"/>
  <c r="BB225" i="53"/>
  <c r="AY225" i="53"/>
  <c r="BA225" i="53"/>
  <c r="BB58" i="53"/>
  <c r="AY58" i="53"/>
  <c r="BA58" i="53"/>
  <c r="BA61" i="53"/>
  <c r="AX61" i="53"/>
  <c r="AY61" i="53"/>
  <c r="BB85" i="53"/>
  <c r="AY85" i="53"/>
  <c r="BA85" i="53"/>
  <c r="BB99" i="53"/>
  <c r="AY99" i="53"/>
  <c r="BA99" i="53"/>
  <c r="BB167" i="53"/>
  <c r="AY167" i="53"/>
  <c r="BA167" i="53"/>
  <c r="AY180" i="53"/>
  <c r="BA180" i="53"/>
  <c r="AY239" i="53"/>
  <c r="BA239" i="53"/>
  <c r="AX5" i="53"/>
  <c r="AY5" i="53"/>
  <c r="AV6" i="53"/>
  <c r="AW6" i="53"/>
  <c r="AV15" i="53"/>
  <c r="AW15" i="53"/>
  <c r="AV16" i="53"/>
  <c r="AW16" i="53"/>
  <c r="AW4" i="53"/>
  <c r="AX6" i="53"/>
  <c r="AY6" i="53"/>
  <c r="AO9" i="53"/>
  <c r="AO10" i="53"/>
  <c r="AO13" i="53"/>
  <c r="AO15" i="53"/>
  <c r="AO4" i="53"/>
  <c r="AX9" i="53"/>
  <c r="AY9" i="53"/>
  <c r="AS10" i="53"/>
  <c r="AK13" i="53"/>
  <c r="AS13" i="53"/>
  <c r="AS14" i="53"/>
  <c r="AS4" i="53"/>
  <c r="AK14" i="53"/>
  <c r="AX15" i="53"/>
  <c r="AY15" i="53"/>
  <c r="AX16" i="53"/>
  <c r="AY16" i="53"/>
  <c r="AK22" i="53"/>
  <c r="AK21" i="53"/>
  <c r="AO22" i="53"/>
  <c r="AO21" i="53"/>
  <c r="AV22" i="53"/>
  <c r="AW22" i="53"/>
  <c r="AW21" i="53"/>
  <c r="AX22" i="53"/>
  <c r="AY22" i="53"/>
  <c r="AH4" i="53"/>
  <c r="AG4" i="53"/>
  <c r="AG9" i="53"/>
  <c r="AJ9" i="53"/>
  <c r="AG10" i="53"/>
  <c r="AJ10" i="53"/>
  <c r="AJ4" i="53"/>
  <c r="AM9" i="53"/>
  <c r="AQ9" i="53"/>
  <c r="AU9" i="53"/>
  <c r="AM10" i="53"/>
  <c r="AQ10" i="53"/>
  <c r="AU10" i="53"/>
  <c r="BA10" i="53"/>
  <c r="AM13" i="53"/>
  <c r="AQ13" i="53"/>
  <c r="AM14" i="53"/>
  <c r="AQ14" i="53"/>
  <c r="AU14" i="53"/>
  <c r="AM15" i="53"/>
  <c r="AQ15" i="53"/>
  <c r="AU15" i="53"/>
  <c r="BA19" i="53"/>
  <c r="AH21" i="53"/>
  <c r="AG21" i="53"/>
  <c r="AG22" i="53"/>
  <c r="AJ22" i="53"/>
  <c r="AJ21" i="53"/>
  <c r="AM22" i="53"/>
  <c r="AM21" i="53"/>
  <c r="AQ22" i="53"/>
  <c r="AQ21" i="53"/>
  <c r="AU22" i="53"/>
  <c r="AU21" i="53"/>
  <c r="BA26" i="53"/>
  <c r="AV32" i="53"/>
  <c r="AW32" i="53"/>
  <c r="AW30" i="53"/>
  <c r="AK47" i="53"/>
  <c r="AO47" i="53"/>
  <c r="AM49" i="53"/>
  <c r="AM51" i="53"/>
  <c r="AM53" i="53"/>
  <c r="AM46" i="53"/>
  <c r="AQ49" i="53"/>
  <c r="AQ51" i="53"/>
  <c r="AQ53" i="53"/>
  <c r="AQ46" i="53"/>
  <c r="AU49" i="53"/>
  <c r="AU51" i="53"/>
  <c r="AU53" i="53"/>
  <c r="AU46" i="53"/>
  <c r="AK50" i="53"/>
  <c r="AO50" i="53"/>
  <c r="AK52" i="53"/>
  <c r="AO52" i="53"/>
  <c r="AD58" i="53"/>
  <c r="AE58" i="53"/>
  <c r="AF58" i="53"/>
  <c r="AG72" i="53"/>
  <c r="AJ72" i="53"/>
  <c r="AJ71" i="53"/>
  <c r="AM72" i="53"/>
  <c r="AM71" i="53"/>
  <c r="AQ72" i="53"/>
  <c r="AQ71" i="53"/>
  <c r="AU72" i="53"/>
  <c r="AU71" i="53"/>
  <c r="AD105" i="53"/>
  <c r="AE105" i="53"/>
  <c r="AF105" i="53"/>
  <c r="AH105" i="53"/>
  <c r="AG105" i="53"/>
  <c r="AG110" i="53"/>
  <c r="AJ110" i="53"/>
  <c r="AJ105" i="53"/>
  <c r="AM110" i="53"/>
  <c r="AM105" i="53"/>
  <c r="AQ110" i="53"/>
  <c r="AQ105" i="53"/>
  <c r="AU110" i="53"/>
  <c r="AU105" i="53"/>
  <c r="AK114" i="53"/>
  <c r="AO114" i="53"/>
  <c r="AK115" i="53"/>
  <c r="AO115" i="53"/>
  <c r="AG121" i="53"/>
  <c r="AK122" i="53"/>
  <c r="AO122" i="53"/>
  <c r="AD124" i="53"/>
  <c r="AM124" i="53"/>
  <c r="AM126" i="53"/>
  <c r="AM121" i="53"/>
  <c r="AQ124" i="53"/>
  <c r="AQ126" i="53"/>
  <c r="AQ121" i="53"/>
  <c r="AU124" i="53"/>
  <c r="AU126" i="53"/>
  <c r="AU121" i="53"/>
  <c r="AK125" i="53"/>
  <c r="AO125" i="53"/>
  <c r="AD126" i="53"/>
  <c r="AE126" i="53"/>
  <c r="AF126" i="53"/>
  <c r="AK129" i="53"/>
  <c r="AO129" i="53"/>
  <c r="AK130" i="53"/>
  <c r="AO130" i="53"/>
  <c r="AK131" i="53"/>
  <c r="AO131" i="53"/>
  <c r="AY137" i="53"/>
  <c r="BA137" i="53"/>
  <c r="AK138" i="53"/>
  <c r="AK137" i="53"/>
  <c r="BB137" i="53"/>
  <c r="AO138" i="53"/>
  <c r="AO137" i="53"/>
  <c r="AH154" i="53"/>
  <c r="AG154" i="53"/>
  <c r="AK160" i="53"/>
  <c r="AK161" i="53"/>
  <c r="AK162" i="53"/>
  <c r="AK154" i="53"/>
  <c r="AO160" i="53"/>
  <c r="AO161" i="53"/>
  <c r="AO162" i="53"/>
  <c r="AO154" i="53"/>
  <c r="AM161" i="53"/>
  <c r="AQ161" i="53"/>
  <c r="AQ162" i="53"/>
  <c r="AQ154" i="53"/>
  <c r="AU161" i="53"/>
  <c r="AM162" i="53"/>
  <c r="AU162" i="53"/>
  <c r="AB167" i="53"/>
  <c r="AD167" i="53"/>
  <c r="AE167" i="53"/>
  <c r="AF167" i="53"/>
  <c r="AK188" i="53"/>
  <c r="AK189" i="53"/>
  <c r="AK190" i="53"/>
  <c r="AK180" i="53"/>
  <c r="BB180" i="53"/>
  <c r="AO188" i="53"/>
  <c r="AO189" i="53"/>
  <c r="AO190" i="53"/>
  <c r="AO180" i="53"/>
  <c r="AK217" i="53"/>
  <c r="AK218" i="53"/>
  <c r="AK219" i="53"/>
  <c r="AK207" i="53"/>
  <c r="AO217" i="53"/>
  <c r="AO218" i="53"/>
  <c r="AO219" i="53"/>
  <c r="AO207" i="53"/>
  <c r="AS217" i="53"/>
  <c r="AS218" i="53"/>
  <c r="AS219" i="53"/>
  <c r="AS207" i="53"/>
  <c r="AY207" i="53"/>
  <c r="AU283" i="53"/>
  <c r="AU284" i="53"/>
  <c r="AU285" i="53"/>
  <c r="AU276" i="53"/>
  <c r="AQ283" i="53"/>
  <c r="AQ284" i="53"/>
  <c r="AQ285" i="53"/>
  <c r="AQ276" i="53"/>
  <c r="AM283" i="53"/>
  <c r="AM284" i="53"/>
  <c r="AM285" i="53"/>
  <c r="AM276" i="53"/>
  <c r="AH276" i="53"/>
  <c r="AG276" i="53"/>
  <c r="AK283" i="53"/>
  <c r="AS283" i="53"/>
  <c r="AY283" i="53"/>
  <c r="AK284" i="53"/>
  <c r="AS284" i="53"/>
  <c r="AY284" i="53"/>
  <c r="AK285" i="53"/>
  <c r="AS285" i="53"/>
  <c r="AY285" i="53"/>
  <c r="AU294" i="53"/>
  <c r="AQ294" i="53"/>
  <c r="AM294" i="53"/>
  <c r="AG294" i="53"/>
  <c r="AJ294" i="53"/>
  <c r="AO294" i="53"/>
  <c r="AO291" i="53"/>
  <c r="AW294" i="53"/>
  <c r="AW291" i="53"/>
  <c r="BA294" i="53"/>
  <c r="AY317" i="53"/>
  <c r="BA317" i="53"/>
  <c r="AJ317" i="53"/>
  <c r="BB422" i="53"/>
  <c r="AY422" i="53"/>
  <c r="BA422" i="53"/>
  <c r="BB445" i="53"/>
  <c r="AY445" i="53"/>
  <c r="BA445" i="53"/>
  <c r="AX458" i="53"/>
  <c r="AY458" i="53"/>
  <c r="BA458" i="53"/>
  <c r="BB474" i="53"/>
  <c r="AY474" i="53"/>
  <c r="BA474" i="53"/>
  <c r="BB522" i="53"/>
  <c r="AY522" i="53"/>
  <c r="BA522" i="53"/>
  <c r="BB553" i="53"/>
  <c r="AY553" i="53"/>
  <c r="BA553" i="53"/>
  <c r="BB607" i="53"/>
  <c r="AY607" i="53"/>
  <c r="BA607" i="53"/>
  <c r="BB633" i="53"/>
  <c r="AY633" i="53"/>
  <c r="BA633" i="53"/>
  <c r="AX674" i="53"/>
  <c r="AY674" i="53"/>
  <c r="BA674" i="53"/>
  <c r="BB701" i="53"/>
  <c r="AY701" i="53"/>
  <c r="BA701" i="53"/>
  <c r="BB712" i="53"/>
  <c r="AY712" i="53"/>
  <c r="BA712" i="53"/>
  <c r="AK9" i="53"/>
  <c r="AK15" i="53"/>
  <c r="AK4" i="53"/>
  <c r="AK49" i="53"/>
  <c r="AO49" i="53"/>
  <c r="AK51" i="53"/>
  <c r="AO51" i="53"/>
  <c r="AK53" i="53"/>
  <c r="AO53" i="53"/>
  <c r="AK72" i="53"/>
  <c r="AK71" i="53"/>
  <c r="AO72" i="53"/>
  <c r="AO71" i="53"/>
  <c r="AK110" i="53"/>
  <c r="AK105" i="53"/>
  <c r="AO110" i="53"/>
  <c r="AO105" i="53"/>
  <c r="AK124" i="53"/>
  <c r="AO124" i="53"/>
  <c r="AK126" i="53"/>
  <c r="AO126" i="53"/>
  <c r="AM217" i="53"/>
  <c r="AQ217" i="53"/>
  <c r="AM218" i="53"/>
  <c r="AQ218" i="53"/>
  <c r="AM219" i="53"/>
  <c r="AQ219" i="53"/>
  <c r="AK242" i="53"/>
  <c r="AO242" i="53"/>
  <c r="AK243" i="53"/>
  <c r="AO243" i="53"/>
  <c r="AV253" i="53"/>
  <c r="AW253" i="53"/>
  <c r="AW248" i="53"/>
  <c r="AX253" i="53"/>
  <c r="AY253" i="53"/>
  <c r="AX260" i="53"/>
  <c r="AY260" i="53"/>
  <c r="AX263" i="53"/>
  <c r="AY263" i="53"/>
  <c r="AX275" i="53"/>
  <c r="AY275" i="53"/>
  <c r="AE277" i="53"/>
  <c r="AF277" i="53"/>
  <c r="AD276" i="53"/>
  <c r="AE276" i="53"/>
  <c r="AF276" i="53"/>
  <c r="AK276" i="53"/>
  <c r="AS276" i="53"/>
  <c r="AX281" i="53"/>
  <c r="AY281" i="53"/>
  <c r="AO283" i="53"/>
  <c r="AW283" i="53"/>
  <c r="AW284" i="53"/>
  <c r="AW285" i="53"/>
  <c r="AW276" i="53"/>
  <c r="BA283" i="53"/>
  <c r="AO284" i="53"/>
  <c r="AO285" i="53"/>
  <c r="AO276" i="53"/>
  <c r="BA284" i="53"/>
  <c r="BA285" i="53"/>
  <c r="AX286" i="53"/>
  <c r="AY286" i="53"/>
  <c r="AX290" i="53"/>
  <c r="AY290" i="53"/>
  <c r="AE291" i="53"/>
  <c r="AF291" i="53"/>
  <c r="AH291" i="53"/>
  <c r="AG291" i="53"/>
  <c r="AJ291" i="53"/>
  <c r="AX292" i="53"/>
  <c r="AY292" i="53"/>
  <c r="AX293" i="53"/>
  <c r="AY293" i="53"/>
  <c r="AK294" i="53"/>
  <c r="AS294" i="53"/>
  <c r="AX294" i="53"/>
  <c r="AY294" i="53"/>
  <c r="AU295" i="53"/>
  <c r="AQ295" i="53"/>
  <c r="AM295" i="53"/>
  <c r="AK295" i="53"/>
  <c r="AS295" i="53"/>
  <c r="AX295" i="53"/>
  <c r="AY295" i="53"/>
  <c r="AU296" i="53"/>
  <c r="AQ296" i="53"/>
  <c r="AM296" i="53"/>
  <c r="AK296" i="53"/>
  <c r="AS296" i="53"/>
  <c r="AX296" i="53"/>
  <c r="AY296" i="53"/>
  <c r="AU297" i="53"/>
  <c r="AQ297" i="53"/>
  <c r="AM297" i="53"/>
  <c r="AK297" i="53"/>
  <c r="AS297" i="53"/>
  <c r="AX297" i="53"/>
  <c r="AY297" i="53"/>
  <c r="AX301" i="53"/>
  <c r="AY301" i="53"/>
  <c r="AX303" i="53"/>
  <c r="AY303" i="53"/>
  <c r="AX306" i="53"/>
  <c r="AY306" i="53"/>
  <c r="AX310" i="53"/>
  <c r="AY310" i="53"/>
  <c r="AX313" i="53"/>
  <c r="AY313" i="53"/>
  <c r="AX315" i="53"/>
  <c r="AY315" i="53"/>
  <c r="AW329" i="53"/>
  <c r="BB363" i="53"/>
  <c r="AY363" i="53"/>
  <c r="BA363" i="53"/>
  <c r="AW376" i="53"/>
  <c r="AJ376" i="53"/>
  <c r="AS392" i="53"/>
  <c r="AW392" i="53"/>
  <c r="AS405" i="53"/>
  <c r="AW435" i="53"/>
  <c r="BB482" i="53"/>
  <c r="AY482" i="53"/>
  <c r="BA482" i="53"/>
  <c r="AW510" i="53"/>
  <c r="AW529" i="53"/>
  <c r="AS541" i="53"/>
  <c r="AW541" i="53"/>
  <c r="BB567" i="53"/>
  <c r="AY567" i="53"/>
  <c r="BA567" i="53"/>
  <c r="BB593" i="53"/>
  <c r="AY593" i="53"/>
  <c r="BA593" i="53"/>
  <c r="BB618" i="53"/>
  <c r="AY618" i="53"/>
  <c r="BA618" i="53"/>
  <c r="AW625" i="53"/>
  <c r="BA628" i="53"/>
  <c r="AX628" i="53"/>
  <c r="AY628" i="53"/>
  <c r="AY657" i="53"/>
  <c r="BA657" i="53"/>
  <c r="AS688" i="53"/>
  <c r="BB730" i="53"/>
  <c r="AY730" i="53"/>
  <c r="BA730" i="53"/>
  <c r="B304" i="53"/>
  <c r="B307" i="53"/>
  <c r="B309" i="53"/>
  <c r="B311" i="53"/>
  <c r="B314" i="53"/>
  <c r="AK320" i="53"/>
  <c r="AO320" i="53"/>
  <c r="AK321" i="53"/>
  <c r="AO321" i="53"/>
  <c r="C332" i="53"/>
  <c r="C333" i="53"/>
  <c r="C334" i="53"/>
  <c r="AK334" i="53"/>
  <c r="AK329" i="53"/>
  <c r="AO334" i="53"/>
  <c r="AO329" i="53"/>
  <c r="C339" i="53"/>
  <c r="C341" i="53"/>
  <c r="C342" i="53"/>
  <c r="AK344" i="53"/>
  <c r="AO344" i="53"/>
  <c r="AM346" i="53"/>
  <c r="AM343" i="53"/>
  <c r="AQ346" i="53"/>
  <c r="AQ343" i="53"/>
  <c r="AU346" i="53"/>
  <c r="AU343" i="53"/>
  <c r="AK347" i="53"/>
  <c r="AO347" i="53"/>
  <c r="AG352" i="53"/>
  <c r="AK353" i="53"/>
  <c r="AO353" i="53"/>
  <c r="AM354" i="53"/>
  <c r="AM356" i="53"/>
  <c r="AM352" i="53"/>
  <c r="AQ354" i="53"/>
  <c r="AQ356" i="53"/>
  <c r="AQ352" i="53"/>
  <c r="AU354" i="53"/>
  <c r="AU356" i="53"/>
  <c r="AU352" i="53"/>
  <c r="AK355" i="53"/>
  <c r="AO355" i="53"/>
  <c r="AD376" i="53"/>
  <c r="AE376" i="53"/>
  <c r="AF376" i="53"/>
  <c r="AH376" i="53"/>
  <c r="AG376" i="53"/>
  <c r="AM384" i="53"/>
  <c r="AQ384" i="53"/>
  <c r="AU384" i="53"/>
  <c r="AM385" i="53"/>
  <c r="AQ385" i="53"/>
  <c r="AU385" i="53"/>
  <c r="AM386" i="53"/>
  <c r="AQ386" i="53"/>
  <c r="AU386" i="53"/>
  <c r="AH392" i="53"/>
  <c r="AD393" i="53"/>
  <c r="AM393" i="53"/>
  <c r="AQ393" i="53"/>
  <c r="AU393" i="53"/>
  <c r="AK395" i="53"/>
  <c r="AO395" i="53"/>
  <c r="AD396" i="53"/>
  <c r="AE396" i="53"/>
  <c r="AF396" i="53"/>
  <c r="AM396" i="53"/>
  <c r="AQ396" i="53"/>
  <c r="AU396" i="53"/>
  <c r="AK397" i="53"/>
  <c r="AO397" i="53"/>
  <c r="AG405" i="53"/>
  <c r="AK406" i="53"/>
  <c r="AO406" i="53"/>
  <c r="AD408" i="53"/>
  <c r="AM408" i="53"/>
  <c r="AM410" i="53"/>
  <c r="AM414" i="53"/>
  <c r="AM415" i="53"/>
  <c r="AM416" i="53"/>
  <c r="AM405" i="53"/>
  <c r="AQ408" i="53"/>
  <c r="AQ410" i="53"/>
  <c r="AQ414" i="53"/>
  <c r="AQ415" i="53"/>
  <c r="AQ416" i="53"/>
  <c r="AQ405" i="53"/>
  <c r="AU408" i="53"/>
  <c r="AU410" i="53"/>
  <c r="AU414" i="53"/>
  <c r="AU415" i="53"/>
  <c r="AU416" i="53"/>
  <c r="AU405" i="53"/>
  <c r="AK409" i="53"/>
  <c r="AO409" i="53"/>
  <c r="AD410" i="53"/>
  <c r="AE410" i="53"/>
  <c r="AF410" i="53"/>
  <c r="AD435" i="53"/>
  <c r="AE435" i="53"/>
  <c r="AF435" i="53"/>
  <c r="AO458" i="53"/>
  <c r="AM466" i="53"/>
  <c r="AM467" i="53"/>
  <c r="AM468" i="53"/>
  <c r="AM455" i="53"/>
  <c r="AQ466" i="53"/>
  <c r="AQ467" i="53"/>
  <c r="AQ468" i="53"/>
  <c r="AQ455" i="53"/>
  <c r="AU466" i="53"/>
  <c r="AU467" i="53"/>
  <c r="AU468" i="53"/>
  <c r="AU455" i="53"/>
  <c r="AD482" i="53"/>
  <c r="AE482" i="53"/>
  <c r="AF482" i="53"/>
  <c r="AK495" i="53"/>
  <c r="AO495" i="53"/>
  <c r="AM503" i="53"/>
  <c r="AM494" i="53"/>
  <c r="AQ503" i="53"/>
  <c r="AQ494" i="53"/>
  <c r="AU503" i="53"/>
  <c r="AU494" i="53"/>
  <c r="AK504" i="53"/>
  <c r="AO504" i="53"/>
  <c r="C530" i="53"/>
  <c r="C531" i="53"/>
  <c r="C532" i="53"/>
  <c r="C533" i="53"/>
  <c r="C534" i="53"/>
  <c r="C538" i="53"/>
  <c r="AG541" i="53"/>
  <c r="AK542" i="53"/>
  <c r="AO542" i="53"/>
  <c r="C543" i="53"/>
  <c r="AK544" i="53"/>
  <c r="AO544" i="53"/>
  <c r="C545" i="53"/>
  <c r="AM545" i="53"/>
  <c r="AM547" i="53"/>
  <c r="AM541" i="53"/>
  <c r="AQ545" i="53"/>
  <c r="AQ547" i="53"/>
  <c r="AQ541" i="53"/>
  <c r="AU545" i="53"/>
  <c r="AU547" i="53"/>
  <c r="AU541" i="53"/>
  <c r="AK546" i="53"/>
  <c r="AO546" i="53"/>
  <c r="C547" i="53"/>
  <c r="AK548" i="53"/>
  <c r="AO548" i="53"/>
  <c r="C549" i="53"/>
  <c r="AD581" i="53"/>
  <c r="AE581" i="53"/>
  <c r="AF581" i="53"/>
  <c r="AH581" i="53"/>
  <c r="AG581" i="53"/>
  <c r="AG582" i="53"/>
  <c r="AJ582" i="53"/>
  <c r="AJ581" i="53"/>
  <c r="AM582" i="53"/>
  <c r="AM581" i="53"/>
  <c r="AQ582" i="53"/>
  <c r="AQ581" i="53"/>
  <c r="AU582" i="53"/>
  <c r="AU581" i="53"/>
  <c r="AK582" i="53"/>
  <c r="AK581" i="53"/>
  <c r="BB581" i="53"/>
  <c r="AH645" i="53"/>
  <c r="AG645" i="53"/>
  <c r="AG650" i="53"/>
  <c r="AJ650" i="53"/>
  <c r="AJ645" i="53"/>
  <c r="AM650" i="53"/>
  <c r="AM645" i="53"/>
  <c r="AQ650" i="53"/>
  <c r="AQ645" i="53"/>
  <c r="AU650" i="53"/>
  <c r="AU645" i="53"/>
  <c r="AK663" i="53"/>
  <c r="AO663" i="53"/>
  <c r="AK664" i="53"/>
  <c r="AO664" i="53"/>
  <c r="B672" i="53"/>
  <c r="AO674" i="53"/>
  <c r="AK677" i="53"/>
  <c r="AO677" i="53"/>
  <c r="AG678" i="53"/>
  <c r="AJ678" i="53"/>
  <c r="AJ671" i="53"/>
  <c r="AJ875" i="53"/>
  <c r="AJ730" i="53"/>
  <c r="AJ720" i="53"/>
  <c r="AJ967" i="53"/>
  <c r="AM678" i="53"/>
  <c r="AM671" i="53"/>
  <c r="AQ678" i="53"/>
  <c r="AQ671" i="53"/>
  <c r="AU678" i="53"/>
  <c r="AU671" i="53"/>
  <c r="AG688" i="53"/>
  <c r="AK689" i="53"/>
  <c r="AO689" i="53"/>
  <c r="AK691" i="53"/>
  <c r="AO691" i="53"/>
  <c r="AM692" i="53"/>
  <c r="AM696" i="53"/>
  <c r="AM688" i="53"/>
  <c r="AQ692" i="53"/>
  <c r="AQ696" i="53"/>
  <c r="AQ688" i="53"/>
  <c r="AU692" i="53"/>
  <c r="AU696" i="53"/>
  <c r="AU688" i="53"/>
  <c r="AK693" i="53"/>
  <c r="AO693" i="53"/>
  <c r="AK695" i="53"/>
  <c r="AO695" i="53"/>
  <c r="AE720" i="53"/>
  <c r="AF720" i="53"/>
  <c r="AX721" i="53"/>
  <c r="AY721" i="53"/>
  <c r="AM720" i="53"/>
  <c r="AQ720" i="53"/>
  <c r="AU720" i="53"/>
  <c r="BB720" i="53"/>
  <c r="AX729" i="53"/>
  <c r="AY729" i="53"/>
  <c r="AE730" i="53"/>
  <c r="AF730" i="53"/>
  <c r="AX731" i="53"/>
  <c r="AY731" i="53"/>
  <c r="AX733" i="53"/>
  <c r="AY733" i="53"/>
  <c r="AX735" i="53"/>
  <c r="AY735" i="53"/>
  <c r="AX737" i="53"/>
  <c r="AY737" i="53"/>
  <c r="AX746" i="53"/>
  <c r="AY746" i="53"/>
  <c r="AW747" i="53"/>
  <c r="AK747" i="53"/>
  <c r="AO747" i="53"/>
  <c r="AS747" i="53"/>
  <c r="AX752" i="53"/>
  <c r="AY752" i="53"/>
  <c r="AX756" i="53"/>
  <c r="AY756" i="53"/>
  <c r="AS771" i="53"/>
  <c r="AW771" i="53"/>
  <c r="AW788" i="53"/>
  <c r="AW800" i="53"/>
  <c r="AS807" i="53"/>
  <c r="AW807" i="53"/>
  <c r="AW822" i="53"/>
  <c r="AW835" i="53"/>
  <c r="AW849" i="53"/>
  <c r="AW867" i="53"/>
  <c r="AW905" i="53"/>
  <c r="AW944" i="53"/>
  <c r="AF950" i="53"/>
  <c r="C330" i="53"/>
  <c r="C331" i="53"/>
  <c r="C335" i="53"/>
  <c r="C336" i="53"/>
  <c r="C337" i="53"/>
  <c r="C338" i="53"/>
  <c r="AK346" i="53"/>
  <c r="AO346" i="53"/>
  <c r="AK354" i="53"/>
  <c r="AO354" i="53"/>
  <c r="AK356" i="53"/>
  <c r="AO356" i="53"/>
  <c r="AK384" i="53"/>
  <c r="AK385" i="53"/>
  <c r="AK386" i="53"/>
  <c r="AK376" i="53"/>
  <c r="AO384" i="53"/>
  <c r="AO385" i="53"/>
  <c r="AO386" i="53"/>
  <c r="AO376" i="53"/>
  <c r="AK393" i="53"/>
  <c r="AO393" i="53"/>
  <c r="AK396" i="53"/>
  <c r="AO396" i="53"/>
  <c r="AK408" i="53"/>
  <c r="AO408" i="53"/>
  <c r="AK410" i="53"/>
  <c r="AO410" i="53"/>
  <c r="AK414" i="53"/>
  <c r="AO414" i="53"/>
  <c r="AK415" i="53"/>
  <c r="AO415" i="53"/>
  <c r="AK416" i="53"/>
  <c r="AO416" i="53"/>
  <c r="AK466" i="53"/>
  <c r="AO466" i="53"/>
  <c r="AK467" i="53"/>
  <c r="AO467" i="53"/>
  <c r="AK468" i="53"/>
  <c r="AO468" i="53"/>
  <c r="AK503" i="53"/>
  <c r="AO503" i="53"/>
  <c r="A530" i="53"/>
  <c r="A531" i="53"/>
  <c r="A532" i="53"/>
  <c r="A533" i="53"/>
  <c r="A534" i="53"/>
  <c r="A538" i="53"/>
  <c r="AK545" i="53"/>
  <c r="AO545" i="53"/>
  <c r="AK547" i="53"/>
  <c r="AO547" i="53"/>
  <c r="AO582" i="53"/>
  <c r="AO581" i="53"/>
  <c r="AK650" i="53"/>
  <c r="AK645" i="53"/>
  <c r="AO650" i="53"/>
  <c r="AO645" i="53"/>
  <c r="AK678" i="53"/>
  <c r="AO678" i="53"/>
  <c r="AK692" i="53"/>
  <c r="AO692" i="53"/>
  <c r="AK696" i="53"/>
  <c r="AO696" i="53"/>
  <c r="AE758" i="53"/>
  <c r="AF758" i="53"/>
  <c r="AD755" i="53"/>
  <c r="AE755" i="53"/>
  <c r="AF755" i="53"/>
  <c r="BB856" i="53"/>
  <c r="AY856" i="53"/>
  <c r="BA856" i="53"/>
  <c r="AX870" i="53"/>
  <c r="AY870" i="53"/>
  <c r="BA870" i="53"/>
  <c r="BB875" i="53"/>
  <c r="AY875" i="53"/>
  <c r="BA875" i="53"/>
  <c r="AX878" i="53"/>
  <c r="AY878" i="53"/>
  <c r="BA878" i="53"/>
  <c r="BB920" i="53"/>
  <c r="AY920" i="53"/>
  <c r="BA920" i="53"/>
  <c r="BB930" i="53"/>
  <c r="AY930" i="53"/>
  <c r="BA930" i="53"/>
  <c r="AC967" i="53"/>
  <c r="AK763" i="53"/>
  <c r="AK764" i="53"/>
  <c r="AK765" i="53"/>
  <c r="AK755" i="53"/>
  <c r="BB755" i="53"/>
  <c r="AO763" i="53"/>
  <c r="AO764" i="53"/>
  <c r="AO765" i="53"/>
  <c r="AO755" i="53"/>
  <c r="AH771" i="53"/>
  <c r="AG771" i="53"/>
  <c r="AM780" i="53"/>
  <c r="AQ780" i="53"/>
  <c r="AU780" i="53"/>
  <c r="AM781" i="53"/>
  <c r="AQ781" i="53"/>
  <c r="AU781" i="53"/>
  <c r="AM782" i="53"/>
  <c r="AQ782" i="53"/>
  <c r="AU782" i="53"/>
  <c r="AH807" i="53"/>
  <c r="AG807" i="53"/>
  <c r="AD808" i="53"/>
  <c r="AM808" i="53"/>
  <c r="AQ808" i="53"/>
  <c r="AU808" i="53"/>
  <c r="AK810" i="53"/>
  <c r="AO810" i="53"/>
  <c r="AD811" i="53"/>
  <c r="AE811" i="53"/>
  <c r="AF811" i="53"/>
  <c r="AM811" i="53"/>
  <c r="AQ811" i="53"/>
  <c r="AU811" i="53"/>
  <c r="AM812" i="53"/>
  <c r="AQ812" i="53"/>
  <c r="AU812" i="53"/>
  <c r="AM813" i="53"/>
  <c r="AQ813" i="53"/>
  <c r="AU813" i="53"/>
  <c r="AM814" i="53"/>
  <c r="AQ814" i="53"/>
  <c r="AU814" i="53"/>
  <c r="AM815" i="53"/>
  <c r="AQ815" i="53"/>
  <c r="AU815" i="53"/>
  <c r="AM816" i="53"/>
  <c r="AQ816" i="53"/>
  <c r="AU816" i="53"/>
  <c r="AM828" i="53"/>
  <c r="AM822" i="53"/>
  <c r="AQ828" i="53"/>
  <c r="AQ822" i="53"/>
  <c r="AU828" i="53"/>
  <c r="AU822" i="53"/>
  <c r="AO870" i="53"/>
  <c r="AO867" i="53"/>
  <c r="B876" i="53"/>
  <c r="AO878" i="53"/>
  <c r="AO875" i="53"/>
  <c r="AH887" i="53"/>
  <c r="AD888" i="53"/>
  <c r="AM888" i="53"/>
  <c r="AQ888" i="53"/>
  <c r="AU888" i="53"/>
  <c r="AK890" i="53"/>
  <c r="AO890" i="53"/>
  <c r="AD891" i="53"/>
  <c r="AE891" i="53"/>
  <c r="AF891" i="53"/>
  <c r="AM891" i="53"/>
  <c r="AQ891" i="53"/>
  <c r="AU891" i="53"/>
  <c r="AM892" i="53"/>
  <c r="AQ892" i="53"/>
  <c r="AU892" i="53"/>
  <c r="AM893" i="53"/>
  <c r="AQ893" i="53"/>
  <c r="AU893" i="53"/>
  <c r="AM894" i="53"/>
  <c r="AQ894" i="53"/>
  <c r="AU894" i="53"/>
  <c r="AM895" i="53"/>
  <c r="AQ895" i="53"/>
  <c r="AU895" i="53"/>
  <c r="AM896" i="53"/>
  <c r="AQ896" i="53"/>
  <c r="AU896" i="53"/>
  <c r="AM897" i="53"/>
  <c r="AQ897" i="53"/>
  <c r="AU897" i="53"/>
  <c r="AM898" i="53"/>
  <c r="AQ898" i="53"/>
  <c r="AU898" i="53"/>
  <c r="AD905" i="53"/>
  <c r="AE905" i="53"/>
  <c r="AF905" i="53"/>
  <c r="A906" i="53"/>
  <c r="C906" i="53"/>
  <c r="A909" i="53"/>
  <c r="C909" i="53"/>
  <c r="AD930" i="53"/>
  <c r="AE930" i="53"/>
  <c r="AF930" i="53"/>
  <c r="AH950" i="53"/>
  <c r="AX952" i="53"/>
  <c r="AY952" i="53"/>
  <c r="AW958" i="53"/>
  <c r="AW950" i="53"/>
  <c r="BA958" i="53"/>
  <c r="AU960" i="53"/>
  <c r="AQ960" i="53"/>
  <c r="AM960" i="53"/>
  <c r="AK960" i="53"/>
  <c r="AS960" i="53"/>
  <c r="AX960" i="53"/>
  <c r="AY960" i="53"/>
  <c r="AX964" i="53"/>
  <c r="AY964" i="53"/>
  <c r="AJ969" i="53"/>
  <c r="AJ990" i="53"/>
  <c r="AS1012" i="53"/>
  <c r="AW1012" i="53"/>
  <c r="AK780" i="53"/>
  <c r="AK781" i="53"/>
  <c r="AK782" i="53"/>
  <c r="AK771" i="53"/>
  <c r="AO780" i="53"/>
  <c r="AO781" i="53"/>
  <c r="AO782" i="53"/>
  <c r="AO771" i="53"/>
  <c r="AK808" i="53"/>
  <c r="AO808" i="53"/>
  <c r="AK811" i="53"/>
  <c r="AO811" i="53"/>
  <c r="AK812" i="53"/>
  <c r="AO812" i="53"/>
  <c r="AK813" i="53"/>
  <c r="AO813" i="53"/>
  <c r="AK814" i="53"/>
  <c r="AO814" i="53"/>
  <c r="AK815" i="53"/>
  <c r="AO815" i="53"/>
  <c r="AK816" i="53"/>
  <c r="AO816" i="53"/>
  <c r="AK828" i="53"/>
  <c r="AK822" i="53"/>
  <c r="AO828" i="53"/>
  <c r="AO822" i="53"/>
  <c r="AK888" i="53"/>
  <c r="AO888" i="53"/>
  <c r="AK891" i="53"/>
  <c r="AO891" i="53"/>
  <c r="AK892" i="53"/>
  <c r="AO892" i="53"/>
  <c r="AK893" i="53"/>
  <c r="AO893" i="53"/>
  <c r="AK894" i="53"/>
  <c r="AO894" i="53"/>
  <c r="AK895" i="53"/>
  <c r="AO895" i="53"/>
  <c r="AK896" i="53"/>
  <c r="AO896" i="53"/>
  <c r="AK897" i="53"/>
  <c r="AO897" i="53"/>
  <c r="AK898" i="53"/>
  <c r="AO898" i="53"/>
  <c r="AB967" i="53"/>
  <c r="AQ958" i="53"/>
  <c r="AQ950" i="53"/>
  <c r="AU958" i="53"/>
  <c r="AU950" i="53"/>
  <c r="AM958" i="53"/>
  <c r="AM950" i="53"/>
  <c r="AK958" i="53"/>
  <c r="AS958" i="53"/>
  <c r="AS950" i="53"/>
  <c r="AY958" i="53"/>
  <c r="AK959" i="53"/>
  <c r="AO959" i="53"/>
  <c r="AO950" i="53"/>
  <c r="AG969" i="53"/>
  <c r="AK970" i="53"/>
  <c r="AO970" i="53"/>
  <c r="AD972" i="53"/>
  <c r="AM972" i="53"/>
  <c r="AQ972" i="53"/>
  <c r="AQ974" i="53"/>
  <c r="AQ980" i="53"/>
  <c r="AQ981" i="53"/>
  <c r="AQ982" i="53"/>
  <c r="AQ969" i="53"/>
  <c r="AU972" i="53"/>
  <c r="AU974" i="53"/>
  <c r="AU980" i="53"/>
  <c r="AU981" i="53"/>
  <c r="AU982" i="53"/>
  <c r="AU969" i="53"/>
  <c r="AK973" i="53"/>
  <c r="AO973" i="53"/>
  <c r="AD974" i="53"/>
  <c r="AE974" i="53"/>
  <c r="AF974" i="53"/>
  <c r="AM974" i="53"/>
  <c r="AM980" i="53"/>
  <c r="AM981" i="53"/>
  <c r="AM982" i="53"/>
  <c r="AM969" i="53"/>
  <c r="AH990" i="53"/>
  <c r="AD991" i="53"/>
  <c r="AM991" i="53"/>
  <c r="AQ991" i="53"/>
  <c r="AU991" i="53"/>
  <c r="AK994" i="53"/>
  <c r="AO994" i="53"/>
  <c r="AD995" i="53"/>
  <c r="AE995" i="53"/>
  <c r="AF995" i="53"/>
  <c r="AM995" i="53"/>
  <c r="AQ995" i="53"/>
  <c r="AU995" i="53"/>
  <c r="AK996" i="53"/>
  <c r="AO996" i="53"/>
  <c r="AK1002" i="53"/>
  <c r="AO1002" i="53"/>
  <c r="AK1003" i="53"/>
  <c r="AO1003" i="53"/>
  <c r="AK1004" i="53"/>
  <c r="AO1004" i="53"/>
  <c r="AG1012" i="53"/>
  <c r="AK1013" i="53"/>
  <c r="AO1013" i="53"/>
  <c r="AD1016" i="53"/>
  <c r="AM1016" i="53"/>
  <c r="AM1018" i="53"/>
  <c r="AM1024" i="53"/>
  <c r="AM1025" i="53"/>
  <c r="AM1026" i="53"/>
  <c r="AM1012" i="53"/>
  <c r="AQ1016" i="53"/>
  <c r="AU1016" i="53"/>
  <c r="AU1018" i="53"/>
  <c r="AU1024" i="53"/>
  <c r="AU1025" i="53"/>
  <c r="AU1026" i="53"/>
  <c r="AU1012" i="53"/>
  <c r="AK1017" i="53"/>
  <c r="AO1017" i="53"/>
  <c r="AD1018" i="53"/>
  <c r="AE1018" i="53"/>
  <c r="AF1018" i="53"/>
  <c r="AQ1018" i="53"/>
  <c r="AQ1024" i="53"/>
  <c r="AQ1025" i="53"/>
  <c r="AQ1026" i="53"/>
  <c r="AQ1012" i="53"/>
  <c r="AH1034" i="53"/>
  <c r="AD1035" i="53"/>
  <c r="AM1035" i="53"/>
  <c r="AQ1035" i="53"/>
  <c r="AU1035" i="53"/>
  <c r="AW1039" i="53"/>
  <c r="AW1034" i="53"/>
  <c r="BA1039" i="53"/>
  <c r="AX1042" i="53"/>
  <c r="AY1042" i="53"/>
  <c r="AU1056" i="53"/>
  <c r="AX1059" i="53"/>
  <c r="AY1059" i="53"/>
  <c r="BA1059" i="53"/>
  <c r="AW1056" i="53"/>
  <c r="AK972" i="53"/>
  <c r="AO972" i="53"/>
  <c r="AK974" i="53"/>
  <c r="AO974" i="53"/>
  <c r="AK980" i="53"/>
  <c r="AO980" i="53"/>
  <c r="AK981" i="53"/>
  <c r="AO981" i="53"/>
  <c r="AK982" i="53"/>
  <c r="AO982" i="53"/>
  <c r="AK991" i="53"/>
  <c r="AO991" i="53"/>
  <c r="AK995" i="53"/>
  <c r="AO995" i="53"/>
  <c r="AK1016" i="53"/>
  <c r="AO1016" i="53"/>
  <c r="AK1018" i="53"/>
  <c r="AO1018" i="53"/>
  <c r="AK1024" i="53"/>
  <c r="AO1024" i="53"/>
  <c r="AK1025" i="53"/>
  <c r="AO1025" i="53"/>
  <c r="AK1026" i="53"/>
  <c r="AO1026" i="53"/>
  <c r="AK1035" i="53"/>
  <c r="AO1035" i="53"/>
  <c r="AU1039" i="53"/>
  <c r="AQ1039" i="53"/>
  <c r="AM1039" i="53"/>
  <c r="AD1039" i="53"/>
  <c r="AE1039" i="53"/>
  <c r="AF1039" i="53"/>
  <c r="AK1039" i="53"/>
  <c r="AS1039" i="53"/>
  <c r="AS1034" i="53"/>
  <c r="AY1039" i="53"/>
  <c r="AK1060" i="53"/>
  <c r="AO1060" i="53"/>
  <c r="AS1060" i="53"/>
  <c r="AS1062" i="53"/>
  <c r="AS1068" i="53"/>
  <c r="AS1069" i="53"/>
  <c r="AS1070" i="53"/>
  <c r="AS1056" i="53"/>
  <c r="AK1062" i="53"/>
  <c r="AO1062" i="53"/>
  <c r="AK1068" i="53"/>
  <c r="AO1068" i="53"/>
  <c r="AK1069" i="53"/>
  <c r="AO1069" i="53"/>
  <c r="AK1070" i="53"/>
  <c r="AO1070" i="53"/>
  <c r="AS1079" i="53"/>
  <c r="AO1079" i="53"/>
  <c r="AK1079" i="53"/>
  <c r="AQ1079" i="53"/>
  <c r="AU1082" i="53"/>
  <c r="AQ1082" i="53"/>
  <c r="AM1082" i="53"/>
  <c r="AD1082" i="53"/>
  <c r="AE1082" i="53"/>
  <c r="AF1082" i="53"/>
  <c r="AK1082" i="53"/>
  <c r="AS1082" i="53"/>
  <c r="AY1082" i="53"/>
  <c r="AU1084" i="53"/>
  <c r="AQ1084" i="53"/>
  <c r="AM1084" i="53"/>
  <c r="AD1084" i="53"/>
  <c r="AE1084" i="53"/>
  <c r="AF1084" i="53"/>
  <c r="AK1084" i="53"/>
  <c r="AS1084" i="53"/>
  <c r="AY1084" i="53"/>
  <c r="AU1090" i="53"/>
  <c r="AQ1090" i="53"/>
  <c r="AM1090" i="53"/>
  <c r="AK1090" i="53"/>
  <c r="AS1090" i="53"/>
  <c r="AY1090" i="53"/>
  <c r="BB1101" i="53"/>
  <c r="AY1101" i="53"/>
  <c r="BA1101" i="53"/>
  <c r="AK1038" i="53"/>
  <c r="AO1038" i="53"/>
  <c r="AK1040" i="53"/>
  <c r="AO1040" i="53"/>
  <c r="AK1046" i="53"/>
  <c r="AO1046" i="53"/>
  <c r="AK1047" i="53"/>
  <c r="AO1047" i="53"/>
  <c r="AK1048" i="53"/>
  <c r="AO1048" i="53"/>
  <c r="AK1057" i="53"/>
  <c r="AK1061" i="53"/>
  <c r="AK1056" i="53"/>
  <c r="AO1057" i="53"/>
  <c r="AD1060" i="53"/>
  <c r="AM1060" i="53"/>
  <c r="AM1062" i="53"/>
  <c r="AM1068" i="53"/>
  <c r="AM1069" i="53"/>
  <c r="AM1070" i="53"/>
  <c r="AM1056" i="53"/>
  <c r="AQ1060" i="53"/>
  <c r="AQ1062" i="53"/>
  <c r="AQ1068" i="53"/>
  <c r="AQ1069" i="53"/>
  <c r="AQ1070" i="53"/>
  <c r="AQ1056" i="53"/>
  <c r="AO1061" i="53"/>
  <c r="AD1062" i="53"/>
  <c r="AE1062" i="53"/>
  <c r="AF1062" i="53"/>
  <c r="AH1078" i="53"/>
  <c r="AD1079" i="53"/>
  <c r="AM1079" i="53"/>
  <c r="AU1079" i="53"/>
  <c r="AW1079" i="53"/>
  <c r="AY1079" i="53"/>
  <c r="BA1079" i="53"/>
  <c r="AO1082" i="53"/>
  <c r="AW1082" i="53"/>
  <c r="BA1082" i="53"/>
  <c r="AO1084" i="53"/>
  <c r="AW1084" i="53"/>
  <c r="BA1084" i="53"/>
  <c r="AX1085" i="53"/>
  <c r="AY1085" i="53"/>
  <c r="AX1087" i="53"/>
  <c r="AY1087" i="53"/>
  <c r="AX1089" i="53"/>
  <c r="AY1089" i="53"/>
  <c r="AO1090" i="53"/>
  <c r="AW1090" i="53"/>
  <c r="BA1090" i="53"/>
  <c r="AU1091" i="53"/>
  <c r="AQ1091" i="53"/>
  <c r="AM1091" i="53"/>
  <c r="AK1091" i="53"/>
  <c r="AS1091" i="53"/>
  <c r="AX1091" i="53"/>
  <c r="AY1091" i="53"/>
  <c r="AJ1101" i="53"/>
  <c r="AK1083" i="53"/>
  <c r="AO1083" i="53"/>
  <c r="AM1092" i="53"/>
  <c r="AQ1092" i="53"/>
  <c r="AU1092" i="53"/>
  <c r="AD1101" i="53"/>
  <c r="AE1101" i="53"/>
  <c r="AF1101" i="53"/>
  <c r="AV1127" i="53"/>
  <c r="AW1127" i="53"/>
  <c r="AW1118" i="53"/>
  <c r="AX1127" i="53"/>
  <c r="AY1127" i="53"/>
  <c r="AX1130" i="53"/>
  <c r="AY1130" i="53"/>
  <c r="AW1137" i="53"/>
  <c r="BB1150" i="53"/>
  <c r="AY1150" i="53"/>
  <c r="BA1150" i="53"/>
  <c r="AK1092" i="53"/>
  <c r="AO1092" i="53"/>
  <c r="A1138" i="53"/>
  <c r="B1139" i="53"/>
  <c r="A1140" i="53"/>
  <c r="B1141" i="53"/>
  <c r="A1142" i="53"/>
  <c r="B1143" i="53"/>
  <c r="A1144" i="53"/>
  <c r="B1145" i="53"/>
  <c r="A1146" i="53"/>
  <c r="B1147" i="53"/>
  <c r="A1148" i="53"/>
  <c r="B1162" i="53"/>
  <c r="B1160" i="53"/>
  <c r="B1158" i="53"/>
  <c r="B1156" i="53"/>
  <c r="B1154" i="53"/>
  <c r="B1161" i="53"/>
  <c r="B1151" i="53"/>
  <c r="A1152" i="53"/>
  <c r="C1152" i="53"/>
  <c r="C1154" i="53"/>
  <c r="B1155" i="53"/>
  <c r="AX1155" i="53"/>
  <c r="AY1155" i="53"/>
  <c r="A1156" i="53"/>
  <c r="B1159" i="53"/>
  <c r="AX1159" i="53"/>
  <c r="AY1159" i="53"/>
  <c r="BB1164" i="53"/>
  <c r="AY1164" i="53"/>
  <c r="BA1164" i="53"/>
  <c r="A1139" i="53"/>
  <c r="A1141" i="53"/>
  <c r="A1143" i="53"/>
  <c r="B1144" i="53"/>
  <c r="A1145" i="53"/>
  <c r="B1146" i="53"/>
  <c r="A1161" i="53"/>
  <c r="A1159" i="53"/>
  <c r="A1157" i="53"/>
  <c r="A1155" i="53"/>
  <c r="A1153" i="53"/>
  <c r="A1162" i="53"/>
  <c r="C1161" i="53"/>
  <c r="C1159" i="53"/>
  <c r="C1157" i="53"/>
  <c r="C1155" i="53"/>
  <c r="C1153" i="53"/>
  <c r="C1162" i="53"/>
  <c r="A1151" i="53"/>
  <c r="C1151" i="53"/>
  <c r="B1152" i="53"/>
  <c r="B1153" i="53"/>
  <c r="A1154" i="53"/>
  <c r="C1156" i="53"/>
  <c r="B1157" i="53"/>
  <c r="A1158" i="53"/>
  <c r="C1160" i="53"/>
  <c r="AD1164" i="53"/>
  <c r="AE1164" i="53"/>
  <c r="AF1164" i="53"/>
  <c r="BB1118" i="53"/>
  <c r="AY1118" i="53"/>
  <c r="BA1118" i="53"/>
  <c r="AY950" i="53"/>
  <c r="AW967" i="53"/>
  <c r="AY688" i="53"/>
  <c r="BA688" i="53"/>
  <c r="AY405" i="53"/>
  <c r="BA405" i="53"/>
  <c r="BB248" i="53"/>
  <c r="AY248" i="53"/>
  <c r="BA248" i="53"/>
  <c r="AY46" i="53"/>
  <c r="BA46" i="53"/>
  <c r="AY969" i="53"/>
  <c r="BA969" i="53"/>
  <c r="AY671" i="53"/>
  <c r="BA671" i="53"/>
  <c r="BB645" i="53"/>
  <c r="AY494" i="53"/>
  <c r="BA494" i="53"/>
  <c r="AY455" i="53"/>
  <c r="BA455" i="53"/>
  <c r="AY352" i="53"/>
  <c r="BA352" i="53"/>
  <c r="AY343" i="53"/>
  <c r="BA343" i="53"/>
  <c r="BB276" i="53"/>
  <c r="AY276" i="53"/>
  <c r="BA276" i="53"/>
  <c r="BB30" i="53"/>
  <c r="AY30" i="53"/>
  <c r="BA30" i="53"/>
  <c r="BB1137" i="53"/>
  <c r="AY1137" i="53"/>
  <c r="BA1137" i="53"/>
  <c r="AU1078" i="53"/>
  <c r="AD1078" i="53"/>
  <c r="AE1078" i="53"/>
  <c r="AF1078" i="53"/>
  <c r="AE1079" i="53"/>
  <c r="AF1079" i="53"/>
  <c r="AO1056" i="53"/>
  <c r="AK1078" i="53"/>
  <c r="AS1078" i="53"/>
  <c r="AO1034" i="53"/>
  <c r="AO990" i="53"/>
  <c r="BB1056" i="53"/>
  <c r="AY1056" i="53"/>
  <c r="BA1056" i="53"/>
  <c r="AQ1034" i="53"/>
  <c r="AE1035" i="53"/>
  <c r="AF1035" i="53"/>
  <c r="AD1034" i="53"/>
  <c r="AE1034" i="53"/>
  <c r="AF1034" i="53"/>
  <c r="AE1016" i="53"/>
  <c r="AF1016" i="53"/>
  <c r="AD1012" i="53"/>
  <c r="AE1012" i="53"/>
  <c r="AF1012" i="53"/>
  <c r="AK1012" i="53"/>
  <c r="BB1012" i="53"/>
  <c r="AU990" i="53"/>
  <c r="AM990" i="53"/>
  <c r="AO969" i="53"/>
  <c r="AK950" i="53"/>
  <c r="AO887" i="53"/>
  <c r="AO807" i="53"/>
  <c r="AO671" i="53"/>
  <c r="AO657" i="53"/>
  <c r="AO494" i="53"/>
  <c r="AO455" i="53"/>
  <c r="AO343" i="53"/>
  <c r="AO317" i="53"/>
  <c r="AO239" i="53"/>
  <c r="AO46" i="53"/>
  <c r="AO688" i="53"/>
  <c r="AO541" i="53"/>
  <c r="AO352" i="53"/>
  <c r="AO121" i="53"/>
  <c r="AO392" i="53"/>
  <c r="AO405" i="53"/>
  <c r="AO967" i="53"/>
  <c r="AY1012" i="53"/>
  <c r="BA1012" i="53"/>
  <c r="AQ887" i="53"/>
  <c r="AE888" i="53"/>
  <c r="AF888" i="53"/>
  <c r="AD887" i="53"/>
  <c r="AQ807" i="53"/>
  <c r="AE808" i="53"/>
  <c r="AF808" i="53"/>
  <c r="AD807" i="53"/>
  <c r="AE807" i="53"/>
  <c r="AF807" i="53"/>
  <c r="AU771" i="53"/>
  <c r="AM771" i="53"/>
  <c r="BB944" i="53"/>
  <c r="AY944" i="53"/>
  <c r="BA944" i="53"/>
  <c r="BB835" i="53"/>
  <c r="AY835" i="53"/>
  <c r="BA835" i="53"/>
  <c r="BB800" i="53"/>
  <c r="AY800" i="53"/>
  <c r="BA800" i="53"/>
  <c r="BB771" i="53"/>
  <c r="AY771" i="53"/>
  <c r="AK671" i="53"/>
  <c r="BB671" i="53"/>
  <c r="AK657" i="53"/>
  <c r="BB657" i="53"/>
  <c r="AE408" i="53"/>
  <c r="AF408" i="53"/>
  <c r="AD405" i="53"/>
  <c r="AE405" i="53"/>
  <c r="AF405" i="53"/>
  <c r="AK405" i="53"/>
  <c r="BB405" i="53"/>
  <c r="AU392" i="53"/>
  <c r="AM392" i="53"/>
  <c r="AQ376" i="53"/>
  <c r="AK317" i="53"/>
  <c r="BB317" i="53"/>
  <c r="AY720" i="53"/>
  <c r="BA720" i="53"/>
  <c r="BB625" i="53"/>
  <c r="AY625" i="53"/>
  <c r="BA625" i="53"/>
  <c r="BB510" i="53"/>
  <c r="AY510" i="53"/>
  <c r="BA510" i="53"/>
  <c r="BB435" i="53"/>
  <c r="AY435" i="53"/>
  <c r="BA435" i="53"/>
  <c r="AY392" i="53"/>
  <c r="AK291" i="53"/>
  <c r="AQ207" i="53"/>
  <c r="BA207" i="53"/>
  <c r="AY645" i="53"/>
  <c r="BA645" i="53"/>
  <c r="AY581" i="53"/>
  <c r="BA581" i="53"/>
  <c r="AQ291" i="53"/>
  <c r="AU154" i="53"/>
  <c r="AM154" i="53"/>
  <c r="AE124" i="53"/>
  <c r="AF124" i="53"/>
  <c r="AD121" i="53"/>
  <c r="AE121" i="53"/>
  <c r="AF121" i="53"/>
  <c r="AK121" i="53"/>
  <c r="BB121" i="53"/>
  <c r="AQ4" i="53"/>
  <c r="AY121" i="53"/>
  <c r="BA121" i="53"/>
  <c r="BB105" i="53"/>
  <c r="AY105" i="53"/>
  <c r="BA105" i="53"/>
  <c r="BB78" i="53"/>
  <c r="AY78" i="53"/>
  <c r="BA78" i="53"/>
  <c r="AW1078" i="53"/>
  <c r="AM1078" i="53"/>
  <c r="AE1060" i="53"/>
  <c r="AF1060" i="53"/>
  <c r="AD1056" i="53"/>
  <c r="AE1056" i="53"/>
  <c r="AF1056" i="53"/>
  <c r="AQ1078" i="53"/>
  <c r="AO1078" i="53"/>
  <c r="AK1034" i="53"/>
  <c r="AK990" i="53"/>
  <c r="AU1034" i="53"/>
  <c r="AM1034" i="53"/>
  <c r="BB1034" i="53"/>
  <c r="AO1012" i="53"/>
  <c r="AQ990" i="53"/>
  <c r="AE991" i="53"/>
  <c r="AF991" i="53"/>
  <c r="AD990" i="53"/>
  <c r="AE990" i="53"/>
  <c r="AF990" i="53"/>
  <c r="AE972" i="53"/>
  <c r="AF972" i="53"/>
  <c r="AD969" i="53"/>
  <c r="AE969" i="53"/>
  <c r="AF969" i="53"/>
  <c r="AK969" i="53"/>
  <c r="BB969" i="53"/>
  <c r="AK887" i="53"/>
  <c r="AK807" i="53"/>
  <c r="AG950" i="53"/>
  <c r="AG967" i="53"/>
  <c r="AH967" i="53"/>
  <c r="AU887" i="53"/>
  <c r="AM887" i="53"/>
  <c r="AM807" i="53"/>
  <c r="AM376" i="53"/>
  <c r="AM291" i="53"/>
  <c r="AM207" i="53"/>
  <c r="AM4" i="53"/>
  <c r="AM967" i="53"/>
  <c r="AU807" i="53"/>
  <c r="BB807" i="53"/>
  <c r="AQ771" i="53"/>
  <c r="AQ392" i="53"/>
  <c r="AQ967" i="53"/>
  <c r="AK455" i="53"/>
  <c r="BB455" i="53"/>
  <c r="AK392" i="53"/>
  <c r="BB392" i="53"/>
  <c r="BB905" i="53"/>
  <c r="AY905" i="53"/>
  <c r="BA905" i="53"/>
  <c r="BB867" i="53"/>
  <c r="AY867" i="53"/>
  <c r="BA867" i="53"/>
  <c r="BB849" i="53"/>
  <c r="AY849" i="53"/>
  <c r="BA849" i="53"/>
  <c r="BB822" i="53"/>
  <c r="AY822" i="53"/>
  <c r="BA822" i="53"/>
  <c r="BB788" i="53"/>
  <c r="AY788" i="53"/>
  <c r="BA788" i="53"/>
  <c r="AY747" i="53"/>
  <c r="BA747" i="53"/>
  <c r="BB747" i="53"/>
  <c r="AK688" i="53"/>
  <c r="BB688" i="53"/>
  <c r="AK541" i="53"/>
  <c r="AK494" i="53"/>
  <c r="BB494" i="53"/>
  <c r="AE393" i="53"/>
  <c r="AF393" i="53"/>
  <c r="AD392" i="53"/>
  <c r="AE392" i="53"/>
  <c r="AF392" i="53"/>
  <c r="AU376" i="53"/>
  <c r="AK352" i="53"/>
  <c r="BB352" i="53"/>
  <c r="AK343" i="53"/>
  <c r="BB343" i="53"/>
  <c r="BB541" i="53"/>
  <c r="AY541" i="53"/>
  <c r="BA541" i="53"/>
  <c r="BB529" i="53"/>
  <c r="AY529" i="53"/>
  <c r="BA529" i="53"/>
  <c r="BB376" i="53"/>
  <c r="AY376" i="53"/>
  <c r="BA376" i="53"/>
  <c r="BB329" i="53"/>
  <c r="AY329" i="53"/>
  <c r="BA329" i="53"/>
  <c r="AS291" i="53"/>
  <c r="AU291" i="53"/>
  <c r="AY291" i="53"/>
  <c r="BA291" i="53"/>
  <c r="AK239" i="53"/>
  <c r="BB239" i="53"/>
  <c r="BB207" i="53"/>
  <c r="BB291" i="53"/>
  <c r="AK46" i="53"/>
  <c r="BB46" i="53"/>
  <c r="AU4" i="53"/>
  <c r="BB4" i="53"/>
  <c r="AY21" i="53"/>
  <c r="BA21" i="53"/>
  <c r="BB21" i="53"/>
  <c r="BB144" i="53"/>
  <c r="AY144" i="53"/>
  <c r="BA144" i="53"/>
  <c r="BB71" i="53"/>
  <c r="AY71" i="53"/>
  <c r="BA71" i="53"/>
  <c r="AY887" i="53"/>
  <c r="BA887" i="53"/>
  <c r="BB887" i="53"/>
  <c r="BB1078" i="53"/>
  <c r="AY1078" i="53"/>
  <c r="BA1078" i="53"/>
  <c r="BA392" i="53"/>
  <c r="BA771" i="53"/>
  <c r="AY807" i="53"/>
  <c r="BA807" i="53"/>
  <c r="AE887" i="53"/>
  <c r="AD967" i="53"/>
  <c r="BB990" i="53"/>
  <c r="AY990" i="53"/>
  <c r="BA990" i="53"/>
  <c r="AY4" i="53"/>
  <c r="BA4" i="53"/>
  <c r="AY154" i="53"/>
  <c r="AY967" i="53"/>
  <c r="BA950" i="53"/>
  <c r="AY1034" i="53"/>
  <c r="BA1034" i="53"/>
  <c r="AS967" i="53"/>
  <c r="BA154" i="53"/>
  <c r="BB154" i="53"/>
  <c r="AK967" i="53"/>
  <c r="AU967" i="53"/>
  <c r="BB950" i="53"/>
  <c r="BA967" i="53"/>
  <c r="AF887" i="53"/>
  <c r="AE967" i="53"/>
  <c r="AP64" i="6"/>
  <c r="AO64" i="6"/>
  <c r="Z64" i="6"/>
  <c r="Y64" i="6"/>
  <c r="X64" i="6"/>
  <c r="W64" i="6"/>
  <c r="V64" i="6"/>
  <c r="U64" i="6"/>
  <c r="T64" i="6"/>
  <c r="S64" i="6"/>
  <c r="R64" i="6"/>
  <c r="Q64" i="6"/>
  <c r="P64" i="6"/>
  <c r="O64" i="6"/>
  <c r="N64" i="6"/>
  <c r="M64" i="6"/>
  <c r="L64" i="6"/>
  <c r="K64" i="6"/>
  <c r="J64" i="6"/>
  <c r="I64" i="6"/>
  <c r="H64" i="6"/>
  <c r="G64" i="6"/>
  <c r="F64" i="6"/>
  <c r="AP63" i="6"/>
  <c r="AO63" i="6"/>
  <c r="Z63" i="6"/>
  <c r="Y63" i="6"/>
  <c r="X63" i="6"/>
  <c r="W63" i="6"/>
  <c r="V63" i="6"/>
  <c r="U63" i="6"/>
  <c r="T63" i="6"/>
  <c r="S63" i="6"/>
  <c r="R63" i="6"/>
  <c r="Q63" i="6"/>
  <c r="P63" i="6"/>
  <c r="O63" i="6"/>
  <c r="N63" i="6"/>
  <c r="M63" i="6"/>
  <c r="L63" i="6"/>
  <c r="K63" i="6"/>
  <c r="J63" i="6"/>
  <c r="I63" i="6"/>
  <c r="H63" i="6"/>
  <c r="G63" i="6"/>
  <c r="F63" i="6"/>
  <c r="AL3" i="50"/>
  <c r="AM3" i="50"/>
  <c r="AN3" i="50"/>
  <c r="AL4" i="50"/>
  <c r="AM4" i="50"/>
  <c r="AN4" i="50"/>
  <c r="AL5" i="50"/>
  <c r="AM5" i="50"/>
  <c r="AN5" i="50"/>
  <c r="AL6" i="50"/>
  <c r="AM6" i="50"/>
  <c r="AN6" i="50"/>
  <c r="AL7" i="50"/>
  <c r="AM7" i="50"/>
  <c r="AN7" i="50"/>
  <c r="AL8" i="50"/>
  <c r="AM8" i="50"/>
  <c r="AN8" i="50"/>
  <c r="AL9" i="50"/>
  <c r="AM9" i="50"/>
  <c r="AN9" i="50"/>
  <c r="AL10" i="50"/>
  <c r="AM10" i="50"/>
  <c r="AN10" i="50"/>
  <c r="AL11" i="50"/>
  <c r="AM11" i="50"/>
  <c r="AN11" i="50"/>
  <c r="AL12" i="50"/>
  <c r="AM12" i="50"/>
  <c r="AN12" i="50"/>
  <c r="AL13" i="50"/>
  <c r="AM13" i="50"/>
  <c r="AN13" i="50"/>
  <c r="AL14" i="50"/>
  <c r="AM14" i="50"/>
  <c r="AN14" i="50"/>
  <c r="AL15" i="50"/>
  <c r="AM15" i="50"/>
  <c r="AN15" i="50"/>
  <c r="AL16" i="50"/>
  <c r="AM16" i="50"/>
  <c r="AN16" i="50"/>
  <c r="AL17" i="50"/>
  <c r="AM17" i="50"/>
  <c r="AN17" i="50"/>
  <c r="AL18" i="50"/>
  <c r="AM18" i="50"/>
  <c r="AN18" i="50"/>
  <c r="AL19" i="50"/>
  <c r="AM19" i="50"/>
  <c r="AN19" i="50"/>
  <c r="AL20" i="50"/>
  <c r="AM20" i="50"/>
  <c r="AN20" i="50"/>
  <c r="AL21" i="50"/>
  <c r="AM21" i="50"/>
  <c r="AN21" i="50"/>
  <c r="AL22" i="50"/>
  <c r="AM22" i="50"/>
  <c r="AN22" i="50"/>
  <c r="AL23" i="50"/>
  <c r="AM23" i="50"/>
  <c r="AN23" i="50"/>
  <c r="AL24" i="50"/>
  <c r="AM24" i="50"/>
  <c r="AN24" i="50"/>
  <c r="AL25" i="50"/>
  <c r="AM25" i="50"/>
  <c r="AN25" i="50"/>
  <c r="AL26" i="50"/>
  <c r="AM26" i="50"/>
  <c r="AN26" i="50"/>
  <c r="AL27" i="50"/>
  <c r="AM27" i="50"/>
  <c r="AN27" i="50"/>
  <c r="AL28" i="50"/>
  <c r="AM28" i="50"/>
  <c r="AN28" i="50"/>
  <c r="AL29" i="50"/>
  <c r="AM29" i="50"/>
  <c r="AN29" i="50"/>
  <c r="AL30" i="50"/>
  <c r="AM30" i="50"/>
  <c r="AN30" i="50"/>
  <c r="AL31" i="50"/>
  <c r="AM31" i="50"/>
  <c r="AN31" i="50"/>
  <c r="AL32" i="50"/>
  <c r="AM32" i="50"/>
  <c r="AN32" i="50"/>
  <c r="AL33" i="50"/>
  <c r="AM33" i="50"/>
  <c r="AN33" i="50"/>
  <c r="AL34" i="50"/>
  <c r="AM34" i="50"/>
  <c r="AN34" i="50"/>
  <c r="AL35" i="50"/>
  <c r="AM35" i="50"/>
  <c r="AN35" i="50"/>
  <c r="AL36" i="50"/>
  <c r="AM36" i="50"/>
  <c r="AN36" i="50"/>
  <c r="AL37" i="50"/>
  <c r="AM37" i="50"/>
  <c r="AN37" i="50"/>
  <c r="AL38" i="50"/>
  <c r="AM38" i="50"/>
  <c r="AN38" i="50"/>
  <c r="AL39" i="50"/>
  <c r="AM39" i="50"/>
  <c r="AN39" i="50"/>
  <c r="AL40" i="50"/>
  <c r="AM40" i="50"/>
  <c r="AN40" i="50"/>
  <c r="AL41" i="50"/>
  <c r="AM41" i="50"/>
  <c r="AN41" i="50"/>
  <c r="AL42" i="50"/>
  <c r="AM42" i="50"/>
  <c r="AN42" i="50"/>
  <c r="AL43" i="50"/>
  <c r="AM43" i="50"/>
  <c r="AN43" i="50"/>
  <c r="AL44" i="50"/>
  <c r="AM44" i="50"/>
  <c r="AN44" i="50"/>
  <c r="AL45" i="50"/>
  <c r="AM45" i="50"/>
  <c r="AN45" i="50"/>
  <c r="AL46" i="50"/>
  <c r="AM46" i="50"/>
  <c r="AN46" i="50"/>
  <c r="AL47" i="50"/>
  <c r="AM47" i="50"/>
  <c r="AN47" i="50"/>
  <c r="AL48" i="50"/>
  <c r="AM48" i="50"/>
  <c r="AN48" i="50"/>
  <c r="AL49" i="50"/>
  <c r="AM49" i="50"/>
  <c r="AN49" i="50"/>
  <c r="AL50" i="50"/>
  <c r="AM50" i="50"/>
  <c r="AN50" i="50"/>
  <c r="AL51" i="50"/>
  <c r="AM51" i="50"/>
  <c r="AN51" i="50"/>
  <c r="AL52" i="50"/>
  <c r="AM52" i="50"/>
  <c r="AN52" i="50"/>
  <c r="AL53" i="50"/>
  <c r="AM53" i="50"/>
  <c r="AN53" i="50"/>
  <c r="AL54" i="50"/>
  <c r="AM54" i="50"/>
  <c r="AN54" i="50"/>
  <c r="AL55" i="50"/>
  <c r="AM55" i="50"/>
  <c r="AN55" i="50"/>
  <c r="AL56" i="50"/>
  <c r="AM56" i="50"/>
  <c r="AN56" i="50"/>
  <c r="AL57" i="50"/>
  <c r="AM57" i="50"/>
  <c r="AN57" i="50"/>
  <c r="AL58" i="50"/>
  <c r="AM58" i="50"/>
  <c r="AN58" i="50"/>
  <c r="AL59" i="50"/>
  <c r="AM59" i="50"/>
  <c r="AN59" i="50"/>
  <c r="AL60" i="50"/>
  <c r="AM60" i="50"/>
  <c r="AN60" i="50"/>
  <c r="AL61" i="50"/>
  <c r="AM61" i="50"/>
  <c r="AN61" i="50"/>
  <c r="AL62" i="50"/>
  <c r="AM62" i="50"/>
  <c r="AN62" i="50"/>
  <c r="AL63" i="50"/>
  <c r="AM63" i="50"/>
  <c r="AN63" i="50"/>
  <c r="AL64" i="50"/>
  <c r="AM64" i="50"/>
  <c r="AN64" i="50"/>
  <c r="AL65" i="50"/>
  <c r="AM65" i="50"/>
  <c r="AN65" i="50"/>
  <c r="AL66" i="50"/>
  <c r="AM66" i="50"/>
  <c r="AN66" i="50"/>
  <c r="AL67" i="50"/>
  <c r="AM67" i="50"/>
  <c r="AN67" i="50"/>
  <c r="AL68" i="50"/>
  <c r="AM68" i="50"/>
  <c r="AN68" i="50"/>
  <c r="AL69" i="50"/>
  <c r="AM69" i="50"/>
  <c r="AN69" i="50"/>
  <c r="AL70" i="50"/>
  <c r="AM70" i="50"/>
  <c r="AN70" i="50"/>
  <c r="AL71" i="50"/>
  <c r="AM71" i="50"/>
  <c r="AN71" i="50"/>
  <c r="AL72" i="50"/>
  <c r="AM72" i="50"/>
  <c r="AN72" i="50"/>
  <c r="AL73" i="50"/>
  <c r="AM73" i="50"/>
  <c r="AN73" i="50"/>
  <c r="AL74" i="50"/>
  <c r="AM74" i="50"/>
  <c r="AN74" i="50"/>
  <c r="AL75" i="50"/>
  <c r="AM75" i="50"/>
  <c r="AN75" i="50"/>
  <c r="AL76" i="50"/>
  <c r="AM76" i="50"/>
  <c r="AN76" i="50"/>
  <c r="AL77" i="50"/>
  <c r="AM77" i="50"/>
  <c r="AN77" i="50"/>
  <c r="AL78" i="50"/>
  <c r="AM78" i="50"/>
  <c r="AN78" i="50"/>
  <c r="AL79" i="50"/>
  <c r="AM79" i="50"/>
  <c r="AN79" i="50"/>
  <c r="AN2" i="50"/>
  <c r="AM2" i="50"/>
  <c r="AL2" i="50"/>
  <c r="AH3" i="50"/>
  <c r="AI3" i="50"/>
  <c r="AJ3" i="50"/>
  <c r="AK3" i="50"/>
  <c r="AH4" i="50"/>
  <c r="AI4" i="50"/>
  <c r="AJ4" i="50"/>
  <c r="AK4" i="50"/>
  <c r="AH5" i="50"/>
  <c r="AI5" i="50"/>
  <c r="AJ5" i="50"/>
  <c r="AK5" i="50"/>
  <c r="AH6" i="50"/>
  <c r="AI6" i="50"/>
  <c r="AJ6" i="50"/>
  <c r="AK6" i="50"/>
  <c r="AH7" i="50"/>
  <c r="AI7" i="50"/>
  <c r="AJ7" i="50"/>
  <c r="AK7" i="50"/>
  <c r="AH8" i="50"/>
  <c r="AI8" i="50"/>
  <c r="AJ8" i="50"/>
  <c r="AK8" i="50"/>
  <c r="AH9" i="50"/>
  <c r="AI9" i="50"/>
  <c r="AJ9" i="50"/>
  <c r="AK9" i="50"/>
  <c r="AH10" i="50"/>
  <c r="AI10" i="50"/>
  <c r="AJ10" i="50"/>
  <c r="AK10" i="50"/>
  <c r="AH11" i="50"/>
  <c r="AI11" i="50"/>
  <c r="AJ11" i="50"/>
  <c r="AK11" i="50"/>
  <c r="AH12" i="50"/>
  <c r="AI12" i="50"/>
  <c r="AJ12" i="50"/>
  <c r="AK12" i="50"/>
  <c r="AH13" i="50"/>
  <c r="AI13" i="50"/>
  <c r="AJ13" i="50"/>
  <c r="AK13" i="50"/>
  <c r="AH14" i="50"/>
  <c r="AI14" i="50"/>
  <c r="AJ14" i="50"/>
  <c r="AK14" i="50"/>
  <c r="AH15" i="50"/>
  <c r="AI15" i="50"/>
  <c r="AJ15" i="50"/>
  <c r="AK15" i="50"/>
  <c r="AH16" i="50"/>
  <c r="AI16" i="50"/>
  <c r="AJ16" i="50"/>
  <c r="AK16" i="50"/>
  <c r="AH17" i="50"/>
  <c r="AI17" i="50"/>
  <c r="AJ17" i="50"/>
  <c r="AK17" i="50"/>
  <c r="AH18" i="50"/>
  <c r="AI18" i="50"/>
  <c r="AJ18" i="50"/>
  <c r="AK18" i="50"/>
  <c r="AH19" i="50"/>
  <c r="AI19" i="50"/>
  <c r="AJ19" i="50"/>
  <c r="AK19" i="50"/>
  <c r="AH20" i="50"/>
  <c r="AI20" i="50"/>
  <c r="AJ20" i="50"/>
  <c r="AK20" i="50"/>
  <c r="AH21" i="50"/>
  <c r="AI21" i="50"/>
  <c r="AJ21" i="50"/>
  <c r="AK21" i="50"/>
  <c r="AH22" i="50"/>
  <c r="AI22" i="50"/>
  <c r="AJ22" i="50"/>
  <c r="AK22" i="50"/>
  <c r="AH23" i="50"/>
  <c r="AI23" i="50"/>
  <c r="AJ23" i="50"/>
  <c r="AK23" i="50"/>
  <c r="AH24" i="50"/>
  <c r="AI24" i="50"/>
  <c r="AJ24" i="50"/>
  <c r="AK24" i="50"/>
  <c r="AH25" i="50"/>
  <c r="AI25" i="50"/>
  <c r="AJ25" i="50"/>
  <c r="AK25" i="50"/>
  <c r="AH26" i="50"/>
  <c r="AI26" i="50"/>
  <c r="AJ26" i="50"/>
  <c r="AK26" i="50"/>
  <c r="AH27" i="50"/>
  <c r="AI27" i="50"/>
  <c r="AJ27" i="50"/>
  <c r="AK27" i="50"/>
  <c r="AH28" i="50"/>
  <c r="AI28" i="50"/>
  <c r="AJ28" i="50"/>
  <c r="AK28" i="50"/>
  <c r="AH29" i="50"/>
  <c r="AI29" i="50"/>
  <c r="AJ29" i="50"/>
  <c r="AK29" i="50"/>
  <c r="AH30" i="50"/>
  <c r="AI30" i="50"/>
  <c r="AJ30" i="50"/>
  <c r="AK30" i="50"/>
  <c r="AH31" i="50"/>
  <c r="AI31" i="50"/>
  <c r="AJ31" i="50"/>
  <c r="AK31" i="50"/>
  <c r="AH32" i="50"/>
  <c r="AI32" i="50"/>
  <c r="AJ32" i="50"/>
  <c r="AK32" i="50"/>
  <c r="AH33" i="50"/>
  <c r="AI33" i="50"/>
  <c r="AJ33" i="50"/>
  <c r="AK33" i="50"/>
  <c r="AH34" i="50"/>
  <c r="AI34" i="50"/>
  <c r="AJ34" i="50"/>
  <c r="AK34" i="50"/>
  <c r="AH35" i="50"/>
  <c r="AI35" i="50"/>
  <c r="AJ35" i="50"/>
  <c r="AK35" i="50"/>
  <c r="AH36" i="50"/>
  <c r="AI36" i="50"/>
  <c r="AJ36" i="50"/>
  <c r="AK36" i="50"/>
  <c r="AH37" i="50"/>
  <c r="AI37" i="50"/>
  <c r="AJ37" i="50"/>
  <c r="AK37" i="50"/>
  <c r="AH38" i="50"/>
  <c r="AI38" i="50"/>
  <c r="AJ38" i="50"/>
  <c r="AK38" i="50"/>
  <c r="AH39" i="50"/>
  <c r="AI39" i="50"/>
  <c r="AJ39" i="50"/>
  <c r="AK39" i="50"/>
  <c r="AH40" i="50"/>
  <c r="AI40" i="50"/>
  <c r="AJ40" i="50"/>
  <c r="AK40" i="50"/>
  <c r="AH41" i="50"/>
  <c r="AI41" i="50"/>
  <c r="AJ41" i="50"/>
  <c r="AK41" i="50"/>
  <c r="AH42" i="50"/>
  <c r="AI42" i="50"/>
  <c r="AJ42" i="50"/>
  <c r="AK42" i="50"/>
  <c r="AH43" i="50"/>
  <c r="AI43" i="50"/>
  <c r="AJ43" i="50"/>
  <c r="AK43" i="50"/>
  <c r="AH44" i="50"/>
  <c r="AI44" i="50"/>
  <c r="AJ44" i="50"/>
  <c r="AK44" i="50"/>
  <c r="AH45" i="50"/>
  <c r="AI45" i="50"/>
  <c r="AJ45" i="50"/>
  <c r="AK45" i="50"/>
  <c r="AH46" i="50"/>
  <c r="AI46" i="50"/>
  <c r="AJ46" i="50"/>
  <c r="AK46" i="50"/>
  <c r="AH47" i="50"/>
  <c r="AI47" i="50"/>
  <c r="AJ47" i="50"/>
  <c r="AK47" i="50"/>
  <c r="AH48" i="50"/>
  <c r="AI48" i="50"/>
  <c r="AJ48" i="50"/>
  <c r="AK48" i="50"/>
  <c r="AH49" i="50"/>
  <c r="AI49" i="50"/>
  <c r="AJ49" i="50"/>
  <c r="AK49" i="50"/>
  <c r="AH50" i="50"/>
  <c r="AI50" i="50"/>
  <c r="AJ50" i="50"/>
  <c r="AK50" i="50"/>
  <c r="AH51" i="50"/>
  <c r="AI51" i="50"/>
  <c r="AJ51" i="50"/>
  <c r="AK51" i="50"/>
  <c r="AH52" i="50"/>
  <c r="AI52" i="50"/>
  <c r="AJ52" i="50"/>
  <c r="AK52" i="50"/>
  <c r="AH53" i="50"/>
  <c r="AI53" i="50"/>
  <c r="AJ53" i="50"/>
  <c r="AK53" i="50"/>
  <c r="AH54" i="50"/>
  <c r="AI54" i="50"/>
  <c r="AJ54" i="50"/>
  <c r="AK54" i="50"/>
  <c r="AH55" i="50"/>
  <c r="AI55" i="50"/>
  <c r="AJ55" i="50"/>
  <c r="AK55" i="50"/>
  <c r="AH56" i="50"/>
  <c r="AI56" i="50"/>
  <c r="AJ56" i="50"/>
  <c r="AK56" i="50"/>
  <c r="AH57" i="50"/>
  <c r="AI57" i="50"/>
  <c r="AJ57" i="50"/>
  <c r="AK57" i="50"/>
  <c r="AH58" i="50"/>
  <c r="AI58" i="50"/>
  <c r="AJ58" i="50"/>
  <c r="AK58" i="50"/>
  <c r="AH59" i="50"/>
  <c r="AI59" i="50"/>
  <c r="AJ59" i="50"/>
  <c r="AK59" i="50"/>
  <c r="AH60" i="50"/>
  <c r="AI60" i="50"/>
  <c r="AJ60" i="50"/>
  <c r="AK60" i="50"/>
  <c r="AH61" i="50"/>
  <c r="AI61" i="50"/>
  <c r="AJ61" i="50"/>
  <c r="AK61" i="50"/>
  <c r="AH62" i="50"/>
  <c r="AI62" i="50"/>
  <c r="AJ62" i="50"/>
  <c r="AK62" i="50"/>
  <c r="AH63" i="50"/>
  <c r="AI63" i="50"/>
  <c r="AJ63" i="50"/>
  <c r="AK63" i="50"/>
  <c r="AH64" i="50"/>
  <c r="AI64" i="50"/>
  <c r="AJ64" i="50"/>
  <c r="AK64" i="50"/>
  <c r="AH65" i="50"/>
  <c r="AI65" i="50"/>
  <c r="AJ65" i="50"/>
  <c r="AK65" i="50"/>
  <c r="AH66" i="50"/>
  <c r="AI66" i="50"/>
  <c r="AJ66" i="50"/>
  <c r="AK66" i="50"/>
  <c r="AH67" i="50"/>
  <c r="AI67" i="50"/>
  <c r="AJ67" i="50"/>
  <c r="AK67" i="50"/>
  <c r="AH68" i="50"/>
  <c r="AI68" i="50"/>
  <c r="AJ68" i="50"/>
  <c r="AK68" i="50"/>
  <c r="AH69" i="50"/>
  <c r="AI69" i="50"/>
  <c r="AJ69" i="50"/>
  <c r="AK69" i="50"/>
  <c r="AH70" i="50"/>
  <c r="AI70" i="50"/>
  <c r="AJ70" i="50"/>
  <c r="AK70" i="50"/>
  <c r="AH71" i="50"/>
  <c r="AI71" i="50"/>
  <c r="AJ71" i="50"/>
  <c r="AK71" i="50"/>
  <c r="AH72" i="50"/>
  <c r="AI72" i="50"/>
  <c r="AJ72" i="50"/>
  <c r="AK72" i="50"/>
  <c r="AH73" i="50"/>
  <c r="AI73" i="50"/>
  <c r="AJ73" i="50"/>
  <c r="AK73" i="50"/>
  <c r="AH74" i="50"/>
  <c r="AI74" i="50"/>
  <c r="AJ74" i="50"/>
  <c r="AK74" i="50"/>
  <c r="AH75" i="50"/>
  <c r="AI75" i="50"/>
  <c r="AJ75" i="50"/>
  <c r="AK75" i="50"/>
  <c r="AH76" i="50"/>
  <c r="AI76" i="50"/>
  <c r="AJ76" i="50"/>
  <c r="AK76" i="50"/>
  <c r="AH77" i="50"/>
  <c r="AI77" i="50"/>
  <c r="AJ77" i="50"/>
  <c r="AK77" i="50"/>
  <c r="AH78" i="50"/>
  <c r="AI78" i="50"/>
  <c r="AJ78" i="50"/>
  <c r="AK78" i="50"/>
  <c r="AH79" i="50"/>
  <c r="AI79" i="50"/>
  <c r="AJ79" i="50"/>
  <c r="AK79" i="50"/>
  <c r="AK2" i="50"/>
  <c r="AJ2" i="50"/>
  <c r="AI2" i="50"/>
  <c r="AH2" i="50"/>
  <c r="Z67" i="6"/>
  <c r="Y67" i="6"/>
  <c r="X67" i="6"/>
  <c r="W67" i="6"/>
  <c r="V67" i="6"/>
  <c r="U67" i="6"/>
  <c r="T67" i="6"/>
  <c r="S67" i="6"/>
  <c r="R67" i="6"/>
  <c r="Q67" i="6"/>
  <c r="P67" i="6"/>
  <c r="O67" i="6"/>
  <c r="N67" i="6"/>
  <c r="M67" i="6"/>
  <c r="L67" i="6"/>
  <c r="K67" i="6"/>
  <c r="J67" i="6"/>
  <c r="I67" i="6"/>
  <c r="H67" i="6"/>
  <c r="G67" i="6"/>
  <c r="F67" i="6"/>
  <c r="AN66" i="6"/>
  <c r="AP66" i="6"/>
  <c r="Z66" i="6"/>
  <c r="Y66" i="6"/>
  <c r="X66" i="6"/>
  <c r="W66" i="6"/>
  <c r="V66" i="6"/>
  <c r="U66" i="6"/>
  <c r="T66" i="6"/>
  <c r="S66" i="6"/>
  <c r="R66" i="6"/>
  <c r="Q66" i="6"/>
  <c r="P66" i="6"/>
  <c r="O66" i="6"/>
  <c r="N66" i="6"/>
  <c r="M66" i="6"/>
  <c r="L66" i="6"/>
  <c r="K66" i="6"/>
  <c r="J66" i="6"/>
  <c r="I66" i="6"/>
  <c r="H66" i="6"/>
  <c r="G66" i="6"/>
  <c r="F66" i="6"/>
  <c r="AN65" i="6"/>
  <c r="AP65" i="6"/>
  <c r="Z65" i="6"/>
  <c r="Y65" i="6"/>
  <c r="X65" i="6"/>
  <c r="W65" i="6"/>
  <c r="V65" i="6"/>
  <c r="U65" i="6"/>
  <c r="T65" i="6"/>
  <c r="S65" i="6"/>
  <c r="R65" i="6"/>
  <c r="Q65" i="6"/>
  <c r="P65" i="6"/>
  <c r="O65" i="6"/>
  <c r="N65" i="6"/>
  <c r="M65" i="6"/>
  <c r="L65" i="6"/>
  <c r="K65" i="6"/>
  <c r="J65" i="6"/>
  <c r="I65" i="6"/>
  <c r="H65" i="6"/>
  <c r="G65" i="6"/>
  <c r="F65" i="6"/>
  <c r="AN61" i="6"/>
  <c r="AP61" i="6"/>
  <c r="Z61" i="6"/>
  <c r="Y61" i="6"/>
  <c r="X61" i="6"/>
  <c r="W61" i="6"/>
  <c r="V61" i="6"/>
  <c r="U61" i="6"/>
  <c r="T61" i="6"/>
  <c r="S61" i="6"/>
  <c r="R61" i="6"/>
  <c r="Q61" i="6"/>
  <c r="P61" i="6"/>
  <c r="O61" i="6"/>
  <c r="N61" i="6"/>
  <c r="M61" i="6"/>
  <c r="L61" i="6"/>
  <c r="K61" i="6"/>
  <c r="J61" i="6"/>
  <c r="I61" i="6"/>
  <c r="H61" i="6"/>
  <c r="G61" i="6"/>
  <c r="F61" i="6"/>
  <c r="V135" i="47"/>
  <c r="W135" i="47"/>
  <c r="X135" i="47"/>
  <c r="Y135" i="47"/>
  <c r="Z135" i="47"/>
  <c r="AA135" i="47"/>
  <c r="AB135" i="47"/>
  <c r="AC135" i="47"/>
  <c r="AD135" i="47"/>
  <c r="AE135" i="47"/>
  <c r="AF135" i="47"/>
  <c r="AG135" i="47"/>
  <c r="AH135" i="47"/>
  <c r="V136" i="47"/>
  <c r="W136" i="47"/>
  <c r="X136" i="47"/>
  <c r="Y136" i="47"/>
  <c r="Z136" i="47"/>
  <c r="AA136" i="47"/>
  <c r="AB136" i="47"/>
  <c r="AC136" i="47"/>
  <c r="AD136" i="47"/>
  <c r="AE136" i="47"/>
  <c r="AF136" i="47"/>
  <c r="AG136" i="47"/>
  <c r="AH136" i="47"/>
  <c r="V137" i="47"/>
  <c r="W137" i="47"/>
  <c r="X137" i="47"/>
  <c r="Y137" i="47"/>
  <c r="Z137" i="47"/>
  <c r="AA137" i="47"/>
  <c r="AB137" i="47"/>
  <c r="AC137" i="47"/>
  <c r="AD137" i="47"/>
  <c r="AE137" i="47"/>
  <c r="AF137" i="47"/>
  <c r="AG137" i="47"/>
  <c r="AH137" i="47"/>
  <c r="V138" i="47"/>
  <c r="W138" i="47"/>
  <c r="X138" i="47"/>
  <c r="Y138" i="47"/>
  <c r="Z138" i="47"/>
  <c r="AA138" i="47"/>
  <c r="AB138" i="47"/>
  <c r="AC138" i="47"/>
  <c r="AD138" i="47"/>
  <c r="AE138" i="47"/>
  <c r="AF138" i="47"/>
  <c r="AG138" i="47"/>
  <c r="AH138" i="47"/>
  <c r="V139" i="47"/>
  <c r="W139" i="47"/>
  <c r="X139" i="47"/>
  <c r="Y139" i="47"/>
  <c r="Z139" i="47"/>
  <c r="AA139" i="47"/>
  <c r="AB139" i="47"/>
  <c r="AC139" i="47"/>
  <c r="AD139" i="47"/>
  <c r="AE139" i="47"/>
  <c r="AF139" i="47"/>
  <c r="AG139" i="47"/>
  <c r="AH139" i="47"/>
  <c r="V140" i="47"/>
  <c r="W140" i="47"/>
  <c r="X140" i="47"/>
  <c r="Y140" i="47"/>
  <c r="Z140" i="47"/>
  <c r="AA140" i="47"/>
  <c r="AB140" i="47"/>
  <c r="AC140" i="47"/>
  <c r="AD140" i="47"/>
  <c r="AE140" i="47"/>
  <c r="AF140" i="47"/>
  <c r="AG140" i="47"/>
  <c r="AH140" i="47"/>
  <c r="V141" i="47"/>
  <c r="W141" i="47"/>
  <c r="X141" i="47"/>
  <c r="Y141" i="47"/>
  <c r="Z141" i="47"/>
  <c r="AA141" i="47"/>
  <c r="AB141" i="47"/>
  <c r="AC141" i="47"/>
  <c r="AD141" i="47"/>
  <c r="AE141" i="47"/>
  <c r="AF141" i="47"/>
  <c r="AG141" i="47"/>
  <c r="AH141" i="47"/>
  <c r="V142" i="47"/>
  <c r="W142" i="47"/>
  <c r="X142" i="47"/>
  <c r="Y142" i="47"/>
  <c r="Z142" i="47"/>
  <c r="AA142" i="47"/>
  <c r="AB142" i="47"/>
  <c r="AC142" i="47"/>
  <c r="AD142" i="47"/>
  <c r="AE142" i="47"/>
  <c r="AF142" i="47"/>
  <c r="AG142" i="47"/>
  <c r="AH142" i="47"/>
  <c r="V143" i="47"/>
  <c r="W143" i="47"/>
  <c r="X143" i="47"/>
  <c r="Y143" i="47"/>
  <c r="Z143" i="47"/>
  <c r="AA143" i="47"/>
  <c r="AB143" i="47"/>
  <c r="AC143" i="47"/>
  <c r="AD143" i="47"/>
  <c r="AE143" i="47"/>
  <c r="AF143" i="47"/>
  <c r="AG143" i="47"/>
  <c r="AH143" i="47"/>
  <c r="V144" i="47"/>
  <c r="W144" i="47"/>
  <c r="X144" i="47"/>
  <c r="Y144" i="47"/>
  <c r="Z144" i="47"/>
  <c r="AA144" i="47"/>
  <c r="AB144" i="47"/>
  <c r="AC144" i="47"/>
  <c r="AD144" i="47"/>
  <c r="AE144" i="47"/>
  <c r="AF144" i="47"/>
  <c r="AG144" i="47"/>
  <c r="AH144" i="47"/>
  <c r="V145" i="47"/>
  <c r="W145" i="47"/>
  <c r="X145" i="47"/>
  <c r="Y145" i="47"/>
  <c r="Z145" i="47"/>
  <c r="AA145" i="47"/>
  <c r="AB145" i="47"/>
  <c r="AC145" i="47"/>
  <c r="AD145" i="47"/>
  <c r="AE145" i="47"/>
  <c r="AF145" i="47"/>
  <c r="AG145" i="47"/>
  <c r="AH145" i="47"/>
  <c r="V146" i="47"/>
  <c r="W146" i="47"/>
  <c r="X146" i="47"/>
  <c r="Y146" i="47"/>
  <c r="Z146" i="47"/>
  <c r="AA146" i="47"/>
  <c r="AB146" i="47"/>
  <c r="AC146" i="47"/>
  <c r="AD146" i="47"/>
  <c r="AE146" i="47"/>
  <c r="AF146" i="47"/>
  <c r="AG146" i="47"/>
  <c r="AH146" i="47"/>
  <c r="V147" i="47"/>
  <c r="W147" i="47"/>
  <c r="X147" i="47"/>
  <c r="Y147" i="47"/>
  <c r="Z147" i="47"/>
  <c r="AA147" i="47"/>
  <c r="AB147" i="47"/>
  <c r="AC147" i="47"/>
  <c r="AD147" i="47"/>
  <c r="AE147" i="47"/>
  <c r="AF147" i="47"/>
  <c r="AG147" i="47"/>
  <c r="AH147" i="47"/>
  <c r="V148" i="47"/>
  <c r="W148" i="47"/>
  <c r="X148" i="47"/>
  <c r="Y148" i="47"/>
  <c r="Z148" i="47"/>
  <c r="AA148" i="47"/>
  <c r="AB148" i="47"/>
  <c r="AC148" i="47"/>
  <c r="AD148" i="47"/>
  <c r="AE148" i="47"/>
  <c r="AF148" i="47"/>
  <c r="AG148" i="47"/>
  <c r="AH148" i="47"/>
  <c r="V149" i="47"/>
  <c r="W149" i="47"/>
  <c r="X149" i="47"/>
  <c r="Y149" i="47"/>
  <c r="Z149" i="47"/>
  <c r="AA149" i="47"/>
  <c r="AB149" i="47"/>
  <c r="AC149" i="47"/>
  <c r="AD149" i="47"/>
  <c r="AE149" i="47"/>
  <c r="AF149" i="47"/>
  <c r="AG149" i="47"/>
  <c r="AH149" i="47"/>
  <c r="V150" i="47"/>
  <c r="W150" i="47"/>
  <c r="X150" i="47"/>
  <c r="Y150" i="47"/>
  <c r="Z150" i="47"/>
  <c r="AA150" i="47"/>
  <c r="AB150" i="47"/>
  <c r="AC150" i="47"/>
  <c r="AD150" i="47"/>
  <c r="AE150" i="47"/>
  <c r="AF150" i="47"/>
  <c r="AG150" i="47"/>
  <c r="AH150" i="47"/>
  <c r="V151" i="47"/>
  <c r="W151" i="47"/>
  <c r="X151" i="47"/>
  <c r="Y151" i="47"/>
  <c r="Z151" i="47"/>
  <c r="AA151" i="47"/>
  <c r="AB151" i="47"/>
  <c r="AC151" i="47"/>
  <c r="AD151" i="47"/>
  <c r="AE151" i="47"/>
  <c r="AF151" i="47"/>
  <c r="AG151" i="47"/>
  <c r="AH151" i="47"/>
  <c r="V152" i="47"/>
  <c r="W152" i="47"/>
  <c r="X152" i="47"/>
  <c r="Y152" i="47"/>
  <c r="Z152" i="47"/>
  <c r="AA152" i="47"/>
  <c r="AB152" i="47"/>
  <c r="AC152" i="47"/>
  <c r="AD152" i="47"/>
  <c r="AE152" i="47"/>
  <c r="AF152" i="47"/>
  <c r="AG152" i="47"/>
  <c r="AH152" i="47"/>
  <c r="V153" i="47"/>
  <c r="W153" i="47"/>
  <c r="X153" i="47"/>
  <c r="Y153" i="47"/>
  <c r="Z153" i="47"/>
  <c r="AA153" i="47"/>
  <c r="AB153" i="47"/>
  <c r="AC153" i="47"/>
  <c r="AD153" i="47"/>
  <c r="AE153" i="47"/>
  <c r="AF153" i="47"/>
  <c r="AG153" i="47"/>
  <c r="AH153" i="47"/>
  <c r="V154" i="47"/>
  <c r="W154" i="47"/>
  <c r="X154" i="47"/>
  <c r="Y154" i="47"/>
  <c r="Z154" i="47"/>
  <c r="AA154" i="47"/>
  <c r="AB154" i="47"/>
  <c r="AC154" i="47"/>
  <c r="AD154" i="47"/>
  <c r="AE154" i="47"/>
  <c r="AF154" i="47"/>
  <c r="AG154" i="47"/>
  <c r="AH154" i="47"/>
  <c r="V155" i="47"/>
  <c r="W155" i="47"/>
  <c r="X155" i="47"/>
  <c r="Y155" i="47"/>
  <c r="Z155" i="47"/>
  <c r="AA155" i="47"/>
  <c r="AB155" i="47"/>
  <c r="AC155" i="47"/>
  <c r="AD155" i="47"/>
  <c r="AE155" i="47"/>
  <c r="AF155" i="47"/>
  <c r="AG155" i="47"/>
  <c r="AH155" i="47"/>
  <c r="V156" i="47"/>
  <c r="W156" i="47"/>
  <c r="X156" i="47"/>
  <c r="Y156" i="47"/>
  <c r="Z156" i="47"/>
  <c r="AA156" i="47"/>
  <c r="AB156" i="47"/>
  <c r="AC156" i="47"/>
  <c r="AD156" i="47"/>
  <c r="AE156" i="47"/>
  <c r="AF156" i="47"/>
  <c r="AG156" i="47"/>
  <c r="AH156" i="47"/>
  <c r="V157" i="47"/>
  <c r="W157" i="47"/>
  <c r="X157" i="47"/>
  <c r="Y157" i="47"/>
  <c r="Z157" i="47"/>
  <c r="AA157" i="47"/>
  <c r="AB157" i="47"/>
  <c r="AC157" i="47"/>
  <c r="AD157" i="47"/>
  <c r="AE157" i="47"/>
  <c r="AF157" i="47"/>
  <c r="AG157" i="47"/>
  <c r="AH157" i="47"/>
  <c r="V158" i="47"/>
  <c r="W158" i="47"/>
  <c r="X158" i="47"/>
  <c r="Y158" i="47"/>
  <c r="Z158" i="47"/>
  <c r="AA158" i="47"/>
  <c r="AB158" i="47"/>
  <c r="AC158" i="47"/>
  <c r="AD158" i="47"/>
  <c r="AE158" i="47"/>
  <c r="AF158" i="47"/>
  <c r="AG158" i="47"/>
  <c r="AH158" i="47"/>
  <c r="V159" i="47"/>
  <c r="W159" i="47"/>
  <c r="X159" i="47"/>
  <c r="Y159" i="47"/>
  <c r="Z159" i="47"/>
  <c r="AA159" i="47"/>
  <c r="AB159" i="47"/>
  <c r="AC159" i="47"/>
  <c r="AD159" i="47"/>
  <c r="AE159" i="47"/>
  <c r="AF159" i="47"/>
  <c r="AG159" i="47"/>
  <c r="AH159" i="47"/>
  <c r="V160" i="47"/>
  <c r="W160" i="47"/>
  <c r="X160" i="47"/>
  <c r="Y160" i="47"/>
  <c r="Z160" i="47"/>
  <c r="AA160" i="47"/>
  <c r="AB160" i="47"/>
  <c r="AC160" i="47"/>
  <c r="AD160" i="47"/>
  <c r="AE160" i="47"/>
  <c r="AF160" i="47"/>
  <c r="AG160" i="47"/>
  <c r="AH160" i="47"/>
  <c r="V161" i="47"/>
  <c r="W161" i="47"/>
  <c r="X161" i="47"/>
  <c r="Y161" i="47"/>
  <c r="Z161" i="47"/>
  <c r="AA161" i="47"/>
  <c r="AB161" i="47"/>
  <c r="AC161" i="47"/>
  <c r="AD161" i="47"/>
  <c r="AE161" i="47"/>
  <c r="AF161" i="47"/>
  <c r="AG161" i="47"/>
  <c r="AH161" i="47"/>
  <c r="V162" i="47"/>
  <c r="W162" i="47"/>
  <c r="X162" i="47"/>
  <c r="Y162" i="47"/>
  <c r="Z162" i="47"/>
  <c r="AA162" i="47"/>
  <c r="AB162" i="47"/>
  <c r="AC162" i="47"/>
  <c r="AD162" i="47"/>
  <c r="AE162" i="47"/>
  <c r="AF162" i="47"/>
  <c r="AG162" i="47"/>
  <c r="AH162" i="47"/>
  <c r="V163" i="47"/>
  <c r="W163" i="47"/>
  <c r="X163" i="47"/>
  <c r="Y163" i="47"/>
  <c r="Z163" i="47"/>
  <c r="AA163" i="47"/>
  <c r="AB163" i="47"/>
  <c r="AC163" i="47"/>
  <c r="AD163" i="47"/>
  <c r="AE163" i="47"/>
  <c r="AF163" i="47"/>
  <c r="AG163" i="47"/>
  <c r="AH163" i="47"/>
  <c r="V164" i="47"/>
  <c r="W164" i="47"/>
  <c r="X164" i="47"/>
  <c r="Y164" i="47"/>
  <c r="Z164" i="47"/>
  <c r="AA164" i="47"/>
  <c r="AB164" i="47"/>
  <c r="AC164" i="47"/>
  <c r="AD164" i="47"/>
  <c r="AE164" i="47"/>
  <c r="AF164" i="47"/>
  <c r="AG164" i="47"/>
  <c r="AH164" i="47"/>
  <c r="V165" i="47"/>
  <c r="W165" i="47"/>
  <c r="X165" i="47"/>
  <c r="Y165" i="47"/>
  <c r="Z165" i="47"/>
  <c r="AA165" i="47"/>
  <c r="AB165" i="47"/>
  <c r="AC165" i="47"/>
  <c r="AD165" i="47"/>
  <c r="AE165" i="47"/>
  <c r="AF165" i="47"/>
  <c r="AG165" i="47"/>
  <c r="AH165" i="47"/>
  <c r="V166" i="47"/>
  <c r="W166" i="47"/>
  <c r="X166" i="47"/>
  <c r="Y166" i="47"/>
  <c r="Z166" i="47"/>
  <c r="AA166" i="47"/>
  <c r="AB166" i="47"/>
  <c r="AC166" i="47"/>
  <c r="AD166" i="47"/>
  <c r="AE166" i="47"/>
  <c r="AF166" i="47"/>
  <c r="AG166" i="47"/>
  <c r="AH166" i="47"/>
  <c r="V167" i="47"/>
  <c r="W167" i="47"/>
  <c r="X167" i="47"/>
  <c r="Y167" i="47"/>
  <c r="Z167" i="47"/>
  <c r="AA167" i="47"/>
  <c r="AB167" i="47"/>
  <c r="AC167" i="47"/>
  <c r="AD167" i="47"/>
  <c r="AE167" i="47"/>
  <c r="AF167" i="47"/>
  <c r="AG167" i="47"/>
  <c r="AH167" i="47"/>
  <c r="V168" i="47"/>
  <c r="W168" i="47"/>
  <c r="X168" i="47"/>
  <c r="Y168" i="47"/>
  <c r="Z168" i="47"/>
  <c r="AA168" i="47"/>
  <c r="AB168" i="47"/>
  <c r="AC168" i="47"/>
  <c r="AD168" i="47"/>
  <c r="AE168" i="47"/>
  <c r="AF168" i="47"/>
  <c r="AG168" i="47"/>
  <c r="AH168" i="47"/>
  <c r="V169" i="47"/>
  <c r="W169" i="47"/>
  <c r="X169" i="47"/>
  <c r="Y169" i="47"/>
  <c r="Z169" i="47"/>
  <c r="AA169" i="47"/>
  <c r="AB169" i="47"/>
  <c r="AC169" i="47"/>
  <c r="AD169" i="47"/>
  <c r="AE169" i="47"/>
  <c r="AF169" i="47"/>
  <c r="AG169" i="47"/>
  <c r="AH169" i="47"/>
  <c r="V170" i="47"/>
  <c r="W170" i="47"/>
  <c r="X170" i="47"/>
  <c r="Y170" i="47"/>
  <c r="Z170" i="47"/>
  <c r="AA170" i="47"/>
  <c r="AB170" i="47"/>
  <c r="AC170" i="47"/>
  <c r="AD170" i="47"/>
  <c r="AE170" i="47"/>
  <c r="AF170" i="47"/>
  <c r="AG170" i="47"/>
  <c r="AH170" i="47"/>
  <c r="V171" i="47"/>
  <c r="W171" i="47"/>
  <c r="X171" i="47"/>
  <c r="Y171" i="47"/>
  <c r="Z171" i="47"/>
  <c r="AA171" i="47"/>
  <c r="AB171" i="47"/>
  <c r="AC171" i="47"/>
  <c r="AD171" i="47"/>
  <c r="AE171" i="47"/>
  <c r="AF171" i="47"/>
  <c r="AG171" i="47"/>
  <c r="AH171" i="47"/>
  <c r="V172" i="47"/>
  <c r="W172" i="47"/>
  <c r="X172" i="47"/>
  <c r="Y172" i="47"/>
  <c r="Z172" i="47"/>
  <c r="AA172" i="47"/>
  <c r="AB172" i="47"/>
  <c r="AC172" i="47"/>
  <c r="AD172" i="47"/>
  <c r="AE172" i="47"/>
  <c r="AF172" i="47"/>
  <c r="AG172" i="47"/>
  <c r="AH172" i="47"/>
  <c r="V173" i="47"/>
  <c r="W173" i="47"/>
  <c r="X173" i="47"/>
  <c r="Y173" i="47"/>
  <c r="Z173" i="47"/>
  <c r="AA173" i="47"/>
  <c r="AB173" i="47"/>
  <c r="AC173" i="47"/>
  <c r="AD173" i="47"/>
  <c r="AE173" i="47"/>
  <c r="AF173" i="47"/>
  <c r="AG173" i="47"/>
  <c r="AH173" i="47"/>
  <c r="V174" i="47"/>
  <c r="W174" i="47"/>
  <c r="X174" i="47"/>
  <c r="Y174" i="47"/>
  <c r="Z174" i="47"/>
  <c r="AA174" i="47"/>
  <c r="AB174" i="47"/>
  <c r="AC174" i="47"/>
  <c r="AD174" i="47"/>
  <c r="AE174" i="47"/>
  <c r="AF174" i="47"/>
  <c r="AG174" i="47"/>
  <c r="AH174" i="47"/>
  <c r="V175" i="47"/>
  <c r="W175" i="47"/>
  <c r="X175" i="47"/>
  <c r="Y175" i="47"/>
  <c r="Z175" i="47"/>
  <c r="AA175" i="47"/>
  <c r="AB175" i="47"/>
  <c r="AC175" i="47"/>
  <c r="AD175" i="47"/>
  <c r="AE175" i="47"/>
  <c r="AF175" i="47"/>
  <c r="AG175" i="47"/>
  <c r="AH175" i="47"/>
  <c r="V176" i="47"/>
  <c r="W176" i="47"/>
  <c r="X176" i="47"/>
  <c r="Y176" i="47"/>
  <c r="Z176" i="47"/>
  <c r="AA176" i="47"/>
  <c r="AB176" i="47"/>
  <c r="AC176" i="47"/>
  <c r="AD176" i="47"/>
  <c r="AE176" i="47"/>
  <c r="AF176" i="47"/>
  <c r="AG176" i="47"/>
  <c r="AH176" i="47"/>
  <c r="V177" i="47"/>
  <c r="W177" i="47"/>
  <c r="X177" i="47"/>
  <c r="Y177" i="47"/>
  <c r="Z177" i="47"/>
  <c r="AA177" i="47"/>
  <c r="AB177" i="47"/>
  <c r="AC177" i="47"/>
  <c r="AD177" i="47"/>
  <c r="AE177" i="47"/>
  <c r="AF177" i="47"/>
  <c r="AG177" i="47"/>
  <c r="AH177" i="47"/>
  <c r="V178" i="47"/>
  <c r="W178" i="47"/>
  <c r="X178" i="47"/>
  <c r="Y178" i="47"/>
  <c r="Z178" i="47"/>
  <c r="AA178" i="47"/>
  <c r="AB178" i="47"/>
  <c r="AC178" i="47"/>
  <c r="AD178" i="47"/>
  <c r="AE178" i="47"/>
  <c r="AF178" i="47"/>
  <c r="AG178" i="47"/>
  <c r="AH178" i="47"/>
  <c r="V179" i="47"/>
  <c r="W179" i="47"/>
  <c r="X179" i="47"/>
  <c r="Y179" i="47"/>
  <c r="Z179" i="47"/>
  <c r="AA179" i="47"/>
  <c r="AB179" i="47"/>
  <c r="AC179" i="47"/>
  <c r="AD179" i="47"/>
  <c r="AE179" i="47"/>
  <c r="AF179" i="47"/>
  <c r="AG179" i="47"/>
  <c r="AH179" i="47"/>
  <c r="V180" i="47"/>
  <c r="W180" i="47"/>
  <c r="X180" i="47"/>
  <c r="Y180" i="47"/>
  <c r="Z180" i="47"/>
  <c r="AA180" i="47"/>
  <c r="AB180" i="47"/>
  <c r="AC180" i="47"/>
  <c r="AD180" i="47"/>
  <c r="AE180" i="47"/>
  <c r="AF180" i="47"/>
  <c r="AG180" i="47"/>
  <c r="AH180" i="47"/>
  <c r="V181" i="47"/>
  <c r="W181" i="47"/>
  <c r="X181" i="47"/>
  <c r="Y181" i="47"/>
  <c r="Z181" i="47"/>
  <c r="AA181" i="47"/>
  <c r="AB181" i="47"/>
  <c r="AC181" i="47"/>
  <c r="AD181" i="47"/>
  <c r="AE181" i="47"/>
  <c r="AF181" i="47"/>
  <c r="AG181" i="47"/>
  <c r="AH181" i="47"/>
  <c r="V182" i="47"/>
  <c r="W182" i="47"/>
  <c r="X182" i="47"/>
  <c r="Y182" i="47"/>
  <c r="Z182" i="47"/>
  <c r="AA182" i="47"/>
  <c r="AB182" i="47"/>
  <c r="AC182" i="47"/>
  <c r="AD182" i="47"/>
  <c r="AE182" i="47"/>
  <c r="AF182" i="47"/>
  <c r="AG182" i="47"/>
  <c r="AH182" i="47"/>
  <c r="V183" i="47"/>
  <c r="W183" i="47"/>
  <c r="X183" i="47"/>
  <c r="Y183" i="47"/>
  <c r="Z183" i="47"/>
  <c r="AA183" i="47"/>
  <c r="AB183" i="47"/>
  <c r="AC183" i="47"/>
  <c r="AD183" i="47"/>
  <c r="AE183" i="47"/>
  <c r="AF183" i="47"/>
  <c r="AG183" i="47"/>
  <c r="AH183" i="47"/>
  <c r="V184" i="47"/>
  <c r="W184" i="47"/>
  <c r="X184" i="47"/>
  <c r="Y184" i="47"/>
  <c r="Z184" i="47"/>
  <c r="AA184" i="47"/>
  <c r="AB184" i="47"/>
  <c r="AC184" i="47"/>
  <c r="AD184" i="47"/>
  <c r="AE184" i="47"/>
  <c r="AF184" i="47"/>
  <c r="AG184" i="47"/>
  <c r="AH184" i="47"/>
  <c r="V185" i="47"/>
  <c r="W185" i="47"/>
  <c r="X185" i="47"/>
  <c r="Y185" i="47"/>
  <c r="Z185" i="47"/>
  <c r="AA185" i="47"/>
  <c r="AB185" i="47"/>
  <c r="AC185" i="47"/>
  <c r="AD185" i="47"/>
  <c r="AE185" i="47"/>
  <c r="AF185" i="47"/>
  <c r="AG185" i="47"/>
  <c r="AH185" i="47"/>
  <c r="V186" i="47"/>
  <c r="W186" i="47"/>
  <c r="X186" i="47"/>
  <c r="Y186" i="47"/>
  <c r="Z186" i="47"/>
  <c r="AA186" i="47"/>
  <c r="AB186" i="47"/>
  <c r="AC186" i="47"/>
  <c r="AD186" i="47"/>
  <c r="AE186" i="47"/>
  <c r="AF186" i="47"/>
  <c r="AG186" i="47"/>
  <c r="AH186" i="47"/>
  <c r="V187" i="47"/>
  <c r="W187" i="47"/>
  <c r="X187" i="47"/>
  <c r="Y187" i="47"/>
  <c r="Z187" i="47"/>
  <c r="AA187" i="47"/>
  <c r="AB187" i="47"/>
  <c r="AC187" i="47"/>
  <c r="AD187" i="47"/>
  <c r="AE187" i="47"/>
  <c r="AF187" i="47"/>
  <c r="AG187" i="47"/>
  <c r="AH187" i="47"/>
  <c r="V188" i="47"/>
  <c r="W188" i="47"/>
  <c r="X188" i="47"/>
  <c r="Y188" i="47"/>
  <c r="Z188" i="47"/>
  <c r="AA188" i="47"/>
  <c r="AB188" i="47"/>
  <c r="AC188" i="47"/>
  <c r="AD188" i="47"/>
  <c r="AE188" i="47"/>
  <c r="AF188" i="47"/>
  <c r="AG188" i="47"/>
  <c r="AH188" i="47"/>
  <c r="V189" i="47"/>
  <c r="W189" i="47"/>
  <c r="X189" i="47"/>
  <c r="Y189" i="47"/>
  <c r="Z189" i="47"/>
  <c r="AA189" i="47"/>
  <c r="AB189" i="47"/>
  <c r="AC189" i="47"/>
  <c r="AD189" i="47"/>
  <c r="AE189" i="47"/>
  <c r="AF189" i="47"/>
  <c r="AG189" i="47"/>
  <c r="AH189" i="47"/>
  <c r="V190" i="47"/>
  <c r="W190" i="47"/>
  <c r="X190" i="47"/>
  <c r="Y190" i="47"/>
  <c r="Z190" i="47"/>
  <c r="AA190" i="47"/>
  <c r="AB190" i="47"/>
  <c r="AC190" i="47"/>
  <c r="AD190" i="47"/>
  <c r="AE190" i="47"/>
  <c r="AF190" i="47"/>
  <c r="AG190" i="47"/>
  <c r="AH190" i="47"/>
  <c r="V191" i="47"/>
  <c r="W191" i="47"/>
  <c r="X191" i="47"/>
  <c r="Y191" i="47"/>
  <c r="Z191" i="47"/>
  <c r="AA191" i="47"/>
  <c r="AB191" i="47"/>
  <c r="AC191" i="47"/>
  <c r="AD191" i="47"/>
  <c r="AE191" i="47"/>
  <c r="AF191" i="47"/>
  <c r="AG191" i="47"/>
  <c r="AH191" i="47"/>
  <c r="V192" i="47"/>
  <c r="W192" i="47"/>
  <c r="X192" i="47"/>
  <c r="Y192" i="47"/>
  <c r="Z192" i="47"/>
  <c r="AA192" i="47"/>
  <c r="AB192" i="47"/>
  <c r="AC192" i="47"/>
  <c r="AD192" i="47"/>
  <c r="AE192" i="47"/>
  <c r="AF192" i="47"/>
  <c r="AG192" i="47"/>
  <c r="AH192" i="47"/>
  <c r="V193" i="47"/>
  <c r="W193" i="47"/>
  <c r="X193" i="47"/>
  <c r="Y193" i="47"/>
  <c r="Z193" i="47"/>
  <c r="AA193" i="47"/>
  <c r="AB193" i="47"/>
  <c r="AC193" i="47"/>
  <c r="AD193" i="47"/>
  <c r="AE193" i="47"/>
  <c r="AF193" i="47"/>
  <c r="AG193" i="47"/>
  <c r="AH193" i="47"/>
  <c r="V194" i="47"/>
  <c r="W194" i="47"/>
  <c r="X194" i="47"/>
  <c r="Y194" i="47"/>
  <c r="Z194" i="47"/>
  <c r="AA194" i="47"/>
  <c r="AB194" i="47"/>
  <c r="AC194" i="47"/>
  <c r="AD194" i="47"/>
  <c r="AE194" i="47"/>
  <c r="AF194" i="47"/>
  <c r="AG194" i="47"/>
  <c r="AH194" i="47"/>
  <c r="V195" i="47"/>
  <c r="W195" i="47"/>
  <c r="X195" i="47"/>
  <c r="Y195" i="47"/>
  <c r="Z195" i="47"/>
  <c r="AA195" i="47"/>
  <c r="AB195" i="47"/>
  <c r="AC195" i="47"/>
  <c r="AD195" i="47"/>
  <c r="AE195" i="47"/>
  <c r="AF195" i="47"/>
  <c r="AG195" i="47"/>
  <c r="AH195" i="47"/>
  <c r="V196" i="47"/>
  <c r="W196" i="47"/>
  <c r="X196" i="47"/>
  <c r="Y196" i="47"/>
  <c r="Z196" i="47"/>
  <c r="AA196" i="47"/>
  <c r="AB196" i="47"/>
  <c r="AC196" i="47"/>
  <c r="AD196" i="47"/>
  <c r="AE196" i="47"/>
  <c r="AF196" i="47"/>
  <c r="AG196" i="47"/>
  <c r="AH196" i="47"/>
  <c r="V197" i="47"/>
  <c r="W197" i="47"/>
  <c r="X197" i="47"/>
  <c r="Y197" i="47"/>
  <c r="Z197" i="47"/>
  <c r="AA197" i="47"/>
  <c r="AB197" i="47"/>
  <c r="AC197" i="47"/>
  <c r="AD197" i="47"/>
  <c r="AE197" i="47"/>
  <c r="AF197" i="47"/>
  <c r="AG197" i="47"/>
  <c r="AH197" i="47"/>
  <c r="V198" i="47"/>
  <c r="W198" i="47"/>
  <c r="X198" i="47"/>
  <c r="Y198" i="47"/>
  <c r="Z198" i="47"/>
  <c r="AA198" i="47"/>
  <c r="AB198" i="47"/>
  <c r="AC198" i="47"/>
  <c r="AD198" i="47"/>
  <c r="AE198" i="47"/>
  <c r="AF198" i="47"/>
  <c r="AG198" i="47"/>
  <c r="AH198" i="47"/>
  <c r="V199" i="47"/>
  <c r="W199" i="47"/>
  <c r="X199" i="47"/>
  <c r="Y199" i="47"/>
  <c r="Z199" i="47"/>
  <c r="AA199" i="47"/>
  <c r="AB199" i="47"/>
  <c r="AC199" i="47"/>
  <c r="AD199" i="47"/>
  <c r="AE199" i="47"/>
  <c r="AF199" i="47"/>
  <c r="AG199" i="47"/>
  <c r="AH199" i="47"/>
  <c r="V200" i="47"/>
  <c r="W200" i="47"/>
  <c r="X200" i="47"/>
  <c r="Y200" i="47"/>
  <c r="Z200" i="47"/>
  <c r="AA200" i="47"/>
  <c r="AB200" i="47"/>
  <c r="AC200" i="47"/>
  <c r="AD200" i="47"/>
  <c r="AE200" i="47"/>
  <c r="AF200" i="47"/>
  <c r="AG200" i="47"/>
  <c r="AH200" i="47"/>
  <c r="V201" i="47"/>
  <c r="W201" i="47"/>
  <c r="X201" i="47"/>
  <c r="Y201" i="47"/>
  <c r="Z201" i="47"/>
  <c r="AA201" i="47"/>
  <c r="AB201" i="47"/>
  <c r="AC201" i="47"/>
  <c r="AD201" i="47"/>
  <c r="AE201" i="47"/>
  <c r="AF201" i="47"/>
  <c r="AG201" i="47"/>
  <c r="AH201" i="47"/>
  <c r="V202" i="47"/>
  <c r="W202" i="47"/>
  <c r="X202" i="47"/>
  <c r="Y202" i="47"/>
  <c r="Z202" i="47"/>
  <c r="AA202" i="47"/>
  <c r="AB202" i="47"/>
  <c r="AC202" i="47"/>
  <c r="AD202" i="47"/>
  <c r="AE202" i="47"/>
  <c r="AF202" i="47"/>
  <c r="AG202" i="47"/>
  <c r="AH202" i="47"/>
  <c r="V203" i="47"/>
  <c r="W203" i="47"/>
  <c r="X203" i="47"/>
  <c r="Y203" i="47"/>
  <c r="Z203" i="47"/>
  <c r="AA203" i="47"/>
  <c r="AB203" i="47"/>
  <c r="AC203" i="47"/>
  <c r="AD203" i="47"/>
  <c r="AE203" i="47"/>
  <c r="AF203" i="47"/>
  <c r="AG203" i="47"/>
  <c r="AH203" i="47"/>
  <c r="V204" i="47"/>
  <c r="W204" i="47"/>
  <c r="X204" i="47"/>
  <c r="Y204" i="47"/>
  <c r="Z204" i="47"/>
  <c r="AA204" i="47"/>
  <c r="AB204" i="47"/>
  <c r="AC204" i="47"/>
  <c r="AD204" i="47"/>
  <c r="AE204" i="47"/>
  <c r="AF204" i="47"/>
  <c r="AG204" i="47"/>
  <c r="AH204" i="47"/>
  <c r="V205" i="47"/>
  <c r="W205" i="47"/>
  <c r="X205" i="47"/>
  <c r="Y205" i="47"/>
  <c r="Z205" i="47"/>
  <c r="AA205" i="47"/>
  <c r="AB205" i="47"/>
  <c r="AC205" i="47"/>
  <c r="AD205" i="47"/>
  <c r="AE205" i="47"/>
  <c r="AF205" i="47"/>
  <c r="AG205" i="47"/>
  <c r="AH205" i="47"/>
  <c r="V206" i="47"/>
  <c r="W206" i="47"/>
  <c r="X206" i="47"/>
  <c r="Y206" i="47"/>
  <c r="Z206" i="47"/>
  <c r="AA206" i="47"/>
  <c r="AB206" i="47"/>
  <c r="AC206" i="47"/>
  <c r="AD206" i="47"/>
  <c r="AE206" i="47"/>
  <c r="AF206" i="47"/>
  <c r="AG206" i="47"/>
  <c r="AH206" i="47"/>
  <c r="V207" i="47"/>
  <c r="W207" i="47"/>
  <c r="X207" i="47"/>
  <c r="Y207" i="47"/>
  <c r="Z207" i="47"/>
  <c r="AA207" i="47"/>
  <c r="AB207" i="47"/>
  <c r="AC207" i="47"/>
  <c r="AD207" i="47"/>
  <c r="AE207" i="47"/>
  <c r="AF207" i="47"/>
  <c r="AG207" i="47"/>
  <c r="AH207" i="47"/>
  <c r="V208" i="47"/>
  <c r="W208" i="47"/>
  <c r="X208" i="47"/>
  <c r="Y208" i="47"/>
  <c r="Z208" i="47"/>
  <c r="AA208" i="47"/>
  <c r="AB208" i="47"/>
  <c r="AC208" i="47"/>
  <c r="AD208" i="47"/>
  <c r="AE208" i="47"/>
  <c r="AF208" i="47"/>
  <c r="AG208" i="47"/>
  <c r="AH208" i="47"/>
  <c r="V209" i="47"/>
  <c r="W209" i="47"/>
  <c r="X209" i="47"/>
  <c r="Y209" i="47"/>
  <c r="Z209" i="47"/>
  <c r="AA209" i="47"/>
  <c r="AB209" i="47"/>
  <c r="AC209" i="47"/>
  <c r="AD209" i="47"/>
  <c r="AE209" i="47"/>
  <c r="AF209" i="47"/>
  <c r="AG209" i="47"/>
  <c r="AH209" i="47"/>
  <c r="V210" i="47"/>
  <c r="W210" i="47"/>
  <c r="X210" i="47"/>
  <c r="Y210" i="47"/>
  <c r="Z210" i="47"/>
  <c r="AA210" i="47"/>
  <c r="AB210" i="47"/>
  <c r="AC210" i="47"/>
  <c r="AD210" i="47"/>
  <c r="AE210" i="47"/>
  <c r="AF210" i="47"/>
  <c r="AG210" i="47"/>
  <c r="AH210" i="47"/>
  <c r="V211" i="47"/>
  <c r="W211" i="47"/>
  <c r="X211" i="47"/>
  <c r="Y211" i="47"/>
  <c r="Z211" i="47"/>
  <c r="AA211" i="47"/>
  <c r="AB211" i="47"/>
  <c r="AC211" i="47"/>
  <c r="AD211" i="47"/>
  <c r="AE211" i="47"/>
  <c r="AF211" i="47"/>
  <c r="AG211" i="47"/>
  <c r="AH211" i="47"/>
  <c r="V212" i="47"/>
  <c r="W212" i="47"/>
  <c r="X212" i="47"/>
  <c r="Y212" i="47"/>
  <c r="Z212" i="47"/>
  <c r="AA212" i="47"/>
  <c r="AB212" i="47"/>
  <c r="AC212" i="47"/>
  <c r="AD212" i="47"/>
  <c r="AE212" i="47"/>
  <c r="AF212" i="47"/>
  <c r="AG212" i="47"/>
  <c r="AH212" i="47"/>
  <c r="V213" i="47"/>
  <c r="W213" i="47"/>
  <c r="X213" i="47"/>
  <c r="Y213" i="47"/>
  <c r="Z213" i="47"/>
  <c r="AA213" i="47"/>
  <c r="AB213" i="47"/>
  <c r="AC213" i="47"/>
  <c r="AD213" i="47"/>
  <c r="AE213" i="47"/>
  <c r="AF213" i="47"/>
  <c r="AG213" i="47"/>
  <c r="AH213" i="47"/>
  <c r="V214" i="47"/>
  <c r="W214" i="47"/>
  <c r="X214" i="47"/>
  <c r="Y214" i="47"/>
  <c r="Z214" i="47"/>
  <c r="AA214" i="47"/>
  <c r="AB214" i="47"/>
  <c r="AC214" i="47"/>
  <c r="AD214" i="47"/>
  <c r="AE214" i="47"/>
  <c r="AF214" i="47"/>
  <c r="AG214" i="47"/>
  <c r="AH214" i="47"/>
  <c r="V215" i="47"/>
  <c r="W215" i="47"/>
  <c r="X215" i="47"/>
  <c r="Y215" i="47"/>
  <c r="Z215" i="47"/>
  <c r="AA215" i="47"/>
  <c r="AB215" i="47"/>
  <c r="AC215" i="47"/>
  <c r="AD215" i="47"/>
  <c r="AE215" i="47"/>
  <c r="AF215" i="47"/>
  <c r="AG215" i="47"/>
  <c r="AH215" i="47"/>
  <c r="V216" i="47"/>
  <c r="W216" i="47"/>
  <c r="X216" i="47"/>
  <c r="Y216" i="47"/>
  <c r="Z216" i="47"/>
  <c r="AA216" i="47"/>
  <c r="AB216" i="47"/>
  <c r="AC216" i="47"/>
  <c r="AD216" i="47"/>
  <c r="AE216" i="47"/>
  <c r="AF216" i="47"/>
  <c r="AG216" i="47"/>
  <c r="AH216" i="47"/>
  <c r="V217" i="47"/>
  <c r="W217" i="47"/>
  <c r="X217" i="47"/>
  <c r="Y217" i="47"/>
  <c r="Z217" i="47"/>
  <c r="AA217" i="47"/>
  <c r="AB217" i="47"/>
  <c r="AC217" i="47"/>
  <c r="AD217" i="47"/>
  <c r="AE217" i="47"/>
  <c r="AF217" i="47"/>
  <c r="AG217" i="47"/>
  <c r="AH217" i="47"/>
  <c r="V218" i="47"/>
  <c r="W218" i="47"/>
  <c r="X218" i="47"/>
  <c r="Y218" i="47"/>
  <c r="Z218" i="47"/>
  <c r="AA218" i="47"/>
  <c r="AB218" i="47"/>
  <c r="AC218" i="47"/>
  <c r="AD218" i="47"/>
  <c r="AE218" i="47"/>
  <c r="AF218" i="47"/>
  <c r="AG218" i="47"/>
  <c r="AH218" i="47"/>
  <c r="V219" i="47"/>
  <c r="W219" i="47"/>
  <c r="X219" i="47"/>
  <c r="Y219" i="47"/>
  <c r="Z219" i="47"/>
  <c r="AA219" i="47"/>
  <c r="AB219" i="47"/>
  <c r="AC219" i="47"/>
  <c r="AD219" i="47"/>
  <c r="AE219" i="47"/>
  <c r="AF219" i="47"/>
  <c r="AG219" i="47"/>
  <c r="AH219" i="47"/>
  <c r="V220" i="47"/>
  <c r="W220" i="47"/>
  <c r="X220" i="47"/>
  <c r="Y220" i="47"/>
  <c r="Z220" i="47"/>
  <c r="AA220" i="47"/>
  <c r="AB220" i="47"/>
  <c r="AC220" i="47"/>
  <c r="AD220" i="47"/>
  <c r="AE220" i="47"/>
  <c r="AF220" i="47"/>
  <c r="AG220" i="47"/>
  <c r="AH220" i="47"/>
  <c r="V221" i="47"/>
  <c r="W221" i="47"/>
  <c r="X221" i="47"/>
  <c r="Y221" i="47"/>
  <c r="Z221" i="47"/>
  <c r="AA221" i="47"/>
  <c r="AB221" i="47"/>
  <c r="AC221" i="47"/>
  <c r="AD221" i="47"/>
  <c r="AE221" i="47"/>
  <c r="AF221" i="47"/>
  <c r="AG221" i="47"/>
  <c r="AH221" i="47"/>
  <c r="V222" i="47"/>
  <c r="W222" i="47"/>
  <c r="X222" i="47"/>
  <c r="Y222" i="47"/>
  <c r="Z222" i="47"/>
  <c r="AA222" i="47"/>
  <c r="AB222" i="47"/>
  <c r="AC222" i="47"/>
  <c r="AD222" i="47"/>
  <c r="AE222" i="47"/>
  <c r="AF222" i="47"/>
  <c r="AG222" i="47"/>
  <c r="AH222" i="47"/>
  <c r="V223" i="47"/>
  <c r="W223" i="47"/>
  <c r="X223" i="47"/>
  <c r="Y223" i="47"/>
  <c r="Z223" i="47"/>
  <c r="AA223" i="47"/>
  <c r="AB223" i="47"/>
  <c r="AC223" i="47"/>
  <c r="AD223" i="47"/>
  <c r="AE223" i="47"/>
  <c r="AF223" i="47"/>
  <c r="AG223" i="47"/>
  <c r="AH223" i="47"/>
  <c r="V224" i="47"/>
  <c r="W224" i="47"/>
  <c r="X224" i="47"/>
  <c r="Y224" i="47"/>
  <c r="Z224" i="47"/>
  <c r="AA224" i="47"/>
  <c r="AB224" i="47"/>
  <c r="AC224" i="47"/>
  <c r="AD224" i="47"/>
  <c r="AE224" i="47"/>
  <c r="AF224" i="47"/>
  <c r="AG224" i="47"/>
  <c r="AH224" i="47"/>
  <c r="V225" i="47"/>
  <c r="W225" i="47"/>
  <c r="X225" i="47"/>
  <c r="Y225" i="47"/>
  <c r="Z225" i="47"/>
  <c r="AA225" i="47"/>
  <c r="AB225" i="47"/>
  <c r="AC225" i="47"/>
  <c r="AD225" i="47"/>
  <c r="AE225" i="47"/>
  <c r="AF225" i="47"/>
  <c r="AG225" i="47"/>
  <c r="AH225" i="47"/>
  <c r="V226" i="47"/>
  <c r="W226" i="47"/>
  <c r="X226" i="47"/>
  <c r="Y226" i="47"/>
  <c r="Z226" i="47"/>
  <c r="AA226" i="47"/>
  <c r="AB226" i="47"/>
  <c r="AC226" i="47"/>
  <c r="AD226" i="47"/>
  <c r="AE226" i="47"/>
  <c r="AF226" i="47"/>
  <c r="AG226" i="47"/>
  <c r="AH226" i="47"/>
  <c r="V227" i="47"/>
  <c r="W227" i="47"/>
  <c r="X227" i="47"/>
  <c r="Y227" i="47"/>
  <c r="Z227" i="47"/>
  <c r="AA227" i="47"/>
  <c r="AB227" i="47"/>
  <c r="AC227" i="47"/>
  <c r="AD227" i="47"/>
  <c r="AE227" i="47"/>
  <c r="AF227" i="47"/>
  <c r="AG227" i="47"/>
  <c r="AH227" i="47"/>
  <c r="V228" i="47"/>
  <c r="W228" i="47"/>
  <c r="X228" i="47"/>
  <c r="Y228" i="47"/>
  <c r="Z228" i="47"/>
  <c r="AA228" i="47"/>
  <c r="AB228" i="47"/>
  <c r="AC228" i="47"/>
  <c r="AD228" i="47"/>
  <c r="AE228" i="47"/>
  <c r="AF228" i="47"/>
  <c r="AG228" i="47"/>
  <c r="AH228" i="47"/>
  <c r="V229" i="47"/>
  <c r="W229" i="47"/>
  <c r="X229" i="47"/>
  <c r="Y229" i="47"/>
  <c r="Z229" i="47"/>
  <c r="AA229" i="47"/>
  <c r="AB229" i="47"/>
  <c r="AC229" i="47"/>
  <c r="AD229" i="47"/>
  <c r="AE229" i="47"/>
  <c r="AF229" i="47"/>
  <c r="AG229" i="47"/>
  <c r="AH229" i="47"/>
  <c r="V230" i="47"/>
  <c r="W230" i="47"/>
  <c r="X230" i="47"/>
  <c r="Y230" i="47"/>
  <c r="Z230" i="47"/>
  <c r="AA230" i="47"/>
  <c r="AB230" i="47"/>
  <c r="AC230" i="47"/>
  <c r="AD230" i="47"/>
  <c r="AE230" i="47"/>
  <c r="AF230" i="47"/>
  <c r="AG230" i="47"/>
  <c r="AH230" i="47"/>
  <c r="V231" i="47"/>
  <c r="W231" i="47"/>
  <c r="X231" i="47"/>
  <c r="Y231" i="47"/>
  <c r="Z231" i="47"/>
  <c r="AA231" i="47"/>
  <c r="AB231" i="47"/>
  <c r="AC231" i="47"/>
  <c r="AD231" i="47"/>
  <c r="AE231" i="47"/>
  <c r="AF231" i="47"/>
  <c r="AG231" i="47"/>
  <c r="AH231" i="47"/>
  <c r="V232" i="47"/>
  <c r="W232" i="47"/>
  <c r="X232" i="47"/>
  <c r="Y232" i="47"/>
  <c r="Z232" i="47"/>
  <c r="AA232" i="47"/>
  <c r="AB232" i="47"/>
  <c r="AC232" i="47"/>
  <c r="AD232" i="47"/>
  <c r="AE232" i="47"/>
  <c r="AF232" i="47"/>
  <c r="AG232" i="47"/>
  <c r="AH232" i="47"/>
  <c r="V233" i="47"/>
  <c r="W233" i="47"/>
  <c r="X233" i="47"/>
  <c r="Y233" i="47"/>
  <c r="Z233" i="47"/>
  <c r="AA233" i="47"/>
  <c r="AB233" i="47"/>
  <c r="AC233" i="47"/>
  <c r="AD233" i="47"/>
  <c r="AE233" i="47"/>
  <c r="AF233" i="47"/>
  <c r="AG233" i="47"/>
  <c r="AH233" i="47"/>
  <c r="V234" i="47"/>
  <c r="W234" i="47"/>
  <c r="X234" i="47"/>
  <c r="Y234" i="47"/>
  <c r="Z234" i="47"/>
  <c r="AA234" i="47"/>
  <c r="AB234" i="47"/>
  <c r="AC234" i="47"/>
  <c r="AD234" i="47"/>
  <c r="AE234" i="47"/>
  <c r="AF234" i="47"/>
  <c r="AG234" i="47"/>
  <c r="AH234" i="47"/>
  <c r="V235" i="47"/>
  <c r="W235" i="47"/>
  <c r="X235" i="47"/>
  <c r="Y235" i="47"/>
  <c r="Z235" i="47"/>
  <c r="AA235" i="47"/>
  <c r="AB235" i="47"/>
  <c r="AC235" i="47"/>
  <c r="AD235" i="47"/>
  <c r="AE235" i="47"/>
  <c r="AF235" i="47"/>
  <c r="AG235" i="47"/>
  <c r="AH235" i="47"/>
  <c r="V236" i="47"/>
  <c r="W236" i="47"/>
  <c r="X236" i="47"/>
  <c r="Y236" i="47"/>
  <c r="Z236" i="47"/>
  <c r="AA236" i="47"/>
  <c r="AB236" i="47"/>
  <c r="AC236" i="47"/>
  <c r="AD236" i="47"/>
  <c r="AE236" i="47"/>
  <c r="AF236" i="47"/>
  <c r="AG236" i="47"/>
  <c r="AH236" i="47"/>
  <c r="V237" i="47"/>
  <c r="W237" i="47"/>
  <c r="X237" i="47"/>
  <c r="Y237" i="47"/>
  <c r="Z237" i="47"/>
  <c r="AA237" i="47"/>
  <c r="AB237" i="47"/>
  <c r="AC237" i="47"/>
  <c r="AD237" i="47"/>
  <c r="AE237" i="47"/>
  <c r="AF237" i="47"/>
  <c r="AG237" i="47"/>
  <c r="AH237" i="47"/>
  <c r="V238" i="47"/>
  <c r="W238" i="47"/>
  <c r="X238" i="47"/>
  <c r="Y238" i="47"/>
  <c r="Z238" i="47"/>
  <c r="AA238" i="47"/>
  <c r="AB238" i="47"/>
  <c r="AC238" i="47"/>
  <c r="AD238" i="47"/>
  <c r="AE238" i="47"/>
  <c r="AF238" i="47"/>
  <c r="AG238" i="47"/>
  <c r="AH238" i="47"/>
  <c r="V239" i="47"/>
  <c r="W239" i="47"/>
  <c r="X239" i="47"/>
  <c r="Y239" i="47"/>
  <c r="Z239" i="47"/>
  <c r="AA239" i="47"/>
  <c r="AB239" i="47"/>
  <c r="AC239" i="47"/>
  <c r="AD239" i="47"/>
  <c r="AE239" i="47"/>
  <c r="AF239" i="47"/>
  <c r="AG239" i="47"/>
  <c r="AH239" i="47"/>
  <c r="V240" i="47"/>
  <c r="W240" i="47"/>
  <c r="X240" i="47"/>
  <c r="Y240" i="47"/>
  <c r="Z240" i="47"/>
  <c r="AA240" i="47"/>
  <c r="AB240" i="47"/>
  <c r="AC240" i="47"/>
  <c r="AD240" i="47"/>
  <c r="AE240" i="47"/>
  <c r="AF240" i="47"/>
  <c r="AG240" i="47"/>
  <c r="AH240" i="47"/>
  <c r="V241" i="47"/>
  <c r="W241" i="47"/>
  <c r="X241" i="47"/>
  <c r="Y241" i="47"/>
  <c r="Z241" i="47"/>
  <c r="AA241" i="47"/>
  <c r="AB241" i="47"/>
  <c r="AC241" i="47"/>
  <c r="AD241" i="47"/>
  <c r="AE241" i="47"/>
  <c r="AF241" i="47"/>
  <c r="AG241" i="47"/>
  <c r="AH241" i="47"/>
  <c r="V242" i="47"/>
  <c r="W242" i="47"/>
  <c r="X242" i="47"/>
  <c r="Y242" i="47"/>
  <c r="Z242" i="47"/>
  <c r="AA242" i="47"/>
  <c r="AB242" i="47"/>
  <c r="AC242" i="47"/>
  <c r="AD242" i="47"/>
  <c r="AE242" i="47"/>
  <c r="AF242" i="47"/>
  <c r="AG242" i="47"/>
  <c r="AH242" i="47"/>
  <c r="V243" i="47"/>
  <c r="W243" i="47"/>
  <c r="X243" i="47"/>
  <c r="Y243" i="47"/>
  <c r="Z243" i="47"/>
  <c r="AA243" i="47"/>
  <c r="AB243" i="47"/>
  <c r="AC243" i="47"/>
  <c r="AD243" i="47"/>
  <c r="AE243" i="47"/>
  <c r="AF243" i="47"/>
  <c r="AG243" i="47"/>
  <c r="AH243" i="47"/>
  <c r="V244" i="47"/>
  <c r="W244" i="47"/>
  <c r="X244" i="47"/>
  <c r="Y244" i="47"/>
  <c r="Z244" i="47"/>
  <c r="AA244" i="47"/>
  <c r="AB244" i="47"/>
  <c r="AC244" i="47"/>
  <c r="AD244" i="47"/>
  <c r="AE244" i="47"/>
  <c r="AF244" i="47"/>
  <c r="AG244" i="47"/>
  <c r="AH244" i="47"/>
  <c r="V245" i="47"/>
  <c r="W245" i="47"/>
  <c r="X245" i="47"/>
  <c r="Y245" i="47"/>
  <c r="Z245" i="47"/>
  <c r="AA245" i="47"/>
  <c r="AB245" i="47"/>
  <c r="AC245" i="47"/>
  <c r="AD245" i="47"/>
  <c r="AE245" i="47"/>
  <c r="AF245" i="47"/>
  <c r="AG245" i="47"/>
  <c r="AH245" i="47"/>
  <c r="V246" i="47"/>
  <c r="W246" i="47"/>
  <c r="X246" i="47"/>
  <c r="Y246" i="47"/>
  <c r="Z246" i="47"/>
  <c r="AA246" i="47"/>
  <c r="AB246" i="47"/>
  <c r="AC246" i="47"/>
  <c r="AD246" i="47"/>
  <c r="AE246" i="47"/>
  <c r="AF246" i="47"/>
  <c r="AG246" i="47"/>
  <c r="AH246" i="47"/>
  <c r="V247" i="47"/>
  <c r="W247" i="47"/>
  <c r="X247" i="47"/>
  <c r="Y247" i="47"/>
  <c r="Z247" i="47"/>
  <c r="AA247" i="47"/>
  <c r="AB247" i="47"/>
  <c r="AC247" i="47"/>
  <c r="AD247" i="47"/>
  <c r="AE247" i="47"/>
  <c r="AF247" i="47"/>
  <c r="AG247" i="47"/>
  <c r="AH247" i="47"/>
  <c r="V248" i="47"/>
  <c r="W248" i="47"/>
  <c r="X248" i="47"/>
  <c r="Y248" i="47"/>
  <c r="Z248" i="47"/>
  <c r="AA248" i="47"/>
  <c r="AB248" i="47"/>
  <c r="AC248" i="47"/>
  <c r="AD248" i="47"/>
  <c r="AE248" i="47"/>
  <c r="AF248" i="47"/>
  <c r="AG248" i="47"/>
  <c r="AH248" i="47"/>
  <c r="V249" i="47"/>
  <c r="W249" i="47"/>
  <c r="X249" i="47"/>
  <c r="Y249" i="47"/>
  <c r="Z249" i="47"/>
  <c r="AA249" i="47"/>
  <c r="AB249" i="47"/>
  <c r="AC249" i="47"/>
  <c r="AD249" i="47"/>
  <c r="AE249" i="47"/>
  <c r="AF249" i="47"/>
  <c r="AG249" i="47"/>
  <c r="AH249" i="47"/>
  <c r="V250" i="47"/>
  <c r="W250" i="47"/>
  <c r="X250" i="47"/>
  <c r="Y250" i="47"/>
  <c r="Z250" i="47"/>
  <c r="AA250" i="47"/>
  <c r="AB250" i="47"/>
  <c r="AC250" i="47"/>
  <c r="AD250" i="47"/>
  <c r="AE250" i="47"/>
  <c r="AF250" i="47"/>
  <c r="AG250" i="47"/>
  <c r="AH250" i="47"/>
  <c r="V251" i="47"/>
  <c r="W251" i="47"/>
  <c r="X251" i="47"/>
  <c r="Y251" i="47"/>
  <c r="Z251" i="47"/>
  <c r="AA251" i="47"/>
  <c r="AB251" i="47"/>
  <c r="AC251" i="47"/>
  <c r="AD251" i="47"/>
  <c r="AE251" i="47"/>
  <c r="AF251" i="47"/>
  <c r="AG251" i="47"/>
  <c r="AH251" i="47"/>
  <c r="V252" i="47"/>
  <c r="W252" i="47"/>
  <c r="X252" i="47"/>
  <c r="Y252" i="47"/>
  <c r="Z252" i="47"/>
  <c r="AA252" i="47"/>
  <c r="AB252" i="47"/>
  <c r="AC252" i="47"/>
  <c r="AD252" i="47"/>
  <c r="AE252" i="47"/>
  <c r="AF252" i="47"/>
  <c r="AG252" i="47"/>
  <c r="AH252" i="47"/>
  <c r="V253" i="47"/>
  <c r="W253" i="47"/>
  <c r="X253" i="47"/>
  <c r="Y253" i="47"/>
  <c r="Z253" i="47"/>
  <c r="AA253" i="47"/>
  <c r="AB253" i="47"/>
  <c r="AC253" i="47"/>
  <c r="AD253" i="47"/>
  <c r="AE253" i="47"/>
  <c r="AF253" i="47"/>
  <c r="AG253" i="47"/>
  <c r="AH253" i="47"/>
  <c r="V254" i="47"/>
  <c r="W254" i="47"/>
  <c r="X254" i="47"/>
  <c r="Y254" i="47"/>
  <c r="Z254" i="47"/>
  <c r="AA254" i="47"/>
  <c r="AB254" i="47"/>
  <c r="AC254" i="47"/>
  <c r="AD254" i="47"/>
  <c r="AE254" i="47"/>
  <c r="AF254" i="47"/>
  <c r="AG254" i="47"/>
  <c r="AH254" i="47"/>
  <c r="V255" i="47"/>
  <c r="W255" i="47"/>
  <c r="X255" i="47"/>
  <c r="Y255" i="47"/>
  <c r="Z255" i="47"/>
  <c r="AA255" i="47"/>
  <c r="AB255" i="47"/>
  <c r="AC255" i="47"/>
  <c r="AD255" i="47"/>
  <c r="AE255" i="47"/>
  <c r="AF255" i="47"/>
  <c r="AG255" i="47"/>
  <c r="AH255" i="47"/>
  <c r="V256" i="47"/>
  <c r="W256" i="47"/>
  <c r="X256" i="47"/>
  <c r="Y256" i="47"/>
  <c r="Z256" i="47"/>
  <c r="AA256" i="47"/>
  <c r="AB256" i="47"/>
  <c r="AC256" i="47"/>
  <c r="AD256" i="47"/>
  <c r="AE256" i="47"/>
  <c r="AF256" i="47"/>
  <c r="AG256" i="47"/>
  <c r="AH256" i="47"/>
  <c r="V257" i="47"/>
  <c r="W257" i="47"/>
  <c r="X257" i="47"/>
  <c r="Y257" i="47"/>
  <c r="Z257" i="47"/>
  <c r="AA257" i="47"/>
  <c r="AB257" i="47"/>
  <c r="AC257" i="47"/>
  <c r="AD257" i="47"/>
  <c r="AE257" i="47"/>
  <c r="AF257" i="47"/>
  <c r="AG257" i="47"/>
  <c r="AH257" i="47"/>
  <c r="V258" i="47"/>
  <c r="W258" i="47"/>
  <c r="X258" i="47"/>
  <c r="Y258" i="47"/>
  <c r="Z258" i="47"/>
  <c r="AA258" i="47"/>
  <c r="AB258" i="47"/>
  <c r="AC258" i="47"/>
  <c r="AD258" i="47"/>
  <c r="AE258" i="47"/>
  <c r="AF258" i="47"/>
  <c r="AG258" i="47"/>
  <c r="AH258" i="47"/>
  <c r="AH131" i="47"/>
  <c r="AH132" i="47"/>
  <c r="AH133" i="47"/>
  <c r="AH134" i="47"/>
  <c r="V7" i="47"/>
  <c r="W7" i="47"/>
  <c r="X7" i="47"/>
  <c r="Y7" i="47"/>
  <c r="Z7" i="47"/>
  <c r="AA7" i="47"/>
  <c r="AB7" i="47"/>
  <c r="AC7" i="47"/>
  <c r="AD7" i="47"/>
  <c r="AE7" i="47"/>
  <c r="AF7" i="47"/>
  <c r="AG7" i="47"/>
  <c r="V8" i="47"/>
  <c r="W8" i="47"/>
  <c r="X8" i="47"/>
  <c r="Y8" i="47"/>
  <c r="Z8" i="47"/>
  <c r="AA8" i="47"/>
  <c r="AB8" i="47"/>
  <c r="AC8" i="47"/>
  <c r="AD8" i="47"/>
  <c r="AE8" i="47"/>
  <c r="AF8" i="47"/>
  <c r="AG8" i="47"/>
  <c r="V9" i="47"/>
  <c r="W9" i="47"/>
  <c r="X9" i="47"/>
  <c r="Y9" i="47"/>
  <c r="Z9" i="47"/>
  <c r="AA9" i="47"/>
  <c r="AB9" i="47"/>
  <c r="AC9" i="47"/>
  <c r="AD9" i="47"/>
  <c r="AE9" i="47"/>
  <c r="AF9" i="47"/>
  <c r="AG9" i="47"/>
  <c r="V10" i="47"/>
  <c r="W10" i="47"/>
  <c r="X10" i="47"/>
  <c r="Y10" i="47"/>
  <c r="Z10" i="47"/>
  <c r="AA10" i="47"/>
  <c r="AB10" i="47"/>
  <c r="AC10" i="47"/>
  <c r="AD10" i="47"/>
  <c r="AE10" i="47"/>
  <c r="AF10" i="47"/>
  <c r="AG10" i="47"/>
  <c r="V11" i="47"/>
  <c r="W11" i="47"/>
  <c r="X11" i="47"/>
  <c r="Y11" i="47"/>
  <c r="Z11" i="47"/>
  <c r="AA11" i="47"/>
  <c r="AB11" i="47"/>
  <c r="AC11" i="47"/>
  <c r="AD11" i="47"/>
  <c r="AE11" i="47"/>
  <c r="AF11" i="47"/>
  <c r="AG11" i="47"/>
  <c r="V12" i="47"/>
  <c r="W12" i="47"/>
  <c r="X12" i="47"/>
  <c r="Y12" i="47"/>
  <c r="Z12" i="47"/>
  <c r="AA12" i="47"/>
  <c r="AB12" i="47"/>
  <c r="AC12" i="47"/>
  <c r="AD12" i="47"/>
  <c r="AE12" i="47"/>
  <c r="AF12" i="47"/>
  <c r="AG12" i="47"/>
  <c r="V13" i="47"/>
  <c r="W13" i="47"/>
  <c r="X13" i="47"/>
  <c r="Y13" i="47"/>
  <c r="Z13" i="47"/>
  <c r="AA13" i="47"/>
  <c r="AB13" i="47"/>
  <c r="AC13" i="47"/>
  <c r="AD13" i="47"/>
  <c r="AE13" i="47"/>
  <c r="AF13" i="47"/>
  <c r="AG13" i="47"/>
  <c r="V14" i="47"/>
  <c r="W14" i="47"/>
  <c r="X14" i="47"/>
  <c r="Y14" i="47"/>
  <c r="Z14" i="47"/>
  <c r="AA14" i="47"/>
  <c r="AB14" i="47"/>
  <c r="AC14" i="47"/>
  <c r="AD14" i="47"/>
  <c r="AE14" i="47"/>
  <c r="AF14" i="47"/>
  <c r="AG14" i="47"/>
  <c r="V15" i="47"/>
  <c r="W15" i="47"/>
  <c r="X15" i="47"/>
  <c r="Y15" i="47"/>
  <c r="Z15" i="47"/>
  <c r="AA15" i="47"/>
  <c r="AB15" i="47"/>
  <c r="AC15" i="47"/>
  <c r="AD15" i="47"/>
  <c r="AE15" i="47"/>
  <c r="AF15" i="47"/>
  <c r="AG15" i="47"/>
  <c r="V16" i="47"/>
  <c r="W16" i="47"/>
  <c r="X16" i="47"/>
  <c r="Y16" i="47"/>
  <c r="Z16" i="47"/>
  <c r="AA16" i="47"/>
  <c r="AB16" i="47"/>
  <c r="AC16" i="47"/>
  <c r="AD16" i="47"/>
  <c r="AE16" i="47"/>
  <c r="AF16" i="47"/>
  <c r="AG16" i="47"/>
  <c r="V17" i="47"/>
  <c r="W17" i="47"/>
  <c r="X17" i="47"/>
  <c r="Y17" i="47"/>
  <c r="Z17" i="47"/>
  <c r="AA17" i="47"/>
  <c r="AB17" i="47"/>
  <c r="AC17" i="47"/>
  <c r="AD17" i="47"/>
  <c r="AE17" i="47"/>
  <c r="AF17" i="47"/>
  <c r="AG17" i="47"/>
  <c r="V18" i="47"/>
  <c r="W18" i="47"/>
  <c r="X18" i="47"/>
  <c r="Y18" i="47"/>
  <c r="Z18" i="47"/>
  <c r="AA18" i="47"/>
  <c r="AB18" i="47"/>
  <c r="AC18" i="47"/>
  <c r="AD18" i="47"/>
  <c r="AE18" i="47"/>
  <c r="AF18" i="47"/>
  <c r="AG18" i="47"/>
  <c r="V19" i="47"/>
  <c r="W19" i="47"/>
  <c r="X19" i="47"/>
  <c r="Y19" i="47"/>
  <c r="Z19" i="47"/>
  <c r="AA19" i="47"/>
  <c r="AB19" i="47"/>
  <c r="AC19" i="47"/>
  <c r="AD19" i="47"/>
  <c r="AE19" i="47"/>
  <c r="AF19" i="47"/>
  <c r="AG19" i="47"/>
  <c r="V20" i="47"/>
  <c r="W20" i="47"/>
  <c r="X20" i="47"/>
  <c r="Y20" i="47"/>
  <c r="Z20" i="47"/>
  <c r="AA20" i="47"/>
  <c r="AB20" i="47"/>
  <c r="AC20" i="47"/>
  <c r="AD20" i="47"/>
  <c r="AE20" i="47"/>
  <c r="AF20" i="47"/>
  <c r="AG20" i="47"/>
  <c r="V21" i="47"/>
  <c r="W21" i="47"/>
  <c r="X21" i="47"/>
  <c r="Y21" i="47"/>
  <c r="Z21" i="47"/>
  <c r="AA21" i="47"/>
  <c r="AB21" i="47"/>
  <c r="AC21" i="47"/>
  <c r="AD21" i="47"/>
  <c r="AE21" i="47"/>
  <c r="AF21" i="47"/>
  <c r="AG21" i="47"/>
  <c r="V22" i="47"/>
  <c r="W22" i="47"/>
  <c r="X22" i="47"/>
  <c r="Y22" i="47"/>
  <c r="Z22" i="47"/>
  <c r="AA22" i="47"/>
  <c r="AB22" i="47"/>
  <c r="AC22" i="47"/>
  <c r="AD22" i="47"/>
  <c r="AE22" i="47"/>
  <c r="AF22" i="47"/>
  <c r="AG22" i="47"/>
  <c r="V23" i="47"/>
  <c r="W23" i="47"/>
  <c r="X23" i="47"/>
  <c r="Y23" i="47"/>
  <c r="Z23" i="47"/>
  <c r="AA23" i="47"/>
  <c r="AB23" i="47"/>
  <c r="AC23" i="47"/>
  <c r="AD23" i="47"/>
  <c r="AE23" i="47"/>
  <c r="AF23" i="47"/>
  <c r="AG23" i="47"/>
  <c r="V24" i="47"/>
  <c r="W24" i="47"/>
  <c r="X24" i="47"/>
  <c r="Y24" i="47"/>
  <c r="Z24" i="47"/>
  <c r="AA24" i="47"/>
  <c r="AB24" i="47"/>
  <c r="AC24" i="47"/>
  <c r="AD24" i="47"/>
  <c r="AE24" i="47"/>
  <c r="AF24" i="47"/>
  <c r="AG24" i="47"/>
  <c r="V25" i="47"/>
  <c r="W25" i="47"/>
  <c r="X25" i="47"/>
  <c r="Y25" i="47"/>
  <c r="Z25" i="47"/>
  <c r="AA25" i="47"/>
  <c r="AB25" i="47"/>
  <c r="AC25" i="47"/>
  <c r="AD25" i="47"/>
  <c r="AE25" i="47"/>
  <c r="AF25" i="47"/>
  <c r="AG25" i="47"/>
  <c r="V26" i="47"/>
  <c r="W26" i="47"/>
  <c r="X26" i="47"/>
  <c r="Y26" i="47"/>
  <c r="Z26" i="47"/>
  <c r="AA26" i="47"/>
  <c r="AB26" i="47"/>
  <c r="AC26" i="47"/>
  <c r="AD26" i="47"/>
  <c r="AE26" i="47"/>
  <c r="AF26" i="47"/>
  <c r="AG26" i="47"/>
  <c r="V27" i="47"/>
  <c r="W27" i="47"/>
  <c r="X27" i="47"/>
  <c r="Y27" i="47"/>
  <c r="Z27" i="47"/>
  <c r="AA27" i="47"/>
  <c r="AB27" i="47"/>
  <c r="AC27" i="47"/>
  <c r="AD27" i="47"/>
  <c r="AE27" i="47"/>
  <c r="AF27" i="47"/>
  <c r="AG27" i="47"/>
  <c r="V28" i="47"/>
  <c r="W28" i="47"/>
  <c r="X28" i="47"/>
  <c r="Y28" i="47"/>
  <c r="Z28" i="47"/>
  <c r="AA28" i="47"/>
  <c r="AB28" i="47"/>
  <c r="AC28" i="47"/>
  <c r="AD28" i="47"/>
  <c r="AE28" i="47"/>
  <c r="AF28" i="47"/>
  <c r="AG28" i="47"/>
  <c r="V29" i="47"/>
  <c r="W29" i="47"/>
  <c r="X29" i="47"/>
  <c r="Y29" i="47"/>
  <c r="Z29" i="47"/>
  <c r="AA29" i="47"/>
  <c r="AB29" i="47"/>
  <c r="AC29" i="47"/>
  <c r="AD29" i="47"/>
  <c r="AE29" i="47"/>
  <c r="AF29" i="47"/>
  <c r="AG29" i="47"/>
  <c r="V30" i="47"/>
  <c r="W30" i="47"/>
  <c r="X30" i="47"/>
  <c r="Y30" i="47"/>
  <c r="Z30" i="47"/>
  <c r="AA30" i="47"/>
  <c r="AB30" i="47"/>
  <c r="AC30" i="47"/>
  <c r="AD30" i="47"/>
  <c r="AE30" i="47"/>
  <c r="AF30" i="47"/>
  <c r="AG30" i="47"/>
  <c r="V31" i="47"/>
  <c r="W31" i="47"/>
  <c r="X31" i="47"/>
  <c r="Y31" i="47"/>
  <c r="Z31" i="47"/>
  <c r="AA31" i="47"/>
  <c r="AB31" i="47"/>
  <c r="AC31" i="47"/>
  <c r="AD31" i="47"/>
  <c r="AE31" i="47"/>
  <c r="AF31" i="47"/>
  <c r="AG31" i="47"/>
  <c r="V32" i="47"/>
  <c r="W32" i="47"/>
  <c r="X32" i="47"/>
  <c r="Y32" i="47"/>
  <c r="Z32" i="47"/>
  <c r="AA32" i="47"/>
  <c r="AB32" i="47"/>
  <c r="AC32" i="47"/>
  <c r="AD32" i="47"/>
  <c r="AE32" i="47"/>
  <c r="AF32" i="47"/>
  <c r="AG32" i="47"/>
  <c r="V33" i="47"/>
  <c r="W33" i="47"/>
  <c r="X33" i="47"/>
  <c r="Y33" i="47"/>
  <c r="Z33" i="47"/>
  <c r="AA33" i="47"/>
  <c r="AB33" i="47"/>
  <c r="AC33" i="47"/>
  <c r="AD33" i="47"/>
  <c r="AE33" i="47"/>
  <c r="AF33" i="47"/>
  <c r="AG33" i="47"/>
  <c r="V34" i="47"/>
  <c r="W34" i="47"/>
  <c r="X34" i="47"/>
  <c r="Y34" i="47"/>
  <c r="Z34" i="47"/>
  <c r="AA34" i="47"/>
  <c r="AB34" i="47"/>
  <c r="AC34" i="47"/>
  <c r="AD34" i="47"/>
  <c r="AE34" i="47"/>
  <c r="AF34" i="47"/>
  <c r="AG34" i="47"/>
  <c r="V35" i="47"/>
  <c r="W35" i="47"/>
  <c r="X35" i="47"/>
  <c r="Y35" i="47"/>
  <c r="Z35" i="47"/>
  <c r="AA35" i="47"/>
  <c r="AB35" i="47"/>
  <c r="AC35" i="47"/>
  <c r="AD35" i="47"/>
  <c r="AE35" i="47"/>
  <c r="AF35" i="47"/>
  <c r="AG35" i="47"/>
  <c r="V36" i="47"/>
  <c r="W36" i="47"/>
  <c r="X36" i="47"/>
  <c r="Y36" i="47"/>
  <c r="Z36" i="47"/>
  <c r="AA36" i="47"/>
  <c r="AB36" i="47"/>
  <c r="AC36" i="47"/>
  <c r="AD36" i="47"/>
  <c r="AE36" i="47"/>
  <c r="AF36" i="47"/>
  <c r="AG36" i="47"/>
  <c r="V37" i="47"/>
  <c r="W37" i="47"/>
  <c r="X37" i="47"/>
  <c r="Y37" i="47"/>
  <c r="Z37" i="47"/>
  <c r="AA37" i="47"/>
  <c r="AB37" i="47"/>
  <c r="AC37" i="47"/>
  <c r="AD37" i="47"/>
  <c r="AE37" i="47"/>
  <c r="AF37" i="47"/>
  <c r="AG37" i="47"/>
  <c r="V38" i="47"/>
  <c r="W38" i="47"/>
  <c r="X38" i="47"/>
  <c r="Y38" i="47"/>
  <c r="Z38" i="47"/>
  <c r="AA38" i="47"/>
  <c r="AB38" i="47"/>
  <c r="AC38" i="47"/>
  <c r="AD38" i="47"/>
  <c r="AE38" i="47"/>
  <c r="AF38" i="47"/>
  <c r="AG38" i="47"/>
  <c r="V39" i="47"/>
  <c r="W39" i="47"/>
  <c r="X39" i="47"/>
  <c r="Y39" i="47"/>
  <c r="Z39" i="47"/>
  <c r="AA39" i="47"/>
  <c r="AB39" i="47"/>
  <c r="AC39" i="47"/>
  <c r="AD39" i="47"/>
  <c r="AE39" i="47"/>
  <c r="AF39" i="47"/>
  <c r="AG39" i="47"/>
  <c r="V40" i="47"/>
  <c r="W40" i="47"/>
  <c r="X40" i="47"/>
  <c r="Y40" i="47"/>
  <c r="Z40" i="47"/>
  <c r="AA40" i="47"/>
  <c r="AB40" i="47"/>
  <c r="AC40" i="47"/>
  <c r="AD40" i="47"/>
  <c r="AE40" i="47"/>
  <c r="AF40" i="47"/>
  <c r="AG40" i="47"/>
  <c r="V41" i="47"/>
  <c r="W41" i="47"/>
  <c r="X41" i="47"/>
  <c r="Y41" i="47"/>
  <c r="Z41" i="47"/>
  <c r="AA41" i="47"/>
  <c r="AB41" i="47"/>
  <c r="AC41" i="47"/>
  <c r="AD41" i="47"/>
  <c r="AE41" i="47"/>
  <c r="AF41" i="47"/>
  <c r="AG41" i="47"/>
  <c r="V42" i="47"/>
  <c r="W42" i="47"/>
  <c r="X42" i="47"/>
  <c r="Y42" i="47"/>
  <c r="Z42" i="47"/>
  <c r="AA42" i="47"/>
  <c r="AB42" i="47"/>
  <c r="AC42" i="47"/>
  <c r="AD42" i="47"/>
  <c r="AE42" i="47"/>
  <c r="AF42" i="47"/>
  <c r="AG42" i="47"/>
  <c r="V43" i="47"/>
  <c r="W43" i="47"/>
  <c r="X43" i="47"/>
  <c r="Y43" i="47"/>
  <c r="Z43" i="47"/>
  <c r="AA43" i="47"/>
  <c r="AB43" i="47"/>
  <c r="AC43" i="47"/>
  <c r="AD43" i="47"/>
  <c r="AE43" i="47"/>
  <c r="AF43" i="47"/>
  <c r="AG43" i="47"/>
  <c r="V44" i="47"/>
  <c r="W44" i="47"/>
  <c r="X44" i="47"/>
  <c r="Y44" i="47"/>
  <c r="Z44" i="47"/>
  <c r="AA44" i="47"/>
  <c r="AB44" i="47"/>
  <c r="AC44" i="47"/>
  <c r="AD44" i="47"/>
  <c r="AE44" i="47"/>
  <c r="AF44" i="47"/>
  <c r="AG44" i="47"/>
  <c r="V45" i="47"/>
  <c r="W45" i="47"/>
  <c r="X45" i="47"/>
  <c r="Y45" i="47"/>
  <c r="Z45" i="47"/>
  <c r="AA45" i="47"/>
  <c r="AB45" i="47"/>
  <c r="AC45" i="47"/>
  <c r="AD45" i="47"/>
  <c r="AE45" i="47"/>
  <c r="AF45" i="47"/>
  <c r="AG45" i="47"/>
  <c r="V46" i="47"/>
  <c r="W46" i="47"/>
  <c r="X46" i="47"/>
  <c r="Y46" i="47"/>
  <c r="Z46" i="47"/>
  <c r="AA46" i="47"/>
  <c r="AB46" i="47"/>
  <c r="AC46" i="47"/>
  <c r="AD46" i="47"/>
  <c r="AE46" i="47"/>
  <c r="AF46" i="47"/>
  <c r="AG46" i="47"/>
  <c r="V47" i="47"/>
  <c r="W47" i="47"/>
  <c r="X47" i="47"/>
  <c r="Y47" i="47"/>
  <c r="Z47" i="47"/>
  <c r="AA47" i="47"/>
  <c r="AB47" i="47"/>
  <c r="AC47" i="47"/>
  <c r="AD47" i="47"/>
  <c r="AE47" i="47"/>
  <c r="AF47" i="47"/>
  <c r="AG47" i="47"/>
  <c r="V48" i="47"/>
  <c r="W48" i="47"/>
  <c r="X48" i="47"/>
  <c r="Y48" i="47"/>
  <c r="Z48" i="47"/>
  <c r="AA48" i="47"/>
  <c r="AB48" i="47"/>
  <c r="AC48" i="47"/>
  <c r="AD48" i="47"/>
  <c r="AE48" i="47"/>
  <c r="AF48" i="47"/>
  <c r="AG48" i="47"/>
  <c r="V49" i="47"/>
  <c r="W49" i="47"/>
  <c r="X49" i="47"/>
  <c r="Y49" i="47"/>
  <c r="Z49" i="47"/>
  <c r="AA49" i="47"/>
  <c r="AB49" i="47"/>
  <c r="AC49" i="47"/>
  <c r="AD49" i="47"/>
  <c r="AE49" i="47"/>
  <c r="AF49" i="47"/>
  <c r="AG49" i="47"/>
  <c r="V50" i="47"/>
  <c r="W50" i="47"/>
  <c r="X50" i="47"/>
  <c r="Y50" i="47"/>
  <c r="Z50" i="47"/>
  <c r="AA50" i="47"/>
  <c r="AB50" i="47"/>
  <c r="AC50" i="47"/>
  <c r="AD50" i="47"/>
  <c r="AE50" i="47"/>
  <c r="AF50" i="47"/>
  <c r="AG50" i="47"/>
  <c r="V51" i="47"/>
  <c r="W51" i="47"/>
  <c r="X51" i="47"/>
  <c r="Y51" i="47"/>
  <c r="Z51" i="47"/>
  <c r="AA51" i="47"/>
  <c r="AB51" i="47"/>
  <c r="AC51" i="47"/>
  <c r="AD51" i="47"/>
  <c r="AE51" i="47"/>
  <c r="AF51" i="47"/>
  <c r="AG51" i="47"/>
  <c r="V52" i="47"/>
  <c r="W52" i="47"/>
  <c r="X52" i="47"/>
  <c r="Y52" i="47"/>
  <c r="Z52" i="47"/>
  <c r="AA52" i="47"/>
  <c r="AB52" i="47"/>
  <c r="AC52" i="47"/>
  <c r="AD52" i="47"/>
  <c r="AE52" i="47"/>
  <c r="AF52" i="47"/>
  <c r="AG52" i="47"/>
  <c r="V53" i="47"/>
  <c r="W53" i="47"/>
  <c r="X53" i="47"/>
  <c r="Y53" i="47"/>
  <c r="Z53" i="47"/>
  <c r="AA53" i="47"/>
  <c r="AB53" i="47"/>
  <c r="AC53" i="47"/>
  <c r="AD53" i="47"/>
  <c r="AE53" i="47"/>
  <c r="AF53" i="47"/>
  <c r="AG53" i="47"/>
  <c r="V54" i="47"/>
  <c r="W54" i="47"/>
  <c r="X54" i="47"/>
  <c r="Y54" i="47"/>
  <c r="Z54" i="47"/>
  <c r="AA54" i="47"/>
  <c r="AB54" i="47"/>
  <c r="AC54" i="47"/>
  <c r="AD54" i="47"/>
  <c r="AE54" i="47"/>
  <c r="AF54" i="47"/>
  <c r="AG54" i="47"/>
  <c r="V55" i="47"/>
  <c r="W55" i="47"/>
  <c r="X55" i="47"/>
  <c r="Y55" i="47"/>
  <c r="Z55" i="47"/>
  <c r="AA55" i="47"/>
  <c r="AB55" i="47"/>
  <c r="AC55" i="47"/>
  <c r="AD55" i="47"/>
  <c r="AE55" i="47"/>
  <c r="AF55" i="47"/>
  <c r="AG55" i="47"/>
  <c r="V56" i="47"/>
  <c r="W56" i="47"/>
  <c r="X56" i="47"/>
  <c r="Y56" i="47"/>
  <c r="Z56" i="47"/>
  <c r="AA56" i="47"/>
  <c r="AB56" i="47"/>
  <c r="AC56" i="47"/>
  <c r="AD56" i="47"/>
  <c r="AE56" i="47"/>
  <c r="AF56" i="47"/>
  <c r="AG56" i="47"/>
  <c r="V57" i="47"/>
  <c r="W57" i="47"/>
  <c r="X57" i="47"/>
  <c r="Y57" i="47"/>
  <c r="Z57" i="47"/>
  <c r="AA57" i="47"/>
  <c r="AB57" i="47"/>
  <c r="AC57" i="47"/>
  <c r="AD57" i="47"/>
  <c r="AE57" i="47"/>
  <c r="AF57" i="47"/>
  <c r="AG57" i="47"/>
  <c r="V58" i="47"/>
  <c r="W58" i="47"/>
  <c r="X58" i="47"/>
  <c r="Y58" i="47"/>
  <c r="Z58" i="47"/>
  <c r="AA58" i="47"/>
  <c r="AB58" i="47"/>
  <c r="AC58" i="47"/>
  <c r="AD58" i="47"/>
  <c r="AE58" i="47"/>
  <c r="AF58" i="47"/>
  <c r="AG58" i="47"/>
  <c r="V59" i="47"/>
  <c r="W59" i="47"/>
  <c r="X59" i="47"/>
  <c r="Y59" i="47"/>
  <c r="Z59" i="47"/>
  <c r="AA59" i="47"/>
  <c r="AB59" i="47"/>
  <c r="AC59" i="47"/>
  <c r="AD59" i="47"/>
  <c r="AE59" i="47"/>
  <c r="AF59" i="47"/>
  <c r="AG59" i="47"/>
  <c r="V60" i="47"/>
  <c r="W60" i="47"/>
  <c r="X60" i="47"/>
  <c r="Y60" i="47"/>
  <c r="Z60" i="47"/>
  <c r="AA60" i="47"/>
  <c r="AB60" i="47"/>
  <c r="AC60" i="47"/>
  <c r="AD60" i="47"/>
  <c r="AE60" i="47"/>
  <c r="AF60" i="47"/>
  <c r="AG60" i="47"/>
  <c r="V61" i="47"/>
  <c r="W61" i="47"/>
  <c r="X61" i="47"/>
  <c r="Y61" i="47"/>
  <c r="Z61" i="47"/>
  <c r="AA61" i="47"/>
  <c r="AB61" i="47"/>
  <c r="AC61" i="47"/>
  <c r="AD61" i="47"/>
  <c r="AE61" i="47"/>
  <c r="AF61" i="47"/>
  <c r="AG61" i="47"/>
  <c r="V62" i="47"/>
  <c r="W62" i="47"/>
  <c r="X62" i="47"/>
  <c r="Y62" i="47"/>
  <c r="Z62" i="47"/>
  <c r="AA62" i="47"/>
  <c r="AB62" i="47"/>
  <c r="AC62" i="47"/>
  <c r="AD62" i="47"/>
  <c r="AE62" i="47"/>
  <c r="AF62" i="47"/>
  <c r="AG62" i="47"/>
  <c r="V63" i="47"/>
  <c r="W63" i="47"/>
  <c r="X63" i="47"/>
  <c r="Y63" i="47"/>
  <c r="Z63" i="47"/>
  <c r="AA63" i="47"/>
  <c r="AB63" i="47"/>
  <c r="AC63" i="47"/>
  <c r="AD63" i="47"/>
  <c r="AE63" i="47"/>
  <c r="AF63" i="47"/>
  <c r="AG63" i="47"/>
  <c r="V64" i="47"/>
  <c r="W64" i="47"/>
  <c r="X64" i="47"/>
  <c r="Y64" i="47"/>
  <c r="Z64" i="47"/>
  <c r="AA64" i="47"/>
  <c r="AB64" i="47"/>
  <c r="AC64" i="47"/>
  <c r="AD64" i="47"/>
  <c r="AE64" i="47"/>
  <c r="AF64" i="47"/>
  <c r="AG64" i="47"/>
  <c r="V65" i="47"/>
  <c r="W65" i="47"/>
  <c r="X65" i="47"/>
  <c r="Y65" i="47"/>
  <c r="Z65" i="47"/>
  <c r="AA65" i="47"/>
  <c r="AB65" i="47"/>
  <c r="AC65" i="47"/>
  <c r="AD65" i="47"/>
  <c r="AE65" i="47"/>
  <c r="AF65" i="47"/>
  <c r="AG65" i="47"/>
  <c r="V66" i="47"/>
  <c r="W66" i="47"/>
  <c r="X66" i="47"/>
  <c r="Y66" i="47"/>
  <c r="Z66" i="47"/>
  <c r="AA66" i="47"/>
  <c r="AB66" i="47"/>
  <c r="AC66" i="47"/>
  <c r="AD66" i="47"/>
  <c r="AE66" i="47"/>
  <c r="AF66" i="47"/>
  <c r="AG66" i="47"/>
  <c r="V67" i="47"/>
  <c r="W67" i="47"/>
  <c r="X67" i="47"/>
  <c r="Y67" i="47"/>
  <c r="Z67" i="47"/>
  <c r="AA67" i="47"/>
  <c r="AB67" i="47"/>
  <c r="AC67" i="47"/>
  <c r="AD67" i="47"/>
  <c r="AE67" i="47"/>
  <c r="AF67" i="47"/>
  <c r="AG67" i="47"/>
  <c r="V68" i="47"/>
  <c r="W68" i="47"/>
  <c r="X68" i="47"/>
  <c r="Y68" i="47"/>
  <c r="Z68" i="47"/>
  <c r="AA68" i="47"/>
  <c r="AB68" i="47"/>
  <c r="AC68" i="47"/>
  <c r="AD68" i="47"/>
  <c r="AE68" i="47"/>
  <c r="AF68" i="47"/>
  <c r="AG68" i="47"/>
  <c r="V69" i="47"/>
  <c r="W69" i="47"/>
  <c r="X69" i="47"/>
  <c r="Y69" i="47"/>
  <c r="Z69" i="47"/>
  <c r="AA69" i="47"/>
  <c r="AB69" i="47"/>
  <c r="AC69" i="47"/>
  <c r="AD69" i="47"/>
  <c r="AE69" i="47"/>
  <c r="AF69" i="47"/>
  <c r="AG69" i="47"/>
  <c r="V70" i="47"/>
  <c r="W70" i="47"/>
  <c r="X70" i="47"/>
  <c r="Y70" i="47"/>
  <c r="Z70" i="47"/>
  <c r="AA70" i="47"/>
  <c r="AB70" i="47"/>
  <c r="AC70" i="47"/>
  <c r="AD70" i="47"/>
  <c r="AE70" i="47"/>
  <c r="AF70" i="47"/>
  <c r="AG70" i="47"/>
  <c r="V71" i="47"/>
  <c r="W71" i="47"/>
  <c r="X71" i="47"/>
  <c r="Y71" i="47"/>
  <c r="Z71" i="47"/>
  <c r="AA71" i="47"/>
  <c r="AB71" i="47"/>
  <c r="AC71" i="47"/>
  <c r="AD71" i="47"/>
  <c r="AE71" i="47"/>
  <c r="AF71" i="47"/>
  <c r="AG71" i="47"/>
  <c r="V72" i="47"/>
  <c r="W72" i="47"/>
  <c r="X72" i="47"/>
  <c r="Y72" i="47"/>
  <c r="Z72" i="47"/>
  <c r="AA72" i="47"/>
  <c r="AB72" i="47"/>
  <c r="AC72" i="47"/>
  <c r="AD72" i="47"/>
  <c r="AE72" i="47"/>
  <c r="AF72" i="47"/>
  <c r="AG72" i="47"/>
  <c r="V73" i="47"/>
  <c r="W73" i="47"/>
  <c r="X73" i="47"/>
  <c r="Y73" i="47"/>
  <c r="Z73" i="47"/>
  <c r="AA73" i="47"/>
  <c r="AB73" i="47"/>
  <c r="AC73" i="47"/>
  <c r="AD73" i="47"/>
  <c r="AE73" i="47"/>
  <c r="AF73" i="47"/>
  <c r="AG73" i="47"/>
  <c r="V74" i="47"/>
  <c r="W74" i="47"/>
  <c r="X74" i="47"/>
  <c r="Y74" i="47"/>
  <c r="Z74" i="47"/>
  <c r="AA74" i="47"/>
  <c r="AB74" i="47"/>
  <c r="AC74" i="47"/>
  <c r="AD74" i="47"/>
  <c r="AE74" i="47"/>
  <c r="AF74" i="47"/>
  <c r="AG74" i="47"/>
  <c r="V75" i="47"/>
  <c r="W75" i="47"/>
  <c r="X75" i="47"/>
  <c r="Y75" i="47"/>
  <c r="Z75" i="47"/>
  <c r="AA75" i="47"/>
  <c r="AB75" i="47"/>
  <c r="AC75" i="47"/>
  <c r="AD75" i="47"/>
  <c r="AE75" i="47"/>
  <c r="AF75" i="47"/>
  <c r="AG75" i="47"/>
  <c r="V76" i="47"/>
  <c r="W76" i="47"/>
  <c r="X76" i="47"/>
  <c r="Y76" i="47"/>
  <c r="Z76" i="47"/>
  <c r="AA76" i="47"/>
  <c r="AB76" i="47"/>
  <c r="AC76" i="47"/>
  <c r="AD76" i="47"/>
  <c r="AE76" i="47"/>
  <c r="AF76" i="47"/>
  <c r="AG76" i="47"/>
  <c r="V77" i="47"/>
  <c r="W77" i="47"/>
  <c r="X77" i="47"/>
  <c r="Y77" i="47"/>
  <c r="Z77" i="47"/>
  <c r="AA77" i="47"/>
  <c r="AB77" i="47"/>
  <c r="AC77" i="47"/>
  <c r="AD77" i="47"/>
  <c r="AE77" i="47"/>
  <c r="AF77" i="47"/>
  <c r="AG77" i="47"/>
  <c r="V78" i="47"/>
  <c r="W78" i="47"/>
  <c r="X78" i="47"/>
  <c r="Y78" i="47"/>
  <c r="Z78" i="47"/>
  <c r="AA78" i="47"/>
  <c r="AB78" i="47"/>
  <c r="AC78" i="47"/>
  <c r="AD78" i="47"/>
  <c r="AE78" i="47"/>
  <c r="AF78" i="47"/>
  <c r="AG78" i="47"/>
  <c r="V79" i="47"/>
  <c r="W79" i="47"/>
  <c r="X79" i="47"/>
  <c r="Y79" i="47"/>
  <c r="Z79" i="47"/>
  <c r="AA79" i="47"/>
  <c r="AB79" i="47"/>
  <c r="AC79" i="47"/>
  <c r="AD79" i="47"/>
  <c r="AE79" i="47"/>
  <c r="AF79" i="47"/>
  <c r="AG79" i="47"/>
  <c r="V80" i="47"/>
  <c r="W80" i="47"/>
  <c r="X80" i="47"/>
  <c r="Y80" i="47"/>
  <c r="Z80" i="47"/>
  <c r="AA80" i="47"/>
  <c r="AB80" i="47"/>
  <c r="AC80" i="47"/>
  <c r="AD80" i="47"/>
  <c r="AE80" i="47"/>
  <c r="AF80" i="47"/>
  <c r="AG80" i="47"/>
  <c r="V81" i="47"/>
  <c r="W81" i="47"/>
  <c r="X81" i="47"/>
  <c r="Y81" i="47"/>
  <c r="Z81" i="47"/>
  <c r="AA81" i="47"/>
  <c r="AB81" i="47"/>
  <c r="AC81" i="47"/>
  <c r="AD81" i="47"/>
  <c r="AE81" i="47"/>
  <c r="AF81" i="47"/>
  <c r="AG81" i="47"/>
  <c r="V82" i="47"/>
  <c r="W82" i="47"/>
  <c r="X82" i="47"/>
  <c r="Y82" i="47"/>
  <c r="Z82" i="47"/>
  <c r="AA82" i="47"/>
  <c r="AB82" i="47"/>
  <c r="AC82" i="47"/>
  <c r="AD82" i="47"/>
  <c r="AE82" i="47"/>
  <c r="AF82" i="47"/>
  <c r="AG82" i="47"/>
  <c r="V83" i="47"/>
  <c r="W83" i="47"/>
  <c r="X83" i="47"/>
  <c r="Y83" i="47"/>
  <c r="Z83" i="47"/>
  <c r="AA83" i="47"/>
  <c r="AB83" i="47"/>
  <c r="AC83" i="47"/>
  <c r="AD83" i="47"/>
  <c r="AE83" i="47"/>
  <c r="AF83" i="47"/>
  <c r="AG83" i="47"/>
  <c r="V84" i="47"/>
  <c r="W84" i="47"/>
  <c r="X84" i="47"/>
  <c r="Y84" i="47"/>
  <c r="Z84" i="47"/>
  <c r="AA84" i="47"/>
  <c r="AB84" i="47"/>
  <c r="AC84" i="47"/>
  <c r="AD84" i="47"/>
  <c r="AE84" i="47"/>
  <c r="AF84" i="47"/>
  <c r="AG84" i="47"/>
  <c r="V85" i="47"/>
  <c r="W85" i="47"/>
  <c r="X85" i="47"/>
  <c r="Y85" i="47"/>
  <c r="Z85" i="47"/>
  <c r="AA85" i="47"/>
  <c r="AB85" i="47"/>
  <c r="AC85" i="47"/>
  <c r="AD85" i="47"/>
  <c r="AE85" i="47"/>
  <c r="AF85" i="47"/>
  <c r="AG85" i="47"/>
  <c r="V86" i="47"/>
  <c r="W86" i="47"/>
  <c r="X86" i="47"/>
  <c r="Y86" i="47"/>
  <c r="Z86" i="47"/>
  <c r="AA86" i="47"/>
  <c r="AB86" i="47"/>
  <c r="AC86" i="47"/>
  <c r="AD86" i="47"/>
  <c r="AE86" i="47"/>
  <c r="AF86" i="47"/>
  <c r="AG86" i="47"/>
  <c r="V87" i="47"/>
  <c r="W87" i="47"/>
  <c r="X87" i="47"/>
  <c r="Y87" i="47"/>
  <c r="Z87" i="47"/>
  <c r="AA87" i="47"/>
  <c r="AB87" i="47"/>
  <c r="AC87" i="47"/>
  <c r="AD87" i="47"/>
  <c r="AE87" i="47"/>
  <c r="AF87" i="47"/>
  <c r="AG87" i="47"/>
  <c r="V88" i="47"/>
  <c r="W88" i="47"/>
  <c r="X88" i="47"/>
  <c r="Y88" i="47"/>
  <c r="Z88" i="47"/>
  <c r="AA88" i="47"/>
  <c r="AB88" i="47"/>
  <c r="AC88" i="47"/>
  <c r="AD88" i="47"/>
  <c r="AE88" i="47"/>
  <c r="AF88" i="47"/>
  <c r="AG88" i="47"/>
  <c r="V89" i="47"/>
  <c r="W89" i="47"/>
  <c r="X89" i="47"/>
  <c r="Y89" i="47"/>
  <c r="Z89" i="47"/>
  <c r="AA89" i="47"/>
  <c r="AB89" i="47"/>
  <c r="AC89" i="47"/>
  <c r="AD89" i="47"/>
  <c r="AE89" i="47"/>
  <c r="AF89" i="47"/>
  <c r="AG89" i="47"/>
  <c r="V90" i="47"/>
  <c r="W90" i="47"/>
  <c r="X90" i="47"/>
  <c r="Y90" i="47"/>
  <c r="Z90" i="47"/>
  <c r="AA90" i="47"/>
  <c r="AB90" i="47"/>
  <c r="AC90" i="47"/>
  <c r="AD90" i="47"/>
  <c r="AE90" i="47"/>
  <c r="AF90" i="47"/>
  <c r="AG90" i="47"/>
  <c r="V91" i="47"/>
  <c r="W91" i="47"/>
  <c r="X91" i="47"/>
  <c r="Y91" i="47"/>
  <c r="Z91" i="47"/>
  <c r="AA91" i="47"/>
  <c r="AB91" i="47"/>
  <c r="AC91" i="47"/>
  <c r="AD91" i="47"/>
  <c r="AE91" i="47"/>
  <c r="AF91" i="47"/>
  <c r="AG91" i="47"/>
  <c r="V92" i="47"/>
  <c r="W92" i="47"/>
  <c r="X92" i="47"/>
  <c r="Y92" i="47"/>
  <c r="Z92" i="47"/>
  <c r="AA92" i="47"/>
  <c r="AB92" i="47"/>
  <c r="AC92" i="47"/>
  <c r="AD92" i="47"/>
  <c r="AE92" i="47"/>
  <c r="AF92" i="47"/>
  <c r="AG92" i="47"/>
  <c r="V93" i="47"/>
  <c r="W93" i="47"/>
  <c r="X93" i="47"/>
  <c r="Y93" i="47"/>
  <c r="Z93" i="47"/>
  <c r="AA93" i="47"/>
  <c r="AB93" i="47"/>
  <c r="AC93" i="47"/>
  <c r="AD93" i="47"/>
  <c r="AE93" i="47"/>
  <c r="AF93" i="47"/>
  <c r="AG93" i="47"/>
  <c r="V94" i="47"/>
  <c r="W94" i="47"/>
  <c r="X94" i="47"/>
  <c r="Y94" i="47"/>
  <c r="Z94" i="47"/>
  <c r="AA94" i="47"/>
  <c r="AB94" i="47"/>
  <c r="AC94" i="47"/>
  <c r="AD94" i="47"/>
  <c r="AE94" i="47"/>
  <c r="AF94" i="47"/>
  <c r="AG94" i="47"/>
  <c r="V95" i="47"/>
  <c r="W95" i="47"/>
  <c r="X95" i="47"/>
  <c r="Y95" i="47"/>
  <c r="Z95" i="47"/>
  <c r="AA95" i="47"/>
  <c r="AB95" i="47"/>
  <c r="AC95" i="47"/>
  <c r="AD95" i="47"/>
  <c r="AE95" i="47"/>
  <c r="AF95" i="47"/>
  <c r="AG95" i="47"/>
  <c r="V96" i="47"/>
  <c r="W96" i="47"/>
  <c r="X96" i="47"/>
  <c r="Y96" i="47"/>
  <c r="Z96" i="47"/>
  <c r="AA96" i="47"/>
  <c r="AB96" i="47"/>
  <c r="AC96" i="47"/>
  <c r="AD96" i="47"/>
  <c r="AE96" i="47"/>
  <c r="AF96" i="47"/>
  <c r="AG96" i="47"/>
  <c r="V97" i="47"/>
  <c r="W97" i="47"/>
  <c r="X97" i="47"/>
  <c r="Y97" i="47"/>
  <c r="Z97" i="47"/>
  <c r="AA97" i="47"/>
  <c r="AB97" i="47"/>
  <c r="AC97" i="47"/>
  <c r="AD97" i="47"/>
  <c r="AE97" i="47"/>
  <c r="AF97" i="47"/>
  <c r="AG97" i="47"/>
  <c r="V98" i="47"/>
  <c r="W98" i="47"/>
  <c r="X98" i="47"/>
  <c r="Y98" i="47"/>
  <c r="Z98" i="47"/>
  <c r="AA98" i="47"/>
  <c r="AB98" i="47"/>
  <c r="AC98" i="47"/>
  <c r="AD98" i="47"/>
  <c r="AE98" i="47"/>
  <c r="AF98" i="47"/>
  <c r="AG98" i="47"/>
  <c r="V99" i="47"/>
  <c r="W99" i="47"/>
  <c r="X99" i="47"/>
  <c r="Y99" i="47"/>
  <c r="Z99" i="47"/>
  <c r="AA99" i="47"/>
  <c r="AB99" i="47"/>
  <c r="AC99" i="47"/>
  <c r="AD99" i="47"/>
  <c r="AE99" i="47"/>
  <c r="AF99" i="47"/>
  <c r="AG99" i="47"/>
  <c r="V100" i="47"/>
  <c r="W100" i="47"/>
  <c r="X100" i="47"/>
  <c r="Y100" i="47"/>
  <c r="Z100" i="47"/>
  <c r="AA100" i="47"/>
  <c r="AB100" i="47"/>
  <c r="AC100" i="47"/>
  <c r="AD100" i="47"/>
  <c r="AE100" i="47"/>
  <c r="AF100" i="47"/>
  <c r="AG100" i="47"/>
  <c r="V101" i="47"/>
  <c r="W101" i="47"/>
  <c r="X101" i="47"/>
  <c r="Y101" i="47"/>
  <c r="Z101" i="47"/>
  <c r="AA101" i="47"/>
  <c r="AB101" i="47"/>
  <c r="AC101" i="47"/>
  <c r="AD101" i="47"/>
  <c r="AE101" i="47"/>
  <c r="AF101" i="47"/>
  <c r="AG101" i="47"/>
  <c r="V102" i="47"/>
  <c r="W102" i="47"/>
  <c r="X102" i="47"/>
  <c r="Y102" i="47"/>
  <c r="Z102" i="47"/>
  <c r="AA102" i="47"/>
  <c r="AB102" i="47"/>
  <c r="AC102" i="47"/>
  <c r="AD102" i="47"/>
  <c r="AE102" i="47"/>
  <c r="AF102" i="47"/>
  <c r="AG102" i="47"/>
  <c r="V103" i="47"/>
  <c r="W103" i="47"/>
  <c r="X103" i="47"/>
  <c r="Y103" i="47"/>
  <c r="Z103" i="47"/>
  <c r="AA103" i="47"/>
  <c r="AB103" i="47"/>
  <c r="AC103" i="47"/>
  <c r="AD103" i="47"/>
  <c r="AE103" i="47"/>
  <c r="AF103" i="47"/>
  <c r="AG103" i="47"/>
  <c r="V104" i="47"/>
  <c r="W104" i="47"/>
  <c r="X104" i="47"/>
  <c r="Y104" i="47"/>
  <c r="Z104" i="47"/>
  <c r="AA104" i="47"/>
  <c r="AB104" i="47"/>
  <c r="AC104" i="47"/>
  <c r="AD104" i="47"/>
  <c r="AE104" i="47"/>
  <c r="AF104" i="47"/>
  <c r="AG104" i="47"/>
  <c r="V105" i="47"/>
  <c r="W105" i="47"/>
  <c r="X105" i="47"/>
  <c r="Y105" i="47"/>
  <c r="Z105" i="47"/>
  <c r="AA105" i="47"/>
  <c r="AB105" i="47"/>
  <c r="AC105" i="47"/>
  <c r="AD105" i="47"/>
  <c r="AE105" i="47"/>
  <c r="AF105" i="47"/>
  <c r="AG105" i="47"/>
  <c r="V106" i="47"/>
  <c r="W106" i="47"/>
  <c r="X106" i="47"/>
  <c r="Y106" i="47"/>
  <c r="Z106" i="47"/>
  <c r="AA106" i="47"/>
  <c r="AB106" i="47"/>
  <c r="AC106" i="47"/>
  <c r="AD106" i="47"/>
  <c r="AE106" i="47"/>
  <c r="AF106" i="47"/>
  <c r="AG106" i="47"/>
  <c r="V107" i="47"/>
  <c r="W107" i="47"/>
  <c r="X107" i="47"/>
  <c r="Y107" i="47"/>
  <c r="Z107" i="47"/>
  <c r="AA107" i="47"/>
  <c r="AB107" i="47"/>
  <c r="AC107" i="47"/>
  <c r="AD107" i="47"/>
  <c r="AE107" i="47"/>
  <c r="AF107" i="47"/>
  <c r="AG107" i="47"/>
  <c r="V108" i="47"/>
  <c r="W108" i="47"/>
  <c r="X108" i="47"/>
  <c r="Y108" i="47"/>
  <c r="Z108" i="47"/>
  <c r="AA108" i="47"/>
  <c r="AB108" i="47"/>
  <c r="AC108" i="47"/>
  <c r="AD108" i="47"/>
  <c r="AE108" i="47"/>
  <c r="AF108" i="47"/>
  <c r="AG108" i="47"/>
  <c r="V109" i="47"/>
  <c r="W109" i="47"/>
  <c r="X109" i="47"/>
  <c r="Y109" i="47"/>
  <c r="Z109" i="47"/>
  <c r="AA109" i="47"/>
  <c r="AB109" i="47"/>
  <c r="AC109" i="47"/>
  <c r="AD109" i="47"/>
  <c r="AE109" i="47"/>
  <c r="AF109" i="47"/>
  <c r="AG109" i="47"/>
  <c r="V110" i="47"/>
  <c r="W110" i="47"/>
  <c r="X110" i="47"/>
  <c r="Y110" i="47"/>
  <c r="Z110" i="47"/>
  <c r="AA110" i="47"/>
  <c r="AB110" i="47"/>
  <c r="AC110" i="47"/>
  <c r="AD110" i="47"/>
  <c r="AE110" i="47"/>
  <c r="AF110" i="47"/>
  <c r="AG110" i="47"/>
  <c r="V111" i="47"/>
  <c r="W111" i="47"/>
  <c r="X111" i="47"/>
  <c r="Y111" i="47"/>
  <c r="Z111" i="47"/>
  <c r="AA111" i="47"/>
  <c r="AB111" i="47"/>
  <c r="AC111" i="47"/>
  <c r="AD111" i="47"/>
  <c r="AE111" i="47"/>
  <c r="AF111" i="47"/>
  <c r="AG111" i="47"/>
  <c r="V112" i="47"/>
  <c r="W112" i="47"/>
  <c r="X112" i="47"/>
  <c r="Y112" i="47"/>
  <c r="Z112" i="47"/>
  <c r="AA112" i="47"/>
  <c r="AB112" i="47"/>
  <c r="AC112" i="47"/>
  <c r="AD112" i="47"/>
  <c r="AE112" i="47"/>
  <c r="AF112" i="47"/>
  <c r="AG112" i="47"/>
  <c r="V113" i="47"/>
  <c r="W113" i="47"/>
  <c r="X113" i="47"/>
  <c r="Y113" i="47"/>
  <c r="Z113" i="47"/>
  <c r="AA113" i="47"/>
  <c r="AB113" i="47"/>
  <c r="AC113" i="47"/>
  <c r="AD113" i="47"/>
  <c r="AE113" i="47"/>
  <c r="AF113" i="47"/>
  <c r="AG113" i="47"/>
  <c r="V114" i="47"/>
  <c r="W114" i="47"/>
  <c r="X114" i="47"/>
  <c r="Y114" i="47"/>
  <c r="Z114" i="47"/>
  <c r="AA114" i="47"/>
  <c r="AB114" i="47"/>
  <c r="AC114" i="47"/>
  <c r="AD114" i="47"/>
  <c r="AE114" i="47"/>
  <c r="AF114" i="47"/>
  <c r="AG114" i="47"/>
  <c r="V115" i="47"/>
  <c r="W115" i="47"/>
  <c r="X115" i="47"/>
  <c r="Y115" i="47"/>
  <c r="Z115" i="47"/>
  <c r="AA115" i="47"/>
  <c r="AB115" i="47"/>
  <c r="AC115" i="47"/>
  <c r="AD115" i="47"/>
  <c r="AE115" i="47"/>
  <c r="AF115" i="47"/>
  <c r="AG115" i="47"/>
  <c r="V116" i="47"/>
  <c r="W116" i="47"/>
  <c r="X116" i="47"/>
  <c r="Y116" i="47"/>
  <c r="Z116" i="47"/>
  <c r="AA116" i="47"/>
  <c r="AB116" i="47"/>
  <c r="AC116" i="47"/>
  <c r="AD116" i="47"/>
  <c r="AE116" i="47"/>
  <c r="AF116" i="47"/>
  <c r="AG116" i="47"/>
  <c r="V117" i="47"/>
  <c r="W117" i="47"/>
  <c r="X117" i="47"/>
  <c r="Y117" i="47"/>
  <c r="Z117" i="47"/>
  <c r="AA117" i="47"/>
  <c r="AB117" i="47"/>
  <c r="AC117" i="47"/>
  <c r="AD117" i="47"/>
  <c r="AE117" i="47"/>
  <c r="AF117" i="47"/>
  <c r="AG117" i="47"/>
  <c r="V118" i="47"/>
  <c r="W118" i="47"/>
  <c r="X118" i="47"/>
  <c r="Y118" i="47"/>
  <c r="Z118" i="47"/>
  <c r="AA118" i="47"/>
  <c r="AB118" i="47"/>
  <c r="AC118" i="47"/>
  <c r="AD118" i="47"/>
  <c r="AE118" i="47"/>
  <c r="AF118" i="47"/>
  <c r="AG118" i="47"/>
  <c r="V119" i="47"/>
  <c r="W119" i="47"/>
  <c r="X119" i="47"/>
  <c r="Y119" i="47"/>
  <c r="Z119" i="47"/>
  <c r="AA119" i="47"/>
  <c r="AB119" i="47"/>
  <c r="AC119" i="47"/>
  <c r="AD119" i="47"/>
  <c r="AE119" i="47"/>
  <c r="AF119" i="47"/>
  <c r="AG119" i="47"/>
  <c r="V120" i="47"/>
  <c r="W120" i="47"/>
  <c r="X120" i="47"/>
  <c r="Y120" i="47"/>
  <c r="Z120" i="47"/>
  <c r="AA120" i="47"/>
  <c r="AB120" i="47"/>
  <c r="AC120" i="47"/>
  <c r="AD120" i="47"/>
  <c r="AE120" i="47"/>
  <c r="AF120" i="47"/>
  <c r="AG120" i="47"/>
  <c r="V121" i="47"/>
  <c r="W121" i="47"/>
  <c r="X121" i="47"/>
  <c r="Y121" i="47"/>
  <c r="Z121" i="47"/>
  <c r="AA121" i="47"/>
  <c r="AB121" i="47"/>
  <c r="AC121" i="47"/>
  <c r="AD121" i="47"/>
  <c r="AE121" i="47"/>
  <c r="AF121" i="47"/>
  <c r="AG121" i="47"/>
  <c r="V122" i="47"/>
  <c r="W122" i="47"/>
  <c r="X122" i="47"/>
  <c r="Y122" i="47"/>
  <c r="Z122" i="47"/>
  <c r="AA122" i="47"/>
  <c r="AB122" i="47"/>
  <c r="AC122" i="47"/>
  <c r="AD122" i="47"/>
  <c r="AE122" i="47"/>
  <c r="AF122" i="47"/>
  <c r="AG122" i="47"/>
  <c r="V123" i="47"/>
  <c r="W123" i="47"/>
  <c r="X123" i="47"/>
  <c r="Y123" i="47"/>
  <c r="Z123" i="47"/>
  <c r="AA123" i="47"/>
  <c r="AB123" i="47"/>
  <c r="AC123" i="47"/>
  <c r="AD123" i="47"/>
  <c r="AE123" i="47"/>
  <c r="AF123" i="47"/>
  <c r="AG123" i="47"/>
  <c r="V124" i="47"/>
  <c r="W124" i="47"/>
  <c r="X124" i="47"/>
  <c r="Y124" i="47"/>
  <c r="Z124" i="47"/>
  <c r="AA124" i="47"/>
  <c r="AB124" i="47"/>
  <c r="AC124" i="47"/>
  <c r="AD124" i="47"/>
  <c r="AE124" i="47"/>
  <c r="AF124" i="47"/>
  <c r="AG124" i="47"/>
  <c r="V125" i="47"/>
  <c r="W125" i="47"/>
  <c r="X125" i="47"/>
  <c r="Y125" i="47"/>
  <c r="Z125" i="47"/>
  <c r="AA125" i="47"/>
  <c r="AB125" i="47"/>
  <c r="AC125" i="47"/>
  <c r="AD125" i="47"/>
  <c r="AE125" i="47"/>
  <c r="AF125" i="47"/>
  <c r="AG125" i="47"/>
  <c r="V126" i="47"/>
  <c r="W126" i="47"/>
  <c r="X126" i="47"/>
  <c r="Y126" i="47"/>
  <c r="Z126" i="47"/>
  <c r="AA126" i="47"/>
  <c r="AB126" i="47"/>
  <c r="AC126" i="47"/>
  <c r="AD126" i="47"/>
  <c r="AE126" i="47"/>
  <c r="AF126" i="47"/>
  <c r="AG126" i="47"/>
  <c r="V127" i="47"/>
  <c r="W127" i="47"/>
  <c r="X127" i="47"/>
  <c r="Y127" i="47"/>
  <c r="Z127" i="47"/>
  <c r="AA127" i="47"/>
  <c r="AB127" i="47"/>
  <c r="AC127" i="47"/>
  <c r="AD127" i="47"/>
  <c r="AE127" i="47"/>
  <c r="AF127" i="47"/>
  <c r="AG127" i="47"/>
  <c r="V128" i="47"/>
  <c r="W128" i="47"/>
  <c r="X128" i="47"/>
  <c r="Y128" i="47"/>
  <c r="Z128" i="47"/>
  <c r="AA128" i="47"/>
  <c r="AB128" i="47"/>
  <c r="AC128" i="47"/>
  <c r="AD128" i="47"/>
  <c r="AE128" i="47"/>
  <c r="AF128" i="47"/>
  <c r="AG128" i="47"/>
  <c r="V129" i="47"/>
  <c r="W129" i="47"/>
  <c r="X129" i="47"/>
  <c r="Y129" i="47"/>
  <c r="Z129" i="47"/>
  <c r="AA129" i="47"/>
  <c r="AB129" i="47"/>
  <c r="AC129" i="47"/>
  <c r="AD129" i="47"/>
  <c r="AE129" i="47"/>
  <c r="AF129" i="47"/>
  <c r="AG129" i="47"/>
  <c r="V130" i="47"/>
  <c r="W130" i="47"/>
  <c r="X130" i="47"/>
  <c r="Y130" i="47"/>
  <c r="Z130" i="47"/>
  <c r="AA130" i="47"/>
  <c r="AB130" i="47"/>
  <c r="AC130" i="47"/>
  <c r="AD130" i="47"/>
  <c r="AE130" i="47"/>
  <c r="AF130" i="47"/>
  <c r="AG130" i="47"/>
  <c r="V131" i="47"/>
  <c r="W131" i="47"/>
  <c r="X131" i="47"/>
  <c r="Y131" i="47"/>
  <c r="Z131" i="47"/>
  <c r="AA131" i="47"/>
  <c r="AB131" i="47"/>
  <c r="AC131" i="47"/>
  <c r="AD131" i="47"/>
  <c r="AE131" i="47"/>
  <c r="AF131" i="47"/>
  <c r="AG131" i="47"/>
  <c r="V132" i="47"/>
  <c r="W132" i="47"/>
  <c r="X132" i="47"/>
  <c r="Y132" i="47"/>
  <c r="Z132" i="47"/>
  <c r="AA132" i="47"/>
  <c r="AB132" i="47"/>
  <c r="AC132" i="47"/>
  <c r="AD132" i="47"/>
  <c r="AE132" i="47"/>
  <c r="AF132" i="47"/>
  <c r="AG132" i="47"/>
  <c r="V133" i="47"/>
  <c r="W133" i="47"/>
  <c r="X133" i="47"/>
  <c r="Y133" i="47"/>
  <c r="Z133" i="47"/>
  <c r="AA133" i="47"/>
  <c r="AB133" i="47"/>
  <c r="AC133" i="47"/>
  <c r="AD133" i="47"/>
  <c r="AE133" i="47"/>
  <c r="AF133" i="47"/>
  <c r="AG133" i="47"/>
  <c r="V134" i="47"/>
  <c r="W134" i="47"/>
  <c r="X134" i="47"/>
  <c r="Y134" i="47"/>
  <c r="Z134" i="47"/>
  <c r="AA134" i="47"/>
  <c r="AB134" i="47"/>
  <c r="AC134" i="47"/>
  <c r="AD134" i="47"/>
  <c r="AE134" i="47"/>
  <c r="AF134" i="47"/>
  <c r="AG134" i="47"/>
  <c r="W3" i="47"/>
  <c r="X3" i="47"/>
  <c r="Y3" i="47"/>
  <c r="Z3" i="47"/>
  <c r="AA3" i="47"/>
  <c r="AB3" i="47"/>
  <c r="AC3" i="47"/>
  <c r="AD3" i="47"/>
  <c r="AE3" i="47"/>
  <c r="AF3" i="47"/>
  <c r="AG3" i="47"/>
  <c r="W4" i="47"/>
  <c r="X4" i="47"/>
  <c r="Y4" i="47"/>
  <c r="Z4" i="47"/>
  <c r="AA4" i="47"/>
  <c r="AB4" i="47"/>
  <c r="AC4" i="47"/>
  <c r="AD4" i="47"/>
  <c r="AE4" i="47"/>
  <c r="AF4" i="47"/>
  <c r="AG4" i="47"/>
  <c r="W5" i="47"/>
  <c r="X5" i="47"/>
  <c r="Y5" i="47"/>
  <c r="Z5" i="47"/>
  <c r="AA5" i="47"/>
  <c r="AB5" i="47"/>
  <c r="AC5" i="47"/>
  <c r="AD5" i="47"/>
  <c r="AE5" i="47"/>
  <c r="AF5" i="47"/>
  <c r="AG5" i="47"/>
  <c r="W6" i="47"/>
  <c r="X6" i="47"/>
  <c r="Y6" i="47"/>
  <c r="Z6" i="47"/>
  <c r="AA6" i="47"/>
  <c r="AB6" i="47"/>
  <c r="AC6" i="47"/>
  <c r="AD6" i="47"/>
  <c r="AE6" i="47"/>
  <c r="AF6" i="47"/>
  <c r="AG6" i="47"/>
  <c r="V4" i="47"/>
  <c r="V5" i="47"/>
  <c r="V6" i="47"/>
  <c r="V3" i="47"/>
  <c r="V135" i="46"/>
  <c r="W135" i="46"/>
  <c r="X135" i="46"/>
  <c r="Y135" i="46"/>
  <c r="Z135" i="46"/>
  <c r="AA135" i="46"/>
  <c r="AB135" i="46"/>
  <c r="AC135" i="46"/>
  <c r="AD135" i="46"/>
  <c r="AE135" i="46"/>
  <c r="AF135" i="46"/>
  <c r="AG135" i="46"/>
  <c r="AH135" i="46"/>
  <c r="V136" i="46"/>
  <c r="W136" i="46"/>
  <c r="X136" i="46"/>
  <c r="Y136" i="46"/>
  <c r="Z136" i="46"/>
  <c r="AA136" i="46"/>
  <c r="AB136" i="46"/>
  <c r="AC136" i="46"/>
  <c r="AD136" i="46"/>
  <c r="AE136" i="46"/>
  <c r="AF136" i="46"/>
  <c r="AG136" i="46"/>
  <c r="AH136" i="46"/>
  <c r="V137" i="46"/>
  <c r="W137" i="46"/>
  <c r="X137" i="46"/>
  <c r="Y137" i="46"/>
  <c r="Z137" i="46"/>
  <c r="AA137" i="46"/>
  <c r="AB137" i="46"/>
  <c r="AC137" i="46"/>
  <c r="AD137" i="46"/>
  <c r="AE137" i="46"/>
  <c r="AF137" i="46"/>
  <c r="AG137" i="46"/>
  <c r="AH137" i="46"/>
  <c r="V138" i="46"/>
  <c r="W138" i="46"/>
  <c r="X138" i="46"/>
  <c r="Y138" i="46"/>
  <c r="Z138" i="46"/>
  <c r="AA138" i="46"/>
  <c r="AB138" i="46"/>
  <c r="AC138" i="46"/>
  <c r="AD138" i="46"/>
  <c r="AE138" i="46"/>
  <c r="AF138" i="46"/>
  <c r="AG138" i="46"/>
  <c r="AH138" i="46"/>
  <c r="V139" i="46"/>
  <c r="W139" i="46"/>
  <c r="X139" i="46"/>
  <c r="Y139" i="46"/>
  <c r="Z139" i="46"/>
  <c r="AA139" i="46"/>
  <c r="AB139" i="46"/>
  <c r="AC139" i="46"/>
  <c r="AD139" i="46"/>
  <c r="AE139" i="46"/>
  <c r="AF139" i="46"/>
  <c r="AG139" i="46"/>
  <c r="AH139" i="46"/>
  <c r="V140" i="46"/>
  <c r="W140" i="46"/>
  <c r="X140" i="46"/>
  <c r="Y140" i="46"/>
  <c r="Z140" i="46"/>
  <c r="AA140" i="46"/>
  <c r="AB140" i="46"/>
  <c r="AC140" i="46"/>
  <c r="AD140" i="46"/>
  <c r="AE140" i="46"/>
  <c r="AF140" i="46"/>
  <c r="AG140" i="46"/>
  <c r="AH140" i="46"/>
  <c r="V141" i="46"/>
  <c r="W141" i="46"/>
  <c r="X141" i="46"/>
  <c r="Y141" i="46"/>
  <c r="Z141" i="46"/>
  <c r="AA141" i="46"/>
  <c r="AB141" i="46"/>
  <c r="AC141" i="46"/>
  <c r="AD141" i="46"/>
  <c r="AE141" i="46"/>
  <c r="AF141" i="46"/>
  <c r="AG141" i="46"/>
  <c r="AH141" i="46"/>
  <c r="V142" i="46"/>
  <c r="W142" i="46"/>
  <c r="X142" i="46"/>
  <c r="Y142" i="46"/>
  <c r="Z142" i="46"/>
  <c r="AA142" i="46"/>
  <c r="AB142" i="46"/>
  <c r="AC142" i="46"/>
  <c r="AD142" i="46"/>
  <c r="AE142" i="46"/>
  <c r="AF142" i="46"/>
  <c r="AG142" i="46"/>
  <c r="AH142" i="46"/>
  <c r="V143" i="46"/>
  <c r="W143" i="46"/>
  <c r="X143" i="46"/>
  <c r="Y143" i="46"/>
  <c r="Z143" i="46"/>
  <c r="AA143" i="46"/>
  <c r="AB143" i="46"/>
  <c r="AC143" i="46"/>
  <c r="AD143" i="46"/>
  <c r="AE143" i="46"/>
  <c r="AF143" i="46"/>
  <c r="AG143" i="46"/>
  <c r="AH143" i="46"/>
  <c r="V144" i="46"/>
  <c r="W144" i="46"/>
  <c r="X144" i="46"/>
  <c r="Y144" i="46"/>
  <c r="Z144" i="46"/>
  <c r="AA144" i="46"/>
  <c r="AB144" i="46"/>
  <c r="AC144" i="46"/>
  <c r="AD144" i="46"/>
  <c r="AE144" i="46"/>
  <c r="AF144" i="46"/>
  <c r="AG144" i="46"/>
  <c r="AH144" i="46"/>
  <c r="V145" i="46"/>
  <c r="W145" i="46"/>
  <c r="X145" i="46"/>
  <c r="Y145" i="46"/>
  <c r="Z145" i="46"/>
  <c r="AA145" i="46"/>
  <c r="AB145" i="46"/>
  <c r="AC145" i="46"/>
  <c r="AD145" i="46"/>
  <c r="AE145" i="46"/>
  <c r="AF145" i="46"/>
  <c r="AG145" i="46"/>
  <c r="AH145" i="46"/>
  <c r="V146" i="46"/>
  <c r="W146" i="46"/>
  <c r="X146" i="46"/>
  <c r="Y146" i="46"/>
  <c r="Z146" i="46"/>
  <c r="AA146" i="46"/>
  <c r="AB146" i="46"/>
  <c r="AC146" i="46"/>
  <c r="AD146" i="46"/>
  <c r="AE146" i="46"/>
  <c r="AF146" i="46"/>
  <c r="AG146" i="46"/>
  <c r="AH146" i="46"/>
  <c r="V147" i="46"/>
  <c r="W147" i="46"/>
  <c r="X147" i="46"/>
  <c r="Y147" i="46"/>
  <c r="Z147" i="46"/>
  <c r="AA147" i="46"/>
  <c r="AB147" i="46"/>
  <c r="AC147" i="46"/>
  <c r="AD147" i="46"/>
  <c r="AE147" i="46"/>
  <c r="AF147" i="46"/>
  <c r="AG147" i="46"/>
  <c r="AH147" i="46"/>
  <c r="V148" i="46"/>
  <c r="W148" i="46"/>
  <c r="X148" i="46"/>
  <c r="Y148" i="46"/>
  <c r="Z148" i="46"/>
  <c r="AA148" i="46"/>
  <c r="AB148" i="46"/>
  <c r="AC148" i="46"/>
  <c r="AD148" i="46"/>
  <c r="AE148" i="46"/>
  <c r="AF148" i="46"/>
  <c r="AG148" i="46"/>
  <c r="AH148" i="46"/>
  <c r="V149" i="46"/>
  <c r="W149" i="46"/>
  <c r="X149" i="46"/>
  <c r="Y149" i="46"/>
  <c r="Z149" i="46"/>
  <c r="AA149" i="46"/>
  <c r="AB149" i="46"/>
  <c r="AC149" i="46"/>
  <c r="AD149" i="46"/>
  <c r="AE149" i="46"/>
  <c r="AF149" i="46"/>
  <c r="AG149" i="46"/>
  <c r="AH149" i="46"/>
  <c r="V150" i="46"/>
  <c r="W150" i="46"/>
  <c r="X150" i="46"/>
  <c r="Y150" i="46"/>
  <c r="Z150" i="46"/>
  <c r="AA150" i="46"/>
  <c r="AB150" i="46"/>
  <c r="AC150" i="46"/>
  <c r="AD150" i="46"/>
  <c r="AE150" i="46"/>
  <c r="AF150" i="46"/>
  <c r="AG150" i="46"/>
  <c r="AH150" i="46"/>
  <c r="V151" i="46"/>
  <c r="W151" i="46"/>
  <c r="X151" i="46"/>
  <c r="Y151" i="46"/>
  <c r="Z151" i="46"/>
  <c r="AA151" i="46"/>
  <c r="AB151" i="46"/>
  <c r="AC151" i="46"/>
  <c r="AD151" i="46"/>
  <c r="AE151" i="46"/>
  <c r="AF151" i="46"/>
  <c r="AG151" i="46"/>
  <c r="AH151" i="46"/>
  <c r="V152" i="46"/>
  <c r="W152" i="46"/>
  <c r="X152" i="46"/>
  <c r="Y152" i="46"/>
  <c r="Z152" i="46"/>
  <c r="AA152" i="46"/>
  <c r="AB152" i="46"/>
  <c r="AC152" i="46"/>
  <c r="AD152" i="46"/>
  <c r="AE152" i="46"/>
  <c r="AF152" i="46"/>
  <c r="AG152" i="46"/>
  <c r="AH152" i="46"/>
  <c r="V153" i="46"/>
  <c r="W153" i="46"/>
  <c r="X153" i="46"/>
  <c r="Y153" i="46"/>
  <c r="Z153" i="46"/>
  <c r="AA153" i="46"/>
  <c r="AB153" i="46"/>
  <c r="AC153" i="46"/>
  <c r="AD153" i="46"/>
  <c r="AE153" i="46"/>
  <c r="AF153" i="46"/>
  <c r="AG153" i="46"/>
  <c r="AH153" i="46"/>
  <c r="V154" i="46"/>
  <c r="W154" i="46"/>
  <c r="X154" i="46"/>
  <c r="Y154" i="46"/>
  <c r="Z154" i="46"/>
  <c r="AA154" i="46"/>
  <c r="AB154" i="46"/>
  <c r="AC154" i="46"/>
  <c r="AD154" i="46"/>
  <c r="AE154" i="46"/>
  <c r="AF154" i="46"/>
  <c r="AG154" i="46"/>
  <c r="AH154" i="46"/>
  <c r="V155" i="46"/>
  <c r="W155" i="46"/>
  <c r="X155" i="46"/>
  <c r="Y155" i="46"/>
  <c r="Z155" i="46"/>
  <c r="AA155" i="46"/>
  <c r="AB155" i="46"/>
  <c r="AC155" i="46"/>
  <c r="AD155" i="46"/>
  <c r="AE155" i="46"/>
  <c r="AF155" i="46"/>
  <c r="AG155" i="46"/>
  <c r="AH155" i="46"/>
  <c r="V156" i="46"/>
  <c r="W156" i="46"/>
  <c r="X156" i="46"/>
  <c r="Y156" i="46"/>
  <c r="Z156" i="46"/>
  <c r="AA156" i="46"/>
  <c r="AB156" i="46"/>
  <c r="AC156" i="46"/>
  <c r="AD156" i="46"/>
  <c r="AE156" i="46"/>
  <c r="AF156" i="46"/>
  <c r="AG156" i="46"/>
  <c r="AH156" i="46"/>
  <c r="V157" i="46"/>
  <c r="W157" i="46"/>
  <c r="X157" i="46"/>
  <c r="Y157" i="46"/>
  <c r="Z157" i="46"/>
  <c r="AA157" i="46"/>
  <c r="AB157" i="46"/>
  <c r="AC157" i="46"/>
  <c r="AD157" i="46"/>
  <c r="AE157" i="46"/>
  <c r="AF157" i="46"/>
  <c r="AG157" i="46"/>
  <c r="AH157" i="46"/>
  <c r="V158" i="46"/>
  <c r="W158" i="46"/>
  <c r="X158" i="46"/>
  <c r="Y158" i="46"/>
  <c r="Z158" i="46"/>
  <c r="AA158" i="46"/>
  <c r="AB158" i="46"/>
  <c r="AC158" i="46"/>
  <c r="AD158" i="46"/>
  <c r="AE158" i="46"/>
  <c r="AF158" i="46"/>
  <c r="AG158" i="46"/>
  <c r="AH158" i="46"/>
  <c r="V159" i="46"/>
  <c r="W159" i="46"/>
  <c r="X159" i="46"/>
  <c r="Y159" i="46"/>
  <c r="Z159" i="46"/>
  <c r="AA159" i="46"/>
  <c r="AB159" i="46"/>
  <c r="AC159" i="46"/>
  <c r="AD159" i="46"/>
  <c r="AE159" i="46"/>
  <c r="AF159" i="46"/>
  <c r="AG159" i="46"/>
  <c r="AH159" i="46"/>
  <c r="V160" i="46"/>
  <c r="W160" i="46"/>
  <c r="X160" i="46"/>
  <c r="Y160" i="46"/>
  <c r="Z160" i="46"/>
  <c r="AA160" i="46"/>
  <c r="AB160" i="46"/>
  <c r="AC160" i="46"/>
  <c r="AD160" i="46"/>
  <c r="AE160" i="46"/>
  <c r="AF160" i="46"/>
  <c r="AG160" i="46"/>
  <c r="AH160" i="46"/>
  <c r="V161" i="46"/>
  <c r="W161" i="46"/>
  <c r="X161" i="46"/>
  <c r="Y161" i="46"/>
  <c r="Z161" i="46"/>
  <c r="AA161" i="46"/>
  <c r="AB161" i="46"/>
  <c r="AC161" i="46"/>
  <c r="AD161" i="46"/>
  <c r="AE161" i="46"/>
  <c r="AF161" i="46"/>
  <c r="AG161" i="46"/>
  <c r="AH161" i="46"/>
  <c r="V162" i="46"/>
  <c r="W162" i="46"/>
  <c r="X162" i="46"/>
  <c r="Y162" i="46"/>
  <c r="Z162" i="46"/>
  <c r="AA162" i="46"/>
  <c r="AB162" i="46"/>
  <c r="AC162" i="46"/>
  <c r="AD162" i="46"/>
  <c r="AE162" i="46"/>
  <c r="AF162" i="46"/>
  <c r="AG162" i="46"/>
  <c r="AH162" i="46"/>
  <c r="V163" i="46"/>
  <c r="W163" i="46"/>
  <c r="X163" i="46"/>
  <c r="Y163" i="46"/>
  <c r="Z163" i="46"/>
  <c r="AA163" i="46"/>
  <c r="AB163" i="46"/>
  <c r="AC163" i="46"/>
  <c r="AD163" i="46"/>
  <c r="AE163" i="46"/>
  <c r="AF163" i="46"/>
  <c r="AG163" i="46"/>
  <c r="AH163" i="46"/>
  <c r="V164" i="46"/>
  <c r="W164" i="46"/>
  <c r="X164" i="46"/>
  <c r="Y164" i="46"/>
  <c r="Z164" i="46"/>
  <c r="AA164" i="46"/>
  <c r="AB164" i="46"/>
  <c r="AC164" i="46"/>
  <c r="AD164" i="46"/>
  <c r="AE164" i="46"/>
  <c r="AF164" i="46"/>
  <c r="AG164" i="46"/>
  <c r="AH164" i="46"/>
  <c r="V165" i="46"/>
  <c r="W165" i="46"/>
  <c r="X165" i="46"/>
  <c r="Y165" i="46"/>
  <c r="Z165" i="46"/>
  <c r="AA165" i="46"/>
  <c r="AB165" i="46"/>
  <c r="AC165" i="46"/>
  <c r="AD165" i="46"/>
  <c r="AE165" i="46"/>
  <c r="AF165" i="46"/>
  <c r="AG165" i="46"/>
  <c r="AH165" i="46"/>
  <c r="V166" i="46"/>
  <c r="W166" i="46"/>
  <c r="X166" i="46"/>
  <c r="Y166" i="46"/>
  <c r="Z166" i="46"/>
  <c r="AA166" i="46"/>
  <c r="AB166" i="46"/>
  <c r="AC166" i="46"/>
  <c r="AD166" i="46"/>
  <c r="AE166" i="46"/>
  <c r="AF166" i="46"/>
  <c r="AG166" i="46"/>
  <c r="AH166" i="46"/>
  <c r="V167" i="46"/>
  <c r="W167" i="46"/>
  <c r="X167" i="46"/>
  <c r="Y167" i="46"/>
  <c r="Z167" i="46"/>
  <c r="AA167" i="46"/>
  <c r="AB167" i="46"/>
  <c r="AC167" i="46"/>
  <c r="AD167" i="46"/>
  <c r="AE167" i="46"/>
  <c r="AF167" i="46"/>
  <c r="AG167" i="46"/>
  <c r="AH167" i="46"/>
  <c r="V168" i="46"/>
  <c r="W168" i="46"/>
  <c r="X168" i="46"/>
  <c r="Y168" i="46"/>
  <c r="Z168" i="46"/>
  <c r="AA168" i="46"/>
  <c r="AB168" i="46"/>
  <c r="AC168" i="46"/>
  <c r="AD168" i="46"/>
  <c r="AE168" i="46"/>
  <c r="AF168" i="46"/>
  <c r="AG168" i="46"/>
  <c r="AH168" i="46"/>
  <c r="V169" i="46"/>
  <c r="W169" i="46"/>
  <c r="X169" i="46"/>
  <c r="Y169" i="46"/>
  <c r="Z169" i="46"/>
  <c r="AA169" i="46"/>
  <c r="AB169" i="46"/>
  <c r="AC169" i="46"/>
  <c r="AD169" i="46"/>
  <c r="AE169" i="46"/>
  <c r="AF169" i="46"/>
  <c r="AG169" i="46"/>
  <c r="AH169" i="46"/>
  <c r="V170" i="46"/>
  <c r="W170" i="46"/>
  <c r="X170" i="46"/>
  <c r="Y170" i="46"/>
  <c r="Z170" i="46"/>
  <c r="AA170" i="46"/>
  <c r="AB170" i="46"/>
  <c r="AC170" i="46"/>
  <c r="AD170" i="46"/>
  <c r="AE170" i="46"/>
  <c r="AF170" i="46"/>
  <c r="AG170" i="46"/>
  <c r="AH170" i="46"/>
  <c r="V171" i="46"/>
  <c r="W171" i="46"/>
  <c r="X171" i="46"/>
  <c r="Y171" i="46"/>
  <c r="Z171" i="46"/>
  <c r="AA171" i="46"/>
  <c r="AB171" i="46"/>
  <c r="AC171" i="46"/>
  <c r="AD171" i="46"/>
  <c r="AE171" i="46"/>
  <c r="AF171" i="46"/>
  <c r="AG171" i="46"/>
  <c r="AH171" i="46"/>
  <c r="V172" i="46"/>
  <c r="W172" i="46"/>
  <c r="X172" i="46"/>
  <c r="Y172" i="46"/>
  <c r="Z172" i="46"/>
  <c r="AA172" i="46"/>
  <c r="AB172" i="46"/>
  <c r="AC172" i="46"/>
  <c r="AD172" i="46"/>
  <c r="AE172" i="46"/>
  <c r="AF172" i="46"/>
  <c r="AG172" i="46"/>
  <c r="AH172" i="46"/>
  <c r="V173" i="46"/>
  <c r="W173" i="46"/>
  <c r="X173" i="46"/>
  <c r="Y173" i="46"/>
  <c r="Z173" i="46"/>
  <c r="AA173" i="46"/>
  <c r="AB173" i="46"/>
  <c r="AC173" i="46"/>
  <c r="AD173" i="46"/>
  <c r="AE173" i="46"/>
  <c r="AF173" i="46"/>
  <c r="AG173" i="46"/>
  <c r="AH173" i="46"/>
  <c r="V174" i="46"/>
  <c r="W174" i="46"/>
  <c r="X174" i="46"/>
  <c r="Y174" i="46"/>
  <c r="Z174" i="46"/>
  <c r="AA174" i="46"/>
  <c r="AB174" i="46"/>
  <c r="AC174" i="46"/>
  <c r="AD174" i="46"/>
  <c r="AE174" i="46"/>
  <c r="AF174" i="46"/>
  <c r="AG174" i="46"/>
  <c r="AH174" i="46"/>
  <c r="V175" i="46"/>
  <c r="W175" i="46"/>
  <c r="X175" i="46"/>
  <c r="Y175" i="46"/>
  <c r="Z175" i="46"/>
  <c r="AA175" i="46"/>
  <c r="AB175" i="46"/>
  <c r="AC175" i="46"/>
  <c r="AD175" i="46"/>
  <c r="AE175" i="46"/>
  <c r="AF175" i="46"/>
  <c r="AG175" i="46"/>
  <c r="AH175" i="46"/>
  <c r="V176" i="46"/>
  <c r="W176" i="46"/>
  <c r="X176" i="46"/>
  <c r="Y176" i="46"/>
  <c r="Z176" i="46"/>
  <c r="AA176" i="46"/>
  <c r="AB176" i="46"/>
  <c r="AC176" i="46"/>
  <c r="AD176" i="46"/>
  <c r="AE176" i="46"/>
  <c r="AF176" i="46"/>
  <c r="AG176" i="46"/>
  <c r="AH176" i="46"/>
  <c r="V177" i="46"/>
  <c r="W177" i="46"/>
  <c r="X177" i="46"/>
  <c r="Y177" i="46"/>
  <c r="Z177" i="46"/>
  <c r="AA177" i="46"/>
  <c r="AB177" i="46"/>
  <c r="AC177" i="46"/>
  <c r="AD177" i="46"/>
  <c r="AE177" i="46"/>
  <c r="AF177" i="46"/>
  <c r="AG177" i="46"/>
  <c r="AH177" i="46"/>
  <c r="V178" i="46"/>
  <c r="W178" i="46"/>
  <c r="X178" i="46"/>
  <c r="Y178" i="46"/>
  <c r="Z178" i="46"/>
  <c r="AA178" i="46"/>
  <c r="AB178" i="46"/>
  <c r="AC178" i="46"/>
  <c r="AD178" i="46"/>
  <c r="AE178" i="46"/>
  <c r="AF178" i="46"/>
  <c r="AG178" i="46"/>
  <c r="AH178" i="46"/>
  <c r="V179" i="46"/>
  <c r="W179" i="46"/>
  <c r="X179" i="46"/>
  <c r="Y179" i="46"/>
  <c r="Z179" i="46"/>
  <c r="AA179" i="46"/>
  <c r="AB179" i="46"/>
  <c r="AC179" i="46"/>
  <c r="AD179" i="46"/>
  <c r="AE179" i="46"/>
  <c r="AF179" i="46"/>
  <c r="AG179" i="46"/>
  <c r="AH179" i="46"/>
  <c r="V180" i="46"/>
  <c r="W180" i="46"/>
  <c r="X180" i="46"/>
  <c r="Y180" i="46"/>
  <c r="Z180" i="46"/>
  <c r="AA180" i="46"/>
  <c r="AB180" i="46"/>
  <c r="AC180" i="46"/>
  <c r="AD180" i="46"/>
  <c r="AE180" i="46"/>
  <c r="AF180" i="46"/>
  <c r="AG180" i="46"/>
  <c r="AH180" i="46"/>
  <c r="V181" i="46"/>
  <c r="W181" i="46"/>
  <c r="X181" i="46"/>
  <c r="Y181" i="46"/>
  <c r="Z181" i="46"/>
  <c r="AA181" i="46"/>
  <c r="AB181" i="46"/>
  <c r="AC181" i="46"/>
  <c r="AD181" i="46"/>
  <c r="AE181" i="46"/>
  <c r="AF181" i="46"/>
  <c r="AG181" i="46"/>
  <c r="AH181" i="46"/>
  <c r="V182" i="46"/>
  <c r="W182" i="46"/>
  <c r="X182" i="46"/>
  <c r="Y182" i="46"/>
  <c r="Z182" i="46"/>
  <c r="AA182" i="46"/>
  <c r="AB182" i="46"/>
  <c r="AC182" i="46"/>
  <c r="AD182" i="46"/>
  <c r="AE182" i="46"/>
  <c r="AF182" i="46"/>
  <c r="AG182" i="46"/>
  <c r="AH182" i="46"/>
  <c r="V183" i="46"/>
  <c r="W183" i="46"/>
  <c r="X183" i="46"/>
  <c r="Y183" i="46"/>
  <c r="Z183" i="46"/>
  <c r="AA183" i="46"/>
  <c r="AB183" i="46"/>
  <c r="AC183" i="46"/>
  <c r="AD183" i="46"/>
  <c r="AE183" i="46"/>
  <c r="AF183" i="46"/>
  <c r="AG183" i="46"/>
  <c r="AH183" i="46"/>
  <c r="V184" i="46"/>
  <c r="W184" i="46"/>
  <c r="X184" i="46"/>
  <c r="Y184" i="46"/>
  <c r="Z184" i="46"/>
  <c r="AA184" i="46"/>
  <c r="AB184" i="46"/>
  <c r="AC184" i="46"/>
  <c r="AD184" i="46"/>
  <c r="AE184" i="46"/>
  <c r="AF184" i="46"/>
  <c r="AG184" i="46"/>
  <c r="AH184" i="46"/>
  <c r="V185" i="46"/>
  <c r="W185" i="46"/>
  <c r="X185" i="46"/>
  <c r="Y185" i="46"/>
  <c r="Z185" i="46"/>
  <c r="AA185" i="46"/>
  <c r="AB185" i="46"/>
  <c r="AC185" i="46"/>
  <c r="AD185" i="46"/>
  <c r="AE185" i="46"/>
  <c r="AF185" i="46"/>
  <c r="AG185" i="46"/>
  <c r="AH185" i="46"/>
  <c r="V186" i="46"/>
  <c r="W186" i="46"/>
  <c r="X186" i="46"/>
  <c r="Y186" i="46"/>
  <c r="Z186" i="46"/>
  <c r="AA186" i="46"/>
  <c r="AB186" i="46"/>
  <c r="AC186" i="46"/>
  <c r="AD186" i="46"/>
  <c r="AE186" i="46"/>
  <c r="AF186" i="46"/>
  <c r="AG186" i="46"/>
  <c r="AH186" i="46"/>
  <c r="V187" i="46"/>
  <c r="W187" i="46"/>
  <c r="X187" i="46"/>
  <c r="Y187" i="46"/>
  <c r="Z187" i="46"/>
  <c r="AA187" i="46"/>
  <c r="AB187" i="46"/>
  <c r="AC187" i="46"/>
  <c r="AD187" i="46"/>
  <c r="AE187" i="46"/>
  <c r="AF187" i="46"/>
  <c r="AG187" i="46"/>
  <c r="AH187" i="46"/>
  <c r="V188" i="46"/>
  <c r="W188" i="46"/>
  <c r="X188" i="46"/>
  <c r="Y188" i="46"/>
  <c r="Z188" i="46"/>
  <c r="AA188" i="46"/>
  <c r="AB188" i="46"/>
  <c r="AC188" i="46"/>
  <c r="AD188" i="46"/>
  <c r="AE188" i="46"/>
  <c r="AF188" i="46"/>
  <c r="AG188" i="46"/>
  <c r="AH188" i="46"/>
  <c r="V189" i="46"/>
  <c r="W189" i="46"/>
  <c r="X189" i="46"/>
  <c r="Y189" i="46"/>
  <c r="Z189" i="46"/>
  <c r="AA189" i="46"/>
  <c r="AB189" i="46"/>
  <c r="AC189" i="46"/>
  <c r="AD189" i="46"/>
  <c r="AE189" i="46"/>
  <c r="AF189" i="46"/>
  <c r="AG189" i="46"/>
  <c r="AH189" i="46"/>
  <c r="V190" i="46"/>
  <c r="W190" i="46"/>
  <c r="X190" i="46"/>
  <c r="Y190" i="46"/>
  <c r="Z190" i="46"/>
  <c r="AA190" i="46"/>
  <c r="AB190" i="46"/>
  <c r="AC190" i="46"/>
  <c r="AD190" i="46"/>
  <c r="AE190" i="46"/>
  <c r="AF190" i="46"/>
  <c r="AG190" i="46"/>
  <c r="AH190" i="46"/>
  <c r="V191" i="46"/>
  <c r="W191" i="46"/>
  <c r="X191" i="46"/>
  <c r="Y191" i="46"/>
  <c r="Z191" i="46"/>
  <c r="AA191" i="46"/>
  <c r="AB191" i="46"/>
  <c r="AC191" i="46"/>
  <c r="AD191" i="46"/>
  <c r="AE191" i="46"/>
  <c r="AF191" i="46"/>
  <c r="AG191" i="46"/>
  <c r="AH191" i="46"/>
  <c r="V192" i="46"/>
  <c r="W192" i="46"/>
  <c r="X192" i="46"/>
  <c r="Y192" i="46"/>
  <c r="Z192" i="46"/>
  <c r="AA192" i="46"/>
  <c r="AB192" i="46"/>
  <c r="AC192" i="46"/>
  <c r="AD192" i="46"/>
  <c r="AE192" i="46"/>
  <c r="AF192" i="46"/>
  <c r="AG192" i="46"/>
  <c r="AH192" i="46"/>
  <c r="V193" i="46"/>
  <c r="W193" i="46"/>
  <c r="X193" i="46"/>
  <c r="Y193" i="46"/>
  <c r="Z193" i="46"/>
  <c r="AA193" i="46"/>
  <c r="AB193" i="46"/>
  <c r="AC193" i="46"/>
  <c r="AD193" i="46"/>
  <c r="AE193" i="46"/>
  <c r="AF193" i="46"/>
  <c r="AG193" i="46"/>
  <c r="AH193" i="46"/>
  <c r="V194" i="46"/>
  <c r="W194" i="46"/>
  <c r="X194" i="46"/>
  <c r="Y194" i="46"/>
  <c r="Z194" i="46"/>
  <c r="AA194" i="46"/>
  <c r="AB194" i="46"/>
  <c r="AC194" i="46"/>
  <c r="AD194" i="46"/>
  <c r="AE194" i="46"/>
  <c r="AF194" i="46"/>
  <c r="AG194" i="46"/>
  <c r="AH194" i="46"/>
  <c r="V195" i="46"/>
  <c r="W195" i="46"/>
  <c r="X195" i="46"/>
  <c r="Y195" i="46"/>
  <c r="Z195" i="46"/>
  <c r="AA195" i="46"/>
  <c r="AB195" i="46"/>
  <c r="AC195" i="46"/>
  <c r="AD195" i="46"/>
  <c r="AE195" i="46"/>
  <c r="AF195" i="46"/>
  <c r="AG195" i="46"/>
  <c r="AH195" i="46"/>
  <c r="V196" i="46"/>
  <c r="W196" i="46"/>
  <c r="X196" i="46"/>
  <c r="Y196" i="46"/>
  <c r="Z196" i="46"/>
  <c r="AA196" i="46"/>
  <c r="AB196" i="46"/>
  <c r="AC196" i="46"/>
  <c r="AD196" i="46"/>
  <c r="AE196" i="46"/>
  <c r="AF196" i="46"/>
  <c r="AG196" i="46"/>
  <c r="AH196" i="46"/>
  <c r="V197" i="46"/>
  <c r="W197" i="46"/>
  <c r="X197" i="46"/>
  <c r="Y197" i="46"/>
  <c r="Z197" i="46"/>
  <c r="AA197" i="46"/>
  <c r="AB197" i="46"/>
  <c r="AC197" i="46"/>
  <c r="AD197" i="46"/>
  <c r="AE197" i="46"/>
  <c r="AF197" i="46"/>
  <c r="AG197" i="46"/>
  <c r="AH197" i="46"/>
  <c r="V198" i="46"/>
  <c r="W198" i="46"/>
  <c r="X198" i="46"/>
  <c r="Y198" i="46"/>
  <c r="Z198" i="46"/>
  <c r="AA198" i="46"/>
  <c r="AB198" i="46"/>
  <c r="AC198" i="46"/>
  <c r="AD198" i="46"/>
  <c r="AE198" i="46"/>
  <c r="AF198" i="46"/>
  <c r="AG198" i="46"/>
  <c r="AH198" i="46"/>
  <c r="V199" i="46"/>
  <c r="W199" i="46"/>
  <c r="X199" i="46"/>
  <c r="Y199" i="46"/>
  <c r="Z199" i="46"/>
  <c r="AA199" i="46"/>
  <c r="AB199" i="46"/>
  <c r="AC199" i="46"/>
  <c r="AD199" i="46"/>
  <c r="AE199" i="46"/>
  <c r="AF199" i="46"/>
  <c r="AG199" i="46"/>
  <c r="AH199" i="46"/>
  <c r="V200" i="46"/>
  <c r="W200" i="46"/>
  <c r="X200" i="46"/>
  <c r="Y200" i="46"/>
  <c r="Z200" i="46"/>
  <c r="AA200" i="46"/>
  <c r="AB200" i="46"/>
  <c r="AC200" i="46"/>
  <c r="AD200" i="46"/>
  <c r="AE200" i="46"/>
  <c r="AF200" i="46"/>
  <c r="AG200" i="46"/>
  <c r="AH200" i="46"/>
  <c r="V201" i="46"/>
  <c r="W201" i="46"/>
  <c r="X201" i="46"/>
  <c r="Y201" i="46"/>
  <c r="Z201" i="46"/>
  <c r="AA201" i="46"/>
  <c r="AB201" i="46"/>
  <c r="AC201" i="46"/>
  <c r="AD201" i="46"/>
  <c r="AE201" i="46"/>
  <c r="AF201" i="46"/>
  <c r="AG201" i="46"/>
  <c r="AH201" i="46"/>
  <c r="V202" i="46"/>
  <c r="W202" i="46"/>
  <c r="X202" i="46"/>
  <c r="Y202" i="46"/>
  <c r="Z202" i="46"/>
  <c r="AA202" i="46"/>
  <c r="AB202" i="46"/>
  <c r="AC202" i="46"/>
  <c r="AD202" i="46"/>
  <c r="AE202" i="46"/>
  <c r="AF202" i="46"/>
  <c r="AG202" i="46"/>
  <c r="AH202" i="46"/>
  <c r="V203" i="46"/>
  <c r="W203" i="46"/>
  <c r="X203" i="46"/>
  <c r="Y203" i="46"/>
  <c r="Z203" i="46"/>
  <c r="AA203" i="46"/>
  <c r="AB203" i="46"/>
  <c r="AC203" i="46"/>
  <c r="AD203" i="46"/>
  <c r="AE203" i="46"/>
  <c r="AF203" i="46"/>
  <c r="AG203" i="46"/>
  <c r="AH203" i="46"/>
  <c r="V204" i="46"/>
  <c r="W204" i="46"/>
  <c r="X204" i="46"/>
  <c r="Y204" i="46"/>
  <c r="Z204" i="46"/>
  <c r="AA204" i="46"/>
  <c r="AB204" i="46"/>
  <c r="AC204" i="46"/>
  <c r="AD204" i="46"/>
  <c r="AE204" i="46"/>
  <c r="AF204" i="46"/>
  <c r="AG204" i="46"/>
  <c r="AH204" i="46"/>
  <c r="V205" i="46"/>
  <c r="W205" i="46"/>
  <c r="X205" i="46"/>
  <c r="Y205" i="46"/>
  <c r="Z205" i="46"/>
  <c r="AA205" i="46"/>
  <c r="AB205" i="46"/>
  <c r="AC205" i="46"/>
  <c r="AD205" i="46"/>
  <c r="AE205" i="46"/>
  <c r="AF205" i="46"/>
  <c r="AG205" i="46"/>
  <c r="AH205" i="46"/>
  <c r="V206" i="46"/>
  <c r="W206" i="46"/>
  <c r="X206" i="46"/>
  <c r="Y206" i="46"/>
  <c r="Z206" i="46"/>
  <c r="AA206" i="46"/>
  <c r="AB206" i="46"/>
  <c r="AC206" i="46"/>
  <c r="AD206" i="46"/>
  <c r="AE206" i="46"/>
  <c r="AF206" i="46"/>
  <c r="AG206" i="46"/>
  <c r="AH206" i="46"/>
  <c r="V207" i="46"/>
  <c r="W207" i="46"/>
  <c r="X207" i="46"/>
  <c r="Y207" i="46"/>
  <c r="Z207" i="46"/>
  <c r="AA207" i="46"/>
  <c r="AB207" i="46"/>
  <c r="AC207" i="46"/>
  <c r="AD207" i="46"/>
  <c r="AE207" i="46"/>
  <c r="AF207" i="46"/>
  <c r="AG207" i="46"/>
  <c r="AH207" i="46"/>
  <c r="V208" i="46"/>
  <c r="W208" i="46"/>
  <c r="X208" i="46"/>
  <c r="Y208" i="46"/>
  <c r="Z208" i="46"/>
  <c r="AA208" i="46"/>
  <c r="AB208" i="46"/>
  <c r="AC208" i="46"/>
  <c r="AD208" i="46"/>
  <c r="AE208" i="46"/>
  <c r="AF208" i="46"/>
  <c r="AG208" i="46"/>
  <c r="AH208" i="46"/>
  <c r="V209" i="46"/>
  <c r="W209" i="46"/>
  <c r="X209" i="46"/>
  <c r="Y209" i="46"/>
  <c r="Z209" i="46"/>
  <c r="AA209" i="46"/>
  <c r="AB209" i="46"/>
  <c r="AC209" i="46"/>
  <c r="AD209" i="46"/>
  <c r="AE209" i="46"/>
  <c r="AF209" i="46"/>
  <c r="AG209" i="46"/>
  <c r="AH209" i="46"/>
  <c r="V210" i="46"/>
  <c r="W210" i="46"/>
  <c r="X210" i="46"/>
  <c r="Y210" i="46"/>
  <c r="Z210" i="46"/>
  <c r="AA210" i="46"/>
  <c r="AB210" i="46"/>
  <c r="AC210" i="46"/>
  <c r="AD210" i="46"/>
  <c r="AE210" i="46"/>
  <c r="AF210" i="46"/>
  <c r="AG210" i="46"/>
  <c r="AH210" i="46"/>
  <c r="V211" i="46"/>
  <c r="W211" i="46"/>
  <c r="X211" i="46"/>
  <c r="Y211" i="46"/>
  <c r="Z211" i="46"/>
  <c r="AA211" i="46"/>
  <c r="AB211" i="46"/>
  <c r="AC211" i="46"/>
  <c r="AD211" i="46"/>
  <c r="AE211" i="46"/>
  <c r="AF211" i="46"/>
  <c r="AG211" i="46"/>
  <c r="AH211" i="46"/>
  <c r="V212" i="46"/>
  <c r="W212" i="46"/>
  <c r="X212" i="46"/>
  <c r="Y212" i="46"/>
  <c r="Z212" i="46"/>
  <c r="AA212" i="46"/>
  <c r="AB212" i="46"/>
  <c r="AC212" i="46"/>
  <c r="AD212" i="46"/>
  <c r="AE212" i="46"/>
  <c r="AF212" i="46"/>
  <c r="AG212" i="46"/>
  <c r="AH212" i="46"/>
  <c r="V213" i="46"/>
  <c r="W213" i="46"/>
  <c r="X213" i="46"/>
  <c r="Y213" i="46"/>
  <c r="Z213" i="46"/>
  <c r="AA213" i="46"/>
  <c r="AB213" i="46"/>
  <c r="AC213" i="46"/>
  <c r="AD213" i="46"/>
  <c r="AE213" i="46"/>
  <c r="AF213" i="46"/>
  <c r="AG213" i="46"/>
  <c r="AH213" i="46"/>
  <c r="V214" i="46"/>
  <c r="W214" i="46"/>
  <c r="X214" i="46"/>
  <c r="Y214" i="46"/>
  <c r="Z214" i="46"/>
  <c r="AA214" i="46"/>
  <c r="AB214" i="46"/>
  <c r="AC214" i="46"/>
  <c r="AD214" i="46"/>
  <c r="AE214" i="46"/>
  <c r="AF214" i="46"/>
  <c r="AG214" i="46"/>
  <c r="AH214" i="46"/>
  <c r="V215" i="46"/>
  <c r="W215" i="46"/>
  <c r="X215" i="46"/>
  <c r="Y215" i="46"/>
  <c r="Z215" i="46"/>
  <c r="AA215" i="46"/>
  <c r="AB215" i="46"/>
  <c r="AC215" i="46"/>
  <c r="AD215" i="46"/>
  <c r="AE215" i="46"/>
  <c r="AF215" i="46"/>
  <c r="AG215" i="46"/>
  <c r="AH215" i="46"/>
  <c r="V216" i="46"/>
  <c r="W216" i="46"/>
  <c r="X216" i="46"/>
  <c r="Y216" i="46"/>
  <c r="Z216" i="46"/>
  <c r="AA216" i="46"/>
  <c r="AB216" i="46"/>
  <c r="AC216" i="46"/>
  <c r="AD216" i="46"/>
  <c r="AE216" i="46"/>
  <c r="AF216" i="46"/>
  <c r="AG216" i="46"/>
  <c r="AH216" i="46"/>
  <c r="V217" i="46"/>
  <c r="W217" i="46"/>
  <c r="X217" i="46"/>
  <c r="Y217" i="46"/>
  <c r="Z217" i="46"/>
  <c r="AA217" i="46"/>
  <c r="AB217" i="46"/>
  <c r="AC217" i="46"/>
  <c r="AD217" i="46"/>
  <c r="AE217" i="46"/>
  <c r="AF217" i="46"/>
  <c r="AG217" i="46"/>
  <c r="AH217" i="46"/>
  <c r="V218" i="46"/>
  <c r="W218" i="46"/>
  <c r="X218" i="46"/>
  <c r="Y218" i="46"/>
  <c r="Z218" i="46"/>
  <c r="AA218" i="46"/>
  <c r="AB218" i="46"/>
  <c r="AC218" i="46"/>
  <c r="AD218" i="46"/>
  <c r="AE218" i="46"/>
  <c r="AF218" i="46"/>
  <c r="AG218" i="46"/>
  <c r="AH218" i="46"/>
  <c r="V219" i="46"/>
  <c r="W219" i="46"/>
  <c r="X219" i="46"/>
  <c r="Y219" i="46"/>
  <c r="Z219" i="46"/>
  <c r="AA219" i="46"/>
  <c r="AB219" i="46"/>
  <c r="AC219" i="46"/>
  <c r="AD219" i="46"/>
  <c r="AE219" i="46"/>
  <c r="AF219" i="46"/>
  <c r="AG219" i="46"/>
  <c r="AH219" i="46"/>
  <c r="V220" i="46"/>
  <c r="W220" i="46"/>
  <c r="X220" i="46"/>
  <c r="Y220" i="46"/>
  <c r="Z220" i="46"/>
  <c r="AA220" i="46"/>
  <c r="AB220" i="46"/>
  <c r="AC220" i="46"/>
  <c r="AD220" i="46"/>
  <c r="AE220" i="46"/>
  <c r="AF220" i="46"/>
  <c r="AG220" i="46"/>
  <c r="AH220" i="46"/>
  <c r="V221" i="46"/>
  <c r="W221" i="46"/>
  <c r="X221" i="46"/>
  <c r="Y221" i="46"/>
  <c r="Z221" i="46"/>
  <c r="AA221" i="46"/>
  <c r="AB221" i="46"/>
  <c r="AC221" i="46"/>
  <c r="AD221" i="46"/>
  <c r="AE221" i="46"/>
  <c r="AF221" i="46"/>
  <c r="AG221" i="46"/>
  <c r="AH221" i="46"/>
  <c r="V222" i="46"/>
  <c r="W222" i="46"/>
  <c r="X222" i="46"/>
  <c r="Y222" i="46"/>
  <c r="Z222" i="46"/>
  <c r="AA222" i="46"/>
  <c r="AB222" i="46"/>
  <c r="AC222" i="46"/>
  <c r="AD222" i="46"/>
  <c r="AE222" i="46"/>
  <c r="AF222" i="46"/>
  <c r="AG222" i="46"/>
  <c r="AH222" i="46"/>
  <c r="V223" i="46"/>
  <c r="W223" i="46"/>
  <c r="X223" i="46"/>
  <c r="Y223" i="46"/>
  <c r="Z223" i="46"/>
  <c r="AA223" i="46"/>
  <c r="AB223" i="46"/>
  <c r="AC223" i="46"/>
  <c r="AD223" i="46"/>
  <c r="AE223" i="46"/>
  <c r="AF223" i="46"/>
  <c r="AG223" i="46"/>
  <c r="AH223" i="46"/>
  <c r="V224" i="46"/>
  <c r="W224" i="46"/>
  <c r="X224" i="46"/>
  <c r="Y224" i="46"/>
  <c r="Z224" i="46"/>
  <c r="AA224" i="46"/>
  <c r="AB224" i="46"/>
  <c r="AC224" i="46"/>
  <c r="AD224" i="46"/>
  <c r="AE224" i="46"/>
  <c r="AF224" i="46"/>
  <c r="AG224" i="46"/>
  <c r="AH224" i="46"/>
  <c r="V225" i="46"/>
  <c r="W225" i="46"/>
  <c r="X225" i="46"/>
  <c r="Y225" i="46"/>
  <c r="Z225" i="46"/>
  <c r="AA225" i="46"/>
  <c r="AB225" i="46"/>
  <c r="AC225" i="46"/>
  <c r="AD225" i="46"/>
  <c r="AE225" i="46"/>
  <c r="AF225" i="46"/>
  <c r="AG225" i="46"/>
  <c r="AH225" i="46"/>
  <c r="V226" i="46"/>
  <c r="W226" i="46"/>
  <c r="X226" i="46"/>
  <c r="Y226" i="46"/>
  <c r="Z226" i="46"/>
  <c r="AA226" i="46"/>
  <c r="AB226" i="46"/>
  <c r="AC226" i="46"/>
  <c r="AD226" i="46"/>
  <c r="AE226" i="46"/>
  <c r="AF226" i="46"/>
  <c r="AG226" i="46"/>
  <c r="AH226" i="46"/>
  <c r="V227" i="46"/>
  <c r="W227" i="46"/>
  <c r="X227" i="46"/>
  <c r="Y227" i="46"/>
  <c r="Z227" i="46"/>
  <c r="AA227" i="46"/>
  <c r="AB227" i="46"/>
  <c r="AC227" i="46"/>
  <c r="AD227" i="46"/>
  <c r="AE227" i="46"/>
  <c r="AF227" i="46"/>
  <c r="AG227" i="46"/>
  <c r="AH227" i="46"/>
  <c r="V228" i="46"/>
  <c r="W228" i="46"/>
  <c r="X228" i="46"/>
  <c r="Y228" i="46"/>
  <c r="Z228" i="46"/>
  <c r="AA228" i="46"/>
  <c r="AB228" i="46"/>
  <c r="AC228" i="46"/>
  <c r="AD228" i="46"/>
  <c r="AE228" i="46"/>
  <c r="AF228" i="46"/>
  <c r="AG228" i="46"/>
  <c r="AH228" i="46"/>
  <c r="V229" i="46"/>
  <c r="W229" i="46"/>
  <c r="X229" i="46"/>
  <c r="Y229" i="46"/>
  <c r="Z229" i="46"/>
  <c r="AA229" i="46"/>
  <c r="AB229" i="46"/>
  <c r="AC229" i="46"/>
  <c r="AD229" i="46"/>
  <c r="AE229" i="46"/>
  <c r="AF229" i="46"/>
  <c r="AG229" i="46"/>
  <c r="AH229" i="46"/>
  <c r="V230" i="46"/>
  <c r="W230" i="46"/>
  <c r="X230" i="46"/>
  <c r="Y230" i="46"/>
  <c r="Z230" i="46"/>
  <c r="AA230" i="46"/>
  <c r="AB230" i="46"/>
  <c r="AC230" i="46"/>
  <c r="AD230" i="46"/>
  <c r="AE230" i="46"/>
  <c r="AF230" i="46"/>
  <c r="AG230" i="46"/>
  <c r="AH230" i="46"/>
  <c r="V231" i="46"/>
  <c r="W231" i="46"/>
  <c r="X231" i="46"/>
  <c r="Y231" i="46"/>
  <c r="Z231" i="46"/>
  <c r="AA231" i="46"/>
  <c r="AB231" i="46"/>
  <c r="AC231" i="46"/>
  <c r="AD231" i="46"/>
  <c r="AE231" i="46"/>
  <c r="AF231" i="46"/>
  <c r="AG231" i="46"/>
  <c r="AH231" i="46"/>
  <c r="V232" i="46"/>
  <c r="W232" i="46"/>
  <c r="X232" i="46"/>
  <c r="Y232" i="46"/>
  <c r="Z232" i="46"/>
  <c r="AA232" i="46"/>
  <c r="AB232" i="46"/>
  <c r="AC232" i="46"/>
  <c r="AD232" i="46"/>
  <c r="AE232" i="46"/>
  <c r="AF232" i="46"/>
  <c r="AG232" i="46"/>
  <c r="AH232" i="46"/>
  <c r="V233" i="46"/>
  <c r="W233" i="46"/>
  <c r="X233" i="46"/>
  <c r="Y233" i="46"/>
  <c r="Z233" i="46"/>
  <c r="AA233" i="46"/>
  <c r="AB233" i="46"/>
  <c r="AC233" i="46"/>
  <c r="AD233" i="46"/>
  <c r="AE233" i="46"/>
  <c r="AF233" i="46"/>
  <c r="AG233" i="46"/>
  <c r="AH233" i="46"/>
  <c r="V234" i="46"/>
  <c r="W234" i="46"/>
  <c r="X234" i="46"/>
  <c r="Y234" i="46"/>
  <c r="Z234" i="46"/>
  <c r="AA234" i="46"/>
  <c r="AB234" i="46"/>
  <c r="AC234" i="46"/>
  <c r="AD234" i="46"/>
  <c r="AE234" i="46"/>
  <c r="AF234" i="46"/>
  <c r="AG234" i="46"/>
  <c r="AH234" i="46"/>
  <c r="V235" i="46"/>
  <c r="W235" i="46"/>
  <c r="X235" i="46"/>
  <c r="Y235" i="46"/>
  <c r="Z235" i="46"/>
  <c r="AA235" i="46"/>
  <c r="AB235" i="46"/>
  <c r="AC235" i="46"/>
  <c r="AD235" i="46"/>
  <c r="AE235" i="46"/>
  <c r="AF235" i="46"/>
  <c r="AG235" i="46"/>
  <c r="AH235" i="46"/>
  <c r="V236" i="46"/>
  <c r="W236" i="46"/>
  <c r="X236" i="46"/>
  <c r="Y236" i="46"/>
  <c r="Z236" i="46"/>
  <c r="AA236" i="46"/>
  <c r="AB236" i="46"/>
  <c r="AC236" i="46"/>
  <c r="AD236" i="46"/>
  <c r="AE236" i="46"/>
  <c r="AF236" i="46"/>
  <c r="AG236" i="46"/>
  <c r="AH236" i="46"/>
  <c r="V237" i="46"/>
  <c r="W237" i="46"/>
  <c r="X237" i="46"/>
  <c r="Y237" i="46"/>
  <c r="Z237" i="46"/>
  <c r="AA237" i="46"/>
  <c r="AB237" i="46"/>
  <c r="AC237" i="46"/>
  <c r="AD237" i="46"/>
  <c r="AE237" i="46"/>
  <c r="AF237" i="46"/>
  <c r="AG237" i="46"/>
  <c r="AH237" i="46"/>
  <c r="V238" i="46"/>
  <c r="W238" i="46"/>
  <c r="X238" i="46"/>
  <c r="Y238" i="46"/>
  <c r="Z238" i="46"/>
  <c r="AA238" i="46"/>
  <c r="AB238" i="46"/>
  <c r="AC238" i="46"/>
  <c r="AD238" i="46"/>
  <c r="AE238" i="46"/>
  <c r="AF238" i="46"/>
  <c r="AG238" i="46"/>
  <c r="AH238" i="46"/>
  <c r="V239" i="46"/>
  <c r="W239" i="46"/>
  <c r="X239" i="46"/>
  <c r="Y239" i="46"/>
  <c r="Z239" i="46"/>
  <c r="AA239" i="46"/>
  <c r="AB239" i="46"/>
  <c r="AC239" i="46"/>
  <c r="AD239" i="46"/>
  <c r="AE239" i="46"/>
  <c r="AF239" i="46"/>
  <c r="AG239" i="46"/>
  <c r="AH239" i="46"/>
  <c r="V240" i="46"/>
  <c r="W240" i="46"/>
  <c r="X240" i="46"/>
  <c r="Y240" i="46"/>
  <c r="Z240" i="46"/>
  <c r="AA240" i="46"/>
  <c r="AB240" i="46"/>
  <c r="AC240" i="46"/>
  <c r="AD240" i="46"/>
  <c r="AE240" i="46"/>
  <c r="AF240" i="46"/>
  <c r="AG240" i="46"/>
  <c r="AH240" i="46"/>
  <c r="V241" i="46"/>
  <c r="W241" i="46"/>
  <c r="X241" i="46"/>
  <c r="Y241" i="46"/>
  <c r="Z241" i="46"/>
  <c r="AA241" i="46"/>
  <c r="AB241" i="46"/>
  <c r="AC241" i="46"/>
  <c r="AD241" i="46"/>
  <c r="AE241" i="46"/>
  <c r="AF241" i="46"/>
  <c r="AG241" i="46"/>
  <c r="AH241" i="46"/>
  <c r="V242" i="46"/>
  <c r="W242" i="46"/>
  <c r="X242" i="46"/>
  <c r="Y242" i="46"/>
  <c r="Z242" i="46"/>
  <c r="AA242" i="46"/>
  <c r="AB242" i="46"/>
  <c r="AC242" i="46"/>
  <c r="AD242" i="46"/>
  <c r="AE242" i="46"/>
  <c r="AF242" i="46"/>
  <c r="AG242" i="46"/>
  <c r="AH242" i="46"/>
  <c r="V243" i="46"/>
  <c r="W243" i="46"/>
  <c r="X243" i="46"/>
  <c r="Y243" i="46"/>
  <c r="Z243" i="46"/>
  <c r="AA243" i="46"/>
  <c r="AB243" i="46"/>
  <c r="AC243" i="46"/>
  <c r="AD243" i="46"/>
  <c r="AE243" i="46"/>
  <c r="AF243" i="46"/>
  <c r="AG243" i="46"/>
  <c r="AH243" i="46"/>
  <c r="V244" i="46"/>
  <c r="W244" i="46"/>
  <c r="X244" i="46"/>
  <c r="Y244" i="46"/>
  <c r="Z244" i="46"/>
  <c r="AA244" i="46"/>
  <c r="AB244" i="46"/>
  <c r="AC244" i="46"/>
  <c r="AD244" i="46"/>
  <c r="AE244" i="46"/>
  <c r="AF244" i="46"/>
  <c r="AG244" i="46"/>
  <c r="AH244" i="46"/>
  <c r="V245" i="46"/>
  <c r="W245" i="46"/>
  <c r="X245" i="46"/>
  <c r="Y245" i="46"/>
  <c r="Z245" i="46"/>
  <c r="AA245" i="46"/>
  <c r="AB245" i="46"/>
  <c r="AC245" i="46"/>
  <c r="AD245" i="46"/>
  <c r="AE245" i="46"/>
  <c r="AF245" i="46"/>
  <c r="AG245" i="46"/>
  <c r="AH245" i="46"/>
  <c r="V246" i="46"/>
  <c r="W246" i="46"/>
  <c r="X246" i="46"/>
  <c r="Y246" i="46"/>
  <c r="Z246" i="46"/>
  <c r="AA246" i="46"/>
  <c r="AB246" i="46"/>
  <c r="AC246" i="46"/>
  <c r="AD246" i="46"/>
  <c r="AE246" i="46"/>
  <c r="AF246" i="46"/>
  <c r="AG246" i="46"/>
  <c r="AH246" i="46"/>
  <c r="V247" i="46"/>
  <c r="W247" i="46"/>
  <c r="X247" i="46"/>
  <c r="Y247" i="46"/>
  <c r="Z247" i="46"/>
  <c r="AA247" i="46"/>
  <c r="AB247" i="46"/>
  <c r="AC247" i="46"/>
  <c r="AD247" i="46"/>
  <c r="AE247" i="46"/>
  <c r="AF247" i="46"/>
  <c r="AG247" i="46"/>
  <c r="AH247" i="46"/>
  <c r="V248" i="46"/>
  <c r="W248" i="46"/>
  <c r="X248" i="46"/>
  <c r="Y248" i="46"/>
  <c r="Z248" i="46"/>
  <c r="AA248" i="46"/>
  <c r="AB248" i="46"/>
  <c r="AC248" i="46"/>
  <c r="AD248" i="46"/>
  <c r="AE248" i="46"/>
  <c r="AF248" i="46"/>
  <c r="AG248" i="46"/>
  <c r="AH248" i="46"/>
  <c r="V249" i="46"/>
  <c r="W249" i="46"/>
  <c r="X249" i="46"/>
  <c r="Y249" i="46"/>
  <c r="Z249" i="46"/>
  <c r="AA249" i="46"/>
  <c r="AB249" i="46"/>
  <c r="AC249" i="46"/>
  <c r="AD249" i="46"/>
  <c r="AE249" i="46"/>
  <c r="AF249" i="46"/>
  <c r="AG249" i="46"/>
  <c r="AH249" i="46"/>
  <c r="V250" i="46"/>
  <c r="W250" i="46"/>
  <c r="X250" i="46"/>
  <c r="Y250" i="46"/>
  <c r="Z250" i="46"/>
  <c r="AA250" i="46"/>
  <c r="AB250" i="46"/>
  <c r="AC250" i="46"/>
  <c r="AD250" i="46"/>
  <c r="AE250" i="46"/>
  <c r="AF250" i="46"/>
  <c r="AG250" i="46"/>
  <c r="AH250" i="46"/>
  <c r="V251" i="46"/>
  <c r="W251" i="46"/>
  <c r="X251" i="46"/>
  <c r="Y251" i="46"/>
  <c r="Z251" i="46"/>
  <c r="AA251" i="46"/>
  <c r="AB251" i="46"/>
  <c r="AC251" i="46"/>
  <c r="AD251" i="46"/>
  <c r="AE251" i="46"/>
  <c r="AF251" i="46"/>
  <c r="AG251" i="46"/>
  <c r="AH251" i="46"/>
  <c r="V252" i="46"/>
  <c r="W252" i="46"/>
  <c r="X252" i="46"/>
  <c r="Y252" i="46"/>
  <c r="Z252" i="46"/>
  <c r="AA252" i="46"/>
  <c r="AB252" i="46"/>
  <c r="AC252" i="46"/>
  <c r="AD252" i="46"/>
  <c r="AE252" i="46"/>
  <c r="AF252" i="46"/>
  <c r="AG252" i="46"/>
  <c r="AH252" i="46"/>
  <c r="V253" i="46"/>
  <c r="W253" i="46"/>
  <c r="X253" i="46"/>
  <c r="Y253" i="46"/>
  <c r="Z253" i="46"/>
  <c r="AA253" i="46"/>
  <c r="AB253" i="46"/>
  <c r="AC253" i="46"/>
  <c r="AD253" i="46"/>
  <c r="AE253" i="46"/>
  <c r="AF253" i="46"/>
  <c r="AG253" i="46"/>
  <c r="AH253" i="46"/>
  <c r="V254" i="46"/>
  <c r="W254" i="46"/>
  <c r="X254" i="46"/>
  <c r="Y254" i="46"/>
  <c r="Z254" i="46"/>
  <c r="AA254" i="46"/>
  <c r="AB254" i="46"/>
  <c r="AC254" i="46"/>
  <c r="AD254" i="46"/>
  <c r="AE254" i="46"/>
  <c r="AF254" i="46"/>
  <c r="AG254" i="46"/>
  <c r="AH254" i="46"/>
  <c r="V255" i="46"/>
  <c r="W255" i="46"/>
  <c r="X255" i="46"/>
  <c r="Y255" i="46"/>
  <c r="Z255" i="46"/>
  <c r="AA255" i="46"/>
  <c r="AB255" i="46"/>
  <c r="AC255" i="46"/>
  <c r="AD255" i="46"/>
  <c r="AE255" i="46"/>
  <c r="AF255" i="46"/>
  <c r="AG255" i="46"/>
  <c r="AH255" i="46"/>
  <c r="V256" i="46"/>
  <c r="W256" i="46"/>
  <c r="X256" i="46"/>
  <c r="Y256" i="46"/>
  <c r="Z256" i="46"/>
  <c r="AA256" i="46"/>
  <c r="AB256" i="46"/>
  <c r="AC256" i="46"/>
  <c r="AD256" i="46"/>
  <c r="AE256" i="46"/>
  <c r="AF256" i="46"/>
  <c r="AG256" i="46"/>
  <c r="AH256" i="46"/>
  <c r="V257" i="46"/>
  <c r="W257" i="46"/>
  <c r="X257" i="46"/>
  <c r="Y257" i="46"/>
  <c r="Z257" i="46"/>
  <c r="AA257" i="46"/>
  <c r="AB257" i="46"/>
  <c r="AC257" i="46"/>
  <c r="AD257" i="46"/>
  <c r="AE257" i="46"/>
  <c r="AF257" i="46"/>
  <c r="AG257" i="46"/>
  <c r="AH257" i="46"/>
  <c r="V258" i="46"/>
  <c r="W258" i="46"/>
  <c r="X258" i="46"/>
  <c r="Y258" i="46"/>
  <c r="Z258" i="46"/>
  <c r="AA258" i="46"/>
  <c r="AB258" i="46"/>
  <c r="AC258" i="46"/>
  <c r="AD258" i="46"/>
  <c r="AE258" i="46"/>
  <c r="AF258" i="46"/>
  <c r="AG258" i="46"/>
  <c r="AH258" i="46"/>
  <c r="AH131" i="46"/>
  <c r="AH132" i="46"/>
  <c r="AH133" i="46"/>
  <c r="AH134" i="46"/>
  <c r="V131" i="46"/>
  <c r="W131" i="46"/>
  <c r="X131" i="46"/>
  <c r="Y131" i="46"/>
  <c r="Z131" i="46"/>
  <c r="AA131" i="46"/>
  <c r="AB131" i="46"/>
  <c r="AC131" i="46"/>
  <c r="AD131" i="46"/>
  <c r="AE131" i="46"/>
  <c r="AF131" i="46"/>
  <c r="AG131" i="46"/>
  <c r="V132" i="46"/>
  <c r="W132" i="46"/>
  <c r="X132" i="46"/>
  <c r="Y132" i="46"/>
  <c r="Z132" i="46"/>
  <c r="AA132" i="46"/>
  <c r="AB132" i="46"/>
  <c r="AC132" i="46"/>
  <c r="AD132" i="46"/>
  <c r="AE132" i="46"/>
  <c r="AF132" i="46"/>
  <c r="AG132" i="46"/>
  <c r="V133" i="46"/>
  <c r="W133" i="46"/>
  <c r="X133" i="46"/>
  <c r="Y133" i="46"/>
  <c r="Z133" i="46"/>
  <c r="AA133" i="46"/>
  <c r="AB133" i="46"/>
  <c r="AC133" i="46"/>
  <c r="AD133" i="46"/>
  <c r="AE133" i="46"/>
  <c r="AF133" i="46"/>
  <c r="AG133" i="46"/>
  <c r="V134" i="46"/>
  <c r="W134" i="46"/>
  <c r="X134" i="46"/>
  <c r="Y134" i="46"/>
  <c r="Z134" i="46"/>
  <c r="AA134" i="46"/>
  <c r="AB134" i="46"/>
  <c r="AC134" i="46"/>
  <c r="AD134" i="46"/>
  <c r="AE134" i="46"/>
  <c r="AF134" i="46"/>
  <c r="AG134" i="46"/>
  <c r="V7" i="46"/>
  <c r="W7" i="46"/>
  <c r="X7" i="46"/>
  <c r="Y7" i="46"/>
  <c r="Z7" i="46"/>
  <c r="AA7" i="46"/>
  <c r="AB7" i="46"/>
  <c r="AC7" i="46"/>
  <c r="AD7" i="46"/>
  <c r="AE7" i="46"/>
  <c r="AF7" i="46"/>
  <c r="AG7" i="46"/>
  <c r="V8" i="46"/>
  <c r="W8" i="46"/>
  <c r="X8" i="46"/>
  <c r="Y8" i="46"/>
  <c r="Z8" i="46"/>
  <c r="AA8" i="46"/>
  <c r="AB8" i="46"/>
  <c r="AC8" i="46"/>
  <c r="AD8" i="46"/>
  <c r="AE8" i="46"/>
  <c r="AF8" i="46"/>
  <c r="AG8" i="46"/>
  <c r="V9" i="46"/>
  <c r="W9" i="46"/>
  <c r="X9" i="46"/>
  <c r="Y9" i="46"/>
  <c r="Z9" i="46"/>
  <c r="AA9" i="46"/>
  <c r="AB9" i="46"/>
  <c r="AC9" i="46"/>
  <c r="AD9" i="46"/>
  <c r="AE9" i="46"/>
  <c r="AF9" i="46"/>
  <c r="AG9" i="46"/>
  <c r="V10" i="46"/>
  <c r="W10" i="46"/>
  <c r="X10" i="46"/>
  <c r="Y10" i="46"/>
  <c r="Z10" i="46"/>
  <c r="AA10" i="46"/>
  <c r="AB10" i="46"/>
  <c r="AC10" i="46"/>
  <c r="AD10" i="46"/>
  <c r="AE10" i="46"/>
  <c r="AF10" i="46"/>
  <c r="AG10" i="46"/>
  <c r="V11" i="46"/>
  <c r="W11" i="46"/>
  <c r="X11" i="46"/>
  <c r="Y11" i="46"/>
  <c r="Z11" i="46"/>
  <c r="AA11" i="46"/>
  <c r="AB11" i="46"/>
  <c r="AC11" i="46"/>
  <c r="AD11" i="46"/>
  <c r="AE11" i="46"/>
  <c r="AF11" i="46"/>
  <c r="AG11" i="46"/>
  <c r="V12" i="46"/>
  <c r="W12" i="46"/>
  <c r="X12" i="46"/>
  <c r="Y12" i="46"/>
  <c r="Z12" i="46"/>
  <c r="AA12" i="46"/>
  <c r="AB12" i="46"/>
  <c r="AC12" i="46"/>
  <c r="AD12" i="46"/>
  <c r="AE12" i="46"/>
  <c r="AF12" i="46"/>
  <c r="AG12" i="46"/>
  <c r="V13" i="46"/>
  <c r="W13" i="46"/>
  <c r="X13" i="46"/>
  <c r="Y13" i="46"/>
  <c r="Z13" i="46"/>
  <c r="AA13" i="46"/>
  <c r="AB13" i="46"/>
  <c r="AC13" i="46"/>
  <c r="AD13" i="46"/>
  <c r="AE13" i="46"/>
  <c r="AF13" i="46"/>
  <c r="AG13" i="46"/>
  <c r="V14" i="46"/>
  <c r="W14" i="46"/>
  <c r="X14" i="46"/>
  <c r="Y14" i="46"/>
  <c r="Z14" i="46"/>
  <c r="AA14" i="46"/>
  <c r="AB14" i="46"/>
  <c r="AC14" i="46"/>
  <c r="AD14" i="46"/>
  <c r="AE14" i="46"/>
  <c r="AF14" i="46"/>
  <c r="AG14" i="46"/>
  <c r="V15" i="46"/>
  <c r="W15" i="46"/>
  <c r="X15" i="46"/>
  <c r="Y15" i="46"/>
  <c r="Z15" i="46"/>
  <c r="AA15" i="46"/>
  <c r="AB15" i="46"/>
  <c r="AC15" i="46"/>
  <c r="AD15" i="46"/>
  <c r="AE15" i="46"/>
  <c r="AF15" i="46"/>
  <c r="AG15" i="46"/>
  <c r="V16" i="46"/>
  <c r="W16" i="46"/>
  <c r="X16" i="46"/>
  <c r="Y16" i="46"/>
  <c r="Z16" i="46"/>
  <c r="AA16" i="46"/>
  <c r="AB16" i="46"/>
  <c r="AC16" i="46"/>
  <c r="AD16" i="46"/>
  <c r="AE16" i="46"/>
  <c r="AF16" i="46"/>
  <c r="AG16" i="46"/>
  <c r="V17" i="46"/>
  <c r="W17" i="46"/>
  <c r="X17" i="46"/>
  <c r="Y17" i="46"/>
  <c r="Z17" i="46"/>
  <c r="AA17" i="46"/>
  <c r="AB17" i="46"/>
  <c r="AC17" i="46"/>
  <c r="AD17" i="46"/>
  <c r="AE17" i="46"/>
  <c r="AF17" i="46"/>
  <c r="AG17" i="46"/>
  <c r="V18" i="46"/>
  <c r="W18" i="46"/>
  <c r="X18" i="46"/>
  <c r="Y18" i="46"/>
  <c r="Z18" i="46"/>
  <c r="AA18" i="46"/>
  <c r="AB18" i="46"/>
  <c r="AC18" i="46"/>
  <c r="AD18" i="46"/>
  <c r="AE18" i="46"/>
  <c r="AF18" i="46"/>
  <c r="AG18" i="46"/>
  <c r="V19" i="46"/>
  <c r="W19" i="46"/>
  <c r="X19" i="46"/>
  <c r="Y19" i="46"/>
  <c r="Z19" i="46"/>
  <c r="AA19" i="46"/>
  <c r="AB19" i="46"/>
  <c r="AC19" i="46"/>
  <c r="AD19" i="46"/>
  <c r="AE19" i="46"/>
  <c r="AF19" i="46"/>
  <c r="AG19" i="46"/>
  <c r="V20" i="46"/>
  <c r="W20" i="46"/>
  <c r="X20" i="46"/>
  <c r="Y20" i="46"/>
  <c r="Z20" i="46"/>
  <c r="AA20" i="46"/>
  <c r="AB20" i="46"/>
  <c r="AC20" i="46"/>
  <c r="AD20" i="46"/>
  <c r="AE20" i="46"/>
  <c r="AF20" i="46"/>
  <c r="AG20" i="46"/>
  <c r="V21" i="46"/>
  <c r="W21" i="46"/>
  <c r="X21" i="46"/>
  <c r="Y21" i="46"/>
  <c r="Z21" i="46"/>
  <c r="AA21" i="46"/>
  <c r="AB21" i="46"/>
  <c r="AC21" i="46"/>
  <c r="AD21" i="46"/>
  <c r="AE21" i="46"/>
  <c r="AF21" i="46"/>
  <c r="AG21" i="46"/>
  <c r="V22" i="46"/>
  <c r="W22" i="46"/>
  <c r="X22" i="46"/>
  <c r="Y22" i="46"/>
  <c r="Z22" i="46"/>
  <c r="AA22" i="46"/>
  <c r="AB22" i="46"/>
  <c r="AC22" i="46"/>
  <c r="AD22" i="46"/>
  <c r="AE22" i="46"/>
  <c r="AF22" i="46"/>
  <c r="AG22" i="46"/>
  <c r="V23" i="46"/>
  <c r="W23" i="46"/>
  <c r="X23" i="46"/>
  <c r="Y23" i="46"/>
  <c r="Z23" i="46"/>
  <c r="AA23" i="46"/>
  <c r="AB23" i="46"/>
  <c r="AC23" i="46"/>
  <c r="AD23" i="46"/>
  <c r="AE23" i="46"/>
  <c r="AF23" i="46"/>
  <c r="AG23" i="46"/>
  <c r="V24" i="46"/>
  <c r="W24" i="46"/>
  <c r="X24" i="46"/>
  <c r="Y24" i="46"/>
  <c r="Z24" i="46"/>
  <c r="AA24" i="46"/>
  <c r="AB24" i="46"/>
  <c r="AC24" i="46"/>
  <c r="AD24" i="46"/>
  <c r="AE24" i="46"/>
  <c r="AF24" i="46"/>
  <c r="AG24" i="46"/>
  <c r="V25" i="46"/>
  <c r="W25" i="46"/>
  <c r="X25" i="46"/>
  <c r="Y25" i="46"/>
  <c r="Z25" i="46"/>
  <c r="AA25" i="46"/>
  <c r="AB25" i="46"/>
  <c r="AC25" i="46"/>
  <c r="AD25" i="46"/>
  <c r="AE25" i="46"/>
  <c r="AF25" i="46"/>
  <c r="AG25" i="46"/>
  <c r="V26" i="46"/>
  <c r="W26" i="46"/>
  <c r="X26" i="46"/>
  <c r="Y26" i="46"/>
  <c r="Z26" i="46"/>
  <c r="AA26" i="46"/>
  <c r="AB26" i="46"/>
  <c r="AC26" i="46"/>
  <c r="AD26" i="46"/>
  <c r="AE26" i="46"/>
  <c r="AF26" i="46"/>
  <c r="AG26" i="46"/>
  <c r="V27" i="46"/>
  <c r="W27" i="46"/>
  <c r="X27" i="46"/>
  <c r="Y27" i="46"/>
  <c r="Z27" i="46"/>
  <c r="AA27" i="46"/>
  <c r="AB27" i="46"/>
  <c r="AC27" i="46"/>
  <c r="AD27" i="46"/>
  <c r="AE27" i="46"/>
  <c r="AF27" i="46"/>
  <c r="AG27" i="46"/>
  <c r="V28" i="46"/>
  <c r="W28" i="46"/>
  <c r="X28" i="46"/>
  <c r="Y28" i="46"/>
  <c r="Z28" i="46"/>
  <c r="AA28" i="46"/>
  <c r="AB28" i="46"/>
  <c r="AC28" i="46"/>
  <c r="AD28" i="46"/>
  <c r="AE28" i="46"/>
  <c r="AF28" i="46"/>
  <c r="AG28" i="46"/>
  <c r="V29" i="46"/>
  <c r="W29" i="46"/>
  <c r="X29" i="46"/>
  <c r="Y29" i="46"/>
  <c r="Z29" i="46"/>
  <c r="AA29" i="46"/>
  <c r="AB29" i="46"/>
  <c r="AC29" i="46"/>
  <c r="AD29" i="46"/>
  <c r="AE29" i="46"/>
  <c r="AF29" i="46"/>
  <c r="AG29" i="46"/>
  <c r="V30" i="46"/>
  <c r="W30" i="46"/>
  <c r="X30" i="46"/>
  <c r="Y30" i="46"/>
  <c r="Z30" i="46"/>
  <c r="AA30" i="46"/>
  <c r="AB30" i="46"/>
  <c r="AC30" i="46"/>
  <c r="AD30" i="46"/>
  <c r="AE30" i="46"/>
  <c r="AF30" i="46"/>
  <c r="AG30" i="46"/>
  <c r="V31" i="46"/>
  <c r="W31" i="46"/>
  <c r="X31" i="46"/>
  <c r="Y31" i="46"/>
  <c r="Z31" i="46"/>
  <c r="AA31" i="46"/>
  <c r="AB31" i="46"/>
  <c r="AC31" i="46"/>
  <c r="AD31" i="46"/>
  <c r="AE31" i="46"/>
  <c r="AF31" i="46"/>
  <c r="AG31" i="46"/>
  <c r="V32" i="46"/>
  <c r="W32" i="46"/>
  <c r="X32" i="46"/>
  <c r="Y32" i="46"/>
  <c r="Z32" i="46"/>
  <c r="AA32" i="46"/>
  <c r="AB32" i="46"/>
  <c r="AC32" i="46"/>
  <c r="AD32" i="46"/>
  <c r="AE32" i="46"/>
  <c r="AF32" i="46"/>
  <c r="AG32" i="46"/>
  <c r="V33" i="46"/>
  <c r="W33" i="46"/>
  <c r="X33" i="46"/>
  <c r="Y33" i="46"/>
  <c r="Z33" i="46"/>
  <c r="AA33" i="46"/>
  <c r="AB33" i="46"/>
  <c r="AC33" i="46"/>
  <c r="AD33" i="46"/>
  <c r="AE33" i="46"/>
  <c r="AF33" i="46"/>
  <c r="AG33" i="46"/>
  <c r="V34" i="46"/>
  <c r="W34" i="46"/>
  <c r="X34" i="46"/>
  <c r="Y34" i="46"/>
  <c r="Z34" i="46"/>
  <c r="AA34" i="46"/>
  <c r="AB34" i="46"/>
  <c r="AC34" i="46"/>
  <c r="AD34" i="46"/>
  <c r="AE34" i="46"/>
  <c r="AF34" i="46"/>
  <c r="AG34" i="46"/>
  <c r="V35" i="46"/>
  <c r="W35" i="46"/>
  <c r="X35" i="46"/>
  <c r="Y35" i="46"/>
  <c r="Z35" i="46"/>
  <c r="AA35" i="46"/>
  <c r="AB35" i="46"/>
  <c r="AC35" i="46"/>
  <c r="AD35" i="46"/>
  <c r="AE35" i="46"/>
  <c r="AF35" i="46"/>
  <c r="AG35" i="46"/>
  <c r="V36" i="46"/>
  <c r="W36" i="46"/>
  <c r="X36" i="46"/>
  <c r="Y36" i="46"/>
  <c r="Z36" i="46"/>
  <c r="AA36" i="46"/>
  <c r="AB36" i="46"/>
  <c r="AC36" i="46"/>
  <c r="AD36" i="46"/>
  <c r="AE36" i="46"/>
  <c r="AF36" i="46"/>
  <c r="AG36" i="46"/>
  <c r="V37" i="46"/>
  <c r="W37" i="46"/>
  <c r="X37" i="46"/>
  <c r="Y37" i="46"/>
  <c r="Z37" i="46"/>
  <c r="AA37" i="46"/>
  <c r="AB37" i="46"/>
  <c r="AC37" i="46"/>
  <c r="AD37" i="46"/>
  <c r="AE37" i="46"/>
  <c r="AF37" i="46"/>
  <c r="AG37" i="46"/>
  <c r="V38" i="46"/>
  <c r="W38" i="46"/>
  <c r="X38" i="46"/>
  <c r="Y38" i="46"/>
  <c r="Z38" i="46"/>
  <c r="AA38" i="46"/>
  <c r="AB38" i="46"/>
  <c r="AC38" i="46"/>
  <c r="AD38" i="46"/>
  <c r="AE38" i="46"/>
  <c r="AF38" i="46"/>
  <c r="AG38" i="46"/>
  <c r="V39" i="46"/>
  <c r="W39" i="46"/>
  <c r="X39" i="46"/>
  <c r="Y39" i="46"/>
  <c r="Z39" i="46"/>
  <c r="AA39" i="46"/>
  <c r="AB39" i="46"/>
  <c r="AC39" i="46"/>
  <c r="AD39" i="46"/>
  <c r="AE39" i="46"/>
  <c r="AF39" i="46"/>
  <c r="AG39" i="46"/>
  <c r="V40" i="46"/>
  <c r="W40" i="46"/>
  <c r="X40" i="46"/>
  <c r="Y40" i="46"/>
  <c r="Z40" i="46"/>
  <c r="AA40" i="46"/>
  <c r="AB40" i="46"/>
  <c r="AC40" i="46"/>
  <c r="AD40" i="46"/>
  <c r="AE40" i="46"/>
  <c r="AF40" i="46"/>
  <c r="AG40" i="46"/>
  <c r="V41" i="46"/>
  <c r="W41" i="46"/>
  <c r="X41" i="46"/>
  <c r="Y41" i="46"/>
  <c r="Z41" i="46"/>
  <c r="AA41" i="46"/>
  <c r="AB41" i="46"/>
  <c r="AC41" i="46"/>
  <c r="AD41" i="46"/>
  <c r="AE41" i="46"/>
  <c r="AF41" i="46"/>
  <c r="AG41" i="46"/>
  <c r="V42" i="46"/>
  <c r="W42" i="46"/>
  <c r="X42" i="46"/>
  <c r="Y42" i="46"/>
  <c r="Z42" i="46"/>
  <c r="AA42" i="46"/>
  <c r="AB42" i="46"/>
  <c r="AC42" i="46"/>
  <c r="AD42" i="46"/>
  <c r="AE42" i="46"/>
  <c r="AF42" i="46"/>
  <c r="AG42" i="46"/>
  <c r="V43" i="46"/>
  <c r="W43" i="46"/>
  <c r="X43" i="46"/>
  <c r="Y43" i="46"/>
  <c r="Z43" i="46"/>
  <c r="AA43" i="46"/>
  <c r="AB43" i="46"/>
  <c r="AC43" i="46"/>
  <c r="AD43" i="46"/>
  <c r="AE43" i="46"/>
  <c r="AF43" i="46"/>
  <c r="AG43" i="46"/>
  <c r="V44" i="46"/>
  <c r="W44" i="46"/>
  <c r="X44" i="46"/>
  <c r="Y44" i="46"/>
  <c r="Z44" i="46"/>
  <c r="AA44" i="46"/>
  <c r="AB44" i="46"/>
  <c r="AC44" i="46"/>
  <c r="AD44" i="46"/>
  <c r="AE44" i="46"/>
  <c r="AF44" i="46"/>
  <c r="AG44" i="46"/>
  <c r="V45" i="46"/>
  <c r="W45" i="46"/>
  <c r="X45" i="46"/>
  <c r="Y45" i="46"/>
  <c r="Z45" i="46"/>
  <c r="AA45" i="46"/>
  <c r="AB45" i="46"/>
  <c r="AC45" i="46"/>
  <c r="AD45" i="46"/>
  <c r="AE45" i="46"/>
  <c r="AF45" i="46"/>
  <c r="AG45" i="46"/>
  <c r="V46" i="46"/>
  <c r="W46" i="46"/>
  <c r="X46" i="46"/>
  <c r="Y46" i="46"/>
  <c r="Z46" i="46"/>
  <c r="AA46" i="46"/>
  <c r="AB46" i="46"/>
  <c r="AC46" i="46"/>
  <c r="AD46" i="46"/>
  <c r="AE46" i="46"/>
  <c r="AF46" i="46"/>
  <c r="AG46" i="46"/>
  <c r="V47" i="46"/>
  <c r="W47" i="46"/>
  <c r="X47" i="46"/>
  <c r="Y47" i="46"/>
  <c r="Z47" i="46"/>
  <c r="AA47" i="46"/>
  <c r="AB47" i="46"/>
  <c r="AC47" i="46"/>
  <c r="AD47" i="46"/>
  <c r="AE47" i="46"/>
  <c r="AF47" i="46"/>
  <c r="AG47" i="46"/>
  <c r="V48" i="46"/>
  <c r="W48" i="46"/>
  <c r="X48" i="46"/>
  <c r="Y48" i="46"/>
  <c r="Z48" i="46"/>
  <c r="AA48" i="46"/>
  <c r="AB48" i="46"/>
  <c r="AC48" i="46"/>
  <c r="AD48" i="46"/>
  <c r="AE48" i="46"/>
  <c r="AF48" i="46"/>
  <c r="AG48" i="46"/>
  <c r="V49" i="46"/>
  <c r="W49" i="46"/>
  <c r="X49" i="46"/>
  <c r="Y49" i="46"/>
  <c r="Z49" i="46"/>
  <c r="AA49" i="46"/>
  <c r="AB49" i="46"/>
  <c r="AC49" i="46"/>
  <c r="AD49" i="46"/>
  <c r="AE49" i="46"/>
  <c r="AF49" i="46"/>
  <c r="AG49" i="46"/>
  <c r="V50" i="46"/>
  <c r="W50" i="46"/>
  <c r="X50" i="46"/>
  <c r="Y50" i="46"/>
  <c r="Z50" i="46"/>
  <c r="AA50" i="46"/>
  <c r="AB50" i="46"/>
  <c r="AC50" i="46"/>
  <c r="AD50" i="46"/>
  <c r="AE50" i="46"/>
  <c r="AF50" i="46"/>
  <c r="AG50" i="46"/>
  <c r="V51" i="46"/>
  <c r="W51" i="46"/>
  <c r="X51" i="46"/>
  <c r="Y51" i="46"/>
  <c r="Z51" i="46"/>
  <c r="AA51" i="46"/>
  <c r="AB51" i="46"/>
  <c r="AC51" i="46"/>
  <c r="AD51" i="46"/>
  <c r="AE51" i="46"/>
  <c r="AF51" i="46"/>
  <c r="AG51" i="46"/>
  <c r="V52" i="46"/>
  <c r="W52" i="46"/>
  <c r="X52" i="46"/>
  <c r="Y52" i="46"/>
  <c r="Z52" i="46"/>
  <c r="AA52" i="46"/>
  <c r="AB52" i="46"/>
  <c r="AC52" i="46"/>
  <c r="AD52" i="46"/>
  <c r="AE52" i="46"/>
  <c r="AF52" i="46"/>
  <c r="AG52" i="46"/>
  <c r="V53" i="46"/>
  <c r="W53" i="46"/>
  <c r="X53" i="46"/>
  <c r="Y53" i="46"/>
  <c r="Z53" i="46"/>
  <c r="AA53" i="46"/>
  <c r="AB53" i="46"/>
  <c r="AC53" i="46"/>
  <c r="AD53" i="46"/>
  <c r="AE53" i="46"/>
  <c r="AF53" i="46"/>
  <c r="AG53" i="46"/>
  <c r="V54" i="46"/>
  <c r="W54" i="46"/>
  <c r="X54" i="46"/>
  <c r="Y54" i="46"/>
  <c r="Z54" i="46"/>
  <c r="AA54" i="46"/>
  <c r="AB54" i="46"/>
  <c r="AC54" i="46"/>
  <c r="AD54" i="46"/>
  <c r="AE54" i="46"/>
  <c r="AF54" i="46"/>
  <c r="AG54" i="46"/>
  <c r="V55" i="46"/>
  <c r="W55" i="46"/>
  <c r="X55" i="46"/>
  <c r="Y55" i="46"/>
  <c r="Z55" i="46"/>
  <c r="AA55" i="46"/>
  <c r="AB55" i="46"/>
  <c r="AC55" i="46"/>
  <c r="AD55" i="46"/>
  <c r="AE55" i="46"/>
  <c r="AF55" i="46"/>
  <c r="AG55" i="46"/>
  <c r="V56" i="46"/>
  <c r="W56" i="46"/>
  <c r="X56" i="46"/>
  <c r="Y56" i="46"/>
  <c r="Z56" i="46"/>
  <c r="AA56" i="46"/>
  <c r="AB56" i="46"/>
  <c r="AC56" i="46"/>
  <c r="AD56" i="46"/>
  <c r="AE56" i="46"/>
  <c r="AF56" i="46"/>
  <c r="AG56" i="46"/>
  <c r="V57" i="46"/>
  <c r="W57" i="46"/>
  <c r="X57" i="46"/>
  <c r="Y57" i="46"/>
  <c r="Z57" i="46"/>
  <c r="AA57" i="46"/>
  <c r="AB57" i="46"/>
  <c r="AC57" i="46"/>
  <c r="AD57" i="46"/>
  <c r="AE57" i="46"/>
  <c r="AF57" i="46"/>
  <c r="AG57" i="46"/>
  <c r="V58" i="46"/>
  <c r="W58" i="46"/>
  <c r="X58" i="46"/>
  <c r="Y58" i="46"/>
  <c r="Z58" i="46"/>
  <c r="AA58" i="46"/>
  <c r="AB58" i="46"/>
  <c r="AC58" i="46"/>
  <c r="AD58" i="46"/>
  <c r="AE58" i="46"/>
  <c r="AF58" i="46"/>
  <c r="AG58" i="46"/>
  <c r="V59" i="46"/>
  <c r="W59" i="46"/>
  <c r="X59" i="46"/>
  <c r="Y59" i="46"/>
  <c r="Z59" i="46"/>
  <c r="AA59" i="46"/>
  <c r="AB59" i="46"/>
  <c r="AC59" i="46"/>
  <c r="AD59" i="46"/>
  <c r="AE59" i="46"/>
  <c r="AF59" i="46"/>
  <c r="AG59" i="46"/>
  <c r="V60" i="46"/>
  <c r="W60" i="46"/>
  <c r="X60" i="46"/>
  <c r="Y60" i="46"/>
  <c r="Z60" i="46"/>
  <c r="AA60" i="46"/>
  <c r="AB60" i="46"/>
  <c r="AC60" i="46"/>
  <c r="AD60" i="46"/>
  <c r="AE60" i="46"/>
  <c r="AF60" i="46"/>
  <c r="AG60" i="46"/>
  <c r="V61" i="46"/>
  <c r="W61" i="46"/>
  <c r="X61" i="46"/>
  <c r="Y61" i="46"/>
  <c r="Z61" i="46"/>
  <c r="AA61" i="46"/>
  <c r="AB61" i="46"/>
  <c r="AC61" i="46"/>
  <c r="AD61" i="46"/>
  <c r="AE61" i="46"/>
  <c r="AF61" i="46"/>
  <c r="AG61" i="46"/>
  <c r="V62" i="46"/>
  <c r="W62" i="46"/>
  <c r="X62" i="46"/>
  <c r="Y62" i="46"/>
  <c r="Z62" i="46"/>
  <c r="AA62" i="46"/>
  <c r="AB62" i="46"/>
  <c r="AC62" i="46"/>
  <c r="AD62" i="46"/>
  <c r="AE62" i="46"/>
  <c r="AF62" i="46"/>
  <c r="AG62" i="46"/>
  <c r="V63" i="46"/>
  <c r="W63" i="46"/>
  <c r="X63" i="46"/>
  <c r="Y63" i="46"/>
  <c r="Z63" i="46"/>
  <c r="AA63" i="46"/>
  <c r="AB63" i="46"/>
  <c r="AC63" i="46"/>
  <c r="AD63" i="46"/>
  <c r="AE63" i="46"/>
  <c r="AF63" i="46"/>
  <c r="AG63" i="46"/>
  <c r="V64" i="46"/>
  <c r="W64" i="46"/>
  <c r="X64" i="46"/>
  <c r="Y64" i="46"/>
  <c r="Z64" i="46"/>
  <c r="AA64" i="46"/>
  <c r="AB64" i="46"/>
  <c r="AC64" i="46"/>
  <c r="AD64" i="46"/>
  <c r="AE64" i="46"/>
  <c r="AF64" i="46"/>
  <c r="AG64" i="46"/>
  <c r="V65" i="46"/>
  <c r="W65" i="46"/>
  <c r="X65" i="46"/>
  <c r="Y65" i="46"/>
  <c r="Z65" i="46"/>
  <c r="AA65" i="46"/>
  <c r="AB65" i="46"/>
  <c r="AC65" i="46"/>
  <c r="AD65" i="46"/>
  <c r="AE65" i="46"/>
  <c r="AF65" i="46"/>
  <c r="AG65" i="46"/>
  <c r="V66" i="46"/>
  <c r="W66" i="46"/>
  <c r="X66" i="46"/>
  <c r="Y66" i="46"/>
  <c r="Z66" i="46"/>
  <c r="AA66" i="46"/>
  <c r="AB66" i="46"/>
  <c r="AC66" i="46"/>
  <c r="AD66" i="46"/>
  <c r="AE66" i="46"/>
  <c r="AF66" i="46"/>
  <c r="AG66" i="46"/>
  <c r="V67" i="46"/>
  <c r="W67" i="46"/>
  <c r="X67" i="46"/>
  <c r="Y67" i="46"/>
  <c r="Z67" i="46"/>
  <c r="AA67" i="46"/>
  <c r="AB67" i="46"/>
  <c r="AC67" i="46"/>
  <c r="AD67" i="46"/>
  <c r="AE67" i="46"/>
  <c r="AF67" i="46"/>
  <c r="AG67" i="46"/>
  <c r="V68" i="46"/>
  <c r="W68" i="46"/>
  <c r="X68" i="46"/>
  <c r="Y68" i="46"/>
  <c r="Z68" i="46"/>
  <c r="AA68" i="46"/>
  <c r="AB68" i="46"/>
  <c r="AC68" i="46"/>
  <c r="AD68" i="46"/>
  <c r="AE68" i="46"/>
  <c r="AF68" i="46"/>
  <c r="AG68" i="46"/>
  <c r="V69" i="46"/>
  <c r="W69" i="46"/>
  <c r="X69" i="46"/>
  <c r="Y69" i="46"/>
  <c r="Z69" i="46"/>
  <c r="AA69" i="46"/>
  <c r="AB69" i="46"/>
  <c r="AC69" i="46"/>
  <c r="AD69" i="46"/>
  <c r="AE69" i="46"/>
  <c r="AF69" i="46"/>
  <c r="AG69" i="46"/>
  <c r="V70" i="46"/>
  <c r="W70" i="46"/>
  <c r="X70" i="46"/>
  <c r="Y70" i="46"/>
  <c r="Z70" i="46"/>
  <c r="AA70" i="46"/>
  <c r="AB70" i="46"/>
  <c r="AC70" i="46"/>
  <c r="AD70" i="46"/>
  <c r="AE70" i="46"/>
  <c r="AF70" i="46"/>
  <c r="AG70" i="46"/>
  <c r="V71" i="46"/>
  <c r="W71" i="46"/>
  <c r="X71" i="46"/>
  <c r="Y71" i="46"/>
  <c r="Z71" i="46"/>
  <c r="AA71" i="46"/>
  <c r="AB71" i="46"/>
  <c r="AC71" i="46"/>
  <c r="AD71" i="46"/>
  <c r="AE71" i="46"/>
  <c r="AF71" i="46"/>
  <c r="AG71" i="46"/>
  <c r="V72" i="46"/>
  <c r="W72" i="46"/>
  <c r="X72" i="46"/>
  <c r="Y72" i="46"/>
  <c r="Z72" i="46"/>
  <c r="AA72" i="46"/>
  <c r="AB72" i="46"/>
  <c r="AC72" i="46"/>
  <c r="AD72" i="46"/>
  <c r="AE72" i="46"/>
  <c r="AF72" i="46"/>
  <c r="AG72" i="46"/>
  <c r="V73" i="46"/>
  <c r="W73" i="46"/>
  <c r="X73" i="46"/>
  <c r="Y73" i="46"/>
  <c r="Z73" i="46"/>
  <c r="AA73" i="46"/>
  <c r="AB73" i="46"/>
  <c r="AC73" i="46"/>
  <c r="AD73" i="46"/>
  <c r="AE73" i="46"/>
  <c r="AF73" i="46"/>
  <c r="AG73" i="46"/>
  <c r="V74" i="46"/>
  <c r="W74" i="46"/>
  <c r="X74" i="46"/>
  <c r="Y74" i="46"/>
  <c r="Z74" i="46"/>
  <c r="AA74" i="46"/>
  <c r="AB74" i="46"/>
  <c r="AC74" i="46"/>
  <c r="AD74" i="46"/>
  <c r="AE74" i="46"/>
  <c r="AF74" i="46"/>
  <c r="AG74" i="46"/>
  <c r="V75" i="46"/>
  <c r="W75" i="46"/>
  <c r="X75" i="46"/>
  <c r="Y75" i="46"/>
  <c r="Z75" i="46"/>
  <c r="AA75" i="46"/>
  <c r="AB75" i="46"/>
  <c r="AC75" i="46"/>
  <c r="AD75" i="46"/>
  <c r="AE75" i="46"/>
  <c r="AF75" i="46"/>
  <c r="AG75" i="46"/>
  <c r="V76" i="46"/>
  <c r="W76" i="46"/>
  <c r="X76" i="46"/>
  <c r="Y76" i="46"/>
  <c r="Z76" i="46"/>
  <c r="AA76" i="46"/>
  <c r="AB76" i="46"/>
  <c r="AC76" i="46"/>
  <c r="AD76" i="46"/>
  <c r="AE76" i="46"/>
  <c r="AF76" i="46"/>
  <c r="AG76" i="46"/>
  <c r="V77" i="46"/>
  <c r="W77" i="46"/>
  <c r="X77" i="46"/>
  <c r="Y77" i="46"/>
  <c r="Z77" i="46"/>
  <c r="AA77" i="46"/>
  <c r="AB77" i="46"/>
  <c r="AC77" i="46"/>
  <c r="AD77" i="46"/>
  <c r="AE77" i="46"/>
  <c r="AF77" i="46"/>
  <c r="AG77" i="46"/>
  <c r="V78" i="46"/>
  <c r="W78" i="46"/>
  <c r="X78" i="46"/>
  <c r="Y78" i="46"/>
  <c r="Z78" i="46"/>
  <c r="AA78" i="46"/>
  <c r="AB78" i="46"/>
  <c r="AC78" i="46"/>
  <c r="AD78" i="46"/>
  <c r="AE78" i="46"/>
  <c r="AF78" i="46"/>
  <c r="AG78" i="46"/>
  <c r="V79" i="46"/>
  <c r="W79" i="46"/>
  <c r="X79" i="46"/>
  <c r="Y79" i="46"/>
  <c r="Z79" i="46"/>
  <c r="AA79" i="46"/>
  <c r="AB79" i="46"/>
  <c r="AC79" i="46"/>
  <c r="AD79" i="46"/>
  <c r="AE79" i="46"/>
  <c r="AF79" i="46"/>
  <c r="AG79" i="46"/>
  <c r="V80" i="46"/>
  <c r="W80" i="46"/>
  <c r="X80" i="46"/>
  <c r="Y80" i="46"/>
  <c r="Z80" i="46"/>
  <c r="AA80" i="46"/>
  <c r="AB80" i="46"/>
  <c r="AC80" i="46"/>
  <c r="AD80" i="46"/>
  <c r="AE80" i="46"/>
  <c r="AF80" i="46"/>
  <c r="AG80" i="46"/>
  <c r="V81" i="46"/>
  <c r="W81" i="46"/>
  <c r="X81" i="46"/>
  <c r="Y81" i="46"/>
  <c r="Z81" i="46"/>
  <c r="AA81" i="46"/>
  <c r="AB81" i="46"/>
  <c r="AC81" i="46"/>
  <c r="AD81" i="46"/>
  <c r="AE81" i="46"/>
  <c r="AF81" i="46"/>
  <c r="AG81" i="46"/>
  <c r="V82" i="46"/>
  <c r="W82" i="46"/>
  <c r="X82" i="46"/>
  <c r="Y82" i="46"/>
  <c r="Z82" i="46"/>
  <c r="AA82" i="46"/>
  <c r="AB82" i="46"/>
  <c r="AC82" i="46"/>
  <c r="AD82" i="46"/>
  <c r="AE82" i="46"/>
  <c r="AF82" i="46"/>
  <c r="AG82" i="46"/>
  <c r="V83" i="46"/>
  <c r="W83" i="46"/>
  <c r="X83" i="46"/>
  <c r="Y83" i="46"/>
  <c r="Z83" i="46"/>
  <c r="AA83" i="46"/>
  <c r="AB83" i="46"/>
  <c r="AC83" i="46"/>
  <c r="AD83" i="46"/>
  <c r="AE83" i="46"/>
  <c r="AF83" i="46"/>
  <c r="AG83" i="46"/>
  <c r="V84" i="46"/>
  <c r="W84" i="46"/>
  <c r="X84" i="46"/>
  <c r="Y84" i="46"/>
  <c r="Z84" i="46"/>
  <c r="AA84" i="46"/>
  <c r="AB84" i="46"/>
  <c r="AC84" i="46"/>
  <c r="AD84" i="46"/>
  <c r="AE84" i="46"/>
  <c r="AF84" i="46"/>
  <c r="AG84" i="46"/>
  <c r="V85" i="46"/>
  <c r="W85" i="46"/>
  <c r="X85" i="46"/>
  <c r="Y85" i="46"/>
  <c r="Z85" i="46"/>
  <c r="AA85" i="46"/>
  <c r="AB85" i="46"/>
  <c r="AC85" i="46"/>
  <c r="AD85" i="46"/>
  <c r="AE85" i="46"/>
  <c r="AF85" i="46"/>
  <c r="AG85" i="46"/>
  <c r="V86" i="46"/>
  <c r="W86" i="46"/>
  <c r="X86" i="46"/>
  <c r="Y86" i="46"/>
  <c r="Z86" i="46"/>
  <c r="AA86" i="46"/>
  <c r="AB86" i="46"/>
  <c r="AC86" i="46"/>
  <c r="AD86" i="46"/>
  <c r="AE86" i="46"/>
  <c r="AF86" i="46"/>
  <c r="AG86" i="46"/>
  <c r="V87" i="46"/>
  <c r="W87" i="46"/>
  <c r="X87" i="46"/>
  <c r="Y87" i="46"/>
  <c r="Z87" i="46"/>
  <c r="AA87" i="46"/>
  <c r="AB87" i="46"/>
  <c r="AC87" i="46"/>
  <c r="AD87" i="46"/>
  <c r="AE87" i="46"/>
  <c r="AF87" i="46"/>
  <c r="AG87" i="46"/>
  <c r="V88" i="46"/>
  <c r="W88" i="46"/>
  <c r="X88" i="46"/>
  <c r="Y88" i="46"/>
  <c r="Z88" i="46"/>
  <c r="AA88" i="46"/>
  <c r="AB88" i="46"/>
  <c r="AC88" i="46"/>
  <c r="AD88" i="46"/>
  <c r="AE88" i="46"/>
  <c r="AF88" i="46"/>
  <c r="AG88" i="46"/>
  <c r="V89" i="46"/>
  <c r="W89" i="46"/>
  <c r="X89" i="46"/>
  <c r="Y89" i="46"/>
  <c r="Z89" i="46"/>
  <c r="AA89" i="46"/>
  <c r="AB89" i="46"/>
  <c r="AC89" i="46"/>
  <c r="AD89" i="46"/>
  <c r="AE89" i="46"/>
  <c r="AF89" i="46"/>
  <c r="AG89" i="46"/>
  <c r="V90" i="46"/>
  <c r="W90" i="46"/>
  <c r="X90" i="46"/>
  <c r="Y90" i="46"/>
  <c r="Z90" i="46"/>
  <c r="AA90" i="46"/>
  <c r="AB90" i="46"/>
  <c r="AC90" i="46"/>
  <c r="AD90" i="46"/>
  <c r="AE90" i="46"/>
  <c r="AF90" i="46"/>
  <c r="AG90" i="46"/>
  <c r="V91" i="46"/>
  <c r="W91" i="46"/>
  <c r="X91" i="46"/>
  <c r="Y91" i="46"/>
  <c r="Z91" i="46"/>
  <c r="AA91" i="46"/>
  <c r="AB91" i="46"/>
  <c r="AC91" i="46"/>
  <c r="AD91" i="46"/>
  <c r="AE91" i="46"/>
  <c r="AF91" i="46"/>
  <c r="AG91" i="46"/>
  <c r="V92" i="46"/>
  <c r="W92" i="46"/>
  <c r="X92" i="46"/>
  <c r="Y92" i="46"/>
  <c r="Z92" i="46"/>
  <c r="AA92" i="46"/>
  <c r="AB92" i="46"/>
  <c r="AC92" i="46"/>
  <c r="AD92" i="46"/>
  <c r="AE92" i="46"/>
  <c r="AF92" i="46"/>
  <c r="AG92" i="46"/>
  <c r="V93" i="46"/>
  <c r="W93" i="46"/>
  <c r="X93" i="46"/>
  <c r="Y93" i="46"/>
  <c r="Z93" i="46"/>
  <c r="AA93" i="46"/>
  <c r="AB93" i="46"/>
  <c r="AC93" i="46"/>
  <c r="AD93" i="46"/>
  <c r="AE93" i="46"/>
  <c r="AF93" i="46"/>
  <c r="AG93" i="46"/>
  <c r="V94" i="46"/>
  <c r="W94" i="46"/>
  <c r="X94" i="46"/>
  <c r="Y94" i="46"/>
  <c r="Z94" i="46"/>
  <c r="AA94" i="46"/>
  <c r="AB94" i="46"/>
  <c r="AC94" i="46"/>
  <c r="AD94" i="46"/>
  <c r="AE94" i="46"/>
  <c r="AF94" i="46"/>
  <c r="AG94" i="46"/>
  <c r="V95" i="46"/>
  <c r="W95" i="46"/>
  <c r="X95" i="46"/>
  <c r="Y95" i="46"/>
  <c r="Z95" i="46"/>
  <c r="AA95" i="46"/>
  <c r="AB95" i="46"/>
  <c r="AC95" i="46"/>
  <c r="AD95" i="46"/>
  <c r="AE95" i="46"/>
  <c r="AF95" i="46"/>
  <c r="AG95" i="46"/>
  <c r="V96" i="46"/>
  <c r="W96" i="46"/>
  <c r="X96" i="46"/>
  <c r="Y96" i="46"/>
  <c r="Z96" i="46"/>
  <c r="AA96" i="46"/>
  <c r="AB96" i="46"/>
  <c r="AC96" i="46"/>
  <c r="AD96" i="46"/>
  <c r="AE96" i="46"/>
  <c r="AF96" i="46"/>
  <c r="AG96" i="46"/>
  <c r="V97" i="46"/>
  <c r="W97" i="46"/>
  <c r="X97" i="46"/>
  <c r="Y97" i="46"/>
  <c r="Z97" i="46"/>
  <c r="AA97" i="46"/>
  <c r="AB97" i="46"/>
  <c r="AC97" i="46"/>
  <c r="AD97" i="46"/>
  <c r="AE97" i="46"/>
  <c r="AF97" i="46"/>
  <c r="AG97" i="46"/>
  <c r="V98" i="46"/>
  <c r="W98" i="46"/>
  <c r="X98" i="46"/>
  <c r="Y98" i="46"/>
  <c r="Z98" i="46"/>
  <c r="AA98" i="46"/>
  <c r="AB98" i="46"/>
  <c r="AC98" i="46"/>
  <c r="AD98" i="46"/>
  <c r="AE98" i="46"/>
  <c r="AF98" i="46"/>
  <c r="AG98" i="46"/>
  <c r="V99" i="46"/>
  <c r="W99" i="46"/>
  <c r="X99" i="46"/>
  <c r="Y99" i="46"/>
  <c r="Z99" i="46"/>
  <c r="AA99" i="46"/>
  <c r="AB99" i="46"/>
  <c r="AC99" i="46"/>
  <c r="AD99" i="46"/>
  <c r="AE99" i="46"/>
  <c r="AF99" i="46"/>
  <c r="AG99" i="46"/>
  <c r="V100" i="46"/>
  <c r="W100" i="46"/>
  <c r="X100" i="46"/>
  <c r="Y100" i="46"/>
  <c r="Z100" i="46"/>
  <c r="AA100" i="46"/>
  <c r="AB100" i="46"/>
  <c r="AC100" i="46"/>
  <c r="AD100" i="46"/>
  <c r="AE100" i="46"/>
  <c r="AF100" i="46"/>
  <c r="AG100" i="46"/>
  <c r="V101" i="46"/>
  <c r="W101" i="46"/>
  <c r="X101" i="46"/>
  <c r="Y101" i="46"/>
  <c r="Z101" i="46"/>
  <c r="AA101" i="46"/>
  <c r="AB101" i="46"/>
  <c r="AC101" i="46"/>
  <c r="AD101" i="46"/>
  <c r="AE101" i="46"/>
  <c r="AF101" i="46"/>
  <c r="AG101" i="46"/>
  <c r="V102" i="46"/>
  <c r="W102" i="46"/>
  <c r="X102" i="46"/>
  <c r="Y102" i="46"/>
  <c r="Z102" i="46"/>
  <c r="AA102" i="46"/>
  <c r="AB102" i="46"/>
  <c r="AC102" i="46"/>
  <c r="AD102" i="46"/>
  <c r="AE102" i="46"/>
  <c r="AF102" i="46"/>
  <c r="AG102" i="46"/>
  <c r="V103" i="46"/>
  <c r="W103" i="46"/>
  <c r="X103" i="46"/>
  <c r="Y103" i="46"/>
  <c r="Z103" i="46"/>
  <c r="AA103" i="46"/>
  <c r="AB103" i="46"/>
  <c r="AC103" i="46"/>
  <c r="AD103" i="46"/>
  <c r="AE103" i="46"/>
  <c r="AF103" i="46"/>
  <c r="AG103" i="46"/>
  <c r="V104" i="46"/>
  <c r="W104" i="46"/>
  <c r="X104" i="46"/>
  <c r="Y104" i="46"/>
  <c r="Z104" i="46"/>
  <c r="AA104" i="46"/>
  <c r="AB104" i="46"/>
  <c r="AC104" i="46"/>
  <c r="AD104" i="46"/>
  <c r="AE104" i="46"/>
  <c r="AF104" i="46"/>
  <c r="AG104" i="46"/>
  <c r="V105" i="46"/>
  <c r="W105" i="46"/>
  <c r="X105" i="46"/>
  <c r="Y105" i="46"/>
  <c r="Z105" i="46"/>
  <c r="AA105" i="46"/>
  <c r="AB105" i="46"/>
  <c r="AC105" i="46"/>
  <c r="AD105" i="46"/>
  <c r="AE105" i="46"/>
  <c r="AF105" i="46"/>
  <c r="AG105" i="46"/>
  <c r="V106" i="46"/>
  <c r="W106" i="46"/>
  <c r="X106" i="46"/>
  <c r="Y106" i="46"/>
  <c r="Z106" i="46"/>
  <c r="AA106" i="46"/>
  <c r="AB106" i="46"/>
  <c r="AC106" i="46"/>
  <c r="AD106" i="46"/>
  <c r="AE106" i="46"/>
  <c r="AF106" i="46"/>
  <c r="AG106" i="46"/>
  <c r="V107" i="46"/>
  <c r="W107" i="46"/>
  <c r="X107" i="46"/>
  <c r="Y107" i="46"/>
  <c r="Z107" i="46"/>
  <c r="AA107" i="46"/>
  <c r="AB107" i="46"/>
  <c r="AC107" i="46"/>
  <c r="AD107" i="46"/>
  <c r="AE107" i="46"/>
  <c r="AF107" i="46"/>
  <c r="AG107" i="46"/>
  <c r="V108" i="46"/>
  <c r="W108" i="46"/>
  <c r="X108" i="46"/>
  <c r="Y108" i="46"/>
  <c r="Z108" i="46"/>
  <c r="AA108" i="46"/>
  <c r="AB108" i="46"/>
  <c r="AC108" i="46"/>
  <c r="AD108" i="46"/>
  <c r="AE108" i="46"/>
  <c r="AF108" i="46"/>
  <c r="AG108" i="46"/>
  <c r="V109" i="46"/>
  <c r="W109" i="46"/>
  <c r="X109" i="46"/>
  <c r="Y109" i="46"/>
  <c r="Z109" i="46"/>
  <c r="AA109" i="46"/>
  <c r="AB109" i="46"/>
  <c r="AC109" i="46"/>
  <c r="AD109" i="46"/>
  <c r="AE109" i="46"/>
  <c r="AF109" i="46"/>
  <c r="AG109" i="46"/>
  <c r="V110" i="46"/>
  <c r="W110" i="46"/>
  <c r="X110" i="46"/>
  <c r="Y110" i="46"/>
  <c r="Z110" i="46"/>
  <c r="AA110" i="46"/>
  <c r="AB110" i="46"/>
  <c r="AC110" i="46"/>
  <c r="AD110" i="46"/>
  <c r="AE110" i="46"/>
  <c r="AF110" i="46"/>
  <c r="AG110" i="46"/>
  <c r="V111" i="46"/>
  <c r="W111" i="46"/>
  <c r="X111" i="46"/>
  <c r="Y111" i="46"/>
  <c r="Z111" i="46"/>
  <c r="AA111" i="46"/>
  <c r="AB111" i="46"/>
  <c r="AC111" i="46"/>
  <c r="AD111" i="46"/>
  <c r="AE111" i="46"/>
  <c r="AF111" i="46"/>
  <c r="AG111" i="46"/>
  <c r="V112" i="46"/>
  <c r="W112" i="46"/>
  <c r="X112" i="46"/>
  <c r="Y112" i="46"/>
  <c r="Z112" i="46"/>
  <c r="AA112" i="46"/>
  <c r="AB112" i="46"/>
  <c r="AC112" i="46"/>
  <c r="AD112" i="46"/>
  <c r="AE112" i="46"/>
  <c r="AF112" i="46"/>
  <c r="AG112" i="46"/>
  <c r="V113" i="46"/>
  <c r="W113" i="46"/>
  <c r="X113" i="46"/>
  <c r="Y113" i="46"/>
  <c r="Z113" i="46"/>
  <c r="AA113" i="46"/>
  <c r="AB113" i="46"/>
  <c r="AC113" i="46"/>
  <c r="AD113" i="46"/>
  <c r="AE113" i="46"/>
  <c r="AF113" i="46"/>
  <c r="AG113" i="46"/>
  <c r="V114" i="46"/>
  <c r="W114" i="46"/>
  <c r="X114" i="46"/>
  <c r="Y114" i="46"/>
  <c r="Z114" i="46"/>
  <c r="AA114" i="46"/>
  <c r="AB114" i="46"/>
  <c r="AC114" i="46"/>
  <c r="AD114" i="46"/>
  <c r="AE114" i="46"/>
  <c r="AF114" i="46"/>
  <c r="AG114" i="46"/>
  <c r="V115" i="46"/>
  <c r="W115" i="46"/>
  <c r="X115" i="46"/>
  <c r="Y115" i="46"/>
  <c r="Z115" i="46"/>
  <c r="AA115" i="46"/>
  <c r="AB115" i="46"/>
  <c r="AC115" i="46"/>
  <c r="AD115" i="46"/>
  <c r="AE115" i="46"/>
  <c r="AF115" i="46"/>
  <c r="AG115" i="46"/>
  <c r="V116" i="46"/>
  <c r="W116" i="46"/>
  <c r="X116" i="46"/>
  <c r="Y116" i="46"/>
  <c r="Z116" i="46"/>
  <c r="AA116" i="46"/>
  <c r="AB116" i="46"/>
  <c r="AC116" i="46"/>
  <c r="AD116" i="46"/>
  <c r="AE116" i="46"/>
  <c r="AF116" i="46"/>
  <c r="AG116" i="46"/>
  <c r="V117" i="46"/>
  <c r="W117" i="46"/>
  <c r="X117" i="46"/>
  <c r="Y117" i="46"/>
  <c r="Z117" i="46"/>
  <c r="AA117" i="46"/>
  <c r="AB117" i="46"/>
  <c r="AC117" i="46"/>
  <c r="AD117" i="46"/>
  <c r="AE117" i="46"/>
  <c r="AF117" i="46"/>
  <c r="AG117" i="46"/>
  <c r="V118" i="46"/>
  <c r="W118" i="46"/>
  <c r="X118" i="46"/>
  <c r="Y118" i="46"/>
  <c r="Z118" i="46"/>
  <c r="AA118" i="46"/>
  <c r="AB118" i="46"/>
  <c r="AC118" i="46"/>
  <c r="AD118" i="46"/>
  <c r="AE118" i="46"/>
  <c r="AF118" i="46"/>
  <c r="AG118" i="46"/>
  <c r="V119" i="46"/>
  <c r="W119" i="46"/>
  <c r="X119" i="46"/>
  <c r="Y119" i="46"/>
  <c r="Z119" i="46"/>
  <c r="AA119" i="46"/>
  <c r="AB119" i="46"/>
  <c r="AC119" i="46"/>
  <c r="AD119" i="46"/>
  <c r="AE119" i="46"/>
  <c r="AF119" i="46"/>
  <c r="AG119" i="46"/>
  <c r="V120" i="46"/>
  <c r="W120" i="46"/>
  <c r="X120" i="46"/>
  <c r="Y120" i="46"/>
  <c r="Z120" i="46"/>
  <c r="AA120" i="46"/>
  <c r="AB120" i="46"/>
  <c r="AC120" i="46"/>
  <c r="AD120" i="46"/>
  <c r="AE120" i="46"/>
  <c r="AF120" i="46"/>
  <c r="AG120" i="46"/>
  <c r="V121" i="46"/>
  <c r="W121" i="46"/>
  <c r="X121" i="46"/>
  <c r="Y121" i="46"/>
  <c r="Z121" i="46"/>
  <c r="AA121" i="46"/>
  <c r="AB121" i="46"/>
  <c r="AC121" i="46"/>
  <c r="AD121" i="46"/>
  <c r="AE121" i="46"/>
  <c r="AF121" i="46"/>
  <c r="AG121" i="46"/>
  <c r="V122" i="46"/>
  <c r="W122" i="46"/>
  <c r="X122" i="46"/>
  <c r="Y122" i="46"/>
  <c r="Z122" i="46"/>
  <c r="AA122" i="46"/>
  <c r="AB122" i="46"/>
  <c r="AC122" i="46"/>
  <c r="AD122" i="46"/>
  <c r="AE122" i="46"/>
  <c r="AF122" i="46"/>
  <c r="AG122" i="46"/>
  <c r="V123" i="46"/>
  <c r="W123" i="46"/>
  <c r="X123" i="46"/>
  <c r="Y123" i="46"/>
  <c r="Z123" i="46"/>
  <c r="AA123" i="46"/>
  <c r="AB123" i="46"/>
  <c r="AC123" i="46"/>
  <c r="AD123" i="46"/>
  <c r="AE123" i="46"/>
  <c r="AF123" i="46"/>
  <c r="AG123" i="46"/>
  <c r="V124" i="46"/>
  <c r="W124" i="46"/>
  <c r="X124" i="46"/>
  <c r="Y124" i="46"/>
  <c r="Z124" i="46"/>
  <c r="AA124" i="46"/>
  <c r="AB124" i="46"/>
  <c r="AC124" i="46"/>
  <c r="AD124" i="46"/>
  <c r="AE124" i="46"/>
  <c r="AF124" i="46"/>
  <c r="AG124" i="46"/>
  <c r="V125" i="46"/>
  <c r="W125" i="46"/>
  <c r="X125" i="46"/>
  <c r="Y125" i="46"/>
  <c r="Z125" i="46"/>
  <c r="AA125" i="46"/>
  <c r="AB125" i="46"/>
  <c r="AC125" i="46"/>
  <c r="AD125" i="46"/>
  <c r="AE125" i="46"/>
  <c r="AF125" i="46"/>
  <c r="AG125" i="46"/>
  <c r="V126" i="46"/>
  <c r="W126" i="46"/>
  <c r="X126" i="46"/>
  <c r="Y126" i="46"/>
  <c r="Z126" i="46"/>
  <c r="AA126" i="46"/>
  <c r="AB126" i="46"/>
  <c r="AC126" i="46"/>
  <c r="AD126" i="46"/>
  <c r="AE126" i="46"/>
  <c r="AF126" i="46"/>
  <c r="AG126" i="46"/>
  <c r="V127" i="46"/>
  <c r="W127" i="46"/>
  <c r="X127" i="46"/>
  <c r="Y127" i="46"/>
  <c r="Z127" i="46"/>
  <c r="AA127" i="46"/>
  <c r="AB127" i="46"/>
  <c r="AC127" i="46"/>
  <c r="AD127" i="46"/>
  <c r="AE127" i="46"/>
  <c r="AF127" i="46"/>
  <c r="AG127" i="46"/>
  <c r="V128" i="46"/>
  <c r="W128" i="46"/>
  <c r="X128" i="46"/>
  <c r="Y128" i="46"/>
  <c r="Z128" i="46"/>
  <c r="AA128" i="46"/>
  <c r="AB128" i="46"/>
  <c r="AC128" i="46"/>
  <c r="AD128" i="46"/>
  <c r="AE128" i="46"/>
  <c r="AF128" i="46"/>
  <c r="AG128" i="46"/>
  <c r="V129" i="46"/>
  <c r="W129" i="46"/>
  <c r="X129" i="46"/>
  <c r="Y129" i="46"/>
  <c r="Z129" i="46"/>
  <c r="AA129" i="46"/>
  <c r="AB129" i="46"/>
  <c r="AC129" i="46"/>
  <c r="AD129" i="46"/>
  <c r="AE129" i="46"/>
  <c r="AF129" i="46"/>
  <c r="AG129" i="46"/>
  <c r="V130" i="46"/>
  <c r="W130" i="46"/>
  <c r="X130" i="46"/>
  <c r="Y130" i="46"/>
  <c r="Z130" i="46"/>
  <c r="AA130" i="46"/>
  <c r="AB130" i="46"/>
  <c r="AC130" i="46"/>
  <c r="AD130" i="46"/>
  <c r="AE130" i="46"/>
  <c r="AF130" i="46"/>
  <c r="AG130" i="46"/>
  <c r="W3" i="46"/>
  <c r="X3" i="46"/>
  <c r="Y3" i="46"/>
  <c r="Z3" i="46"/>
  <c r="AA3" i="46"/>
  <c r="AB3" i="46"/>
  <c r="AC3" i="46"/>
  <c r="AD3" i="46"/>
  <c r="AE3" i="46"/>
  <c r="AF3" i="46"/>
  <c r="AG3" i="46"/>
  <c r="W4" i="46"/>
  <c r="X4" i="46"/>
  <c r="Y4" i="46"/>
  <c r="Z4" i="46"/>
  <c r="AA4" i="46"/>
  <c r="AB4" i="46"/>
  <c r="AC4" i="46"/>
  <c r="AD4" i="46"/>
  <c r="AE4" i="46"/>
  <c r="AF4" i="46"/>
  <c r="AG4" i="46"/>
  <c r="W5" i="46"/>
  <c r="X5" i="46"/>
  <c r="Y5" i="46"/>
  <c r="Z5" i="46"/>
  <c r="AA5" i="46"/>
  <c r="AB5" i="46"/>
  <c r="AC5" i="46"/>
  <c r="AD5" i="46"/>
  <c r="AE5" i="46"/>
  <c r="AF5" i="46"/>
  <c r="AG5" i="46"/>
  <c r="W6" i="46"/>
  <c r="X6" i="46"/>
  <c r="Y6" i="46"/>
  <c r="Z6" i="46"/>
  <c r="AA6" i="46"/>
  <c r="AB6" i="46"/>
  <c r="AC6" i="46"/>
  <c r="AD6" i="46"/>
  <c r="AE6" i="46"/>
  <c r="AF6" i="46"/>
  <c r="AG6" i="46"/>
  <c r="V4" i="46"/>
  <c r="V5" i="46"/>
  <c r="V6" i="46"/>
  <c r="V3" i="46"/>
  <c r="Z62" i="6"/>
  <c r="Y62" i="6"/>
  <c r="X62" i="6"/>
  <c r="W62" i="6"/>
  <c r="V62" i="6"/>
  <c r="U62" i="6"/>
  <c r="T62" i="6"/>
  <c r="S62" i="6"/>
  <c r="R62" i="6"/>
  <c r="Q62" i="6"/>
  <c r="P62" i="6"/>
  <c r="O62" i="6"/>
  <c r="N62" i="6"/>
  <c r="M62" i="6"/>
  <c r="L62" i="6"/>
  <c r="K62" i="6"/>
  <c r="J62" i="6"/>
  <c r="I62" i="6"/>
  <c r="H62" i="6"/>
  <c r="G62" i="6"/>
  <c r="F62" i="6"/>
  <c r="AN60" i="6"/>
  <c r="AP60" i="6"/>
  <c r="Z60" i="6"/>
  <c r="Y60" i="6"/>
  <c r="X60" i="6"/>
  <c r="W60" i="6"/>
  <c r="V60" i="6"/>
  <c r="U60" i="6"/>
  <c r="T60" i="6"/>
  <c r="S60" i="6"/>
  <c r="R60" i="6"/>
  <c r="Q60" i="6"/>
  <c r="P60" i="6"/>
  <c r="O60" i="6"/>
  <c r="N60" i="6"/>
  <c r="M60" i="6"/>
  <c r="L60" i="6"/>
  <c r="K60" i="6"/>
  <c r="J60" i="6"/>
  <c r="I60" i="6"/>
  <c r="H60" i="6"/>
  <c r="G60" i="6"/>
  <c r="F60" i="6"/>
  <c r="AN59" i="6"/>
  <c r="AP59" i="6"/>
  <c r="Z59" i="6"/>
  <c r="Y59" i="6"/>
  <c r="X59" i="6"/>
  <c r="W59" i="6"/>
  <c r="V59" i="6"/>
  <c r="U59" i="6"/>
  <c r="T59" i="6"/>
  <c r="S59" i="6"/>
  <c r="R59" i="6"/>
  <c r="Q59" i="6"/>
  <c r="P59" i="6"/>
  <c r="O59" i="6"/>
  <c r="N59" i="6"/>
  <c r="M59" i="6"/>
  <c r="L59" i="6"/>
  <c r="K59" i="6"/>
  <c r="J59" i="6"/>
  <c r="I59" i="6"/>
  <c r="H59" i="6"/>
  <c r="G59" i="6"/>
  <c r="F59" i="6"/>
  <c r="AN156" i="6"/>
  <c r="AP156" i="6"/>
  <c r="AN155" i="6"/>
  <c r="Z157" i="6"/>
  <c r="Y157" i="6"/>
  <c r="X157" i="6"/>
  <c r="W157" i="6"/>
  <c r="V157" i="6"/>
  <c r="U157" i="6"/>
  <c r="T157" i="6"/>
  <c r="S157" i="6"/>
  <c r="R157" i="6"/>
  <c r="Q157" i="6"/>
  <c r="P157" i="6"/>
  <c r="O157" i="6"/>
  <c r="N157" i="6"/>
  <c r="M157" i="6"/>
  <c r="L157" i="6"/>
  <c r="K157" i="6"/>
  <c r="J157" i="6"/>
  <c r="I157" i="6"/>
  <c r="H157" i="6"/>
  <c r="G157" i="6"/>
  <c r="F157" i="6"/>
  <c r="Z156" i="6"/>
  <c r="Y156" i="6"/>
  <c r="X156" i="6"/>
  <c r="W156" i="6"/>
  <c r="V156" i="6"/>
  <c r="U156" i="6"/>
  <c r="T156" i="6"/>
  <c r="S156" i="6"/>
  <c r="R156" i="6"/>
  <c r="Q156" i="6"/>
  <c r="P156" i="6"/>
  <c r="O156" i="6"/>
  <c r="N156" i="6"/>
  <c r="M156" i="6"/>
  <c r="L156" i="6"/>
  <c r="K156" i="6"/>
  <c r="J156" i="6"/>
  <c r="I156" i="6"/>
  <c r="H156" i="6"/>
  <c r="G156" i="6"/>
  <c r="F156" i="6"/>
  <c r="AP155" i="6"/>
  <c r="Z155" i="6"/>
  <c r="Y155" i="6"/>
  <c r="X155" i="6"/>
  <c r="W155" i="6"/>
  <c r="V155" i="6"/>
  <c r="U155" i="6"/>
  <c r="T155" i="6"/>
  <c r="S155" i="6"/>
  <c r="R155" i="6"/>
  <c r="Q155" i="6"/>
  <c r="P155" i="6"/>
  <c r="O155" i="6"/>
  <c r="N155" i="6"/>
  <c r="M155" i="6"/>
  <c r="L155" i="6"/>
  <c r="K155" i="6"/>
  <c r="J155" i="6"/>
  <c r="I155" i="6"/>
  <c r="H155" i="6"/>
  <c r="G155" i="6"/>
  <c r="F155" i="6"/>
  <c r="AN163" i="6"/>
  <c r="AP163" i="6"/>
  <c r="AN162" i="6"/>
  <c r="AP162" i="6"/>
  <c r="AN161" i="6"/>
  <c r="AN160" i="6"/>
  <c r="AP160" i="6"/>
  <c r="AN159" i="6"/>
  <c r="AN158" i="6"/>
  <c r="AP158" i="6"/>
  <c r="AP161" i="6"/>
  <c r="Z161" i="6"/>
  <c r="Y161" i="6"/>
  <c r="X161" i="6"/>
  <c r="W161" i="6"/>
  <c r="V161" i="6"/>
  <c r="U161" i="6"/>
  <c r="T161" i="6"/>
  <c r="S161" i="6"/>
  <c r="R161" i="6"/>
  <c r="Q161" i="6"/>
  <c r="P161" i="6"/>
  <c r="O161" i="6"/>
  <c r="N161" i="6"/>
  <c r="M161" i="6"/>
  <c r="L161" i="6"/>
  <c r="K161" i="6"/>
  <c r="J161" i="6"/>
  <c r="I161" i="6"/>
  <c r="H161" i="6"/>
  <c r="G161" i="6"/>
  <c r="F161" i="6"/>
  <c r="Z160" i="6"/>
  <c r="Y160" i="6"/>
  <c r="X160" i="6"/>
  <c r="W160" i="6"/>
  <c r="V160" i="6"/>
  <c r="U160" i="6"/>
  <c r="T160" i="6"/>
  <c r="S160" i="6"/>
  <c r="R160" i="6"/>
  <c r="Q160" i="6"/>
  <c r="P160" i="6"/>
  <c r="O160" i="6"/>
  <c r="N160" i="6"/>
  <c r="M160" i="6"/>
  <c r="L160" i="6"/>
  <c r="K160" i="6"/>
  <c r="J160" i="6"/>
  <c r="I160" i="6"/>
  <c r="H160" i="6"/>
  <c r="G160" i="6"/>
  <c r="F160" i="6"/>
  <c r="Z164" i="6"/>
  <c r="Y164" i="6"/>
  <c r="X164" i="6"/>
  <c r="W164" i="6"/>
  <c r="V164" i="6"/>
  <c r="U164" i="6"/>
  <c r="T164" i="6"/>
  <c r="S164" i="6"/>
  <c r="R164" i="6"/>
  <c r="Q164" i="6"/>
  <c r="P164" i="6"/>
  <c r="O164" i="6"/>
  <c r="N164" i="6"/>
  <c r="M164" i="6"/>
  <c r="L164" i="6"/>
  <c r="K164" i="6"/>
  <c r="J164" i="6"/>
  <c r="I164" i="6"/>
  <c r="H164" i="6"/>
  <c r="G164" i="6"/>
  <c r="F164" i="6"/>
  <c r="Z163" i="6"/>
  <c r="Y163" i="6"/>
  <c r="X163" i="6"/>
  <c r="W163" i="6"/>
  <c r="V163" i="6"/>
  <c r="U163" i="6"/>
  <c r="T163" i="6"/>
  <c r="S163" i="6"/>
  <c r="R163" i="6"/>
  <c r="Q163" i="6"/>
  <c r="P163" i="6"/>
  <c r="O163" i="6"/>
  <c r="N163" i="6"/>
  <c r="M163" i="6"/>
  <c r="L163" i="6"/>
  <c r="K163" i="6"/>
  <c r="J163" i="6"/>
  <c r="I163" i="6"/>
  <c r="H163" i="6"/>
  <c r="G163" i="6"/>
  <c r="F163" i="6"/>
  <c r="Z162" i="6"/>
  <c r="Y162" i="6"/>
  <c r="X162" i="6"/>
  <c r="W162" i="6"/>
  <c r="V162" i="6"/>
  <c r="U162" i="6"/>
  <c r="T162" i="6"/>
  <c r="S162" i="6"/>
  <c r="R162" i="6"/>
  <c r="Q162" i="6"/>
  <c r="P162" i="6"/>
  <c r="O162" i="6"/>
  <c r="N162" i="6"/>
  <c r="M162" i="6"/>
  <c r="L162" i="6"/>
  <c r="K162" i="6"/>
  <c r="J162" i="6"/>
  <c r="I162" i="6"/>
  <c r="H162" i="6"/>
  <c r="G162" i="6"/>
  <c r="F162" i="6"/>
  <c r="AP159" i="6"/>
  <c r="Z159" i="6"/>
  <c r="Y159" i="6"/>
  <c r="X159" i="6"/>
  <c r="W159" i="6"/>
  <c r="V159" i="6"/>
  <c r="U159" i="6"/>
  <c r="T159" i="6"/>
  <c r="S159" i="6"/>
  <c r="R159" i="6"/>
  <c r="Q159" i="6"/>
  <c r="P159" i="6"/>
  <c r="O159" i="6"/>
  <c r="N159" i="6"/>
  <c r="M159" i="6"/>
  <c r="L159" i="6"/>
  <c r="K159" i="6"/>
  <c r="J159" i="6"/>
  <c r="I159" i="6"/>
  <c r="H159" i="6"/>
  <c r="G159" i="6"/>
  <c r="F159" i="6"/>
  <c r="Z158" i="6"/>
  <c r="Y158" i="6"/>
  <c r="X158" i="6"/>
  <c r="W158" i="6"/>
  <c r="V158" i="6"/>
  <c r="U158" i="6"/>
  <c r="T158" i="6"/>
  <c r="S158" i="6"/>
  <c r="R158" i="6"/>
  <c r="Q158" i="6"/>
  <c r="P158" i="6"/>
  <c r="O158" i="6"/>
  <c r="N158" i="6"/>
  <c r="M158" i="6"/>
  <c r="L158" i="6"/>
  <c r="K158" i="6"/>
  <c r="J158" i="6"/>
  <c r="I158" i="6"/>
  <c r="H158" i="6"/>
  <c r="G158" i="6"/>
  <c r="F158" i="6"/>
  <c r="Z143" i="6"/>
  <c r="Y143" i="6"/>
  <c r="X143" i="6"/>
  <c r="W143" i="6"/>
  <c r="V143" i="6"/>
  <c r="U143" i="6"/>
  <c r="T143" i="6"/>
  <c r="S143" i="6"/>
  <c r="R143" i="6"/>
  <c r="Q143" i="6"/>
  <c r="P143" i="6"/>
  <c r="O143" i="6"/>
  <c r="N143" i="6"/>
  <c r="M143" i="6"/>
  <c r="L143" i="6"/>
  <c r="K143" i="6"/>
  <c r="J143" i="6"/>
  <c r="I143" i="6"/>
  <c r="H143" i="6"/>
  <c r="G143" i="6"/>
  <c r="F143" i="6"/>
  <c r="AP142" i="6"/>
  <c r="AO142" i="6"/>
  <c r="Z142" i="6"/>
  <c r="Y142" i="6"/>
  <c r="X142" i="6"/>
  <c r="W142" i="6"/>
  <c r="V142" i="6"/>
  <c r="U142" i="6"/>
  <c r="T142" i="6"/>
  <c r="S142" i="6"/>
  <c r="R142" i="6"/>
  <c r="Q142" i="6"/>
  <c r="P142" i="6"/>
  <c r="O142" i="6"/>
  <c r="N142" i="6"/>
  <c r="M142" i="6"/>
  <c r="L142" i="6"/>
  <c r="K142" i="6"/>
  <c r="J142" i="6"/>
  <c r="I142" i="6"/>
  <c r="H142" i="6"/>
  <c r="G142" i="6"/>
  <c r="F142" i="6"/>
  <c r="AP141" i="6"/>
  <c r="AO141" i="6"/>
  <c r="Z141" i="6"/>
  <c r="Y141" i="6"/>
  <c r="X141" i="6"/>
  <c r="W141" i="6"/>
  <c r="V141" i="6"/>
  <c r="U141" i="6"/>
  <c r="T141" i="6"/>
  <c r="S141" i="6"/>
  <c r="R141" i="6"/>
  <c r="Q141" i="6"/>
  <c r="P141" i="6"/>
  <c r="O141" i="6"/>
  <c r="N141" i="6"/>
  <c r="M141" i="6"/>
  <c r="L141" i="6"/>
  <c r="K141" i="6"/>
  <c r="J141" i="6"/>
  <c r="I141" i="6"/>
  <c r="H141" i="6"/>
  <c r="G141" i="6"/>
  <c r="F141" i="6"/>
  <c r="AP140" i="6"/>
  <c r="AO140" i="6"/>
  <c r="Z140" i="6"/>
  <c r="Y140" i="6"/>
  <c r="X140" i="6"/>
  <c r="W140" i="6"/>
  <c r="V140" i="6"/>
  <c r="U140" i="6"/>
  <c r="T140" i="6"/>
  <c r="S140" i="6"/>
  <c r="R140" i="6"/>
  <c r="Q140" i="6"/>
  <c r="P140" i="6"/>
  <c r="O140" i="6"/>
  <c r="N140" i="6"/>
  <c r="M140" i="6"/>
  <c r="L140" i="6"/>
  <c r="K140" i="6"/>
  <c r="J140" i="6"/>
  <c r="I140" i="6"/>
  <c r="H140" i="6"/>
  <c r="G140" i="6"/>
  <c r="F140" i="6"/>
  <c r="AP208" i="6"/>
  <c r="AO208" i="6"/>
  <c r="Z208" i="6"/>
  <c r="Y208" i="6"/>
  <c r="X208" i="6"/>
  <c r="W208" i="6"/>
  <c r="V208" i="6"/>
  <c r="U208" i="6"/>
  <c r="T208" i="6"/>
  <c r="S208" i="6"/>
  <c r="R208" i="6"/>
  <c r="Q208" i="6"/>
  <c r="P208" i="6"/>
  <c r="O208" i="6"/>
  <c r="N208" i="6"/>
  <c r="M208" i="6"/>
  <c r="L208" i="6"/>
  <c r="K208" i="6"/>
  <c r="J208" i="6"/>
  <c r="I208" i="6"/>
  <c r="H208" i="6"/>
  <c r="G208" i="6"/>
  <c r="F208" i="6"/>
  <c r="AP210" i="6"/>
  <c r="AO210" i="6"/>
  <c r="Z210" i="6"/>
  <c r="Y210" i="6"/>
  <c r="X210" i="6"/>
  <c r="W210" i="6"/>
  <c r="V210" i="6"/>
  <c r="U210" i="6"/>
  <c r="T210" i="6"/>
  <c r="S210" i="6"/>
  <c r="R210" i="6"/>
  <c r="Q210" i="6"/>
  <c r="P210" i="6"/>
  <c r="O210" i="6"/>
  <c r="N210" i="6"/>
  <c r="M210" i="6"/>
  <c r="L210" i="6"/>
  <c r="K210" i="6"/>
  <c r="J210" i="6"/>
  <c r="I210" i="6"/>
  <c r="H210" i="6"/>
  <c r="G210" i="6"/>
  <c r="F210" i="6"/>
  <c r="AP209" i="6"/>
  <c r="AO209" i="6"/>
  <c r="Z209" i="6"/>
  <c r="Y209" i="6"/>
  <c r="X209" i="6"/>
  <c r="W209" i="6"/>
  <c r="V209" i="6"/>
  <c r="U209" i="6"/>
  <c r="T209" i="6"/>
  <c r="S209" i="6"/>
  <c r="R209" i="6"/>
  <c r="Q209" i="6"/>
  <c r="P209" i="6"/>
  <c r="O209" i="6"/>
  <c r="N209" i="6"/>
  <c r="M209" i="6"/>
  <c r="L209" i="6"/>
  <c r="K209" i="6"/>
  <c r="J209" i="6"/>
  <c r="I209" i="6"/>
  <c r="H209" i="6"/>
  <c r="G209" i="6"/>
  <c r="F209" i="6"/>
  <c r="Z513" i="6"/>
  <c r="Y513" i="6"/>
  <c r="X513" i="6"/>
  <c r="W513" i="6"/>
  <c r="V513" i="6"/>
  <c r="U513" i="6"/>
  <c r="T513" i="6"/>
  <c r="S513" i="6"/>
  <c r="R513" i="6"/>
  <c r="Q513" i="6"/>
  <c r="P513" i="6"/>
  <c r="O513" i="6"/>
  <c r="N513" i="6"/>
  <c r="M513" i="6"/>
  <c r="L513" i="6"/>
  <c r="K513" i="6"/>
  <c r="J513" i="6"/>
  <c r="I513" i="6"/>
  <c r="H513" i="6"/>
  <c r="G513" i="6"/>
  <c r="F513" i="6"/>
  <c r="Z512" i="6"/>
  <c r="Y512" i="6"/>
  <c r="X512" i="6"/>
  <c r="W512" i="6"/>
  <c r="V512" i="6"/>
  <c r="U512" i="6"/>
  <c r="T512" i="6"/>
  <c r="S512" i="6"/>
  <c r="R512" i="6"/>
  <c r="Q512" i="6"/>
  <c r="P512" i="6"/>
  <c r="O512" i="6"/>
  <c r="N512" i="6"/>
  <c r="M512" i="6"/>
  <c r="L512" i="6"/>
  <c r="K512" i="6"/>
  <c r="J512" i="6"/>
  <c r="I512" i="6"/>
  <c r="H512" i="6"/>
  <c r="G512" i="6"/>
  <c r="F512" i="6"/>
  <c r="Z511" i="6"/>
  <c r="Y511" i="6"/>
  <c r="X511" i="6"/>
  <c r="W511" i="6"/>
  <c r="V511" i="6"/>
  <c r="U511" i="6"/>
  <c r="T511" i="6"/>
  <c r="S511" i="6"/>
  <c r="R511" i="6"/>
  <c r="Q511" i="6"/>
  <c r="P511" i="6"/>
  <c r="O511" i="6"/>
  <c r="N511" i="6"/>
  <c r="M511" i="6"/>
  <c r="L511" i="6"/>
  <c r="K511" i="6"/>
  <c r="J511" i="6"/>
  <c r="I511" i="6"/>
  <c r="H511" i="6"/>
  <c r="G511" i="6"/>
  <c r="F511" i="6"/>
  <c r="Z510" i="6"/>
  <c r="Y510" i="6"/>
  <c r="X510" i="6"/>
  <c r="W510" i="6"/>
  <c r="V510" i="6"/>
  <c r="U510" i="6"/>
  <c r="T510" i="6"/>
  <c r="S510" i="6"/>
  <c r="R510" i="6"/>
  <c r="Q510" i="6"/>
  <c r="P510" i="6"/>
  <c r="O510" i="6"/>
  <c r="N510" i="6"/>
  <c r="M510" i="6"/>
  <c r="L510" i="6"/>
  <c r="K510" i="6"/>
  <c r="J510" i="6"/>
  <c r="I510" i="6"/>
  <c r="H510" i="6"/>
  <c r="G510" i="6"/>
  <c r="F510" i="6"/>
  <c r="Z509" i="6"/>
  <c r="Y509" i="6"/>
  <c r="X509" i="6"/>
  <c r="W509" i="6"/>
  <c r="V509" i="6"/>
  <c r="U509" i="6"/>
  <c r="T509" i="6"/>
  <c r="S509" i="6"/>
  <c r="R509" i="6"/>
  <c r="Q509" i="6"/>
  <c r="P509" i="6"/>
  <c r="O509" i="6"/>
  <c r="N509" i="6"/>
  <c r="M509" i="6"/>
  <c r="L509" i="6"/>
  <c r="K509" i="6"/>
  <c r="J509" i="6"/>
  <c r="I509" i="6"/>
  <c r="H509" i="6"/>
  <c r="G509" i="6"/>
  <c r="F509" i="6"/>
  <c r="Z508" i="6"/>
  <c r="Y508" i="6"/>
  <c r="X508" i="6"/>
  <c r="W508" i="6"/>
  <c r="V508" i="6"/>
  <c r="U508" i="6"/>
  <c r="T508" i="6"/>
  <c r="S508" i="6"/>
  <c r="R508" i="6"/>
  <c r="Q508" i="6"/>
  <c r="P508" i="6"/>
  <c r="O508" i="6"/>
  <c r="N508" i="6"/>
  <c r="M508" i="6"/>
  <c r="L508" i="6"/>
  <c r="K508" i="6"/>
  <c r="J508" i="6"/>
  <c r="I508" i="6"/>
  <c r="H508" i="6"/>
  <c r="G508" i="6"/>
  <c r="F508" i="6"/>
  <c r="Z507" i="6"/>
  <c r="Y507" i="6"/>
  <c r="X507" i="6"/>
  <c r="W507" i="6"/>
  <c r="V507" i="6"/>
  <c r="U507" i="6"/>
  <c r="T507" i="6"/>
  <c r="S507" i="6"/>
  <c r="R507" i="6"/>
  <c r="Q507" i="6"/>
  <c r="P507" i="6"/>
  <c r="O507" i="6"/>
  <c r="N507" i="6"/>
  <c r="M507" i="6"/>
  <c r="L507" i="6"/>
  <c r="K507" i="6"/>
  <c r="J507" i="6"/>
  <c r="I507" i="6"/>
  <c r="H507" i="6"/>
  <c r="G507" i="6"/>
  <c r="F507" i="6"/>
  <c r="Z476" i="6"/>
  <c r="Y476" i="6"/>
  <c r="X476" i="6"/>
  <c r="W476" i="6"/>
  <c r="V476" i="6"/>
  <c r="U476" i="6"/>
  <c r="T476" i="6"/>
  <c r="S476" i="6"/>
  <c r="R476" i="6"/>
  <c r="Q476" i="6"/>
  <c r="P476" i="6"/>
  <c r="O476" i="6"/>
  <c r="N476" i="6"/>
  <c r="M476" i="6"/>
  <c r="L476" i="6"/>
  <c r="K476" i="6"/>
  <c r="J476" i="6"/>
  <c r="I476" i="6"/>
  <c r="H476" i="6"/>
  <c r="G476" i="6"/>
  <c r="F476" i="6"/>
  <c r="Z475" i="6"/>
  <c r="Y475" i="6"/>
  <c r="X475" i="6"/>
  <c r="W475" i="6"/>
  <c r="V475" i="6"/>
  <c r="U475" i="6"/>
  <c r="T475" i="6"/>
  <c r="S475" i="6"/>
  <c r="R475" i="6"/>
  <c r="Q475" i="6"/>
  <c r="P475" i="6"/>
  <c r="O475" i="6"/>
  <c r="N475" i="6"/>
  <c r="M475" i="6"/>
  <c r="L475" i="6"/>
  <c r="K475" i="6"/>
  <c r="J475" i="6"/>
  <c r="I475" i="6"/>
  <c r="H475" i="6"/>
  <c r="G475" i="6"/>
  <c r="F475" i="6"/>
  <c r="Z474" i="6"/>
  <c r="Y474" i="6"/>
  <c r="X474" i="6"/>
  <c r="W474" i="6"/>
  <c r="V474" i="6"/>
  <c r="U474" i="6"/>
  <c r="T474" i="6"/>
  <c r="S474" i="6"/>
  <c r="R474" i="6"/>
  <c r="Q474" i="6"/>
  <c r="P474" i="6"/>
  <c r="O474" i="6"/>
  <c r="N474" i="6"/>
  <c r="M474" i="6"/>
  <c r="L474" i="6"/>
  <c r="K474" i="6"/>
  <c r="J474" i="6"/>
  <c r="I474" i="6"/>
  <c r="H474" i="6"/>
  <c r="G474" i="6"/>
  <c r="F474" i="6"/>
  <c r="Z433" i="6"/>
  <c r="Y433" i="6"/>
  <c r="X433" i="6"/>
  <c r="W433" i="6"/>
  <c r="V433" i="6"/>
  <c r="U433" i="6"/>
  <c r="T433" i="6"/>
  <c r="S433" i="6"/>
  <c r="R433" i="6"/>
  <c r="Q433" i="6"/>
  <c r="P433" i="6"/>
  <c r="O433" i="6"/>
  <c r="N433" i="6"/>
  <c r="M433" i="6"/>
  <c r="L433" i="6"/>
  <c r="K433" i="6"/>
  <c r="J433" i="6"/>
  <c r="I433" i="6"/>
  <c r="H433" i="6"/>
  <c r="G433" i="6"/>
  <c r="F433" i="6"/>
  <c r="Z432" i="6"/>
  <c r="Y432" i="6"/>
  <c r="X432" i="6"/>
  <c r="W432" i="6"/>
  <c r="V432" i="6"/>
  <c r="U432" i="6"/>
  <c r="T432" i="6"/>
  <c r="S432" i="6"/>
  <c r="R432" i="6"/>
  <c r="Q432" i="6"/>
  <c r="P432" i="6"/>
  <c r="O432" i="6"/>
  <c r="N432" i="6"/>
  <c r="M432" i="6"/>
  <c r="L432" i="6"/>
  <c r="K432" i="6"/>
  <c r="J432" i="6"/>
  <c r="I432" i="6"/>
  <c r="H432" i="6"/>
  <c r="G432" i="6"/>
  <c r="F432" i="6"/>
  <c r="Z411" i="6"/>
  <c r="Y411" i="6"/>
  <c r="X411" i="6"/>
  <c r="W411" i="6"/>
  <c r="V411" i="6"/>
  <c r="U411" i="6"/>
  <c r="T411" i="6"/>
  <c r="S411" i="6"/>
  <c r="R411" i="6"/>
  <c r="Q411" i="6"/>
  <c r="P411" i="6"/>
  <c r="O411" i="6"/>
  <c r="N411" i="6"/>
  <c r="M411" i="6"/>
  <c r="L411" i="6"/>
  <c r="K411" i="6"/>
  <c r="J411" i="6"/>
  <c r="I411" i="6"/>
  <c r="H411" i="6"/>
  <c r="G411" i="6"/>
  <c r="F411" i="6"/>
  <c r="Z410" i="6"/>
  <c r="Y410" i="6"/>
  <c r="X410" i="6"/>
  <c r="W410" i="6"/>
  <c r="V410" i="6"/>
  <c r="U410" i="6"/>
  <c r="T410" i="6"/>
  <c r="S410" i="6"/>
  <c r="R410" i="6"/>
  <c r="Q410" i="6"/>
  <c r="P410" i="6"/>
  <c r="O410" i="6"/>
  <c r="N410" i="6"/>
  <c r="M410" i="6"/>
  <c r="L410" i="6"/>
  <c r="K410" i="6"/>
  <c r="J410" i="6"/>
  <c r="I410" i="6"/>
  <c r="H410" i="6"/>
  <c r="G410" i="6"/>
  <c r="F410" i="6"/>
  <c r="Z409" i="6"/>
  <c r="Y409" i="6"/>
  <c r="X409" i="6"/>
  <c r="W409" i="6"/>
  <c r="V409" i="6"/>
  <c r="U409" i="6"/>
  <c r="T409" i="6"/>
  <c r="S409" i="6"/>
  <c r="R409" i="6"/>
  <c r="Q409" i="6"/>
  <c r="P409" i="6"/>
  <c r="O409" i="6"/>
  <c r="N409" i="6"/>
  <c r="M409" i="6"/>
  <c r="L409" i="6"/>
  <c r="K409" i="6"/>
  <c r="J409" i="6"/>
  <c r="I409" i="6"/>
  <c r="H409" i="6"/>
  <c r="G409" i="6"/>
  <c r="F409" i="6"/>
  <c r="Z408" i="6"/>
  <c r="Y408" i="6"/>
  <c r="X408" i="6"/>
  <c r="W408" i="6"/>
  <c r="V408" i="6"/>
  <c r="U408" i="6"/>
  <c r="T408" i="6"/>
  <c r="S408" i="6"/>
  <c r="R408" i="6"/>
  <c r="Q408" i="6"/>
  <c r="P408" i="6"/>
  <c r="O408" i="6"/>
  <c r="N408" i="6"/>
  <c r="M408" i="6"/>
  <c r="L408" i="6"/>
  <c r="K408" i="6"/>
  <c r="J408" i="6"/>
  <c r="I408" i="6"/>
  <c r="H408" i="6"/>
  <c r="G408" i="6"/>
  <c r="F408" i="6"/>
  <c r="Z407" i="6"/>
  <c r="Y407" i="6"/>
  <c r="X407" i="6"/>
  <c r="W407" i="6"/>
  <c r="V407" i="6"/>
  <c r="U407" i="6"/>
  <c r="T407" i="6"/>
  <c r="S407" i="6"/>
  <c r="R407" i="6"/>
  <c r="Q407" i="6"/>
  <c r="P407" i="6"/>
  <c r="O407" i="6"/>
  <c r="N407" i="6"/>
  <c r="M407" i="6"/>
  <c r="L407" i="6"/>
  <c r="K407" i="6"/>
  <c r="J407" i="6"/>
  <c r="I407" i="6"/>
  <c r="H407" i="6"/>
  <c r="G407" i="6"/>
  <c r="F407" i="6"/>
  <c r="Z406" i="6"/>
  <c r="Y406" i="6"/>
  <c r="X406" i="6"/>
  <c r="W406" i="6"/>
  <c r="V406" i="6"/>
  <c r="U406" i="6"/>
  <c r="T406" i="6"/>
  <c r="S406" i="6"/>
  <c r="R406" i="6"/>
  <c r="Q406" i="6"/>
  <c r="P406" i="6"/>
  <c r="O406" i="6"/>
  <c r="N406" i="6"/>
  <c r="M406" i="6"/>
  <c r="L406" i="6"/>
  <c r="K406" i="6"/>
  <c r="J406" i="6"/>
  <c r="I406" i="6"/>
  <c r="H406" i="6"/>
  <c r="G406" i="6"/>
  <c r="F406" i="6"/>
  <c r="Z405" i="6"/>
  <c r="Y405" i="6"/>
  <c r="X405" i="6"/>
  <c r="W405" i="6"/>
  <c r="V405" i="6"/>
  <c r="U405" i="6"/>
  <c r="T405" i="6"/>
  <c r="S405" i="6"/>
  <c r="R405" i="6"/>
  <c r="Q405" i="6"/>
  <c r="P405" i="6"/>
  <c r="O405" i="6"/>
  <c r="N405" i="6"/>
  <c r="M405" i="6"/>
  <c r="L405" i="6"/>
  <c r="K405" i="6"/>
  <c r="J405" i="6"/>
  <c r="I405" i="6"/>
  <c r="H405" i="6"/>
  <c r="G405" i="6"/>
  <c r="F405" i="6"/>
  <c r="Z404" i="6"/>
  <c r="Y404" i="6"/>
  <c r="X404" i="6"/>
  <c r="W404" i="6"/>
  <c r="V404" i="6"/>
  <c r="U404" i="6"/>
  <c r="T404" i="6"/>
  <c r="S404" i="6"/>
  <c r="R404" i="6"/>
  <c r="Q404" i="6"/>
  <c r="P404" i="6"/>
  <c r="O404" i="6"/>
  <c r="N404" i="6"/>
  <c r="M404" i="6"/>
  <c r="L404" i="6"/>
  <c r="K404" i="6"/>
  <c r="J404" i="6"/>
  <c r="I404" i="6"/>
  <c r="H404" i="6"/>
  <c r="G404" i="6"/>
  <c r="F404" i="6"/>
  <c r="Z403" i="6"/>
  <c r="Y403" i="6"/>
  <c r="X403" i="6"/>
  <c r="W403" i="6"/>
  <c r="V403" i="6"/>
  <c r="U403" i="6"/>
  <c r="T403" i="6"/>
  <c r="S403" i="6"/>
  <c r="R403" i="6"/>
  <c r="Q403" i="6"/>
  <c r="P403" i="6"/>
  <c r="O403" i="6"/>
  <c r="N403" i="6"/>
  <c r="M403" i="6"/>
  <c r="L403" i="6"/>
  <c r="K403" i="6"/>
  <c r="J403" i="6"/>
  <c r="I403" i="6"/>
  <c r="H403" i="6"/>
  <c r="G403" i="6"/>
  <c r="F403" i="6"/>
  <c r="Z506" i="6"/>
  <c r="Y506" i="6"/>
  <c r="X506" i="6"/>
  <c r="W506" i="6"/>
  <c r="V506" i="6"/>
  <c r="U506" i="6"/>
  <c r="T506" i="6"/>
  <c r="S506" i="6"/>
  <c r="R506" i="6"/>
  <c r="Q506" i="6"/>
  <c r="P506" i="6"/>
  <c r="O506" i="6"/>
  <c r="N506" i="6"/>
  <c r="M506" i="6"/>
  <c r="L506" i="6"/>
  <c r="K506" i="6"/>
  <c r="J506" i="6"/>
  <c r="I506" i="6"/>
  <c r="H506" i="6"/>
  <c r="G506" i="6"/>
  <c r="F506" i="6"/>
  <c r="Z505" i="6"/>
  <c r="Y505" i="6"/>
  <c r="X505" i="6"/>
  <c r="W505" i="6"/>
  <c r="V505" i="6"/>
  <c r="U505" i="6"/>
  <c r="T505" i="6"/>
  <c r="S505" i="6"/>
  <c r="R505" i="6"/>
  <c r="Q505" i="6"/>
  <c r="P505" i="6"/>
  <c r="O505" i="6"/>
  <c r="N505" i="6"/>
  <c r="M505" i="6"/>
  <c r="L505" i="6"/>
  <c r="K505" i="6"/>
  <c r="J505" i="6"/>
  <c r="I505" i="6"/>
  <c r="H505" i="6"/>
  <c r="G505" i="6"/>
  <c r="F505" i="6"/>
  <c r="Z504" i="6"/>
  <c r="Y504" i="6"/>
  <c r="X504" i="6"/>
  <c r="W504" i="6"/>
  <c r="V504" i="6"/>
  <c r="U504" i="6"/>
  <c r="T504" i="6"/>
  <c r="S504" i="6"/>
  <c r="R504" i="6"/>
  <c r="Q504" i="6"/>
  <c r="P504" i="6"/>
  <c r="O504" i="6"/>
  <c r="N504" i="6"/>
  <c r="M504" i="6"/>
  <c r="L504" i="6"/>
  <c r="K504" i="6"/>
  <c r="J504" i="6"/>
  <c r="I504" i="6"/>
  <c r="H504" i="6"/>
  <c r="G504" i="6"/>
  <c r="F504" i="6"/>
  <c r="Z503" i="6"/>
  <c r="Y503" i="6"/>
  <c r="X503" i="6"/>
  <c r="W503" i="6"/>
  <c r="V503" i="6"/>
  <c r="U503" i="6"/>
  <c r="T503" i="6"/>
  <c r="S503" i="6"/>
  <c r="R503" i="6"/>
  <c r="Q503" i="6"/>
  <c r="P503" i="6"/>
  <c r="O503" i="6"/>
  <c r="N503" i="6"/>
  <c r="M503" i="6"/>
  <c r="L503" i="6"/>
  <c r="K503" i="6"/>
  <c r="J503" i="6"/>
  <c r="I503" i="6"/>
  <c r="H503" i="6"/>
  <c r="G503" i="6"/>
  <c r="F503" i="6"/>
  <c r="Z502" i="6"/>
  <c r="Y502" i="6"/>
  <c r="X502" i="6"/>
  <c r="W502" i="6"/>
  <c r="V502" i="6"/>
  <c r="U502" i="6"/>
  <c r="T502" i="6"/>
  <c r="S502" i="6"/>
  <c r="R502" i="6"/>
  <c r="Q502" i="6"/>
  <c r="P502" i="6"/>
  <c r="O502" i="6"/>
  <c r="N502" i="6"/>
  <c r="M502" i="6"/>
  <c r="L502" i="6"/>
  <c r="K502" i="6"/>
  <c r="J502" i="6"/>
  <c r="I502" i="6"/>
  <c r="H502" i="6"/>
  <c r="G502" i="6"/>
  <c r="F502" i="6"/>
  <c r="Z501" i="6"/>
  <c r="Y501" i="6"/>
  <c r="X501" i="6"/>
  <c r="W501" i="6"/>
  <c r="V501" i="6"/>
  <c r="U501" i="6"/>
  <c r="T501" i="6"/>
  <c r="S501" i="6"/>
  <c r="R501" i="6"/>
  <c r="Q501" i="6"/>
  <c r="P501" i="6"/>
  <c r="O501" i="6"/>
  <c r="N501" i="6"/>
  <c r="M501" i="6"/>
  <c r="L501" i="6"/>
  <c r="K501" i="6"/>
  <c r="J501" i="6"/>
  <c r="I501" i="6"/>
  <c r="H501" i="6"/>
  <c r="G501" i="6"/>
  <c r="F501" i="6"/>
  <c r="Z500" i="6"/>
  <c r="Y500" i="6"/>
  <c r="X500" i="6"/>
  <c r="W500" i="6"/>
  <c r="V500" i="6"/>
  <c r="U500" i="6"/>
  <c r="T500" i="6"/>
  <c r="S500" i="6"/>
  <c r="R500" i="6"/>
  <c r="Q500" i="6"/>
  <c r="P500" i="6"/>
  <c r="O500" i="6"/>
  <c r="N500" i="6"/>
  <c r="M500" i="6"/>
  <c r="L500" i="6"/>
  <c r="K500" i="6"/>
  <c r="J500" i="6"/>
  <c r="I500" i="6"/>
  <c r="H500" i="6"/>
  <c r="G500" i="6"/>
  <c r="F500" i="6"/>
  <c r="Z499" i="6"/>
  <c r="Y499" i="6"/>
  <c r="X499" i="6"/>
  <c r="W499" i="6"/>
  <c r="V499" i="6"/>
  <c r="U499" i="6"/>
  <c r="T499" i="6"/>
  <c r="S499" i="6"/>
  <c r="R499" i="6"/>
  <c r="Q499" i="6"/>
  <c r="P499" i="6"/>
  <c r="O499" i="6"/>
  <c r="N499" i="6"/>
  <c r="M499" i="6"/>
  <c r="L499" i="6"/>
  <c r="K499" i="6"/>
  <c r="J499" i="6"/>
  <c r="I499" i="6"/>
  <c r="H499" i="6"/>
  <c r="G499" i="6"/>
  <c r="F499" i="6"/>
  <c r="Z498" i="6"/>
  <c r="Y498" i="6"/>
  <c r="X498" i="6"/>
  <c r="W498" i="6"/>
  <c r="V498" i="6"/>
  <c r="U498" i="6"/>
  <c r="T498" i="6"/>
  <c r="S498" i="6"/>
  <c r="R498" i="6"/>
  <c r="Q498" i="6"/>
  <c r="P498" i="6"/>
  <c r="O498" i="6"/>
  <c r="N498" i="6"/>
  <c r="M498" i="6"/>
  <c r="L498" i="6"/>
  <c r="K498" i="6"/>
  <c r="J498" i="6"/>
  <c r="I498" i="6"/>
  <c r="H498" i="6"/>
  <c r="G498" i="6"/>
  <c r="F498" i="6"/>
  <c r="Z497" i="6"/>
  <c r="Y497" i="6"/>
  <c r="X497" i="6"/>
  <c r="W497" i="6"/>
  <c r="V497" i="6"/>
  <c r="U497" i="6"/>
  <c r="T497" i="6"/>
  <c r="S497" i="6"/>
  <c r="R497" i="6"/>
  <c r="Q497" i="6"/>
  <c r="P497" i="6"/>
  <c r="O497" i="6"/>
  <c r="N497" i="6"/>
  <c r="M497" i="6"/>
  <c r="L497" i="6"/>
  <c r="K497" i="6"/>
  <c r="J497" i="6"/>
  <c r="I497" i="6"/>
  <c r="H497" i="6"/>
  <c r="G497" i="6"/>
  <c r="F497" i="6"/>
  <c r="Z496" i="6"/>
  <c r="Y496" i="6"/>
  <c r="X496" i="6"/>
  <c r="W496" i="6"/>
  <c r="V496" i="6"/>
  <c r="U496" i="6"/>
  <c r="T496" i="6"/>
  <c r="S496" i="6"/>
  <c r="R496" i="6"/>
  <c r="Q496" i="6"/>
  <c r="P496" i="6"/>
  <c r="O496" i="6"/>
  <c r="N496" i="6"/>
  <c r="M496" i="6"/>
  <c r="L496" i="6"/>
  <c r="K496" i="6"/>
  <c r="J496" i="6"/>
  <c r="I496" i="6"/>
  <c r="H496" i="6"/>
  <c r="G496" i="6"/>
  <c r="F496" i="6"/>
  <c r="Z495" i="6"/>
  <c r="Y495" i="6"/>
  <c r="X495" i="6"/>
  <c r="W495" i="6"/>
  <c r="V495" i="6"/>
  <c r="U495" i="6"/>
  <c r="T495" i="6"/>
  <c r="S495" i="6"/>
  <c r="R495" i="6"/>
  <c r="Q495" i="6"/>
  <c r="P495" i="6"/>
  <c r="O495" i="6"/>
  <c r="N495" i="6"/>
  <c r="M495" i="6"/>
  <c r="L495" i="6"/>
  <c r="K495" i="6"/>
  <c r="J495" i="6"/>
  <c r="I495" i="6"/>
  <c r="H495" i="6"/>
  <c r="G495" i="6"/>
  <c r="F495" i="6"/>
  <c r="Z494" i="6"/>
  <c r="Y494" i="6"/>
  <c r="X494" i="6"/>
  <c r="W494" i="6"/>
  <c r="V494" i="6"/>
  <c r="U494" i="6"/>
  <c r="T494" i="6"/>
  <c r="S494" i="6"/>
  <c r="R494" i="6"/>
  <c r="Q494" i="6"/>
  <c r="P494" i="6"/>
  <c r="O494" i="6"/>
  <c r="N494" i="6"/>
  <c r="M494" i="6"/>
  <c r="L494" i="6"/>
  <c r="K494" i="6"/>
  <c r="J494" i="6"/>
  <c r="I494" i="6"/>
  <c r="H494" i="6"/>
  <c r="G494" i="6"/>
  <c r="F494" i="6"/>
  <c r="Z493" i="6"/>
  <c r="Y493" i="6"/>
  <c r="X493" i="6"/>
  <c r="W493" i="6"/>
  <c r="V493" i="6"/>
  <c r="U493" i="6"/>
  <c r="T493" i="6"/>
  <c r="S493" i="6"/>
  <c r="R493" i="6"/>
  <c r="Q493" i="6"/>
  <c r="P493" i="6"/>
  <c r="O493" i="6"/>
  <c r="N493" i="6"/>
  <c r="M493" i="6"/>
  <c r="L493" i="6"/>
  <c r="K493" i="6"/>
  <c r="J493" i="6"/>
  <c r="I493" i="6"/>
  <c r="H493" i="6"/>
  <c r="G493" i="6"/>
  <c r="F493" i="6"/>
  <c r="Z492" i="6"/>
  <c r="Y492" i="6"/>
  <c r="X492" i="6"/>
  <c r="W492" i="6"/>
  <c r="V492" i="6"/>
  <c r="U492" i="6"/>
  <c r="T492" i="6"/>
  <c r="S492" i="6"/>
  <c r="R492" i="6"/>
  <c r="Q492" i="6"/>
  <c r="P492" i="6"/>
  <c r="O492" i="6"/>
  <c r="N492" i="6"/>
  <c r="M492" i="6"/>
  <c r="L492" i="6"/>
  <c r="K492" i="6"/>
  <c r="J492" i="6"/>
  <c r="I492" i="6"/>
  <c r="H492" i="6"/>
  <c r="G492" i="6"/>
  <c r="F492" i="6"/>
  <c r="Z491" i="6"/>
  <c r="Y491" i="6"/>
  <c r="X491" i="6"/>
  <c r="W491" i="6"/>
  <c r="V491" i="6"/>
  <c r="U491" i="6"/>
  <c r="T491" i="6"/>
  <c r="S491" i="6"/>
  <c r="R491" i="6"/>
  <c r="Q491" i="6"/>
  <c r="P491" i="6"/>
  <c r="O491" i="6"/>
  <c r="N491" i="6"/>
  <c r="M491" i="6"/>
  <c r="L491" i="6"/>
  <c r="K491" i="6"/>
  <c r="J491" i="6"/>
  <c r="I491" i="6"/>
  <c r="H491" i="6"/>
  <c r="G491" i="6"/>
  <c r="F491" i="6"/>
  <c r="Z490" i="6"/>
  <c r="Y490" i="6"/>
  <c r="X490" i="6"/>
  <c r="W490" i="6"/>
  <c r="V490" i="6"/>
  <c r="U490" i="6"/>
  <c r="T490" i="6"/>
  <c r="S490" i="6"/>
  <c r="R490" i="6"/>
  <c r="Q490" i="6"/>
  <c r="P490" i="6"/>
  <c r="O490" i="6"/>
  <c r="N490" i="6"/>
  <c r="M490" i="6"/>
  <c r="L490" i="6"/>
  <c r="K490" i="6"/>
  <c r="J490" i="6"/>
  <c r="I490" i="6"/>
  <c r="H490" i="6"/>
  <c r="G490" i="6"/>
  <c r="F490" i="6"/>
  <c r="Z489" i="6"/>
  <c r="Y489" i="6"/>
  <c r="X489" i="6"/>
  <c r="W489" i="6"/>
  <c r="V489" i="6"/>
  <c r="U489" i="6"/>
  <c r="T489" i="6"/>
  <c r="S489" i="6"/>
  <c r="R489" i="6"/>
  <c r="Q489" i="6"/>
  <c r="P489" i="6"/>
  <c r="O489" i="6"/>
  <c r="N489" i="6"/>
  <c r="M489" i="6"/>
  <c r="L489" i="6"/>
  <c r="K489" i="6"/>
  <c r="J489" i="6"/>
  <c r="I489" i="6"/>
  <c r="H489" i="6"/>
  <c r="G489" i="6"/>
  <c r="F489" i="6"/>
  <c r="Z488" i="6"/>
  <c r="Y488" i="6"/>
  <c r="X488" i="6"/>
  <c r="W488" i="6"/>
  <c r="V488" i="6"/>
  <c r="U488" i="6"/>
  <c r="T488" i="6"/>
  <c r="S488" i="6"/>
  <c r="R488" i="6"/>
  <c r="Q488" i="6"/>
  <c r="P488" i="6"/>
  <c r="O488" i="6"/>
  <c r="N488" i="6"/>
  <c r="M488" i="6"/>
  <c r="L488" i="6"/>
  <c r="K488" i="6"/>
  <c r="J488" i="6"/>
  <c r="I488" i="6"/>
  <c r="H488" i="6"/>
  <c r="G488" i="6"/>
  <c r="F488" i="6"/>
  <c r="Z487" i="6"/>
  <c r="Y487" i="6"/>
  <c r="X487" i="6"/>
  <c r="W487" i="6"/>
  <c r="V487" i="6"/>
  <c r="U487" i="6"/>
  <c r="T487" i="6"/>
  <c r="S487" i="6"/>
  <c r="R487" i="6"/>
  <c r="Q487" i="6"/>
  <c r="P487" i="6"/>
  <c r="O487" i="6"/>
  <c r="N487" i="6"/>
  <c r="M487" i="6"/>
  <c r="L487" i="6"/>
  <c r="K487" i="6"/>
  <c r="J487" i="6"/>
  <c r="I487" i="6"/>
  <c r="H487" i="6"/>
  <c r="G487" i="6"/>
  <c r="F487" i="6"/>
  <c r="Z486" i="6"/>
  <c r="Y486" i="6"/>
  <c r="X486" i="6"/>
  <c r="W486" i="6"/>
  <c r="V486" i="6"/>
  <c r="U486" i="6"/>
  <c r="T486" i="6"/>
  <c r="S486" i="6"/>
  <c r="R486" i="6"/>
  <c r="Q486" i="6"/>
  <c r="P486" i="6"/>
  <c r="O486" i="6"/>
  <c r="N486" i="6"/>
  <c r="M486" i="6"/>
  <c r="L486" i="6"/>
  <c r="K486" i="6"/>
  <c r="J486" i="6"/>
  <c r="I486" i="6"/>
  <c r="H486" i="6"/>
  <c r="G486" i="6"/>
  <c r="F486" i="6"/>
  <c r="Z485" i="6"/>
  <c r="Y485" i="6"/>
  <c r="X485" i="6"/>
  <c r="W485" i="6"/>
  <c r="V485" i="6"/>
  <c r="U485" i="6"/>
  <c r="T485" i="6"/>
  <c r="S485" i="6"/>
  <c r="R485" i="6"/>
  <c r="Q485" i="6"/>
  <c r="P485" i="6"/>
  <c r="O485" i="6"/>
  <c r="N485" i="6"/>
  <c r="M485" i="6"/>
  <c r="L485" i="6"/>
  <c r="K485" i="6"/>
  <c r="J485" i="6"/>
  <c r="I485" i="6"/>
  <c r="H485" i="6"/>
  <c r="G485" i="6"/>
  <c r="F485" i="6"/>
  <c r="Z484" i="6"/>
  <c r="Y484" i="6"/>
  <c r="X484" i="6"/>
  <c r="W484" i="6"/>
  <c r="V484" i="6"/>
  <c r="U484" i="6"/>
  <c r="T484" i="6"/>
  <c r="S484" i="6"/>
  <c r="R484" i="6"/>
  <c r="Q484" i="6"/>
  <c r="P484" i="6"/>
  <c r="O484" i="6"/>
  <c r="N484" i="6"/>
  <c r="M484" i="6"/>
  <c r="L484" i="6"/>
  <c r="K484" i="6"/>
  <c r="J484" i="6"/>
  <c r="I484" i="6"/>
  <c r="H484" i="6"/>
  <c r="G484" i="6"/>
  <c r="F484" i="6"/>
  <c r="Z483" i="6"/>
  <c r="Y483" i="6"/>
  <c r="X483" i="6"/>
  <c r="W483" i="6"/>
  <c r="V483" i="6"/>
  <c r="U483" i="6"/>
  <c r="T483" i="6"/>
  <c r="S483" i="6"/>
  <c r="R483" i="6"/>
  <c r="Q483" i="6"/>
  <c r="P483" i="6"/>
  <c r="O483" i="6"/>
  <c r="N483" i="6"/>
  <c r="M483" i="6"/>
  <c r="L483" i="6"/>
  <c r="K483" i="6"/>
  <c r="J483" i="6"/>
  <c r="I483" i="6"/>
  <c r="H483" i="6"/>
  <c r="G483" i="6"/>
  <c r="F483" i="6"/>
  <c r="Z482" i="6"/>
  <c r="Y482" i="6"/>
  <c r="X482" i="6"/>
  <c r="W482" i="6"/>
  <c r="V482" i="6"/>
  <c r="U482" i="6"/>
  <c r="T482" i="6"/>
  <c r="S482" i="6"/>
  <c r="R482" i="6"/>
  <c r="Q482" i="6"/>
  <c r="P482" i="6"/>
  <c r="O482" i="6"/>
  <c r="N482" i="6"/>
  <c r="M482" i="6"/>
  <c r="L482" i="6"/>
  <c r="K482" i="6"/>
  <c r="J482" i="6"/>
  <c r="I482" i="6"/>
  <c r="H482" i="6"/>
  <c r="G482" i="6"/>
  <c r="F482" i="6"/>
  <c r="Z481" i="6"/>
  <c r="Y481" i="6"/>
  <c r="X481" i="6"/>
  <c r="W481" i="6"/>
  <c r="V481" i="6"/>
  <c r="U481" i="6"/>
  <c r="T481" i="6"/>
  <c r="S481" i="6"/>
  <c r="R481" i="6"/>
  <c r="Q481" i="6"/>
  <c r="P481" i="6"/>
  <c r="O481" i="6"/>
  <c r="N481" i="6"/>
  <c r="M481" i="6"/>
  <c r="L481" i="6"/>
  <c r="K481" i="6"/>
  <c r="J481" i="6"/>
  <c r="I481" i="6"/>
  <c r="H481" i="6"/>
  <c r="G481" i="6"/>
  <c r="F481" i="6"/>
  <c r="Z480" i="6"/>
  <c r="Y480" i="6"/>
  <c r="X480" i="6"/>
  <c r="W480" i="6"/>
  <c r="V480" i="6"/>
  <c r="U480" i="6"/>
  <c r="T480" i="6"/>
  <c r="S480" i="6"/>
  <c r="R480" i="6"/>
  <c r="Q480" i="6"/>
  <c r="P480" i="6"/>
  <c r="O480" i="6"/>
  <c r="N480" i="6"/>
  <c r="M480" i="6"/>
  <c r="L480" i="6"/>
  <c r="K480" i="6"/>
  <c r="J480" i="6"/>
  <c r="I480" i="6"/>
  <c r="H480" i="6"/>
  <c r="G480" i="6"/>
  <c r="F480" i="6"/>
  <c r="Z479" i="6"/>
  <c r="Y479" i="6"/>
  <c r="X479" i="6"/>
  <c r="W479" i="6"/>
  <c r="V479" i="6"/>
  <c r="U479" i="6"/>
  <c r="T479" i="6"/>
  <c r="S479" i="6"/>
  <c r="R479" i="6"/>
  <c r="Q479" i="6"/>
  <c r="P479" i="6"/>
  <c r="O479" i="6"/>
  <c r="N479" i="6"/>
  <c r="M479" i="6"/>
  <c r="L479" i="6"/>
  <c r="K479" i="6"/>
  <c r="J479" i="6"/>
  <c r="I479" i="6"/>
  <c r="H479" i="6"/>
  <c r="G479" i="6"/>
  <c r="F479" i="6"/>
  <c r="Z478" i="6"/>
  <c r="Y478" i="6"/>
  <c r="X478" i="6"/>
  <c r="W478" i="6"/>
  <c r="V478" i="6"/>
  <c r="U478" i="6"/>
  <c r="T478" i="6"/>
  <c r="S478" i="6"/>
  <c r="R478" i="6"/>
  <c r="Q478" i="6"/>
  <c r="P478" i="6"/>
  <c r="O478" i="6"/>
  <c r="N478" i="6"/>
  <c r="M478" i="6"/>
  <c r="L478" i="6"/>
  <c r="K478" i="6"/>
  <c r="J478" i="6"/>
  <c r="I478" i="6"/>
  <c r="H478" i="6"/>
  <c r="G478" i="6"/>
  <c r="F478" i="6"/>
  <c r="Z477" i="6"/>
  <c r="Y477" i="6"/>
  <c r="X477" i="6"/>
  <c r="W477" i="6"/>
  <c r="V477" i="6"/>
  <c r="U477" i="6"/>
  <c r="T477" i="6"/>
  <c r="S477" i="6"/>
  <c r="R477" i="6"/>
  <c r="Q477" i="6"/>
  <c r="P477" i="6"/>
  <c r="O477" i="6"/>
  <c r="N477" i="6"/>
  <c r="M477" i="6"/>
  <c r="L477" i="6"/>
  <c r="K477" i="6"/>
  <c r="J477" i="6"/>
  <c r="I477" i="6"/>
  <c r="H477" i="6"/>
  <c r="G477" i="6"/>
  <c r="F477" i="6"/>
  <c r="Z473" i="6"/>
  <c r="Y473" i="6"/>
  <c r="X473" i="6"/>
  <c r="W473" i="6"/>
  <c r="V473" i="6"/>
  <c r="U473" i="6"/>
  <c r="T473" i="6"/>
  <c r="S473" i="6"/>
  <c r="R473" i="6"/>
  <c r="Q473" i="6"/>
  <c r="P473" i="6"/>
  <c r="O473" i="6"/>
  <c r="N473" i="6"/>
  <c r="M473" i="6"/>
  <c r="L473" i="6"/>
  <c r="K473" i="6"/>
  <c r="J473" i="6"/>
  <c r="I473" i="6"/>
  <c r="H473" i="6"/>
  <c r="G473" i="6"/>
  <c r="F473" i="6"/>
  <c r="Z472" i="6"/>
  <c r="Y472" i="6"/>
  <c r="X472" i="6"/>
  <c r="W472" i="6"/>
  <c r="V472" i="6"/>
  <c r="U472" i="6"/>
  <c r="T472" i="6"/>
  <c r="S472" i="6"/>
  <c r="R472" i="6"/>
  <c r="Q472" i="6"/>
  <c r="P472" i="6"/>
  <c r="O472" i="6"/>
  <c r="N472" i="6"/>
  <c r="M472" i="6"/>
  <c r="L472" i="6"/>
  <c r="K472" i="6"/>
  <c r="J472" i="6"/>
  <c r="I472" i="6"/>
  <c r="H472" i="6"/>
  <c r="G472" i="6"/>
  <c r="F472" i="6"/>
  <c r="Z471" i="6"/>
  <c r="Y471" i="6"/>
  <c r="X471" i="6"/>
  <c r="W471" i="6"/>
  <c r="V471" i="6"/>
  <c r="U471" i="6"/>
  <c r="T471" i="6"/>
  <c r="S471" i="6"/>
  <c r="R471" i="6"/>
  <c r="Q471" i="6"/>
  <c r="P471" i="6"/>
  <c r="O471" i="6"/>
  <c r="N471" i="6"/>
  <c r="M471" i="6"/>
  <c r="L471" i="6"/>
  <c r="K471" i="6"/>
  <c r="J471" i="6"/>
  <c r="I471" i="6"/>
  <c r="H471" i="6"/>
  <c r="G471" i="6"/>
  <c r="F471" i="6"/>
  <c r="Z470" i="6"/>
  <c r="Y470" i="6"/>
  <c r="X470" i="6"/>
  <c r="W470" i="6"/>
  <c r="V470" i="6"/>
  <c r="U470" i="6"/>
  <c r="T470" i="6"/>
  <c r="S470" i="6"/>
  <c r="R470" i="6"/>
  <c r="Q470" i="6"/>
  <c r="P470" i="6"/>
  <c r="O470" i="6"/>
  <c r="N470" i="6"/>
  <c r="M470" i="6"/>
  <c r="L470" i="6"/>
  <c r="K470" i="6"/>
  <c r="J470" i="6"/>
  <c r="I470" i="6"/>
  <c r="H470" i="6"/>
  <c r="G470" i="6"/>
  <c r="F470" i="6"/>
  <c r="Z469" i="6"/>
  <c r="Y469" i="6"/>
  <c r="X469" i="6"/>
  <c r="W469" i="6"/>
  <c r="V469" i="6"/>
  <c r="U469" i="6"/>
  <c r="T469" i="6"/>
  <c r="S469" i="6"/>
  <c r="R469" i="6"/>
  <c r="Q469" i="6"/>
  <c r="P469" i="6"/>
  <c r="O469" i="6"/>
  <c r="N469" i="6"/>
  <c r="M469" i="6"/>
  <c r="L469" i="6"/>
  <c r="K469" i="6"/>
  <c r="J469" i="6"/>
  <c r="I469" i="6"/>
  <c r="H469" i="6"/>
  <c r="G469" i="6"/>
  <c r="F469" i="6"/>
  <c r="Z468" i="6"/>
  <c r="Y468" i="6"/>
  <c r="X468" i="6"/>
  <c r="W468" i="6"/>
  <c r="V468" i="6"/>
  <c r="U468" i="6"/>
  <c r="T468" i="6"/>
  <c r="S468" i="6"/>
  <c r="R468" i="6"/>
  <c r="Q468" i="6"/>
  <c r="P468" i="6"/>
  <c r="O468" i="6"/>
  <c r="N468" i="6"/>
  <c r="M468" i="6"/>
  <c r="L468" i="6"/>
  <c r="K468" i="6"/>
  <c r="J468" i="6"/>
  <c r="I468" i="6"/>
  <c r="H468" i="6"/>
  <c r="G468" i="6"/>
  <c r="F468" i="6"/>
  <c r="Z467" i="6"/>
  <c r="Y467" i="6"/>
  <c r="X467" i="6"/>
  <c r="W467" i="6"/>
  <c r="V467" i="6"/>
  <c r="U467" i="6"/>
  <c r="T467" i="6"/>
  <c r="S467" i="6"/>
  <c r="R467" i="6"/>
  <c r="Q467" i="6"/>
  <c r="P467" i="6"/>
  <c r="O467" i="6"/>
  <c r="N467" i="6"/>
  <c r="M467" i="6"/>
  <c r="L467" i="6"/>
  <c r="K467" i="6"/>
  <c r="J467" i="6"/>
  <c r="I467" i="6"/>
  <c r="H467" i="6"/>
  <c r="G467" i="6"/>
  <c r="F467" i="6"/>
  <c r="Z466" i="6"/>
  <c r="Y466" i="6"/>
  <c r="X466" i="6"/>
  <c r="W466" i="6"/>
  <c r="V466" i="6"/>
  <c r="U466" i="6"/>
  <c r="T466" i="6"/>
  <c r="S466" i="6"/>
  <c r="R466" i="6"/>
  <c r="Q466" i="6"/>
  <c r="P466" i="6"/>
  <c r="O466" i="6"/>
  <c r="N466" i="6"/>
  <c r="M466" i="6"/>
  <c r="L466" i="6"/>
  <c r="K466" i="6"/>
  <c r="J466" i="6"/>
  <c r="I466" i="6"/>
  <c r="H466" i="6"/>
  <c r="G466" i="6"/>
  <c r="F466" i="6"/>
  <c r="Z465" i="6"/>
  <c r="Y465" i="6"/>
  <c r="X465" i="6"/>
  <c r="W465" i="6"/>
  <c r="V465" i="6"/>
  <c r="U465" i="6"/>
  <c r="T465" i="6"/>
  <c r="S465" i="6"/>
  <c r="R465" i="6"/>
  <c r="Q465" i="6"/>
  <c r="P465" i="6"/>
  <c r="O465" i="6"/>
  <c r="N465" i="6"/>
  <c r="M465" i="6"/>
  <c r="L465" i="6"/>
  <c r="K465" i="6"/>
  <c r="J465" i="6"/>
  <c r="I465" i="6"/>
  <c r="H465" i="6"/>
  <c r="G465" i="6"/>
  <c r="F465" i="6"/>
  <c r="Z464" i="6"/>
  <c r="Y464" i="6"/>
  <c r="X464" i="6"/>
  <c r="W464" i="6"/>
  <c r="V464" i="6"/>
  <c r="U464" i="6"/>
  <c r="T464" i="6"/>
  <c r="S464" i="6"/>
  <c r="R464" i="6"/>
  <c r="Q464" i="6"/>
  <c r="P464" i="6"/>
  <c r="O464" i="6"/>
  <c r="N464" i="6"/>
  <c r="M464" i="6"/>
  <c r="L464" i="6"/>
  <c r="K464" i="6"/>
  <c r="J464" i="6"/>
  <c r="I464" i="6"/>
  <c r="H464" i="6"/>
  <c r="G464" i="6"/>
  <c r="F464" i="6"/>
  <c r="Z463" i="6"/>
  <c r="Y463" i="6"/>
  <c r="X463" i="6"/>
  <c r="W463" i="6"/>
  <c r="V463" i="6"/>
  <c r="U463" i="6"/>
  <c r="T463" i="6"/>
  <c r="S463" i="6"/>
  <c r="R463" i="6"/>
  <c r="Q463" i="6"/>
  <c r="P463" i="6"/>
  <c r="O463" i="6"/>
  <c r="N463" i="6"/>
  <c r="M463" i="6"/>
  <c r="L463" i="6"/>
  <c r="K463" i="6"/>
  <c r="J463" i="6"/>
  <c r="I463" i="6"/>
  <c r="H463" i="6"/>
  <c r="G463" i="6"/>
  <c r="F463" i="6"/>
  <c r="Z462" i="6"/>
  <c r="Y462" i="6"/>
  <c r="X462" i="6"/>
  <c r="W462" i="6"/>
  <c r="V462" i="6"/>
  <c r="U462" i="6"/>
  <c r="T462" i="6"/>
  <c r="S462" i="6"/>
  <c r="R462" i="6"/>
  <c r="Q462" i="6"/>
  <c r="P462" i="6"/>
  <c r="O462" i="6"/>
  <c r="N462" i="6"/>
  <c r="M462" i="6"/>
  <c r="L462" i="6"/>
  <c r="K462" i="6"/>
  <c r="J462" i="6"/>
  <c r="I462" i="6"/>
  <c r="H462" i="6"/>
  <c r="G462" i="6"/>
  <c r="F462" i="6"/>
  <c r="Z461" i="6"/>
  <c r="Y461" i="6"/>
  <c r="X461" i="6"/>
  <c r="W461" i="6"/>
  <c r="V461" i="6"/>
  <c r="U461" i="6"/>
  <c r="T461" i="6"/>
  <c r="S461" i="6"/>
  <c r="R461" i="6"/>
  <c r="Q461" i="6"/>
  <c r="P461" i="6"/>
  <c r="O461" i="6"/>
  <c r="N461" i="6"/>
  <c r="M461" i="6"/>
  <c r="L461" i="6"/>
  <c r="K461" i="6"/>
  <c r="J461" i="6"/>
  <c r="I461" i="6"/>
  <c r="H461" i="6"/>
  <c r="G461" i="6"/>
  <c r="F461" i="6"/>
  <c r="Z460" i="6"/>
  <c r="Y460" i="6"/>
  <c r="X460" i="6"/>
  <c r="W460" i="6"/>
  <c r="V460" i="6"/>
  <c r="U460" i="6"/>
  <c r="T460" i="6"/>
  <c r="S460" i="6"/>
  <c r="R460" i="6"/>
  <c r="Q460" i="6"/>
  <c r="P460" i="6"/>
  <c r="O460" i="6"/>
  <c r="N460" i="6"/>
  <c r="M460" i="6"/>
  <c r="L460" i="6"/>
  <c r="K460" i="6"/>
  <c r="J460" i="6"/>
  <c r="I460" i="6"/>
  <c r="H460" i="6"/>
  <c r="G460" i="6"/>
  <c r="F460" i="6"/>
  <c r="Z459" i="6"/>
  <c r="Y459" i="6"/>
  <c r="X459" i="6"/>
  <c r="W459" i="6"/>
  <c r="V459" i="6"/>
  <c r="U459" i="6"/>
  <c r="T459" i="6"/>
  <c r="S459" i="6"/>
  <c r="R459" i="6"/>
  <c r="Q459" i="6"/>
  <c r="P459" i="6"/>
  <c r="O459" i="6"/>
  <c r="N459" i="6"/>
  <c r="M459" i="6"/>
  <c r="L459" i="6"/>
  <c r="K459" i="6"/>
  <c r="J459" i="6"/>
  <c r="I459" i="6"/>
  <c r="H459" i="6"/>
  <c r="G459" i="6"/>
  <c r="F459" i="6"/>
  <c r="Z458" i="6"/>
  <c r="Y458" i="6"/>
  <c r="X458" i="6"/>
  <c r="W458" i="6"/>
  <c r="V458" i="6"/>
  <c r="U458" i="6"/>
  <c r="T458" i="6"/>
  <c r="S458" i="6"/>
  <c r="R458" i="6"/>
  <c r="Q458" i="6"/>
  <c r="P458" i="6"/>
  <c r="O458" i="6"/>
  <c r="N458" i="6"/>
  <c r="M458" i="6"/>
  <c r="L458" i="6"/>
  <c r="K458" i="6"/>
  <c r="J458" i="6"/>
  <c r="I458" i="6"/>
  <c r="H458" i="6"/>
  <c r="G458" i="6"/>
  <c r="F458" i="6"/>
  <c r="Z457" i="6"/>
  <c r="Y457" i="6"/>
  <c r="X457" i="6"/>
  <c r="W457" i="6"/>
  <c r="V457" i="6"/>
  <c r="U457" i="6"/>
  <c r="T457" i="6"/>
  <c r="S457" i="6"/>
  <c r="R457" i="6"/>
  <c r="Q457" i="6"/>
  <c r="P457" i="6"/>
  <c r="O457" i="6"/>
  <c r="N457" i="6"/>
  <c r="M457" i="6"/>
  <c r="L457" i="6"/>
  <c r="K457" i="6"/>
  <c r="J457" i="6"/>
  <c r="I457" i="6"/>
  <c r="H457" i="6"/>
  <c r="G457" i="6"/>
  <c r="F457" i="6"/>
  <c r="Z456" i="6"/>
  <c r="Y456" i="6"/>
  <c r="X456" i="6"/>
  <c r="W456" i="6"/>
  <c r="V456" i="6"/>
  <c r="U456" i="6"/>
  <c r="T456" i="6"/>
  <c r="S456" i="6"/>
  <c r="R456" i="6"/>
  <c r="Q456" i="6"/>
  <c r="P456" i="6"/>
  <c r="O456" i="6"/>
  <c r="N456" i="6"/>
  <c r="M456" i="6"/>
  <c r="L456" i="6"/>
  <c r="K456" i="6"/>
  <c r="J456" i="6"/>
  <c r="I456" i="6"/>
  <c r="H456" i="6"/>
  <c r="G456" i="6"/>
  <c r="F456" i="6"/>
  <c r="Z455" i="6"/>
  <c r="Y455" i="6"/>
  <c r="X455" i="6"/>
  <c r="W455" i="6"/>
  <c r="V455" i="6"/>
  <c r="U455" i="6"/>
  <c r="T455" i="6"/>
  <c r="S455" i="6"/>
  <c r="R455" i="6"/>
  <c r="Q455" i="6"/>
  <c r="P455" i="6"/>
  <c r="O455" i="6"/>
  <c r="N455" i="6"/>
  <c r="M455" i="6"/>
  <c r="L455" i="6"/>
  <c r="K455" i="6"/>
  <c r="J455" i="6"/>
  <c r="I455" i="6"/>
  <c r="H455" i="6"/>
  <c r="G455" i="6"/>
  <c r="F455" i="6"/>
  <c r="Z454" i="6"/>
  <c r="Y454" i="6"/>
  <c r="X454" i="6"/>
  <c r="W454" i="6"/>
  <c r="V454" i="6"/>
  <c r="U454" i="6"/>
  <c r="T454" i="6"/>
  <c r="S454" i="6"/>
  <c r="R454" i="6"/>
  <c r="Q454" i="6"/>
  <c r="P454" i="6"/>
  <c r="O454" i="6"/>
  <c r="N454" i="6"/>
  <c r="M454" i="6"/>
  <c r="L454" i="6"/>
  <c r="K454" i="6"/>
  <c r="J454" i="6"/>
  <c r="I454" i="6"/>
  <c r="H454" i="6"/>
  <c r="G454" i="6"/>
  <c r="F454" i="6"/>
  <c r="Z453" i="6"/>
  <c r="Y453" i="6"/>
  <c r="X453" i="6"/>
  <c r="W453" i="6"/>
  <c r="V453" i="6"/>
  <c r="U453" i="6"/>
  <c r="T453" i="6"/>
  <c r="S453" i="6"/>
  <c r="R453" i="6"/>
  <c r="Q453" i="6"/>
  <c r="P453" i="6"/>
  <c r="O453" i="6"/>
  <c r="N453" i="6"/>
  <c r="M453" i="6"/>
  <c r="L453" i="6"/>
  <c r="K453" i="6"/>
  <c r="J453" i="6"/>
  <c r="I453" i="6"/>
  <c r="H453" i="6"/>
  <c r="G453" i="6"/>
  <c r="F453" i="6"/>
  <c r="Z452" i="6"/>
  <c r="Y452" i="6"/>
  <c r="X452" i="6"/>
  <c r="W452" i="6"/>
  <c r="V452" i="6"/>
  <c r="U452" i="6"/>
  <c r="T452" i="6"/>
  <c r="S452" i="6"/>
  <c r="R452" i="6"/>
  <c r="Q452" i="6"/>
  <c r="P452" i="6"/>
  <c r="O452" i="6"/>
  <c r="N452" i="6"/>
  <c r="M452" i="6"/>
  <c r="L452" i="6"/>
  <c r="K452" i="6"/>
  <c r="J452" i="6"/>
  <c r="I452" i="6"/>
  <c r="H452" i="6"/>
  <c r="G452" i="6"/>
  <c r="F452" i="6"/>
  <c r="Z451" i="6"/>
  <c r="Y451" i="6"/>
  <c r="X451" i="6"/>
  <c r="W451" i="6"/>
  <c r="V451" i="6"/>
  <c r="U451" i="6"/>
  <c r="T451" i="6"/>
  <c r="S451" i="6"/>
  <c r="R451" i="6"/>
  <c r="Q451" i="6"/>
  <c r="P451" i="6"/>
  <c r="O451" i="6"/>
  <c r="N451" i="6"/>
  <c r="M451" i="6"/>
  <c r="L451" i="6"/>
  <c r="K451" i="6"/>
  <c r="J451" i="6"/>
  <c r="I451" i="6"/>
  <c r="H451" i="6"/>
  <c r="G451" i="6"/>
  <c r="F451" i="6"/>
  <c r="Z450" i="6"/>
  <c r="Y450" i="6"/>
  <c r="X450" i="6"/>
  <c r="W450" i="6"/>
  <c r="V450" i="6"/>
  <c r="U450" i="6"/>
  <c r="T450" i="6"/>
  <c r="S450" i="6"/>
  <c r="R450" i="6"/>
  <c r="Q450" i="6"/>
  <c r="P450" i="6"/>
  <c r="O450" i="6"/>
  <c r="N450" i="6"/>
  <c r="M450" i="6"/>
  <c r="L450" i="6"/>
  <c r="K450" i="6"/>
  <c r="J450" i="6"/>
  <c r="I450" i="6"/>
  <c r="H450" i="6"/>
  <c r="G450" i="6"/>
  <c r="F450" i="6"/>
  <c r="Z449" i="6"/>
  <c r="Y449" i="6"/>
  <c r="X449" i="6"/>
  <c r="W449" i="6"/>
  <c r="V449" i="6"/>
  <c r="U449" i="6"/>
  <c r="T449" i="6"/>
  <c r="S449" i="6"/>
  <c r="R449" i="6"/>
  <c r="Q449" i="6"/>
  <c r="P449" i="6"/>
  <c r="O449" i="6"/>
  <c r="N449" i="6"/>
  <c r="M449" i="6"/>
  <c r="L449" i="6"/>
  <c r="K449" i="6"/>
  <c r="J449" i="6"/>
  <c r="I449" i="6"/>
  <c r="H449" i="6"/>
  <c r="G449" i="6"/>
  <c r="F449" i="6"/>
  <c r="Z448" i="6"/>
  <c r="Y448" i="6"/>
  <c r="X448" i="6"/>
  <c r="W448" i="6"/>
  <c r="V448" i="6"/>
  <c r="U448" i="6"/>
  <c r="T448" i="6"/>
  <c r="S448" i="6"/>
  <c r="R448" i="6"/>
  <c r="Q448" i="6"/>
  <c r="P448" i="6"/>
  <c r="O448" i="6"/>
  <c r="N448" i="6"/>
  <c r="M448" i="6"/>
  <c r="L448" i="6"/>
  <c r="K448" i="6"/>
  <c r="J448" i="6"/>
  <c r="I448" i="6"/>
  <c r="H448" i="6"/>
  <c r="G448" i="6"/>
  <c r="F448" i="6"/>
  <c r="Z447" i="6"/>
  <c r="Y447" i="6"/>
  <c r="X447" i="6"/>
  <c r="W447" i="6"/>
  <c r="V447" i="6"/>
  <c r="U447" i="6"/>
  <c r="T447" i="6"/>
  <c r="S447" i="6"/>
  <c r="R447" i="6"/>
  <c r="Q447" i="6"/>
  <c r="P447" i="6"/>
  <c r="O447" i="6"/>
  <c r="N447" i="6"/>
  <c r="M447" i="6"/>
  <c r="L447" i="6"/>
  <c r="K447" i="6"/>
  <c r="J447" i="6"/>
  <c r="I447" i="6"/>
  <c r="H447" i="6"/>
  <c r="G447" i="6"/>
  <c r="F447" i="6"/>
  <c r="Z446" i="6"/>
  <c r="Y446" i="6"/>
  <c r="X446" i="6"/>
  <c r="W446" i="6"/>
  <c r="V446" i="6"/>
  <c r="U446" i="6"/>
  <c r="T446" i="6"/>
  <c r="S446" i="6"/>
  <c r="R446" i="6"/>
  <c r="Q446" i="6"/>
  <c r="P446" i="6"/>
  <c r="O446" i="6"/>
  <c r="N446" i="6"/>
  <c r="M446" i="6"/>
  <c r="L446" i="6"/>
  <c r="K446" i="6"/>
  <c r="J446" i="6"/>
  <c r="I446" i="6"/>
  <c r="H446" i="6"/>
  <c r="G446" i="6"/>
  <c r="F446" i="6"/>
  <c r="Z445" i="6"/>
  <c r="Y445" i="6"/>
  <c r="X445" i="6"/>
  <c r="W445" i="6"/>
  <c r="V445" i="6"/>
  <c r="U445" i="6"/>
  <c r="T445" i="6"/>
  <c r="S445" i="6"/>
  <c r="R445" i="6"/>
  <c r="Q445" i="6"/>
  <c r="P445" i="6"/>
  <c r="O445" i="6"/>
  <c r="N445" i="6"/>
  <c r="M445" i="6"/>
  <c r="L445" i="6"/>
  <c r="K445" i="6"/>
  <c r="J445" i="6"/>
  <c r="I445" i="6"/>
  <c r="H445" i="6"/>
  <c r="G445" i="6"/>
  <c r="F445" i="6"/>
  <c r="Z444" i="6"/>
  <c r="Y444" i="6"/>
  <c r="X444" i="6"/>
  <c r="W444" i="6"/>
  <c r="V444" i="6"/>
  <c r="U444" i="6"/>
  <c r="T444" i="6"/>
  <c r="S444" i="6"/>
  <c r="R444" i="6"/>
  <c r="Q444" i="6"/>
  <c r="P444" i="6"/>
  <c r="O444" i="6"/>
  <c r="N444" i="6"/>
  <c r="M444" i="6"/>
  <c r="L444" i="6"/>
  <c r="K444" i="6"/>
  <c r="J444" i="6"/>
  <c r="I444" i="6"/>
  <c r="H444" i="6"/>
  <c r="G444" i="6"/>
  <c r="F444" i="6"/>
  <c r="Z443" i="6"/>
  <c r="Y443" i="6"/>
  <c r="X443" i="6"/>
  <c r="W443" i="6"/>
  <c r="V443" i="6"/>
  <c r="U443" i="6"/>
  <c r="T443" i="6"/>
  <c r="S443" i="6"/>
  <c r="R443" i="6"/>
  <c r="Q443" i="6"/>
  <c r="P443" i="6"/>
  <c r="O443" i="6"/>
  <c r="N443" i="6"/>
  <c r="M443" i="6"/>
  <c r="L443" i="6"/>
  <c r="K443" i="6"/>
  <c r="J443" i="6"/>
  <c r="I443" i="6"/>
  <c r="H443" i="6"/>
  <c r="G443" i="6"/>
  <c r="F443" i="6"/>
  <c r="Z442" i="6"/>
  <c r="Y442" i="6"/>
  <c r="X442" i="6"/>
  <c r="W442" i="6"/>
  <c r="V442" i="6"/>
  <c r="U442" i="6"/>
  <c r="T442" i="6"/>
  <c r="S442" i="6"/>
  <c r="R442" i="6"/>
  <c r="Q442" i="6"/>
  <c r="P442" i="6"/>
  <c r="O442" i="6"/>
  <c r="N442" i="6"/>
  <c r="M442" i="6"/>
  <c r="L442" i="6"/>
  <c r="K442" i="6"/>
  <c r="J442" i="6"/>
  <c r="I442" i="6"/>
  <c r="H442" i="6"/>
  <c r="G442" i="6"/>
  <c r="F442" i="6"/>
  <c r="Z441" i="6"/>
  <c r="Y441" i="6"/>
  <c r="X441" i="6"/>
  <c r="W441" i="6"/>
  <c r="V441" i="6"/>
  <c r="U441" i="6"/>
  <c r="T441" i="6"/>
  <c r="S441" i="6"/>
  <c r="R441" i="6"/>
  <c r="Q441" i="6"/>
  <c r="P441" i="6"/>
  <c r="O441" i="6"/>
  <c r="N441" i="6"/>
  <c r="M441" i="6"/>
  <c r="L441" i="6"/>
  <c r="K441" i="6"/>
  <c r="J441" i="6"/>
  <c r="I441" i="6"/>
  <c r="H441" i="6"/>
  <c r="G441" i="6"/>
  <c r="F441" i="6"/>
  <c r="Z440" i="6"/>
  <c r="Y440" i="6"/>
  <c r="X440" i="6"/>
  <c r="W440" i="6"/>
  <c r="V440" i="6"/>
  <c r="U440" i="6"/>
  <c r="T440" i="6"/>
  <c r="S440" i="6"/>
  <c r="R440" i="6"/>
  <c r="Q440" i="6"/>
  <c r="P440" i="6"/>
  <c r="O440" i="6"/>
  <c r="N440" i="6"/>
  <c r="M440" i="6"/>
  <c r="L440" i="6"/>
  <c r="K440" i="6"/>
  <c r="J440" i="6"/>
  <c r="I440" i="6"/>
  <c r="H440" i="6"/>
  <c r="G440" i="6"/>
  <c r="F440" i="6"/>
  <c r="Z439" i="6"/>
  <c r="Y439" i="6"/>
  <c r="X439" i="6"/>
  <c r="W439" i="6"/>
  <c r="V439" i="6"/>
  <c r="U439" i="6"/>
  <c r="T439" i="6"/>
  <c r="S439" i="6"/>
  <c r="R439" i="6"/>
  <c r="Q439" i="6"/>
  <c r="P439" i="6"/>
  <c r="O439" i="6"/>
  <c r="N439" i="6"/>
  <c r="M439" i="6"/>
  <c r="L439" i="6"/>
  <c r="K439" i="6"/>
  <c r="J439" i="6"/>
  <c r="I439" i="6"/>
  <c r="H439" i="6"/>
  <c r="G439" i="6"/>
  <c r="F439" i="6"/>
  <c r="Z438" i="6"/>
  <c r="Y438" i="6"/>
  <c r="X438" i="6"/>
  <c r="W438" i="6"/>
  <c r="V438" i="6"/>
  <c r="U438" i="6"/>
  <c r="T438" i="6"/>
  <c r="S438" i="6"/>
  <c r="R438" i="6"/>
  <c r="Q438" i="6"/>
  <c r="P438" i="6"/>
  <c r="O438" i="6"/>
  <c r="N438" i="6"/>
  <c r="M438" i="6"/>
  <c r="L438" i="6"/>
  <c r="K438" i="6"/>
  <c r="J438" i="6"/>
  <c r="I438" i="6"/>
  <c r="H438" i="6"/>
  <c r="G438" i="6"/>
  <c r="F438" i="6"/>
  <c r="Z437" i="6"/>
  <c r="Y437" i="6"/>
  <c r="X437" i="6"/>
  <c r="W437" i="6"/>
  <c r="V437" i="6"/>
  <c r="U437" i="6"/>
  <c r="T437" i="6"/>
  <c r="S437" i="6"/>
  <c r="R437" i="6"/>
  <c r="Q437" i="6"/>
  <c r="P437" i="6"/>
  <c r="O437" i="6"/>
  <c r="N437" i="6"/>
  <c r="M437" i="6"/>
  <c r="L437" i="6"/>
  <c r="K437" i="6"/>
  <c r="J437" i="6"/>
  <c r="I437" i="6"/>
  <c r="H437" i="6"/>
  <c r="G437" i="6"/>
  <c r="F437" i="6"/>
  <c r="Z436" i="6"/>
  <c r="Y436" i="6"/>
  <c r="X436" i="6"/>
  <c r="W436" i="6"/>
  <c r="V436" i="6"/>
  <c r="U436" i="6"/>
  <c r="T436" i="6"/>
  <c r="S436" i="6"/>
  <c r="R436" i="6"/>
  <c r="Q436" i="6"/>
  <c r="P436" i="6"/>
  <c r="O436" i="6"/>
  <c r="N436" i="6"/>
  <c r="M436" i="6"/>
  <c r="L436" i="6"/>
  <c r="K436" i="6"/>
  <c r="J436" i="6"/>
  <c r="I436" i="6"/>
  <c r="H436" i="6"/>
  <c r="G436" i="6"/>
  <c r="F436" i="6"/>
  <c r="Z435" i="6"/>
  <c r="Y435" i="6"/>
  <c r="X435" i="6"/>
  <c r="W435" i="6"/>
  <c r="V435" i="6"/>
  <c r="U435" i="6"/>
  <c r="T435" i="6"/>
  <c r="S435" i="6"/>
  <c r="R435" i="6"/>
  <c r="Q435" i="6"/>
  <c r="P435" i="6"/>
  <c r="O435" i="6"/>
  <c r="N435" i="6"/>
  <c r="M435" i="6"/>
  <c r="L435" i="6"/>
  <c r="K435" i="6"/>
  <c r="J435" i="6"/>
  <c r="I435" i="6"/>
  <c r="H435" i="6"/>
  <c r="G435" i="6"/>
  <c r="F435" i="6"/>
  <c r="Z434" i="6"/>
  <c r="Y434" i="6"/>
  <c r="X434" i="6"/>
  <c r="W434" i="6"/>
  <c r="V434" i="6"/>
  <c r="U434" i="6"/>
  <c r="T434" i="6"/>
  <c r="S434" i="6"/>
  <c r="R434" i="6"/>
  <c r="Q434" i="6"/>
  <c r="P434" i="6"/>
  <c r="O434" i="6"/>
  <c r="N434" i="6"/>
  <c r="M434" i="6"/>
  <c r="L434" i="6"/>
  <c r="K434" i="6"/>
  <c r="J434" i="6"/>
  <c r="I434" i="6"/>
  <c r="H434" i="6"/>
  <c r="G434" i="6"/>
  <c r="F434" i="6"/>
  <c r="Z431" i="6"/>
  <c r="Y431" i="6"/>
  <c r="X431" i="6"/>
  <c r="W431" i="6"/>
  <c r="V431" i="6"/>
  <c r="U431" i="6"/>
  <c r="T431" i="6"/>
  <c r="S431" i="6"/>
  <c r="R431" i="6"/>
  <c r="Q431" i="6"/>
  <c r="P431" i="6"/>
  <c r="O431" i="6"/>
  <c r="N431" i="6"/>
  <c r="M431" i="6"/>
  <c r="L431" i="6"/>
  <c r="K431" i="6"/>
  <c r="J431" i="6"/>
  <c r="I431" i="6"/>
  <c r="H431" i="6"/>
  <c r="G431" i="6"/>
  <c r="F431" i="6"/>
  <c r="Z430" i="6"/>
  <c r="Y430" i="6"/>
  <c r="X430" i="6"/>
  <c r="W430" i="6"/>
  <c r="V430" i="6"/>
  <c r="U430" i="6"/>
  <c r="T430" i="6"/>
  <c r="S430" i="6"/>
  <c r="R430" i="6"/>
  <c r="Q430" i="6"/>
  <c r="P430" i="6"/>
  <c r="O430" i="6"/>
  <c r="N430" i="6"/>
  <c r="M430" i="6"/>
  <c r="L430" i="6"/>
  <c r="K430" i="6"/>
  <c r="J430" i="6"/>
  <c r="I430" i="6"/>
  <c r="H430" i="6"/>
  <c r="G430" i="6"/>
  <c r="F430" i="6"/>
  <c r="Z429" i="6"/>
  <c r="Y429" i="6"/>
  <c r="X429" i="6"/>
  <c r="W429" i="6"/>
  <c r="V429" i="6"/>
  <c r="U429" i="6"/>
  <c r="T429" i="6"/>
  <c r="S429" i="6"/>
  <c r="R429" i="6"/>
  <c r="Q429" i="6"/>
  <c r="P429" i="6"/>
  <c r="O429" i="6"/>
  <c r="N429" i="6"/>
  <c r="M429" i="6"/>
  <c r="L429" i="6"/>
  <c r="K429" i="6"/>
  <c r="J429" i="6"/>
  <c r="I429" i="6"/>
  <c r="H429" i="6"/>
  <c r="G429" i="6"/>
  <c r="F429" i="6"/>
  <c r="Z428" i="6"/>
  <c r="Y428" i="6"/>
  <c r="X428" i="6"/>
  <c r="W428" i="6"/>
  <c r="V428" i="6"/>
  <c r="U428" i="6"/>
  <c r="T428" i="6"/>
  <c r="S428" i="6"/>
  <c r="R428" i="6"/>
  <c r="Q428" i="6"/>
  <c r="P428" i="6"/>
  <c r="O428" i="6"/>
  <c r="N428" i="6"/>
  <c r="M428" i="6"/>
  <c r="L428" i="6"/>
  <c r="K428" i="6"/>
  <c r="J428" i="6"/>
  <c r="I428" i="6"/>
  <c r="H428" i="6"/>
  <c r="G428" i="6"/>
  <c r="F428" i="6"/>
  <c r="Z427" i="6"/>
  <c r="Y427" i="6"/>
  <c r="X427" i="6"/>
  <c r="W427" i="6"/>
  <c r="V427" i="6"/>
  <c r="U427" i="6"/>
  <c r="T427" i="6"/>
  <c r="S427" i="6"/>
  <c r="R427" i="6"/>
  <c r="Q427" i="6"/>
  <c r="P427" i="6"/>
  <c r="O427" i="6"/>
  <c r="N427" i="6"/>
  <c r="M427" i="6"/>
  <c r="L427" i="6"/>
  <c r="K427" i="6"/>
  <c r="J427" i="6"/>
  <c r="I427" i="6"/>
  <c r="H427" i="6"/>
  <c r="G427" i="6"/>
  <c r="F427" i="6"/>
  <c r="Z426" i="6"/>
  <c r="Y426" i="6"/>
  <c r="X426" i="6"/>
  <c r="W426" i="6"/>
  <c r="V426" i="6"/>
  <c r="U426" i="6"/>
  <c r="T426" i="6"/>
  <c r="S426" i="6"/>
  <c r="R426" i="6"/>
  <c r="Q426" i="6"/>
  <c r="P426" i="6"/>
  <c r="O426" i="6"/>
  <c r="N426" i="6"/>
  <c r="M426" i="6"/>
  <c r="L426" i="6"/>
  <c r="K426" i="6"/>
  <c r="J426" i="6"/>
  <c r="I426" i="6"/>
  <c r="H426" i="6"/>
  <c r="G426" i="6"/>
  <c r="F426" i="6"/>
  <c r="Z425" i="6"/>
  <c r="Y425" i="6"/>
  <c r="X425" i="6"/>
  <c r="W425" i="6"/>
  <c r="V425" i="6"/>
  <c r="U425" i="6"/>
  <c r="T425" i="6"/>
  <c r="S425" i="6"/>
  <c r="R425" i="6"/>
  <c r="Q425" i="6"/>
  <c r="P425" i="6"/>
  <c r="O425" i="6"/>
  <c r="N425" i="6"/>
  <c r="M425" i="6"/>
  <c r="L425" i="6"/>
  <c r="K425" i="6"/>
  <c r="J425" i="6"/>
  <c r="I425" i="6"/>
  <c r="H425" i="6"/>
  <c r="G425" i="6"/>
  <c r="F425" i="6"/>
  <c r="Z424" i="6"/>
  <c r="Y424" i="6"/>
  <c r="X424" i="6"/>
  <c r="W424" i="6"/>
  <c r="V424" i="6"/>
  <c r="U424" i="6"/>
  <c r="T424" i="6"/>
  <c r="S424" i="6"/>
  <c r="R424" i="6"/>
  <c r="Q424" i="6"/>
  <c r="P424" i="6"/>
  <c r="O424" i="6"/>
  <c r="N424" i="6"/>
  <c r="M424" i="6"/>
  <c r="L424" i="6"/>
  <c r="K424" i="6"/>
  <c r="J424" i="6"/>
  <c r="I424" i="6"/>
  <c r="H424" i="6"/>
  <c r="G424" i="6"/>
  <c r="F424" i="6"/>
  <c r="Z423" i="6"/>
  <c r="Y423" i="6"/>
  <c r="X423" i="6"/>
  <c r="W423" i="6"/>
  <c r="V423" i="6"/>
  <c r="U423" i="6"/>
  <c r="T423" i="6"/>
  <c r="S423" i="6"/>
  <c r="R423" i="6"/>
  <c r="Q423" i="6"/>
  <c r="P423" i="6"/>
  <c r="O423" i="6"/>
  <c r="N423" i="6"/>
  <c r="M423" i="6"/>
  <c r="L423" i="6"/>
  <c r="K423" i="6"/>
  <c r="J423" i="6"/>
  <c r="I423" i="6"/>
  <c r="H423" i="6"/>
  <c r="G423" i="6"/>
  <c r="F423" i="6"/>
  <c r="Z422" i="6"/>
  <c r="Y422" i="6"/>
  <c r="X422" i="6"/>
  <c r="W422" i="6"/>
  <c r="V422" i="6"/>
  <c r="U422" i="6"/>
  <c r="T422" i="6"/>
  <c r="S422" i="6"/>
  <c r="R422" i="6"/>
  <c r="Q422" i="6"/>
  <c r="P422" i="6"/>
  <c r="O422" i="6"/>
  <c r="N422" i="6"/>
  <c r="M422" i="6"/>
  <c r="L422" i="6"/>
  <c r="K422" i="6"/>
  <c r="J422" i="6"/>
  <c r="I422" i="6"/>
  <c r="H422" i="6"/>
  <c r="G422" i="6"/>
  <c r="F422" i="6"/>
  <c r="Z421" i="6"/>
  <c r="Y421" i="6"/>
  <c r="X421" i="6"/>
  <c r="W421" i="6"/>
  <c r="V421" i="6"/>
  <c r="U421" i="6"/>
  <c r="T421" i="6"/>
  <c r="S421" i="6"/>
  <c r="R421" i="6"/>
  <c r="Q421" i="6"/>
  <c r="P421" i="6"/>
  <c r="O421" i="6"/>
  <c r="N421" i="6"/>
  <c r="M421" i="6"/>
  <c r="L421" i="6"/>
  <c r="K421" i="6"/>
  <c r="J421" i="6"/>
  <c r="I421" i="6"/>
  <c r="H421" i="6"/>
  <c r="G421" i="6"/>
  <c r="F421" i="6"/>
  <c r="Z420" i="6"/>
  <c r="Y420" i="6"/>
  <c r="X420" i="6"/>
  <c r="W420" i="6"/>
  <c r="V420" i="6"/>
  <c r="U420" i="6"/>
  <c r="T420" i="6"/>
  <c r="S420" i="6"/>
  <c r="R420" i="6"/>
  <c r="Q420" i="6"/>
  <c r="P420" i="6"/>
  <c r="O420" i="6"/>
  <c r="N420" i="6"/>
  <c r="M420" i="6"/>
  <c r="L420" i="6"/>
  <c r="K420" i="6"/>
  <c r="J420" i="6"/>
  <c r="I420" i="6"/>
  <c r="H420" i="6"/>
  <c r="G420" i="6"/>
  <c r="F420" i="6"/>
  <c r="Z419" i="6"/>
  <c r="Y419" i="6"/>
  <c r="X419" i="6"/>
  <c r="W419" i="6"/>
  <c r="V419" i="6"/>
  <c r="U419" i="6"/>
  <c r="T419" i="6"/>
  <c r="S419" i="6"/>
  <c r="R419" i="6"/>
  <c r="Q419" i="6"/>
  <c r="P419" i="6"/>
  <c r="O419" i="6"/>
  <c r="N419" i="6"/>
  <c r="M419" i="6"/>
  <c r="L419" i="6"/>
  <c r="K419" i="6"/>
  <c r="J419" i="6"/>
  <c r="I419" i="6"/>
  <c r="H419" i="6"/>
  <c r="G419" i="6"/>
  <c r="F419" i="6"/>
  <c r="Z418" i="6"/>
  <c r="Y418" i="6"/>
  <c r="X418" i="6"/>
  <c r="W418" i="6"/>
  <c r="V418" i="6"/>
  <c r="U418" i="6"/>
  <c r="T418" i="6"/>
  <c r="S418" i="6"/>
  <c r="R418" i="6"/>
  <c r="Q418" i="6"/>
  <c r="P418" i="6"/>
  <c r="O418" i="6"/>
  <c r="N418" i="6"/>
  <c r="M418" i="6"/>
  <c r="L418" i="6"/>
  <c r="K418" i="6"/>
  <c r="J418" i="6"/>
  <c r="I418" i="6"/>
  <c r="H418" i="6"/>
  <c r="G418" i="6"/>
  <c r="F418" i="6"/>
  <c r="Z417" i="6"/>
  <c r="Y417" i="6"/>
  <c r="X417" i="6"/>
  <c r="W417" i="6"/>
  <c r="V417" i="6"/>
  <c r="U417" i="6"/>
  <c r="T417" i="6"/>
  <c r="S417" i="6"/>
  <c r="R417" i="6"/>
  <c r="Q417" i="6"/>
  <c r="P417" i="6"/>
  <c r="O417" i="6"/>
  <c r="N417" i="6"/>
  <c r="M417" i="6"/>
  <c r="L417" i="6"/>
  <c r="K417" i="6"/>
  <c r="J417" i="6"/>
  <c r="I417" i="6"/>
  <c r="H417" i="6"/>
  <c r="G417" i="6"/>
  <c r="F417" i="6"/>
  <c r="Z416" i="6"/>
  <c r="Y416" i="6"/>
  <c r="X416" i="6"/>
  <c r="W416" i="6"/>
  <c r="V416" i="6"/>
  <c r="U416" i="6"/>
  <c r="T416" i="6"/>
  <c r="S416" i="6"/>
  <c r="R416" i="6"/>
  <c r="Q416" i="6"/>
  <c r="P416" i="6"/>
  <c r="O416" i="6"/>
  <c r="N416" i="6"/>
  <c r="M416" i="6"/>
  <c r="L416" i="6"/>
  <c r="K416" i="6"/>
  <c r="J416" i="6"/>
  <c r="I416" i="6"/>
  <c r="H416" i="6"/>
  <c r="G416" i="6"/>
  <c r="F416" i="6"/>
  <c r="Z415" i="6"/>
  <c r="Y415" i="6"/>
  <c r="X415" i="6"/>
  <c r="W415" i="6"/>
  <c r="V415" i="6"/>
  <c r="U415" i="6"/>
  <c r="T415" i="6"/>
  <c r="S415" i="6"/>
  <c r="R415" i="6"/>
  <c r="Q415" i="6"/>
  <c r="P415" i="6"/>
  <c r="O415" i="6"/>
  <c r="N415" i="6"/>
  <c r="M415" i="6"/>
  <c r="L415" i="6"/>
  <c r="K415" i="6"/>
  <c r="J415" i="6"/>
  <c r="I415" i="6"/>
  <c r="H415" i="6"/>
  <c r="G415" i="6"/>
  <c r="F415" i="6"/>
  <c r="Z414" i="6"/>
  <c r="Y414" i="6"/>
  <c r="X414" i="6"/>
  <c r="W414" i="6"/>
  <c r="V414" i="6"/>
  <c r="U414" i="6"/>
  <c r="T414" i="6"/>
  <c r="S414" i="6"/>
  <c r="R414" i="6"/>
  <c r="Q414" i="6"/>
  <c r="P414" i="6"/>
  <c r="O414" i="6"/>
  <c r="N414" i="6"/>
  <c r="M414" i="6"/>
  <c r="L414" i="6"/>
  <c r="K414" i="6"/>
  <c r="J414" i="6"/>
  <c r="I414" i="6"/>
  <c r="H414" i="6"/>
  <c r="G414" i="6"/>
  <c r="F414" i="6"/>
  <c r="Z413" i="6"/>
  <c r="Y413" i="6"/>
  <c r="X413" i="6"/>
  <c r="W413" i="6"/>
  <c r="V413" i="6"/>
  <c r="U413" i="6"/>
  <c r="T413" i="6"/>
  <c r="S413" i="6"/>
  <c r="R413" i="6"/>
  <c r="Q413" i="6"/>
  <c r="P413" i="6"/>
  <c r="O413" i="6"/>
  <c r="N413" i="6"/>
  <c r="M413" i="6"/>
  <c r="L413" i="6"/>
  <c r="K413" i="6"/>
  <c r="J413" i="6"/>
  <c r="I413" i="6"/>
  <c r="H413" i="6"/>
  <c r="G413" i="6"/>
  <c r="F413" i="6"/>
  <c r="Z412" i="6"/>
  <c r="Y412" i="6"/>
  <c r="X412" i="6"/>
  <c r="W412" i="6"/>
  <c r="V412" i="6"/>
  <c r="U412" i="6"/>
  <c r="T412" i="6"/>
  <c r="S412" i="6"/>
  <c r="R412" i="6"/>
  <c r="Q412" i="6"/>
  <c r="P412" i="6"/>
  <c r="O412" i="6"/>
  <c r="N412" i="6"/>
  <c r="M412" i="6"/>
  <c r="L412" i="6"/>
  <c r="K412" i="6"/>
  <c r="J412" i="6"/>
  <c r="I412" i="6"/>
  <c r="H412" i="6"/>
  <c r="G412" i="6"/>
  <c r="F412" i="6"/>
  <c r="Z402" i="6"/>
  <c r="Y402" i="6"/>
  <c r="X402" i="6"/>
  <c r="W402" i="6"/>
  <c r="V402" i="6"/>
  <c r="U402" i="6"/>
  <c r="T402" i="6"/>
  <c r="S402" i="6"/>
  <c r="R402" i="6"/>
  <c r="Q402" i="6"/>
  <c r="P402" i="6"/>
  <c r="O402" i="6"/>
  <c r="N402" i="6"/>
  <c r="M402" i="6"/>
  <c r="L402" i="6"/>
  <c r="K402" i="6"/>
  <c r="J402" i="6"/>
  <c r="I402" i="6"/>
  <c r="H402" i="6"/>
  <c r="G402" i="6"/>
  <c r="F402" i="6"/>
  <c r="Z401" i="6"/>
  <c r="Y401" i="6"/>
  <c r="X401" i="6"/>
  <c r="W401" i="6"/>
  <c r="V401" i="6"/>
  <c r="U401" i="6"/>
  <c r="T401" i="6"/>
  <c r="S401" i="6"/>
  <c r="R401" i="6"/>
  <c r="Q401" i="6"/>
  <c r="P401" i="6"/>
  <c r="O401" i="6"/>
  <c r="N401" i="6"/>
  <c r="M401" i="6"/>
  <c r="L401" i="6"/>
  <c r="K401" i="6"/>
  <c r="J401" i="6"/>
  <c r="I401" i="6"/>
  <c r="H401" i="6"/>
  <c r="G401" i="6"/>
  <c r="F401" i="6"/>
  <c r="Z400" i="6"/>
  <c r="Y400" i="6"/>
  <c r="X400" i="6"/>
  <c r="W400" i="6"/>
  <c r="V400" i="6"/>
  <c r="U400" i="6"/>
  <c r="T400" i="6"/>
  <c r="S400" i="6"/>
  <c r="R400" i="6"/>
  <c r="Q400" i="6"/>
  <c r="P400" i="6"/>
  <c r="O400" i="6"/>
  <c r="N400" i="6"/>
  <c r="M400" i="6"/>
  <c r="L400" i="6"/>
  <c r="K400" i="6"/>
  <c r="J400" i="6"/>
  <c r="I400" i="6"/>
  <c r="H400" i="6"/>
  <c r="G400" i="6"/>
  <c r="F400" i="6"/>
  <c r="Z399" i="6"/>
  <c r="Y399" i="6"/>
  <c r="X399" i="6"/>
  <c r="W399" i="6"/>
  <c r="V399" i="6"/>
  <c r="U399" i="6"/>
  <c r="T399" i="6"/>
  <c r="S399" i="6"/>
  <c r="R399" i="6"/>
  <c r="Q399" i="6"/>
  <c r="P399" i="6"/>
  <c r="O399" i="6"/>
  <c r="N399" i="6"/>
  <c r="M399" i="6"/>
  <c r="L399" i="6"/>
  <c r="K399" i="6"/>
  <c r="J399" i="6"/>
  <c r="I399" i="6"/>
  <c r="H399" i="6"/>
  <c r="G399" i="6"/>
  <c r="F399" i="6"/>
  <c r="Z398" i="6"/>
  <c r="Y398" i="6"/>
  <c r="X398" i="6"/>
  <c r="W398" i="6"/>
  <c r="V398" i="6"/>
  <c r="U398" i="6"/>
  <c r="T398" i="6"/>
  <c r="S398" i="6"/>
  <c r="R398" i="6"/>
  <c r="Q398" i="6"/>
  <c r="P398" i="6"/>
  <c r="O398" i="6"/>
  <c r="N398" i="6"/>
  <c r="M398" i="6"/>
  <c r="L398" i="6"/>
  <c r="K398" i="6"/>
  <c r="J398" i="6"/>
  <c r="I398" i="6"/>
  <c r="H398" i="6"/>
  <c r="G398" i="6"/>
  <c r="F398" i="6"/>
  <c r="Z397" i="6"/>
  <c r="Y397" i="6"/>
  <c r="X397" i="6"/>
  <c r="W397" i="6"/>
  <c r="V397" i="6"/>
  <c r="U397" i="6"/>
  <c r="T397" i="6"/>
  <c r="S397" i="6"/>
  <c r="R397" i="6"/>
  <c r="Q397" i="6"/>
  <c r="P397" i="6"/>
  <c r="O397" i="6"/>
  <c r="N397" i="6"/>
  <c r="M397" i="6"/>
  <c r="L397" i="6"/>
  <c r="K397" i="6"/>
  <c r="J397" i="6"/>
  <c r="I397" i="6"/>
  <c r="H397" i="6"/>
  <c r="G397" i="6"/>
  <c r="F397" i="6"/>
  <c r="Z396" i="6"/>
  <c r="Y396" i="6"/>
  <c r="X396" i="6"/>
  <c r="W396" i="6"/>
  <c r="V396" i="6"/>
  <c r="U396" i="6"/>
  <c r="T396" i="6"/>
  <c r="S396" i="6"/>
  <c r="R396" i="6"/>
  <c r="Q396" i="6"/>
  <c r="P396" i="6"/>
  <c r="O396" i="6"/>
  <c r="N396" i="6"/>
  <c r="M396" i="6"/>
  <c r="L396" i="6"/>
  <c r="K396" i="6"/>
  <c r="J396" i="6"/>
  <c r="I396" i="6"/>
  <c r="H396" i="6"/>
  <c r="G396" i="6"/>
  <c r="F396" i="6"/>
  <c r="Z395" i="6"/>
  <c r="Y395" i="6"/>
  <c r="X395" i="6"/>
  <c r="W395" i="6"/>
  <c r="V395" i="6"/>
  <c r="U395" i="6"/>
  <c r="T395" i="6"/>
  <c r="S395" i="6"/>
  <c r="R395" i="6"/>
  <c r="Q395" i="6"/>
  <c r="P395" i="6"/>
  <c r="O395" i="6"/>
  <c r="N395" i="6"/>
  <c r="M395" i="6"/>
  <c r="L395" i="6"/>
  <c r="K395" i="6"/>
  <c r="J395" i="6"/>
  <c r="I395" i="6"/>
  <c r="H395" i="6"/>
  <c r="G395" i="6"/>
  <c r="F395" i="6"/>
  <c r="Z394" i="6"/>
  <c r="Y394" i="6"/>
  <c r="X394" i="6"/>
  <c r="W394" i="6"/>
  <c r="V394" i="6"/>
  <c r="U394" i="6"/>
  <c r="T394" i="6"/>
  <c r="S394" i="6"/>
  <c r="R394" i="6"/>
  <c r="Q394" i="6"/>
  <c r="P394" i="6"/>
  <c r="O394" i="6"/>
  <c r="N394" i="6"/>
  <c r="M394" i="6"/>
  <c r="L394" i="6"/>
  <c r="K394" i="6"/>
  <c r="J394" i="6"/>
  <c r="I394" i="6"/>
  <c r="H394" i="6"/>
  <c r="G394" i="6"/>
  <c r="F394" i="6"/>
  <c r="Z393" i="6"/>
  <c r="Y393" i="6"/>
  <c r="X393" i="6"/>
  <c r="W393" i="6"/>
  <c r="V393" i="6"/>
  <c r="U393" i="6"/>
  <c r="T393" i="6"/>
  <c r="S393" i="6"/>
  <c r="R393" i="6"/>
  <c r="Q393" i="6"/>
  <c r="P393" i="6"/>
  <c r="O393" i="6"/>
  <c r="N393" i="6"/>
  <c r="M393" i="6"/>
  <c r="L393" i="6"/>
  <c r="K393" i="6"/>
  <c r="J393" i="6"/>
  <c r="I393" i="6"/>
  <c r="H393" i="6"/>
  <c r="G393" i="6"/>
  <c r="F393" i="6"/>
  <c r="Z392" i="6"/>
  <c r="Y392" i="6"/>
  <c r="X392" i="6"/>
  <c r="W392" i="6"/>
  <c r="V392" i="6"/>
  <c r="U392" i="6"/>
  <c r="T392" i="6"/>
  <c r="S392" i="6"/>
  <c r="R392" i="6"/>
  <c r="Q392" i="6"/>
  <c r="P392" i="6"/>
  <c r="O392" i="6"/>
  <c r="N392" i="6"/>
  <c r="M392" i="6"/>
  <c r="L392" i="6"/>
  <c r="K392" i="6"/>
  <c r="J392" i="6"/>
  <c r="I392" i="6"/>
  <c r="H392" i="6"/>
  <c r="G392" i="6"/>
  <c r="F392" i="6"/>
  <c r="Z391" i="6"/>
  <c r="Y391" i="6"/>
  <c r="X391" i="6"/>
  <c r="W391" i="6"/>
  <c r="V391" i="6"/>
  <c r="U391" i="6"/>
  <c r="T391" i="6"/>
  <c r="S391" i="6"/>
  <c r="R391" i="6"/>
  <c r="Q391" i="6"/>
  <c r="P391" i="6"/>
  <c r="O391" i="6"/>
  <c r="N391" i="6"/>
  <c r="M391" i="6"/>
  <c r="L391" i="6"/>
  <c r="K391" i="6"/>
  <c r="J391" i="6"/>
  <c r="I391" i="6"/>
  <c r="H391" i="6"/>
  <c r="G391" i="6"/>
  <c r="F391" i="6"/>
  <c r="Z390" i="6"/>
  <c r="Y390" i="6"/>
  <c r="X390" i="6"/>
  <c r="W390" i="6"/>
  <c r="V390" i="6"/>
  <c r="U390" i="6"/>
  <c r="T390" i="6"/>
  <c r="S390" i="6"/>
  <c r="R390" i="6"/>
  <c r="Q390" i="6"/>
  <c r="P390" i="6"/>
  <c r="O390" i="6"/>
  <c r="N390" i="6"/>
  <c r="M390" i="6"/>
  <c r="L390" i="6"/>
  <c r="K390" i="6"/>
  <c r="J390" i="6"/>
  <c r="I390" i="6"/>
  <c r="H390" i="6"/>
  <c r="G390" i="6"/>
  <c r="F390" i="6"/>
  <c r="Z389" i="6"/>
  <c r="Y389" i="6"/>
  <c r="X389" i="6"/>
  <c r="W389" i="6"/>
  <c r="V389" i="6"/>
  <c r="U389" i="6"/>
  <c r="T389" i="6"/>
  <c r="S389" i="6"/>
  <c r="R389" i="6"/>
  <c r="Q389" i="6"/>
  <c r="P389" i="6"/>
  <c r="O389" i="6"/>
  <c r="N389" i="6"/>
  <c r="M389" i="6"/>
  <c r="L389" i="6"/>
  <c r="K389" i="6"/>
  <c r="J389" i="6"/>
  <c r="I389" i="6"/>
  <c r="H389" i="6"/>
  <c r="G389" i="6"/>
  <c r="F389" i="6"/>
  <c r="F3" i="6"/>
  <c r="G3" i="6"/>
  <c r="H3" i="6"/>
  <c r="I3" i="6"/>
  <c r="J3" i="6"/>
  <c r="K3" i="6"/>
  <c r="L3" i="6"/>
  <c r="M3" i="6"/>
  <c r="N3" i="6"/>
  <c r="O3" i="6"/>
  <c r="P3" i="6"/>
  <c r="Q3" i="6"/>
  <c r="R3" i="6"/>
  <c r="S3" i="6"/>
  <c r="T3" i="6"/>
  <c r="U3" i="6"/>
  <c r="V3" i="6"/>
  <c r="W3" i="6"/>
  <c r="X3" i="6"/>
  <c r="Y3" i="6"/>
  <c r="Z3" i="6"/>
  <c r="F4" i="6"/>
  <c r="G4" i="6"/>
  <c r="H4" i="6"/>
  <c r="I4" i="6"/>
  <c r="J4" i="6"/>
  <c r="K4" i="6"/>
  <c r="L4" i="6"/>
  <c r="M4" i="6"/>
  <c r="N4" i="6"/>
  <c r="O4" i="6"/>
  <c r="P4" i="6"/>
  <c r="Q4" i="6"/>
  <c r="R4" i="6"/>
  <c r="S4" i="6"/>
  <c r="T4" i="6"/>
  <c r="U4" i="6"/>
  <c r="V4" i="6"/>
  <c r="W4" i="6"/>
  <c r="X4" i="6"/>
  <c r="Y4" i="6"/>
  <c r="Z4" i="6"/>
  <c r="F5" i="6"/>
  <c r="G5" i="6"/>
  <c r="H5" i="6"/>
  <c r="I5" i="6"/>
  <c r="J5" i="6"/>
  <c r="K5" i="6"/>
  <c r="L5" i="6"/>
  <c r="M5" i="6"/>
  <c r="N5" i="6"/>
  <c r="O5" i="6"/>
  <c r="P5" i="6"/>
  <c r="Q5" i="6"/>
  <c r="R5" i="6"/>
  <c r="S5" i="6"/>
  <c r="T5" i="6"/>
  <c r="U5" i="6"/>
  <c r="V5" i="6"/>
  <c r="W5" i="6"/>
  <c r="X5" i="6"/>
  <c r="Y5" i="6"/>
  <c r="Z5" i="6"/>
  <c r="F6" i="6"/>
  <c r="G6" i="6"/>
  <c r="H6" i="6"/>
  <c r="I6" i="6"/>
  <c r="J6" i="6"/>
  <c r="K6" i="6"/>
  <c r="L6" i="6"/>
  <c r="M6" i="6"/>
  <c r="N6" i="6"/>
  <c r="O6" i="6"/>
  <c r="P6" i="6"/>
  <c r="Q6" i="6"/>
  <c r="R6" i="6"/>
  <c r="S6" i="6"/>
  <c r="T6" i="6"/>
  <c r="U6" i="6"/>
  <c r="V6" i="6"/>
  <c r="W6" i="6"/>
  <c r="X6" i="6"/>
  <c r="Y6" i="6"/>
  <c r="Z6" i="6"/>
  <c r="F7" i="6"/>
  <c r="G7" i="6"/>
  <c r="H7" i="6"/>
  <c r="I7" i="6"/>
  <c r="J7" i="6"/>
  <c r="K7" i="6"/>
  <c r="L7" i="6"/>
  <c r="M7" i="6"/>
  <c r="N7" i="6"/>
  <c r="O7" i="6"/>
  <c r="P7" i="6"/>
  <c r="Q7" i="6"/>
  <c r="R7" i="6"/>
  <c r="S7" i="6"/>
  <c r="T7" i="6"/>
  <c r="U7" i="6"/>
  <c r="V7" i="6"/>
  <c r="W7" i="6"/>
  <c r="X7" i="6"/>
  <c r="Y7" i="6"/>
  <c r="Z7" i="6"/>
  <c r="F8" i="6"/>
  <c r="G8" i="6"/>
  <c r="H8" i="6"/>
  <c r="I8" i="6"/>
  <c r="J8" i="6"/>
  <c r="K8" i="6"/>
  <c r="L8" i="6"/>
  <c r="M8" i="6"/>
  <c r="N8" i="6"/>
  <c r="O8" i="6"/>
  <c r="P8" i="6"/>
  <c r="Q8" i="6"/>
  <c r="R8" i="6"/>
  <c r="S8" i="6"/>
  <c r="T8" i="6"/>
  <c r="U8" i="6"/>
  <c r="V8" i="6"/>
  <c r="W8" i="6"/>
  <c r="X8" i="6"/>
  <c r="Y8" i="6"/>
  <c r="Z8" i="6"/>
  <c r="F9" i="6"/>
  <c r="G9" i="6"/>
  <c r="H9" i="6"/>
  <c r="I9" i="6"/>
  <c r="J9" i="6"/>
  <c r="K9" i="6"/>
  <c r="L9" i="6"/>
  <c r="M9" i="6"/>
  <c r="N9" i="6"/>
  <c r="O9" i="6"/>
  <c r="P9" i="6"/>
  <c r="Q9" i="6"/>
  <c r="R9" i="6"/>
  <c r="S9" i="6"/>
  <c r="T9" i="6"/>
  <c r="U9" i="6"/>
  <c r="V9" i="6"/>
  <c r="W9" i="6"/>
  <c r="X9" i="6"/>
  <c r="Y9" i="6"/>
  <c r="Z9" i="6"/>
  <c r="F10" i="6"/>
  <c r="G10" i="6"/>
  <c r="H10" i="6"/>
  <c r="I10" i="6"/>
  <c r="J10" i="6"/>
  <c r="K10" i="6"/>
  <c r="L10" i="6"/>
  <c r="M10" i="6"/>
  <c r="N10" i="6"/>
  <c r="O10" i="6"/>
  <c r="P10" i="6"/>
  <c r="Q10" i="6"/>
  <c r="R10" i="6"/>
  <c r="S10" i="6"/>
  <c r="T10" i="6"/>
  <c r="U10" i="6"/>
  <c r="V10" i="6"/>
  <c r="W10" i="6"/>
  <c r="X10" i="6"/>
  <c r="Y10" i="6"/>
  <c r="Z10" i="6"/>
  <c r="F11" i="6"/>
  <c r="G11" i="6"/>
  <c r="H11" i="6"/>
  <c r="I11" i="6"/>
  <c r="J11" i="6"/>
  <c r="K11" i="6"/>
  <c r="L11" i="6"/>
  <c r="M11" i="6"/>
  <c r="N11" i="6"/>
  <c r="O11" i="6"/>
  <c r="P11" i="6"/>
  <c r="Q11" i="6"/>
  <c r="R11" i="6"/>
  <c r="S11" i="6"/>
  <c r="T11" i="6"/>
  <c r="U11" i="6"/>
  <c r="V11" i="6"/>
  <c r="W11" i="6"/>
  <c r="X11" i="6"/>
  <c r="Y11" i="6"/>
  <c r="Z11" i="6"/>
  <c r="F12" i="6"/>
  <c r="G12" i="6"/>
  <c r="H12" i="6"/>
  <c r="I12" i="6"/>
  <c r="J12" i="6"/>
  <c r="K12" i="6"/>
  <c r="L12" i="6"/>
  <c r="M12" i="6"/>
  <c r="N12" i="6"/>
  <c r="O12" i="6"/>
  <c r="P12" i="6"/>
  <c r="Q12" i="6"/>
  <c r="R12" i="6"/>
  <c r="S12" i="6"/>
  <c r="T12" i="6"/>
  <c r="U12" i="6"/>
  <c r="V12" i="6"/>
  <c r="W12" i="6"/>
  <c r="X12" i="6"/>
  <c r="Y12" i="6"/>
  <c r="Z12" i="6"/>
  <c r="F13" i="6"/>
  <c r="G13" i="6"/>
  <c r="H13" i="6"/>
  <c r="I13" i="6"/>
  <c r="J13" i="6"/>
  <c r="K13" i="6"/>
  <c r="L13" i="6"/>
  <c r="M13" i="6"/>
  <c r="N13" i="6"/>
  <c r="O13" i="6"/>
  <c r="P13" i="6"/>
  <c r="Q13" i="6"/>
  <c r="R13" i="6"/>
  <c r="S13" i="6"/>
  <c r="T13" i="6"/>
  <c r="U13" i="6"/>
  <c r="V13" i="6"/>
  <c r="W13" i="6"/>
  <c r="X13" i="6"/>
  <c r="Y13" i="6"/>
  <c r="Z13" i="6"/>
  <c r="F14" i="6"/>
  <c r="G14" i="6"/>
  <c r="H14" i="6"/>
  <c r="I14" i="6"/>
  <c r="J14" i="6"/>
  <c r="K14" i="6"/>
  <c r="L14" i="6"/>
  <c r="M14" i="6"/>
  <c r="N14" i="6"/>
  <c r="O14" i="6"/>
  <c r="P14" i="6"/>
  <c r="Q14" i="6"/>
  <c r="R14" i="6"/>
  <c r="S14" i="6"/>
  <c r="T14" i="6"/>
  <c r="U14" i="6"/>
  <c r="V14" i="6"/>
  <c r="W14" i="6"/>
  <c r="X14" i="6"/>
  <c r="Y14" i="6"/>
  <c r="Z14" i="6"/>
  <c r="F15" i="6"/>
  <c r="G15" i="6"/>
  <c r="H15" i="6"/>
  <c r="I15" i="6"/>
  <c r="J15" i="6"/>
  <c r="K15" i="6"/>
  <c r="L15" i="6"/>
  <c r="M15" i="6"/>
  <c r="N15" i="6"/>
  <c r="O15" i="6"/>
  <c r="P15" i="6"/>
  <c r="Q15" i="6"/>
  <c r="R15" i="6"/>
  <c r="S15" i="6"/>
  <c r="T15" i="6"/>
  <c r="U15" i="6"/>
  <c r="V15" i="6"/>
  <c r="W15" i="6"/>
  <c r="X15" i="6"/>
  <c r="Y15" i="6"/>
  <c r="Z15" i="6"/>
  <c r="F16" i="6"/>
  <c r="G16" i="6"/>
  <c r="H16" i="6"/>
  <c r="I16" i="6"/>
  <c r="J16" i="6"/>
  <c r="K16" i="6"/>
  <c r="L16" i="6"/>
  <c r="M16" i="6"/>
  <c r="N16" i="6"/>
  <c r="O16" i="6"/>
  <c r="P16" i="6"/>
  <c r="Q16" i="6"/>
  <c r="R16" i="6"/>
  <c r="S16" i="6"/>
  <c r="T16" i="6"/>
  <c r="U16" i="6"/>
  <c r="V16" i="6"/>
  <c r="W16" i="6"/>
  <c r="X16" i="6"/>
  <c r="Y16" i="6"/>
  <c r="Z16" i="6"/>
  <c r="F17" i="6"/>
  <c r="G17" i="6"/>
  <c r="H17" i="6"/>
  <c r="I17" i="6"/>
  <c r="J17" i="6"/>
  <c r="K17" i="6"/>
  <c r="L17" i="6"/>
  <c r="M17" i="6"/>
  <c r="N17" i="6"/>
  <c r="O17" i="6"/>
  <c r="P17" i="6"/>
  <c r="Q17" i="6"/>
  <c r="R17" i="6"/>
  <c r="S17" i="6"/>
  <c r="T17" i="6"/>
  <c r="U17" i="6"/>
  <c r="V17" i="6"/>
  <c r="W17" i="6"/>
  <c r="X17" i="6"/>
  <c r="Y17" i="6"/>
  <c r="Z17" i="6"/>
  <c r="F18" i="6"/>
  <c r="G18" i="6"/>
  <c r="H18" i="6"/>
  <c r="I18" i="6"/>
  <c r="J18" i="6"/>
  <c r="K18" i="6"/>
  <c r="L18" i="6"/>
  <c r="M18" i="6"/>
  <c r="N18" i="6"/>
  <c r="O18" i="6"/>
  <c r="P18" i="6"/>
  <c r="Q18" i="6"/>
  <c r="R18" i="6"/>
  <c r="S18" i="6"/>
  <c r="T18" i="6"/>
  <c r="U18" i="6"/>
  <c r="V18" i="6"/>
  <c r="W18" i="6"/>
  <c r="X18" i="6"/>
  <c r="Y18" i="6"/>
  <c r="Z18" i="6"/>
  <c r="F19" i="6"/>
  <c r="G19" i="6"/>
  <c r="H19" i="6"/>
  <c r="I19" i="6"/>
  <c r="J19" i="6"/>
  <c r="K19" i="6"/>
  <c r="L19" i="6"/>
  <c r="M19" i="6"/>
  <c r="N19" i="6"/>
  <c r="O19" i="6"/>
  <c r="P19" i="6"/>
  <c r="Q19" i="6"/>
  <c r="R19" i="6"/>
  <c r="S19" i="6"/>
  <c r="T19" i="6"/>
  <c r="U19" i="6"/>
  <c r="V19" i="6"/>
  <c r="W19" i="6"/>
  <c r="X19" i="6"/>
  <c r="Y19" i="6"/>
  <c r="Z19" i="6"/>
  <c r="F20" i="6"/>
  <c r="G20" i="6"/>
  <c r="H20" i="6"/>
  <c r="I20" i="6"/>
  <c r="J20" i="6"/>
  <c r="K20" i="6"/>
  <c r="L20" i="6"/>
  <c r="M20" i="6"/>
  <c r="N20" i="6"/>
  <c r="O20" i="6"/>
  <c r="P20" i="6"/>
  <c r="Q20" i="6"/>
  <c r="R20" i="6"/>
  <c r="S20" i="6"/>
  <c r="T20" i="6"/>
  <c r="U20" i="6"/>
  <c r="V20" i="6"/>
  <c r="W20" i="6"/>
  <c r="X20" i="6"/>
  <c r="Y20" i="6"/>
  <c r="Z20" i="6"/>
  <c r="F21" i="6"/>
  <c r="G21" i="6"/>
  <c r="H21" i="6"/>
  <c r="I21" i="6"/>
  <c r="J21" i="6"/>
  <c r="K21" i="6"/>
  <c r="L21" i="6"/>
  <c r="M21" i="6"/>
  <c r="N21" i="6"/>
  <c r="O21" i="6"/>
  <c r="P21" i="6"/>
  <c r="Q21" i="6"/>
  <c r="R21" i="6"/>
  <c r="S21" i="6"/>
  <c r="T21" i="6"/>
  <c r="U21" i="6"/>
  <c r="V21" i="6"/>
  <c r="W21" i="6"/>
  <c r="X21" i="6"/>
  <c r="Y21" i="6"/>
  <c r="Z21" i="6"/>
  <c r="F22" i="6"/>
  <c r="G22" i="6"/>
  <c r="H22" i="6"/>
  <c r="I22" i="6"/>
  <c r="J22" i="6"/>
  <c r="K22" i="6"/>
  <c r="L22" i="6"/>
  <c r="M22" i="6"/>
  <c r="N22" i="6"/>
  <c r="O22" i="6"/>
  <c r="P22" i="6"/>
  <c r="Q22" i="6"/>
  <c r="R22" i="6"/>
  <c r="S22" i="6"/>
  <c r="T22" i="6"/>
  <c r="U22" i="6"/>
  <c r="V22" i="6"/>
  <c r="W22" i="6"/>
  <c r="X22" i="6"/>
  <c r="Y22" i="6"/>
  <c r="Z22" i="6"/>
  <c r="F23" i="6"/>
  <c r="G23" i="6"/>
  <c r="H23" i="6"/>
  <c r="I23" i="6"/>
  <c r="J23" i="6"/>
  <c r="K23" i="6"/>
  <c r="L23" i="6"/>
  <c r="M23" i="6"/>
  <c r="N23" i="6"/>
  <c r="O23" i="6"/>
  <c r="P23" i="6"/>
  <c r="Q23" i="6"/>
  <c r="R23" i="6"/>
  <c r="S23" i="6"/>
  <c r="T23" i="6"/>
  <c r="U23" i="6"/>
  <c r="V23" i="6"/>
  <c r="W23" i="6"/>
  <c r="X23" i="6"/>
  <c r="Y23" i="6"/>
  <c r="Z23" i="6"/>
  <c r="F24" i="6"/>
  <c r="G24" i="6"/>
  <c r="H24" i="6"/>
  <c r="I24" i="6"/>
  <c r="J24" i="6"/>
  <c r="K24" i="6"/>
  <c r="L24" i="6"/>
  <c r="M24" i="6"/>
  <c r="N24" i="6"/>
  <c r="O24" i="6"/>
  <c r="P24" i="6"/>
  <c r="Q24" i="6"/>
  <c r="R24" i="6"/>
  <c r="S24" i="6"/>
  <c r="T24" i="6"/>
  <c r="U24" i="6"/>
  <c r="V24" i="6"/>
  <c r="W24" i="6"/>
  <c r="X24" i="6"/>
  <c r="Y24" i="6"/>
  <c r="Z24" i="6"/>
  <c r="F25" i="6"/>
  <c r="G25" i="6"/>
  <c r="H25" i="6"/>
  <c r="I25" i="6"/>
  <c r="J25" i="6"/>
  <c r="K25" i="6"/>
  <c r="L25" i="6"/>
  <c r="M25" i="6"/>
  <c r="N25" i="6"/>
  <c r="O25" i="6"/>
  <c r="P25" i="6"/>
  <c r="Q25" i="6"/>
  <c r="R25" i="6"/>
  <c r="S25" i="6"/>
  <c r="T25" i="6"/>
  <c r="U25" i="6"/>
  <c r="V25" i="6"/>
  <c r="W25" i="6"/>
  <c r="X25" i="6"/>
  <c r="Y25" i="6"/>
  <c r="Z25" i="6"/>
  <c r="F26" i="6"/>
  <c r="G26" i="6"/>
  <c r="H26" i="6"/>
  <c r="I26" i="6"/>
  <c r="J26" i="6"/>
  <c r="K26" i="6"/>
  <c r="L26" i="6"/>
  <c r="M26" i="6"/>
  <c r="N26" i="6"/>
  <c r="O26" i="6"/>
  <c r="P26" i="6"/>
  <c r="Q26" i="6"/>
  <c r="R26" i="6"/>
  <c r="S26" i="6"/>
  <c r="T26" i="6"/>
  <c r="U26" i="6"/>
  <c r="V26" i="6"/>
  <c r="W26" i="6"/>
  <c r="X26" i="6"/>
  <c r="Y26" i="6"/>
  <c r="Z26" i="6"/>
  <c r="F27" i="6"/>
  <c r="G27" i="6"/>
  <c r="H27" i="6"/>
  <c r="I27" i="6"/>
  <c r="J27" i="6"/>
  <c r="K27" i="6"/>
  <c r="L27" i="6"/>
  <c r="M27" i="6"/>
  <c r="N27" i="6"/>
  <c r="O27" i="6"/>
  <c r="P27" i="6"/>
  <c r="Q27" i="6"/>
  <c r="R27" i="6"/>
  <c r="S27" i="6"/>
  <c r="T27" i="6"/>
  <c r="U27" i="6"/>
  <c r="V27" i="6"/>
  <c r="W27" i="6"/>
  <c r="X27" i="6"/>
  <c r="Y27" i="6"/>
  <c r="Z27" i="6"/>
  <c r="F28" i="6"/>
  <c r="G28" i="6"/>
  <c r="H28" i="6"/>
  <c r="I28" i="6"/>
  <c r="J28" i="6"/>
  <c r="K28" i="6"/>
  <c r="L28" i="6"/>
  <c r="M28" i="6"/>
  <c r="N28" i="6"/>
  <c r="O28" i="6"/>
  <c r="P28" i="6"/>
  <c r="Q28" i="6"/>
  <c r="R28" i="6"/>
  <c r="S28" i="6"/>
  <c r="T28" i="6"/>
  <c r="U28" i="6"/>
  <c r="V28" i="6"/>
  <c r="W28" i="6"/>
  <c r="X28" i="6"/>
  <c r="Y28" i="6"/>
  <c r="Z28" i="6"/>
  <c r="F29" i="6"/>
  <c r="G29" i="6"/>
  <c r="H29" i="6"/>
  <c r="I29" i="6"/>
  <c r="J29" i="6"/>
  <c r="K29" i="6"/>
  <c r="L29" i="6"/>
  <c r="M29" i="6"/>
  <c r="N29" i="6"/>
  <c r="O29" i="6"/>
  <c r="P29" i="6"/>
  <c r="Q29" i="6"/>
  <c r="R29" i="6"/>
  <c r="S29" i="6"/>
  <c r="T29" i="6"/>
  <c r="U29" i="6"/>
  <c r="V29" i="6"/>
  <c r="W29" i="6"/>
  <c r="X29" i="6"/>
  <c r="Y29" i="6"/>
  <c r="Z29" i="6"/>
  <c r="F30" i="6"/>
  <c r="G30" i="6"/>
  <c r="H30" i="6"/>
  <c r="I30" i="6"/>
  <c r="J30" i="6"/>
  <c r="K30" i="6"/>
  <c r="L30" i="6"/>
  <c r="M30" i="6"/>
  <c r="N30" i="6"/>
  <c r="O30" i="6"/>
  <c r="P30" i="6"/>
  <c r="Q30" i="6"/>
  <c r="R30" i="6"/>
  <c r="S30" i="6"/>
  <c r="T30" i="6"/>
  <c r="U30" i="6"/>
  <c r="V30" i="6"/>
  <c r="W30" i="6"/>
  <c r="X30" i="6"/>
  <c r="Y30" i="6"/>
  <c r="Z30" i="6"/>
  <c r="F31" i="6"/>
  <c r="G31" i="6"/>
  <c r="H31" i="6"/>
  <c r="I31" i="6"/>
  <c r="J31" i="6"/>
  <c r="K31" i="6"/>
  <c r="L31" i="6"/>
  <c r="M31" i="6"/>
  <c r="N31" i="6"/>
  <c r="O31" i="6"/>
  <c r="P31" i="6"/>
  <c r="Q31" i="6"/>
  <c r="R31" i="6"/>
  <c r="S31" i="6"/>
  <c r="T31" i="6"/>
  <c r="U31" i="6"/>
  <c r="V31" i="6"/>
  <c r="W31" i="6"/>
  <c r="X31" i="6"/>
  <c r="Y31" i="6"/>
  <c r="Z31" i="6"/>
  <c r="F32" i="6"/>
  <c r="G32" i="6"/>
  <c r="H32" i="6"/>
  <c r="I32" i="6"/>
  <c r="J32" i="6"/>
  <c r="K32" i="6"/>
  <c r="L32" i="6"/>
  <c r="M32" i="6"/>
  <c r="N32" i="6"/>
  <c r="O32" i="6"/>
  <c r="P32" i="6"/>
  <c r="Q32" i="6"/>
  <c r="R32" i="6"/>
  <c r="S32" i="6"/>
  <c r="T32" i="6"/>
  <c r="U32" i="6"/>
  <c r="V32" i="6"/>
  <c r="W32" i="6"/>
  <c r="X32" i="6"/>
  <c r="Y32" i="6"/>
  <c r="Z32" i="6"/>
  <c r="F33" i="6"/>
  <c r="G33" i="6"/>
  <c r="H33" i="6"/>
  <c r="I33" i="6"/>
  <c r="J33" i="6"/>
  <c r="K33" i="6"/>
  <c r="L33" i="6"/>
  <c r="M33" i="6"/>
  <c r="N33" i="6"/>
  <c r="O33" i="6"/>
  <c r="P33" i="6"/>
  <c r="Q33" i="6"/>
  <c r="R33" i="6"/>
  <c r="S33" i="6"/>
  <c r="T33" i="6"/>
  <c r="U33" i="6"/>
  <c r="V33" i="6"/>
  <c r="W33" i="6"/>
  <c r="X33" i="6"/>
  <c r="Y33" i="6"/>
  <c r="Z33" i="6"/>
  <c r="F34" i="6"/>
  <c r="G34" i="6"/>
  <c r="H34" i="6"/>
  <c r="I34" i="6"/>
  <c r="J34" i="6"/>
  <c r="K34" i="6"/>
  <c r="L34" i="6"/>
  <c r="M34" i="6"/>
  <c r="N34" i="6"/>
  <c r="O34" i="6"/>
  <c r="P34" i="6"/>
  <c r="Q34" i="6"/>
  <c r="R34" i="6"/>
  <c r="S34" i="6"/>
  <c r="T34" i="6"/>
  <c r="U34" i="6"/>
  <c r="V34" i="6"/>
  <c r="W34" i="6"/>
  <c r="X34" i="6"/>
  <c r="Y34" i="6"/>
  <c r="Z34" i="6"/>
  <c r="F35" i="6"/>
  <c r="G35" i="6"/>
  <c r="H35" i="6"/>
  <c r="I35" i="6"/>
  <c r="J35" i="6"/>
  <c r="K35" i="6"/>
  <c r="L35" i="6"/>
  <c r="M35" i="6"/>
  <c r="N35" i="6"/>
  <c r="O35" i="6"/>
  <c r="P35" i="6"/>
  <c r="Q35" i="6"/>
  <c r="R35" i="6"/>
  <c r="S35" i="6"/>
  <c r="T35" i="6"/>
  <c r="U35" i="6"/>
  <c r="V35" i="6"/>
  <c r="W35" i="6"/>
  <c r="X35" i="6"/>
  <c r="Y35" i="6"/>
  <c r="Z35" i="6"/>
  <c r="F36" i="6"/>
  <c r="G36" i="6"/>
  <c r="H36" i="6"/>
  <c r="I36" i="6"/>
  <c r="J36" i="6"/>
  <c r="K36" i="6"/>
  <c r="L36" i="6"/>
  <c r="M36" i="6"/>
  <c r="N36" i="6"/>
  <c r="O36" i="6"/>
  <c r="P36" i="6"/>
  <c r="Q36" i="6"/>
  <c r="R36" i="6"/>
  <c r="S36" i="6"/>
  <c r="T36" i="6"/>
  <c r="U36" i="6"/>
  <c r="V36" i="6"/>
  <c r="W36" i="6"/>
  <c r="X36" i="6"/>
  <c r="Y36" i="6"/>
  <c r="Z36" i="6"/>
  <c r="F37" i="6"/>
  <c r="G37" i="6"/>
  <c r="H37" i="6"/>
  <c r="I37" i="6"/>
  <c r="J37" i="6"/>
  <c r="K37" i="6"/>
  <c r="L37" i="6"/>
  <c r="M37" i="6"/>
  <c r="N37" i="6"/>
  <c r="O37" i="6"/>
  <c r="P37" i="6"/>
  <c r="Q37" i="6"/>
  <c r="R37" i="6"/>
  <c r="S37" i="6"/>
  <c r="T37" i="6"/>
  <c r="U37" i="6"/>
  <c r="V37" i="6"/>
  <c r="W37" i="6"/>
  <c r="X37" i="6"/>
  <c r="Y37" i="6"/>
  <c r="Z37" i="6"/>
  <c r="F38" i="6"/>
  <c r="G38" i="6"/>
  <c r="H38" i="6"/>
  <c r="I38" i="6"/>
  <c r="J38" i="6"/>
  <c r="K38" i="6"/>
  <c r="L38" i="6"/>
  <c r="M38" i="6"/>
  <c r="N38" i="6"/>
  <c r="O38" i="6"/>
  <c r="P38" i="6"/>
  <c r="Q38" i="6"/>
  <c r="R38" i="6"/>
  <c r="S38" i="6"/>
  <c r="T38" i="6"/>
  <c r="U38" i="6"/>
  <c r="V38" i="6"/>
  <c r="W38" i="6"/>
  <c r="X38" i="6"/>
  <c r="Y38" i="6"/>
  <c r="Z38" i="6"/>
  <c r="F39" i="6"/>
  <c r="G39" i="6"/>
  <c r="H39" i="6"/>
  <c r="I39" i="6"/>
  <c r="J39" i="6"/>
  <c r="K39" i="6"/>
  <c r="L39" i="6"/>
  <c r="M39" i="6"/>
  <c r="N39" i="6"/>
  <c r="O39" i="6"/>
  <c r="P39" i="6"/>
  <c r="Q39" i="6"/>
  <c r="R39" i="6"/>
  <c r="S39" i="6"/>
  <c r="T39" i="6"/>
  <c r="U39" i="6"/>
  <c r="V39" i="6"/>
  <c r="W39" i="6"/>
  <c r="X39" i="6"/>
  <c r="Y39" i="6"/>
  <c r="Z39" i="6"/>
  <c r="F40" i="6"/>
  <c r="G40" i="6"/>
  <c r="H40" i="6"/>
  <c r="I40" i="6"/>
  <c r="J40" i="6"/>
  <c r="K40" i="6"/>
  <c r="L40" i="6"/>
  <c r="M40" i="6"/>
  <c r="N40" i="6"/>
  <c r="O40" i="6"/>
  <c r="P40" i="6"/>
  <c r="Q40" i="6"/>
  <c r="R40" i="6"/>
  <c r="S40" i="6"/>
  <c r="T40" i="6"/>
  <c r="U40" i="6"/>
  <c r="V40" i="6"/>
  <c r="W40" i="6"/>
  <c r="X40" i="6"/>
  <c r="Y40" i="6"/>
  <c r="Z40" i="6"/>
  <c r="F41" i="6"/>
  <c r="G41" i="6"/>
  <c r="H41" i="6"/>
  <c r="I41" i="6"/>
  <c r="J41" i="6"/>
  <c r="K41" i="6"/>
  <c r="L41" i="6"/>
  <c r="M41" i="6"/>
  <c r="N41" i="6"/>
  <c r="O41" i="6"/>
  <c r="P41" i="6"/>
  <c r="Q41" i="6"/>
  <c r="R41" i="6"/>
  <c r="S41" i="6"/>
  <c r="T41" i="6"/>
  <c r="U41" i="6"/>
  <c r="V41" i="6"/>
  <c r="W41" i="6"/>
  <c r="X41" i="6"/>
  <c r="Y41" i="6"/>
  <c r="Z41" i="6"/>
  <c r="F42" i="6"/>
  <c r="G42" i="6"/>
  <c r="H42" i="6"/>
  <c r="I42" i="6"/>
  <c r="J42" i="6"/>
  <c r="K42" i="6"/>
  <c r="L42" i="6"/>
  <c r="M42" i="6"/>
  <c r="N42" i="6"/>
  <c r="O42" i="6"/>
  <c r="P42" i="6"/>
  <c r="Q42" i="6"/>
  <c r="R42" i="6"/>
  <c r="S42" i="6"/>
  <c r="T42" i="6"/>
  <c r="U42" i="6"/>
  <c r="V42" i="6"/>
  <c r="W42" i="6"/>
  <c r="X42" i="6"/>
  <c r="Y42" i="6"/>
  <c r="Z42" i="6"/>
  <c r="F43" i="6"/>
  <c r="G43" i="6"/>
  <c r="H43" i="6"/>
  <c r="I43" i="6"/>
  <c r="J43" i="6"/>
  <c r="K43" i="6"/>
  <c r="L43" i="6"/>
  <c r="M43" i="6"/>
  <c r="N43" i="6"/>
  <c r="O43" i="6"/>
  <c r="P43" i="6"/>
  <c r="Q43" i="6"/>
  <c r="R43" i="6"/>
  <c r="S43" i="6"/>
  <c r="T43" i="6"/>
  <c r="U43" i="6"/>
  <c r="V43" i="6"/>
  <c r="W43" i="6"/>
  <c r="X43" i="6"/>
  <c r="Y43" i="6"/>
  <c r="Z43" i="6"/>
  <c r="F44" i="6"/>
  <c r="G44" i="6"/>
  <c r="H44" i="6"/>
  <c r="I44" i="6"/>
  <c r="J44" i="6"/>
  <c r="K44" i="6"/>
  <c r="L44" i="6"/>
  <c r="M44" i="6"/>
  <c r="N44" i="6"/>
  <c r="O44" i="6"/>
  <c r="P44" i="6"/>
  <c r="Q44" i="6"/>
  <c r="R44" i="6"/>
  <c r="S44" i="6"/>
  <c r="T44" i="6"/>
  <c r="U44" i="6"/>
  <c r="V44" i="6"/>
  <c r="W44" i="6"/>
  <c r="X44" i="6"/>
  <c r="Y44" i="6"/>
  <c r="Z44" i="6"/>
  <c r="F45" i="6"/>
  <c r="G45" i="6"/>
  <c r="H45" i="6"/>
  <c r="I45" i="6"/>
  <c r="J45" i="6"/>
  <c r="K45" i="6"/>
  <c r="L45" i="6"/>
  <c r="M45" i="6"/>
  <c r="N45" i="6"/>
  <c r="O45" i="6"/>
  <c r="P45" i="6"/>
  <c r="Q45" i="6"/>
  <c r="R45" i="6"/>
  <c r="S45" i="6"/>
  <c r="T45" i="6"/>
  <c r="U45" i="6"/>
  <c r="V45" i="6"/>
  <c r="W45" i="6"/>
  <c r="X45" i="6"/>
  <c r="Y45" i="6"/>
  <c r="Z45" i="6"/>
  <c r="F46" i="6"/>
  <c r="G46" i="6"/>
  <c r="H46" i="6"/>
  <c r="I46" i="6"/>
  <c r="J46" i="6"/>
  <c r="K46" i="6"/>
  <c r="L46" i="6"/>
  <c r="M46" i="6"/>
  <c r="N46" i="6"/>
  <c r="O46" i="6"/>
  <c r="P46" i="6"/>
  <c r="Q46" i="6"/>
  <c r="R46" i="6"/>
  <c r="S46" i="6"/>
  <c r="T46" i="6"/>
  <c r="U46" i="6"/>
  <c r="V46" i="6"/>
  <c r="W46" i="6"/>
  <c r="X46" i="6"/>
  <c r="Y46" i="6"/>
  <c r="Z46" i="6"/>
  <c r="F47" i="6"/>
  <c r="G47" i="6"/>
  <c r="H47" i="6"/>
  <c r="I47" i="6"/>
  <c r="J47" i="6"/>
  <c r="K47" i="6"/>
  <c r="L47" i="6"/>
  <c r="M47" i="6"/>
  <c r="N47" i="6"/>
  <c r="O47" i="6"/>
  <c r="P47" i="6"/>
  <c r="Q47" i="6"/>
  <c r="R47" i="6"/>
  <c r="S47" i="6"/>
  <c r="T47" i="6"/>
  <c r="U47" i="6"/>
  <c r="V47" i="6"/>
  <c r="W47" i="6"/>
  <c r="X47" i="6"/>
  <c r="Y47" i="6"/>
  <c r="Z47" i="6"/>
  <c r="F48" i="6"/>
  <c r="G48" i="6"/>
  <c r="H48" i="6"/>
  <c r="I48" i="6"/>
  <c r="J48" i="6"/>
  <c r="K48" i="6"/>
  <c r="L48" i="6"/>
  <c r="M48" i="6"/>
  <c r="N48" i="6"/>
  <c r="O48" i="6"/>
  <c r="P48" i="6"/>
  <c r="Q48" i="6"/>
  <c r="R48" i="6"/>
  <c r="S48" i="6"/>
  <c r="T48" i="6"/>
  <c r="U48" i="6"/>
  <c r="V48" i="6"/>
  <c r="W48" i="6"/>
  <c r="X48" i="6"/>
  <c r="Y48" i="6"/>
  <c r="Z48" i="6"/>
  <c r="F49" i="6"/>
  <c r="G49" i="6"/>
  <c r="H49" i="6"/>
  <c r="I49" i="6"/>
  <c r="J49" i="6"/>
  <c r="K49" i="6"/>
  <c r="L49" i="6"/>
  <c r="M49" i="6"/>
  <c r="N49" i="6"/>
  <c r="O49" i="6"/>
  <c r="P49" i="6"/>
  <c r="Q49" i="6"/>
  <c r="R49" i="6"/>
  <c r="S49" i="6"/>
  <c r="T49" i="6"/>
  <c r="U49" i="6"/>
  <c r="V49" i="6"/>
  <c r="W49" i="6"/>
  <c r="X49" i="6"/>
  <c r="Y49" i="6"/>
  <c r="Z49" i="6"/>
  <c r="F50" i="6"/>
  <c r="G50" i="6"/>
  <c r="H50" i="6"/>
  <c r="I50" i="6"/>
  <c r="J50" i="6"/>
  <c r="K50" i="6"/>
  <c r="L50" i="6"/>
  <c r="M50" i="6"/>
  <c r="N50" i="6"/>
  <c r="O50" i="6"/>
  <c r="P50" i="6"/>
  <c r="Q50" i="6"/>
  <c r="R50" i="6"/>
  <c r="S50" i="6"/>
  <c r="T50" i="6"/>
  <c r="U50" i="6"/>
  <c r="V50" i="6"/>
  <c r="W50" i="6"/>
  <c r="X50" i="6"/>
  <c r="Y50" i="6"/>
  <c r="Z50" i="6"/>
  <c r="F51" i="6"/>
  <c r="G51" i="6"/>
  <c r="H51" i="6"/>
  <c r="I51" i="6"/>
  <c r="J51" i="6"/>
  <c r="K51" i="6"/>
  <c r="L51" i="6"/>
  <c r="M51" i="6"/>
  <c r="N51" i="6"/>
  <c r="O51" i="6"/>
  <c r="P51" i="6"/>
  <c r="Q51" i="6"/>
  <c r="R51" i="6"/>
  <c r="S51" i="6"/>
  <c r="T51" i="6"/>
  <c r="U51" i="6"/>
  <c r="V51" i="6"/>
  <c r="W51" i="6"/>
  <c r="X51" i="6"/>
  <c r="Y51" i="6"/>
  <c r="Z51" i="6"/>
  <c r="F52" i="6"/>
  <c r="G52" i="6"/>
  <c r="H52" i="6"/>
  <c r="I52" i="6"/>
  <c r="J52" i="6"/>
  <c r="K52" i="6"/>
  <c r="L52" i="6"/>
  <c r="M52" i="6"/>
  <c r="N52" i="6"/>
  <c r="O52" i="6"/>
  <c r="P52" i="6"/>
  <c r="Q52" i="6"/>
  <c r="R52" i="6"/>
  <c r="S52" i="6"/>
  <c r="T52" i="6"/>
  <c r="U52" i="6"/>
  <c r="V52" i="6"/>
  <c r="W52" i="6"/>
  <c r="X52" i="6"/>
  <c r="Y52" i="6"/>
  <c r="Z52" i="6"/>
  <c r="F53" i="6"/>
  <c r="G53" i="6"/>
  <c r="H53" i="6"/>
  <c r="I53" i="6"/>
  <c r="J53" i="6"/>
  <c r="K53" i="6"/>
  <c r="L53" i="6"/>
  <c r="M53" i="6"/>
  <c r="N53" i="6"/>
  <c r="O53" i="6"/>
  <c r="P53" i="6"/>
  <c r="Q53" i="6"/>
  <c r="R53" i="6"/>
  <c r="S53" i="6"/>
  <c r="T53" i="6"/>
  <c r="U53" i="6"/>
  <c r="V53" i="6"/>
  <c r="W53" i="6"/>
  <c r="X53" i="6"/>
  <c r="Y53" i="6"/>
  <c r="Z53" i="6"/>
  <c r="F54" i="6"/>
  <c r="G54" i="6"/>
  <c r="H54" i="6"/>
  <c r="I54" i="6"/>
  <c r="J54" i="6"/>
  <c r="K54" i="6"/>
  <c r="L54" i="6"/>
  <c r="M54" i="6"/>
  <c r="N54" i="6"/>
  <c r="O54" i="6"/>
  <c r="P54" i="6"/>
  <c r="Q54" i="6"/>
  <c r="R54" i="6"/>
  <c r="S54" i="6"/>
  <c r="T54" i="6"/>
  <c r="U54" i="6"/>
  <c r="V54" i="6"/>
  <c r="W54" i="6"/>
  <c r="X54" i="6"/>
  <c r="Y54" i="6"/>
  <c r="Z54" i="6"/>
  <c r="F55" i="6"/>
  <c r="G55" i="6"/>
  <c r="H55" i="6"/>
  <c r="I55" i="6"/>
  <c r="J55" i="6"/>
  <c r="K55" i="6"/>
  <c r="L55" i="6"/>
  <c r="M55" i="6"/>
  <c r="N55" i="6"/>
  <c r="O55" i="6"/>
  <c r="P55" i="6"/>
  <c r="Q55" i="6"/>
  <c r="R55" i="6"/>
  <c r="S55" i="6"/>
  <c r="T55" i="6"/>
  <c r="U55" i="6"/>
  <c r="V55" i="6"/>
  <c r="W55" i="6"/>
  <c r="X55" i="6"/>
  <c r="Y55" i="6"/>
  <c r="Z55" i="6"/>
  <c r="F56" i="6"/>
  <c r="G56" i="6"/>
  <c r="H56" i="6"/>
  <c r="I56" i="6"/>
  <c r="J56" i="6"/>
  <c r="K56" i="6"/>
  <c r="L56" i="6"/>
  <c r="M56" i="6"/>
  <c r="N56" i="6"/>
  <c r="O56" i="6"/>
  <c r="P56" i="6"/>
  <c r="Q56" i="6"/>
  <c r="R56" i="6"/>
  <c r="S56" i="6"/>
  <c r="T56" i="6"/>
  <c r="U56" i="6"/>
  <c r="V56" i="6"/>
  <c r="W56" i="6"/>
  <c r="X56" i="6"/>
  <c r="Y56" i="6"/>
  <c r="Z56" i="6"/>
  <c r="F57" i="6"/>
  <c r="G57" i="6"/>
  <c r="H57" i="6"/>
  <c r="I57" i="6"/>
  <c r="J57" i="6"/>
  <c r="K57" i="6"/>
  <c r="L57" i="6"/>
  <c r="M57" i="6"/>
  <c r="N57" i="6"/>
  <c r="O57" i="6"/>
  <c r="P57" i="6"/>
  <c r="Q57" i="6"/>
  <c r="R57" i="6"/>
  <c r="S57" i="6"/>
  <c r="T57" i="6"/>
  <c r="U57" i="6"/>
  <c r="V57" i="6"/>
  <c r="W57" i="6"/>
  <c r="X57" i="6"/>
  <c r="Y57" i="6"/>
  <c r="Z57" i="6"/>
  <c r="F58" i="6"/>
  <c r="G58" i="6"/>
  <c r="H58" i="6"/>
  <c r="I58" i="6"/>
  <c r="J58" i="6"/>
  <c r="K58" i="6"/>
  <c r="L58" i="6"/>
  <c r="M58" i="6"/>
  <c r="N58" i="6"/>
  <c r="O58" i="6"/>
  <c r="P58" i="6"/>
  <c r="Q58" i="6"/>
  <c r="R58" i="6"/>
  <c r="S58" i="6"/>
  <c r="T58" i="6"/>
  <c r="U58" i="6"/>
  <c r="V58" i="6"/>
  <c r="W58" i="6"/>
  <c r="X58" i="6"/>
  <c r="Y58" i="6"/>
  <c r="Z58" i="6"/>
  <c r="F68" i="6"/>
  <c r="G68" i="6"/>
  <c r="H68" i="6"/>
  <c r="I68" i="6"/>
  <c r="J68" i="6"/>
  <c r="K68" i="6"/>
  <c r="L68" i="6"/>
  <c r="M68" i="6"/>
  <c r="N68" i="6"/>
  <c r="O68" i="6"/>
  <c r="P68" i="6"/>
  <c r="Q68" i="6"/>
  <c r="R68" i="6"/>
  <c r="S68" i="6"/>
  <c r="T68" i="6"/>
  <c r="U68" i="6"/>
  <c r="V68" i="6"/>
  <c r="W68" i="6"/>
  <c r="X68" i="6"/>
  <c r="Y68" i="6"/>
  <c r="Z68" i="6"/>
  <c r="F69" i="6"/>
  <c r="G69" i="6"/>
  <c r="H69" i="6"/>
  <c r="I69" i="6"/>
  <c r="J69" i="6"/>
  <c r="K69" i="6"/>
  <c r="L69" i="6"/>
  <c r="M69" i="6"/>
  <c r="N69" i="6"/>
  <c r="O69" i="6"/>
  <c r="P69" i="6"/>
  <c r="Q69" i="6"/>
  <c r="R69" i="6"/>
  <c r="S69" i="6"/>
  <c r="T69" i="6"/>
  <c r="U69" i="6"/>
  <c r="V69" i="6"/>
  <c r="W69" i="6"/>
  <c r="X69" i="6"/>
  <c r="Y69" i="6"/>
  <c r="Z69" i="6"/>
  <c r="F70" i="6"/>
  <c r="G70" i="6"/>
  <c r="H70" i="6"/>
  <c r="I70" i="6"/>
  <c r="J70" i="6"/>
  <c r="K70" i="6"/>
  <c r="L70" i="6"/>
  <c r="M70" i="6"/>
  <c r="N70" i="6"/>
  <c r="O70" i="6"/>
  <c r="P70" i="6"/>
  <c r="Q70" i="6"/>
  <c r="R70" i="6"/>
  <c r="S70" i="6"/>
  <c r="T70" i="6"/>
  <c r="U70" i="6"/>
  <c r="V70" i="6"/>
  <c r="W70" i="6"/>
  <c r="X70" i="6"/>
  <c r="Y70" i="6"/>
  <c r="Z70" i="6"/>
  <c r="F71" i="6"/>
  <c r="G71" i="6"/>
  <c r="H71" i="6"/>
  <c r="I71" i="6"/>
  <c r="J71" i="6"/>
  <c r="K71" i="6"/>
  <c r="L71" i="6"/>
  <c r="M71" i="6"/>
  <c r="N71" i="6"/>
  <c r="O71" i="6"/>
  <c r="P71" i="6"/>
  <c r="Q71" i="6"/>
  <c r="R71" i="6"/>
  <c r="S71" i="6"/>
  <c r="T71" i="6"/>
  <c r="U71" i="6"/>
  <c r="V71" i="6"/>
  <c r="W71" i="6"/>
  <c r="X71" i="6"/>
  <c r="Y71" i="6"/>
  <c r="Z71" i="6"/>
  <c r="F72" i="6"/>
  <c r="G72" i="6"/>
  <c r="H72" i="6"/>
  <c r="I72" i="6"/>
  <c r="J72" i="6"/>
  <c r="K72" i="6"/>
  <c r="L72" i="6"/>
  <c r="M72" i="6"/>
  <c r="N72" i="6"/>
  <c r="O72" i="6"/>
  <c r="P72" i="6"/>
  <c r="Q72" i="6"/>
  <c r="R72" i="6"/>
  <c r="S72" i="6"/>
  <c r="T72" i="6"/>
  <c r="U72" i="6"/>
  <c r="V72" i="6"/>
  <c r="W72" i="6"/>
  <c r="X72" i="6"/>
  <c r="Y72" i="6"/>
  <c r="Z72" i="6"/>
  <c r="F73" i="6"/>
  <c r="G73" i="6"/>
  <c r="H73" i="6"/>
  <c r="I73" i="6"/>
  <c r="J73" i="6"/>
  <c r="K73" i="6"/>
  <c r="L73" i="6"/>
  <c r="M73" i="6"/>
  <c r="N73" i="6"/>
  <c r="O73" i="6"/>
  <c r="P73" i="6"/>
  <c r="Q73" i="6"/>
  <c r="R73" i="6"/>
  <c r="S73" i="6"/>
  <c r="T73" i="6"/>
  <c r="U73" i="6"/>
  <c r="V73" i="6"/>
  <c r="W73" i="6"/>
  <c r="X73" i="6"/>
  <c r="Y73" i="6"/>
  <c r="Z73" i="6"/>
  <c r="F74" i="6"/>
  <c r="G74" i="6"/>
  <c r="H74" i="6"/>
  <c r="I74" i="6"/>
  <c r="J74" i="6"/>
  <c r="K74" i="6"/>
  <c r="L74" i="6"/>
  <c r="M74" i="6"/>
  <c r="N74" i="6"/>
  <c r="O74" i="6"/>
  <c r="P74" i="6"/>
  <c r="Q74" i="6"/>
  <c r="R74" i="6"/>
  <c r="S74" i="6"/>
  <c r="T74" i="6"/>
  <c r="U74" i="6"/>
  <c r="V74" i="6"/>
  <c r="W74" i="6"/>
  <c r="X74" i="6"/>
  <c r="Y74" i="6"/>
  <c r="Z74" i="6"/>
  <c r="F75" i="6"/>
  <c r="G75" i="6"/>
  <c r="H75" i="6"/>
  <c r="I75" i="6"/>
  <c r="J75" i="6"/>
  <c r="K75" i="6"/>
  <c r="L75" i="6"/>
  <c r="M75" i="6"/>
  <c r="N75" i="6"/>
  <c r="O75" i="6"/>
  <c r="P75" i="6"/>
  <c r="Q75" i="6"/>
  <c r="R75" i="6"/>
  <c r="S75" i="6"/>
  <c r="T75" i="6"/>
  <c r="U75" i="6"/>
  <c r="V75" i="6"/>
  <c r="W75" i="6"/>
  <c r="X75" i="6"/>
  <c r="Y75" i="6"/>
  <c r="Z75" i="6"/>
  <c r="F76" i="6"/>
  <c r="G76" i="6"/>
  <c r="H76" i="6"/>
  <c r="I76" i="6"/>
  <c r="J76" i="6"/>
  <c r="K76" i="6"/>
  <c r="L76" i="6"/>
  <c r="M76" i="6"/>
  <c r="N76" i="6"/>
  <c r="O76" i="6"/>
  <c r="P76" i="6"/>
  <c r="Q76" i="6"/>
  <c r="R76" i="6"/>
  <c r="S76" i="6"/>
  <c r="T76" i="6"/>
  <c r="U76" i="6"/>
  <c r="V76" i="6"/>
  <c r="W76" i="6"/>
  <c r="X76" i="6"/>
  <c r="Y76" i="6"/>
  <c r="Z76" i="6"/>
  <c r="F77" i="6"/>
  <c r="G77" i="6"/>
  <c r="H77" i="6"/>
  <c r="I77" i="6"/>
  <c r="J77" i="6"/>
  <c r="K77" i="6"/>
  <c r="L77" i="6"/>
  <c r="M77" i="6"/>
  <c r="N77" i="6"/>
  <c r="O77" i="6"/>
  <c r="P77" i="6"/>
  <c r="Q77" i="6"/>
  <c r="R77" i="6"/>
  <c r="S77" i="6"/>
  <c r="T77" i="6"/>
  <c r="U77" i="6"/>
  <c r="V77" i="6"/>
  <c r="W77" i="6"/>
  <c r="X77" i="6"/>
  <c r="Y77" i="6"/>
  <c r="Z77" i="6"/>
  <c r="F78" i="6"/>
  <c r="G78" i="6"/>
  <c r="H78" i="6"/>
  <c r="I78" i="6"/>
  <c r="J78" i="6"/>
  <c r="K78" i="6"/>
  <c r="L78" i="6"/>
  <c r="M78" i="6"/>
  <c r="N78" i="6"/>
  <c r="O78" i="6"/>
  <c r="P78" i="6"/>
  <c r="Q78" i="6"/>
  <c r="R78" i="6"/>
  <c r="S78" i="6"/>
  <c r="T78" i="6"/>
  <c r="U78" i="6"/>
  <c r="V78" i="6"/>
  <c r="W78" i="6"/>
  <c r="X78" i="6"/>
  <c r="Y78" i="6"/>
  <c r="Z78" i="6"/>
  <c r="F79" i="6"/>
  <c r="G79" i="6"/>
  <c r="H79" i="6"/>
  <c r="I79" i="6"/>
  <c r="J79" i="6"/>
  <c r="K79" i="6"/>
  <c r="L79" i="6"/>
  <c r="M79" i="6"/>
  <c r="N79" i="6"/>
  <c r="O79" i="6"/>
  <c r="P79" i="6"/>
  <c r="Q79" i="6"/>
  <c r="R79" i="6"/>
  <c r="S79" i="6"/>
  <c r="T79" i="6"/>
  <c r="U79" i="6"/>
  <c r="V79" i="6"/>
  <c r="W79" i="6"/>
  <c r="X79" i="6"/>
  <c r="Y79" i="6"/>
  <c r="Z79" i="6"/>
  <c r="F80" i="6"/>
  <c r="G80" i="6"/>
  <c r="H80" i="6"/>
  <c r="I80" i="6"/>
  <c r="J80" i="6"/>
  <c r="K80" i="6"/>
  <c r="L80" i="6"/>
  <c r="M80" i="6"/>
  <c r="N80" i="6"/>
  <c r="O80" i="6"/>
  <c r="P80" i="6"/>
  <c r="Q80" i="6"/>
  <c r="R80" i="6"/>
  <c r="S80" i="6"/>
  <c r="T80" i="6"/>
  <c r="U80" i="6"/>
  <c r="V80" i="6"/>
  <c r="W80" i="6"/>
  <c r="X80" i="6"/>
  <c r="Y80" i="6"/>
  <c r="Z80" i="6"/>
  <c r="F81" i="6"/>
  <c r="G81" i="6"/>
  <c r="H81" i="6"/>
  <c r="I81" i="6"/>
  <c r="J81" i="6"/>
  <c r="K81" i="6"/>
  <c r="L81" i="6"/>
  <c r="M81" i="6"/>
  <c r="N81" i="6"/>
  <c r="O81" i="6"/>
  <c r="P81" i="6"/>
  <c r="Q81" i="6"/>
  <c r="R81" i="6"/>
  <c r="S81" i="6"/>
  <c r="T81" i="6"/>
  <c r="U81" i="6"/>
  <c r="V81" i="6"/>
  <c r="W81" i="6"/>
  <c r="X81" i="6"/>
  <c r="Y81" i="6"/>
  <c r="Z81" i="6"/>
  <c r="F82" i="6"/>
  <c r="G82" i="6"/>
  <c r="H82" i="6"/>
  <c r="I82" i="6"/>
  <c r="J82" i="6"/>
  <c r="K82" i="6"/>
  <c r="L82" i="6"/>
  <c r="M82" i="6"/>
  <c r="N82" i="6"/>
  <c r="O82" i="6"/>
  <c r="P82" i="6"/>
  <c r="Q82" i="6"/>
  <c r="R82" i="6"/>
  <c r="S82" i="6"/>
  <c r="T82" i="6"/>
  <c r="U82" i="6"/>
  <c r="V82" i="6"/>
  <c r="W82" i="6"/>
  <c r="X82" i="6"/>
  <c r="Y82" i="6"/>
  <c r="Z82" i="6"/>
  <c r="F83" i="6"/>
  <c r="G83" i="6"/>
  <c r="H83" i="6"/>
  <c r="I83" i="6"/>
  <c r="J83" i="6"/>
  <c r="K83" i="6"/>
  <c r="L83" i="6"/>
  <c r="M83" i="6"/>
  <c r="N83" i="6"/>
  <c r="O83" i="6"/>
  <c r="P83" i="6"/>
  <c r="Q83" i="6"/>
  <c r="R83" i="6"/>
  <c r="S83" i="6"/>
  <c r="T83" i="6"/>
  <c r="U83" i="6"/>
  <c r="V83" i="6"/>
  <c r="W83" i="6"/>
  <c r="X83" i="6"/>
  <c r="Y83" i="6"/>
  <c r="Z83" i="6"/>
  <c r="F84" i="6"/>
  <c r="G84" i="6"/>
  <c r="H84" i="6"/>
  <c r="I84" i="6"/>
  <c r="J84" i="6"/>
  <c r="K84" i="6"/>
  <c r="L84" i="6"/>
  <c r="M84" i="6"/>
  <c r="N84" i="6"/>
  <c r="O84" i="6"/>
  <c r="P84" i="6"/>
  <c r="Q84" i="6"/>
  <c r="R84" i="6"/>
  <c r="S84" i="6"/>
  <c r="T84" i="6"/>
  <c r="U84" i="6"/>
  <c r="V84" i="6"/>
  <c r="W84" i="6"/>
  <c r="X84" i="6"/>
  <c r="Y84" i="6"/>
  <c r="Z84" i="6"/>
  <c r="F85" i="6"/>
  <c r="G85" i="6"/>
  <c r="H85" i="6"/>
  <c r="I85" i="6"/>
  <c r="J85" i="6"/>
  <c r="K85" i="6"/>
  <c r="L85" i="6"/>
  <c r="M85" i="6"/>
  <c r="N85" i="6"/>
  <c r="O85" i="6"/>
  <c r="P85" i="6"/>
  <c r="Q85" i="6"/>
  <c r="R85" i="6"/>
  <c r="S85" i="6"/>
  <c r="T85" i="6"/>
  <c r="U85" i="6"/>
  <c r="V85" i="6"/>
  <c r="W85" i="6"/>
  <c r="X85" i="6"/>
  <c r="Y85" i="6"/>
  <c r="Z85" i="6"/>
  <c r="F86" i="6"/>
  <c r="G86" i="6"/>
  <c r="H86" i="6"/>
  <c r="I86" i="6"/>
  <c r="J86" i="6"/>
  <c r="K86" i="6"/>
  <c r="L86" i="6"/>
  <c r="M86" i="6"/>
  <c r="N86" i="6"/>
  <c r="O86" i="6"/>
  <c r="P86" i="6"/>
  <c r="Q86" i="6"/>
  <c r="R86" i="6"/>
  <c r="S86" i="6"/>
  <c r="T86" i="6"/>
  <c r="U86" i="6"/>
  <c r="V86" i="6"/>
  <c r="W86" i="6"/>
  <c r="X86" i="6"/>
  <c r="Y86" i="6"/>
  <c r="Z86" i="6"/>
  <c r="F87" i="6"/>
  <c r="G87" i="6"/>
  <c r="H87" i="6"/>
  <c r="I87" i="6"/>
  <c r="J87" i="6"/>
  <c r="K87" i="6"/>
  <c r="L87" i="6"/>
  <c r="M87" i="6"/>
  <c r="N87" i="6"/>
  <c r="O87" i="6"/>
  <c r="P87" i="6"/>
  <c r="Q87" i="6"/>
  <c r="R87" i="6"/>
  <c r="S87" i="6"/>
  <c r="T87" i="6"/>
  <c r="U87" i="6"/>
  <c r="V87" i="6"/>
  <c r="W87" i="6"/>
  <c r="X87" i="6"/>
  <c r="Y87" i="6"/>
  <c r="Z87" i="6"/>
  <c r="F88" i="6"/>
  <c r="G88" i="6"/>
  <c r="H88" i="6"/>
  <c r="I88" i="6"/>
  <c r="J88" i="6"/>
  <c r="K88" i="6"/>
  <c r="L88" i="6"/>
  <c r="M88" i="6"/>
  <c r="N88" i="6"/>
  <c r="O88" i="6"/>
  <c r="P88" i="6"/>
  <c r="Q88" i="6"/>
  <c r="R88" i="6"/>
  <c r="S88" i="6"/>
  <c r="T88" i="6"/>
  <c r="U88" i="6"/>
  <c r="V88" i="6"/>
  <c r="W88" i="6"/>
  <c r="X88" i="6"/>
  <c r="Y88" i="6"/>
  <c r="Z88" i="6"/>
  <c r="F89" i="6"/>
  <c r="G89" i="6"/>
  <c r="H89" i="6"/>
  <c r="I89" i="6"/>
  <c r="J89" i="6"/>
  <c r="K89" i="6"/>
  <c r="L89" i="6"/>
  <c r="M89" i="6"/>
  <c r="N89" i="6"/>
  <c r="O89" i="6"/>
  <c r="P89" i="6"/>
  <c r="Q89" i="6"/>
  <c r="R89" i="6"/>
  <c r="S89" i="6"/>
  <c r="T89" i="6"/>
  <c r="U89" i="6"/>
  <c r="V89" i="6"/>
  <c r="W89" i="6"/>
  <c r="X89" i="6"/>
  <c r="Y89" i="6"/>
  <c r="Z89" i="6"/>
  <c r="F90" i="6"/>
  <c r="G90" i="6"/>
  <c r="H90" i="6"/>
  <c r="I90" i="6"/>
  <c r="J90" i="6"/>
  <c r="K90" i="6"/>
  <c r="L90" i="6"/>
  <c r="M90" i="6"/>
  <c r="N90" i="6"/>
  <c r="O90" i="6"/>
  <c r="P90" i="6"/>
  <c r="Q90" i="6"/>
  <c r="R90" i="6"/>
  <c r="S90" i="6"/>
  <c r="T90" i="6"/>
  <c r="U90" i="6"/>
  <c r="V90" i="6"/>
  <c r="W90" i="6"/>
  <c r="X90" i="6"/>
  <c r="Y90" i="6"/>
  <c r="Z90" i="6"/>
  <c r="F91" i="6"/>
  <c r="G91" i="6"/>
  <c r="H91" i="6"/>
  <c r="I91" i="6"/>
  <c r="J91" i="6"/>
  <c r="K91" i="6"/>
  <c r="L91" i="6"/>
  <c r="M91" i="6"/>
  <c r="N91" i="6"/>
  <c r="O91" i="6"/>
  <c r="P91" i="6"/>
  <c r="Q91" i="6"/>
  <c r="R91" i="6"/>
  <c r="S91" i="6"/>
  <c r="T91" i="6"/>
  <c r="U91" i="6"/>
  <c r="V91" i="6"/>
  <c r="W91" i="6"/>
  <c r="X91" i="6"/>
  <c r="Y91" i="6"/>
  <c r="Z91" i="6"/>
  <c r="F92" i="6"/>
  <c r="G92" i="6"/>
  <c r="H92" i="6"/>
  <c r="I92" i="6"/>
  <c r="J92" i="6"/>
  <c r="K92" i="6"/>
  <c r="L92" i="6"/>
  <c r="M92" i="6"/>
  <c r="N92" i="6"/>
  <c r="O92" i="6"/>
  <c r="P92" i="6"/>
  <c r="Q92" i="6"/>
  <c r="R92" i="6"/>
  <c r="S92" i="6"/>
  <c r="T92" i="6"/>
  <c r="U92" i="6"/>
  <c r="V92" i="6"/>
  <c r="W92" i="6"/>
  <c r="X92" i="6"/>
  <c r="Y92" i="6"/>
  <c r="Z92" i="6"/>
  <c r="F93" i="6"/>
  <c r="G93" i="6"/>
  <c r="H93" i="6"/>
  <c r="I93" i="6"/>
  <c r="J93" i="6"/>
  <c r="K93" i="6"/>
  <c r="L93" i="6"/>
  <c r="M93" i="6"/>
  <c r="N93" i="6"/>
  <c r="O93" i="6"/>
  <c r="P93" i="6"/>
  <c r="Q93" i="6"/>
  <c r="R93" i="6"/>
  <c r="S93" i="6"/>
  <c r="T93" i="6"/>
  <c r="U93" i="6"/>
  <c r="V93" i="6"/>
  <c r="W93" i="6"/>
  <c r="X93" i="6"/>
  <c r="Y93" i="6"/>
  <c r="Z93" i="6"/>
  <c r="F94" i="6"/>
  <c r="G94" i="6"/>
  <c r="H94" i="6"/>
  <c r="I94" i="6"/>
  <c r="J94" i="6"/>
  <c r="K94" i="6"/>
  <c r="L94" i="6"/>
  <c r="M94" i="6"/>
  <c r="N94" i="6"/>
  <c r="O94" i="6"/>
  <c r="P94" i="6"/>
  <c r="Q94" i="6"/>
  <c r="R94" i="6"/>
  <c r="S94" i="6"/>
  <c r="T94" i="6"/>
  <c r="U94" i="6"/>
  <c r="V94" i="6"/>
  <c r="W94" i="6"/>
  <c r="X94" i="6"/>
  <c r="Y94" i="6"/>
  <c r="Z94" i="6"/>
  <c r="F95" i="6"/>
  <c r="G95" i="6"/>
  <c r="H95" i="6"/>
  <c r="I95" i="6"/>
  <c r="J95" i="6"/>
  <c r="K95" i="6"/>
  <c r="L95" i="6"/>
  <c r="M95" i="6"/>
  <c r="N95" i="6"/>
  <c r="O95" i="6"/>
  <c r="P95" i="6"/>
  <c r="Q95" i="6"/>
  <c r="R95" i="6"/>
  <c r="S95" i="6"/>
  <c r="T95" i="6"/>
  <c r="U95" i="6"/>
  <c r="V95" i="6"/>
  <c r="W95" i="6"/>
  <c r="X95" i="6"/>
  <c r="Y95" i="6"/>
  <c r="Z95" i="6"/>
  <c r="F96" i="6"/>
  <c r="G96" i="6"/>
  <c r="H96" i="6"/>
  <c r="I96" i="6"/>
  <c r="J96" i="6"/>
  <c r="K96" i="6"/>
  <c r="L96" i="6"/>
  <c r="M96" i="6"/>
  <c r="N96" i="6"/>
  <c r="O96" i="6"/>
  <c r="P96" i="6"/>
  <c r="Q96" i="6"/>
  <c r="R96" i="6"/>
  <c r="S96" i="6"/>
  <c r="T96" i="6"/>
  <c r="U96" i="6"/>
  <c r="V96" i="6"/>
  <c r="W96" i="6"/>
  <c r="X96" i="6"/>
  <c r="Y96" i="6"/>
  <c r="Z96" i="6"/>
  <c r="F97" i="6"/>
  <c r="G97" i="6"/>
  <c r="H97" i="6"/>
  <c r="I97" i="6"/>
  <c r="J97" i="6"/>
  <c r="K97" i="6"/>
  <c r="L97" i="6"/>
  <c r="M97" i="6"/>
  <c r="N97" i="6"/>
  <c r="O97" i="6"/>
  <c r="P97" i="6"/>
  <c r="Q97" i="6"/>
  <c r="R97" i="6"/>
  <c r="S97" i="6"/>
  <c r="T97" i="6"/>
  <c r="U97" i="6"/>
  <c r="V97" i="6"/>
  <c r="W97" i="6"/>
  <c r="X97" i="6"/>
  <c r="Y97" i="6"/>
  <c r="Z97" i="6"/>
  <c r="F98" i="6"/>
  <c r="G98" i="6"/>
  <c r="H98" i="6"/>
  <c r="I98" i="6"/>
  <c r="J98" i="6"/>
  <c r="K98" i="6"/>
  <c r="L98" i="6"/>
  <c r="M98" i="6"/>
  <c r="N98" i="6"/>
  <c r="O98" i="6"/>
  <c r="P98" i="6"/>
  <c r="Q98" i="6"/>
  <c r="R98" i="6"/>
  <c r="S98" i="6"/>
  <c r="T98" i="6"/>
  <c r="U98" i="6"/>
  <c r="V98" i="6"/>
  <c r="W98" i="6"/>
  <c r="X98" i="6"/>
  <c r="Y98" i="6"/>
  <c r="Z98" i="6"/>
  <c r="F99" i="6"/>
  <c r="G99" i="6"/>
  <c r="H99" i="6"/>
  <c r="I99" i="6"/>
  <c r="J99" i="6"/>
  <c r="K99" i="6"/>
  <c r="L99" i="6"/>
  <c r="M99" i="6"/>
  <c r="N99" i="6"/>
  <c r="O99" i="6"/>
  <c r="P99" i="6"/>
  <c r="Q99" i="6"/>
  <c r="R99" i="6"/>
  <c r="S99" i="6"/>
  <c r="T99" i="6"/>
  <c r="U99" i="6"/>
  <c r="V99" i="6"/>
  <c r="W99" i="6"/>
  <c r="X99" i="6"/>
  <c r="Y99" i="6"/>
  <c r="Z99" i="6"/>
  <c r="F100" i="6"/>
  <c r="G100" i="6"/>
  <c r="H100" i="6"/>
  <c r="I100" i="6"/>
  <c r="J100" i="6"/>
  <c r="K100" i="6"/>
  <c r="L100" i="6"/>
  <c r="M100" i="6"/>
  <c r="N100" i="6"/>
  <c r="O100" i="6"/>
  <c r="P100" i="6"/>
  <c r="Q100" i="6"/>
  <c r="R100" i="6"/>
  <c r="S100" i="6"/>
  <c r="T100" i="6"/>
  <c r="U100" i="6"/>
  <c r="V100" i="6"/>
  <c r="W100" i="6"/>
  <c r="X100" i="6"/>
  <c r="Y100" i="6"/>
  <c r="Z100" i="6"/>
  <c r="F101" i="6"/>
  <c r="G101" i="6"/>
  <c r="H101" i="6"/>
  <c r="I101" i="6"/>
  <c r="J101" i="6"/>
  <c r="K101" i="6"/>
  <c r="L101" i="6"/>
  <c r="M101" i="6"/>
  <c r="N101" i="6"/>
  <c r="O101" i="6"/>
  <c r="P101" i="6"/>
  <c r="Q101" i="6"/>
  <c r="R101" i="6"/>
  <c r="S101" i="6"/>
  <c r="T101" i="6"/>
  <c r="U101" i="6"/>
  <c r="V101" i="6"/>
  <c r="W101" i="6"/>
  <c r="X101" i="6"/>
  <c r="Y101" i="6"/>
  <c r="Z101" i="6"/>
  <c r="F102" i="6"/>
  <c r="G102" i="6"/>
  <c r="H102" i="6"/>
  <c r="I102" i="6"/>
  <c r="J102" i="6"/>
  <c r="K102" i="6"/>
  <c r="L102" i="6"/>
  <c r="M102" i="6"/>
  <c r="N102" i="6"/>
  <c r="O102" i="6"/>
  <c r="P102" i="6"/>
  <c r="Q102" i="6"/>
  <c r="R102" i="6"/>
  <c r="S102" i="6"/>
  <c r="T102" i="6"/>
  <c r="U102" i="6"/>
  <c r="V102" i="6"/>
  <c r="W102" i="6"/>
  <c r="X102" i="6"/>
  <c r="Y102" i="6"/>
  <c r="Z102" i="6"/>
  <c r="F103" i="6"/>
  <c r="G103" i="6"/>
  <c r="H103" i="6"/>
  <c r="I103" i="6"/>
  <c r="J103" i="6"/>
  <c r="K103" i="6"/>
  <c r="L103" i="6"/>
  <c r="M103" i="6"/>
  <c r="N103" i="6"/>
  <c r="O103" i="6"/>
  <c r="P103" i="6"/>
  <c r="Q103" i="6"/>
  <c r="R103" i="6"/>
  <c r="S103" i="6"/>
  <c r="T103" i="6"/>
  <c r="U103" i="6"/>
  <c r="V103" i="6"/>
  <c r="W103" i="6"/>
  <c r="X103" i="6"/>
  <c r="Y103" i="6"/>
  <c r="Z103" i="6"/>
  <c r="F104" i="6"/>
  <c r="G104" i="6"/>
  <c r="H104" i="6"/>
  <c r="I104" i="6"/>
  <c r="J104" i="6"/>
  <c r="K104" i="6"/>
  <c r="L104" i="6"/>
  <c r="M104" i="6"/>
  <c r="N104" i="6"/>
  <c r="O104" i="6"/>
  <c r="P104" i="6"/>
  <c r="Q104" i="6"/>
  <c r="R104" i="6"/>
  <c r="S104" i="6"/>
  <c r="T104" i="6"/>
  <c r="U104" i="6"/>
  <c r="V104" i="6"/>
  <c r="W104" i="6"/>
  <c r="X104" i="6"/>
  <c r="Y104" i="6"/>
  <c r="Z104" i="6"/>
  <c r="F105" i="6"/>
  <c r="G105" i="6"/>
  <c r="H105" i="6"/>
  <c r="I105" i="6"/>
  <c r="J105" i="6"/>
  <c r="K105" i="6"/>
  <c r="L105" i="6"/>
  <c r="M105" i="6"/>
  <c r="N105" i="6"/>
  <c r="O105" i="6"/>
  <c r="P105" i="6"/>
  <c r="Q105" i="6"/>
  <c r="R105" i="6"/>
  <c r="S105" i="6"/>
  <c r="T105" i="6"/>
  <c r="U105" i="6"/>
  <c r="V105" i="6"/>
  <c r="W105" i="6"/>
  <c r="X105" i="6"/>
  <c r="Y105" i="6"/>
  <c r="Z105" i="6"/>
  <c r="F106" i="6"/>
  <c r="G106" i="6"/>
  <c r="H106" i="6"/>
  <c r="I106" i="6"/>
  <c r="J106" i="6"/>
  <c r="K106" i="6"/>
  <c r="L106" i="6"/>
  <c r="M106" i="6"/>
  <c r="N106" i="6"/>
  <c r="O106" i="6"/>
  <c r="P106" i="6"/>
  <c r="Q106" i="6"/>
  <c r="R106" i="6"/>
  <c r="S106" i="6"/>
  <c r="T106" i="6"/>
  <c r="U106" i="6"/>
  <c r="V106" i="6"/>
  <c r="W106" i="6"/>
  <c r="X106" i="6"/>
  <c r="Y106" i="6"/>
  <c r="Z106" i="6"/>
  <c r="F107" i="6"/>
  <c r="G107" i="6"/>
  <c r="H107" i="6"/>
  <c r="I107" i="6"/>
  <c r="J107" i="6"/>
  <c r="K107" i="6"/>
  <c r="L107" i="6"/>
  <c r="M107" i="6"/>
  <c r="N107" i="6"/>
  <c r="O107" i="6"/>
  <c r="P107" i="6"/>
  <c r="Q107" i="6"/>
  <c r="R107" i="6"/>
  <c r="S107" i="6"/>
  <c r="T107" i="6"/>
  <c r="U107" i="6"/>
  <c r="V107" i="6"/>
  <c r="W107" i="6"/>
  <c r="X107" i="6"/>
  <c r="Y107" i="6"/>
  <c r="Z107" i="6"/>
  <c r="F108" i="6"/>
  <c r="G108" i="6"/>
  <c r="H108" i="6"/>
  <c r="I108" i="6"/>
  <c r="J108" i="6"/>
  <c r="K108" i="6"/>
  <c r="L108" i="6"/>
  <c r="M108" i="6"/>
  <c r="N108" i="6"/>
  <c r="O108" i="6"/>
  <c r="P108" i="6"/>
  <c r="Q108" i="6"/>
  <c r="R108" i="6"/>
  <c r="S108" i="6"/>
  <c r="T108" i="6"/>
  <c r="U108" i="6"/>
  <c r="V108" i="6"/>
  <c r="W108" i="6"/>
  <c r="X108" i="6"/>
  <c r="Y108" i="6"/>
  <c r="Z108" i="6"/>
  <c r="F109" i="6"/>
  <c r="G109" i="6"/>
  <c r="H109" i="6"/>
  <c r="I109" i="6"/>
  <c r="J109" i="6"/>
  <c r="K109" i="6"/>
  <c r="L109" i="6"/>
  <c r="M109" i="6"/>
  <c r="N109" i="6"/>
  <c r="O109" i="6"/>
  <c r="P109" i="6"/>
  <c r="Q109" i="6"/>
  <c r="R109" i="6"/>
  <c r="S109" i="6"/>
  <c r="T109" i="6"/>
  <c r="U109" i="6"/>
  <c r="V109" i="6"/>
  <c r="W109" i="6"/>
  <c r="X109" i="6"/>
  <c r="Y109" i="6"/>
  <c r="Z109" i="6"/>
  <c r="F110" i="6"/>
  <c r="G110" i="6"/>
  <c r="H110" i="6"/>
  <c r="I110" i="6"/>
  <c r="J110" i="6"/>
  <c r="K110" i="6"/>
  <c r="L110" i="6"/>
  <c r="M110" i="6"/>
  <c r="N110" i="6"/>
  <c r="O110" i="6"/>
  <c r="P110" i="6"/>
  <c r="Q110" i="6"/>
  <c r="R110" i="6"/>
  <c r="S110" i="6"/>
  <c r="T110" i="6"/>
  <c r="U110" i="6"/>
  <c r="V110" i="6"/>
  <c r="W110" i="6"/>
  <c r="X110" i="6"/>
  <c r="Y110" i="6"/>
  <c r="Z110" i="6"/>
  <c r="F111" i="6"/>
  <c r="G111" i="6"/>
  <c r="H111" i="6"/>
  <c r="I111" i="6"/>
  <c r="J111" i="6"/>
  <c r="K111" i="6"/>
  <c r="L111" i="6"/>
  <c r="M111" i="6"/>
  <c r="N111" i="6"/>
  <c r="O111" i="6"/>
  <c r="P111" i="6"/>
  <c r="Q111" i="6"/>
  <c r="R111" i="6"/>
  <c r="S111" i="6"/>
  <c r="T111" i="6"/>
  <c r="U111" i="6"/>
  <c r="V111" i="6"/>
  <c r="W111" i="6"/>
  <c r="X111" i="6"/>
  <c r="Y111" i="6"/>
  <c r="Z111" i="6"/>
  <c r="F112" i="6"/>
  <c r="G112" i="6"/>
  <c r="H112" i="6"/>
  <c r="I112" i="6"/>
  <c r="J112" i="6"/>
  <c r="K112" i="6"/>
  <c r="L112" i="6"/>
  <c r="M112" i="6"/>
  <c r="N112" i="6"/>
  <c r="O112" i="6"/>
  <c r="P112" i="6"/>
  <c r="Q112" i="6"/>
  <c r="R112" i="6"/>
  <c r="S112" i="6"/>
  <c r="T112" i="6"/>
  <c r="U112" i="6"/>
  <c r="V112" i="6"/>
  <c r="W112" i="6"/>
  <c r="X112" i="6"/>
  <c r="Y112" i="6"/>
  <c r="Z112" i="6"/>
  <c r="F113" i="6"/>
  <c r="G113" i="6"/>
  <c r="H113" i="6"/>
  <c r="I113" i="6"/>
  <c r="J113" i="6"/>
  <c r="K113" i="6"/>
  <c r="L113" i="6"/>
  <c r="M113" i="6"/>
  <c r="N113" i="6"/>
  <c r="O113" i="6"/>
  <c r="P113" i="6"/>
  <c r="Q113" i="6"/>
  <c r="R113" i="6"/>
  <c r="S113" i="6"/>
  <c r="T113" i="6"/>
  <c r="U113" i="6"/>
  <c r="V113" i="6"/>
  <c r="W113" i="6"/>
  <c r="X113" i="6"/>
  <c r="Y113" i="6"/>
  <c r="Z113" i="6"/>
  <c r="F114" i="6"/>
  <c r="G114" i="6"/>
  <c r="H114" i="6"/>
  <c r="I114" i="6"/>
  <c r="J114" i="6"/>
  <c r="K114" i="6"/>
  <c r="L114" i="6"/>
  <c r="M114" i="6"/>
  <c r="N114" i="6"/>
  <c r="O114" i="6"/>
  <c r="P114" i="6"/>
  <c r="Q114" i="6"/>
  <c r="R114" i="6"/>
  <c r="S114" i="6"/>
  <c r="T114" i="6"/>
  <c r="U114" i="6"/>
  <c r="V114" i="6"/>
  <c r="W114" i="6"/>
  <c r="X114" i="6"/>
  <c r="Y114" i="6"/>
  <c r="Z114" i="6"/>
  <c r="F115" i="6"/>
  <c r="G115" i="6"/>
  <c r="H115" i="6"/>
  <c r="I115" i="6"/>
  <c r="J115" i="6"/>
  <c r="K115" i="6"/>
  <c r="L115" i="6"/>
  <c r="M115" i="6"/>
  <c r="N115" i="6"/>
  <c r="O115" i="6"/>
  <c r="P115" i="6"/>
  <c r="Q115" i="6"/>
  <c r="R115" i="6"/>
  <c r="S115" i="6"/>
  <c r="T115" i="6"/>
  <c r="U115" i="6"/>
  <c r="V115" i="6"/>
  <c r="W115" i="6"/>
  <c r="X115" i="6"/>
  <c r="Y115" i="6"/>
  <c r="Z115" i="6"/>
  <c r="F116" i="6"/>
  <c r="G116" i="6"/>
  <c r="H116" i="6"/>
  <c r="I116" i="6"/>
  <c r="J116" i="6"/>
  <c r="K116" i="6"/>
  <c r="L116" i="6"/>
  <c r="M116" i="6"/>
  <c r="N116" i="6"/>
  <c r="O116" i="6"/>
  <c r="P116" i="6"/>
  <c r="Q116" i="6"/>
  <c r="R116" i="6"/>
  <c r="S116" i="6"/>
  <c r="T116" i="6"/>
  <c r="U116" i="6"/>
  <c r="V116" i="6"/>
  <c r="W116" i="6"/>
  <c r="X116" i="6"/>
  <c r="Y116" i="6"/>
  <c r="Z116" i="6"/>
  <c r="F117" i="6"/>
  <c r="G117" i="6"/>
  <c r="H117" i="6"/>
  <c r="I117" i="6"/>
  <c r="J117" i="6"/>
  <c r="K117" i="6"/>
  <c r="L117" i="6"/>
  <c r="M117" i="6"/>
  <c r="N117" i="6"/>
  <c r="O117" i="6"/>
  <c r="P117" i="6"/>
  <c r="Q117" i="6"/>
  <c r="R117" i="6"/>
  <c r="S117" i="6"/>
  <c r="T117" i="6"/>
  <c r="U117" i="6"/>
  <c r="V117" i="6"/>
  <c r="W117" i="6"/>
  <c r="X117" i="6"/>
  <c r="Y117" i="6"/>
  <c r="Z117" i="6"/>
  <c r="F118" i="6"/>
  <c r="G118" i="6"/>
  <c r="H118" i="6"/>
  <c r="I118" i="6"/>
  <c r="J118" i="6"/>
  <c r="K118" i="6"/>
  <c r="L118" i="6"/>
  <c r="M118" i="6"/>
  <c r="N118" i="6"/>
  <c r="O118" i="6"/>
  <c r="P118" i="6"/>
  <c r="Q118" i="6"/>
  <c r="R118" i="6"/>
  <c r="S118" i="6"/>
  <c r="T118" i="6"/>
  <c r="U118" i="6"/>
  <c r="V118" i="6"/>
  <c r="W118" i="6"/>
  <c r="X118" i="6"/>
  <c r="Y118" i="6"/>
  <c r="Z118" i="6"/>
  <c r="F119" i="6"/>
  <c r="G119" i="6"/>
  <c r="H119" i="6"/>
  <c r="I119" i="6"/>
  <c r="J119" i="6"/>
  <c r="K119" i="6"/>
  <c r="L119" i="6"/>
  <c r="M119" i="6"/>
  <c r="N119" i="6"/>
  <c r="O119" i="6"/>
  <c r="P119" i="6"/>
  <c r="Q119" i="6"/>
  <c r="R119" i="6"/>
  <c r="S119" i="6"/>
  <c r="T119" i="6"/>
  <c r="U119" i="6"/>
  <c r="V119" i="6"/>
  <c r="W119" i="6"/>
  <c r="X119" i="6"/>
  <c r="Y119" i="6"/>
  <c r="Z119" i="6"/>
  <c r="F120" i="6"/>
  <c r="G120" i="6"/>
  <c r="H120" i="6"/>
  <c r="I120" i="6"/>
  <c r="J120" i="6"/>
  <c r="K120" i="6"/>
  <c r="L120" i="6"/>
  <c r="M120" i="6"/>
  <c r="N120" i="6"/>
  <c r="O120" i="6"/>
  <c r="P120" i="6"/>
  <c r="Q120" i="6"/>
  <c r="R120" i="6"/>
  <c r="S120" i="6"/>
  <c r="T120" i="6"/>
  <c r="U120" i="6"/>
  <c r="V120" i="6"/>
  <c r="W120" i="6"/>
  <c r="X120" i="6"/>
  <c r="Y120" i="6"/>
  <c r="Z120" i="6"/>
  <c r="F121" i="6"/>
  <c r="G121" i="6"/>
  <c r="H121" i="6"/>
  <c r="I121" i="6"/>
  <c r="J121" i="6"/>
  <c r="K121" i="6"/>
  <c r="L121" i="6"/>
  <c r="M121" i="6"/>
  <c r="N121" i="6"/>
  <c r="O121" i="6"/>
  <c r="P121" i="6"/>
  <c r="Q121" i="6"/>
  <c r="R121" i="6"/>
  <c r="S121" i="6"/>
  <c r="T121" i="6"/>
  <c r="U121" i="6"/>
  <c r="V121" i="6"/>
  <c r="W121" i="6"/>
  <c r="X121" i="6"/>
  <c r="Y121" i="6"/>
  <c r="Z121" i="6"/>
  <c r="F122" i="6"/>
  <c r="G122" i="6"/>
  <c r="H122" i="6"/>
  <c r="I122" i="6"/>
  <c r="J122" i="6"/>
  <c r="K122" i="6"/>
  <c r="L122" i="6"/>
  <c r="M122" i="6"/>
  <c r="N122" i="6"/>
  <c r="O122" i="6"/>
  <c r="P122" i="6"/>
  <c r="Q122" i="6"/>
  <c r="R122" i="6"/>
  <c r="S122" i="6"/>
  <c r="T122" i="6"/>
  <c r="U122" i="6"/>
  <c r="V122" i="6"/>
  <c r="W122" i="6"/>
  <c r="X122" i="6"/>
  <c r="Y122" i="6"/>
  <c r="Z122" i="6"/>
  <c r="F123" i="6"/>
  <c r="G123" i="6"/>
  <c r="H123" i="6"/>
  <c r="I123" i="6"/>
  <c r="J123" i="6"/>
  <c r="K123" i="6"/>
  <c r="L123" i="6"/>
  <c r="M123" i="6"/>
  <c r="N123" i="6"/>
  <c r="O123" i="6"/>
  <c r="P123" i="6"/>
  <c r="Q123" i="6"/>
  <c r="R123" i="6"/>
  <c r="S123" i="6"/>
  <c r="T123" i="6"/>
  <c r="U123" i="6"/>
  <c r="V123" i="6"/>
  <c r="W123" i="6"/>
  <c r="X123" i="6"/>
  <c r="Y123" i="6"/>
  <c r="Z123" i="6"/>
  <c r="F124" i="6"/>
  <c r="G124" i="6"/>
  <c r="H124" i="6"/>
  <c r="I124" i="6"/>
  <c r="J124" i="6"/>
  <c r="K124" i="6"/>
  <c r="L124" i="6"/>
  <c r="M124" i="6"/>
  <c r="N124" i="6"/>
  <c r="O124" i="6"/>
  <c r="P124" i="6"/>
  <c r="Q124" i="6"/>
  <c r="R124" i="6"/>
  <c r="S124" i="6"/>
  <c r="T124" i="6"/>
  <c r="U124" i="6"/>
  <c r="V124" i="6"/>
  <c r="W124" i="6"/>
  <c r="X124" i="6"/>
  <c r="Y124" i="6"/>
  <c r="Z124" i="6"/>
  <c r="F125" i="6"/>
  <c r="G125" i="6"/>
  <c r="H125" i="6"/>
  <c r="I125" i="6"/>
  <c r="J125" i="6"/>
  <c r="K125" i="6"/>
  <c r="L125" i="6"/>
  <c r="M125" i="6"/>
  <c r="N125" i="6"/>
  <c r="O125" i="6"/>
  <c r="P125" i="6"/>
  <c r="Q125" i="6"/>
  <c r="R125" i="6"/>
  <c r="S125" i="6"/>
  <c r="T125" i="6"/>
  <c r="U125" i="6"/>
  <c r="V125" i="6"/>
  <c r="W125" i="6"/>
  <c r="X125" i="6"/>
  <c r="Y125" i="6"/>
  <c r="Z125" i="6"/>
  <c r="F126" i="6"/>
  <c r="G126" i="6"/>
  <c r="H126" i="6"/>
  <c r="I126" i="6"/>
  <c r="J126" i="6"/>
  <c r="K126" i="6"/>
  <c r="L126" i="6"/>
  <c r="M126" i="6"/>
  <c r="N126" i="6"/>
  <c r="O126" i="6"/>
  <c r="P126" i="6"/>
  <c r="Q126" i="6"/>
  <c r="R126" i="6"/>
  <c r="S126" i="6"/>
  <c r="T126" i="6"/>
  <c r="U126" i="6"/>
  <c r="V126" i="6"/>
  <c r="W126" i="6"/>
  <c r="X126" i="6"/>
  <c r="Y126" i="6"/>
  <c r="Z126" i="6"/>
  <c r="F127" i="6"/>
  <c r="G127" i="6"/>
  <c r="H127" i="6"/>
  <c r="I127" i="6"/>
  <c r="J127" i="6"/>
  <c r="K127" i="6"/>
  <c r="L127" i="6"/>
  <c r="M127" i="6"/>
  <c r="N127" i="6"/>
  <c r="O127" i="6"/>
  <c r="P127" i="6"/>
  <c r="Q127" i="6"/>
  <c r="R127" i="6"/>
  <c r="S127" i="6"/>
  <c r="T127" i="6"/>
  <c r="U127" i="6"/>
  <c r="V127" i="6"/>
  <c r="W127" i="6"/>
  <c r="X127" i="6"/>
  <c r="Y127" i="6"/>
  <c r="Z127" i="6"/>
  <c r="F128" i="6"/>
  <c r="G128" i="6"/>
  <c r="H128" i="6"/>
  <c r="I128" i="6"/>
  <c r="J128" i="6"/>
  <c r="K128" i="6"/>
  <c r="L128" i="6"/>
  <c r="M128" i="6"/>
  <c r="N128" i="6"/>
  <c r="O128" i="6"/>
  <c r="P128" i="6"/>
  <c r="Q128" i="6"/>
  <c r="R128" i="6"/>
  <c r="S128" i="6"/>
  <c r="T128" i="6"/>
  <c r="U128" i="6"/>
  <c r="V128" i="6"/>
  <c r="W128" i="6"/>
  <c r="X128" i="6"/>
  <c r="Y128" i="6"/>
  <c r="Z128" i="6"/>
  <c r="F129" i="6"/>
  <c r="G129" i="6"/>
  <c r="H129" i="6"/>
  <c r="I129" i="6"/>
  <c r="J129" i="6"/>
  <c r="K129" i="6"/>
  <c r="L129" i="6"/>
  <c r="M129" i="6"/>
  <c r="N129" i="6"/>
  <c r="O129" i="6"/>
  <c r="P129" i="6"/>
  <c r="Q129" i="6"/>
  <c r="R129" i="6"/>
  <c r="S129" i="6"/>
  <c r="T129" i="6"/>
  <c r="U129" i="6"/>
  <c r="V129" i="6"/>
  <c r="W129" i="6"/>
  <c r="X129" i="6"/>
  <c r="Y129" i="6"/>
  <c r="Z129" i="6"/>
  <c r="F130" i="6"/>
  <c r="G130" i="6"/>
  <c r="H130" i="6"/>
  <c r="I130" i="6"/>
  <c r="J130" i="6"/>
  <c r="K130" i="6"/>
  <c r="L130" i="6"/>
  <c r="M130" i="6"/>
  <c r="N130" i="6"/>
  <c r="O130" i="6"/>
  <c r="P130" i="6"/>
  <c r="Q130" i="6"/>
  <c r="R130" i="6"/>
  <c r="S130" i="6"/>
  <c r="T130" i="6"/>
  <c r="U130" i="6"/>
  <c r="V130" i="6"/>
  <c r="W130" i="6"/>
  <c r="X130" i="6"/>
  <c r="Y130" i="6"/>
  <c r="Z130" i="6"/>
  <c r="F131" i="6"/>
  <c r="G131" i="6"/>
  <c r="H131" i="6"/>
  <c r="I131" i="6"/>
  <c r="J131" i="6"/>
  <c r="K131" i="6"/>
  <c r="L131" i="6"/>
  <c r="M131" i="6"/>
  <c r="N131" i="6"/>
  <c r="O131" i="6"/>
  <c r="P131" i="6"/>
  <c r="Q131" i="6"/>
  <c r="R131" i="6"/>
  <c r="S131" i="6"/>
  <c r="T131" i="6"/>
  <c r="U131" i="6"/>
  <c r="V131" i="6"/>
  <c r="W131" i="6"/>
  <c r="X131" i="6"/>
  <c r="Y131" i="6"/>
  <c r="Z131" i="6"/>
  <c r="F132" i="6"/>
  <c r="G132" i="6"/>
  <c r="H132" i="6"/>
  <c r="I132" i="6"/>
  <c r="J132" i="6"/>
  <c r="K132" i="6"/>
  <c r="L132" i="6"/>
  <c r="M132" i="6"/>
  <c r="N132" i="6"/>
  <c r="O132" i="6"/>
  <c r="P132" i="6"/>
  <c r="Q132" i="6"/>
  <c r="R132" i="6"/>
  <c r="S132" i="6"/>
  <c r="T132" i="6"/>
  <c r="U132" i="6"/>
  <c r="V132" i="6"/>
  <c r="W132" i="6"/>
  <c r="X132" i="6"/>
  <c r="Y132" i="6"/>
  <c r="Z132" i="6"/>
  <c r="F133" i="6"/>
  <c r="G133" i="6"/>
  <c r="H133" i="6"/>
  <c r="I133" i="6"/>
  <c r="J133" i="6"/>
  <c r="K133" i="6"/>
  <c r="L133" i="6"/>
  <c r="M133" i="6"/>
  <c r="N133" i="6"/>
  <c r="O133" i="6"/>
  <c r="P133" i="6"/>
  <c r="Q133" i="6"/>
  <c r="R133" i="6"/>
  <c r="S133" i="6"/>
  <c r="T133" i="6"/>
  <c r="U133" i="6"/>
  <c r="V133" i="6"/>
  <c r="W133" i="6"/>
  <c r="X133" i="6"/>
  <c r="Y133" i="6"/>
  <c r="Z133" i="6"/>
  <c r="F134" i="6"/>
  <c r="G134" i="6"/>
  <c r="H134" i="6"/>
  <c r="I134" i="6"/>
  <c r="J134" i="6"/>
  <c r="K134" i="6"/>
  <c r="L134" i="6"/>
  <c r="M134" i="6"/>
  <c r="N134" i="6"/>
  <c r="O134" i="6"/>
  <c r="P134" i="6"/>
  <c r="Q134" i="6"/>
  <c r="R134" i="6"/>
  <c r="S134" i="6"/>
  <c r="T134" i="6"/>
  <c r="U134" i="6"/>
  <c r="V134" i="6"/>
  <c r="W134" i="6"/>
  <c r="X134" i="6"/>
  <c r="Y134" i="6"/>
  <c r="Z134" i="6"/>
  <c r="F135" i="6"/>
  <c r="G135" i="6"/>
  <c r="H135" i="6"/>
  <c r="I135" i="6"/>
  <c r="J135" i="6"/>
  <c r="K135" i="6"/>
  <c r="L135" i="6"/>
  <c r="M135" i="6"/>
  <c r="N135" i="6"/>
  <c r="O135" i="6"/>
  <c r="P135" i="6"/>
  <c r="Q135" i="6"/>
  <c r="R135" i="6"/>
  <c r="S135" i="6"/>
  <c r="T135" i="6"/>
  <c r="U135" i="6"/>
  <c r="V135" i="6"/>
  <c r="W135" i="6"/>
  <c r="X135" i="6"/>
  <c r="Y135" i="6"/>
  <c r="Z135" i="6"/>
  <c r="F136" i="6"/>
  <c r="G136" i="6"/>
  <c r="H136" i="6"/>
  <c r="I136" i="6"/>
  <c r="J136" i="6"/>
  <c r="K136" i="6"/>
  <c r="L136" i="6"/>
  <c r="M136" i="6"/>
  <c r="N136" i="6"/>
  <c r="O136" i="6"/>
  <c r="P136" i="6"/>
  <c r="Q136" i="6"/>
  <c r="R136" i="6"/>
  <c r="S136" i="6"/>
  <c r="T136" i="6"/>
  <c r="U136" i="6"/>
  <c r="V136" i="6"/>
  <c r="W136" i="6"/>
  <c r="X136" i="6"/>
  <c r="Y136" i="6"/>
  <c r="Z136" i="6"/>
  <c r="F137" i="6"/>
  <c r="G137" i="6"/>
  <c r="H137" i="6"/>
  <c r="I137" i="6"/>
  <c r="J137" i="6"/>
  <c r="K137" i="6"/>
  <c r="L137" i="6"/>
  <c r="M137" i="6"/>
  <c r="N137" i="6"/>
  <c r="O137" i="6"/>
  <c r="P137" i="6"/>
  <c r="Q137" i="6"/>
  <c r="R137" i="6"/>
  <c r="S137" i="6"/>
  <c r="T137" i="6"/>
  <c r="U137" i="6"/>
  <c r="V137" i="6"/>
  <c r="W137" i="6"/>
  <c r="X137" i="6"/>
  <c r="Y137" i="6"/>
  <c r="Z137" i="6"/>
  <c r="F138" i="6"/>
  <c r="G138" i="6"/>
  <c r="H138" i="6"/>
  <c r="I138" i="6"/>
  <c r="J138" i="6"/>
  <c r="K138" i="6"/>
  <c r="L138" i="6"/>
  <c r="M138" i="6"/>
  <c r="N138" i="6"/>
  <c r="O138" i="6"/>
  <c r="P138" i="6"/>
  <c r="Q138" i="6"/>
  <c r="R138" i="6"/>
  <c r="S138" i="6"/>
  <c r="T138" i="6"/>
  <c r="U138" i="6"/>
  <c r="V138" i="6"/>
  <c r="W138" i="6"/>
  <c r="X138" i="6"/>
  <c r="Y138" i="6"/>
  <c r="Z138" i="6"/>
  <c r="F139" i="6"/>
  <c r="G139" i="6"/>
  <c r="H139" i="6"/>
  <c r="I139" i="6"/>
  <c r="J139" i="6"/>
  <c r="K139" i="6"/>
  <c r="L139" i="6"/>
  <c r="M139" i="6"/>
  <c r="N139" i="6"/>
  <c r="O139" i="6"/>
  <c r="P139" i="6"/>
  <c r="Q139" i="6"/>
  <c r="R139" i="6"/>
  <c r="S139" i="6"/>
  <c r="T139" i="6"/>
  <c r="U139" i="6"/>
  <c r="V139" i="6"/>
  <c r="W139" i="6"/>
  <c r="X139" i="6"/>
  <c r="Y139" i="6"/>
  <c r="Z139" i="6"/>
  <c r="F144" i="6"/>
  <c r="G144" i="6"/>
  <c r="H144" i="6"/>
  <c r="I144" i="6"/>
  <c r="J144" i="6"/>
  <c r="K144" i="6"/>
  <c r="L144" i="6"/>
  <c r="M144" i="6"/>
  <c r="N144" i="6"/>
  <c r="O144" i="6"/>
  <c r="P144" i="6"/>
  <c r="Q144" i="6"/>
  <c r="R144" i="6"/>
  <c r="S144" i="6"/>
  <c r="T144" i="6"/>
  <c r="U144" i="6"/>
  <c r="V144" i="6"/>
  <c r="W144" i="6"/>
  <c r="X144" i="6"/>
  <c r="Y144" i="6"/>
  <c r="Z144" i="6"/>
  <c r="F145" i="6"/>
  <c r="G145" i="6"/>
  <c r="H145" i="6"/>
  <c r="I145" i="6"/>
  <c r="J145" i="6"/>
  <c r="K145" i="6"/>
  <c r="L145" i="6"/>
  <c r="M145" i="6"/>
  <c r="N145" i="6"/>
  <c r="O145" i="6"/>
  <c r="P145" i="6"/>
  <c r="Q145" i="6"/>
  <c r="R145" i="6"/>
  <c r="S145" i="6"/>
  <c r="T145" i="6"/>
  <c r="U145" i="6"/>
  <c r="V145" i="6"/>
  <c r="W145" i="6"/>
  <c r="X145" i="6"/>
  <c r="Y145" i="6"/>
  <c r="Z145" i="6"/>
  <c r="F146" i="6"/>
  <c r="G146" i="6"/>
  <c r="H146" i="6"/>
  <c r="I146" i="6"/>
  <c r="J146" i="6"/>
  <c r="K146" i="6"/>
  <c r="L146" i="6"/>
  <c r="M146" i="6"/>
  <c r="N146" i="6"/>
  <c r="O146" i="6"/>
  <c r="P146" i="6"/>
  <c r="Q146" i="6"/>
  <c r="R146" i="6"/>
  <c r="S146" i="6"/>
  <c r="T146" i="6"/>
  <c r="U146" i="6"/>
  <c r="V146" i="6"/>
  <c r="W146" i="6"/>
  <c r="X146" i="6"/>
  <c r="Y146" i="6"/>
  <c r="Z146" i="6"/>
  <c r="F147" i="6"/>
  <c r="G147" i="6"/>
  <c r="H147" i="6"/>
  <c r="I147" i="6"/>
  <c r="J147" i="6"/>
  <c r="K147" i="6"/>
  <c r="L147" i="6"/>
  <c r="M147" i="6"/>
  <c r="N147" i="6"/>
  <c r="O147" i="6"/>
  <c r="P147" i="6"/>
  <c r="Q147" i="6"/>
  <c r="R147" i="6"/>
  <c r="S147" i="6"/>
  <c r="T147" i="6"/>
  <c r="U147" i="6"/>
  <c r="V147" i="6"/>
  <c r="W147" i="6"/>
  <c r="X147" i="6"/>
  <c r="Y147" i="6"/>
  <c r="Z147" i="6"/>
  <c r="F148" i="6"/>
  <c r="G148" i="6"/>
  <c r="H148" i="6"/>
  <c r="I148" i="6"/>
  <c r="J148" i="6"/>
  <c r="K148" i="6"/>
  <c r="L148" i="6"/>
  <c r="M148" i="6"/>
  <c r="N148" i="6"/>
  <c r="O148" i="6"/>
  <c r="P148" i="6"/>
  <c r="Q148" i="6"/>
  <c r="R148" i="6"/>
  <c r="S148" i="6"/>
  <c r="T148" i="6"/>
  <c r="U148" i="6"/>
  <c r="V148" i="6"/>
  <c r="W148" i="6"/>
  <c r="X148" i="6"/>
  <c r="Y148" i="6"/>
  <c r="Z148" i="6"/>
  <c r="F149" i="6"/>
  <c r="G149" i="6"/>
  <c r="H149" i="6"/>
  <c r="I149" i="6"/>
  <c r="J149" i="6"/>
  <c r="K149" i="6"/>
  <c r="L149" i="6"/>
  <c r="M149" i="6"/>
  <c r="N149" i="6"/>
  <c r="O149" i="6"/>
  <c r="P149" i="6"/>
  <c r="Q149" i="6"/>
  <c r="R149" i="6"/>
  <c r="S149" i="6"/>
  <c r="T149" i="6"/>
  <c r="U149" i="6"/>
  <c r="V149" i="6"/>
  <c r="W149" i="6"/>
  <c r="X149" i="6"/>
  <c r="Y149" i="6"/>
  <c r="Z149" i="6"/>
  <c r="F150" i="6"/>
  <c r="G150" i="6"/>
  <c r="H150" i="6"/>
  <c r="I150" i="6"/>
  <c r="J150" i="6"/>
  <c r="K150" i="6"/>
  <c r="L150" i="6"/>
  <c r="M150" i="6"/>
  <c r="N150" i="6"/>
  <c r="O150" i="6"/>
  <c r="P150" i="6"/>
  <c r="Q150" i="6"/>
  <c r="R150" i="6"/>
  <c r="S150" i="6"/>
  <c r="T150" i="6"/>
  <c r="U150" i="6"/>
  <c r="V150" i="6"/>
  <c r="W150" i="6"/>
  <c r="X150" i="6"/>
  <c r="Y150" i="6"/>
  <c r="Z150" i="6"/>
  <c r="F151" i="6"/>
  <c r="G151" i="6"/>
  <c r="H151" i="6"/>
  <c r="I151" i="6"/>
  <c r="J151" i="6"/>
  <c r="K151" i="6"/>
  <c r="L151" i="6"/>
  <c r="M151" i="6"/>
  <c r="N151" i="6"/>
  <c r="O151" i="6"/>
  <c r="P151" i="6"/>
  <c r="Q151" i="6"/>
  <c r="R151" i="6"/>
  <c r="S151" i="6"/>
  <c r="T151" i="6"/>
  <c r="U151" i="6"/>
  <c r="V151" i="6"/>
  <c r="W151" i="6"/>
  <c r="X151" i="6"/>
  <c r="Y151" i="6"/>
  <c r="Z151" i="6"/>
  <c r="F152" i="6"/>
  <c r="G152" i="6"/>
  <c r="H152" i="6"/>
  <c r="I152" i="6"/>
  <c r="J152" i="6"/>
  <c r="K152" i="6"/>
  <c r="L152" i="6"/>
  <c r="M152" i="6"/>
  <c r="N152" i="6"/>
  <c r="O152" i="6"/>
  <c r="P152" i="6"/>
  <c r="Q152" i="6"/>
  <c r="R152" i="6"/>
  <c r="S152" i="6"/>
  <c r="T152" i="6"/>
  <c r="U152" i="6"/>
  <c r="V152" i="6"/>
  <c r="W152" i="6"/>
  <c r="X152" i="6"/>
  <c r="Y152" i="6"/>
  <c r="Z152" i="6"/>
  <c r="F153" i="6"/>
  <c r="G153" i="6"/>
  <c r="H153" i="6"/>
  <c r="I153" i="6"/>
  <c r="J153" i="6"/>
  <c r="K153" i="6"/>
  <c r="L153" i="6"/>
  <c r="M153" i="6"/>
  <c r="N153" i="6"/>
  <c r="O153" i="6"/>
  <c r="P153" i="6"/>
  <c r="Q153" i="6"/>
  <c r="R153" i="6"/>
  <c r="S153" i="6"/>
  <c r="T153" i="6"/>
  <c r="U153" i="6"/>
  <c r="V153" i="6"/>
  <c r="W153" i="6"/>
  <c r="X153" i="6"/>
  <c r="Y153" i="6"/>
  <c r="Z153" i="6"/>
  <c r="F154" i="6"/>
  <c r="G154" i="6"/>
  <c r="H154" i="6"/>
  <c r="I154" i="6"/>
  <c r="J154" i="6"/>
  <c r="K154" i="6"/>
  <c r="L154" i="6"/>
  <c r="M154" i="6"/>
  <c r="N154" i="6"/>
  <c r="O154" i="6"/>
  <c r="P154" i="6"/>
  <c r="Q154" i="6"/>
  <c r="R154" i="6"/>
  <c r="S154" i="6"/>
  <c r="T154" i="6"/>
  <c r="U154" i="6"/>
  <c r="V154" i="6"/>
  <c r="W154" i="6"/>
  <c r="X154" i="6"/>
  <c r="Y154" i="6"/>
  <c r="Z154" i="6"/>
  <c r="F165" i="6"/>
  <c r="G165" i="6"/>
  <c r="H165" i="6"/>
  <c r="I165" i="6"/>
  <c r="J165" i="6"/>
  <c r="K165" i="6"/>
  <c r="L165" i="6"/>
  <c r="M165" i="6"/>
  <c r="N165" i="6"/>
  <c r="O165" i="6"/>
  <c r="P165" i="6"/>
  <c r="Q165" i="6"/>
  <c r="R165" i="6"/>
  <c r="S165" i="6"/>
  <c r="T165" i="6"/>
  <c r="U165" i="6"/>
  <c r="V165" i="6"/>
  <c r="W165" i="6"/>
  <c r="X165" i="6"/>
  <c r="Y165" i="6"/>
  <c r="Z165" i="6"/>
  <c r="F166" i="6"/>
  <c r="G166" i="6"/>
  <c r="H166" i="6"/>
  <c r="I166" i="6"/>
  <c r="J166" i="6"/>
  <c r="K166" i="6"/>
  <c r="L166" i="6"/>
  <c r="M166" i="6"/>
  <c r="N166" i="6"/>
  <c r="O166" i="6"/>
  <c r="P166" i="6"/>
  <c r="Q166" i="6"/>
  <c r="R166" i="6"/>
  <c r="S166" i="6"/>
  <c r="T166" i="6"/>
  <c r="U166" i="6"/>
  <c r="V166" i="6"/>
  <c r="W166" i="6"/>
  <c r="X166" i="6"/>
  <c r="Y166" i="6"/>
  <c r="Z166" i="6"/>
  <c r="F167" i="6"/>
  <c r="G167" i="6"/>
  <c r="H167" i="6"/>
  <c r="I167" i="6"/>
  <c r="J167" i="6"/>
  <c r="K167" i="6"/>
  <c r="L167" i="6"/>
  <c r="M167" i="6"/>
  <c r="N167" i="6"/>
  <c r="O167" i="6"/>
  <c r="P167" i="6"/>
  <c r="Q167" i="6"/>
  <c r="R167" i="6"/>
  <c r="S167" i="6"/>
  <c r="T167" i="6"/>
  <c r="U167" i="6"/>
  <c r="V167" i="6"/>
  <c r="W167" i="6"/>
  <c r="X167" i="6"/>
  <c r="Y167" i="6"/>
  <c r="Z167" i="6"/>
  <c r="F168" i="6"/>
  <c r="G168" i="6"/>
  <c r="H168" i="6"/>
  <c r="I168" i="6"/>
  <c r="J168" i="6"/>
  <c r="K168" i="6"/>
  <c r="L168" i="6"/>
  <c r="M168" i="6"/>
  <c r="N168" i="6"/>
  <c r="O168" i="6"/>
  <c r="P168" i="6"/>
  <c r="Q168" i="6"/>
  <c r="R168" i="6"/>
  <c r="S168" i="6"/>
  <c r="T168" i="6"/>
  <c r="U168" i="6"/>
  <c r="V168" i="6"/>
  <c r="W168" i="6"/>
  <c r="X168" i="6"/>
  <c r="Y168" i="6"/>
  <c r="Z168" i="6"/>
  <c r="F169" i="6"/>
  <c r="G169" i="6"/>
  <c r="H169" i="6"/>
  <c r="I169" i="6"/>
  <c r="J169" i="6"/>
  <c r="K169" i="6"/>
  <c r="L169" i="6"/>
  <c r="M169" i="6"/>
  <c r="N169" i="6"/>
  <c r="O169" i="6"/>
  <c r="P169" i="6"/>
  <c r="Q169" i="6"/>
  <c r="R169" i="6"/>
  <c r="S169" i="6"/>
  <c r="T169" i="6"/>
  <c r="U169" i="6"/>
  <c r="V169" i="6"/>
  <c r="W169" i="6"/>
  <c r="X169" i="6"/>
  <c r="Y169" i="6"/>
  <c r="Z169" i="6"/>
  <c r="F170" i="6"/>
  <c r="G170" i="6"/>
  <c r="H170" i="6"/>
  <c r="I170" i="6"/>
  <c r="J170" i="6"/>
  <c r="K170" i="6"/>
  <c r="L170" i="6"/>
  <c r="M170" i="6"/>
  <c r="N170" i="6"/>
  <c r="O170" i="6"/>
  <c r="P170" i="6"/>
  <c r="Q170" i="6"/>
  <c r="R170" i="6"/>
  <c r="S170" i="6"/>
  <c r="T170" i="6"/>
  <c r="U170" i="6"/>
  <c r="V170" i="6"/>
  <c r="W170" i="6"/>
  <c r="X170" i="6"/>
  <c r="Y170" i="6"/>
  <c r="Z170" i="6"/>
  <c r="F171" i="6"/>
  <c r="G171" i="6"/>
  <c r="H171" i="6"/>
  <c r="I171" i="6"/>
  <c r="J171" i="6"/>
  <c r="K171" i="6"/>
  <c r="L171" i="6"/>
  <c r="M171" i="6"/>
  <c r="N171" i="6"/>
  <c r="O171" i="6"/>
  <c r="P171" i="6"/>
  <c r="Q171" i="6"/>
  <c r="R171" i="6"/>
  <c r="S171" i="6"/>
  <c r="T171" i="6"/>
  <c r="U171" i="6"/>
  <c r="V171" i="6"/>
  <c r="W171" i="6"/>
  <c r="X171" i="6"/>
  <c r="Y171" i="6"/>
  <c r="Z171" i="6"/>
  <c r="F172" i="6"/>
  <c r="G172" i="6"/>
  <c r="H172" i="6"/>
  <c r="I172" i="6"/>
  <c r="J172" i="6"/>
  <c r="K172" i="6"/>
  <c r="L172" i="6"/>
  <c r="M172" i="6"/>
  <c r="N172" i="6"/>
  <c r="O172" i="6"/>
  <c r="P172" i="6"/>
  <c r="Q172" i="6"/>
  <c r="R172" i="6"/>
  <c r="S172" i="6"/>
  <c r="T172" i="6"/>
  <c r="U172" i="6"/>
  <c r="V172" i="6"/>
  <c r="W172" i="6"/>
  <c r="X172" i="6"/>
  <c r="Y172" i="6"/>
  <c r="Z172" i="6"/>
  <c r="F173" i="6"/>
  <c r="G173" i="6"/>
  <c r="H173" i="6"/>
  <c r="I173" i="6"/>
  <c r="J173" i="6"/>
  <c r="K173" i="6"/>
  <c r="L173" i="6"/>
  <c r="M173" i="6"/>
  <c r="N173" i="6"/>
  <c r="O173" i="6"/>
  <c r="P173" i="6"/>
  <c r="Q173" i="6"/>
  <c r="R173" i="6"/>
  <c r="S173" i="6"/>
  <c r="T173" i="6"/>
  <c r="U173" i="6"/>
  <c r="V173" i="6"/>
  <c r="W173" i="6"/>
  <c r="X173" i="6"/>
  <c r="Y173" i="6"/>
  <c r="Z173" i="6"/>
  <c r="F174" i="6"/>
  <c r="G174" i="6"/>
  <c r="H174" i="6"/>
  <c r="I174" i="6"/>
  <c r="J174" i="6"/>
  <c r="K174" i="6"/>
  <c r="L174" i="6"/>
  <c r="M174" i="6"/>
  <c r="N174" i="6"/>
  <c r="O174" i="6"/>
  <c r="P174" i="6"/>
  <c r="Q174" i="6"/>
  <c r="R174" i="6"/>
  <c r="S174" i="6"/>
  <c r="T174" i="6"/>
  <c r="U174" i="6"/>
  <c r="V174" i="6"/>
  <c r="W174" i="6"/>
  <c r="X174" i="6"/>
  <c r="Y174" i="6"/>
  <c r="Z174" i="6"/>
  <c r="F175" i="6"/>
  <c r="G175" i="6"/>
  <c r="H175" i="6"/>
  <c r="I175" i="6"/>
  <c r="J175" i="6"/>
  <c r="K175" i="6"/>
  <c r="L175" i="6"/>
  <c r="M175" i="6"/>
  <c r="N175" i="6"/>
  <c r="O175" i="6"/>
  <c r="P175" i="6"/>
  <c r="Q175" i="6"/>
  <c r="R175" i="6"/>
  <c r="S175" i="6"/>
  <c r="T175" i="6"/>
  <c r="U175" i="6"/>
  <c r="V175" i="6"/>
  <c r="W175" i="6"/>
  <c r="X175" i="6"/>
  <c r="Y175" i="6"/>
  <c r="Z175" i="6"/>
  <c r="F176" i="6"/>
  <c r="G176" i="6"/>
  <c r="H176" i="6"/>
  <c r="I176" i="6"/>
  <c r="J176" i="6"/>
  <c r="K176" i="6"/>
  <c r="L176" i="6"/>
  <c r="M176" i="6"/>
  <c r="N176" i="6"/>
  <c r="O176" i="6"/>
  <c r="P176" i="6"/>
  <c r="Q176" i="6"/>
  <c r="R176" i="6"/>
  <c r="S176" i="6"/>
  <c r="T176" i="6"/>
  <c r="U176" i="6"/>
  <c r="V176" i="6"/>
  <c r="W176" i="6"/>
  <c r="X176" i="6"/>
  <c r="Y176" i="6"/>
  <c r="Z176" i="6"/>
  <c r="F177" i="6"/>
  <c r="G177" i="6"/>
  <c r="H177" i="6"/>
  <c r="I177" i="6"/>
  <c r="J177" i="6"/>
  <c r="K177" i="6"/>
  <c r="L177" i="6"/>
  <c r="M177" i="6"/>
  <c r="N177" i="6"/>
  <c r="O177" i="6"/>
  <c r="P177" i="6"/>
  <c r="Q177" i="6"/>
  <c r="R177" i="6"/>
  <c r="S177" i="6"/>
  <c r="T177" i="6"/>
  <c r="U177" i="6"/>
  <c r="V177" i="6"/>
  <c r="W177" i="6"/>
  <c r="X177" i="6"/>
  <c r="Y177" i="6"/>
  <c r="Z177" i="6"/>
  <c r="F178" i="6"/>
  <c r="G178" i="6"/>
  <c r="H178" i="6"/>
  <c r="I178" i="6"/>
  <c r="J178" i="6"/>
  <c r="K178" i="6"/>
  <c r="L178" i="6"/>
  <c r="M178" i="6"/>
  <c r="N178" i="6"/>
  <c r="O178" i="6"/>
  <c r="P178" i="6"/>
  <c r="Q178" i="6"/>
  <c r="R178" i="6"/>
  <c r="S178" i="6"/>
  <c r="T178" i="6"/>
  <c r="U178" i="6"/>
  <c r="V178" i="6"/>
  <c r="W178" i="6"/>
  <c r="X178" i="6"/>
  <c r="Y178" i="6"/>
  <c r="Z178" i="6"/>
  <c r="F179" i="6"/>
  <c r="G179" i="6"/>
  <c r="H179" i="6"/>
  <c r="I179" i="6"/>
  <c r="J179" i="6"/>
  <c r="K179" i="6"/>
  <c r="L179" i="6"/>
  <c r="M179" i="6"/>
  <c r="N179" i="6"/>
  <c r="O179" i="6"/>
  <c r="P179" i="6"/>
  <c r="Q179" i="6"/>
  <c r="R179" i="6"/>
  <c r="S179" i="6"/>
  <c r="T179" i="6"/>
  <c r="U179" i="6"/>
  <c r="V179" i="6"/>
  <c r="W179" i="6"/>
  <c r="X179" i="6"/>
  <c r="Y179" i="6"/>
  <c r="Z179" i="6"/>
  <c r="F180" i="6"/>
  <c r="G180" i="6"/>
  <c r="H180" i="6"/>
  <c r="I180" i="6"/>
  <c r="J180" i="6"/>
  <c r="K180" i="6"/>
  <c r="L180" i="6"/>
  <c r="M180" i="6"/>
  <c r="N180" i="6"/>
  <c r="O180" i="6"/>
  <c r="P180" i="6"/>
  <c r="Q180" i="6"/>
  <c r="R180" i="6"/>
  <c r="S180" i="6"/>
  <c r="T180" i="6"/>
  <c r="U180" i="6"/>
  <c r="V180" i="6"/>
  <c r="W180" i="6"/>
  <c r="X180" i="6"/>
  <c r="Y180" i="6"/>
  <c r="Z180" i="6"/>
  <c r="F181" i="6"/>
  <c r="G181" i="6"/>
  <c r="H181" i="6"/>
  <c r="I181" i="6"/>
  <c r="J181" i="6"/>
  <c r="K181" i="6"/>
  <c r="L181" i="6"/>
  <c r="M181" i="6"/>
  <c r="N181" i="6"/>
  <c r="O181" i="6"/>
  <c r="P181" i="6"/>
  <c r="Q181" i="6"/>
  <c r="R181" i="6"/>
  <c r="S181" i="6"/>
  <c r="T181" i="6"/>
  <c r="U181" i="6"/>
  <c r="V181" i="6"/>
  <c r="W181" i="6"/>
  <c r="X181" i="6"/>
  <c r="Y181" i="6"/>
  <c r="Z181" i="6"/>
  <c r="F182" i="6"/>
  <c r="G182" i="6"/>
  <c r="H182" i="6"/>
  <c r="I182" i="6"/>
  <c r="J182" i="6"/>
  <c r="K182" i="6"/>
  <c r="L182" i="6"/>
  <c r="M182" i="6"/>
  <c r="N182" i="6"/>
  <c r="O182" i="6"/>
  <c r="P182" i="6"/>
  <c r="Q182" i="6"/>
  <c r="R182" i="6"/>
  <c r="S182" i="6"/>
  <c r="T182" i="6"/>
  <c r="U182" i="6"/>
  <c r="V182" i="6"/>
  <c r="W182" i="6"/>
  <c r="X182" i="6"/>
  <c r="Y182" i="6"/>
  <c r="Z182" i="6"/>
  <c r="F183" i="6"/>
  <c r="G183" i="6"/>
  <c r="H183" i="6"/>
  <c r="I183" i="6"/>
  <c r="J183" i="6"/>
  <c r="K183" i="6"/>
  <c r="L183" i="6"/>
  <c r="M183" i="6"/>
  <c r="N183" i="6"/>
  <c r="O183" i="6"/>
  <c r="P183" i="6"/>
  <c r="Q183" i="6"/>
  <c r="R183" i="6"/>
  <c r="S183" i="6"/>
  <c r="T183" i="6"/>
  <c r="U183" i="6"/>
  <c r="V183" i="6"/>
  <c r="W183" i="6"/>
  <c r="X183" i="6"/>
  <c r="Y183" i="6"/>
  <c r="Z183" i="6"/>
  <c r="F184" i="6"/>
  <c r="G184" i="6"/>
  <c r="H184" i="6"/>
  <c r="I184" i="6"/>
  <c r="J184" i="6"/>
  <c r="K184" i="6"/>
  <c r="L184" i="6"/>
  <c r="M184" i="6"/>
  <c r="N184" i="6"/>
  <c r="O184" i="6"/>
  <c r="P184" i="6"/>
  <c r="Q184" i="6"/>
  <c r="R184" i="6"/>
  <c r="S184" i="6"/>
  <c r="T184" i="6"/>
  <c r="U184" i="6"/>
  <c r="V184" i="6"/>
  <c r="W184" i="6"/>
  <c r="X184" i="6"/>
  <c r="Y184" i="6"/>
  <c r="Z184" i="6"/>
  <c r="F185" i="6"/>
  <c r="G185" i="6"/>
  <c r="H185" i="6"/>
  <c r="I185" i="6"/>
  <c r="J185" i="6"/>
  <c r="K185" i="6"/>
  <c r="L185" i="6"/>
  <c r="M185" i="6"/>
  <c r="N185" i="6"/>
  <c r="O185" i="6"/>
  <c r="P185" i="6"/>
  <c r="Q185" i="6"/>
  <c r="R185" i="6"/>
  <c r="S185" i="6"/>
  <c r="T185" i="6"/>
  <c r="U185" i="6"/>
  <c r="V185" i="6"/>
  <c r="W185" i="6"/>
  <c r="X185" i="6"/>
  <c r="Y185" i="6"/>
  <c r="Z185" i="6"/>
  <c r="F186" i="6"/>
  <c r="G186" i="6"/>
  <c r="H186" i="6"/>
  <c r="I186" i="6"/>
  <c r="J186" i="6"/>
  <c r="K186" i="6"/>
  <c r="L186" i="6"/>
  <c r="M186" i="6"/>
  <c r="N186" i="6"/>
  <c r="O186" i="6"/>
  <c r="P186" i="6"/>
  <c r="Q186" i="6"/>
  <c r="R186" i="6"/>
  <c r="S186" i="6"/>
  <c r="T186" i="6"/>
  <c r="U186" i="6"/>
  <c r="V186" i="6"/>
  <c r="W186" i="6"/>
  <c r="X186" i="6"/>
  <c r="Y186" i="6"/>
  <c r="Z186" i="6"/>
  <c r="F187" i="6"/>
  <c r="G187" i="6"/>
  <c r="H187" i="6"/>
  <c r="I187" i="6"/>
  <c r="J187" i="6"/>
  <c r="K187" i="6"/>
  <c r="L187" i="6"/>
  <c r="M187" i="6"/>
  <c r="N187" i="6"/>
  <c r="O187" i="6"/>
  <c r="P187" i="6"/>
  <c r="Q187" i="6"/>
  <c r="R187" i="6"/>
  <c r="S187" i="6"/>
  <c r="T187" i="6"/>
  <c r="U187" i="6"/>
  <c r="V187" i="6"/>
  <c r="W187" i="6"/>
  <c r="X187" i="6"/>
  <c r="Y187" i="6"/>
  <c r="Z187" i="6"/>
  <c r="F188" i="6"/>
  <c r="G188" i="6"/>
  <c r="H188" i="6"/>
  <c r="I188" i="6"/>
  <c r="J188" i="6"/>
  <c r="K188" i="6"/>
  <c r="L188" i="6"/>
  <c r="M188" i="6"/>
  <c r="N188" i="6"/>
  <c r="O188" i="6"/>
  <c r="P188" i="6"/>
  <c r="Q188" i="6"/>
  <c r="R188" i="6"/>
  <c r="S188" i="6"/>
  <c r="T188" i="6"/>
  <c r="U188" i="6"/>
  <c r="V188" i="6"/>
  <c r="W188" i="6"/>
  <c r="X188" i="6"/>
  <c r="Y188" i="6"/>
  <c r="Z188" i="6"/>
  <c r="F189" i="6"/>
  <c r="G189" i="6"/>
  <c r="H189" i="6"/>
  <c r="I189" i="6"/>
  <c r="J189" i="6"/>
  <c r="K189" i="6"/>
  <c r="L189" i="6"/>
  <c r="M189" i="6"/>
  <c r="N189" i="6"/>
  <c r="O189" i="6"/>
  <c r="P189" i="6"/>
  <c r="Q189" i="6"/>
  <c r="R189" i="6"/>
  <c r="S189" i="6"/>
  <c r="T189" i="6"/>
  <c r="U189" i="6"/>
  <c r="V189" i="6"/>
  <c r="W189" i="6"/>
  <c r="X189" i="6"/>
  <c r="Y189" i="6"/>
  <c r="Z189" i="6"/>
  <c r="F190" i="6"/>
  <c r="G190" i="6"/>
  <c r="H190" i="6"/>
  <c r="I190" i="6"/>
  <c r="J190" i="6"/>
  <c r="K190" i="6"/>
  <c r="L190" i="6"/>
  <c r="M190" i="6"/>
  <c r="N190" i="6"/>
  <c r="O190" i="6"/>
  <c r="P190" i="6"/>
  <c r="Q190" i="6"/>
  <c r="R190" i="6"/>
  <c r="S190" i="6"/>
  <c r="T190" i="6"/>
  <c r="U190" i="6"/>
  <c r="V190" i="6"/>
  <c r="W190" i="6"/>
  <c r="X190" i="6"/>
  <c r="Y190" i="6"/>
  <c r="Z190" i="6"/>
  <c r="F191" i="6"/>
  <c r="G191" i="6"/>
  <c r="H191" i="6"/>
  <c r="I191" i="6"/>
  <c r="J191" i="6"/>
  <c r="K191" i="6"/>
  <c r="L191" i="6"/>
  <c r="M191" i="6"/>
  <c r="N191" i="6"/>
  <c r="O191" i="6"/>
  <c r="P191" i="6"/>
  <c r="Q191" i="6"/>
  <c r="R191" i="6"/>
  <c r="S191" i="6"/>
  <c r="T191" i="6"/>
  <c r="U191" i="6"/>
  <c r="V191" i="6"/>
  <c r="W191" i="6"/>
  <c r="X191" i="6"/>
  <c r="Y191" i="6"/>
  <c r="Z191" i="6"/>
  <c r="F192" i="6"/>
  <c r="G192" i="6"/>
  <c r="H192" i="6"/>
  <c r="I192" i="6"/>
  <c r="J192" i="6"/>
  <c r="K192" i="6"/>
  <c r="L192" i="6"/>
  <c r="M192" i="6"/>
  <c r="N192" i="6"/>
  <c r="O192" i="6"/>
  <c r="P192" i="6"/>
  <c r="Q192" i="6"/>
  <c r="R192" i="6"/>
  <c r="S192" i="6"/>
  <c r="T192" i="6"/>
  <c r="U192" i="6"/>
  <c r="V192" i="6"/>
  <c r="W192" i="6"/>
  <c r="X192" i="6"/>
  <c r="Y192" i="6"/>
  <c r="Z192" i="6"/>
  <c r="F193" i="6"/>
  <c r="G193" i="6"/>
  <c r="H193" i="6"/>
  <c r="I193" i="6"/>
  <c r="J193" i="6"/>
  <c r="K193" i="6"/>
  <c r="L193" i="6"/>
  <c r="M193" i="6"/>
  <c r="N193" i="6"/>
  <c r="O193" i="6"/>
  <c r="P193" i="6"/>
  <c r="Q193" i="6"/>
  <c r="R193" i="6"/>
  <c r="S193" i="6"/>
  <c r="T193" i="6"/>
  <c r="U193" i="6"/>
  <c r="V193" i="6"/>
  <c r="W193" i="6"/>
  <c r="X193" i="6"/>
  <c r="Y193" i="6"/>
  <c r="Z193" i="6"/>
  <c r="F194" i="6"/>
  <c r="G194" i="6"/>
  <c r="H194" i="6"/>
  <c r="I194" i="6"/>
  <c r="J194" i="6"/>
  <c r="K194" i="6"/>
  <c r="L194" i="6"/>
  <c r="M194" i="6"/>
  <c r="N194" i="6"/>
  <c r="O194" i="6"/>
  <c r="P194" i="6"/>
  <c r="Q194" i="6"/>
  <c r="R194" i="6"/>
  <c r="S194" i="6"/>
  <c r="T194" i="6"/>
  <c r="U194" i="6"/>
  <c r="V194" i="6"/>
  <c r="W194" i="6"/>
  <c r="X194" i="6"/>
  <c r="Y194" i="6"/>
  <c r="Z194" i="6"/>
  <c r="F195" i="6"/>
  <c r="G195" i="6"/>
  <c r="H195" i="6"/>
  <c r="I195" i="6"/>
  <c r="J195" i="6"/>
  <c r="K195" i="6"/>
  <c r="L195" i="6"/>
  <c r="M195" i="6"/>
  <c r="N195" i="6"/>
  <c r="O195" i="6"/>
  <c r="P195" i="6"/>
  <c r="Q195" i="6"/>
  <c r="R195" i="6"/>
  <c r="S195" i="6"/>
  <c r="T195" i="6"/>
  <c r="U195" i="6"/>
  <c r="V195" i="6"/>
  <c r="W195" i="6"/>
  <c r="X195" i="6"/>
  <c r="Y195" i="6"/>
  <c r="Z195" i="6"/>
  <c r="F196" i="6"/>
  <c r="G196" i="6"/>
  <c r="H196" i="6"/>
  <c r="I196" i="6"/>
  <c r="J196" i="6"/>
  <c r="K196" i="6"/>
  <c r="L196" i="6"/>
  <c r="M196" i="6"/>
  <c r="N196" i="6"/>
  <c r="O196" i="6"/>
  <c r="P196" i="6"/>
  <c r="Q196" i="6"/>
  <c r="R196" i="6"/>
  <c r="S196" i="6"/>
  <c r="T196" i="6"/>
  <c r="U196" i="6"/>
  <c r="V196" i="6"/>
  <c r="W196" i="6"/>
  <c r="X196" i="6"/>
  <c r="Y196" i="6"/>
  <c r="Z196" i="6"/>
  <c r="F197" i="6"/>
  <c r="G197" i="6"/>
  <c r="H197" i="6"/>
  <c r="I197" i="6"/>
  <c r="J197" i="6"/>
  <c r="K197" i="6"/>
  <c r="L197" i="6"/>
  <c r="M197" i="6"/>
  <c r="N197" i="6"/>
  <c r="O197" i="6"/>
  <c r="P197" i="6"/>
  <c r="Q197" i="6"/>
  <c r="R197" i="6"/>
  <c r="S197" i="6"/>
  <c r="T197" i="6"/>
  <c r="U197" i="6"/>
  <c r="V197" i="6"/>
  <c r="W197" i="6"/>
  <c r="X197" i="6"/>
  <c r="Y197" i="6"/>
  <c r="Z197" i="6"/>
  <c r="F198" i="6"/>
  <c r="G198" i="6"/>
  <c r="H198" i="6"/>
  <c r="I198" i="6"/>
  <c r="J198" i="6"/>
  <c r="K198" i="6"/>
  <c r="L198" i="6"/>
  <c r="M198" i="6"/>
  <c r="N198" i="6"/>
  <c r="O198" i="6"/>
  <c r="P198" i="6"/>
  <c r="Q198" i="6"/>
  <c r="R198" i="6"/>
  <c r="S198" i="6"/>
  <c r="T198" i="6"/>
  <c r="U198" i="6"/>
  <c r="V198" i="6"/>
  <c r="W198" i="6"/>
  <c r="X198" i="6"/>
  <c r="Y198" i="6"/>
  <c r="Z198" i="6"/>
  <c r="F199" i="6"/>
  <c r="G199" i="6"/>
  <c r="H199" i="6"/>
  <c r="I199" i="6"/>
  <c r="J199" i="6"/>
  <c r="K199" i="6"/>
  <c r="L199" i="6"/>
  <c r="M199" i="6"/>
  <c r="N199" i="6"/>
  <c r="O199" i="6"/>
  <c r="P199" i="6"/>
  <c r="Q199" i="6"/>
  <c r="R199" i="6"/>
  <c r="S199" i="6"/>
  <c r="T199" i="6"/>
  <c r="U199" i="6"/>
  <c r="V199" i="6"/>
  <c r="W199" i="6"/>
  <c r="X199" i="6"/>
  <c r="Y199" i="6"/>
  <c r="Z199" i="6"/>
  <c r="F200" i="6"/>
  <c r="G200" i="6"/>
  <c r="H200" i="6"/>
  <c r="I200" i="6"/>
  <c r="J200" i="6"/>
  <c r="K200" i="6"/>
  <c r="L200" i="6"/>
  <c r="M200" i="6"/>
  <c r="N200" i="6"/>
  <c r="O200" i="6"/>
  <c r="P200" i="6"/>
  <c r="Q200" i="6"/>
  <c r="R200" i="6"/>
  <c r="S200" i="6"/>
  <c r="T200" i="6"/>
  <c r="U200" i="6"/>
  <c r="V200" i="6"/>
  <c r="W200" i="6"/>
  <c r="X200" i="6"/>
  <c r="Y200" i="6"/>
  <c r="Z200" i="6"/>
  <c r="F201" i="6"/>
  <c r="G201" i="6"/>
  <c r="H201" i="6"/>
  <c r="I201" i="6"/>
  <c r="J201" i="6"/>
  <c r="K201" i="6"/>
  <c r="L201" i="6"/>
  <c r="M201" i="6"/>
  <c r="N201" i="6"/>
  <c r="O201" i="6"/>
  <c r="P201" i="6"/>
  <c r="Q201" i="6"/>
  <c r="R201" i="6"/>
  <c r="S201" i="6"/>
  <c r="T201" i="6"/>
  <c r="U201" i="6"/>
  <c r="V201" i="6"/>
  <c r="W201" i="6"/>
  <c r="X201" i="6"/>
  <c r="Y201" i="6"/>
  <c r="Z201" i="6"/>
  <c r="F202" i="6"/>
  <c r="G202" i="6"/>
  <c r="H202" i="6"/>
  <c r="I202" i="6"/>
  <c r="J202" i="6"/>
  <c r="K202" i="6"/>
  <c r="L202" i="6"/>
  <c r="M202" i="6"/>
  <c r="N202" i="6"/>
  <c r="O202" i="6"/>
  <c r="P202" i="6"/>
  <c r="Q202" i="6"/>
  <c r="R202" i="6"/>
  <c r="S202" i="6"/>
  <c r="T202" i="6"/>
  <c r="U202" i="6"/>
  <c r="V202" i="6"/>
  <c r="W202" i="6"/>
  <c r="X202" i="6"/>
  <c r="Y202" i="6"/>
  <c r="Z202" i="6"/>
  <c r="F203" i="6"/>
  <c r="G203" i="6"/>
  <c r="H203" i="6"/>
  <c r="I203" i="6"/>
  <c r="J203" i="6"/>
  <c r="K203" i="6"/>
  <c r="L203" i="6"/>
  <c r="M203" i="6"/>
  <c r="N203" i="6"/>
  <c r="O203" i="6"/>
  <c r="P203" i="6"/>
  <c r="Q203" i="6"/>
  <c r="R203" i="6"/>
  <c r="S203" i="6"/>
  <c r="T203" i="6"/>
  <c r="U203" i="6"/>
  <c r="V203" i="6"/>
  <c r="W203" i="6"/>
  <c r="X203" i="6"/>
  <c r="Y203" i="6"/>
  <c r="Z203" i="6"/>
  <c r="F204" i="6"/>
  <c r="G204" i="6"/>
  <c r="H204" i="6"/>
  <c r="I204" i="6"/>
  <c r="J204" i="6"/>
  <c r="K204" i="6"/>
  <c r="L204" i="6"/>
  <c r="M204" i="6"/>
  <c r="N204" i="6"/>
  <c r="O204" i="6"/>
  <c r="P204" i="6"/>
  <c r="Q204" i="6"/>
  <c r="R204" i="6"/>
  <c r="S204" i="6"/>
  <c r="T204" i="6"/>
  <c r="U204" i="6"/>
  <c r="V204" i="6"/>
  <c r="W204" i="6"/>
  <c r="X204" i="6"/>
  <c r="Y204" i="6"/>
  <c r="Z204" i="6"/>
  <c r="F205" i="6"/>
  <c r="G205" i="6"/>
  <c r="H205" i="6"/>
  <c r="I205" i="6"/>
  <c r="J205" i="6"/>
  <c r="K205" i="6"/>
  <c r="L205" i="6"/>
  <c r="M205" i="6"/>
  <c r="N205" i="6"/>
  <c r="O205" i="6"/>
  <c r="P205" i="6"/>
  <c r="Q205" i="6"/>
  <c r="R205" i="6"/>
  <c r="S205" i="6"/>
  <c r="T205" i="6"/>
  <c r="U205" i="6"/>
  <c r="V205" i="6"/>
  <c r="W205" i="6"/>
  <c r="X205" i="6"/>
  <c r="Y205" i="6"/>
  <c r="Z205" i="6"/>
  <c r="F206" i="6"/>
  <c r="G206" i="6"/>
  <c r="H206" i="6"/>
  <c r="I206" i="6"/>
  <c r="J206" i="6"/>
  <c r="K206" i="6"/>
  <c r="L206" i="6"/>
  <c r="M206" i="6"/>
  <c r="N206" i="6"/>
  <c r="O206" i="6"/>
  <c r="P206" i="6"/>
  <c r="Q206" i="6"/>
  <c r="R206" i="6"/>
  <c r="S206" i="6"/>
  <c r="T206" i="6"/>
  <c r="U206" i="6"/>
  <c r="V206" i="6"/>
  <c r="W206" i="6"/>
  <c r="X206" i="6"/>
  <c r="Y206" i="6"/>
  <c r="Z206" i="6"/>
  <c r="F207" i="6"/>
  <c r="G207" i="6"/>
  <c r="H207" i="6"/>
  <c r="I207" i="6"/>
  <c r="J207" i="6"/>
  <c r="K207" i="6"/>
  <c r="L207" i="6"/>
  <c r="M207" i="6"/>
  <c r="N207" i="6"/>
  <c r="O207" i="6"/>
  <c r="P207" i="6"/>
  <c r="Q207" i="6"/>
  <c r="R207" i="6"/>
  <c r="S207" i="6"/>
  <c r="T207" i="6"/>
  <c r="U207" i="6"/>
  <c r="V207" i="6"/>
  <c r="W207" i="6"/>
  <c r="X207" i="6"/>
  <c r="Y207" i="6"/>
  <c r="Z207" i="6"/>
  <c r="F212" i="6"/>
  <c r="G212" i="6"/>
  <c r="H212" i="6"/>
  <c r="I212" i="6"/>
  <c r="J212" i="6"/>
  <c r="K212" i="6"/>
  <c r="L212" i="6"/>
  <c r="M212" i="6"/>
  <c r="N212" i="6"/>
  <c r="O212" i="6"/>
  <c r="P212" i="6"/>
  <c r="Q212" i="6"/>
  <c r="R212" i="6"/>
  <c r="S212" i="6"/>
  <c r="T212" i="6"/>
  <c r="U212" i="6"/>
  <c r="V212" i="6"/>
  <c r="W212" i="6"/>
  <c r="X212" i="6"/>
  <c r="Y212" i="6"/>
  <c r="Z212" i="6"/>
  <c r="F213" i="6"/>
  <c r="G213" i="6"/>
  <c r="H213" i="6"/>
  <c r="I213" i="6"/>
  <c r="J213" i="6"/>
  <c r="K213" i="6"/>
  <c r="L213" i="6"/>
  <c r="M213" i="6"/>
  <c r="N213" i="6"/>
  <c r="O213" i="6"/>
  <c r="P213" i="6"/>
  <c r="Q213" i="6"/>
  <c r="R213" i="6"/>
  <c r="S213" i="6"/>
  <c r="T213" i="6"/>
  <c r="U213" i="6"/>
  <c r="V213" i="6"/>
  <c r="W213" i="6"/>
  <c r="X213" i="6"/>
  <c r="Y213" i="6"/>
  <c r="Z213" i="6"/>
  <c r="F214" i="6"/>
  <c r="G214" i="6"/>
  <c r="H214" i="6"/>
  <c r="I214" i="6"/>
  <c r="J214" i="6"/>
  <c r="K214" i="6"/>
  <c r="L214" i="6"/>
  <c r="M214" i="6"/>
  <c r="N214" i="6"/>
  <c r="O214" i="6"/>
  <c r="P214" i="6"/>
  <c r="Q214" i="6"/>
  <c r="R214" i="6"/>
  <c r="S214" i="6"/>
  <c r="T214" i="6"/>
  <c r="U214" i="6"/>
  <c r="V214" i="6"/>
  <c r="W214" i="6"/>
  <c r="X214" i="6"/>
  <c r="Y214" i="6"/>
  <c r="Z214" i="6"/>
  <c r="F215" i="6"/>
  <c r="G215" i="6"/>
  <c r="H215" i="6"/>
  <c r="I215" i="6"/>
  <c r="J215" i="6"/>
  <c r="K215" i="6"/>
  <c r="L215" i="6"/>
  <c r="M215" i="6"/>
  <c r="N215" i="6"/>
  <c r="O215" i="6"/>
  <c r="P215" i="6"/>
  <c r="Q215" i="6"/>
  <c r="R215" i="6"/>
  <c r="S215" i="6"/>
  <c r="T215" i="6"/>
  <c r="U215" i="6"/>
  <c r="V215" i="6"/>
  <c r="W215" i="6"/>
  <c r="X215" i="6"/>
  <c r="Y215" i="6"/>
  <c r="Z215" i="6"/>
  <c r="F216" i="6"/>
  <c r="G216" i="6"/>
  <c r="H216" i="6"/>
  <c r="I216" i="6"/>
  <c r="J216" i="6"/>
  <c r="K216" i="6"/>
  <c r="L216" i="6"/>
  <c r="M216" i="6"/>
  <c r="N216" i="6"/>
  <c r="O216" i="6"/>
  <c r="P216" i="6"/>
  <c r="Q216" i="6"/>
  <c r="R216" i="6"/>
  <c r="S216" i="6"/>
  <c r="T216" i="6"/>
  <c r="U216" i="6"/>
  <c r="V216" i="6"/>
  <c r="W216" i="6"/>
  <c r="X216" i="6"/>
  <c r="Y216" i="6"/>
  <c r="Z216" i="6"/>
  <c r="F217" i="6"/>
  <c r="G217" i="6"/>
  <c r="H217" i="6"/>
  <c r="I217" i="6"/>
  <c r="J217" i="6"/>
  <c r="K217" i="6"/>
  <c r="L217" i="6"/>
  <c r="M217" i="6"/>
  <c r="N217" i="6"/>
  <c r="O217" i="6"/>
  <c r="P217" i="6"/>
  <c r="Q217" i="6"/>
  <c r="R217" i="6"/>
  <c r="S217" i="6"/>
  <c r="T217" i="6"/>
  <c r="U217" i="6"/>
  <c r="V217" i="6"/>
  <c r="W217" i="6"/>
  <c r="X217" i="6"/>
  <c r="Y217" i="6"/>
  <c r="Z217" i="6"/>
  <c r="F218" i="6"/>
  <c r="G218" i="6"/>
  <c r="H218" i="6"/>
  <c r="I218" i="6"/>
  <c r="J218" i="6"/>
  <c r="K218" i="6"/>
  <c r="L218" i="6"/>
  <c r="M218" i="6"/>
  <c r="N218" i="6"/>
  <c r="O218" i="6"/>
  <c r="P218" i="6"/>
  <c r="Q218" i="6"/>
  <c r="R218" i="6"/>
  <c r="S218" i="6"/>
  <c r="T218" i="6"/>
  <c r="U218" i="6"/>
  <c r="V218" i="6"/>
  <c r="W218" i="6"/>
  <c r="X218" i="6"/>
  <c r="Y218" i="6"/>
  <c r="Z218" i="6"/>
  <c r="F219" i="6"/>
  <c r="G219" i="6"/>
  <c r="H219" i="6"/>
  <c r="I219" i="6"/>
  <c r="J219" i="6"/>
  <c r="K219" i="6"/>
  <c r="L219" i="6"/>
  <c r="M219" i="6"/>
  <c r="N219" i="6"/>
  <c r="O219" i="6"/>
  <c r="P219" i="6"/>
  <c r="Q219" i="6"/>
  <c r="R219" i="6"/>
  <c r="S219" i="6"/>
  <c r="T219" i="6"/>
  <c r="U219" i="6"/>
  <c r="V219" i="6"/>
  <c r="W219" i="6"/>
  <c r="X219" i="6"/>
  <c r="Y219" i="6"/>
  <c r="Z219" i="6"/>
  <c r="F220" i="6"/>
  <c r="G220" i="6"/>
  <c r="H220" i="6"/>
  <c r="I220" i="6"/>
  <c r="J220" i="6"/>
  <c r="K220" i="6"/>
  <c r="L220" i="6"/>
  <c r="M220" i="6"/>
  <c r="N220" i="6"/>
  <c r="O220" i="6"/>
  <c r="P220" i="6"/>
  <c r="Q220" i="6"/>
  <c r="R220" i="6"/>
  <c r="S220" i="6"/>
  <c r="T220" i="6"/>
  <c r="U220" i="6"/>
  <c r="V220" i="6"/>
  <c r="W220" i="6"/>
  <c r="X220" i="6"/>
  <c r="Y220" i="6"/>
  <c r="Z220" i="6"/>
  <c r="F221" i="6"/>
  <c r="G221" i="6"/>
  <c r="H221" i="6"/>
  <c r="I221" i="6"/>
  <c r="J221" i="6"/>
  <c r="K221" i="6"/>
  <c r="L221" i="6"/>
  <c r="M221" i="6"/>
  <c r="N221" i="6"/>
  <c r="O221" i="6"/>
  <c r="P221" i="6"/>
  <c r="Q221" i="6"/>
  <c r="R221" i="6"/>
  <c r="S221" i="6"/>
  <c r="T221" i="6"/>
  <c r="U221" i="6"/>
  <c r="V221" i="6"/>
  <c r="W221" i="6"/>
  <c r="X221" i="6"/>
  <c r="Y221" i="6"/>
  <c r="Z221" i="6"/>
  <c r="F222" i="6"/>
  <c r="G222" i="6"/>
  <c r="H222" i="6"/>
  <c r="I222" i="6"/>
  <c r="J222" i="6"/>
  <c r="K222" i="6"/>
  <c r="L222" i="6"/>
  <c r="M222" i="6"/>
  <c r="N222" i="6"/>
  <c r="O222" i="6"/>
  <c r="P222" i="6"/>
  <c r="Q222" i="6"/>
  <c r="R222" i="6"/>
  <c r="S222" i="6"/>
  <c r="T222" i="6"/>
  <c r="U222" i="6"/>
  <c r="V222" i="6"/>
  <c r="W222" i="6"/>
  <c r="X222" i="6"/>
  <c r="Y222" i="6"/>
  <c r="Z222" i="6"/>
  <c r="F223" i="6"/>
  <c r="G223" i="6"/>
  <c r="H223" i="6"/>
  <c r="I223" i="6"/>
  <c r="J223" i="6"/>
  <c r="K223" i="6"/>
  <c r="L223" i="6"/>
  <c r="M223" i="6"/>
  <c r="N223" i="6"/>
  <c r="O223" i="6"/>
  <c r="P223" i="6"/>
  <c r="Q223" i="6"/>
  <c r="R223" i="6"/>
  <c r="S223" i="6"/>
  <c r="T223" i="6"/>
  <c r="U223" i="6"/>
  <c r="V223" i="6"/>
  <c r="W223" i="6"/>
  <c r="X223" i="6"/>
  <c r="Y223" i="6"/>
  <c r="Z223" i="6"/>
  <c r="F224" i="6"/>
  <c r="G224" i="6"/>
  <c r="H224" i="6"/>
  <c r="I224" i="6"/>
  <c r="J224" i="6"/>
  <c r="K224" i="6"/>
  <c r="L224" i="6"/>
  <c r="M224" i="6"/>
  <c r="N224" i="6"/>
  <c r="O224" i="6"/>
  <c r="P224" i="6"/>
  <c r="Q224" i="6"/>
  <c r="R224" i="6"/>
  <c r="S224" i="6"/>
  <c r="T224" i="6"/>
  <c r="U224" i="6"/>
  <c r="V224" i="6"/>
  <c r="W224" i="6"/>
  <c r="X224" i="6"/>
  <c r="Y224" i="6"/>
  <c r="Z224" i="6"/>
  <c r="F225" i="6"/>
  <c r="G225" i="6"/>
  <c r="H225" i="6"/>
  <c r="I225" i="6"/>
  <c r="J225" i="6"/>
  <c r="K225" i="6"/>
  <c r="L225" i="6"/>
  <c r="M225" i="6"/>
  <c r="N225" i="6"/>
  <c r="O225" i="6"/>
  <c r="P225" i="6"/>
  <c r="Q225" i="6"/>
  <c r="R225" i="6"/>
  <c r="S225" i="6"/>
  <c r="T225" i="6"/>
  <c r="U225" i="6"/>
  <c r="V225" i="6"/>
  <c r="W225" i="6"/>
  <c r="X225" i="6"/>
  <c r="Y225" i="6"/>
  <c r="Z225" i="6"/>
  <c r="F226" i="6"/>
  <c r="G226" i="6"/>
  <c r="H226" i="6"/>
  <c r="I226" i="6"/>
  <c r="J226" i="6"/>
  <c r="K226" i="6"/>
  <c r="L226" i="6"/>
  <c r="M226" i="6"/>
  <c r="N226" i="6"/>
  <c r="O226" i="6"/>
  <c r="P226" i="6"/>
  <c r="Q226" i="6"/>
  <c r="R226" i="6"/>
  <c r="S226" i="6"/>
  <c r="T226" i="6"/>
  <c r="U226" i="6"/>
  <c r="V226" i="6"/>
  <c r="W226" i="6"/>
  <c r="X226" i="6"/>
  <c r="Y226" i="6"/>
  <c r="Z226" i="6"/>
  <c r="F227" i="6"/>
  <c r="G227" i="6"/>
  <c r="H227" i="6"/>
  <c r="I227" i="6"/>
  <c r="J227" i="6"/>
  <c r="K227" i="6"/>
  <c r="L227" i="6"/>
  <c r="M227" i="6"/>
  <c r="N227" i="6"/>
  <c r="O227" i="6"/>
  <c r="P227" i="6"/>
  <c r="Q227" i="6"/>
  <c r="R227" i="6"/>
  <c r="S227" i="6"/>
  <c r="T227" i="6"/>
  <c r="U227" i="6"/>
  <c r="V227" i="6"/>
  <c r="W227" i="6"/>
  <c r="X227" i="6"/>
  <c r="Y227" i="6"/>
  <c r="Z227" i="6"/>
  <c r="F228" i="6"/>
  <c r="G228" i="6"/>
  <c r="H228" i="6"/>
  <c r="I228" i="6"/>
  <c r="J228" i="6"/>
  <c r="K228" i="6"/>
  <c r="L228" i="6"/>
  <c r="M228" i="6"/>
  <c r="N228" i="6"/>
  <c r="O228" i="6"/>
  <c r="P228" i="6"/>
  <c r="Q228" i="6"/>
  <c r="R228" i="6"/>
  <c r="S228" i="6"/>
  <c r="T228" i="6"/>
  <c r="U228" i="6"/>
  <c r="V228" i="6"/>
  <c r="W228" i="6"/>
  <c r="X228" i="6"/>
  <c r="Y228" i="6"/>
  <c r="Z228" i="6"/>
  <c r="F229" i="6"/>
  <c r="G229" i="6"/>
  <c r="H229" i="6"/>
  <c r="I229" i="6"/>
  <c r="J229" i="6"/>
  <c r="K229" i="6"/>
  <c r="L229" i="6"/>
  <c r="M229" i="6"/>
  <c r="N229" i="6"/>
  <c r="O229" i="6"/>
  <c r="P229" i="6"/>
  <c r="Q229" i="6"/>
  <c r="R229" i="6"/>
  <c r="S229" i="6"/>
  <c r="T229" i="6"/>
  <c r="U229" i="6"/>
  <c r="V229" i="6"/>
  <c r="W229" i="6"/>
  <c r="X229" i="6"/>
  <c r="Y229" i="6"/>
  <c r="Z229" i="6"/>
  <c r="F230" i="6"/>
  <c r="G230" i="6"/>
  <c r="H230" i="6"/>
  <c r="I230" i="6"/>
  <c r="J230" i="6"/>
  <c r="K230" i="6"/>
  <c r="L230" i="6"/>
  <c r="M230" i="6"/>
  <c r="N230" i="6"/>
  <c r="O230" i="6"/>
  <c r="P230" i="6"/>
  <c r="Q230" i="6"/>
  <c r="R230" i="6"/>
  <c r="S230" i="6"/>
  <c r="T230" i="6"/>
  <c r="U230" i="6"/>
  <c r="V230" i="6"/>
  <c r="W230" i="6"/>
  <c r="X230" i="6"/>
  <c r="Y230" i="6"/>
  <c r="Z230" i="6"/>
  <c r="F231" i="6"/>
  <c r="G231" i="6"/>
  <c r="H231" i="6"/>
  <c r="I231" i="6"/>
  <c r="J231" i="6"/>
  <c r="K231" i="6"/>
  <c r="L231" i="6"/>
  <c r="M231" i="6"/>
  <c r="N231" i="6"/>
  <c r="O231" i="6"/>
  <c r="P231" i="6"/>
  <c r="Q231" i="6"/>
  <c r="R231" i="6"/>
  <c r="S231" i="6"/>
  <c r="T231" i="6"/>
  <c r="U231" i="6"/>
  <c r="V231" i="6"/>
  <c r="W231" i="6"/>
  <c r="X231" i="6"/>
  <c r="Y231" i="6"/>
  <c r="Z231" i="6"/>
  <c r="F232" i="6"/>
  <c r="G232" i="6"/>
  <c r="H232" i="6"/>
  <c r="I232" i="6"/>
  <c r="J232" i="6"/>
  <c r="K232" i="6"/>
  <c r="L232" i="6"/>
  <c r="M232" i="6"/>
  <c r="N232" i="6"/>
  <c r="O232" i="6"/>
  <c r="P232" i="6"/>
  <c r="Q232" i="6"/>
  <c r="R232" i="6"/>
  <c r="S232" i="6"/>
  <c r="T232" i="6"/>
  <c r="U232" i="6"/>
  <c r="V232" i="6"/>
  <c r="W232" i="6"/>
  <c r="X232" i="6"/>
  <c r="Y232" i="6"/>
  <c r="Z232" i="6"/>
  <c r="F233" i="6"/>
  <c r="G233" i="6"/>
  <c r="H233" i="6"/>
  <c r="I233" i="6"/>
  <c r="J233" i="6"/>
  <c r="K233" i="6"/>
  <c r="L233" i="6"/>
  <c r="M233" i="6"/>
  <c r="N233" i="6"/>
  <c r="O233" i="6"/>
  <c r="P233" i="6"/>
  <c r="Q233" i="6"/>
  <c r="R233" i="6"/>
  <c r="S233" i="6"/>
  <c r="T233" i="6"/>
  <c r="U233" i="6"/>
  <c r="V233" i="6"/>
  <c r="W233" i="6"/>
  <c r="X233" i="6"/>
  <c r="Y233" i="6"/>
  <c r="Z233" i="6"/>
  <c r="F234" i="6"/>
  <c r="G234" i="6"/>
  <c r="H234" i="6"/>
  <c r="I234" i="6"/>
  <c r="J234" i="6"/>
  <c r="K234" i="6"/>
  <c r="L234" i="6"/>
  <c r="M234" i="6"/>
  <c r="N234" i="6"/>
  <c r="O234" i="6"/>
  <c r="P234" i="6"/>
  <c r="Q234" i="6"/>
  <c r="R234" i="6"/>
  <c r="S234" i="6"/>
  <c r="T234" i="6"/>
  <c r="U234" i="6"/>
  <c r="V234" i="6"/>
  <c r="W234" i="6"/>
  <c r="X234" i="6"/>
  <c r="Y234" i="6"/>
  <c r="Z234" i="6"/>
  <c r="F235" i="6"/>
  <c r="G235" i="6"/>
  <c r="H235" i="6"/>
  <c r="I235" i="6"/>
  <c r="J235" i="6"/>
  <c r="K235" i="6"/>
  <c r="L235" i="6"/>
  <c r="M235" i="6"/>
  <c r="N235" i="6"/>
  <c r="O235" i="6"/>
  <c r="P235" i="6"/>
  <c r="Q235" i="6"/>
  <c r="R235" i="6"/>
  <c r="S235" i="6"/>
  <c r="T235" i="6"/>
  <c r="U235" i="6"/>
  <c r="V235" i="6"/>
  <c r="W235" i="6"/>
  <c r="X235" i="6"/>
  <c r="Y235" i="6"/>
  <c r="Z235" i="6"/>
  <c r="F236" i="6"/>
  <c r="G236" i="6"/>
  <c r="H236" i="6"/>
  <c r="I236" i="6"/>
  <c r="J236" i="6"/>
  <c r="K236" i="6"/>
  <c r="L236" i="6"/>
  <c r="M236" i="6"/>
  <c r="N236" i="6"/>
  <c r="O236" i="6"/>
  <c r="P236" i="6"/>
  <c r="Q236" i="6"/>
  <c r="R236" i="6"/>
  <c r="S236" i="6"/>
  <c r="T236" i="6"/>
  <c r="U236" i="6"/>
  <c r="V236" i="6"/>
  <c r="W236" i="6"/>
  <c r="X236" i="6"/>
  <c r="Y236" i="6"/>
  <c r="Z236" i="6"/>
  <c r="F237" i="6"/>
  <c r="G237" i="6"/>
  <c r="H237" i="6"/>
  <c r="I237" i="6"/>
  <c r="J237" i="6"/>
  <c r="K237" i="6"/>
  <c r="L237" i="6"/>
  <c r="M237" i="6"/>
  <c r="N237" i="6"/>
  <c r="O237" i="6"/>
  <c r="P237" i="6"/>
  <c r="Q237" i="6"/>
  <c r="R237" i="6"/>
  <c r="S237" i="6"/>
  <c r="T237" i="6"/>
  <c r="U237" i="6"/>
  <c r="V237" i="6"/>
  <c r="W237" i="6"/>
  <c r="X237" i="6"/>
  <c r="Y237" i="6"/>
  <c r="Z237" i="6"/>
  <c r="F238" i="6"/>
  <c r="G238" i="6"/>
  <c r="H238" i="6"/>
  <c r="I238" i="6"/>
  <c r="J238" i="6"/>
  <c r="K238" i="6"/>
  <c r="L238" i="6"/>
  <c r="M238" i="6"/>
  <c r="N238" i="6"/>
  <c r="O238" i="6"/>
  <c r="P238" i="6"/>
  <c r="Q238" i="6"/>
  <c r="R238" i="6"/>
  <c r="S238" i="6"/>
  <c r="T238" i="6"/>
  <c r="U238" i="6"/>
  <c r="V238" i="6"/>
  <c r="W238" i="6"/>
  <c r="X238" i="6"/>
  <c r="Y238" i="6"/>
  <c r="Z238" i="6"/>
  <c r="F239" i="6"/>
  <c r="G239" i="6"/>
  <c r="H239" i="6"/>
  <c r="I239" i="6"/>
  <c r="J239" i="6"/>
  <c r="K239" i="6"/>
  <c r="L239" i="6"/>
  <c r="M239" i="6"/>
  <c r="N239" i="6"/>
  <c r="O239" i="6"/>
  <c r="P239" i="6"/>
  <c r="Q239" i="6"/>
  <c r="R239" i="6"/>
  <c r="S239" i="6"/>
  <c r="T239" i="6"/>
  <c r="U239" i="6"/>
  <c r="V239" i="6"/>
  <c r="W239" i="6"/>
  <c r="X239" i="6"/>
  <c r="Y239" i="6"/>
  <c r="Z239" i="6"/>
  <c r="F240" i="6"/>
  <c r="G240" i="6"/>
  <c r="H240" i="6"/>
  <c r="I240" i="6"/>
  <c r="J240" i="6"/>
  <c r="K240" i="6"/>
  <c r="L240" i="6"/>
  <c r="M240" i="6"/>
  <c r="N240" i="6"/>
  <c r="O240" i="6"/>
  <c r="P240" i="6"/>
  <c r="Q240" i="6"/>
  <c r="R240" i="6"/>
  <c r="S240" i="6"/>
  <c r="T240" i="6"/>
  <c r="U240" i="6"/>
  <c r="V240" i="6"/>
  <c r="W240" i="6"/>
  <c r="X240" i="6"/>
  <c r="Y240" i="6"/>
  <c r="Z240" i="6"/>
  <c r="F241" i="6"/>
  <c r="G241" i="6"/>
  <c r="H241" i="6"/>
  <c r="I241" i="6"/>
  <c r="J241" i="6"/>
  <c r="K241" i="6"/>
  <c r="L241" i="6"/>
  <c r="M241" i="6"/>
  <c r="N241" i="6"/>
  <c r="O241" i="6"/>
  <c r="P241" i="6"/>
  <c r="Q241" i="6"/>
  <c r="R241" i="6"/>
  <c r="S241" i="6"/>
  <c r="T241" i="6"/>
  <c r="U241" i="6"/>
  <c r="V241" i="6"/>
  <c r="W241" i="6"/>
  <c r="X241" i="6"/>
  <c r="Y241" i="6"/>
  <c r="Z241" i="6"/>
  <c r="F242" i="6"/>
  <c r="G242" i="6"/>
  <c r="H242" i="6"/>
  <c r="I242" i="6"/>
  <c r="J242" i="6"/>
  <c r="K242" i="6"/>
  <c r="L242" i="6"/>
  <c r="M242" i="6"/>
  <c r="N242" i="6"/>
  <c r="O242" i="6"/>
  <c r="P242" i="6"/>
  <c r="Q242" i="6"/>
  <c r="R242" i="6"/>
  <c r="S242" i="6"/>
  <c r="T242" i="6"/>
  <c r="U242" i="6"/>
  <c r="V242" i="6"/>
  <c r="W242" i="6"/>
  <c r="X242" i="6"/>
  <c r="Y242" i="6"/>
  <c r="Z242" i="6"/>
  <c r="F243" i="6"/>
  <c r="G243" i="6"/>
  <c r="H243" i="6"/>
  <c r="I243" i="6"/>
  <c r="J243" i="6"/>
  <c r="K243" i="6"/>
  <c r="L243" i="6"/>
  <c r="M243" i="6"/>
  <c r="N243" i="6"/>
  <c r="O243" i="6"/>
  <c r="P243" i="6"/>
  <c r="Q243" i="6"/>
  <c r="R243" i="6"/>
  <c r="S243" i="6"/>
  <c r="T243" i="6"/>
  <c r="U243" i="6"/>
  <c r="V243" i="6"/>
  <c r="W243" i="6"/>
  <c r="X243" i="6"/>
  <c r="Y243" i="6"/>
  <c r="Z243" i="6"/>
  <c r="F244" i="6"/>
  <c r="G244" i="6"/>
  <c r="H244" i="6"/>
  <c r="I244" i="6"/>
  <c r="J244" i="6"/>
  <c r="K244" i="6"/>
  <c r="L244" i="6"/>
  <c r="M244" i="6"/>
  <c r="N244" i="6"/>
  <c r="O244" i="6"/>
  <c r="P244" i="6"/>
  <c r="Q244" i="6"/>
  <c r="R244" i="6"/>
  <c r="S244" i="6"/>
  <c r="T244" i="6"/>
  <c r="U244" i="6"/>
  <c r="V244" i="6"/>
  <c r="W244" i="6"/>
  <c r="X244" i="6"/>
  <c r="Y244" i="6"/>
  <c r="Z244" i="6"/>
  <c r="F245" i="6"/>
  <c r="G245" i="6"/>
  <c r="H245" i="6"/>
  <c r="I245" i="6"/>
  <c r="J245" i="6"/>
  <c r="K245" i="6"/>
  <c r="L245" i="6"/>
  <c r="M245" i="6"/>
  <c r="N245" i="6"/>
  <c r="O245" i="6"/>
  <c r="P245" i="6"/>
  <c r="Q245" i="6"/>
  <c r="R245" i="6"/>
  <c r="S245" i="6"/>
  <c r="T245" i="6"/>
  <c r="U245" i="6"/>
  <c r="V245" i="6"/>
  <c r="W245" i="6"/>
  <c r="X245" i="6"/>
  <c r="Y245" i="6"/>
  <c r="Z245" i="6"/>
  <c r="F246" i="6"/>
  <c r="G246" i="6"/>
  <c r="H246" i="6"/>
  <c r="I246" i="6"/>
  <c r="J246" i="6"/>
  <c r="K246" i="6"/>
  <c r="L246" i="6"/>
  <c r="M246" i="6"/>
  <c r="N246" i="6"/>
  <c r="O246" i="6"/>
  <c r="P246" i="6"/>
  <c r="Q246" i="6"/>
  <c r="R246" i="6"/>
  <c r="S246" i="6"/>
  <c r="T246" i="6"/>
  <c r="U246" i="6"/>
  <c r="V246" i="6"/>
  <c r="W246" i="6"/>
  <c r="X246" i="6"/>
  <c r="Y246" i="6"/>
  <c r="Z246" i="6"/>
  <c r="F247" i="6"/>
  <c r="G247" i="6"/>
  <c r="H247" i="6"/>
  <c r="I247" i="6"/>
  <c r="J247" i="6"/>
  <c r="K247" i="6"/>
  <c r="L247" i="6"/>
  <c r="M247" i="6"/>
  <c r="N247" i="6"/>
  <c r="O247" i="6"/>
  <c r="P247" i="6"/>
  <c r="Q247" i="6"/>
  <c r="R247" i="6"/>
  <c r="S247" i="6"/>
  <c r="T247" i="6"/>
  <c r="U247" i="6"/>
  <c r="V247" i="6"/>
  <c r="W247" i="6"/>
  <c r="X247" i="6"/>
  <c r="Y247" i="6"/>
  <c r="Z247" i="6"/>
  <c r="F248" i="6"/>
  <c r="G248" i="6"/>
  <c r="H248" i="6"/>
  <c r="I248" i="6"/>
  <c r="J248" i="6"/>
  <c r="K248" i="6"/>
  <c r="L248" i="6"/>
  <c r="M248" i="6"/>
  <c r="N248" i="6"/>
  <c r="O248" i="6"/>
  <c r="P248" i="6"/>
  <c r="Q248" i="6"/>
  <c r="R248" i="6"/>
  <c r="S248" i="6"/>
  <c r="T248" i="6"/>
  <c r="U248" i="6"/>
  <c r="V248" i="6"/>
  <c r="W248" i="6"/>
  <c r="X248" i="6"/>
  <c r="Y248" i="6"/>
  <c r="Z248" i="6"/>
  <c r="F249" i="6"/>
  <c r="G249" i="6"/>
  <c r="H249" i="6"/>
  <c r="I249" i="6"/>
  <c r="J249" i="6"/>
  <c r="K249" i="6"/>
  <c r="L249" i="6"/>
  <c r="M249" i="6"/>
  <c r="N249" i="6"/>
  <c r="O249" i="6"/>
  <c r="P249" i="6"/>
  <c r="Q249" i="6"/>
  <c r="R249" i="6"/>
  <c r="S249" i="6"/>
  <c r="T249" i="6"/>
  <c r="U249" i="6"/>
  <c r="V249" i="6"/>
  <c r="W249" i="6"/>
  <c r="X249" i="6"/>
  <c r="Y249" i="6"/>
  <c r="Z249" i="6"/>
  <c r="F250" i="6"/>
  <c r="G250" i="6"/>
  <c r="H250" i="6"/>
  <c r="I250" i="6"/>
  <c r="J250" i="6"/>
  <c r="K250" i="6"/>
  <c r="L250" i="6"/>
  <c r="M250" i="6"/>
  <c r="N250" i="6"/>
  <c r="O250" i="6"/>
  <c r="P250" i="6"/>
  <c r="Q250" i="6"/>
  <c r="R250" i="6"/>
  <c r="S250" i="6"/>
  <c r="T250" i="6"/>
  <c r="U250" i="6"/>
  <c r="V250" i="6"/>
  <c r="W250" i="6"/>
  <c r="X250" i="6"/>
  <c r="Y250" i="6"/>
  <c r="Z250" i="6"/>
  <c r="F251" i="6"/>
  <c r="G251" i="6"/>
  <c r="H251" i="6"/>
  <c r="I251" i="6"/>
  <c r="J251" i="6"/>
  <c r="K251" i="6"/>
  <c r="L251" i="6"/>
  <c r="M251" i="6"/>
  <c r="N251" i="6"/>
  <c r="O251" i="6"/>
  <c r="P251" i="6"/>
  <c r="Q251" i="6"/>
  <c r="R251" i="6"/>
  <c r="S251" i="6"/>
  <c r="T251" i="6"/>
  <c r="U251" i="6"/>
  <c r="V251" i="6"/>
  <c r="W251" i="6"/>
  <c r="X251" i="6"/>
  <c r="Y251" i="6"/>
  <c r="Z251" i="6"/>
  <c r="F252" i="6"/>
  <c r="G252" i="6"/>
  <c r="H252" i="6"/>
  <c r="I252" i="6"/>
  <c r="J252" i="6"/>
  <c r="K252" i="6"/>
  <c r="L252" i="6"/>
  <c r="M252" i="6"/>
  <c r="N252" i="6"/>
  <c r="O252" i="6"/>
  <c r="P252" i="6"/>
  <c r="Q252" i="6"/>
  <c r="R252" i="6"/>
  <c r="S252" i="6"/>
  <c r="T252" i="6"/>
  <c r="U252" i="6"/>
  <c r="V252" i="6"/>
  <c r="W252" i="6"/>
  <c r="X252" i="6"/>
  <c r="Y252" i="6"/>
  <c r="Z252" i="6"/>
  <c r="F253" i="6"/>
  <c r="G253" i="6"/>
  <c r="H253" i="6"/>
  <c r="I253" i="6"/>
  <c r="J253" i="6"/>
  <c r="K253" i="6"/>
  <c r="L253" i="6"/>
  <c r="M253" i="6"/>
  <c r="N253" i="6"/>
  <c r="O253" i="6"/>
  <c r="P253" i="6"/>
  <c r="Q253" i="6"/>
  <c r="R253" i="6"/>
  <c r="S253" i="6"/>
  <c r="T253" i="6"/>
  <c r="U253" i="6"/>
  <c r="V253" i="6"/>
  <c r="W253" i="6"/>
  <c r="X253" i="6"/>
  <c r="Y253" i="6"/>
  <c r="Z253" i="6"/>
  <c r="F254" i="6"/>
  <c r="G254" i="6"/>
  <c r="H254" i="6"/>
  <c r="I254" i="6"/>
  <c r="J254" i="6"/>
  <c r="K254" i="6"/>
  <c r="L254" i="6"/>
  <c r="M254" i="6"/>
  <c r="N254" i="6"/>
  <c r="O254" i="6"/>
  <c r="P254" i="6"/>
  <c r="Q254" i="6"/>
  <c r="R254" i="6"/>
  <c r="S254" i="6"/>
  <c r="T254" i="6"/>
  <c r="U254" i="6"/>
  <c r="V254" i="6"/>
  <c r="W254" i="6"/>
  <c r="X254" i="6"/>
  <c r="Y254" i="6"/>
  <c r="Z254" i="6"/>
  <c r="F255" i="6"/>
  <c r="G255" i="6"/>
  <c r="H255" i="6"/>
  <c r="I255" i="6"/>
  <c r="J255" i="6"/>
  <c r="K255" i="6"/>
  <c r="L255" i="6"/>
  <c r="M255" i="6"/>
  <c r="N255" i="6"/>
  <c r="O255" i="6"/>
  <c r="P255" i="6"/>
  <c r="Q255" i="6"/>
  <c r="R255" i="6"/>
  <c r="S255" i="6"/>
  <c r="T255" i="6"/>
  <c r="U255" i="6"/>
  <c r="V255" i="6"/>
  <c r="W255" i="6"/>
  <c r="X255" i="6"/>
  <c r="Y255" i="6"/>
  <c r="Z255" i="6"/>
  <c r="F256" i="6"/>
  <c r="G256" i="6"/>
  <c r="H256" i="6"/>
  <c r="I256" i="6"/>
  <c r="J256" i="6"/>
  <c r="K256" i="6"/>
  <c r="L256" i="6"/>
  <c r="M256" i="6"/>
  <c r="N256" i="6"/>
  <c r="O256" i="6"/>
  <c r="P256" i="6"/>
  <c r="Q256" i="6"/>
  <c r="R256" i="6"/>
  <c r="S256" i="6"/>
  <c r="T256" i="6"/>
  <c r="U256" i="6"/>
  <c r="V256" i="6"/>
  <c r="W256" i="6"/>
  <c r="X256" i="6"/>
  <c r="Y256" i="6"/>
  <c r="Z256" i="6"/>
  <c r="F257" i="6"/>
  <c r="G257" i="6"/>
  <c r="H257" i="6"/>
  <c r="I257" i="6"/>
  <c r="J257" i="6"/>
  <c r="K257" i="6"/>
  <c r="L257" i="6"/>
  <c r="M257" i="6"/>
  <c r="N257" i="6"/>
  <c r="O257" i="6"/>
  <c r="P257" i="6"/>
  <c r="Q257" i="6"/>
  <c r="R257" i="6"/>
  <c r="S257" i="6"/>
  <c r="T257" i="6"/>
  <c r="U257" i="6"/>
  <c r="V257" i="6"/>
  <c r="W257" i="6"/>
  <c r="X257" i="6"/>
  <c r="Y257" i="6"/>
  <c r="Z257" i="6"/>
  <c r="F258" i="6"/>
  <c r="G258" i="6"/>
  <c r="H258" i="6"/>
  <c r="I258" i="6"/>
  <c r="J258" i="6"/>
  <c r="K258" i="6"/>
  <c r="L258" i="6"/>
  <c r="M258" i="6"/>
  <c r="N258" i="6"/>
  <c r="O258" i="6"/>
  <c r="P258" i="6"/>
  <c r="Q258" i="6"/>
  <c r="R258" i="6"/>
  <c r="S258" i="6"/>
  <c r="T258" i="6"/>
  <c r="U258" i="6"/>
  <c r="V258" i="6"/>
  <c r="W258" i="6"/>
  <c r="X258" i="6"/>
  <c r="Y258" i="6"/>
  <c r="Z258" i="6"/>
  <c r="F259" i="6"/>
  <c r="G259" i="6"/>
  <c r="H259" i="6"/>
  <c r="I259" i="6"/>
  <c r="J259" i="6"/>
  <c r="K259" i="6"/>
  <c r="L259" i="6"/>
  <c r="M259" i="6"/>
  <c r="N259" i="6"/>
  <c r="O259" i="6"/>
  <c r="P259" i="6"/>
  <c r="Q259" i="6"/>
  <c r="R259" i="6"/>
  <c r="S259" i="6"/>
  <c r="T259" i="6"/>
  <c r="U259" i="6"/>
  <c r="V259" i="6"/>
  <c r="W259" i="6"/>
  <c r="X259" i="6"/>
  <c r="Y259" i="6"/>
  <c r="Z259" i="6"/>
  <c r="F260" i="6"/>
  <c r="G260" i="6"/>
  <c r="H260" i="6"/>
  <c r="I260" i="6"/>
  <c r="J260" i="6"/>
  <c r="K260" i="6"/>
  <c r="L260" i="6"/>
  <c r="M260" i="6"/>
  <c r="N260" i="6"/>
  <c r="O260" i="6"/>
  <c r="P260" i="6"/>
  <c r="Q260" i="6"/>
  <c r="R260" i="6"/>
  <c r="S260" i="6"/>
  <c r="T260" i="6"/>
  <c r="U260" i="6"/>
  <c r="V260" i="6"/>
  <c r="W260" i="6"/>
  <c r="X260" i="6"/>
  <c r="Y260" i="6"/>
  <c r="Z260" i="6"/>
  <c r="F261" i="6"/>
  <c r="G261" i="6"/>
  <c r="H261" i="6"/>
  <c r="I261" i="6"/>
  <c r="J261" i="6"/>
  <c r="K261" i="6"/>
  <c r="L261" i="6"/>
  <c r="M261" i="6"/>
  <c r="N261" i="6"/>
  <c r="O261" i="6"/>
  <c r="P261" i="6"/>
  <c r="Q261" i="6"/>
  <c r="R261" i="6"/>
  <c r="S261" i="6"/>
  <c r="T261" i="6"/>
  <c r="U261" i="6"/>
  <c r="V261" i="6"/>
  <c r="W261" i="6"/>
  <c r="X261" i="6"/>
  <c r="Y261" i="6"/>
  <c r="Z261" i="6"/>
  <c r="F262" i="6"/>
  <c r="G262" i="6"/>
  <c r="H262" i="6"/>
  <c r="I262" i="6"/>
  <c r="J262" i="6"/>
  <c r="K262" i="6"/>
  <c r="L262" i="6"/>
  <c r="M262" i="6"/>
  <c r="N262" i="6"/>
  <c r="O262" i="6"/>
  <c r="P262" i="6"/>
  <c r="Q262" i="6"/>
  <c r="R262" i="6"/>
  <c r="S262" i="6"/>
  <c r="T262" i="6"/>
  <c r="U262" i="6"/>
  <c r="V262" i="6"/>
  <c r="W262" i="6"/>
  <c r="X262" i="6"/>
  <c r="Y262" i="6"/>
  <c r="Z262" i="6"/>
  <c r="F263" i="6"/>
  <c r="G263" i="6"/>
  <c r="H263" i="6"/>
  <c r="I263" i="6"/>
  <c r="J263" i="6"/>
  <c r="K263" i="6"/>
  <c r="L263" i="6"/>
  <c r="M263" i="6"/>
  <c r="N263" i="6"/>
  <c r="O263" i="6"/>
  <c r="P263" i="6"/>
  <c r="Q263" i="6"/>
  <c r="R263" i="6"/>
  <c r="S263" i="6"/>
  <c r="T263" i="6"/>
  <c r="U263" i="6"/>
  <c r="V263" i="6"/>
  <c r="W263" i="6"/>
  <c r="X263" i="6"/>
  <c r="Y263" i="6"/>
  <c r="Z263" i="6"/>
  <c r="F264" i="6"/>
  <c r="G264" i="6"/>
  <c r="H264" i="6"/>
  <c r="I264" i="6"/>
  <c r="J264" i="6"/>
  <c r="K264" i="6"/>
  <c r="L264" i="6"/>
  <c r="M264" i="6"/>
  <c r="N264" i="6"/>
  <c r="O264" i="6"/>
  <c r="P264" i="6"/>
  <c r="Q264" i="6"/>
  <c r="R264" i="6"/>
  <c r="S264" i="6"/>
  <c r="T264" i="6"/>
  <c r="U264" i="6"/>
  <c r="V264" i="6"/>
  <c r="W264" i="6"/>
  <c r="X264" i="6"/>
  <c r="Y264" i="6"/>
  <c r="Z264" i="6"/>
  <c r="F265" i="6"/>
  <c r="G265" i="6"/>
  <c r="H265" i="6"/>
  <c r="I265" i="6"/>
  <c r="J265" i="6"/>
  <c r="K265" i="6"/>
  <c r="L265" i="6"/>
  <c r="M265" i="6"/>
  <c r="N265" i="6"/>
  <c r="O265" i="6"/>
  <c r="P265" i="6"/>
  <c r="Q265" i="6"/>
  <c r="R265" i="6"/>
  <c r="S265" i="6"/>
  <c r="T265" i="6"/>
  <c r="U265" i="6"/>
  <c r="V265" i="6"/>
  <c r="W265" i="6"/>
  <c r="X265" i="6"/>
  <c r="Y265" i="6"/>
  <c r="Z265" i="6"/>
  <c r="F266" i="6"/>
  <c r="G266" i="6"/>
  <c r="H266" i="6"/>
  <c r="I266" i="6"/>
  <c r="J266" i="6"/>
  <c r="K266" i="6"/>
  <c r="L266" i="6"/>
  <c r="M266" i="6"/>
  <c r="N266" i="6"/>
  <c r="O266" i="6"/>
  <c r="P266" i="6"/>
  <c r="Q266" i="6"/>
  <c r="R266" i="6"/>
  <c r="S266" i="6"/>
  <c r="T266" i="6"/>
  <c r="U266" i="6"/>
  <c r="V266" i="6"/>
  <c r="W266" i="6"/>
  <c r="X266" i="6"/>
  <c r="Y266" i="6"/>
  <c r="Z266" i="6"/>
  <c r="F267" i="6"/>
  <c r="G267" i="6"/>
  <c r="H267" i="6"/>
  <c r="I267" i="6"/>
  <c r="J267" i="6"/>
  <c r="K267" i="6"/>
  <c r="L267" i="6"/>
  <c r="M267" i="6"/>
  <c r="N267" i="6"/>
  <c r="O267" i="6"/>
  <c r="P267" i="6"/>
  <c r="Q267" i="6"/>
  <c r="R267" i="6"/>
  <c r="S267" i="6"/>
  <c r="T267" i="6"/>
  <c r="U267" i="6"/>
  <c r="V267" i="6"/>
  <c r="W267" i="6"/>
  <c r="X267" i="6"/>
  <c r="Y267" i="6"/>
  <c r="Z267" i="6"/>
  <c r="F268" i="6"/>
  <c r="G268" i="6"/>
  <c r="H268" i="6"/>
  <c r="I268" i="6"/>
  <c r="J268" i="6"/>
  <c r="K268" i="6"/>
  <c r="L268" i="6"/>
  <c r="M268" i="6"/>
  <c r="N268" i="6"/>
  <c r="O268" i="6"/>
  <c r="P268" i="6"/>
  <c r="Q268" i="6"/>
  <c r="R268" i="6"/>
  <c r="S268" i="6"/>
  <c r="T268" i="6"/>
  <c r="U268" i="6"/>
  <c r="V268" i="6"/>
  <c r="W268" i="6"/>
  <c r="X268" i="6"/>
  <c r="Y268" i="6"/>
  <c r="Z268" i="6"/>
  <c r="F269" i="6"/>
  <c r="G269" i="6"/>
  <c r="H269" i="6"/>
  <c r="I269" i="6"/>
  <c r="J269" i="6"/>
  <c r="K269" i="6"/>
  <c r="L269" i="6"/>
  <c r="M269" i="6"/>
  <c r="N269" i="6"/>
  <c r="O269" i="6"/>
  <c r="P269" i="6"/>
  <c r="Q269" i="6"/>
  <c r="R269" i="6"/>
  <c r="S269" i="6"/>
  <c r="T269" i="6"/>
  <c r="U269" i="6"/>
  <c r="V269" i="6"/>
  <c r="W269" i="6"/>
  <c r="X269" i="6"/>
  <c r="Y269" i="6"/>
  <c r="Z269" i="6"/>
  <c r="F270" i="6"/>
  <c r="G270" i="6"/>
  <c r="H270" i="6"/>
  <c r="I270" i="6"/>
  <c r="J270" i="6"/>
  <c r="K270" i="6"/>
  <c r="L270" i="6"/>
  <c r="M270" i="6"/>
  <c r="N270" i="6"/>
  <c r="O270" i="6"/>
  <c r="P270" i="6"/>
  <c r="Q270" i="6"/>
  <c r="R270" i="6"/>
  <c r="S270" i="6"/>
  <c r="T270" i="6"/>
  <c r="U270" i="6"/>
  <c r="V270" i="6"/>
  <c r="W270" i="6"/>
  <c r="X270" i="6"/>
  <c r="Y270" i="6"/>
  <c r="Z270" i="6"/>
  <c r="F271" i="6"/>
  <c r="G271" i="6"/>
  <c r="H271" i="6"/>
  <c r="I271" i="6"/>
  <c r="J271" i="6"/>
  <c r="K271" i="6"/>
  <c r="L271" i="6"/>
  <c r="M271" i="6"/>
  <c r="N271" i="6"/>
  <c r="O271" i="6"/>
  <c r="P271" i="6"/>
  <c r="Q271" i="6"/>
  <c r="R271" i="6"/>
  <c r="S271" i="6"/>
  <c r="T271" i="6"/>
  <c r="U271" i="6"/>
  <c r="V271" i="6"/>
  <c r="W271" i="6"/>
  <c r="X271" i="6"/>
  <c r="Y271" i="6"/>
  <c r="Z271" i="6"/>
  <c r="F272" i="6"/>
  <c r="G272" i="6"/>
  <c r="H272" i="6"/>
  <c r="I272" i="6"/>
  <c r="J272" i="6"/>
  <c r="K272" i="6"/>
  <c r="L272" i="6"/>
  <c r="M272" i="6"/>
  <c r="N272" i="6"/>
  <c r="O272" i="6"/>
  <c r="P272" i="6"/>
  <c r="Q272" i="6"/>
  <c r="R272" i="6"/>
  <c r="S272" i="6"/>
  <c r="T272" i="6"/>
  <c r="U272" i="6"/>
  <c r="V272" i="6"/>
  <c r="W272" i="6"/>
  <c r="X272" i="6"/>
  <c r="Y272" i="6"/>
  <c r="Z272" i="6"/>
  <c r="F273" i="6"/>
  <c r="G273" i="6"/>
  <c r="H273" i="6"/>
  <c r="I273" i="6"/>
  <c r="J273" i="6"/>
  <c r="K273" i="6"/>
  <c r="L273" i="6"/>
  <c r="M273" i="6"/>
  <c r="N273" i="6"/>
  <c r="O273" i="6"/>
  <c r="P273" i="6"/>
  <c r="Q273" i="6"/>
  <c r="R273" i="6"/>
  <c r="S273" i="6"/>
  <c r="T273" i="6"/>
  <c r="U273" i="6"/>
  <c r="V273" i="6"/>
  <c r="W273" i="6"/>
  <c r="X273" i="6"/>
  <c r="Y273" i="6"/>
  <c r="Z273" i="6"/>
  <c r="F274" i="6"/>
  <c r="G274" i="6"/>
  <c r="H274" i="6"/>
  <c r="I274" i="6"/>
  <c r="J274" i="6"/>
  <c r="K274" i="6"/>
  <c r="L274" i="6"/>
  <c r="M274" i="6"/>
  <c r="N274" i="6"/>
  <c r="O274" i="6"/>
  <c r="P274" i="6"/>
  <c r="Q274" i="6"/>
  <c r="R274" i="6"/>
  <c r="S274" i="6"/>
  <c r="T274" i="6"/>
  <c r="U274" i="6"/>
  <c r="V274" i="6"/>
  <c r="W274" i="6"/>
  <c r="X274" i="6"/>
  <c r="Y274" i="6"/>
  <c r="Z274" i="6"/>
  <c r="F275" i="6"/>
  <c r="G275" i="6"/>
  <c r="H275" i="6"/>
  <c r="I275" i="6"/>
  <c r="J275" i="6"/>
  <c r="K275" i="6"/>
  <c r="L275" i="6"/>
  <c r="M275" i="6"/>
  <c r="N275" i="6"/>
  <c r="O275" i="6"/>
  <c r="P275" i="6"/>
  <c r="Q275" i="6"/>
  <c r="R275" i="6"/>
  <c r="S275" i="6"/>
  <c r="T275" i="6"/>
  <c r="U275" i="6"/>
  <c r="V275" i="6"/>
  <c r="W275" i="6"/>
  <c r="X275" i="6"/>
  <c r="Y275" i="6"/>
  <c r="Z275" i="6"/>
  <c r="F276" i="6"/>
  <c r="G276" i="6"/>
  <c r="H276" i="6"/>
  <c r="I276" i="6"/>
  <c r="J276" i="6"/>
  <c r="K276" i="6"/>
  <c r="L276" i="6"/>
  <c r="M276" i="6"/>
  <c r="N276" i="6"/>
  <c r="O276" i="6"/>
  <c r="P276" i="6"/>
  <c r="Q276" i="6"/>
  <c r="R276" i="6"/>
  <c r="S276" i="6"/>
  <c r="T276" i="6"/>
  <c r="U276" i="6"/>
  <c r="V276" i="6"/>
  <c r="W276" i="6"/>
  <c r="X276" i="6"/>
  <c r="Y276" i="6"/>
  <c r="Z276" i="6"/>
  <c r="F277" i="6"/>
  <c r="G277" i="6"/>
  <c r="H277" i="6"/>
  <c r="I277" i="6"/>
  <c r="J277" i="6"/>
  <c r="K277" i="6"/>
  <c r="L277" i="6"/>
  <c r="M277" i="6"/>
  <c r="N277" i="6"/>
  <c r="O277" i="6"/>
  <c r="P277" i="6"/>
  <c r="Q277" i="6"/>
  <c r="R277" i="6"/>
  <c r="S277" i="6"/>
  <c r="T277" i="6"/>
  <c r="U277" i="6"/>
  <c r="V277" i="6"/>
  <c r="W277" i="6"/>
  <c r="X277" i="6"/>
  <c r="Y277" i="6"/>
  <c r="Z277" i="6"/>
  <c r="F278" i="6"/>
  <c r="G278" i="6"/>
  <c r="H278" i="6"/>
  <c r="I278" i="6"/>
  <c r="J278" i="6"/>
  <c r="K278" i="6"/>
  <c r="L278" i="6"/>
  <c r="M278" i="6"/>
  <c r="N278" i="6"/>
  <c r="O278" i="6"/>
  <c r="P278" i="6"/>
  <c r="Q278" i="6"/>
  <c r="R278" i="6"/>
  <c r="S278" i="6"/>
  <c r="T278" i="6"/>
  <c r="U278" i="6"/>
  <c r="V278" i="6"/>
  <c r="W278" i="6"/>
  <c r="X278" i="6"/>
  <c r="Y278" i="6"/>
  <c r="Z278" i="6"/>
  <c r="F279" i="6"/>
  <c r="G279" i="6"/>
  <c r="H279" i="6"/>
  <c r="I279" i="6"/>
  <c r="J279" i="6"/>
  <c r="K279" i="6"/>
  <c r="L279" i="6"/>
  <c r="M279" i="6"/>
  <c r="N279" i="6"/>
  <c r="O279" i="6"/>
  <c r="P279" i="6"/>
  <c r="Q279" i="6"/>
  <c r="R279" i="6"/>
  <c r="S279" i="6"/>
  <c r="T279" i="6"/>
  <c r="U279" i="6"/>
  <c r="V279" i="6"/>
  <c r="W279" i="6"/>
  <c r="X279" i="6"/>
  <c r="Y279" i="6"/>
  <c r="Z279" i="6"/>
  <c r="F280" i="6"/>
  <c r="G280" i="6"/>
  <c r="H280" i="6"/>
  <c r="I280" i="6"/>
  <c r="J280" i="6"/>
  <c r="K280" i="6"/>
  <c r="L280" i="6"/>
  <c r="M280" i="6"/>
  <c r="N280" i="6"/>
  <c r="O280" i="6"/>
  <c r="P280" i="6"/>
  <c r="Q280" i="6"/>
  <c r="R280" i="6"/>
  <c r="S280" i="6"/>
  <c r="T280" i="6"/>
  <c r="U280" i="6"/>
  <c r="V280" i="6"/>
  <c r="W280" i="6"/>
  <c r="X280" i="6"/>
  <c r="Y280" i="6"/>
  <c r="Z280" i="6"/>
  <c r="F281" i="6"/>
  <c r="G281" i="6"/>
  <c r="H281" i="6"/>
  <c r="I281" i="6"/>
  <c r="J281" i="6"/>
  <c r="K281" i="6"/>
  <c r="L281" i="6"/>
  <c r="M281" i="6"/>
  <c r="N281" i="6"/>
  <c r="O281" i="6"/>
  <c r="P281" i="6"/>
  <c r="Q281" i="6"/>
  <c r="R281" i="6"/>
  <c r="S281" i="6"/>
  <c r="T281" i="6"/>
  <c r="U281" i="6"/>
  <c r="V281" i="6"/>
  <c r="W281" i="6"/>
  <c r="X281" i="6"/>
  <c r="Y281" i="6"/>
  <c r="Z281" i="6"/>
  <c r="F282" i="6"/>
  <c r="G282" i="6"/>
  <c r="H282" i="6"/>
  <c r="I282" i="6"/>
  <c r="J282" i="6"/>
  <c r="K282" i="6"/>
  <c r="L282" i="6"/>
  <c r="M282" i="6"/>
  <c r="N282" i="6"/>
  <c r="O282" i="6"/>
  <c r="P282" i="6"/>
  <c r="Q282" i="6"/>
  <c r="R282" i="6"/>
  <c r="S282" i="6"/>
  <c r="T282" i="6"/>
  <c r="U282" i="6"/>
  <c r="V282" i="6"/>
  <c r="W282" i="6"/>
  <c r="X282" i="6"/>
  <c r="Y282" i="6"/>
  <c r="Z282" i="6"/>
  <c r="F283" i="6"/>
  <c r="G283" i="6"/>
  <c r="H283" i="6"/>
  <c r="I283" i="6"/>
  <c r="J283" i="6"/>
  <c r="K283" i="6"/>
  <c r="L283" i="6"/>
  <c r="M283" i="6"/>
  <c r="N283" i="6"/>
  <c r="O283" i="6"/>
  <c r="P283" i="6"/>
  <c r="Q283" i="6"/>
  <c r="R283" i="6"/>
  <c r="S283" i="6"/>
  <c r="T283" i="6"/>
  <c r="U283" i="6"/>
  <c r="V283" i="6"/>
  <c r="W283" i="6"/>
  <c r="X283" i="6"/>
  <c r="Y283" i="6"/>
  <c r="Z283" i="6"/>
  <c r="F284" i="6"/>
  <c r="G284" i="6"/>
  <c r="H284" i="6"/>
  <c r="I284" i="6"/>
  <c r="J284" i="6"/>
  <c r="K284" i="6"/>
  <c r="L284" i="6"/>
  <c r="M284" i="6"/>
  <c r="N284" i="6"/>
  <c r="O284" i="6"/>
  <c r="P284" i="6"/>
  <c r="Q284" i="6"/>
  <c r="R284" i="6"/>
  <c r="S284" i="6"/>
  <c r="T284" i="6"/>
  <c r="U284" i="6"/>
  <c r="V284" i="6"/>
  <c r="W284" i="6"/>
  <c r="X284" i="6"/>
  <c r="Y284" i="6"/>
  <c r="Z284" i="6"/>
  <c r="F285" i="6"/>
  <c r="G285" i="6"/>
  <c r="H285" i="6"/>
  <c r="I285" i="6"/>
  <c r="J285" i="6"/>
  <c r="K285" i="6"/>
  <c r="L285" i="6"/>
  <c r="M285" i="6"/>
  <c r="N285" i="6"/>
  <c r="O285" i="6"/>
  <c r="P285" i="6"/>
  <c r="Q285" i="6"/>
  <c r="R285" i="6"/>
  <c r="S285" i="6"/>
  <c r="T285" i="6"/>
  <c r="U285" i="6"/>
  <c r="V285" i="6"/>
  <c r="W285" i="6"/>
  <c r="X285" i="6"/>
  <c r="Y285" i="6"/>
  <c r="Z285" i="6"/>
  <c r="F286" i="6"/>
  <c r="G286" i="6"/>
  <c r="H286" i="6"/>
  <c r="I286" i="6"/>
  <c r="J286" i="6"/>
  <c r="K286" i="6"/>
  <c r="L286" i="6"/>
  <c r="M286" i="6"/>
  <c r="N286" i="6"/>
  <c r="O286" i="6"/>
  <c r="P286" i="6"/>
  <c r="Q286" i="6"/>
  <c r="R286" i="6"/>
  <c r="S286" i="6"/>
  <c r="T286" i="6"/>
  <c r="U286" i="6"/>
  <c r="V286" i="6"/>
  <c r="W286" i="6"/>
  <c r="X286" i="6"/>
  <c r="Y286" i="6"/>
  <c r="Z286" i="6"/>
  <c r="F287" i="6"/>
  <c r="G287" i="6"/>
  <c r="H287" i="6"/>
  <c r="I287" i="6"/>
  <c r="J287" i="6"/>
  <c r="K287" i="6"/>
  <c r="L287" i="6"/>
  <c r="M287" i="6"/>
  <c r="N287" i="6"/>
  <c r="O287" i="6"/>
  <c r="P287" i="6"/>
  <c r="Q287" i="6"/>
  <c r="R287" i="6"/>
  <c r="S287" i="6"/>
  <c r="T287" i="6"/>
  <c r="U287" i="6"/>
  <c r="V287" i="6"/>
  <c r="W287" i="6"/>
  <c r="X287" i="6"/>
  <c r="Y287" i="6"/>
  <c r="Z287" i="6"/>
  <c r="F288" i="6"/>
  <c r="G288" i="6"/>
  <c r="H288" i="6"/>
  <c r="I288" i="6"/>
  <c r="J288" i="6"/>
  <c r="K288" i="6"/>
  <c r="L288" i="6"/>
  <c r="M288" i="6"/>
  <c r="N288" i="6"/>
  <c r="O288" i="6"/>
  <c r="P288" i="6"/>
  <c r="Q288" i="6"/>
  <c r="R288" i="6"/>
  <c r="S288" i="6"/>
  <c r="T288" i="6"/>
  <c r="U288" i="6"/>
  <c r="V288" i="6"/>
  <c r="W288" i="6"/>
  <c r="X288" i="6"/>
  <c r="Y288" i="6"/>
  <c r="Z288" i="6"/>
  <c r="F289" i="6"/>
  <c r="G289" i="6"/>
  <c r="H289" i="6"/>
  <c r="I289" i="6"/>
  <c r="J289" i="6"/>
  <c r="K289" i="6"/>
  <c r="L289" i="6"/>
  <c r="M289" i="6"/>
  <c r="N289" i="6"/>
  <c r="O289" i="6"/>
  <c r="P289" i="6"/>
  <c r="Q289" i="6"/>
  <c r="R289" i="6"/>
  <c r="S289" i="6"/>
  <c r="T289" i="6"/>
  <c r="U289" i="6"/>
  <c r="V289" i="6"/>
  <c r="W289" i="6"/>
  <c r="X289" i="6"/>
  <c r="Y289" i="6"/>
  <c r="Z289" i="6"/>
  <c r="F290" i="6"/>
  <c r="G290" i="6"/>
  <c r="H290" i="6"/>
  <c r="I290" i="6"/>
  <c r="J290" i="6"/>
  <c r="K290" i="6"/>
  <c r="L290" i="6"/>
  <c r="M290" i="6"/>
  <c r="N290" i="6"/>
  <c r="O290" i="6"/>
  <c r="P290" i="6"/>
  <c r="Q290" i="6"/>
  <c r="R290" i="6"/>
  <c r="S290" i="6"/>
  <c r="T290" i="6"/>
  <c r="U290" i="6"/>
  <c r="V290" i="6"/>
  <c r="W290" i="6"/>
  <c r="X290" i="6"/>
  <c r="Y290" i="6"/>
  <c r="Z290" i="6"/>
  <c r="F291" i="6"/>
  <c r="G291" i="6"/>
  <c r="H291" i="6"/>
  <c r="I291" i="6"/>
  <c r="J291" i="6"/>
  <c r="K291" i="6"/>
  <c r="L291" i="6"/>
  <c r="M291" i="6"/>
  <c r="N291" i="6"/>
  <c r="O291" i="6"/>
  <c r="P291" i="6"/>
  <c r="Q291" i="6"/>
  <c r="R291" i="6"/>
  <c r="S291" i="6"/>
  <c r="T291" i="6"/>
  <c r="U291" i="6"/>
  <c r="V291" i="6"/>
  <c r="W291" i="6"/>
  <c r="X291" i="6"/>
  <c r="Y291" i="6"/>
  <c r="Z291" i="6"/>
  <c r="F292" i="6"/>
  <c r="G292" i="6"/>
  <c r="H292" i="6"/>
  <c r="I292" i="6"/>
  <c r="J292" i="6"/>
  <c r="K292" i="6"/>
  <c r="L292" i="6"/>
  <c r="M292" i="6"/>
  <c r="N292" i="6"/>
  <c r="O292" i="6"/>
  <c r="P292" i="6"/>
  <c r="Q292" i="6"/>
  <c r="R292" i="6"/>
  <c r="S292" i="6"/>
  <c r="T292" i="6"/>
  <c r="U292" i="6"/>
  <c r="V292" i="6"/>
  <c r="W292" i="6"/>
  <c r="X292" i="6"/>
  <c r="Y292" i="6"/>
  <c r="Z292" i="6"/>
  <c r="F293" i="6"/>
  <c r="G293" i="6"/>
  <c r="H293" i="6"/>
  <c r="I293" i="6"/>
  <c r="J293" i="6"/>
  <c r="K293" i="6"/>
  <c r="L293" i="6"/>
  <c r="M293" i="6"/>
  <c r="N293" i="6"/>
  <c r="O293" i="6"/>
  <c r="P293" i="6"/>
  <c r="Q293" i="6"/>
  <c r="R293" i="6"/>
  <c r="S293" i="6"/>
  <c r="T293" i="6"/>
  <c r="U293" i="6"/>
  <c r="V293" i="6"/>
  <c r="W293" i="6"/>
  <c r="X293" i="6"/>
  <c r="Y293" i="6"/>
  <c r="Z293" i="6"/>
  <c r="F294" i="6"/>
  <c r="G294" i="6"/>
  <c r="H294" i="6"/>
  <c r="I294" i="6"/>
  <c r="J294" i="6"/>
  <c r="K294" i="6"/>
  <c r="L294" i="6"/>
  <c r="M294" i="6"/>
  <c r="N294" i="6"/>
  <c r="O294" i="6"/>
  <c r="P294" i="6"/>
  <c r="Q294" i="6"/>
  <c r="R294" i="6"/>
  <c r="S294" i="6"/>
  <c r="T294" i="6"/>
  <c r="U294" i="6"/>
  <c r="V294" i="6"/>
  <c r="W294" i="6"/>
  <c r="X294" i="6"/>
  <c r="Y294" i="6"/>
  <c r="Z294" i="6"/>
  <c r="F295" i="6"/>
  <c r="G295" i="6"/>
  <c r="H295" i="6"/>
  <c r="I295" i="6"/>
  <c r="J295" i="6"/>
  <c r="K295" i="6"/>
  <c r="L295" i="6"/>
  <c r="M295" i="6"/>
  <c r="N295" i="6"/>
  <c r="O295" i="6"/>
  <c r="P295" i="6"/>
  <c r="Q295" i="6"/>
  <c r="R295" i="6"/>
  <c r="S295" i="6"/>
  <c r="T295" i="6"/>
  <c r="U295" i="6"/>
  <c r="V295" i="6"/>
  <c r="W295" i="6"/>
  <c r="X295" i="6"/>
  <c r="Y295" i="6"/>
  <c r="Z295" i="6"/>
  <c r="F296" i="6"/>
  <c r="G296" i="6"/>
  <c r="H296" i="6"/>
  <c r="I296" i="6"/>
  <c r="J296" i="6"/>
  <c r="K296" i="6"/>
  <c r="L296" i="6"/>
  <c r="M296" i="6"/>
  <c r="N296" i="6"/>
  <c r="O296" i="6"/>
  <c r="P296" i="6"/>
  <c r="Q296" i="6"/>
  <c r="R296" i="6"/>
  <c r="S296" i="6"/>
  <c r="T296" i="6"/>
  <c r="U296" i="6"/>
  <c r="V296" i="6"/>
  <c r="W296" i="6"/>
  <c r="X296" i="6"/>
  <c r="Y296" i="6"/>
  <c r="Z296" i="6"/>
  <c r="F297" i="6"/>
  <c r="G297" i="6"/>
  <c r="H297" i="6"/>
  <c r="I297" i="6"/>
  <c r="J297" i="6"/>
  <c r="K297" i="6"/>
  <c r="L297" i="6"/>
  <c r="M297" i="6"/>
  <c r="N297" i="6"/>
  <c r="O297" i="6"/>
  <c r="P297" i="6"/>
  <c r="Q297" i="6"/>
  <c r="R297" i="6"/>
  <c r="S297" i="6"/>
  <c r="T297" i="6"/>
  <c r="U297" i="6"/>
  <c r="V297" i="6"/>
  <c r="W297" i="6"/>
  <c r="X297" i="6"/>
  <c r="Y297" i="6"/>
  <c r="Z297" i="6"/>
  <c r="F298" i="6"/>
  <c r="G298" i="6"/>
  <c r="H298" i="6"/>
  <c r="I298" i="6"/>
  <c r="J298" i="6"/>
  <c r="K298" i="6"/>
  <c r="L298" i="6"/>
  <c r="M298" i="6"/>
  <c r="N298" i="6"/>
  <c r="O298" i="6"/>
  <c r="P298" i="6"/>
  <c r="Q298" i="6"/>
  <c r="R298" i="6"/>
  <c r="S298" i="6"/>
  <c r="T298" i="6"/>
  <c r="U298" i="6"/>
  <c r="V298" i="6"/>
  <c r="W298" i="6"/>
  <c r="X298" i="6"/>
  <c r="Y298" i="6"/>
  <c r="Z298" i="6"/>
  <c r="F299" i="6"/>
  <c r="G299" i="6"/>
  <c r="H299" i="6"/>
  <c r="I299" i="6"/>
  <c r="J299" i="6"/>
  <c r="K299" i="6"/>
  <c r="L299" i="6"/>
  <c r="M299" i="6"/>
  <c r="N299" i="6"/>
  <c r="O299" i="6"/>
  <c r="P299" i="6"/>
  <c r="Q299" i="6"/>
  <c r="R299" i="6"/>
  <c r="S299" i="6"/>
  <c r="T299" i="6"/>
  <c r="U299" i="6"/>
  <c r="V299" i="6"/>
  <c r="W299" i="6"/>
  <c r="X299" i="6"/>
  <c r="Y299" i="6"/>
  <c r="Z299" i="6"/>
  <c r="F300" i="6"/>
  <c r="G300" i="6"/>
  <c r="H300" i="6"/>
  <c r="I300" i="6"/>
  <c r="J300" i="6"/>
  <c r="K300" i="6"/>
  <c r="L300" i="6"/>
  <c r="M300" i="6"/>
  <c r="N300" i="6"/>
  <c r="O300" i="6"/>
  <c r="P300" i="6"/>
  <c r="Q300" i="6"/>
  <c r="R300" i="6"/>
  <c r="S300" i="6"/>
  <c r="T300" i="6"/>
  <c r="U300" i="6"/>
  <c r="V300" i="6"/>
  <c r="W300" i="6"/>
  <c r="X300" i="6"/>
  <c r="Y300" i="6"/>
  <c r="Z300" i="6"/>
  <c r="F301" i="6"/>
  <c r="G301" i="6"/>
  <c r="H301" i="6"/>
  <c r="I301" i="6"/>
  <c r="J301" i="6"/>
  <c r="K301" i="6"/>
  <c r="L301" i="6"/>
  <c r="M301" i="6"/>
  <c r="N301" i="6"/>
  <c r="O301" i="6"/>
  <c r="P301" i="6"/>
  <c r="Q301" i="6"/>
  <c r="R301" i="6"/>
  <c r="S301" i="6"/>
  <c r="T301" i="6"/>
  <c r="U301" i="6"/>
  <c r="V301" i="6"/>
  <c r="W301" i="6"/>
  <c r="X301" i="6"/>
  <c r="Y301" i="6"/>
  <c r="Z301" i="6"/>
  <c r="F302" i="6"/>
  <c r="G302" i="6"/>
  <c r="H302" i="6"/>
  <c r="I302" i="6"/>
  <c r="J302" i="6"/>
  <c r="K302" i="6"/>
  <c r="L302" i="6"/>
  <c r="M302" i="6"/>
  <c r="N302" i="6"/>
  <c r="O302" i="6"/>
  <c r="P302" i="6"/>
  <c r="Q302" i="6"/>
  <c r="R302" i="6"/>
  <c r="S302" i="6"/>
  <c r="T302" i="6"/>
  <c r="U302" i="6"/>
  <c r="V302" i="6"/>
  <c r="W302" i="6"/>
  <c r="X302" i="6"/>
  <c r="Y302" i="6"/>
  <c r="Z302" i="6"/>
  <c r="F303" i="6"/>
  <c r="G303" i="6"/>
  <c r="H303" i="6"/>
  <c r="I303" i="6"/>
  <c r="J303" i="6"/>
  <c r="K303" i="6"/>
  <c r="L303" i="6"/>
  <c r="M303" i="6"/>
  <c r="N303" i="6"/>
  <c r="O303" i="6"/>
  <c r="P303" i="6"/>
  <c r="Q303" i="6"/>
  <c r="R303" i="6"/>
  <c r="S303" i="6"/>
  <c r="T303" i="6"/>
  <c r="U303" i="6"/>
  <c r="V303" i="6"/>
  <c r="W303" i="6"/>
  <c r="X303" i="6"/>
  <c r="Y303" i="6"/>
  <c r="Z303" i="6"/>
  <c r="F304" i="6"/>
  <c r="G304" i="6"/>
  <c r="H304" i="6"/>
  <c r="I304" i="6"/>
  <c r="J304" i="6"/>
  <c r="K304" i="6"/>
  <c r="L304" i="6"/>
  <c r="M304" i="6"/>
  <c r="N304" i="6"/>
  <c r="O304" i="6"/>
  <c r="P304" i="6"/>
  <c r="Q304" i="6"/>
  <c r="R304" i="6"/>
  <c r="S304" i="6"/>
  <c r="T304" i="6"/>
  <c r="U304" i="6"/>
  <c r="V304" i="6"/>
  <c r="W304" i="6"/>
  <c r="X304" i="6"/>
  <c r="Y304" i="6"/>
  <c r="Z304" i="6"/>
  <c r="F305" i="6"/>
  <c r="G305" i="6"/>
  <c r="H305" i="6"/>
  <c r="I305" i="6"/>
  <c r="J305" i="6"/>
  <c r="K305" i="6"/>
  <c r="L305" i="6"/>
  <c r="M305" i="6"/>
  <c r="N305" i="6"/>
  <c r="O305" i="6"/>
  <c r="P305" i="6"/>
  <c r="Q305" i="6"/>
  <c r="R305" i="6"/>
  <c r="S305" i="6"/>
  <c r="T305" i="6"/>
  <c r="U305" i="6"/>
  <c r="V305" i="6"/>
  <c r="W305" i="6"/>
  <c r="X305" i="6"/>
  <c r="Y305" i="6"/>
  <c r="Z305" i="6"/>
  <c r="F306" i="6"/>
  <c r="G306" i="6"/>
  <c r="H306" i="6"/>
  <c r="I306" i="6"/>
  <c r="J306" i="6"/>
  <c r="K306" i="6"/>
  <c r="L306" i="6"/>
  <c r="M306" i="6"/>
  <c r="N306" i="6"/>
  <c r="O306" i="6"/>
  <c r="P306" i="6"/>
  <c r="Q306" i="6"/>
  <c r="R306" i="6"/>
  <c r="S306" i="6"/>
  <c r="T306" i="6"/>
  <c r="U306" i="6"/>
  <c r="V306" i="6"/>
  <c r="W306" i="6"/>
  <c r="X306" i="6"/>
  <c r="Y306" i="6"/>
  <c r="Z306" i="6"/>
  <c r="F307" i="6"/>
  <c r="G307" i="6"/>
  <c r="H307" i="6"/>
  <c r="I307" i="6"/>
  <c r="J307" i="6"/>
  <c r="K307" i="6"/>
  <c r="L307" i="6"/>
  <c r="M307" i="6"/>
  <c r="N307" i="6"/>
  <c r="O307" i="6"/>
  <c r="P307" i="6"/>
  <c r="Q307" i="6"/>
  <c r="R307" i="6"/>
  <c r="S307" i="6"/>
  <c r="T307" i="6"/>
  <c r="U307" i="6"/>
  <c r="V307" i="6"/>
  <c r="W307" i="6"/>
  <c r="X307" i="6"/>
  <c r="Y307" i="6"/>
  <c r="Z307" i="6"/>
  <c r="F308" i="6"/>
  <c r="G308" i="6"/>
  <c r="H308" i="6"/>
  <c r="I308" i="6"/>
  <c r="J308" i="6"/>
  <c r="K308" i="6"/>
  <c r="L308" i="6"/>
  <c r="M308" i="6"/>
  <c r="N308" i="6"/>
  <c r="O308" i="6"/>
  <c r="P308" i="6"/>
  <c r="Q308" i="6"/>
  <c r="R308" i="6"/>
  <c r="S308" i="6"/>
  <c r="T308" i="6"/>
  <c r="U308" i="6"/>
  <c r="V308" i="6"/>
  <c r="W308" i="6"/>
  <c r="X308" i="6"/>
  <c r="Y308" i="6"/>
  <c r="Z308" i="6"/>
  <c r="F309" i="6"/>
  <c r="G309" i="6"/>
  <c r="H309" i="6"/>
  <c r="I309" i="6"/>
  <c r="J309" i="6"/>
  <c r="K309" i="6"/>
  <c r="L309" i="6"/>
  <c r="M309" i="6"/>
  <c r="N309" i="6"/>
  <c r="O309" i="6"/>
  <c r="P309" i="6"/>
  <c r="Q309" i="6"/>
  <c r="R309" i="6"/>
  <c r="S309" i="6"/>
  <c r="T309" i="6"/>
  <c r="U309" i="6"/>
  <c r="V309" i="6"/>
  <c r="W309" i="6"/>
  <c r="X309" i="6"/>
  <c r="Y309" i="6"/>
  <c r="Z309" i="6"/>
  <c r="F310" i="6"/>
  <c r="G310" i="6"/>
  <c r="H310" i="6"/>
  <c r="I310" i="6"/>
  <c r="J310" i="6"/>
  <c r="K310" i="6"/>
  <c r="L310" i="6"/>
  <c r="M310" i="6"/>
  <c r="N310" i="6"/>
  <c r="O310" i="6"/>
  <c r="P310" i="6"/>
  <c r="Q310" i="6"/>
  <c r="R310" i="6"/>
  <c r="S310" i="6"/>
  <c r="T310" i="6"/>
  <c r="U310" i="6"/>
  <c r="V310" i="6"/>
  <c r="W310" i="6"/>
  <c r="X310" i="6"/>
  <c r="Y310" i="6"/>
  <c r="Z310" i="6"/>
  <c r="F311" i="6"/>
  <c r="G311" i="6"/>
  <c r="H311" i="6"/>
  <c r="I311" i="6"/>
  <c r="J311" i="6"/>
  <c r="K311" i="6"/>
  <c r="L311" i="6"/>
  <c r="M311" i="6"/>
  <c r="N311" i="6"/>
  <c r="O311" i="6"/>
  <c r="P311" i="6"/>
  <c r="Q311" i="6"/>
  <c r="R311" i="6"/>
  <c r="S311" i="6"/>
  <c r="T311" i="6"/>
  <c r="U311" i="6"/>
  <c r="V311" i="6"/>
  <c r="W311" i="6"/>
  <c r="X311" i="6"/>
  <c r="Y311" i="6"/>
  <c r="Z311" i="6"/>
  <c r="F312" i="6"/>
  <c r="G312" i="6"/>
  <c r="H312" i="6"/>
  <c r="I312" i="6"/>
  <c r="J312" i="6"/>
  <c r="K312" i="6"/>
  <c r="L312" i="6"/>
  <c r="M312" i="6"/>
  <c r="N312" i="6"/>
  <c r="O312" i="6"/>
  <c r="P312" i="6"/>
  <c r="Q312" i="6"/>
  <c r="R312" i="6"/>
  <c r="S312" i="6"/>
  <c r="T312" i="6"/>
  <c r="U312" i="6"/>
  <c r="V312" i="6"/>
  <c r="W312" i="6"/>
  <c r="X312" i="6"/>
  <c r="Y312" i="6"/>
  <c r="Z312" i="6"/>
  <c r="F313" i="6"/>
  <c r="G313" i="6"/>
  <c r="H313" i="6"/>
  <c r="I313" i="6"/>
  <c r="J313" i="6"/>
  <c r="K313" i="6"/>
  <c r="L313" i="6"/>
  <c r="M313" i="6"/>
  <c r="N313" i="6"/>
  <c r="O313" i="6"/>
  <c r="P313" i="6"/>
  <c r="Q313" i="6"/>
  <c r="R313" i="6"/>
  <c r="S313" i="6"/>
  <c r="T313" i="6"/>
  <c r="U313" i="6"/>
  <c r="V313" i="6"/>
  <c r="W313" i="6"/>
  <c r="X313" i="6"/>
  <c r="Y313" i="6"/>
  <c r="Z313" i="6"/>
  <c r="F314" i="6"/>
  <c r="G314" i="6"/>
  <c r="H314" i="6"/>
  <c r="I314" i="6"/>
  <c r="J314" i="6"/>
  <c r="K314" i="6"/>
  <c r="L314" i="6"/>
  <c r="M314" i="6"/>
  <c r="N314" i="6"/>
  <c r="O314" i="6"/>
  <c r="P314" i="6"/>
  <c r="Q314" i="6"/>
  <c r="R314" i="6"/>
  <c r="S314" i="6"/>
  <c r="T314" i="6"/>
  <c r="U314" i="6"/>
  <c r="V314" i="6"/>
  <c r="W314" i="6"/>
  <c r="X314" i="6"/>
  <c r="Y314" i="6"/>
  <c r="Z314" i="6"/>
  <c r="F315" i="6"/>
  <c r="G315" i="6"/>
  <c r="H315" i="6"/>
  <c r="I315" i="6"/>
  <c r="J315" i="6"/>
  <c r="K315" i="6"/>
  <c r="L315" i="6"/>
  <c r="M315" i="6"/>
  <c r="N315" i="6"/>
  <c r="O315" i="6"/>
  <c r="P315" i="6"/>
  <c r="Q315" i="6"/>
  <c r="R315" i="6"/>
  <c r="S315" i="6"/>
  <c r="T315" i="6"/>
  <c r="U315" i="6"/>
  <c r="V315" i="6"/>
  <c r="W315" i="6"/>
  <c r="X315" i="6"/>
  <c r="Y315" i="6"/>
  <c r="Z315" i="6"/>
  <c r="F316" i="6"/>
  <c r="G316" i="6"/>
  <c r="H316" i="6"/>
  <c r="I316" i="6"/>
  <c r="J316" i="6"/>
  <c r="K316" i="6"/>
  <c r="L316" i="6"/>
  <c r="M316" i="6"/>
  <c r="N316" i="6"/>
  <c r="O316" i="6"/>
  <c r="P316" i="6"/>
  <c r="Q316" i="6"/>
  <c r="R316" i="6"/>
  <c r="S316" i="6"/>
  <c r="T316" i="6"/>
  <c r="U316" i="6"/>
  <c r="V316" i="6"/>
  <c r="W316" i="6"/>
  <c r="X316" i="6"/>
  <c r="Y316" i="6"/>
  <c r="Z316" i="6"/>
  <c r="F317" i="6"/>
  <c r="G317" i="6"/>
  <c r="H317" i="6"/>
  <c r="I317" i="6"/>
  <c r="J317" i="6"/>
  <c r="K317" i="6"/>
  <c r="L317" i="6"/>
  <c r="M317" i="6"/>
  <c r="N317" i="6"/>
  <c r="O317" i="6"/>
  <c r="P317" i="6"/>
  <c r="Q317" i="6"/>
  <c r="R317" i="6"/>
  <c r="S317" i="6"/>
  <c r="T317" i="6"/>
  <c r="U317" i="6"/>
  <c r="V317" i="6"/>
  <c r="W317" i="6"/>
  <c r="X317" i="6"/>
  <c r="Y317" i="6"/>
  <c r="Z317" i="6"/>
  <c r="F318" i="6"/>
  <c r="G318" i="6"/>
  <c r="H318" i="6"/>
  <c r="I318" i="6"/>
  <c r="J318" i="6"/>
  <c r="K318" i="6"/>
  <c r="L318" i="6"/>
  <c r="M318" i="6"/>
  <c r="N318" i="6"/>
  <c r="O318" i="6"/>
  <c r="P318" i="6"/>
  <c r="Q318" i="6"/>
  <c r="R318" i="6"/>
  <c r="S318" i="6"/>
  <c r="T318" i="6"/>
  <c r="U318" i="6"/>
  <c r="V318" i="6"/>
  <c r="W318" i="6"/>
  <c r="X318" i="6"/>
  <c r="Y318" i="6"/>
  <c r="Z318" i="6"/>
  <c r="F319" i="6"/>
  <c r="G319" i="6"/>
  <c r="H319" i="6"/>
  <c r="I319" i="6"/>
  <c r="J319" i="6"/>
  <c r="K319" i="6"/>
  <c r="L319" i="6"/>
  <c r="M319" i="6"/>
  <c r="N319" i="6"/>
  <c r="O319" i="6"/>
  <c r="P319" i="6"/>
  <c r="Q319" i="6"/>
  <c r="R319" i="6"/>
  <c r="S319" i="6"/>
  <c r="T319" i="6"/>
  <c r="U319" i="6"/>
  <c r="V319" i="6"/>
  <c r="W319" i="6"/>
  <c r="X319" i="6"/>
  <c r="Y319" i="6"/>
  <c r="Z319" i="6"/>
  <c r="F320" i="6"/>
  <c r="G320" i="6"/>
  <c r="H320" i="6"/>
  <c r="I320" i="6"/>
  <c r="J320" i="6"/>
  <c r="K320" i="6"/>
  <c r="L320" i="6"/>
  <c r="M320" i="6"/>
  <c r="N320" i="6"/>
  <c r="O320" i="6"/>
  <c r="P320" i="6"/>
  <c r="Q320" i="6"/>
  <c r="R320" i="6"/>
  <c r="S320" i="6"/>
  <c r="T320" i="6"/>
  <c r="U320" i="6"/>
  <c r="V320" i="6"/>
  <c r="W320" i="6"/>
  <c r="X320" i="6"/>
  <c r="Y320" i="6"/>
  <c r="Z320" i="6"/>
  <c r="F321" i="6"/>
  <c r="G321" i="6"/>
  <c r="H321" i="6"/>
  <c r="I321" i="6"/>
  <c r="J321" i="6"/>
  <c r="K321" i="6"/>
  <c r="L321" i="6"/>
  <c r="M321" i="6"/>
  <c r="N321" i="6"/>
  <c r="O321" i="6"/>
  <c r="P321" i="6"/>
  <c r="Q321" i="6"/>
  <c r="R321" i="6"/>
  <c r="S321" i="6"/>
  <c r="T321" i="6"/>
  <c r="U321" i="6"/>
  <c r="V321" i="6"/>
  <c r="W321" i="6"/>
  <c r="X321" i="6"/>
  <c r="Y321" i="6"/>
  <c r="Z321" i="6"/>
  <c r="F322" i="6"/>
  <c r="G322" i="6"/>
  <c r="H322" i="6"/>
  <c r="I322" i="6"/>
  <c r="J322" i="6"/>
  <c r="K322" i="6"/>
  <c r="L322" i="6"/>
  <c r="M322" i="6"/>
  <c r="N322" i="6"/>
  <c r="O322" i="6"/>
  <c r="P322" i="6"/>
  <c r="Q322" i="6"/>
  <c r="R322" i="6"/>
  <c r="S322" i="6"/>
  <c r="T322" i="6"/>
  <c r="U322" i="6"/>
  <c r="V322" i="6"/>
  <c r="W322" i="6"/>
  <c r="X322" i="6"/>
  <c r="Y322" i="6"/>
  <c r="Z322" i="6"/>
  <c r="F323" i="6"/>
  <c r="G323" i="6"/>
  <c r="H323" i="6"/>
  <c r="I323" i="6"/>
  <c r="J323" i="6"/>
  <c r="K323" i="6"/>
  <c r="L323" i="6"/>
  <c r="M323" i="6"/>
  <c r="N323" i="6"/>
  <c r="O323" i="6"/>
  <c r="P323" i="6"/>
  <c r="Q323" i="6"/>
  <c r="R323" i="6"/>
  <c r="S323" i="6"/>
  <c r="T323" i="6"/>
  <c r="U323" i="6"/>
  <c r="V323" i="6"/>
  <c r="W323" i="6"/>
  <c r="X323" i="6"/>
  <c r="Y323" i="6"/>
  <c r="Z323" i="6"/>
  <c r="F324" i="6"/>
  <c r="G324" i="6"/>
  <c r="H324" i="6"/>
  <c r="I324" i="6"/>
  <c r="J324" i="6"/>
  <c r="K324" i="6"/>
  <c r="L324" i="6"/>
  <c r="M324" i="6"/>
  <c r="N324" i="6"/>
  <c r="O324" i="6"/>
  <c r="P324" i="6"/>
  <c r="Q324" i="6"/>
  <c r="R324" i="6"/>
  <c r="S324" i="6"/>
  <c r="T324" i="6"/>
  <c r="U324" i="6"/>
  <c r="V324" i="6"/>
  <c r="W324" i="6"/>
  <c r="X324" i="6"/>
  <c r="Y324" i="6"/>
  <c r="Z324" i="6"/>
  <c r="F325" i="6"/>
  <c r="G325" i="6"/>
  <c r="H325" i="6"/>
  <c r="I325" i="6"/>
  <c r="J325" i="6"/>
  <c r="K325" i="6"/>
  <c r="L325" i="6"/>
  <c r="M325" i="6"/>
  <c r="N325" i="6"/>
  <c r="O325" i="6"/>
  <c r="P325" i="6"/>
  <c r="Q325" i="6"/>
  <c r="R325" i="6"/>
  <c r="S325" i="6"/>
  <c r="T325" i="6"/>
  <c r="U325" i="6"/>
  <c r="V325" i="6"/>
  <c r="W325" i="6"/>
  <c r="X325" i="6"/>
  <c r="Y325" i="6"/>
  <c r="Z325" i="6"/>
  <c r="F326" i="6"/>
  <c r="G326" i="6"/>
  <c r="H326" i="6"/>
  <c r="I326" i="6"/>
  <c r="J326" i="6"/>
  <c r="K326" i="6"/>
  <c r="L326" i="6"/>
  <c r="M326" i="6"/>
  <c r="N326" i="6"/>
  <c r="O326" i="6"/>
  <c r="P326" i="6"/>
  <c r="Q326" i="6"/>
  <c r="R326" i="6"/>
  <c r="S326" i="6"/>
  <c r="T326" i="6"/>
  <c r="U326" i="6"/>
  <c r="V326" i="6"/>
  <c r="W326" i="6"/>
  <c r="X326" i="6"/>
  <c r="Y326" i="6"/>
  <c r="Z326" i="6"/>
  <c r="F327" i="6"/>
  <c r="G327" i="6"/>
  <c r="H327" i="6"/>
  <c r="I327" i="6"/>
  <c r="J327" i="6"/>
  <c r="K327" i="6"/>
  <c r="L327" i="6"/>
  <c r="M327" i="6"/>
  <c r="N327" i="6"/>
  <c r="O327" i="6"/>
  <c r="P327" i="6"/>
  <c r="Q327" i="6"/>
  <c r="R327" i="6"/>
  <c r="S327" i="6"/>
  <c r="T327" i="6"/>
  <c r="U327" i="6"/>
  <c r="V327" i="6"/>
  <c r="W327" i="6"/>
  <c r="X327" i="6"/>
  <c r="Y327" i="6"/>
  <c r="Z327" i="6"/>
  <c r="F328" i="6"/>
  <c r="G328" i="6"/>
  <c r="H328" i="6"/>
  <c r="I328" i="6"/>
  <c r="J328" i="6"/>
  <c r="K328" i="6"/>
  <c r="L328" i="6"/>
  <c r="M328" i="6"/>
  <c r="N328" i="6"/>
  <c r="O328" i="6"/>
  <c r="P328" i="6"/>
  <c r="Q328" i="6"/>
  <c r="R328" i="6"/>
  <c r="S328" i="6"/>
  <c r="T328" i="6"/>
  <c r="U328" i="6"/>
  <c r="V328" i="6"/>
  <c r="W328" i="6"/>
  <c r="X328" i="6"/>
  <c r="Y328" i="6"/>
  <c r="Z328" i="6"/>
  <c r="F329" i="6"/>
  <c r="G329" i="6"/>
  <c r="H329" i="6"/>
  <c r="I329" i="6"/>
  <c r="J329" i="6"/>
  <c r="K329" i="6"/>
  <c r="L329" i="6"/>
  <c r="M329" i="6"/>
  <c r="N329" i="6"/>
  <c r="O329" i="6"/>
  <c r="P329" i="6"/>
  <c r="Q329" i="6"/>
  <c r="R329" i="6"/>
  <c r="S329" i="6"/>
  <c r="T329" i="6"/>
  <c r="U329" i="6"/>
  <c r="V329" i="6"/>
  <c r="W329" i="6"/>
  <c r="X329" i="6"/>
  <c r="Y329" i="6"/>
  <c r="Z329" i="6"/>
  <c r="F330" i="6"/>
  <c r="G330" i="6"/>
  <c r="H330" i="6"/>
  <c r="I330" i="6"/>
  <c r="J330" i="6"/>
  <c r="K330" i="6"/>
  <c r="L330" i="6"/>
  <c r="M330" i="6"/>
  <c r="N330" i="6"/>
  <c r="O330" i="6"/>
  <c r="P330" i="6"/>
  <c r="Q330" i="6"/>
  <c r="R330" i="6"/>
  <c r="S330" i="6"/>
  <c r="T330" i="6"/>
  <c r="U330" i="6"/>
  <c r="V330" i="6"/>
  <c r="W330" i="6"/>
  <c r="X330" i="6"/>
  <c r="Y330" i="6"/>
  <c r="Z330" i="6"/>
  <c r="F331" i="6"/>
  <c r="G331" i="6"/>
  <c r="H331" i="6"/>
  <c r="I331" i="6"/>
  <c r="J331" i="6"/>
  <c r="K331" i="6"/>
  <c r="L331" i="6"/>
  <c r="M331" i="6"/>
  <c r="N331" i="6"/>
  <c r="O331" i="6"/>
  <c r="P331" i="6"/>
  <c r="Q331" i="6"/>
  <c r="R331" i="6"/>
  <c r="S331" i="6"/>
  <c r="T331" i="6"/>
  <c r="U331" i="6"/>
  <c r="V331" i="6"/>
  <c r="W331" i="6"/>
  <c r="X331" i="6"/>
  <c r="Y331" i="6"/>
  <c r="Z331" i="6"/>
  <c r="F332" i="6"/>
  <c r="G332" i="6"/>
  <c r="H332" i="6"/>
  <c r="I332" i="6"/>
  <c r="J332" i="6"/>
  <c r="K332" i="6"/>
  <c r="L332" i="6"/>
  <c r="M332" i="6"/>
  <c r="N332" i="6"/>
  <c r="O332" i="6"/>
  <c r="P332" i="6"/>
  <c r="Q332" i="6"/>
  <c r="R332" i="6"/>
  <c r="S332" i="6"/>
  <c r="T332" i="6"/>
  <c r="U332" i="6"/>
  <c r="V332" i="6"/>
  <c r="W332" i="6"/>
  <c r="X332" i="6"/>
  <c r="Y332" i="6"/>
  <c r="Z332" i="6"/>
  <c r="F333" i="6"/>
  <c r="G333" i="6"/>
  <c r="H333" i="6"/>
  <c r="I333" i="6"/>
  <c r="J333" i="6"/>
  <c r="K333" i="6"/>
  <c r="L333" i="6"/>
  <c r="M333" i="6"/>
  <c r="N333" i="6"/>
  <c r="O333" i="6"/>
  <c r="P333" i="6"/>
  <c r="Q333" i="6"/>
  <c r="R333" i="6"/>
  <c r="S333" i="6"/>
  <c r="T333" i="6"/>
  <c r="U333" i="6"/>
  <c r="V333" i="6"/>
  <c r="W333" i="6"/>
  <c r="X333" i="6"/>
  <c r="Y333" i="6"/>
  <c r="Z333" i="6"/>
  <c r="F334" i="6"/>
  <c r="G334" i="6"/>
  <c r="H334" i="6"/>
  <c r="I334" i="6"/>
  <c r="J334" i="6"/>
  <c r="K334" i="6"/>
  <c r="L334" i="6"/>
  <c r="M334" i="6"/>
  <c r="N334" i="6"/>
  <c r="O334" i="6"/>
  <c r="P334" i="6"/>
  <c r="Q334" i="6"/>
  <c r="R334" i="6"/>
  <c r="S334" i="6"/>
  <c r="T334" i="6"/>
  <c r="U334" i="6"/>
  <c r="V334" i="6"/>
  <c r="W334" i="6"/>
  <c r="X334" i="6"/>
  <c r="Y334" i="6"/>
  <c r="Z334" i="6"/>
  <c r="F335" i="6"/>
  <c r="G335" i="6"/>
  <c r="H335" i="6"/>
  <c r="I335" i="6"/>
  <c r="J335" i="6"/>
  <c r="K335" i="6"/>
  <c r="L335" i="6"/>
  <c r="M335" i="6"/>
  <c r="N335" i="6"/>
  <c r="O335" i="6"/>
  <c r="P335" i="6"/>
  <c r="Q335" i="6"/>
  <c r="R335" i="6"/>
  <c r="S335" i="6"/>
  <c r="T335" i="6"/>
  <c r="U335" i="6"/>
  <c r="V335" i="6"/>
  <c r="W335" i="6"/>
  <c r="X335" i="6"/>
  <c r="Y335" i="6"/>
  <c r="Z335" i="6"/>
  <c r="F336" i="6"/>
  <c r="G336" i="6"/>
  <c r="H336" i="6"/>
  <c r="I336" i="6"/>
  <c r="J336" i="6"/>
  <c r="K336" i="6"/>
  <c r="L336" i="6"/>
  <c r="M336" i="6"/>
  <c r="N336" i="6"/>
  <c r="O336" i="6"/>
  <c r="P336" i="6"/>
  <c r="Q336" i="6"/>
  <c r="R336" i="6"/>
  <c r="S336" i="6"/>
  <c r="T336" i="6"/>
  <c r="U336" i="6"/>
  <c r="V336" i="6"/>
  <c r="W336" i="6"/>
  <c r="X336" i="6"/>
  <c r="Y336" i="6"/>
  <c r="Z336" i="6"/>
  <c r="F337" i="6"/>
  <c r="G337" i="6"/>
  <c r="H337" i="6"/>
  <c r="I337" i="6"/>
  <c r="J337" i="6"/>
  <c r="K337" i="6"/>
  <c r="L337" i="6"/>
  <c r="M337" i="6"/>
  <c r="N337" i="6"/>
  <c r="O337" i="6"/>
  <c r="P337" i="6"/>
  <c r="Q337" i="6"/>
  <c r="R337" i="6"/>
  <c r="S337" i="6"/>
  <c r="T337" i="6"/>
  <c r="U337" i="6"/>
  <c r="V337" i="6"/>
  <c r="W337" i="6"/>
  <c r="X337" i="6"/>
  <c r="Y337" i="6"/>
  <c r="Z337" i="6"/>
  <c r="F338" i="6"/>
  <c r="G338" i="6"/>
  <c r="H338" i="6"/>
  <c r="I338" i="6"/>
  <c r="J338" i="6"/>
  <c r="K338" i="6"/>
  <c r="L338" i="6"/>
  <c r="M338" i="6"/>
  <c r="N338" i="6"/>
  <c r="O338" i="6"/>
  <c r="P338" i="6"/>
  <c r="Q338" i="6"/>
  <c r="R338" i="6"/>
  <c r="S338" i="6"/>
  <c r="T338" i="6"/>
  <c r="U338" i="6"/>
  <c r="V338" i="6"/>
  <c r="W338" i="6"/>
  <c r="X338" i="6"/>
  <c r="Y338" i="6"/>
  <c r="Z338" i="6"/>
  <c r="F339" i="6"/>
  <c r="G339" i="6"/>
  <c r="H339" i="6"/>
  <c r="I339" i="6"/>
  <c r="J339" i="6"/>
  <c r="K339" i="6"/>
  <c r="L339" i="6"/>
  <c r="M339" i="6"/>
  <c r="N339" i="6"/>
  <c r="O339" i="6"/>
  <c r="P339" i="6"/>
  <c r="Q339" i="6"/>
  <c r="R339" i="6"/>
  <c r="S339" i="6"/>
  <c r="T339" i="6"/>
  <c r="U339" i="6"/>
  <c r="V339" i="6"/>
  <c r="W339" i="6"/>
  <c r="X339" i="6"/>
  <c r="Y339" i="6"/>
  <c r="Z339" i="6"/>
  <c r="F340" i="6"/>
  <c r="G340" i="6"/>
  <c r="H340" i="6"/>
  <c r="I340" i="6"/>
  <c r="J340" i="6"/>
  <c r="K340" i="6"/>
  <c r="L340" i="6"/>
  <c r="M340" i="6"/>
  <c r="N340" i="6"/>
  <c r="O340" i="6"/>
  <c r="P340" i="6"/>
  <c r="Q340" i="6"/>
  <c r="R340" i="6"/>
  <c r="S340" i="6"/>
  <c r="T340" i="6"/>
  <c r="U340" i="6"/>
  <c r="V340" i="6"/>
  <c r="W340" i="6"/>
  <c r="X340" i="6"/>
  <c r="Y340" i="6"/>
  <c r="Z340" i="6"/>
  <c r="F341" i="6"/>
  <c r="G341" i="6"/>
  <c r="H341" i="6"/>
  <c r="I341" i="6"/>
  <c r="J341" i="6"/>
  <c r="K341" i="6"/>
  <c r="L341" i="6"/>
  <c r="M341" i="6"/>
  <c r="N341" i="6"/>
  <c r="O341" i="6"/>
  <c r="P341" i="6"/>
  <c r="Q341" i="6"/>
  <c r="R341" i="6"/>
  <c r="S341" i="6"/>
  <c r="T341" i="6"/>
  <c r="U341" i="6"/>
  <c r="V341" i="6"/>
  <c r="W341" i="6"/>
  <c r="X341" i="6"/>
  <c r="Y341" i="6"/>
  <c r="Z341" i="6"/>
  <c r="F342" i="6"/>
  <c r="G342" i="6"/>
  <c r="H342" i="6"/>
  <c r="I342" i="6"/>
  <c r="J342" i="6"/>
  <c r="K342" i="6"/>
  <c r="L342" i="6"/>
  <c r="M342" i="6"/>
  <c r="N342" i="6"/>
  <c r="O342" i="6"/>
  <c r="P342" i="6"/>
  <c r="Q342" i="6"/>
  <c r="R342" i="6"/>
  <c r="S342" i="6"/>
  <c r="T342" i="6"/>
  <c r="U342" i="6"/>
  <c r="V342" i="6"/>
  <c r="W342" i="6"/>
  <c r="X342" i="6"/>
  <c r="Y342" i="6"/>
  <c r="Z342" i="6"/>
  <c r="F343" i="6"/>
  <c r="G343" i="6"/>
  <c r="H343" i="6"/>
  <c r="I343" i="6"/>
  <c r="J343" i="6"/>
  <c r="K343" i="6"/>
  <c r="L343" i="6"/>
  <c r="M343" i="6"/>
  <c r="N343" i="6"/>
  <c r="O343" i="6"/>
  <c r="P343" i="6"/>
  <c r="Q343" i="6"/>
  <c r="R343" i="6"/>
  <c r="S343" i="6"/>
  <c r="T343" i="6"/>
  <c r="U343" i="6"/>
  <c r="V343" i="6"/>
  <c r="W343" i="6"/>
  <c r="X343" i="6"/>
  <c r="Y343" i="6"/>
  <c r="Z343" i="6"/>
  <c r="F344" i="6"/>
  <c r="G344" i="6"/>
  <c r="H344" i="6"/>
  <c r="I344" i="6"/>
  <c r="J344" i="6"/>
  <c r="K344" i="6"/>
  <c r="L344" i="6"/>
  <c r="M344" i="6"/>
  <c r="N344" i="6"/>
  <c r="O344" i="6"/>
  <c r="P344" i="6"/>
  <c r="Q344" i="6"/>
  <c r="R344" i="6"/>
  <c r="S344" i="6"/>
  <c r="T344" i="6"/>
  <c r="U344" i="6"/>
  <c r="V344" i="6"/>
  <c r="W344" i="6"/>
  <c r="X344" i="6"/>
  <c r="Y344" i="6"/>
  <c r="Z344" i="6"/>
  <c r="F345" i="6"/>
  <c r="G345" i="6"/>
  <c r="H345" i="6"/>
  <c r="I345" i="6"/>
  <c r="J345" i="6"/>
  <c r="K345" i="6"/>
  <c r="L345" i="6"/>
  <c r="M345" i="6"/>
  <c r="N345" i="6"/>
  <c r="O345" i="6"/>
  <c r="P345" i="6"/>
  <c r="Q345" i="6"/>
  <c r="R345" i="6"/>
  <c r="S345" i="6"/>
  <c r="T345" i="6"/>
  <c r="U345" i="6"/>
  <c r="V345" i="6"/>
  <c r="W345" i="6"/>
  <c r="X345" i="6"/>
  <c r="Y345" i="6"/>
  <c r="Z345" i="6"/>
  <c r="F346" i="6"/>
  <c r="G346" i="6"/>
  <c r="H346" i="6"/>
  <c r="I346" i="6"/>
  <c r="J346" i="6"/>
  <c r="K346" i="6"/>
  <c r="L346" i="6"/>
  <c r="M346" i="6"/>
  <c r="N346" i="6"/>
  <c r="O346" i="6"/>
  <c r="P346" i="6"/>
  <c r="Q346" i="6"/>
  <c r="R346" i="6"/>
  <c r="S346" i="6"/>
  <c r="T346" i="6"/>
  <c r="U346" i="6"/>
  <c r="V346" i="6"/>
  <c r="W346" i="6"/>
  <c r="X346" i="6"/>
  <c r="Y346" i="6"/>
  <c r="Z346" i="6"/>
  <c r="F347" i="6"/>
  <c r="G347" i="6"/>
  <c r="H347" i="6"/>
  <c r="I347" i="6"/>
  <c r="J347" i="6"/>
  <c r="K347" i="6"/>
  <c r="L347" i="6"/>
  <c r="M347" i="6"/>
  <c r="N347" i="6"/>
  <c r="O347" i="6"/>
  <c r="P347" i="6"/>
  <c r="Q347" i="6"/>
  <c r="R347" i="6"/>
  <c r="S347" i="6"/>
  <c r="T347" i="6"/>
  <c r="U347" i="6"/>
  <c r="V347" i="6"/>
  <c r="W347" i="6"/>
  <c r="X347" i="6"/>
  <c r="Y347" i="6"/>
  <c r="Z347" i="6"/>
  <c r="F348" i="6"/>
  <c r="G348" i="6"/>
  <c r="H348" i="6"/>
  <c r="I348" i="6"/>
  <c r="J348" i="6"/>
  <c r="K348" i="6"/>
  <c r="L348" i="6"/>
  <c r="M348" i="6"/>
  <c r="N348" i="6"/>
  <c r="O348" i="6"/>
  <c r="P348" i="6"/>
  <c r="Q348" i="6"/>
  <c r="R348" i="6"/>
  <c r="S348" i="6"/>
  <c r="T348" i="6"/>
  <c r="U348" i="6"/>
  <c r="V348" i="6"/>
  <c r="W348" i="6"/>
  <c r="X348" i="6"/>
  <c r="Y348" i="6"/>
  <c r="Z348" i="6"/>
  <c r="F349" i="6"/>
  <c r="G349" i="6"/>
  <c r="H349" i="6"/>
  <c r="I349" i="6"/>
  <c r="J349" i="6"/>
  <c r="K349" i="6"/>
  <c r="L349" i="6"/>
  <c r="M349" i="6"/>
  <c r="N349" i="6"/>
  <c r="O349" i="6"/>
  <c r="P349" i="6"/>
  <c r="Q349" i="6"/>
  <c r="R349" i="6"/>
  <c r="S349" i="6"/>
  <c r="T349" i="6"/>
  <c r="U349" i="6"/>
  <c r="V349" i="6"/>
  <c r="W349" i="6"/>
  <c r="X349" i="6"/>
  <c r="Y349" i="6"/>
  <c r="Z349" i="6"/>
  <c r="F350" i="6"/>
  <c r="G350" i="6"/>
  <c r="H350" i="6"/>
  <c r="I350" i="6"/>
  <c r="J350" i="6"/>
  <c r="K350" i="6"/>
  <c r="L350" i="6"/>
  <c r="M350" i="6"/>
  <c r="N350" i="6"/>
  <c r="O350" i="6"/>
  <c r="P350" i="6"/>
  <c r="Q350" i="6"/>
  <c r="R350" i="6"/>
  <c r="S350" i="6"/>
  <c r="T350" i="6"/>
  <c r="U350" i="6"/>
  <c r="V350" i="6"/>
  <c r="W350" i="6"/>
  <c r="X350" i="6"/>
  <c r="Y350" i="6"/>
  <c r="Z350" i="6"/>
  <c r="F351" i="6"/>
  <c r="G351" i="6"/>
  <c r="H351" i="6"/>
  <c r="I351" i="6"/>
  <c r="J351" i="6"/>
  <c r="K351" i="6"/>
  <c r="L351" i="6"/>
  <c r="M351" i="6"/>
  <c r="N351" i="6"/>
  <c r="O351" i="6"/>
  <c r="P351" i="6"/>
  <c r="Q351" i="6"/>
  <c r="R351" i="6"/>
  <c r="S351" i="6"/>
  <c r="T351" i="6"/>
  <c r="U351" i="6"/>
  <c r="V351" i="6"/>
  <c r="W351" i="6"/>
  <c r="X351" i="6"/>
  <c r="Y351" i="6"/>
  <c r="Z351" i="6"/>
  <c r="F352" i="6"/>
  <c r="G352" i="6"/>
  <c r="H352" i="6"/>
  <c r="I352" i="6"/>
  <c r="J352" i="6"/>
  <c r="K352" i="6"/>
  <c r="L352" i="6"/>
  <c r="M352" i="6"/>
  <c r="N352" i="6"/>
  <c r="O352" i="6"/>
  <c r="P352" i="6"/>
  <c r="Q352" i="6"/>
  <c r="R352" i="6"/>
  <c r="S352" i="6"/>
  <c r="T352" i="6"/>
  <c r="U352" i="6"/>
  <c r="V352" i="6"/>
  <c r="W352" i="6"/>
  <c r="X352" i="6"/>
  <c r="Y352" i="6"/>
  <c r="Z352" i="6"/>
  <c r="F353" i="6"/>
  <c r="G353" i="6"/>
  <c r="H353" i="6"/>
  <c r="I353" i="6"/>
  <c r="J353" i="6"/>
  <c r="K353" i="6"/>
  <c r="L353" i="6"/>
  <c r="M353" i="6"/>
  <c r="N353" i="6"/>
  <c r="O353" i="6"/>
  <c r="P353" i="6"/>
  <c r="Q353" i="6"/>
  <c r="R353" i="6"/>
  <c r="S353" i="6"/>
  <c r="T353" i="6"/>
  <c r="U353" i="6"/>
  <c r="V353" i="6"/>
  <c r="W353" i="6"/>
  <c r="X353" i="6"/>
  <c r="Y353" i="6"/>
  <c r="Z353" i="6"/>
  <c r="F354" i="6"/>
  <c r="G354" i="6"/>
  <c r="H354" i="6"/>
  <c r="I354" i="6"/>
  <c r="J354" i="6"/>
  <c r="K354" i="6"/>
  <c r="L354" i="6"/>
  <c r="M354" i="6"/>
  <c r="N354" i="6"/>
  <c r="O354" i="6"/>
  <c r="P354" i="6"/>
  <c r="Q354" i="6"/>
  <c r="R354" i="6"/>
  <c r="S354" i="6"/>
  <c r="T354" i="6"/>
  <c r="U354" i="6"/>
  <c r="V354" i="6"/>
  <c r="W354" i="6"/>
  <c r="X354" i="6"/>
  <c r="Y354" i="6"/>
  <c r="Z354" i="6"/>
  <c r="F355" i="6"/>
  <c r="G355" i="6"/>
  <c r="H355" i="6"/>
  <c r="I355" i="6"/>
  <c r="J355" i="6"/>
  <c r="K355" i="6"/>
  <c r="L355" i="6"/>
  <c r="M355" i="6"/>
  <c r="N355" i="6"/>
  <c r="O355" i="6"/>
  <c r="P355" i="6"/>
  <c r="Q355" i="6"/>
  <c r="R355" i="6"/>
  <c r="S355" i="6"/>
  <c r="T355" i="6"/>
  <c r="U355" i="6"/>
  <c r="V355" i="6"/>
  <c r="W355" i="6"/>
  <c r="X355" i="6"/>
  <c r="Y355" i="6"/>
  <c r="Z355" i="6"/>
  <c r="F356" i="6"/>
  <c r="G356" i="6"/>
  <c r="H356" i="6"/>
  <c r="I356" i="6"/>
  <c r="J356" i="6"/>
  <c r="K356" i="6"/>
  <c r="L356" i="6"/>
  <c r="M356" i="6"/>
  <c r="N356" i="6"/>
  <c r="O356" i="6"/>
  <c r="P356" i="6"/>
  <c r="Q356" i="6"/>
  <c r="R356" i="6"/>
  <c r="S356" i="6"/>
  <c r="T356" i="6"/>
  <c r="U356" i="6"/>
  <c r="V356" i="6"/>
  <c r="W356" i="6"/>
  <c r="X356" i="6"/>
  <c r="Y356" i="6"/>
  <c r="Z356" i="6"/>
  <c r="F357" i="6"/>
  <c r="G357" i="6"/>
  <c r="H357" i="6"/>
  <c r="I357" i="6"/>
  <c r="J357" i="6"/>
  <c r="K357" i="6"/>
  <c r="L357" i="6"/>
  <c r="M357" i="6"/>
  <c r="N357" i="6"/>
  <c r="O357" i="6"/>
  <c r="P357" i="6"/>
  <c r="Q357" i="6"/>
  <c r="R357" i="6"/>
  <c r="S357" i="6"/>
  <c r="T357" i="6"/>
  <c r="U357" i="6"/>
  <c r="V357" i="6"/>
  <c r="W357" i="6"/>
  <c r="X357" i="6"/>
  <c r="Y357" i="6"/>
  <c r="Z357" i="6"/>
  <c r="F358" i="6"/>
  <c r="G358" i="6"/>
  <c r="H358" i="6"/>
  <c r="I358" i="6"/>
  <c r="J358" i="6"/>
  <c r="K358" i="6"/>
  <c r="L358" i="6"/>
  <c r="M358" i="6"/>
  <c r="N358" i="6"/>
  <c r="O358" i="6"/>
  <c r="P358" i="6"/>
  <c r="Q358" i="6"/>
  <c r="R358" i="6"/>
  <c r="S358" i="6"/>
  <c r="T358" i="6"/>
  <c r="U358" i="6"/>
  <c r="V358" i="6"/>
  <c r="W358" i="6"/>
  <c r="X358" i="6"/>
  <c r="Y358" i="6"/>
  <c r="Z358" i="6"/>
  <c r="F359" i="6"/>
  <c r="G359" i="6"/>
  <c r="H359" i="6"/>
  <c r="I359" i="6"/>
  <c r="J359" i="6"/>
  <c r="K359" i="6"/>
  <c r="L359" i="6"/>
  <c r="M359" i="6"/>
  <c r="N359" i="6"/>
  <c r="O359" i="6"/>
  <c r="P359" i="6"/>
  <c r="Q359" i="6"/>
  <c r="R359" i="6"/>
  <c r="S359" i="6"/>
  <c r="T359" i="6"/>
  <c r="U359" i="6"/>
  <c r="V359" i="6"/>
  <c r="W359" i="6"/>
  <c r="X359" i="6"/>
  <c r="Y359" i="6"/>
  <c r="Z359" i="6"/>
  <c r="F360" i="6"/>
  <c r="G360" i="6"/>
  <c r="H360" i="6"/>
  <c r="I360" i="6"/>
  <c r="J360" i="6"/>
  <c r="K360" i="6"/>
  <c r="L360" i="6"/>
  <c r="M360" i="6"/>
  <c r="N360" i="6"/>
  <c r="O360" i="6"/>
  <c r="P360" i="6"/>
  <c r="Q360" i="6"/>
  <c r="R360" i="6"/>
  <c r="S360" i="6"/>
  <c r="T360" i="6"/>
  <c r="U360" i="6"/>
  <c r="V360" i="6"/>
  <c r="W360" i="6"/>
  <c r="X360" i="6"/>
  <c r="Y360" i="6"/>
  <c r="Z360" i="6"/>
  <c r="F361" i="6"/>
  <c r="G361" i="6"/>
  <c r="H361" i="6"/>
  <c r="I361" i="6"/>
  <c r="J361" i="6"/>
  <c r="K361" i="6"/>
  <c r="L361" i="6"/>
  <c r="M361" i="6"/>
  <c r="N361" i="6"/>
  <c r="O361" i="6"/>
  <c r="P361" i="6"/>
  <c r="Q361" i="6"/>
  <c r="R361" i="6"/>
  <c r="S361" i="6"/>
  <c r="T361" i="6"/>
  <c r="U361" i="6"/>
  <c r="V361" i="6"/>
  <c r="W361" i="6"/>
  <c r="X361" i="6"/>
  <c r="Y361" i="6"/>
  <c r="Z361" i="6"/>
  <c r="F362" i="6"/>
  <c r="G362" i="6"/>
  <c r="H362" i="6"/>
  <c r="I362" i="6"/>
  <c r="J362" i="6"/>
  <c r="K362" i="6"/>
  <c r="L362" i="6"/>
  <c r="M362" i="6"/>
  <c r="N362" i="6"/>
  <c r="O362" i="6"/>
  <c r="P362" i="6"/>
  <c r="Q362" i="6"/>
  <c r="R362" i="6"/>
  <c r="S362" i="6"/>
  <c r="T362" i="6"/>
  <c r="U362" i="6"/>
  <c r="V362" i="6"/>
  <c r="W362" i="6"/>
  <c r="X362" i="6"/>
  <c r="Y362" i="6"/>
  <c r="Z362" i="6"/>
  <c r="F363" i="6"/>
  <c r="G363" i="6"/>
  <c r="H363" i="6"/>
  <c r="I363" i="6"/>
  <c r="J363" i="6"/>
  <c r="K363" i="6"/>
  <c r="L363" i="6"/>
  <c r="M363" i="6"/>
  <c r="N363" i="6"/>
  <c r="O363" i="6"/>
  <c r="P363" i="6"/>
  <c r="Q363" i="6"/>
  <c r="R363" i="6"/>
  <c r="S363" i="6"/>
  <c r="T363" i="6"/>
  <c r="U363" i="6"/>
  <c r="V363" i="6"/>
  <c r="W363" i="6"/>
  <c r="X363" i="6"/>
  <c r="Y363" i="6"/>
  <c r="Z363" i="6"/>
  <c r="F364" i="6"/>
  <c r="G364" i="6"/>
  <c r="H364" i="6"/>
  <c r="I364" i="6"/>
  <c r="J364" i="6"/>
  <c r="K364" i="6"/>
  <c r="L364" i="6"/>
  <c r="M364" i="6"/>
  <c r="N364" i="6"/>
  <c r="O364" i="6"/>
  <c r="P364" i="6"/>
  <c r="Q364" i="6"/>
  <c r="R364" i="6"/>
  <c r="S364" i="6"/>
  <c r="T364" i="6"/>
  <c r="U364" i="6"/>
  <c r="V364" i="6"/>
  <c r="W364" i="6"/>
  <c r="X364" i="6"/>
  <c r="Y364" i="6"/>
  <c r="Z364" i="6"/>
  <c r="F365" i="6"/>
  <c r="G365" i="6"/>
  <c r="H365" i="6"/>
  <c r="I365" i="6"/>
  <c r="J365" i="6"/>
  <c r="K365" i="6"/>
  <c r="L365" i="6"/>
  <c r="M365" i="6"/>
  <c r="N365" i="6"/>
  <c r="O365" i="6"/>
  <c r="P365" i="6"/>
  <c r="Q365" i="6"/>
  <c r="R365" i="6"/>
  <c r="S365" i="6"/>
  <c r="T365" i="6"/>
  <c r="U365" i="6"/>
  <c r="V365" i="6"/>
  <c r="W365" i="6"/>
  <c r="X365" i="6"/>
  <c r="Y365" i="6"/>
  <c r="Z365" i="6"/>
  <c r="F366" i="6"/>
  <c r="G366" i="6"/>
  <c r="H366" i="6"/>
  <c r="I366" i="6"/>
  <c r="J366" i="6"/>
  <c r="K366" i="6"/>
  <c r="L366" i="6"/>
  <c r="M366" i="6"/>
  <c r="N366" i="6"/>
  <c r="O366" i="6"/>
  <c r="P366" i="6"/>
  <c r="Q366" i="6"/>
  <c r="R366" i="6"/>
  <c r="S366" i="6"/>
  <c r="T366" i="6"/>
  <c r="U366" i="6"/>
  <c r="V366" i="6"/>
  <c r="W366" i="6"/>
  <c r="X366" i="6"/>
  <c r="Y366" i="6"/>
  <c r="Z366" i="6"/>
  <c r="F367" i="6"/>
  <c r="G367" i="6"/>
  <c r="H367" i="6"/>
  <c r="I367" i="6"/>
  <c r="J367" i="6"/>
  <c r="K367" i="6"/>
  <c r="L367" i="6"/>
  <c r="M367" i="6"/>
  <c r="N367" i="6"/>
  <c r="O367" i="6"/>
  <c r="P367" i="6"/>
  <c r="Q367" i="6"/>
  <c r="R367" i="6"/>
  <c r="S367" i="6"/>
  <c r="T367" i="6"/>
  <c r="U367" i="6"/>
  <c r="V367" i="6"/>
  <c r="W367" i="6"/>
  <c r="X367" i="6"/>
  <c r="Y367" i="6"/>
  <c r="Z367" i="6"/>
  <c r="F368" i="6"/>
  <c r="G368" i="6"/>
  <c r="H368" i="6"/>
  <c r="I368" i="6"/>
  <c r="J368" i="6"/>
  <c r="K368" i="6"/>
  <c r="L368" i="6"/>
  <c r="M368" i="6"/>
  <c r="N368" i="6"/>
  <c r="O368" i="6"/>
  <c r="P368" i="6"/>
  <c r="Q368" i="6"/>
  <c r="R368" i="6"/>
  <c r="S368" i="6"/>
  <c r="T368" i="6"/>
  <c r="U368" i="6"/>
  <c r="V368" i="6"/>
  <c r="W368" i="6"/>
  <c r="X368" i="6"/>
  <c r="Y368" i="6"/>
  <c r="Z368" i="6"/>
  <c r="F369" i="6"/>
  <c r="G369" i="6"/>
  <c r="H369" i="6"/>
  <c r="I369" i="6"/>
  <c r="J369" i="6"/>
  <c r="K369" i="6"/>
  <c r="L369" i="6"/>
  <c r="M369" i="6"/>
  <c r="N369" i="6"/>
  <c r="O369" i="6"/>
  <c r="P369" i="6"/>
  <c r="Q369" i="6"/>
  <c r="R369" i="6"/>
  <c r="S369" i="6"/>
  <c r="T369" i="6"/>
  <c r="U369" i="6"/>
  <c r="V369" i="6"/>
  <c r="W369" i="6"/>
  <c r="X369" i="6"/>
  <c r="Y369" i="6"/>
  <c r="Z369" i="6"/>
  <c r="F370" i="6"/>
  <c r="G370" i="6"/>
  <c r="H370" i="6"/>
  <c r="I370" i="6"/>
  <c r="J370" i="6"/>
  <c r="K370" i="6"/>
  <c r="L370" i="6"/>
  <c r="M370" i="6"/>
  <c r="N370" i="6"/>
  <c r="O370" i="6"/>
  <c r="P370" i="6"/>
  <c r="Q370" i="6"/>
  <c r="R370" i="6"/>
  <c r="S370" i="6"/>
  <c r="T370" i="6"/>
  <c r="U370" i="6"/>
  <c r="V370" i="6"/>
  <c r="W370" i="6"/>
  <c r="X370" i="6"/>
  <c r="Y370" i="6"/>
  <c r="Z370" i="6"/>
  <c r="F371" i="6"/>
  <c r="G371" i="6"/>
  <c r="H371" i="6"/>
  <c r="I371" i="6"/>
  <c r="J371" i="6"/>
  <c r="K371" i="6"/>
  <c r="L371" i="6"/>
  <c r="M371" i="6"/>
  <c r="N371" i="6"/>
  <c r="O371" i="6"/>
  <c r="P371" i="6"/>
  <c r="Q371" i="6"/>
  <c r="R371" i="6"/>
  <c r="S371" i="6"/>
  <c r="T371" i="6"/>
  <c r="U371" i="6"/>
  <c r="V371" i="6"/>
  <c r="W371" i="6"/>
  <c r="X371" i="6"/>
  <c r="Y371" i="6"/>
  <c r="Z371" i="6"/>
  <c r="F372" i="6"/>
  <c r="G372" i="6"/>
  <c r="H372" i="6"/>
  <c r="I372" i="6"/>
  <c r="J372" i="6"/>
  <c r="K372" i="6"/>
  <c r="L372" i="6"/>
  <c r="M372" i="6"/>
  <c r="N372" i="6"/>
  <c r="O372" i="6"/>
  <c r="P372" i="6"/>
  <c r="Q372" i="6"/>
  <c r="R372" i="6"/>
  <c r="S372" i="6"/>
  <c r="T372" i="6"/>
  <c r="U372" i="6"/>
  <c r="V372" i="6"/>
  <c r="W372" i="6"/>
  <c r="X372" i="6"/>
  <c r="Y372" i="6"/>
  <c r="Z372" i="6"/>
  <c r="F373" i="6"/>
  <c r="G373" i="6"/>
  <c r="H373" i="6"/>
  <c r="I373" i="6"/>
  <c r="J373" i="6"/>
  <c r="K373" i="6"/>
  <c r="L373" i="6"/>
  <c r="M373" i="6"/>
  <c r="N373" i="6"/>
  <c r="O373" i="6"/>
  <c r="P373" i="6"/>
  <c r="Q373" i="6"/>
  <c r="R373" i="6"/>
  <c r="S373" i="6"/>
  <c r="T373" i="6"/>
  <c r="U373" i="6"/>
  <c r="V373" i="6"/>
  <c r="W373" i="6"/>
  <c r="X373" i="6"/>
  <c r="Y373" i="6"/>
  <c r="Z373" i="6"/>
  <c r="F374" i="6"/>
  <c r="G374" i="6"/>
  <c r="H374" i="6"/>
  <c r="I374" i="6"/>
  <c r="J374" i="6"/>
  <c r="K374" i="6"/>
  <c r="L374" i="6"/>
  <c r="M374" i="6"/>
  <c r="N374" i="6"/>
  <c r="O374" i="6"/>
  <c r="P374" i="6"/>
  <c r="Q374" i="6"/>
  <c r="R374" i="6"/>
  <c r="S374" i="6"/>
  <c r="T374" i="6"/>
  <c r="U374" i="6"/>
  <c r="V374" i="6"/>
  <c r="W374" i="6"/>
  <c r="X374" i="6"/>
  <c r="Y374" i="6"/>
  <c r="Z374" i="6"/>
  <c r="F375" i="6"/>
  <c r="G375" i="6"/>
  <c r="H375" i="6"/>
  <c r="I375" i="6"/>
  <c r="J375" i="6"/>
  <c r="K375" i="6"/>
  <c r="L375" i="6"/>
  <c r="M375" i="6"/>
  <c r="N375" i="6"/>
  <c r="O375" i="6"/>
  <c r="P375" i="6"/>
  <c r="Q375" i="6"/>
  <c r="R375" i="6"/>
  <c r="S375" i="6"/>
  <c r="T375" i="6"/>
  <c r="U375" i="6"/>
  <c r="V375" i="6"/>
  <c r="W375" i="6"/>
  <c r="X375" i="6"/>
  <c r="Y375" i="6"/>
  <c r="Z375" i="6"/>
  <c r="F376" i="6"/>
  <c r="G376" i="6"/>
  <c r="H376" i="6"/>
  <c r="I376" i="6"/>
  <c r="J376" i="6"/>
  <c r="K376" i="6"/>
  <c r="L376" i="6"/>
  <c r="M376" i="6"/>
  <c r="N376" i="6"/>
  <c r="O376" i="6"/>
  <c r="P376" i="6"/>
  <c r="Q376" i="6"/>
  <c r="R376" i="6"/>
  <c r="S376" i="6"/>
  <c r="T376" i="6"/>
  <c r="U376" i="6"/>
  <c r="V376" i="6"/>
  <c r="W376" i="6"/>
  <c r="X376" i="6"/>
  <c r="Y376" i="6"/>
  <c r="Z376" i="6"/>
  <c r="F377" i="6"/>
  <c r="G377" i="6"/>
  <c r="H377" i="6"/>
  <c r="I377" i="6"/>
  <c r="J377" i="6"/>
  <c r="K377" i="6"/>
  <c r="L377" i="6"/>
  <c r="M377" i="6"/>
  <c r="N377" i="6"/>
  <c r="O377" i="6"/>
  <c r="P377" i="6"/>
  <c r="Q377" i="6"/>
  <c r="R377" i="6"/>
  <c r="S377" i="6"/>
  <c r="T377" i="6"/>
  <c r="U377" i="6"/>
  <c r="V377" i="6"/>
  <c r="W377" i="6"/>
  <c r="X377" i="6"/>
  <c r="Y377" i="6"/>
  <c r="Z377" i="6"/>
  <c r="F378" i="6"/>
  <c r="G378" i="6"/>
  <c r="H378" i="6"/>
  <c r="I378" i="6"/>
  <c r="J378" i="6"/>
  <c r="K378" i="6"/>
  <c r="L378" i="6"/>
  <c r="M378" i="6"/>
  <c r="N378" i="6"/>
  <c r="O378" i="6"/>
  <c r="P378" i="6"/>
  <c r="Q378" i="6"/>
  <c r="R378" i="6"/>
  <c r="S378" i="6"/>
  <c r="T378" i="6"/>
  <c r="U378" i="6"/>
  <c r="V378" i="6"/>
  <c r="W378" i="6"/>
  <c r="X378" i="6"/>
  <c r="Y378" i="6"/>
  <c r="Z378" i="6"/>
  <c r="F379" i="6"/>
  <c r="G379" i="6"/>
  <c r="H379" i="6"/>
  <c r="I379" i="6"/>
  <c r="J379" i="6"/>
  <c r="K379" i="6"/>
  <c r="L379" i="6"/>
  <c r="M379" i="6"/>
  <c r="N379" i="6"/>
  <c r="O379" i="6"/>
  <c r="P379" i="6"/>
  <c r="Q379" i="6"/>
  <c r="R379" i="6"/>
  <c r="S379" i="6"/>
  <c r="T379" i="6"/>
  <c r="U379" i="6"/>
  <c r="V379" i="6"/>
  <c r="W379" i="6"/>
  <c r="X379" i="6"/>
  <c r="Y379" i="6"/>
  <c r="Z379" i="6"/>
  <c r="F380" i="6"/>
  <c r="G380" i="6"/>
  <c r="H380" i="6"/>
  <c r="I380" i="6"/>
  <c r="J380" i="6"/>
  <c r="K380" i="6"/>
  <c r="L380" i="6"/>
  <c r="M380" i="6"/>
  <c r="N380" i="6"/>
  <c r="O380" i="6"/>
  <c r="P380" i="6"/>
  <c r="Q380" i="6"/>
  <c r="R380" i="6"/>
  <c r="S380" i="6"/>
  <c r="T380" i="6"/>
  <c r="U380" i="6"/>
  <c r="V380" i="6"/>
  <c r="W380" i="6"/>
  <c r="X380" i="6"/>
  <c r="Y380" i="6"/>
  <c r="Z380" i="6"/>
  <c r="F381" i="6"/>
  <c r="G381" i="6"/>
  <c r="H381" i="6"/>
  <c r="I381" i="6"/>
  <c r="J381" i="6"/>
  <c r="K381" i="6"/>
  <c r="L381" i="6"/>
  <c r="M381" i="6"/>
  <c r="N381" i="6"/>
  <c r="O381" i="6"/>
  <c r="P381" i="6"/>
  <c r="Q381" i="6"/>
  <c r="R381" i="6"/>
  <c r="S381" i="6"/>
  <c r="T381" i="6"/>
  <c r="U381" i="6"/>
  <c r="V381" i="6"/>
  <c r="W381" i="6"/>
  <c r="X381" i="6"/>
  <c r="Y381" i="6"/>
  <c r="Z381" i="6"/>
  <c r="F382" i="6"/>
  <c r="G382" i="6"/>
  <c r="H382" i="6"/>
  <c r="I382" i="6"/>
  <c r="J382" i="6"/>
  <c r="K382" i="6"/>
  <c r="L382" i="6"/>
  <c r="M382" i="6"/>
  <c r="N382" i="6"/>
  <c r="O382" i="6"/>
  <c r="P382" i="6"/>
  <c r="Q382" i="6"/>
  <c r="R382" i="6"/>
  <c r="S382" i="6"/>
  <c r="T382" i="6"/>
  <c r="U382" i="6"/>
  <c r="V382" i="6"/>
  <c r="W382" i="6"/>
  <c r="X382" i="6"/>
  <c r="Y382" i="6"/>
  <c r="Z382" i="6"/>
  <c r="F383" i="6"/>
  <c r="G383" i="6"/>
  <c r="H383" i="6"/>
  <c r="I383" i="6"/>
  <c r="J383" i="6"/>
  <c r="K383" i="6"/>
  <c r="L383" i="6"/>
  <c r="M383" i="6"/>
  <c r="N383" i="6"/>
  <c r="O383" i="6"/>
  <c r="P383" i="6"/>
  <c r="Q383" i="6"/>
  <c r="R383" i="6"/>
  <c r="S383" i="6"/>
  <c r="T383" i="6"/>
  <c r="U383" i="6"/>
  <c r="V383" i="6"/>
  <c r="W383" i="6"/>
  <c r="X383" i="6"/>
  <c r="Y383" i="6"/>
  <c r="Z383" i="6"/>
  <c r="F384" i="6"/>
  <c r="G384" i="6"/>
  <c r="H384" i="6"/>
  <c r="I384" i="6"/>
  <c r="J384" i="6"/>
  <c r="K384" i="6"/>
  <c r="L384" i="6"/>
  <c r="M384" i="6"/>
  <c r="N384" i="6"/>
  <c r="O384" i="6"/>
  <c r="P384" i="6"/>
  <c r="Q384" i="6"/>
  <c r="R384" i="6"/>
  <c r="S384" i="6"/>
  <c r="T384" i="6"/>
  <c r="U384" i="6"/>
  <c r="V384" i="6"/>
  <c r="W384" i="6"/>
  <c r="X384" i="6"/>
  <c r="Y384" i="6"/>
  <c r="Z384" i="6"/>
  <c r="F385" i="6"/>
  <c r="G385" i="6"/>
  <c r="H385" i="6"/>
  <c r="I385" i="6"/>
  <c r="J385" i="6"/>
  <c r="K385" i="6"/>
  <c r="L385" i="6"/>
  <c r="M385" i="6"/>
  <c r="N385" i="6"/>
  <c r="O385" i="6"/>
  <c r="P385" i="6"/>
  <c r="Q385" i="6"/>
  <c r="R385" i="6"/>
  <c r="S385" i="6"/>
  <c r="T385" i="6"/>
  <c r="U385" i="6"/>
  <c r="V385" i="6"/>
  <c r="W385" i="6"/>
  <c r="X385" i="6"/>
  <c r="Y385" i="6"/>
  <c r="Z385" i="6"/>
  <c r="F386" i="6"/>
  <c r="G386" i="6"/>
  <c r="H386" i="6"/>
  <c r="I386" i="6"/>
  <c r="J386" i="6"/>
  <c r="K386" i="6"/>
  <c r="L386" i="6"/>
  <c r="M386" i="6"/>
  <c r="N386" i="6"/>
  <c r="O386" i="6"/>
  <c r="P386" i="6"/>
  <c r="Q386" i="6"/>
  <c r="R386" i="6"/>
  <c r="S386" i="6"/>
  <c r="T386" i="6"/>
  <c r="U386" i="6"/>
  <c r="V386" i="6"/>
  <c r="W386" i="6"/>
  <c r="X386" i="6"/>
  <c r="Y386" i="6"/>
  <c r="Z386" i="6"/>
  <c r="F387" i="6"/>
  <c r="G387" i="6"/>
  <c r="H387" i="6"/>
  <c r="I387" i="6"/>
  <c r="J387" i="6"/>
  <c r="K387" i="6"/>
  <c r="L387" i="6"/>
  <c r="M387" i="6"/>
  <c r="N387" i="6"/>
  <c r="O387" i="6"/>
  <c r="P387" i="6"/>
  <c r="Q387" i="6"/>
  <c r="R387" i="6"/>
  <c r="S387" i="6"/>
  <c r="T387" i="6"/>
  <c r="U387" i="6"/>
  <c r="V387" i="6"/>
  <c r="W387" i="6"/>
  <c r="X387" i="6"/>
  <c r="Y387" i="6"/>
  <c r="Z387" i="6"/>
  <c r="F388" i="6"/>
  <c r="G388" i="6"/>
  <c r="H388" i="6"/>
  <c r="I388" i="6"/>
  <c r="J388" i="6"/>
  <c r="K388" i="6"/>
  <c r="L388" i="6"/>
  <c r="M388" i="6"/>
  <c r="N388" i="6"/>
  <c r="O388" i="6"/>
  <c r="P388" i="6"/>
  <c r="Q388" i="6"/>
  <c r="R388" i="6"/>
  <c r="S388" i="6"/>
  <c r="T388" i="6"/>
  <c r="U388" i="6"/>
  <c r="V388" i="6"/>
  <c r="W388" i="6"/>
  <c r="X388" i="6"/>
  <c r="Y388" i="6"/>
  <c r="Z388" i="6"/>
  <c r="R2" i="6"/>
  <c r="Q2" i="6"/>
  <c r="P2" i="6"/>
  <c r="O2" i="6"/>
  <c r="N2" i="6"/>
  <c r="M2" i="6"/>
  <c r="L2" i="6"/>
  <c r="K2" i="6"/>
  <c r="J2" i="6"/>
  <c r="I2" i="6"/>
  <c r="H2" i="6"/>
  <c r="G2" i="6"/>
  <c r="F2" i="6"/>
  <c r="Z2" i="6"/>
  <c r="Y2" i="6"/>
  <c r="X2" i="6"/>
  <c r="W2" i="6"/>
  <c r="V2" i="6"/>
  <c r="U2" i="6"/>
  <c r="T2" i="6"/>
  <c r="S2" i="6"/>
  <c r="AP31" i="6"/>
  <c r="AO31" i="6"/>
  <c r="AP30" i="6"/>
  <c r="AO30" i="6"/>
  <c r="AP29" i="6"/>
  <c r="AO29" i="6"/>
  <c r="AP28" i="6"/>
  <c r="AO28" i="6"/>
  <c r="AP27" i="6"/>
  <c r="AO27" i="6"/>
  <c r="AP276" i="6"/>
  <c r="AO276" i="6"/>
  <c r="AP275" i="6"/>
  <c r="AO275" i="6"/>
  <c r="AP274" i="6"/>
  <c r="AO274" i="6"/>
  <c r="AP273" i="6"/>
  <c r="AO273" i="6"/>
  <c r="AN288" i="6"/>
  <c r="AP288" i="6"/>
  <c r="AM288" i="6"/>
  <c r="AO288" i="6"/>
  <c r="AP138" i="6"/>
  <c r="AO138" i="6"/>
  <c r="AP137" i="6"/>
  <c r="AO137" i="6"/>
  <c r="AP136" i="6"/>
  <c r="AO136" i="6"/>
  <c r="AP135" i="6"/>
  <c r="AO135" i="6"/>
  <c r="AP360" i="6"/>
  <c r="AO360" i="6"/>
  <c r="AP16" i="6"/>
  <c r="AO16" i="6"/>
  <c r="AP15" i="6"/>
  <c r="AO15" i="6"/>
  <c r="AP14" i="6"/>
  <c r="AO14" i="6"/>
  <c r="AP13" i="6"/>
  <c r="AO13" i="6"/>
  <c r="AN69" i="6"/>
  <c r="AN70" i="6"/>
  <c r="AN71" i="6"/>
  <c r="AN68" i="6"/>
  <c r="AP362" i="6"/>
  <c r="AO362" i="6"/>
  <c r="AP361" i="6"/>
  <c r="AO361" i="6"/>
  <c r="AP334" i="6"/>
  <c r="AO334" i="6"/>
  <c r="AO513" i="6"/>
  <c r="AO512" i="6"/>
  <c r="AO510" i="6"/>
  <c r="AO509" i="6"/>
  <c r="AO508" i="6"/>
  <c r="AO507" i="6"/>
  <c r="AO476" i="6"/>
  <c r="AO475" i="6"/>
  <c r="AO472" i="6"/>
  <c r="AO471" i="6"/>
  <c r="AO451" i="6"/>
  <c r="AO450" i="6"/>
  <c r="AO449" i="6"/>
  <c r="AO448" i="6"/>
  <c r="AO433" i="6"/>
  <c r="AO432" i="6"/>
  <c r="AO424" i="6"/>
  <c r="AO423" i="6"/>
  <c r="AO404" i="6"/>
  <c r="AO403" i="6"/>
  <c r="AO504" i="6"/>
  <c r="AO501" i="6"/>
  <c r="AO498" i="6"/>
  <c r="AO496" i="6"/>
  <c r="AO492" i="6"/>
  <c r="AO490" i="6"/>
  <c r="AO479" i="6"/>
  <c r="AO485" i="6"/>
  <c r="AO483" i="6"/>
  <c r="AO468" i="6"/>
  <c r="AO465" i="6"/>
  <c r="AO463" i="6"/>
  <c r="AO459" i="6"/>
  <c r="AO455" i="6"/>
  <c r="AO453" i="6"/>
  <c r="AO445" i="6"/>
  <c r="AO444" i="6"/>
  <c r="AO442" i="6"/>
  <c r="AO438" i="6"/>
  <c r="AO436" i="6"/>
  <c r="AO429" i="6"/>
  <c r="AO427" i="6"/>
  <c r="AO419" i="6"/>
  <c r="AO417" i="6"/>
  <c r="AO413" i="6"/>
  <c r="AO409" i="6"/>
  <c r="AO407" i="6"/>
  <c r="AO400" i="6"/>
  <c r="AO398" i="6"/>
  <c r="AO394" i="6"/>
  <c r="AO390" i="6"/>
  <c r="AO349" i="6"/>
  <c r="AO348" i="6"/>
  <c r="AO345" i="6"/>
  <c r="AO344" i="6"/>
  <c r="AO343" i="6"/>
  <c r="AO342" i="6"/>
  <c r="AO339" i="6"/>
  <c r="AO338" i="6"/>
  <c r="AO325" i="6"/>
  <c r="AO324" i="6"/>
  <c r="AO323" i="6"/>
  <c r="AO322" i="6"/>
  <c r="AO255" i="6"/>
  <c r="AO254" i="6"/>
  <c r="AO253" i="6"/>
  <c r="AO252" i="6"/>
  <c r="AO239" i="6"/>
  <c r="AO238" i="6"/>
  <c r="AO206" i="6"/>
  <c r="AO205" i="6"/>
  <c r="AO203" i="6"/>
  <c r="AO202" i="6"/>
  <c r="AO200" i="6"/>
  <c r="AO199" i="6"/>
  <c r="AO198" i="6"/>
  <c r="AO197" i="6"/>
  <c r="AO185" i="6"/>
  <c r="AO184" i="6"/>
  <c r="AO170" i="6"/>
  <c r="AO169" i="6"/>
  <c r="AO147" i="6"/>
  <c r="AO146" i="6"/>
  <c r="AO145" i="6"/>
  <c r="AO144" i="6"/>
  <c r="AO104" i="6"/>
  <c r="AO103" i="6"/>
  <c r="AO101" i="6"/>
  <c r="AO100" i="6"/>
  <c r="AO99" i="6"/>
  <c r="AO98" i="6"/>
  <c r="AO95" i="6"/>
  <c r="AO94" i="6"/>
  <c r="AO387" i="6"/>
  <c r="AO386" i="6"/>
  <c r="AO384" i="6"/>
  <c r="AO383" i="6"/>
  <c r="AO381" i="6"/>
  <c r="AO380" i="6"/>
  <c r="AO379" i="6"/>
  <c r="AO378" i="6"/>
  <c r="AO375" i="6"/>
  <c r="AO374" i="6"/>
  <c r="AO373" i="6"/>
  <c r="AO372" i="6"/>
  <c r="AO370" i="6"/>
  <c r="AO369" i="6"/>
  <c r="AO367" i="6"/>
  <c r="AO366" i="6"/>
  <c r="AO365" i="6"/>
  <c r="AO364" i="6"/>
  <c r="AO358" i="6"/>
  <c r="AO357" i="6"/>
  <c r="AO354" i="6"/>
  <c r="AO353" i="6"/>
  <c r="AO352" i="6"/>
  <c r="AO351" i="6"/>
  <c r="AO331" i="6"/>
  <c r="AO330" i="6"/>
  <c r="AO329" i="6"/>
  <c r="AO328" i="6"/>
  <c r="AO320" i="6"/>
  <c r="AO319" i="6"/>
  <c r="AO318" i="6"/>
  <c r="AO317" i="6"/>
  <c r="AO314" i="6"/>
  <c r="AO313" i="6"/>
  <c r="AO312" i="6"/>
  <c r="AO311" i="6"/>
  <c r="AO307" i="6"/>
  <c r="AO306" i="6"/>
  <c r="AO305" i="6"/>
  <c r="AO304" i="6"/>
  <c r="AO300" i="6"/>
  <c r="AO299" i="6"/>
  <c r="AO298" i="6"/>
  <c r="AO297" i="6"/>
  <c r="AO293" i="6"/>
  <c r="AO292" i="6"/>
  <c r="AO291" i="6"/>
  <c r="AO290" i="6"/>
  <c r="AO286" i="6"/>
  <c r="AO285" i="6"/>
  <c r="AO282" i="6"/>
  <c r="AO281" i="6"/>
  <c r="AO280" i="6"/>
  <c r="AO279" i="6"/>
  <c r="AO271" i="6"/>
  <c r="AO270" i="6"/>
  <c r="AO269" i="6"/>
  <c r="AO268" i="6"/>
  <c r="AO265" i="6"/>
  <c r="AO264" i="6"/>
  <c r="AO263" i="6"/>
  <c r="AO262" i="6"/>
  <c r="AO258" i="6"/>
  <c r="AO257" i="6"/>
  <c r="AO249" i="6"/>
  <c r="AO248" i="6"/>
  <c r="AO247" i="6"/>
  <c r="AO246" i="6"/>
  <c r="AO243" i="6"/>
  <c r="AO242" i="6"/>
  <c r="AO235" i="6"/>
  <c r="AO234" i="6"/>
  <c r="AO233" i="6"/>
  <c r="AO232" i="6"/>
  <c r="AO229" i="6"/>
  <c r="AO228" i="6"/>
  <c r="AO225" i="6"/>
  <c r="AO224" i="6"/>
  <c r="AO223" i="6"/>
  <c r="AO222" i="6"/>
  <c r="AO219" i="6"/>
  <c r="AO218" i="6"/>
  <c r="AO217" i="6"/>
  <c r="AO216" i="6"/>
  <c r="AO213" i="6"/>
  <c r="AO212" i="6"/>
  <c r="AO194" i="6"/>
  <c r="AO193" i="6"/>
  <c r="AO192" i="6"/>
  <c r="AO191" i="6"/>
  <c r="AO188" i="6"/>
  <c r="AO187" i="6"/>
  <c r="AO182" i="6"/>
  <c r="AO181" i="6"/>
  <c r="AO180" i="6"/>
  <c r="AO179" i="6"/>
  <c r="AO176" i="6"/>
  <c r="AO175" i="6"/>
  <c r="AO174" i="6"/>
  <c r="AO173" i="6"/>
  <c r="AO167" i="6"/>
  <c r="AO166" i="6"/>
  <c r="AO153" i="6"/>
  <c r="AO152" i="6"/>
  <c r="AO151" i="6"/>
  <c r="AO150" i="6"/>
  <c r="AO133" i="6"/>
  <c r="AO132" i="6"/>
  <c r="AO131" i="6"/>
  <c r="AO130" i="6"/>
  <c r="AO127" i="6"/>
  <c r="AO126" i="6"/>
  <c r="AO123" i="6"/>
  <c r="AO122" i="6"/>
  <c r="AO121" i="6"/>
  <c r="AO120" i="6"/>
  <c r="AO115" i="6"/>
  <c r="AO114" i="6"/>
  <c r="AO111" i="6"/>
  <c r="AO110" i="6"/>
  <c r="AO109" i="6"/>
  <c r="AO108" i="6"/>
  <c r="AO91" i="6"/>
  <c r="AO90" i="6"/>
  <c r="AO87" i="6"/>
  <c r="AO86" i="6"/>
  <c r="AO85" i="6"/>
  <c r="AO84" i="6"/>
  <c r="AO81" i="6"/>
  <c r="AO80" i="6"/>
  <c r="AO79" i="6"/>
  <c r="AO78" i="6"/>
  <c r="AO75" i="6"/>
  <c r="AO74" i="6"/>
  <c r="AO71" i="6"/>
  <c r="AO70" i="6"/>
  <c r="AO69" i="6"/>
  <c r="AO68" i="6"/>
  <c r="AO57" i="6"/>
  <c r="AO56" i="6"/>
  <c r="AO55" i="6"/>
  <c r="AO54" i="6"/>
  <c r="AO51" i="6"/>
  <c r="AO50" i="6"/>
  <c r="AO47" i="6"/>
  <c r="AO46" i="6"/>
  <c r="AO45" i="6"/>
  <c r="AO44" i="6"/>
  <c r="AO40" i="6"/>
  <c r="AO39" i="6"/>
  <c r="AO37" i="6"/>
  <c r="AO36" i="6"/>
  <c r="AO35" i="6"/>
  <c r="AO34" i="6"/>
  <c r="AO25" i="6"/>
  <c r="AO24" i="6"/>
  <c r="AO21" i="6"/>
  <c r="AO20" i="6"/>
  <c r="AO19" i="6"/>
  <c r="AO18" i="6"/>
  <c r="AO11" i="6"/>
  <c r="AO10" i="6"/>
  <c r="AO7" i="6"/>
  <c r="AO6" i="6"/>
  <c r="AO5" i="6"/>
  <c r="AO4" i="6"/>
  <c r="AO3" i="6"/>
  <c r="AP3" i="6"/>
  <c r="AP4" i="6"/>
  <c r="AP5" i="6"/>
  <c r="AP6" i="6"/>
  <c r="AP7" i="6"/>
  <c r="AO9" i="6"/>
  <c r="AP9" i="6"/>
  <c r="AP10" i="6"/>
  <c r="AP11" i="6"/>
  <c r="AP18" i="6"/>
  <c r="AP19" i="6"/>
  <c r="AP20" i="6"/>
  <c r="AP21" i="6"/>
  <c r="AO23" i="6"/>
  <c r="AP23" i="6"/>
  <c r="AP24" i="6"/>
  <c r="AP25" i="6"/>
  <c r="AO33" i="6"/>
  <c r="AP33" i="6"/>
  <c r="AP34" i="6"/>
  <c r="AP35" i="6"/>
  <c r="AP36" i="6"/>
  <c r="AP37" i="6"/>
  <c r="AP39" i="6"/>
  <c r="AP40" i="6"/>
  <c r="AO42" i="6"/>
  <c r="AP42" i="6"/>
  <c r="AO43" i="6"/>
  <c r="AP43" i="6"/>
  <c r="AP44" i="6"/>
  <c r="AP45" i="6"/>
  <c r="AP46" i="6"/>
  <c r="AP47" i="6"/>
  <c r="AO49" i="6"/>
  <c r="AP49" i="6"/>
  <c r="AP50" i="6"/>
  <c r="AP51" i="6"/>
  <c r="AO53" i="6"/>
  <c r="AP53" i="6"/>
  <c r="AP54" i="6"/>
  <c r="AP55" i="6"/>
  <c r="AP56" i="6"/>
  <c r="AP57" i="6"/>
  <c r="AP68" i="6"/>
  <c r="AP69" i="6"/>
  <c r="AP70" i="6"/>
  <c r="AP71" i="6"/>
  <c r="AO73" i="6"/>
  <c r="AP73" i="6"/>
  <c r="AP74" i="6"/>
  <c r="AP75" i="6"/>
  <c r="AO77" i="6"/>
  <c r="AP77" i="6"/>
  <c r="AP78" i="6"/>
  <c r="AP79" i="6"/>
  <c r="AP80" i="6"/>
  <c r="AP81" i="6"/>
  <c r="AO83" i="6"/>
  <c r="AP83" i="6"/>
  <c r="AP84" i="6"/>
  <c r="AP85" i="6"/>
  <c r="AP86" i="6"/>
  <c r="AP87" i="6"/>
  <c r="AO89" i="6"/>
  <c r="AP89" i="6"/>
  <c r="AP90" i="6"/>
  <c r="AP91" i="6"/>
  <c r="AO106" i="6"/>
  <c r="AP106" i="6"/>
  <c r="AO107" i="6"/>
  <c r="AP107" i="6"/>
  <c r="AP108" i="6"/>
  <c r="AP109" i="6"/>
  <c r="AP110" i="6"/>
  <c r="AP111" i="6"/>
  <c r="AO113" i="6"/>
  <c r="AP113" i="6"/>
  <c r="AP114" i="6"/>
  <c r="AP115" i="6"/>
  <c r="AO117" i="6"/>
  <c r="AP117" i="6"/>
  <c r="AO119" i="6"/>
  <c r="AP119" i="6"/>
  <c r="AP120" i="6"/>
  <c r="AP121" i="6"/>
  <c r="AP122" i="6"/>
  <c r="AP123" i="6"/>
  <c r="AO125" i="6"/>
  <c r="AP125" i="6"/>
  <c r="AP126" i="6"/>
  <c r="AP127" i="6"/>
  <c r="AO129" i="6"/>
  <c r="AP129" i="6"/>
  <c r="AP130" i="6"/>
  <c r="AP131" i="6"/>
  <c r="AP132" i="6"/>
  <c r="AP133" i="6"/>
  <c r="AO149" i="6"/>
  <c r="AP149" i="6"/>
  <c r="AP150" i="6"/>
  <c r="AP151" i="6"/>
  <c r="AP152" i="6"/>
  <c r="AP153" i="6"/>
  <c r="AO165" i="6"/>
  <c r="AP165" i="6"/>
  <c r="AP166" i="6"/>
  <c r="AP167" i="6"/>
  <c r="AO172" i="6"/>
  <c r="AP172" i="6"/>
  <c r="AP173" i="6"/>
  <c r="AP174" i="6"/>
  <c r="AP175" i="6"/>
  <c r="AP176" i="6"/>
  <c r="AO178" i="6"/>
  <c r="AP178" i="6"/>
  <c r="AP179" i="6"/>
  <c r="AP180" i="6"/>
  <c r="AP181" i="6"/>
  <c r="AP182" i="6"/>
  <c r="AP187" i="6"/>
  <c r="AP188" i="6"/>
  <c r="AO190" i="6"/>
  <c r="AP190" i="6"/>
  <c r="AP191" i="6"/>
  <c r="AP192" i="6"/>
  <c r="AP193" i="6"/>
  <c r="AP194" i="6"/>
  <c r="AP212" i="6"/>
  <c r="AP213" i="6"/>
  <c r="AO215" i="6"/>
  <c r="AP215" i="6"/>
  <c r="AP216" i="6"/>
  <c r="AP217" i="6"/>
  <c r="AP218" i="6"/>
  <c r="AP219" i="6"/>
  <c r="AO221" i="6"/>
  <c r="AP221" i="6"/>
  <c r="AP222" i="6"/>
  <c r="AP223" i="6"/>
  <c r="AP224" i="6"/>
  <c r="AP225" i="6"/>
  <c r="AO227" i="6"/>
  <c r="AP227" i="6"/>
  <c r="AP228" i="6"/>
  <c r="AP229" i="6"/>
  <c r="AO231" i="6"/>
  <c r="AP231" i="6"/>
  <c r="AP232" i="6"/>
  <c r="AP233" i="6"/>
  <c r="AP234" i="6"/>
  <c r="AP235" i="6"/>
  <c r="AO241" i="6"/>
  <c r="AP241" i="6"/>
  <c r="AP242" i="6"/>
  <c r="AP243" i="6"/>
  <c r="AO245" i="6"/>
  <c r="AP245" i="6"/>
  <c r="AP246" i="6"/>
  <c r="AP247" i="6"/>
  <c r="AP248" i="6"/>
  <c r="AP249" i="6"/>
  <c r="AP257" i="6"/>
  <c r="AP258" i="6"/>
  <c r="AO260" i="6"/>
  <c r="AP260" i="6"/>
  <c r="AO261" i="6"/>
  <c r="AP261" i="6"/>
  <c r="AP262" i="6"/>
  <c r="AP263" i="6"/>
  <c r="AP264" i="6"/>
  <c r="AP265" i="6"/>
  <c r="AO267" i="6"/>
  <c r="AP267" i="6"/>
  <c r="AP268" i="6"/>
  <c r="AP269" i="6"/>
  <c r="AP270" i="6"/>
  <c r="AP271" i="6"/>
  <c r="AO278" i="6"/>
  <c r="AP278" i="6"/>
  <c r="AP279" i="6"/>
  <c r="AP280" i="6"/>
  <c r="AP281" i="6"/>
  <c r="AP282" i="6"/>
  <c r="AO284" i="6"/>
  <c r="AP284" i="6"/>
  <c r="AP285" i="6"/>
  <c r="AP286" i="6"/>
  <c r="AO289" i="6"/>
  <c r="AP289" i="6"/>
  <c r="AP290" i="6"/>
  <c r="AP291" i="6"/>
  <c r="AP292" i="6"/>
  <c r="AP293" i="6"/>
  <c r="AO295" i="6"/>
  <c r="AP295" i="6"/>
  <c r="AO296" i="6"/>
  <c r="AP296" i="6"/>
  <c r="AP297" i="6"/>
  <c r="AP298" i="6"/>
  <c r="AP299" i="6"/>
  <c r="AP300" i="6"/>
  <c r="AO302" i="6"/>
  <c r="AP302" i="6"/>
  <c r="AO303" i="6"/>
  <c r="AP303" i="6"/>
  <c r="AP304" i="6"/>
  <c r="AP305" i="6"/>
  <c r="AP306" i="6"/>
  <c r="AP307" i="6"/>
  <c r="AO309" i="6"/>
  <c r="AP309" i="6"/>
  <c r="AO310" i="6"/>
  <c r="AP310" i="6"/>
  <c r="AP311" i="6"/>
  <c r="AP312" i="6"/>
  <c r="AP313" i="6"/>
  <c r="AP314" i="6"/>
  <c r="AO316" i="6"/>
  <c r="AP316" i="6"/>
  <c r="AP317" i="6"/>
  <c r="AP318" i="6"/>
  <c r="AP319" i="6"/>
  <c r="AP320" i="6"/>
  <c r="AO327" i="6"/>
  <c r="AP327" i="6"/>
  <c r="AP328" i="6"/>
  <c r="AP329" i="6"/>
  <c r="AP330" i="6"/>
  <c r="AP331" i="6"/>
  <c r="AP351" i="6"/>
  <c r="AP352" i="6"/>
  <c r="AP353" i="6"/>
  <c r="AP354" i="6"/>
  <c r="AO356" i="6"/>
  <c r="AP356" i="6"/>
  <c r="AP357" i="6"/>
  <c r="AP358" i="6"/>
  <c r="AP364" i="6"/>
  <c r="AP365" i="6"/>
  <c r="AP366" i="6"/>
  <c r="AP367" i="6"/>
  <c r="AP369" i="6"/>
  <c r="AP370" i="6"/>
  <c r="AP372" i="6"/>
  <c r="AP373" i="6"/>
  <c r="AP374" i="6"/>
  <c r="AP375" i="6"/>
  <c r="AO377" i="6"/>
  <c r="AP377" i="6"/>
  <c r="AP378" i="6"/>
  <c r="AP379" i="6"/>
  <c r="AP380" i="6"/>
  <c r="AP381" i="6"/>
  <c r="AP383" i="6"/>
  <c r="AP384" i="6"/>
  <c r="AP386" i="6"/>
  <c r="AP387" i="6"/>
  <c r="AO93" i="6"/>
  <c r="AP93" i="6"/>
  <c r="AP94" i="6"/>
  <c r="AP95" i="6"/>
  <c r="AO97" i="6"/>
  <c r="AP97" i="6"/>
  <c r="AP98" i="6"/>
  <c r="AP99" i="6"/>
  <c r="AP100" i="6"/>
  <c r="AP101" i="6"/>
  <c r="AP103" i="6"/>
  <c r="AP104" i="6"/>
  <c r="AP144" i="6"/>
  <c r="AP145" i="6"/>
  <c r="AP146" i="6"/>
  <c r="AP147" i="6"/>
  <c r="AP169" i="6"/>
  <c r="AP170" i="6"/>
  <c r="AP184" i="6"/>
  <c r="AP185" i="6"/>
  <c r="AO196" i="6"/>
  <c r="AP196" i="6"/>
  <c r="AP197" i="6"/>
  <c r="AP198" i="6"/>
  <c r="AP199" i="6"/>
  <c r="AP200" i="6"/>
  <c r="AP202" i="6"/>
  <c r="AP203" i="6"/>
  <c r="AP205" i="6"/>
  <c r="AP206" i="6"/>
  <c r="AO237" i="6"/>
  <c r="AP237" i="6"/>
  <c r="AP238" i="6"/>
  <c r="AP239" i="6"/>
  <c r="AO251" i="6"/>
  <c r="AP251" i="6"/>
  <c r="AP252" i="6"/>
  <c r="AP253" i="6"/>
  <c r="AP254" i="6"/>
  <c r="AP255" i="6"/>
  <c r="AP322" i="6"/>
  <c r="AP323" i="6"/>
  <c r="AP324" i="6"/>
  <c r="AP325" i="6"/>
  <c r="AP338" i="6"/>
  <c r="AP339" i="6"/>
  <c r="AO341" i="6"/>
  <c r="AP341" i="6"/>
  <c r="AP342" i="6"/>
  <c r="AP343" i="6"/>
  <c r="AP344" i="6"/>
  <c r="AP345" i="6"/>
  <c r="AO347" i="6"/>
  <c r="AP347" i="6"/>
  <c r="AP348" i="6"/>
  <c r="AP349" i="6"/>
  <c r="AO389" i="6"/>
  <c r="AP389" i="6"/>
  <c r="AP390" i="6"/>
  <c r="AO393" i="6"/>
  <c r="AP393" i="6"/>
  <c r="AP394" i="6"/>
  <c r="AO397" i="6"/>
  <c r="AP397" i="6"/>
  <c r="AP398" i="6"/>
  <c r="AP400" i="6"/>
  <c r="AO406" i="6"/>
  <c r="AP406" i="6"/>
  <c r="AP407" i="6"/>
  <c r="AP409" i="6"/>
  <c r="AO412" i="6"/>
  <c r="AP412" i="6"/>
  <c r="AP413" i="6"/>
  <c r="AO416" i="6"/>
  <c r="AP416" i="6"/>
  <c r="AP417" i="6"/>
  <c r="AP419" i="6"/>
  <c r="AO426" i="6"/>
  <c r="AP426" i="6"/>
  <c r="AP427" i="6"/>
  <c r="AP429" i="6"/>
  <c r="AO435" i="6"/>
  <c r="AP435" i="6"/>
  <c r="AP436" i="6"/>
  <c r="AP438" i="6"/>
  <c r="AO441" i="6"/>
  <c r="AP441" i="6"/>
  <c r="AP442" i="6"/>
  <c r="AP444" i="6"/>
  <c r="AP445" i="6"/>
  <c r="AP453" i="6"/>
  <c r="AP455" i="6"/>
  <c r="AO458" i="6"/>
  <c r="AP458" i="6"/>
  <c r="AP459" i="6"/>
  <c r="AO462" i="6"/>
  <c r="AP462" i="6"/>
  <c r="AP463" i="6"/>
  <c r="AP465" i="6"/>
  <c r="AP468" i="6"/>
  <c r="AO482" i="6"/>
  <c r="AP482" i="6"/>
  <c r="AP483" i="6"/>
  <c r="AP485" i="6"/>
  <c r="AO478" i="6"/>
  <c r="AP478" i="6"/>
  <c r="AP479" i="6"/>
  <c r="AO488" i="6"/>
  <c r="AP488" i="6"/>
  <c r="AO489" i="6"/>
  <c r="AP489" i="6"/>
  <c r="AP490" i="6"/>
  <c r="AP492" i="6"/>
  <c r="AO495" i="6"/>
  <c r="AP495" i="6"/>
  <c r="AP496" i="6"/>
  <c r="AP498" i="6"/>
  <c r="AP501" i="6"/>
  <c r="AP504" i="6"/>
  <c r="AP403" i="6"/>
  <c r="AP404" i="6"/>
  <c r="AO422" i="6"/>
  <c r="AP422" i="6"/>
  <c r="AP423" i="6"/>
  <c r="AP424" i="6"/>
  <c r="AP432" i="6"/>
  <c r="AP433" i="6"/>
  <c r="AO447" i="6"/>
  <c r="AP447" i="6"/>
  <c r="AP448" i="6"/>
  <c r="AP449" i="6"/>
  <c r="AP450" i="6"/>
  <c r="AP451" i="6"/>
  <c r="AP471" i="6"/>
  <c r="AP472" i="6"/>
  <c r="AO474" i="6"/>
  <c r="AP474" i="6"/>
  <c r="AP475" i="6"/>
  <c r="AP476" i="6"/>
  <c r="AP507" i="6"/>
  <c r="AP508" i="6"/>
  <c r="AP509" i="6"/>
  <c r="AP510" i="6"/>
  <c r="AP512" i="6"/>
  <c r="AP513" i="6"/>
  <c r="AP2" i="6"/>
  <c r="AO2"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Wivart, Nicole</author>
  </authors>
  <commentList>
    <comment ref="N3" authorId="0" shapeId="0" xr:uid="{00000000-0006-0000-0100-000001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P3" authorId="0" shapeId="0" xr:uid="{00000000-0006-0000-0100-000002000000}">
      <text>
        <r>
          <rPr>
            <b/>
            <sz val="8"/>
            <color indexed="81"/>
            <rFont val="Tahoma"/>
            <family val="2"/>
          </rPr>
          <t xml:space="preserve">Choice Plus Network: Available for PPO and PPO w/HSA members residing in: AK, OR, TX, WI, MT, WY, ID
PPO: </t>
        </r>
        <r>
          <rPr>
            <sz val="8"/>
            <color indexed="81"/>
            <rFont val="Tahoma"/>
            <family val="2"/>
          </rPr>
          <t xml:space="preserve">Plan 7: 250/10 = Plan </t>
        </r>
        <r>
          <rPr>
            <b/>
            <sz val="8"/>
            <color indexed="81"/>
            <rFont val="Tahoma"/>
            <family val="2"/>
          </rPr>
          <t>13:</t>
        </r>
        <r>
          <rPr>
            <sz val="8"/>
            <color indexed="81"/>
            <rFont val="Tahoma"/>
            <family val="2"/>
          </rPr>
          <t xml:space="preserve"> 250/10 
</t>
        </r>
        <r>
          <rPr>
            <b/>
            <sz val="8"/>
            <color indexed="81"/>
            <rFont val="Tahoma"/>
            <family val="2"/>
          </rPr>
          <t>PPO</t>
        </r>
        <r>
          <rPr>
            <sz val="8"/>
            <color indexed="81"/>
            <rFont val="Tahoma"/>
            <family val="2"/>
          </rPr>
          <t xml:space="preserve">: Plan 8: 500/20 = Plan </t>
        </r>
        <r>
          <rPr>
            <b/>
            <sz val="8"/>
            <color indexed="81"/>
            <rFont val="Tahoma"/>
            <family val="2"/>
          </rPr>
          <t>14</t>
        </r>
        <r>
          <rPr>
            <sz val="8"/>
            <color indexed="81"/>
            <rFont val="Tahoma"/>
            <family val="2"/>
          </rPr>
          <t xml:space="preserve">: 500/20 
</t>
        </r>
        <r>
          <rPr>
            <b/>
            <sz val="8"/>
            <color indexed="81"/>
            <rFont val="Tahoma"/>
            <family val="2"/>
          </rPr>
          <t>PPO:</t>
        </r>
        <r>
          <rPr>
            <sz val="8"/>
            <color indexed="81"/>
            <rFont val="Tahoma"/>
            <family val="2"/>
          </rPr>
          <t xml:space="preserve"> Plan 9: 750/20 = Plan </t>
        </r>
        <r>
          <rPr>
            <b/>
            <sz val="8"/>
            <color indexed="81"/>
            <rFont val="Tahoma"/>
            <family val="2"/>
          </rPr>
          <t>15:</t>
        </r>
        <r>
          <rPr>
            <sz val="8"/>
            <color indexed="81"/>
            <rFont val="Tahoma"/>
            <family val="2"/>
          </rPr>
          <t xml:space="preserve"> 750/20 
</t>
        </r>
        <r>
          <rPr>
            <b/>
            <sz val="8"/>
            <color indexed="81"/>
            <rFont val="Tahoma"/>
            <family val="2"/>
          </rPr>
          <t>PPO w/ HSA:</t>
        </r>
        <r>
          <rPr>
            <sz val="8"/>
            <color indexed="81"/>
            <rFont val="Tahoma"/>
            <family val="2"/>
          </rPr>
          <t xml:space="preserve"> Plan 11: 1500/10 = Plan </t>
        </r>
        <r>
          <rPr>
            <b/>
            <sz val="8"/>
            <color indexed="81"/>
            <rFont val="Tahoma"/>
            <family val="2"/>
          </rPr>
          <t>16</t>
        </r>
        <r>
          <rPr>
            <sz val="8"/>
            <color indexed="81"/>
            <rFont val="Tahoma"/>
            <family val="2"/>
          </rPr>
          <t xml:space="preserve">: 1500/10
</t>
        </r>
        <r>
          <rPr>
            <b/>
            <sz val="8"/>
            <color indexed="81"/>
            <rFont val="Tahoma"/>
            <family val="2"/>
          </rPr>
          <t>PPO w/ HSA:</t>
        </r>
        <r>
          <rPr>
            <sz val="8"/>
            <color indexed="81"/>
            <rFont val="Tahoma"/>
            <family val="2"/>
          </rPr>
          <t xml:space="preserve"> Plan 12: 4000/100 + 20 = Plan </t>
        </r>
        <r>
          <rPr>
            <b/>
            <sz val="8"/>
            <color indexed="81"/>
            <rFont val="Tahoma"/>
            <family val="2"/>
          </rPr>
          <t>17</t>
        </r>
        <r>
          <rPr>
            <sz val="8"/>
            <color indexed="81"/>
            <rFont val="Tahoma"/>
            <family val="2"/>
          </rPr>
          <t xml:space="preserve">: 4000/100 + 20
</t>
        </r>
        <r>
          <rPr>
            <b/>
            <sz val="8"/>
            <color indexed="81"/>
            <rFont val="Tahoma"/>
            <family val="2"/>
          </rPr>
          <t>PPO w/ HSA</t>
        </r>
        <r>
          <rPr>
            <sz val="8"/>
            <color indexed="81"/>
            <rFont val="Tahoma"/>
            <family val="2"/>
          </rPr>
          <t xml:space="preserve">: Plan 18: 2700/20 = Plan </t>
        </r>
        <r>
          <rPr>
            <b/>
            <sz val="8"/>
            <color indexed="81"/>
            <rFont val="Tahoma"/>
            <family val="2"/>
          </rPr>
          <t>19</t>
        </r>
        <r>
          <rPr>
            <sz val="8"/>
            <color indexed="81"/>
            <rFont val="Tahoma"/>
            <family val="2"/>
          </rPr>
          <t>: 2700/20</t>
        </r>
      </text>
    </comment>
    <comment ref="Z3" authorId="0" shapeId="0" xr:uid="{00000000-0006-0000-0100-000003000000}">
      <text>
        <r>
          <rPr>
            <b/>
            <sz val="10"/>
            <color indexed="81"/>
            <rFont val="Arial"/>
            <family val="2"/>
          </rPr>
          <t>o Small (2-50 eligible)
o Middle (51-99 eligible)
o Medium (100-250 eligible)
o Large (250+ eligible)</t>
        </r>
      </text>
    </comment>
    <comment ref="N4" authorId="0" shapeId="0" xr:uid="{00000000-0006-0000-0100-000004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21" authorId="0" shapeId="0" xr:uid="{00000000-0006-0000-0100-000005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30" authorId="0" shapeId="0" xr:uid="{00000000-0006-0000-0100-000006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46" authorId="0" shapeId="0" xr:uid="{00000000-0006-0000-0100-000007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58" authorId="0" shapeId="0" xr:uid="{00000000-0006-0000-0100-000008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71" authorId="0" shapeId="0" xr:uid="{00000000-0006-0000-0100-000009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78" authorId="0" shapeId="0" xr:uid="{00000000-0006-0000-0100-00000A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85" authorId="0" shapeId="0" xr:uid="{00000000-0006-0000-0100-00000B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L99" authorId="0" shapeId="0" xr:uid="{00000000-0006-0000-0100-00000C000000}">
      <text>
        <r>
          <rPr>
            <b/>
            <sz val="10"/>
            <color indexed="81"/>
            <rFont val="Arial"/>
            <family val="2"/>
          </rPr>
          <t>Was DNA 2.0</t>
        </r>
      </text>
    </comment>
    <comment ref="N99" authorId="0" shapeId="0" xr:uid="{00000000-0006-0000-0100-00000D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105" authorId="0" shapeId="0" xr:uid="{00000000-0006-0000-0100-00000E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121" authorId="0" shapeId="0" xr:uid="{00000000-0006-0000-0100-00000F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137" authorId="0" shapeId="0" xr:uid="{00000000-0006-0000-0100-000010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144" authorId="0" shapeId="0" xr:uid="{00000000-0006-0000-0100-000011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154" authorId="0" shapeId="0" xr:uid="{00000000-0006-0000-0100-000012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167" authorId="0" shapeId="0" xr:uid="{00000000-0006-0000-0100-000013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180" authorId="0" shapeId="0" xr:uid="{00000000-0006-0000-0100-000014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196" authorId="0" shapeId="0" xr:uid="{00000000-0006-0000-0100-000015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207" authorId="0" shapeId="0" xr:uid="{00000000-0006-0000-0100-000016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225" authorId="0" shapeId="0" xr:uid="{00000000-0006-0000-0100-000017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239" authorId="0" shapeId="0" xr:uid="{00000000-0006-0000-0100-000018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248" authorId="0" shapeId="0" xr:uid="{00000000-0006-0000-0100-000019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262" authorId="0" shapeId="0" xr:uid="{00000000-0006-0000-0100-00001A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276" authorId="0" shapeId="0" xr:uid="{00000000-0006-0000-0100-00001B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291" authorId="0" shapeId="0" xr:uid="{00000000-0006-0000-0100-00001C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302" authorId="0" shapeId="0" xr:uid="{00000000-0006-0000-0100-00001D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317" authorId="0" shapeId="0" xr:uid="{00000000-0006-0000-0100-00001E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329" authorId="0" shapeId="0" xr:uid="{00000000-0006-0000-0100-00001F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343" authorId="0" shapeId="0" xr:uid="{00000000-0006-0000-0100-000020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352" authorId="0" shapeId="0" xr:uid="{00000000-0006-0000-0100-000021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AA352" authorId="0" shapeId="0" xr:uid="{00000000-0006-0000-0100-000022000000}">
      <text>
        <r>
          <rPr>
            <b/>
            <sz val="8"/>
            <color indexed="81"/>
            <rFont val="Tahoma"/>
            <family val="2"/>
          </rPr>
          <t>NAICS: 32541</t>
        </r>
        <r>
          <rPr>
            <sz val="8"/>
            <color indexed="81"/>
            <rFont val="Tahoma"/>
            <family val="2"/>
          </rPr>
          <t xml:space="preserve">
</t>
        </r>
      </text>
    </comment>
    <comment ref="N363" authorId="0" shapeId="0" xr:uid="{00000000-0006-0000-0100-000023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376" authorId="0" shapeId="0" xr:uid="{00000000-0006-0000-0100-000024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392" authorId="0" shapeId="0" xr:uid="{00000000-0006-0000-0100-000025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405" authorId="0" shapeId="0" xr:uid="{00000000-0006-0000-0100-000026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422" authorId="0" shapeId="0" xr:uid="{00000000-0006-0000-0100-000027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435" authorId="0" shapeId="0" xr:uid="{00000000-0006-0000-0100-000028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445" authorId="0" shapeId="0" xr:uid="{00000000-0006-0000-0100-000029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455" authorId="0" shapeId="0" xr:uid="{00000000-0006-0000-0100-00002A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474" authorId="0" shapeId="0" xr:uid="{00000000-0006-0000-0100-00002B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482" authorId="0" shapeId="0" xr:uid="{00000000-0006-0000-0100-00002C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494" authorId="0" shapeId="0" xr:uid="{00000000-0006-0000-0100-00002D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510" authorId="0" shapeId="0" xr:uid="{00000000-0006-0000-0100-00002E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522" authorId="0" shapeId="0" xr:uid="{00000000-0006-0000-0100-00002F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529" authorId="0" shapeId="0" xr:uid="{00000000-0006-0000-0100-000030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541" authorId="0" shapeId="0" xr:uid="{00000000-0006-0000-0100-000031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553" authorId="0" shapeId="0" xr:uid="{00000000-0006-0000-0100-000032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567" authorId="0" shapeId="0" xr:uid="{00000000-0006-0000-0100-000033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581" authorId="0" shapeId="0" xr:uid="{00000000-0006-0000-0100-000034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593" authorId="0" shapeId="0" xr:uid="{00000000-0006-0000-0100-000035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607" authorId="0" shapeId="0" xr:uid="{00000000-0006-0000-0100-000036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618" authorId="0" shapeId="0" xr:uid="{00000000-0006-0000-0100-000037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625" authorId="0" shapeId="0" xr:uid="{00000000-0006-0000-0100-000038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633" authorId="0" shapeId="0" xr:uid="{00000000-0006-0000-0100-000039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645" authorId="0" shapeId="0" xr:uid="{00000000-0006-0000-0100-00003A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657" authorId="0" shapeId="0" xr:uid="{00000000-0006-0000-0100-00003B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671" authorId="0" shapeId="0" xr:uid="{00000000-0006-0000-0100-00003C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688" authorId="0" shapeId="0" xr:uid="{00000000-0006-0000-0100-00003D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701" authorId="0" shapeId="0" xr:uid="{00000000-0006-0000-0100-00003E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712" authorId="0" shapeId="0" xr:uid="{00000000-0006-0000-0100-00003F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720" authorId="0" shapeId="0" xr:uid="{00000000-0006-0000-0100-000040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730" authorId="0" shapeId="0" xr:uid="{00000000-0006-0000-0100-000041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O736" authorId="0" shapeId="0" xr:uid="{00000000-0006-0000-0100-000042000000}">
      <text>
        <r>
          <rPr>
            <b/>
            <sz val="10"/>
            <color indexed="81"/>
            <rFont val="Tahoma"/>
            <family val="2"/>
          </rPr>
          <t>Renewing as part of the trust but have separate policy numbers from the addition of FML to their policies</t>
        </r>
      </text>
    </comment>
    <comment ref="N747" authorId="0" shapeId="0" xr:uid="{00000000-0006-0000-0100-000043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755" authorId="0" shapeId="0" xr:uid="{00000000-0006-0000-0100-000044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771" authorId="0" shapeId="0" xr:uid="{00000000-0006-0000-0100-000045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788" authorId="0" shapeId="0" xr:uid="{00000000-0006-0000-0100-000046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800" authorId="0" shapeId="0" xr:uid="{00000000-0006-0000-0100-000047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807" authorId="0" shapeId="0" xr:uid="{00000000-0006-0000-0100-000048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822" authorId="0" shapeId="0" xr:uid="{00000000-0006-0000-0100-000049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835" authorId="0" shapeId="0" xr:uid="{00000000-0006-0000-0100-00004A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849" authorId="0" shapeId="0" xr:uid="{00000000-0006-0000-0100-00004B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856" authorId="0" shapeId="0" xr:uid="{00000000-0006-0000-0100-00004C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867" authorId="0" shapeId="0" xr:uid="{00000000-0006-0000-0100-00004D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875" authorId="0" shapeId="0" xr:uid="{00000000-0006-0000-0100-00004E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887" authorId="0" shapeId="0" xr:uid="{00000000-0006-0000-0100-00004F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905" authorId="0" shapeId="0" xr:uid="{00000000-0006-0000-0100-000050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920" authorId="0" shapeId="0" xr:uid="{00000000-0006-0000-0100-000051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930" authorId="0" shapeId="0" xr:uid="{00000000-0006-0000-0100-000052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944" authorId="0" shapeId="0" xr:uid="{00000000-0006-0000-0100-000053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950" authorId="0" shapeId="0" xr:uid="{00000000-0006-0000-0100-000054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969" authorId="0" shapeId="0" xr:uid="{00000000-0006-0000-0100-000055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990" authorId="0" shapeId="0" xr:uid="{00000000-0006-0000-0100-000056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1012" authorId="0" shapeId="0" xr:uid="{00000000-0006-0000-0100-000057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1034" authorId="0" shapeId="0" xr:uid="{00000000-0006-0000-0100-000058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1056" authorId="0" shapeId="0" xr:uid="{00000000-0006-0000-0100-000059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1078" authorId="0" shapeId="0" xr:uid="{00000000-0006-0000-0100-00005A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1101" authorId="0" shapeId="0" xr:uid="{00000000-0006-0000-0100-00005B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1118" authorId="0" shapeId="0" xr:uid="{00000000-0006-0000-0100-00005C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1164" authorId="0" shapeId="0" xr:uid="{00000000-0006-0000-0100-00005D00000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 satisfied Microsoft Office user</author>
  </authors>
  <commentList>
    <comment ref="T1" authorId="0" shapeId="0" xr:uid="{00000000-0006-0000-0E00-000001000000}">
      <text>
        <r>
          <rPr>
            <sz val="8"/>
            <color indexed="81"/>
            <rFont val="Tahoma"/>
            <family val="2"/>
          </rPr>
          <t xml:space="preserve">Do not us AB1401 - This is CAL COBRA
</t>
        </r>
      </text>
    </comment>
    <comment ref="U1" authorId="0" shapeId="0" xr:uid="{00000000-0006-0000-0E00-000002000000}">
      <text>
        <r>
          <rPr>
            <sz val="8"/>
            <color indexed="81"/>
            <rFont val="Tahoma"/>
            <family val="2"/>
          </rPr>
          <t xml:space="preserve">Do Not use OOS - this is for client's situs outside CA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Wivart, Nicole</author>
  </authors>
  <commentList>
    <comment ref="B5" authorId="0" shapeId="0" xr:uid="{00000000-0006-0000-0F00-000001000000}">
      <text>
        <r>
          <rPr>
            <sz val="10"/>
            <color indexed="81"/>
            <rFont val="Calibri"/>
            <family val="2"/>
          </rPr>
          <t xml:space="preserve">Medical limited to one carrier option.
</t>
        </r>
      </text>
    </comment>
    <comment ref="D5" authorId="1" shapeId="0" xr:uid="{00000000-0006-0000-0F00-000002000000}">
      <text>
        <r>
          <rPr>
            <b/>
            <sz val="8"/>
            <color indexed="81"/>
            <rFont val="Tahoma"/>
            <family val="2"/>
          </rPr>
          <t>If selecting the Select Plus PPO or PPO with HSA plan, please also select Choice Plus Network if you have any employees residing in: AK, OR, TX, WI, MT, WY, ID</t>
        </r>
      </text>
    </comment>
    <comment ref="G5" authorId="0" shapeId="0" xr:uid="{00000000-0006-0000-0F00-000003000000}">
      <text>
        <r>
          <rPr>
            <sz val="10"/>
            <color indexed="81"/>
            <rFont val="Calibri"/>
            <family val="2"/>
          </rPr>
          <t xml:space="preserve">Select each Class for which this plan will be offered.
</t>
        </r>
      </text>
    </comment>
    <comment ref="H5" authorId="0" shapeId="0" xr:uid="{00000000-0006-0000-0F00-000004000000}">
      <text>
        <r>
          <rPr>
            <sz val="10"/>
            <color indexed="81"/>
            <rFont val="Calibri"/>
            <family val="2"/>
          </rPr>
          <t xml:space="preserve">Is this product deducted pre- or post-tax?
</t>
        </r>
      </text>
    </comment>
    <comment ref="I5" authorId="0" shapeId="0" xr:uid="{00000000-0006-0000-0F00-000005000000}">
      <text>
        <r>
          <rPr>
            <sz val="10"/>
            <color indexed="81"/>
            <rFont val="Calibri"/>
            <family val="2"/>
          </rPr>
          <t xml:space="preserve">Can the member waive this product, even if employer sponsored?
</t>
        </r>
      </text>
    </comment>
    <comment ref="J5" authorId="0" shapeId="0" xr:uid="{00000000-0006-0000-0F00-000006000000}">
      <text>
        <r>
          <rPr>
            <sz val="10"/>
            <color indexed="81"/>
            <rFont val="Calibri"/>
            <family val="2"/>
          </rPr>
          <t xml:space="preserve">Is this product self-funded?
</t>
        </r>
      </text>
    </comment>
    <comment ref="K5" authorId="0" shapeId="0" xr:uid="{00000000-0006-0000-0F00-000007000000}">
      <text>
        <r>
          <rPr>
            <sz val="10"/>
            <color indexed="81"/>
            <rFont val="Calibri"/>
            <family val="2"/>
          </rPr>
          <t xml:space="preserve">Is this product self-funded?
</t>
        </r>
      </text>
    </comment>
    <comment ref="M5" authorId="0" shapeId="0" xr:uid="{00000000-0006-0000-0F00-000008000000}">
      <text>
        <r>
          <rPr>
            <sz val="10"/>
            <color indexed="81"/>
            <rFont val="Calibri"/>
            <family val="2"/>
          </rPr>
          <t xml:space="preserve">Enter Renewal Date
</t>
        </r>
      </text>
    </comment>
    <comment ref="B32" authorId="0" shapeId="0" xr:uid="{00000000-0006-0000-0F00-000009000000}">
      <text>
        <r>
          <rPr>
            <sz val="10"/>
            <color indexed="81"/>
            <rFont val="Calibri"/>
            <family val="2"/>
          </rPr>
          <t xml:space="preserve">Dental limited to three carrier options.
</t>
        </r>
      </text>
    </comment>
    <comment ref="G32" authorId="0" shapeId="0" xr:uid="{00000000-0006-0000-0F00-00000A000000}">
      <text>
        <r>
          <rPr>
            <sz val="10"/>
            <color indexed="81"/>
            <rFont val="Calibri"/>
            <family val="2"/>
          </rPr>
          <t xml:space="preserve">Select each Class for which this plan will be offered.
</t>
        </r>
      </text>
    </comment>
    <comment ref="H32" authorId="0" shapeId="0" xr:uid="{00000000-0006-0000-0F00-00000B000000}">
      <text>
        <r>
          <rPr>
            <sz val="10"/>
            <color indexed="81"/>
            <rFont val="Calibri"/>
            <family val="2"/>
          </rPr>
          <t xml:space="preserve">Is this product deducted pre- or post-tax?
</t>
        </r>
      </text>
    </comment>
    <comment ref="I32" authorId="0" shapeId="0" xr:uid="{00000000-0006-0000-0F00-00000C000000}">
      <text>
        <r>
          <rPr>
            <sz val="10"/>
            <color indexed="81"/>
            <rFont val="Calibri"/>
            <family val="2"/>
          </rPr>
          <t xml:space="preserve">Can the member waive this product, even if employer sponsored?
</t>
        </r>
      </text>
    </comment>
    <comment ref="J32" authorId="0" shapeId="0" xr:uid="{00000000-0006-0000-0F00-00000D000000}">
      <text>
        <r>
          <rPr>
            <sz val="10"/>
            <color indexed="81"/>
            <rFont val="Calibri"/>
            <family val="2"/>
          </rPr>
          <t xml:space="preserve">Is this product self-funded?
</t>
        </r>
      </text>
    </comment>
    <comment ref="K32" authorId="0" shapeId="0" xr:uid="{00000000-0006-0000-0F00-00000E000000}">
      <text>
        <r>
          <rPr>
            <sz val="10"/>
            <color indexed="81"/>
            <rFont val="Calibri"/>
            <family val="2"/>
          </rPr>
          <t xml:space="preserve">Is this product self-funded?
</t>
        </r>
      </text>
    </comment>
    <comment ref="M32" authorId="0" shapeId="0" xr:uid="{00000000-0006-0000-0F00-00000F000000}">
      <text>
        <r>
          <rPr>
            <sz val="10"/>
            <color indexed="81"/>
            <rFont val="Calibri"/>
            <family val="2"/>
          </rPr>
          <t xml:space="preserve">Enter Renewal Date
</t>
        </r>
      </text>
    </comment>
    <comment ref="B44" authorId="0" shapeId="0" xr:uid="{00000000-0006-0000-0F00-000010000000}">
      <text>
        <r>
          <rPr>
            <sz val="10"/>
            <color indexed="81"/>
            <rFont val="Calibri"/>
            <family val="2"/>
          </rPr>
          <t>Vision limited to three carrier options.</t>
        </r>
      </text>
    </comment>
    <comment ref="G44" authorId="0" shapeId="0" xr:uid="{00000000-0006-0000-0F00-000011000000}">
      <text>
        <r>
          <rPr>
            <sz val="10"/>
            <color indexed="81"/>
            <rFont val="Calibri"/>
            <family val="2"/>
          </rPr>
          <t xml:space="preserve">Select each Class for which this plan will be offered.
</t>
        </r>
      </text>
    </comment>
    <comment ref="H44" authorId="0" shapeId="0" xr:uid="{00000000-0006-0000-0F00-000012000000}">
      <text>
        <r>
          <rPr>
            <sz val="10"/>
            <color indexed="81"/>
            <rFont val="Calibri"/>
            <family val="2"/>
          </rPr>
          <t xml:space="preserve">Is this product deducted pre- or post-tax?
</t>
        </r>
      </text>
    </comment>
    <comment ref="I44" authorId="0" shapeId="0" xr:uid="{00000000-0006-0000-0F00-000013000000}">
      <text>
        <r>
          <rPr>
            <sz val="10"/>
            <color indexed="81"/>
            <rFont val="Calibri"/>
            <family val="2"/>
          </rPr>
          <t xml:space="preserve">Can the member waive this product, even if employer sponsored?
</t>
        </r>
      </text>
    </comment>
    <comment ref="J44" authorId="0" shapeId="0" xr:uid="{00000000-0006-0000-0F00-000014000000}">
      <text>
        <r>
          <rPr>
            <sz val="10"/>
            <color indexed="81"/>
            <rFont val="Calibri"/>
            <family val="2"/>
          </rPr>
          <t xml:space="preserve">Is this product self-funded?
</t>
        </r>
      </text>
    </comment>
    <comment ref="K44" authorId="0" shapeId="0" xr:uid="{00000000-0006-0000-0F00-000015000000}">
      <text>
        <r>
          <rPr>
            <sz val="10"/>
            <color indexed="81"/>
            <rFont val="Calibri"/>
            <family val="2"/>
          </rPr>
          <t xml:space="preserve">Is this product self-funded?
</t>
        </r>
      </text>
    </comment>
    <comment ref="M44" authorId="0" shapeId="0" xr:uid="{00000000-0006-0000-0F00-000016000000}">
      <text>
        <r>
          <rPr>
            <sz val="10"/>
            <color indexed="81"/>
            <rFont val="Calibri"/>
            <family val="2"/>
          </rPr>
          <t xml:space="preserve">Enter Renewal Date
</t>
        </r>
      </text>
    </comment>
    <comment ref="B51" authorId="0" shapeId="0" xr:uid="{00000000-0006-0000-0F00-000017000000}">
      <text>
        <r>
          <rPr>
            <sz val="10"/>
            <color indexed="81"/>
            <rFont val="Calibri"/>
            <family val="2"/>
          </rPr>
          <t>Basic Life limited to one carrier option.</t>
        </r>
      </text>
    </comment>
    <comment ref="G51" authorId="0" shapeId="0" xr:uid="{00000000-0006-0000-0F00-000018000000}">
      <text>
        <r>
          <rPr>
            <sz val="10"/>
            <color indexed="81"/>
            <rFont val="Calibri"/>
            <family val="2"/>
          </rPr>
          <t xml:space="preserve">Select each Class for which this plan will be offered.
</t>
        </r>
      </text>
    </comment>
    <comment ref="H51" authorId="0" shapeId="0" xr:uid="{00000000-0006-0000-0F00-000019000000}">
      <text>
        <r>
          <rPr>
            <sz val="10"/>
            <color indexed="81"/>
            <rFont val="Calibri"/>
            <family val="2"/>
          </rPr>
          <t xml:space="preserve">Is this product deducted pre- or post-tax?
</t>
        </r>
      </text>
    </comment>
    <comment ref="I51" authorId="0" shapeId="0" xr:uid="{00000000-0006-0000-0F00-00001A000000}">
      <text>
        <r>
          <rPr>
            <sz val="10"/>
            <color indexed="81"/>
            <rFont val="Calibri"/>
            <family val="2"/>
          </rPr>
          <t xml:space="preserve">Can the member waive this product, even if employer sponsored?
</t>
        </r>
      </text>
    </comment>
    <comment ref="J51" authorId="0" shapeId="0" xr:uid="{00000000-0006-0000-0F00-00001B000000}">
      <text>
        <r>
          <rPr>
            <sz val="10"/>
            <color indexed="81"/>
            <rFont val="Calibri"/>
            <family val="2"/>
          </rPr>
          <t xml:space="preserve">Is this product self-funded?
</t>
        </r>
      </text>
    </comment>
    <comment ref="K51" authorId="0" shapeId="0" xr:uid="{00000000-0006-0000-0F00-00001C000000}">
      <text>
        <r>
          <rPr>
            <sz val="10"/>
            <color indexed="81"/>
            <rFont val="Calibri"/>
            <family val="2"/>
          </rPr>
          <t xml:space="preserve">Is this product self-funded?
</t>
        </r>
      </text>
    </comment>
    <comment ref="M51" authorId="0" shapeId="0" xr:uid="{00000000-0006-0000-0F00-00001D000000}">
      <text>
        <r>
          <rPr>
            <sz val="10"/>
            <color indexed="81"/>
            <rFont val="Calibri"/>
            <family val="2"/>
          </rPr>
          <t xml:space="preserve">Enter Renewal Date
</t>
        </r>
      </text>
    </comment>
    <comment ref="B59" authorId="0" shapeId="0" xr:uid="{00000000-0006-0000-0F00-00001E000000}">
      <text>
        <r>
          <rPr>
            <sz val="10"/>
            <color indexed="81"/>
            <rFont val="Calibri"/>
            <family val="2"/>
          </rPr>
          <t>Basic Life limited to one carrier option.</t>
        </r>
      </text>
    </comment>
    <comment ref="G59" authorId="0" shapeId="0" xr:uid="{00000000-0006-0000-0F00-00001F000000}">
      <text>
        <r>
          <rPr>
            <sz val="10"/>
            <color indexed="81"/>
            <rFont val="Calibri"/>
            <family val="2"/>
          </rPr>
          <t xml:space="preserve">Select each Class for which this plan will be offered.
</t>
        </r>
      </text>
    </comment>
    <comment ref="H59" authorId="0" shapeId="0" xr:uid="{00000000-0006-0000-0F00-000020000000}">
      <text>
        <r>
          <rPr>
            <sz val="10"/>
            <color indexed="81"/>
            <rFont val="Calibri"/>
            <family val="2"/>
          </rPr>
          <t xml:space="preserve">Is this product deducted pre- or post-tax?
</t>
        </r>
      </text>
    </comment>
    <comment ref="I59" authorId="0" shapeId="0" xr:uid="{00000000-0006-0000-0F00-000021000000}">
      <text>
        <r>
          <rPr>
            <sz val="10"/>
            <color indexed="81"/>
            <rFont val="Calibri"/>
            <family val="2"/>
          </rPr>
          <t xml:space="preserve">Can the member waive this product, even if employer sponsored?
</t>
        </r>
      </text>
    </comment>
    <comment ref="J59" authorId="0" shapeId="0" xr:uid="{00000000-0006-0000-0F00-000022000000}">
      <text>
        <r>
          <rPr>
            <sz val="10"/>
            <color indexed="81"/>
            <rFont val="Calibri"/>
            <family val="2"/>
          </rPr>
          <t xml:space="preserve">Is this product self-funded?
</t>
        </r>
      </text>
    </comment>
    <comment ref="K59" authorId="0" shapeId="0" xr:uid="{00000000-0006-0000-0F00-000023000000}">
      <text>
        <r>
          <rPr>
            <sz val="10"/>
            <color indexed="81"/>
            <rFont val="Calibri"/>
            <family val="2"/>
          </rPr>
          <t xml:space="preserve">Is this product self-funded?
</t>
        </r>
      </text>
    </comment>
    <comment ref="M59" authorId="0" shapeId="0" xr:uid="{00000000-0006-0000-0F00-000024000000}">
      <text>
        <r>
          <rPr>
            <sz val="10"/>
            <color indexed="81"/>
            <rFont val="Calibri"/>
            <family val="2"/>
          </rPr>
          <t xml:space="preserve">Enter Renewal Date
</t>
        </r>
      </text>
    </comment>
    <comment ref="B67" authorId="0" shapeId="0" xr:uid="{00000000-0006-0000-0F00-000025000000}">
      <text>
        <r>
          <rPr>
            <sz val="10"/>
            <color indexed="81"/>
            <rFont val="Calibri"/>
            <family val="2"/>
          </rPr>
          <t>STD limited to one carrier option.</t>
        </r>
      </text>
    </comment>
    <comment ref="G67" authorId="0" shapeId="0" xr:uid="{00000000-0006-0000-0F00-000026000000}">
      <text>
        <r>
          <rPr>
            <sz val="10"/>
            <color indexed="81"/>
            <rFont val="Calibri"/>
            <family val="2"/>
          </rPr>
          <t xml:space="preserve">Select each Class for which this plan will be offered.
</t>
        </r>
      </text>
    </comment>
    <comment ref="H67" authorId="0" shapeId="0" xr:uid="{00000000-0006-0000-0F00-000027000000}">
      <text>
        <r>
          <rPr>
            <sz val="10"/>
            <color indexed="81"/>
            <rFont val="Calibri"/>
            <family val="2"/>
          </rPr>
          <t xml:space="preserve">Is this product deducted pre- or post-tax?
</t>
        </r>
      </text>
    </comment>
    <comment ref="I67" authorId="0" shapeId="0" xr:uid="{00000000-0006-0000-0F00-000028000000}">
      <text>
        <r>
          <rPr>
            <sz val="10"/>
            <color indexed="81"/>
            <rFont val="Calibri"/>
            <family val="2"/>
          </rPr>
          <t xml:space="preserve">Can the member waive this product, even if employer sponsored?
</t>
        </r>
      </text>
    </comment>
    <comment ref="J67" authorId="0" shapeId="0" xr:uid="{00000000-0006-0000-0F00-000029000000}">
      <text>
        <r>
          <rPr>
            <sz val="10"/>
            <color indexed="81"/>
            <rFont val="Calibri"/>
            <family val="2"/>
          </rPr>
          <t xml:space="preserve">Is this product self-funded?
</t>
        </r>
      </text>
    </comment>
    <comment ref="K67" authorId="0" shapeId="0" xr:uid="{00000000-0006-0000-0F00-00002A000000}">
      <text>
        <r>
          <rPr>
            <sz val="10"/>
            <color indexed="81"/>
            <rFont val="Calibri"/>
            <family val="2"/>
          </rPr>
          <t xml:space="preserve">Is this product self-funded?
</t>
        </r>
      </text>
    </comment>
    <comment ref="M67" authorId="0" shapeId="0" xr:uid="{00000000-0006-0000-0F00-00002B000000}">
      <text>
        <r>
          <rPr>
            <sz val="10"/>
            <color indexed="81"/>
            <rFont val="Calibri"/>
            <family val="2"/>
          </rPr>
          <t xml:space="preserve">Enter Renewal Date
</t>
        </r>
      </text>
    </comment>
    <comment ref="B77" authorId="0" shapeId="0" xr:uid="{00000000-0006-0000-0F00-00002C000000}">
      <text>
        <r>
          <rPr>
            <sz val="10"/>
            <color indexed="81"/>
            <rFont val="Calibri"/>
            <family val="2"/>
          </rPr>
          <t>LTD limited to one carrier option.</t>
        </r>
      </text>
    </comment>
    <comment ref="G77" authorId="0" shapeId="0" xr:uid="{00000000-0006-0000-0F00-00002D000000}">
      <text>
        <r>
          <rPr>
            <sz val="10"/>
            <color indexed="81"/>
            <rFont val="Calibri"/>
            <family val="2"/>
          </rPr>
          <t xml:space="preserve">Select each Class for which this plan will be offered.
</t>
        </r>
      </text>
    </comment>
    <comment ref="H77" authorId="0" shapeId="0" xr:uid="{00000000-0006-0000-0F00-00002E000000}">
      <text>
        <r>
          <rPr>
            <sz val="10"/>
            <color indexed="81"/>
            <rFont val="Calibri"/>
            <family val="2"/>
          </rPr>
          <t xml:space="preserve">Is this product deducted pre- or post-tax?
</t>
        </r>
      </text>
    </comment>
    <comment ref="I77" authorId="0" shapeId="0" xr:uid="{00000000-0006-0000-0F00-00002F000000}">
      <text>
        <r>
          <rPr>
            <sz val="10"/>
            <color indexed="81"/>
            <rFont val="Calibri"/>
            <family val="2"/>
          </rPr>
          <t xml:space="preserve">Can the member waive this product, even if employer sponsored?
</t>
        </r>
      </text>
    </comment>
    <comment ref="J77" authorId="0" shapeId="0" xr:uid="{00000000-0006-0000-0F00-000030000000}">
      <text>
        <r>
          <rPr>
            <sz val="10"/>
            <color indexed="81"/>
            <rFont val="Calibri"/>
            <family val="2"/>
          </rPr>
          <t xml:space="preserve">Is this product self-funded?
</t>
        </r>
      </text>
    </comment>
    <comment ref="K77" authorId="0" shapeId="0" xr:uid="{00000000-0006-0000-0F00-000031000000}">
      <text>
        <r>
          <rPr>
            <sz val="10"/>
            <color indexed="81"/>
            <rFont val="Calibri"/>
            <family val="2"/>
          </rPr>
          <t xml:space="preserve">Is this product self-funded?
</t>
        </r>
      </text>
    </comment>
    <comment ref="M77" authorId="0" shapeId="0" xr:uid="{00000000-0006-0000-0F00-000032000000}">
      <text>
        <r>
          <rPr>
            <sz val="10"/>
            <color indexed="81"/>
            <rFont val="Calibri"/>
            <family val="2"/>
          </rPr>
          <t xml:space="preserve">Enter Renewal Date
</t>
        </r>
      </text>
    </comment>
    <comment ref="C89" authorId="1" shapeId="0" xr:uid="{00000000-0006-0000-0F00-000033000000}">
      <text>
        <r>
          <rPr>
            <b/>
            <sz val="8"/>
            <color indexed="81"/>
            <rFont val="Tahoma"/>
            <family val="2"/>
          </rPr>
          <t>Plan dependency on selection of HDHP.</t>
        </r>
        <r>
          <rPr>
            <sz val="8"/>
            <color indexed="81"/>
            <rFont val="Tahoma"/>
            <family val="2"/>
          </rPr>
          <t xml:space="preserve">
</t>
        </r>
      </text>
    </comment>
    <comment ref="D89" authorId="0" shapeId="0" xr:uid="{00000000-0006-0000-0F00-000034000000}">
      <text>
        <r>
          <rPr>
            <sz val="10"/>
            <color indexed="81"/>
            <rFont val="Calibri"/>
            <family val="2"/>
          </rPr>
          <t xml:space="preserve">Select each Class for which this product will be offered.
</t>
        </r>
      </text>
    </comment>
    <comment ref="G89" authorId="0" shapeId="0" xr:uid="{00000000-0006-0000-0F00-000035000000}">
      <text>
        <r>
          <rPr>
            <sz val="10"/>
            <color indexed="81"/>
            <rFont val="Calibri"/>
            <family val="2"/>
          </rPr>
          <t xml:space="preserve">Enter Renewal Date
</t>
        </r>
      </text>
    </comment>
    <comment ref="B90" authorId="1" shapeId="0" xr:uid="{00000000-0006-0000-0F00-000036000000}">
      <text>
        <r>
          <rPr>
            <b/>
            <sz val="8"/>
            <color indexed="81"/>
            <rFont val="Tahoma"/>
            <family val="2"/>
          </rPr>
          <t>Health Savings Account (HSA)</t>
        </r>
      </text>
    </comment>
    <comment ref="B91" authorId="1" shapeId="0" xr:uid="{00000000-0006-0000-0F00-000037000000}">
      <text>
        <r>
          <rPr>
            <b/>
            <sz val="8"/>
            <color indexed="81"/>
            <rFont val="Tahoma"/>
            <family val="2"/>
          </rPr>
          <t>Limited Purpose Flexible Spending Account (LPFSA)</t>
        </r>
      </text>
    </comment>
    <comment ref="D95" authorId="0" shapeId="0" xr:uid="{00000000-0006-0000-0F00-000038000000}">
      <text>
        <r>
          <rPr>
            <sz val="10"/>
            <color indexed="81"/>
            <rFont val="Calibri"/>
            <family val="2"/>
          </rPr>
          <t xml:space="preserve">Select each Class for which this product will be offered.
</t>
        </r>
      </text>
    </comment>
    <comment ref="G95" authorId="0" shapeId="0" xr:uid="{00000000-0006-0000-0F00-000039000000}">
      <text>
        <r>
          <rPr>
            <sz val="10"/>
            <color indexed="81"/>
            <rFont val="Calibri"/>
            <family val="2"/>
          </rPr>
          <t xml:space="preserve">Enter Renewal Date
</t>
        </r>
      </text>
    </comment>
    <comment ref="B97" authorId="1" shapeId="0" xr:uid="{00000000-0006-0000-0F00-00003A000000}">
      <text>
        <r>
          <rPr>
            <b/>
            <sz val="8"/>
            <color indexed="81"/>
            <rFont val="Tahoma"/>
            <family val="2"/>
          </rPr>
          <t>Dependent Care Reimbursement Account (DCRA)</t>
        </r>
        <r>
          <rPr>
            <sz val="8"/>
            <color indexed="81"/>
            <rFont val="Tahoma"/>
            <family val="2"/>
          </rPr>
          <t xml:space="preserve">
</t>
        </r>
      </text>
    </comment>
    <comment ref="B101" authorId="0" shapeId="0" xr:uid="{00000000-0006-0000-0F00-00003B000000}">
      <text>
        <r>
          <rPr>
            <sz val="10"/>
            <color indexed="81"/>
            <rFont val="Calibri"/>
            <family val="2"/>
          </rPr>
          <t>LTD limited to one carrier option.</t>
        </r>
      </text>
    </comment>
    <comment ref="G101" authorId="0" shapeId="0" xr:uid="{00000000-0006-0000-0F00-00003C000000}">
      <text>
        <r>
          <rPr>
            <sz val="10"/>
            <color indexed="81"/>
            <rFont val="Calibri"/>
            <family val="2"/>
          </rPr>
          <t xml:space="preserve">Select each Class for which this plan will be offered.
</t>
        </r>
      </text>
    </comment>
    <comment ref="H101" authorId="0" shapeId="0" xr:uid="{00000000-0006-0000-0F00-00003D000000}">
      <text>
        <r>
          <rPr>
            <sz val="10"/>
            <color indexed="81"/>
            <rFont val="Calibri"/>
            <family val="2"/>
          </rPr>
          <t xml:space="preserve">Is this product deducted pre- or post-tax?
</t>
        </r>
      </text>
    </comment>
    <comment ref="I101" authorId="0" shapeId="0" xr:uid="{00000000-0006-0000-0F00-00003E000000}">
      <text>
        <r>
          <rPr>
            <sz val="10"/>
            <color indexed="81"/>
            <rFont val="Calibri"/>
            <family val="2"/>
          </rPr>
          <t xml:space="preserve">Can the member waive this product, even if employer sponsored?
</t>
        </r>
      </text>
    </comment>
    <comment ref="J101" authorId="0" shapeId="0" xr:uid="{00000000-0006-0000-0F00-00003F000000}">
      <text>
        <r>
          <rPr>
            <sz val="10"/>
            <color indexed="81"/>
            <rFont val="Calibri"/>
            <family val="2"/>
          </rPr>
          <t xml:space="preserve">Is this product self-funded?
</t>
        </r>
      </text>
    </comment>
    <comment ref="K101" authorId="0" shapeId="0" xr:uid="{00000000-0006-0000-0F00-000040000000}">
      <text>
        <r>
          <rPr>
            <sz val="10"/>
            <color indexed="81"/>
            <rFont val="Calibri"/>
            <family val="2"/>
          </rPr>
          <t xml:space="preserve">Is this product self-funded?
</t>
        </r>
      </text>
    </comment>
    <comment ref="M101" authorId="0" shapeId="0" xr:uid="{00000000-0006-0000-0F00-000041000000}">
      <text>
        <r>
          <rPr>
            <sz val="10"/>
            <color indexed="81"/>
            <rFont val="Calibri"/>
            <family val="2"/>
          </rPr>
          <t xml:space="preserve">Enter Renewal Date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Wivart, Nicole</author>
  </authors>
  <commentList>
    <comment ref="E49" authorId="0" shapeId="0" xr:uid="{00000000-0006-0000-1000-000001000000}">
      <text>
        <r>
          <rPr>
            <sz val="10"/>
            <color indexed="81"/>
            <rFont val="Arial"/>
            <family val="2"/>
          </rPr>
          <t>• Strategic planning
• Financial reporting
• Identifying clinical, financial and administrative solutions
• Renewal responsibility
• Manage overall service experience
• Education and communications on service and programs
• Service reporting and trend analysis</t>
        </r>
        <r>
          <rPr>
            <b/>
            <sz val="8"/>
            <color indexed="81"/>
            <rFont val="Tahoma"/>
            <family val="2"/>
          </rPr>
          <t xml:space="preserve">
</t>
        </r>
      </text>
    </comment>
    <comment ref="E50" authorId="0" shapeId="0" xr:uid="{00000000-0006-0000-1000-000002000000}">
      <text>
        <r>
          <rPr>
            <sz val="10"/>
            <color indexed="81"/>
            <rFont val="Arial"/>
            <family val="2"/>
          </rPr>
          <t xml:space="preserve">•    Enrollment Meetings
•    Employer eServices Training
•    Other Training Programs
•    Escalated Service Issues (that could not be resolved through other available resources) including, but not limited to, eligibility, billing, claims and miscellaneous issues </t>
        </r>
        <r>
          <rPr>
            <sz val="8"/>
            <color indexed="81"/>
            <rFont val="Tahoma"/>
            <family val="2"/>
          </rPr>
          <t xml:space="preserve">
</t>
        </r>
      </text>
    </comment>
    <comment ref="E51" authorId="0" shapeId="0" xr:uid="{00000000-0006-0000-1000-000003000000}">
      <text>
        <r>
          <rPr>
            <sz val="10"/>
            <color indexed="81"/>
            <rFont val="Arial"/>
            <family val="2"/>
          </rPr>
          <t>• Day-to-day member service inquiries:  billing, eligibility and claims
• Systematically tracks all service inquiries</t>
        </r>
      </text>
    </comment>
    <comment ref="E52" authorId="0" shapeId="0" xr:uid="{00000000-0006-0000-1000-000004000000}">
      <text>
        <r>
          <rPr>
            <sz val="10"/>
            <color indexed="81"/>
            <rFont val="Arial"/>
            <family val="2"/>
          </rPr>
          <t xml:space="preserve">• Invoice Generation
• Remittance Receipt
• Billing Reconciliation </t>
        </r>
      </text>
    </comment>
    <comment ref="E73" authorId="0" shapeId="0" xr:uid="{00000000-0006-0000-1000-000005000000}">
      <text>
        <r>
          <rPr>
            <sz val="10"/>
            <color indexed="81"/>
            <rFont val="Arial"/>
            <family val="2"/>
          </rPr>
          <t>• The BEST Team is comprised of seasoned service associates dedicated to servicing the needs of employers and brokers.  You can call the BEST Team to help with any HSA request, including:
o Consultation on contribution and enrollment processes
o Information about your program, such as pending applications and account status
o Assistance with self-service tools
o General information about HSAs for you and your employer</t>
        </r>
      </text>
    </comment>
    <comment ref="E79" authorId="0" shapeId="0" xr:uid="{00000000-0006-0000-1000-000006000000}">
      <text>
        <r>
          <rPr>
            <sz val="10"/>
            <color indexed="81"/>
            <rFont val="Arial"/>
            <family val="2"/>
          </rPr>
          <t>• Presents customer renewals
• Coordinates product recommendations and plan changes</t>
        </r>
      </text>
    </comment>
    <comment ref="E80" authorId="0" shapeId="0" xr:uid="{00000000-0006-0000-1000-000007000000}">
      <text>
        <r>
          <rPr>
            <sz val="10"/>
            <color indexed="81"/>
            <rFont val="Arial"/>
            <family val="2"/>
          </rPr>
          <t>• Association/Trust Industry Expertise and Consultative Support
• Presents customer renewals
• Coordinates product recommendations and plan changes</t>
        </r>
      </text>
    </comment>
    <comment ref="E81" authorId="0" shapeId="0" xr:uid="{00000000-0006-0000-1000-000008000000}">
      <text>
        <r>
          <rPr>
            <sz val="10"/>
            <color indexed="81"/>
            <rFont val="Arial"/>
            <family val="2"/>
          </rPr>
          <t>• Works closely with the Account Team as well as underwriters, eligibility specialists and contract analysts to deliver an exceptional customer experience
• Partners with Account Executive and Field Service to develop and deliver an account plan to ensure MetLife is continually exceeding customer expectations</t>
        </r>
      </text>
    </comment>
    <comment ref="E82" authorId="0" shapeId="0" xr:uid="{00000000-0006-0000-1000-000009000000}">
      <text>
        <r>
          <rPr>
            <sz val="10"/>
            <color indexed="81"/>
            <rFont val="Arial"/>
            <family val="2"/>
          </rPr>
          <t>• Manages all implementation tasks and activities
• Obtains required information to complete the installation process
• Quarterbacks and oversees escalated service issues</t>
        </r>
      </text>
    </comment>
    <comment ref="E84" authorId="0" shapeId="0" xr:uid="{00000000-0006-0000-1000-00000A000000}">
      <text>
        <r>
          <rPr>
            <sz val="10"/>
            <color indexed="81"/>
            <rFont val="Arial"/>
            <family val="2"/>
          </rPr>
          <t>•New Business Sales and Renewals
•Strategic partner for broker and client</t>
        </r>
      </text>
    </comment>
    <comment ref="E88" authorId="0" shapeId="0" xr:uid="{00000000-0006-0000-1000-00000B000000}">
      <text>
        <r>
          <rPr>
            <sz val="10"/>
            <color indexed="81"/>
            <rFont val="Arial"/>
            <family val="2"/>
          </rPr>
          <t>•New Business Sales and Renewals
•Strategic partner for broker and client</t>
        </r>
      </text>
    </comment>
  </commentList>
</comments>
</file>

<file path=xl/sharedStrings.xml><?xml version="1.0" encoding="utf-8"?>
<sst xmlns="http://schemas.openxmlformats.org/spreadsheetml/2006/main" count="60994" uniqueCount="6223">
  <si>
    <t>Client Name</t>
  </si>
  <si>
    <t>Client Address</t>
  </si>
  <si>
    <t>Medical Plan 1</t>
  </si>
  <si>
    <t>Medical Plan 1 Premiums</t>
  </si>
  <si>
    <t>Medical Plan 2</t>
  </si>
  <si>
    <t>Medical Plan 2 Premiums</t>
  </si>
  <si>
    <t>Medical Plan 3 Premiums</t>
  </si>
  <si>
    <t>Medical Plan 3</t>
  </si>
  <si>
    <t>Employee Headcount</t>
  </si>
  <si>
    <t xml:space="preserve">Dental Plan </t>
  </si>
  <si>
    <t>Dental Plan Premiums</t>
  </si>
  <si>
    <t xml:space="preserve">Vision Plan </t>
  </si>
  <si>
    <t>Vision Plan Premiums</t>
  </si>
  <si>
    <t>COBRA Administrator</t>
  </si>
  <si>
    <t>Ben Admin System</t>
  </si>
  <si>
    <t>Bank Routing Number</t>
  </si>
  <si>
    <t>Bank Account Number</t>
  </si>
  <si>
    <t>Client FEIN</t>
  </si>
  <si>
    <t>Curr. Admin: Sending EDI Files to Carriers?</t>
  </si>
  <si>
    <t>Client dba</t>
  </si>
  <si>
    <t>Main Contact</t>
  </si>
  <si>
    <t>Billing Contact</t>
  </si>
  <si>
    <t>Service Team</t>
  </si>
  <si>
    <t>FSA Vendor</t>
  </si>
  <si>
    <t>HSA Vendor</t>
  </si>
  <si>
    <t>On MetLife Trust Plan (1-8)</t>
  </si>
  <si>
    <t>Medical Plan 4</t>
  </si>
  <si>
    <t>Medical Plan 4 Premiums</t>
  </si>
  <si>
    <t>Medical Plan 5</t>
  </si>
  <si>
    <t>Medical Plan 5 Premiums</t>
  </si>
  <si>
    <t>Medical Plan 6</t>
  </si>
  <si>
    <t>Medical Plan 6 Premiums</t>
  </si>
  <si>
    <t>Cigna Life Plans Type</t>
  </si>
  <si>
    <t>Cigna Life Plans Offered</t>
  </si>
  <si>
    <t>Cigna Life Plan(s) Premiums</t>
  </si>
  <si>
    <t>Cigna Life Plan(s) Per</t>
  </si>
  <si>
    <t>Cigna Vol Life Plans Type</t>
  </si>
  <si>
    <t>Cigna Vol Life Plans Offered</t>
  </si>
  <si>
    <t>Cigna Vol Life Plan(s) Premiums</t>
  </si>
  <si>
    <t>Cigna Vol Life Plan(s) Per</t>
  </si>
  <si>
    <t>Cigna Disability Plans Type</t>
  </si>
  <si>
    <t>Cigna Disability Plans Offered</t>
  </si>
  <si>
    <t>Cigna Disability Plan(s) Premiums</t>
  </si>
  <si>
    <t>Cigna Disability Plan(s) Per</t>
  </si>
  <si>
    <t>Cigna Worksite Plans Type</t>
  </si>
  <si>
    <t>Cigna Worksite Plans Offered</t>
  </si>
  <si>
    <t>Cigna Worksite Plan(s) Premiums</t>
  </si>
  <si>
    <t>Cigna Worksite Plan(s) Per</t>
  </si>
  <si>
    <t xml:space="preserve">IGOE </t>
  </si>
  <si>
    <t xml:space="preserve">Maestro </t>
  </si>
  <si>
    <t>IGOE</t>
  </si>
  <si>
    <t>Health Equity</t>
  </si>
  <si>
    <t>Blue Shield of California: Full HMO Per Admit 10-250</t>
  </si>
  <si>
    <t>Blue Shield of California: Trio HMO Per Admit 10-250</t>
  </si>
  <si>
    <t>Blue Shield of California: Full PPO Split Ded. 20-500</t>
  </si>
  <si>
    <t>Blue Shield of California: Full PPO Savings Ded. 2250/2600/4500 w VBTD</t>
  </si>
  <si>
    <t>Group Life</t>
  </si>
  <si>
    <t>2x earnings up to $500,000</t>
  </si>
  <si>
    <t>$1,000 Insured</t>
  </si>
  <si>
    <t>Vol Life</t>
  </si>
  <si>
    <t>1-5x earnings up to $500,000</t>
  </si>
  <si>
    <t>Refer to Rate Sheet</t>
  </si>
  <si>
    <t>STD</t>
  </si>
  <si>
    <t>66.67% up to $3,000</t>
  </si>
  <si>
    <t>$10 Benefit Volume</t>
  </si>
  <si>
    <t>Group AD&amp;D</t>
  </si>
  <si>
    <t>Vol AD&amp;D</t>
  </si>
  <si>
    <t>LTD</t>
  </si>
  <si>
    <t>66.67% up to $15,000</t>
  </si>
  <si>
    <t>$100 Covered Payroll</t>
  </si>
  <si>
    <t>Advanced Brain Monitoring, Inc.</t>
  </si>
  <si>
    <t xml:space="preserve">2237 Faraday Ave 
Suite 100 
Carlsbad, CA 92008 </t>
  </si>
  <si>
    <t>N/A</t>
  </si>
  <si>
    <t>Optum Health</t>
  </si>
  <si>
    <t>UHC: Narrow HMO Plan 10: 2600/20</t>
  </si>
  <si>
    <t>AirXpanders, Inc.</t>
  </si>
  <si>
    <t>Producer - Nancy Howitt
Service Lead - Agnes Aguas</t>
  </si>
  <si>
    <t xml:space="preserve">ADP </t>
  </si>
  <si>
    <t>Kaiser: SG Platinum 90 HMO 0/15</t>
  </si>
  <si>
    <t>Age Banded</t>
  </si>
  <si>
    <t>Kaiser: SG Silver 70 HMO 2000/45</t>
  </si>
  <si>
    <t>60% up to $2,500</t>
  </si>
  <si>
    <t>60% up to $10,000</t>
  </si>
  <si>
    <t>Ambrx, Inc.</t>
  </si>
  <si>
    <t xml:space="preserve">10975 North Torrey Pines Road 
 La Jolla, CA 92037 </t>
  </si>
  <si>
    <t>Yes</t>
  </si>
  <si>
    <t>UHC: HMO Plan 1: 10/0</t>
  </si>
  <si>
    <t>UHC: PPO Plan 7: 250/10</t>
  </si>
  <si>
    <t>Guardian POS</t>
  </si>
  <si>
    <t>Guardian Vision</t>
  </si>
  <si>
    <t>Applied Proteomics Inc.</t>
  </si>
  <si>
    <t xml:space="preserve">3545 John Hopkins Court 
Suite 150 
San Diego, CA 92121 </t>
  </si>
  <si>
    <t xml:space="preserve">Irma Galvan
760 814-1415 
IGalvan@appliedproteomics.com </t>
  </si>
  <si>
    <t xml:space="preserve">UHC:  PPO Plan 8: 500/20 </t>
  </si>
  <si>
    <t>Accident</t>
  </si>
  <si>
    <t>EE Paid</t>
  </si>
  <si>
    <t>4 Tier</t>
  </si>
  <si>
    <t>Hospital</t>
  </si>
  <si>
    <t>Critical Illness</t>
  </si>
  <si>
    <t xml:space="preserve">6154 Nancy Ridge Drive 
San Diego, CA 92121 </t>
  </si>
  <si>
    <t xml:space="preserve">Nicole Semonis
858 210-3617 
nsemonis@arenapharm.com </t>
  </si>
  <si>
    <t>60% up to $3,500</t>
  </si>
  <si>
    <t>60% up to $10,000 (GU)</t>
  </si>
  <si>
    <t>Atum</t>
  </si>
  <si>
    <t>DNA2.0</t>
  </si>
  <si>
    <t xml:space="preserve">37950 Central Court 
Newark, CA 94560 </t>
  </si>
  <si>
    <t xml:space="preserve">Navia Benefit Solutions </t>
  </si>
  <si>
    <t>Namely</t>
  </si>
  <si>
    <t>UHC: HMO Plan 3: 20-40/500</t>
  </si>
  <si>
    <t>Care Zone Inc.</t>
  </si>
  <si>
    <t xml:space="preserve">3175 17th Street 
San Francisco, CA 94110 </t>
  </si>
  <si>
    <t xml:space="preserve">TASC </t>
  </si>
  <si>
    <t xml:space="preserve">Zuman </t>
  </si>
  <si>
    <t>No</t>
  </si>
  <si>
    <t>1561 Industrial Road
San Carlos, CA 94070</t>
  </si>
  <si>
    <t>Joan Hughes
650-232-2103
jhughes@cellerant.com</t>
  </si>
  <si>
    <t>Account Managed by ABD Team
Catherine Walker
cathy.walker@theabdteam.com</t>
  </si>
  <si>
    <t>Kaiser: SG $15 Copay</t>
  </si>
  <si>
    <t>CLSA</t>
  </si>
  <si>
    <t xml:space="preserve">9191 Towne Centre Drive 
Suite 450 
San Diego, CA 92122 </t>
  </si>
  <si>
    <t xml:space="preserve">Cheryl St. Cyr
858 456-8882
CStcyr@CALifeSciences.org </t>
  </si>
  <si>
    <t>Kaiser: SG Platinum 0/10</t>
  </si>
  <si>
    <t xml:space="preserve">7999 Gateway Blvd. 
Suite 130 
Newark, CA 94560 </t>
  </si>
  <si>
    <t>Laura  Byerly 
510-789-8291  
lbyerly@cymabay.com</t>
  </si>
  <si>
    <t>UHC: HMO Plan 2: 15/250A</t>
  </si>
  <si>
    <t>Group Life
(Exec Only)</t>
  </si>
  <si>
    <t>3x earnings up to $750,000</t>
  </si>
  <si>
    <t>Group AD&amp;D
(Exec Only)</t>
  </si>
  <si>
    <t>Cytori Therapeutics Inc.</t>
  </si>
  <si>
    <t xml:space="preserve">3020 Callan Road 
San Diego, CA 92121 
</t>
  </si>
  <si>
    <t>United Concordia</t>
  </si>
  <si>
    <t>Anthem</t>
  </si>
  <si>
    <t>Emboline, Inc.</t>
  </si>
  <si>
    <t>2811 Mission Street
Santa Cruz, CA 95060
Mailing/Shipping Address:
849C Almar Avenue, #278
Santa Cruz, CA 95060</t>
  </si>
  <si>
    <t xml:space="preserve">Scott Russell
President &amp; CEO
(408) 416-2450, x102 phone
(408) 813-4866 mobile
(408) 516-0145 fax
srussell@emboline.com
</t>
  </si>
  <si>
    <t>Evotec (US), Inc.</t>
  </si>
  <si>
    <t>Forty Seven Inc.</t>
  </si>
  <si>
    <t xml:space="preserve">1490 O'Brien Drive 
Suite A 
Menlo Park, CA 94025 </t>
  </si>
  <si>
    <t>GRAIL, Inc.</t>
  </si>
  <si>
    <t xml:space="preserve">1525 O'Brien Drive 
Menlo Park, CA 94025 </t>
  </si>
  <si>
    <t xml:space="preserve">66.67% up to $3,500 </t>
  </si>
  <si>
    <t>Inflammatix, Inc.</t>
  </si>
  <si>
    <t>INmune Bio, Inc.</t>
  </si>
  <si>
    <t xml:space="preserve">1224 Prospect Street 
Suite 150 
La Jolla, CA 92037 </t>
  </si>
  <si>
    <t xml:space="preserve">David Moss
858 964-3720 
dmoss@inmunebio.com </t>
  </si>
  <si>
    <t>Pangea Biological</t>
  </si>
  <si>
    <t xml:space="preserve">374 N Coast Highway 101 
Suite B 
Encinitas, CA 92024 </t>
  </si>
  <si>
    <t>TASC</t>
  </si>
  <si>
    <t>Flat $50,000</t>
  </si>
  <si>
    <t>Plexxikon Inc.</t>
  </si>
  <si>
    <t xml:space="preserve">91 Bolivar Drive 
Berkeley, CA 94710 </t>
  </si>
  <si>
    <t>UHC: HMO Plan 3: 20-40/500A</t>
  </si>
  <si>
    <t>Prime Genomics, Inc.</t>
  </si>
  <si>
    <t xml:space="preserve">UHC: HMO Plan 1: 10/0 </t>
  </si>
  <si>
    <t>Pro-Dex, Inc.</t>
  </si>
  <si>
    <t>2361 McGaw Ave 
Irvine, CA 92614</t>
  </si>
  <si>
    <t>Producer - Rob Queen
Service Lead - Ann Wilson 
AR- Elise Greenwood</t>
  </si>
  <si>
    <t>UHC: Full HMO Plan 3: 20-40/500A</t>
  </si>
  <si>
    <t>UHC: Narrow HMO Plan 5: 15/250A</t>
  </si>
  <si>
    <t>UHC: PPO Plan 8: 500/20</t>
  </si>
  <si>
    <t>Kaiser: SG Deductible HMO</t>
  </si>
  <si>
    <t>5770 Armada Drive
Carlsbad, CA 92008</t>
  </si>
  <si>
    <t>Blue Shiled of California: Full HMO 10-250</t>
  </si>
  <si>
    <t xml:space="preserve">Blue Shield of California: Trio HMO 10-250 </t>
  </si>
  <si>
    <t>Blue Shield of California: Full PPO Savings 1800/3600</t>
  </si>
  <si>
    <t>Kaiser: LG Platinum 0/15</t>
  </si>
  <si>
    <t>STD
(NJ)</t>
  </si>
  <si>
    <t>66.67% to $615</t>
  </si>
  <si>
    <t>Legal</t>
  </si>
  <si>
    <t>Auto &amp; Home</t>
  </si>
  <si>
    <t>SFJ Pharmaceuticals, Inc.</t>
  </si>
  <si>
    <t xml:space="preserve">5000 Hopyard Road 
Suite 330 
Pleasanton, CA 94588 </t>
  </si>
  <si>
    <t xml:space="preserve">Johann Noor Mohamed
925 201-1399 
johann.noormohamed@sfj-pharma.com </t>
  </si>
  <si>
    <t xml:space="preserve">UHC: PPO Plan 7: 250/10 </t>
  </si>
  <si>
    <t>Sirenas LLC</t>
  </si>
  <si>
    <t xml:space="preserve">3550 General Atomic Court 
#02/211 
San Diego, CA 92121 </t>
  </si>
  <si>
    <t>Michelle David
858 909-5685
michelle.david@sirenasmd.com</t>
  </si>
  <si>
    <t>Discovery Benefits</t>
  </si>
  <si>
    <t>Stroma Medical Corporation</t>
  </si>
  <si>
    <t xml:space="preserve">30 Hughes 
Suite 206 
Irvine, CA 92618 </t>
  </si>
  <si>
    <t>SyntheX, Inc.</t>
  </si>
  <si>
    <t xml:space="preserve">479 Jessie St. 
San Francisco, CA 94103 </t>
  </si>
  <si>
    <t>VSP</t>
  </si>
  <si>
    <t>Rate per $1,000</t>
  </si>
  <si>
    <t>Amount</t>
  </si>
  <si>
    <t>Basic Life</t>
  </si>
  <si>
    <t>Basic AD&amp;D</t>
  </si>
  <si>
    <t>Monthly Rate per $10 of Weekly Gross Benefit</t>
  </si>
  <si>
    <t>Monthly Rate per $100 of Monthly Covered Payroll</t>
  </si>
  <si>
    <t>Age</t>
  </si>
  <si>
    <t>Premium 
Rate</t>
  </si>
  <si>
    <t>less than 25</t>
  </si>
  <si>
    <t>25-29</t>
  </si>
  <si>
    <t>30-34</t>
  </si>
  <si>
    <t>35-39</t>
  </si>
  <si>
    <t>40-44</t>
  </si>
  <si>
    <t>45-49</t>
  </si>
  <si>
    <t>50-54</t>
  </si>
  <si>
    <t>55-59</t>
  </si>
  <si>
    <t>60-64</t>
  </si>
  <si>
    <t>65-69</t>
  </si>
  <si>
    <t>70-74</t>
  </si>
  <si>
    <t>75-79</t>
  </si>
  <si>
    <t>80-84</t>
  </si>
  <si>
    <t>85-89</t>
  </si>
  <si>
    <t>90-94</t>
  </si>
  <si>
    <t>95-99</t>
  </si>
  <si>
    <t>EE &amp; SP 
AD&amp;D</t>
  </si>
  <si>
    <t>CH Life</t>
  </si>
  <si>
    <t>CH AD&amp;D</t>
  </si>
  <si>
    <t>Accident Off the Job
(Employee Paid)</t>
  </si>
  <si>
    <t>EE</t>
  </si>
  <si>
    <t>ES</t>
  </si>
  <si>
    <t>EC</t>
  </si>
  <si>
    <t>EF</t>
  </si>
  <si>
    <t>Hospital Indenmity
(Employee Paid)</t>
  </si>
  <si>
    <t>Hospital Indenmity
(Employer Paid)</t>
  </si>
  <si>
    <t>Critical Illness
$20,000 Max
(Employee Paid)</t>
  </si>
  <si>
    <t>Participant</t>
  </si>
  <si>
    <r>
      <t xml:space="preserve">Non-Smoker
</t>
    </r>
    <r>
      <rPr>
        <b/>
        <sz val="8"/>
        <color theme="2"/>
        <rFont val="Arial"/>
        <family val="2"/>
      </rPr>
      <t>(per $1,000)</t>
    </r>
  </si>
  <si>
    <r>
      <t xml:space="preserve">Smoker
</t>
    </r>
    <r>
      <rPr>
        <b/>
        <sz val="8"/>
        <color theme="2"/>
        <rFont val="Arial"/>
        <family val="2"/>
      </rPr>
      <t>(per $1,000)</t>
    </r>
  </si>
  <si>
    <t>Age Band</t>
  </si>
  <si>
    <t>&lt;25</t>
  </si>
  <si>
    <t>85+</t>
  </si>
  <si>
    <t>On MetLife Trust Policy
(2/1/17)</t>
  </si>
  <si>
    <t>Trust Plan Renewal Date</t>
  </si>
  <si>
    <t xml:space="preserve">Lynne Krauss
(760) 752-0009 x 6038
Lkrauss@b-alert.com </t>
  </si>
  <si>
    <t>Rosie Hokanson
949-769-3243
Rosie.hokanson@pro-dex.com</t>
  </si>
  <si>
    <t xml:space="preserve">Frances Steingrimsson
877-362-8646
frances@atum.bio </t>
  </si>
  <si>
    <t>Producer - Bob DeValle
Service Lead-
Nicole Lasagna
Primary Contact-
Christine Rhoads</t>
  </si>
  <si>
    <t>Producer - Dave Duenas
Service Lead - Katherine Tomline</t>
  </si>
  <si>
    <t xml:space="preserve">Katie Porter
(858) 875-5224
kporter@cytori.com </t>
  </si>
  <si>
    <t>Lorrie Daggett
(858) 526-2505
lorried@ACTIVX.com</t>
  </si>
  <si>
    <t xml:space="preserve">Lisa Be
858-875-2479
Lisa.be@ambrx.com </t>
  </si>
  <si>
    <t>Lisa Crosby
925-234-4080
lisa.crosby@zuman.com
5994 W. Las Positas Blvd., Suite 225
Pleasanton, CA  94588</t>
  </si>
  <si>
    <t>Zuman Contact: Sheri Montgomery
sheri.montgomery@zuman.com
Client Contact: Lori Motko
Lori@carezone.com</t>
  </si>
  <si>
    <t xml:space="preserve">Jocelyn Mancio
650-871-3263
ap@califesciences.org </t>
  </si>
  <si>
    <t>Jennyfer Larkin
858-207-9902
jennyfer.larkin@hubinternational.com
5375 Mira Sorrento Place, Suite 400
San Diego, CA  92121</t>
  </si>
  <si>
    <t xml:space="preserve">Linda Wong
(650) 228-1400
linda.wong@evotec.com </t>
  </si>
  <si>
    <t>Mila Ostojic
(650) 556-5588
mostojic@grailbio.com</t>
  </si>
  <si>
    <t xml:space="preserve">Jonathan Romanowsky
650.219.2141
Jonathan@inflammatix.com </t>
  </si>
  <si>
    <t xml:space="preserve">Kate Walker
415-254-6855
KWalker@plexxikon.com </t>
  </si>
  <si>
    <t>Maria Soloveychik
415.706.8701
msoloveychik@synthexlabs.com</t>
  </si>
  <si>
    <t>Ortho</t>
  </si>
  <si>
    <t>Endodonitics (root canals)</t>
  </si>
  <si>
    <t>Child &amp; Adult</t>
  </si>
  <si>
    <t>Basic</t>
  </si>
  <si>
    <t>VSP: 
Voluntary 10/25 (150)</t>
  </si>
  <si>
    <t>Plan 1
(current plan is at or after 2/1/17)</t>
  </si>
  <si>
    <t>Plan 4
(current plan is at or after 2/1/17)</t>
  </si>
  <si>
    <t>Plan 2
(current plan is at or after 2/1/17)</t>
  </si>
  <si>
    <t>UHC Preventative
RX Plan</t>
  </si>
  <si>
    <t>Expanded</t>
  </si>
  <si>
    <t>Cobra</t>
  </si>
  <si>
    <t>X</t>
  </si>
  <si>
    <t>DP</t>
  </si>
  <si>
    <t>66.67% up to $3,500</t>
  </si>
  <si>
    <t>COBRA</t>
  </si>
  <si>
    <t xml:space="preserve">Melanie Mahtani
(650) 799-9910
mmahtani@companiondx.com </t>
  </si>
  <si>
    <t>Carlsbad Technology, Inc.</t>
  </si>
  <si>
    <t>5928 Farnsworth Court
Carlsbad, CA 92008</t>
  </si>
  <si>
    <t xml:space="preserve">Qingmei Wang
760.431.8284 x 184
qingmei.wang@carlsbadtech.com </t>
  </si>
  <si>
    <t>January Therapeutics, Inc.</t>
  </si>
  <si>
    <t>Robin Jackman
858.764.1987
robin@januarytx.com</t>
  </si>
  <si>
    <t>Jason Kahana
215.740.1415
Jason@januarytx.com</t>
  </si>
  <si>
    <t>Lisa Walters-Hoffert
(949) 887-2459
lwalters@darebioscience.com</t>
  </si>
  <si>
    <t>60% up to $3,000</t>
  </si>
  <si>
    <t>11575 Sorrento Valley Rd, Suite 200
San Diego, CA 92121</t>
  </si>
  <si>
    <t>81-4147567</t>
  </si>
  <si>
    <t>11119 North Torrey Pines Rd, Suite 200
La Jolla, CA 92037</t>
  </si>
  <si>
    <t>Lisa Walters-Hoffert
(949) 887-2459
lwalters@darebioscience.com
Sabrina Martucci Johnson
858-395-4483
sjohnson@darebioscience.com</t>
  </si>
  <si>
    <t>MetLife Vision Group Size</t>
  </si>
  <si>
    <t>DENTAL</t>
  </si>
  <si>
    <t>With Ortho</t>
  </si>
  <si>
    <t>Without Ortho</t>
  </si>
  <si>
    <t>Region</t>
  </si>
  <si>
    <t># of Ees</t>
  </si>
  <si>
    <t>Tier</t>
  </si>
  <si>
    <t>2-9</t>
  </si>
  <si>
    <t>10-24</t>
  </si>
  <si>
    <t>25-49</t>
  </si>
  <si>
    <t>50-99</t>
  </si>
  <si>
    <t>VISION</t>
  </si>
  <si>
    <t>Year</t>
  </si>
  <si>
    <t>Plan Type</t>
  </si>
  <si>
    <t>Rate Frequency</t>
  </si>
  <si>
    <t>Rate</t>
  </si>
  <si>
    <t>Rate Year</t>
  </si>
  <si>
    <t>Group</t>
  </si>
  <si>
    <t>Average Age</t>
  </si>
  <si>
    <t>HSA Motion</t>
  </si>
  <si>
    <t>UHC Plan 1</t>
  </si>
  <si>
    <t>UHC Plan 2</t>
  </si>
  <si>
    <t>UHC Plan 3</t>
  </si>
  <si>
    <t>UHC Plan 4</t>
  </si>
  <si>
    <t>UHC Plan 5</t>
  </si>
  <si>
    <t>UHC Plan 6</t>
  </si>
  <si>
    <t>UHC Plan 7</t>
  </si>
  <si>
    <t>UHC Plan 8</t>
  </si>
  <si>
    <t>UHC Plan 10</t>
  </si>
  <si>
    <t>UHC Plan 11</t>
  </si>
  <si>
    <t>UHC Plan 12</t>
  </si>
  <si>
    <t>UHC Plan 18</t>
  </si>
  <si>
    <t>NCAL</t>
  </si>
  <si>
    <t>Group A</t>
  </si>
  <si>
    <t>0-33.999</t>
  </si>
  <si>
    <t>No Motion</t>
  </si>
  <si>
    <t>Advantage</t>
  </si>
  <si>
    <t>Not Offered</t>
  </si>
  <si>
    <t>Group B</t>
  </si>
  <si>
    <t>34.0-43.999</t>
  </si>
  <si>
    <t>Group C</t>
  </si>
  <si>
    <t>44.0-53.999</t>
  </si>
  <si>
    <t>Group D</t>
  </si>
  <si>
    <t>54.0+</t>
  </si>
  <si>
    <t>Access</t>
  </si>
  <si>
    <t>Yes Motion</t>
  </si>
  <si>
    <t>SCAL</t>
  </si>
  <si>
    <t>Flock</t>
  </si>
  <si>
    <t>Applied StemCell, Inc.</t>
  </si>
  <si>
    <t xml:space="preserve">521 Cottonwood Dr 
Suite #111 
Milpitas, CA 95035 </t>
  </si>
  <si>
    <t xml:space="preserve">250 Natural Bridges Drive, 
Santa Cruz, CA 95060
</t>
  </si>
  <si>
    <t>HMO
10/0 
(Sig. Value)</t>
  </si>
  <si>
    <t>HMO
15/250A
(Sig. Value)</t>
  </si>
  <si>
    <t>HMO
20-40/500A
(Sig. Value)</t>
  </si>
  <si>
    <t>HMO
10/0 
(Sig. Value Adv.)</t>
  </si>
  <si>
    <t>HMO
15/250A
(Sig. Value Adv.)</t>
  </si>
  <si>
    <t>HMO
20-40/500A
(Sig. Value Adv.)</t>
  </si>
  <si>
    <t>HMO w/HSA
2600/20
(Sig. Value Adv.)</t>
  </si>
  <si>
    <t>PPO
250/10
(Select Plus)</t>
  </si>
  <si>
    <t>PPO
Plan 500/20
(Select Plus)</t>
  </si>
  <si>
    <t>PPO
Plan 750/20
(Select Plus)</t>
  </si>
  <si>
    <t>PPO w/HSA
1500/10
(Select Plus)</t>
  </si>
  <si>
    <t>PPO w/HSA
4000/100+20
(Select Plus)</t>
  </si>
  <si>
    <t>PPO w/HSA
2700/20
(Select Plus)</t>
  </si>
  <si>
    <t>UHC Plan 9 NEW</t>
  </si>
  <si>
    <t>100/80/50/50
$1.5k/$1.5k</t>
  </si>
  <si>
    <t>100/90/60/50 (In)
$2k/$2k</t>
  </si>
  <si>
    <t>100/90/60/50
$2k/$2k</t>
  </si>
  <si>
    <t>100/80/50/50
$5k/$2k</t>
  </si>
  <si>
    <t>100/80/50/50
$1.5k/$0k</t>
  </si>
  <si>
    <t>100/90/60/50 (In)
$2k/$0k</t>
  </si>
  <si>
    <t>100/90/60/50
$2k/$0k</t>
  </si>
  <si>
    <t>100/80/50/50
$5k/$0k</t>
  </si>
  <si>
    <t>M130D-10/25
12/12/24</t>
  </si>
  <si>
    <t>M130A-10/25
12/12/12</t>
  </si>
  <si>
    <t>M150D-10/10
12/12/24</t>
  </si>
  <si>
    <t>Pipeline Therapeutics, Inc.</t>
  </si>
  <si>
    <t>Producer - Bo Lebherz
Service Lead - Michelle Brady</t>
  </si>
  <si>
    <t xml:space="preserve">303B College Rd. E,  
Princeton, NJ  08540 </t>
  </si>
  <si>
    <t>Linda Wong
(650) 228-1400
linda.wong@evotec.com 
Ryan Brady
908-672-6644
Ryan.Brady@evotec.com</t>
  </si>
  <si>
    <t>Anne Song
(503) 679-8967
asong@pipelinetherapeutics.com</t>
  </si>
  <si>
    <t xml:space="preserve">Lucy Gu (legal name - Yiping Gu)
408-773-8807
lucy.gu@appliedstemcell.com </t>
  </si>
  <si>
    <t>ChemDiv, Inc.</t>
  </si>
  <si>
    <t>Maestro</t>
  </si>
  <si>
    <t>BioNano Genomics, Inc.</t>
  </si>
  <si>
    <t>Cidara Therapeutics, Inc.</t>
  </si>
  <si>
    <t>eMolecules, Inc.</t>
  </si>
  <si>
    <t>Molecular Stethoscope, Inc.</t>
  </si>
  <si>
    <t>aTyr Pharma, Inc.</t>
  </si>
  <si>
    <t>3545 John Hopkins Ct #250
San Diego, CA 92121</t>
  </si>
  <si>
    <t>9640 Towne Centre Dr #100
San Diego, CA 92121</t>
  </si>
  <si>
    <t>9730 Summers Ridge Rd
San Diego, CA 92121</t>
  </si>
  <si>
    <t>California Proton Treatment Center, LLC</t>
  </si>
  <si>
    <t>Scripps Proton Therapy Center</t>
  </si>
  <si>
    <t>6310 Nancy Ridge Dr #101
San Diego, CA 92121</t>
  </si>
  <si>
    <t xml:space="preserve">Allison Lewis
(858) 249-7391
alewis@cidara.com </t>
  </si>
  <si>
    <t>Crinetics Pharmaceuticals, Inc.</t>
  </si>
  <si>
    <t>11025 N Torrey Pines Rd, Suite 140
La Jolla, CA 92037</t>
  </si>
  <si>
    <t xml:space="preserve">Pat Hayden
858-368-8639
pat.hayden@emolecules.com </t>
  </si>
  <si>
    <t>14351 Myford Road
Tustin, CA 92780</t>
  </si>
  <si>
    <t xml:space="preserve">Debbie Mason
714-210-6610
debbie.mason@integrium.com </t>
  </si>
  <si>
    <t>10835 Road to the Cure 
#100 
San Diego, CA 92121</t>
  </si>
  <si>
    <t xml:space="preserve">Holly Chrzanowski Winter
858-768-0495
hchrzanowski@atyrpharma.com </t>
  </si>
  <si>
    <t>Melinda Serrato
858-834-4314
invoices@atyrpharma.com</t>
  </si>
  <si>
    <t>The Advantage Group</t>
  </si>
  <si>
    <t>Plan 3
(current plan is at or after 2/1/17)</t>
  </si>
  <si>
    <t>Valentina Satur
858-794-4860 x 309
vsatur@chemdiv.com</t>
  </si>
  <si>
    <t xml:space="preserve">Coleen Deangelo
858-794-4860 x 325
cdeangelo@chemdiv.com </t>
  </si>
  <si>
    <t>2018 PPO Rx</t>
  </si>
  <si>
    <t>2018 HSA Motion</t>
  </si>
  <si>
    <t>Plan 7
(current plan is at or after 2/1/17)</t>
  </si>
  <si>
    <t>MetLife: 
100/80/50 $5k Max w/ 50% to $2k Ortho</t>
  </si>
  <si>
    <t>MetLife: 
100/80/50 $1.5k Max w/ 50% to $1.5k Ortho
(Note: Voluntary Plan)</t>
  </si>
  <si>
    <t>MetLife:
100/90/60/50 $2k Max w/ 50% to $2k Ortho</t>
  </si>
  <si>
    <t>MetLife: 
100/90/60 - 100/80/50 $2k Max w/ 50% to $2k Ortho</t>
  </si>
  <si>
    <t>MetLife: 
100/80/50 $1.5k Max w/ 50% to $1.5k Ortho</t>
  </si>
  <si>
    <t>MetLife:
100/90/60/0 $2k Max w/o  Ortho</t>
  </si>
  <si>
    <t>MetLife:
100/90/60 - 100/80/50 $2k Max w/ 50% to $2k Ortho</t>
  </si>
  <si>
    <t>MetLife:
100/80/50/0 $1.5k Max w/o  Ortho</t>
  </si>
  <si>
    <t>MetLife: 
100/80/50 $1.5k Max w/ 50% to $1.25k Ortho</t>
  </si>
  <si>
    <t>SAMPLE</t>
  </si>
  <si>
    <t>GIMDx, Inc.</t>
  </si>
  <si>
    <t>CTK Biotech Inc.</t>
  </si>
  <si>
    <t>ImpediMed, Inc.</t>
  </si>
  <si>
    <t>5900 Pasteur Ct #125
Carlsbad, CA 92008</t>
  </si>
  <si>
    <t>Alexa Cook
(858) 457-8698 x 123
acook@ctkbiotech.com</t>
  </si>
  <si>
    <t>2215 Faraday Ave. Ste H, Carlsbad, CA 92008</t>
  </si>
  <si>
    <t>Monica Che
(442) 232-6571
mche@gimdx.com</t>
  </si>
  <si>
    <t>Nancy Deisinger
760-585-2130
ndeisinger@impedimed.com</t>
  </si>
  <si>
    <t>Marcie Faraimo
760-246-5006
marcie.faraimo@seaspine.com</t>
  </si>
  <si>
    <t>Danielle Peppard
760-216-5112
danielle.peppard@seaspine.com</t>
  </si>
  <si>
    <t>UHC: HMO Plan 5: 15/250A</t>
  </si>
  <si>
    <t>UHC: PPO w/ HSA Plan 11: 1500/10</t>
  </si>
  <si>
    <t>UHC: PPO w/ HSA Plan 18: 2700/20</t>
  </si>
  <si>
    <t>Plan 1 (with diff. ortho)
(current plan is at or after 2/1/17)</t>
  </si>
  <si>
    <t>Class 1: 3x up to $1,000,000</t>
  </si>
  <si>
    <t>Class 2: 2x up to $500,000</t>
  </si>
  <si>
    <t>Cellerant Therapeutics, Inc.</t>
  </si>
  <si>
    <t>Ultipro</t>
  </si>
  <si>
    <t>SeaSpine Orthopedics Corporation</t>
  </si>
  <si>
    <t>CymaBay Therapeutics, Inc.</t>
  </si>
  <si>
    <t>UHC: HMO Plan 4: 10/0</t>
  </si>
  <si>
    <t>60% up to $20,000 (GU)</t>
  </si>
  <si>
    <t>TriReme Medical, Inc.</t>
  </si>
  <si>
    <t>7060 Koll Center Pkwy, Suite 300, Pleasanton, CA 94566</t>
  </si>
  <si>
    <t>Trucode Gene Repair, Inc.</t>
  </si>
  <si>
    <t>329 Oyster Point Blvd., 3rd Floor
South San Francisco, CA 94080</t>
  </si>
  <si>
    <t xml:space="preserve">Lindsey Rodman
805-903-2720
lindsey@christinemathews.com </t>
  </si>
  <si>
    <t xml:space="preserve">Denise Stow
650-722-3030
denise.stow@trucodegene.com </t>
  </si>
  <si>
    <t>Plan 6
(current plan is at or after 2/1/17)</t>
  </si>
  <si>
    <t>MetLife:
100/90/60 - 100/80/50 $2k Max w/o Ortho</t>
  </si>
  <si>
    <t>UHC: PPO Plan 9: 750/20</t>
  </si>
  <si>
    <t>Plan 5
(current plan is at or after 2/1/17)</t>
  </si>
  <si>
    <t>Kodiak Sciences, Inc.</t>
  </si>
  <si>
    <t>2631 Hanover St.
Palo Alto, CA 94304</t>
  </si>
  <si>
    <t>Retrophin, Inc.</t>
  </si>
  <si>
    <t>Prothena Biosciences Inc.</t>
  </si>
  <si>
    <t>3721 Valley Centre Drive, Suite 200
San Diego, CA 92130</t>
  </si>
  <si>
    <t xml:space="preserve">Erin Crowe
(760)447-5432
Erin.Crowe@retrophin.com </t>
  </si>
  <si>
    <t>UHC: HMO Plan 9: 750/20</t>
  </si>
  <si>
    <t>Leiyan Connolly
(925) 931-1300 ext 283
lconnolly@trirememedical.com</t>
  </si>
  <si>
    <t xml:space="preserve">Account Managed by ABD Team
Mark Anderson
Mark.Anderson@theabdteam.com
Angie Lopez
angie.lopez@theabdteam.com </t>
  </si>
  <si>
    <t>NY Statutory</t>
  </si>
  <si>
    <t>50% up to $170</t>
  </si>
  <si>
    <t>$3.30 (Male)
$7.010 (Female)</t>
  </si>
  <si>
    <t>PEPM</t>
  </si>
  <si>
    <t>331 Oyster Point Blvd.
South San Francisco, CA 94080</t>
  </si>
  <si>
    <t>Anne Moriarty
650-837-8550
anne.moriarty@prothena.com</t>
  </si>
  <si>
    <t>Kaiser: SG Platinum 90 0/15 HMO</t>
  </si>
  <si>
    <t>60% up to $20,000</t>
  </si>
  <si>
    <t>13855 Stowe Drive
Poway, CA 92064</t>
  </si>
  <si>
    <t>customer_name</t>
  </si>
  <si>
    <t>effective_date</t>
  </si>
  <si>
    <t>contract_number</t>
  </si>
  <si>
    <t>EE Status</t>
  </si>
  <si>
    <t>Group Location</t>
  </si>
  <si>
    <t>Age Group</t>
  </si>
  <si>
    <t>product_code</t>
  </si>
  <si>
    <t>coverage_type</t>
  </si>
  <si>
    <t>plan_number</t>
  </si>
  <si>
    <t>plan_name</t>
  </si>
  <si>
    <t>funding</t>
  </si>
  <si>
    <t>market_name</t>
  </si>
  <si>
    <t>market_type</t>
  </si>
  <si>
    <t>suffix</t>
  </si>
  <si>
    <t>suffix_type</t>
  </si>
  <si>
    <t>claim_account</t>
  </si>
  <si>
    <t>premium_account</t>
  </si>
  <si>
    <t>adc</t>
  </si>
  <si>
    <t>state</t>
  </si>
  <si>
    <t>plan_variation_code</t>
  </si>
  <si>
    <t>reporting_code</t>
  </si>
  <si>
    <t>document_id</t>
  </si>
  <si>
    <t>termination_date</t>
  </si>
  <si>
    <t>HMO Group #</t>
  </si>
  <si>
    <t>CLSA Benefits Advantage Trust</t>
  </si>
  <si>
    <t>AB1401</t>
  </si>
  <si>
    <t>OOS</t>
  </si>
  <si>
    <t>A</t>
  </si>
  <si>
    <t>Plan 11</t>
  </si>
  <si>
    <t>POS</t>
  </si>
  <si>
    <t>M</t>
  </si>
  <si>
    <t>FI</t>
  </si>
  <si>
    <t>PCP/Wide Access</t>
  </si>
  <si>
    <t>GC</t>
  </si>
  <si>
    <t>CA</t>
  </si>
  <si>
    <t/>
  </si>
  <si>
    <t>CLSA/OOS Plan 11-E A AB1401</t>
  </si>
  <si>
    <t>GF</t>
  </si>
  <si>
    <t>Plan 12</t>
  </si>
  <si>
    <t>HC</t>
  </si>
  <si>
    <t>CLSA/OOS Plan 12-E A AB1401</t>
  </si>
  <si>
    <t>CA 2017 Select+ HSA Plan AHT6 12E</t>
  </si>
  <si>
    <t>HF</t>
  </si>
  <si>
    <t>Plan 13</t>
  </si>
  <si>
    <t>CLSA/OOS Plan 13A AB1401</t>
  </si>
  <si>
    <t>PS1</t>
  </si>
  <si>
    <t>CA 2017 CH+ PS1 Plan 480 Mod Plan 13</t>
  </si>
  <si>
    <t>Open Access</t>
  </si>
  <si>
    <t>IC</t>
  </si>
  <si>
    <t>Plan 14</t>
  </si>
  <si>
    <t>CLSA/OOS Plan 14A AB1401</t>
  </si>
  <si>
    <t>CA 2017 CH+ PS1 Plan 494 Plan 14</t>
  </si>
  <si>
    <t>JC</t>
  </si>
  <si>
    <t>Plan 15</t>
  </si>
  <si>
    <t>CLSA/OOS Plan 15A AB1401</t>
  </si>
  <si>
    <t>CA 2017 CH+ PS1 Plan 532 Mod Plan 15</t>
  </si>
  <si>
    <t>KC</t>
  </si>
  <si>
    <t>Plan 16</t>
  </si>
  <si>
    <t>LC</t>
  </si>
  <si>
    <t>CLSA/OOS Plan 16-E A AB1401</t>
  </si>
  <si>
    <t>CA 2017 HSA CH+PS1 Plan 560 Mod 16E</t>
  </si>
  <si>
    <t>LF</t>
  </si>
  <si>
    <t>Plan 17</t>
  </si>
  <si>
    <t>NC</t>
  </si>
  <si>
    <t>CLSA/OOS Plan 17-E A AB1401</t>
  </si>
  <si>
    <t>CA 2017 HSA CH+PS1 Plan 564 Mod 17E</t>
  </si>
  <si>
    <t>NF</t>
  </si>
  <si>
    <t>Plan 7</t>
  </si>
  <si>
    <t>CLSA/OOS Plan 7A AB1401</t>
  </si>
  <si>
    <t>DC</t>
  </si>
  <si>
    <t>Plan 8</t>
  </si>
  <si>
    <t>CLSA/OOS Plan 8A AB1401</t>
  </si>
  <si>
    <t>Plan 9</t>
  </si>
  <si>
    <t>CLSA/OOS Plan 9A AB1401</t>
  </si>
  <si>
    <t>FC</t>
  </si>
  <si>
    <t>B</t>
  </si>
  <si>
    <t>CLSA/OOS Plan 11-E B AB1401</t>
  </si>
  <si>
    <t>CLSA/OOS Plan 12-E B AB1401</t>
  </si>
  <si>
    <t>CLSA/OOS Plan 13B AB1401</t>
  </si>
  <si>
    <t>CLSA/OOS Plan 14B AB1401</t>
  </si>
  <si>
    <t>CLSA/OOS Plan 15B AB1401</t>
  </si>
  <si>
    <t>CLSA/OOS Plan 16-E B AB1401</t>
  </si>
  <si>
    <t>CLSA/OOS Plan 17-E B AB1401</t>
  </si>
  <si>
    <t>CLSA/OOS Plan 7B AB1401</t>
  </si>
  <si>
    <t>CLSA/OOS Plan 8B AB1401</t>
  </si>
  <si>
    <t>CLSA/OOS Plan 9B AB1401</t>
  </si>
  <si>
    <t>C</t>
  </si>
  <si>
    <t>CLSA/OOS Plan 11-E C AB1401</t>
  </si>
  <si>
    <t>CLSA/OOS Plan 12-E C AB1401</t>
  </si>
  <si>
    <t>CLSA/OOS Plan 13C AB1401</t>
  </si>
  <si>
    <t>CLSA/OOS Plan 14C AB1401</t>
  </si>
  <si>
    <t>CLSA/OOS Plan 15C AB1401</t>
  </si>
  <si>
    <t>CLSA/OOS Plan 16-E C AB1401</t>
  </si>
  <si>
    <t>CLSA/OOS Plan 17-E C AB1401</t>
  </si>
  <si>
    <t>CLSA/OOS Plan 7C AB1401</t>
  </si>
  <si>
    <t>CLSA/OOS Plan 8C AB1401</t>
  </si>
  <si>
    <t>CLSA/OOS Plan 9C AB1401</t>
  </si>
  <si>
    <t>D</t>
  </si>
  <si>
    <t>CLSA/OOS Plan 11-E D AB1401</t>
  </si>
  <si>
    <t>CLSA/OOS Plan 12-E D AB1401</t>
  </si>
  <si>
    <t>CLSA/OOS Plan 13D AB1401</t>
  </si>
  <si>
    <t>CLSA/OOS Plan 14D AB1401</t>
  </si>
  <si>
    <t>CLSA/OOS Plan 15D AB1401</t>
  </si>
  <si>
    <t>CLSA/OOS Plan 16-E D AB1401</t>
  </si>
  <si>
    <t>CLSA/OOS Plan 17-E D AB1401</t>
  </si>
  <si>
    <t>CLSA/OOS Plan 7D AB1401</t>
  </si>
  <si>
    <t>CLSA/OOS Plan 8D AB1401</t>
  </si>
  <si>
    <t>CLSA/OOS Plan 9D AB1401</t>
  </si>
  <si>
    <t>NCA</t>
  </si>
  <si>
    <t>Plan 1</t>
  </si>
  <si>
    <t>CLSA/NCA Plan 1A AB1401</t>
  </si>
  <si>
    <t>HML</t>
  </si>
  <si>
    <t>L.A. , ORANGE &amp; VENTURA</t>
  </si>
  <si>
    <t>GV</t>
  </si>
  <si>
    <t>Plan 10</t>
  </si>
  <si>
    <t>CLSA/NCA Plan 10A AB1401</t>
  </si>
  <si>
    <t>FN</t>
  </si>
  <si>
    <t>GA</t>
  </si>
  <si>
    <t>CLSA/NCA Plan 11-E A AB1401</t>
  </si>
  <si>
    <t>GD</t>
  </si>
  <si>
    <t>HA</t>
  </si>
  <si>
    <t>CLSA/NCA Plan 12-E A AB1401</t>
  </si>
  <si>
    <t>HD</t>
  </si>
  <si>
    <t>CLSA/NCA Plan 13A AB1401</t>
  </si>
  <si>
    <t>IA</t>
  </si>
  <si>
    <t>CLSA/NCA Plan 14A AB1401</t>
  </si>
  <si>
    <t>JA</t>
  </si>
  <si>
    <t>CLSA/NCA Plan 15A AB1401</t>
  </si>
  <si>
    <t>KA</t>
  </si>
  <si>
    <t>LA</t>
  </si>
  <si>
    <t>CLSA/NCA Plan 16-E A AB1401</t>
  </si>
  <si>
    <t>LD</t>
  </si>
  <si>
    <t>NA</t>
  </si>
  <si>
    <t>CLSA/NCA Plan 17-E A AB1401</t>
  </si>
  <si>
    <t>ND</t>
  </si>
  <si>
    <t>Plan 2</t>
  </si>
  <si>
    <t>CLSA/NCA Plan 2A AB1401</t>
  </si>
  <si>
    <t>CC</t>
  </si>
  <si>
    <t>Plan 3</t>
  </si>
  <si>
    <t>CLSA/NCA Plan 3A AB1401</t>
  </si>
  <si>
    <t>DF</t>
  </si>
  <si>
    <t>Plan 4</t>
  </si>
  <si>
    <t>CLSA/NCA Plan 4A AB1401</t>
  </si>
  <si>
    <t>IE</t>
  </si>
  <si>
    <t>Plan 5</t>
  </si>
  <si>
    <t>CLSA/NCA Plan 5A AB1401</t>
  </si>
  <si>
    <t>EI</t>
  </si>
  <si>
    <t>Plan 6</t>
  </si>
  <si>
    <t>CLSA/NCA Plan 6A AB1401</t>
  </si>
  <si>
    <t>JH</t>
  </si>
  <si>
    <t>CLSA/NCA Plan 7A AB1401</t>
  </si>
  <si>
    <t>DA</t>
  </si>
  <si>
    <t>CLSA/NCA Plan 8A AB1401</t>
  </si>
  <si>
    <t>EA</t>
  </si>
  <si>
    <t>CLSA/NCA Plan 9A AB1401</t>
  </si>
  <si>
    <t>FA</t>
  </si>
  <si>
    <t>CLSA/NCA Plan 1B AB1401</t>
  </si>
  <si>
    <t>GZ</t>
  </si>
  <si>
    <t>CLSA/NCA Plan 10B AB1401</t>
  </si>
  <si>
    <t>FS</t>
  </si>
  <si>
    <t>CLSA/NCA Plan 11-E B AB1401</t>
  </si>
  <si>
    <t>CLSA/NCA Plan 12-E B AB1401</t>
  </si>
  <si>
    <t>CLSA/NCA Plan 13B AB1401</t>
  </si>
  <si>
    <t>CLSA/NCA Plan 14B AB1401</t>
  </si>
  <si>
    <t>CLSA/NCA Plan 15B AB1401</t>
  </si>
  <si>
    <t>CLSA/NCA Plan 16-E B AB1401</t>
  </si>
  <si>
    <t>CLSA/NCA Plan 17-E B AB1401</t>
  </si>
  <si>
    <t>CLSA/NCA Plan 2B AB1401</t>
  </si>
  <si>
    <t>CF</t>
  </si>
  <si>
    <t>CLSA/NCA Plan 3B AB1401</t>
  </si>
  <si>
    <t>DI</t>
  </si>
  <si>
    <t>CLSA/NCA Plan 4B AB1401</t>
  </si>
  <si>
    <t>IH</t>
  </si>
  <si>
    <t>CLSA/NCA Plan 5B AB1401</t>
  </si>
  <si>
    <t>EL</t>
  </si>
  <si>
    <t>CLSA/NCA Plan 6B AB1401</t>
  </si>
  <si>
    <t>JK</t>
  </si>
  <si>
    <t>CLSA/NCA Plan 7B AB1401</t>
  </si>
  <si>
    <t>CLSA/NCA Plan 8B AB1401</t>
  </si>
  <si>
    <t>CLSA/NCA Plan 9B AB1401</t>
  </si>
  <si>
    <t>CLSA/NCA Plan 1C AB1401</t>
  </si>
  <si>
    <t>HH</t>
  </si>
  <si>
    <t>CLSA/NCA Plan 10C AB1401</t>
  </si>
  <si>
    <t>FV</t>
  </si>
  <si>
    <t>CLSA/NCA Plan 11-E C AB1401</t>
  </si>
  <si>
    <t>CLSA/NCA Plan 12-E C AB1401</t>
  </si>
  <si>
    <t>CLSA/NCA Plan 13C AB1401</t>
  </si>
  <si>
    <t>CLSA/NCA Plan 14C AB1401</t>
  </si>
  <si>
    <t>CLSA/NCA Plan 15C AB1401</t>
  </si>
  <si>
    <t>CLSA/NCA Plan 16-E C AB1401</t>
  </si>
  <si>
    <t>CLSA/NCA Plan 17-E C AB1401</t>
  </si>
  <si>
    <t>CLSA/NCA Plan 2C AB1401</t>
  </si>
  <si>
    <t>CI</t>
  </si>
  <si>
    <t>CLSA/NCA Plan 3C AB1401</t>
  </si>
  <si>
    <t>DL</t>
  </si>
  <si>
    <t>CLSA/NCA Plan 4C AB1401</t>
  </si>
  <si>
    <t>IK</t>
  </si>
  <si>
    <t>CLSA/NCA Plan 5C AB1401</t>
  </si>
  <si>
    <t>EQ</t>
  </si>
  <si>
    <t>CLSA/NCA Plan 6C AB1401</t>
  </si>
  <si>
    <t>JP</t>
  </si>
  <si>
    <t>CLSA/NCA Plan 7C AB1401</t>
  </si>
  <si>
    <t>CLSA/NCA Plan 8C AB1401</t>
  </si>
  <si>
    <t>CLSA/NCA Plan 9C AB1401</t>
  </si>
  <si>
    <t>CLSA/NCA Plan 1D AB1401</t>
  </si>
  <si>
    <t>HK</t>
  </si>
  <si>
    <t>CLSA/NCA Plan 10D AB1401</t>
  </si>
  <si>
    <t>FZ</t>
  </si>
  <si>
    <t>CLSA/NCA Plan 11-E D AB1401</t>
  </si>
  <si>
    <t>CLSA/NCA Plan 12-E D AB1401</t>
  </si>
  <si>
    <t>CLSA/NCA Plan 13D AB1401</t>
  </si>
  <si>
    <t>CLSA/NCA Plan 14D AB1401</t>
  </si>
  <si>
    <t>CLSA/NCA Plan 15D AB1401</t>
  </si>
  <si>
    <t>CLSA/NCA Plan 16-E D AB1401</t>
  </si>
  <si>
    <t>CLSA/NCA Plan 17-E D AB1401</t>
  </si>
  <si>
    <t>CLSA/NCA Plan 2D AB1401</t>
  </si>
  <si>
    <t>CL</t>
  </si>
  <si>
    <t>CLSA/NCA Plan 3D AB1401</t>
  </si>
  <si>
    <t>DQ</t>
  </si>
  <si>
    <t>CLSA/NCA Plan 4D AB1401</t>
  </si>
  <si>
    <t>IP</t>
  </si>
  <si>
    <t>CLSA/NCA Plan 5D AB1401</t>
  </si>
  <si>
    <t>ET</t>
  </si>
  <si>
    <t>CLSA/NCA Plan 6D AB1401</t>
  </si>
  <si>
    <t>JS</t>
  </si>
  <si>
    <t>CLSA/NCA Plan 7D AB1401</t>
  </si>
  <si>
    <t>CLSA/NCA Plan 8D AB1401</t>
  </si>
  <si>
    <t>CLSA/NCA Plan 9D AB1401</t>
  </si>
  <si>
    <t>SCA</t>
  </si>
  <si>
    <t>CLSA/SCA Plan 1A AB1401</t>
  </si>
  <si>
    <t>HP</t>
  </si>
  <si>
    <t>CLSA/SCA Plan 10A AB1401</t>
  </si>
  <si>
    <t>GH</t>
  </si>
  <si>
    <t>GB</t>
  </si>
  <si>
    <t>CLSA/SCA Plan 11-E A AB1401</t>
  </si>
  <si>
    <t>GE</t>
  </si>
  <si>
    <t>HB</t>
  </si>
  <si>
    <t>CLSA/SCA Plan 12-E A AB1401</t>
  </si>
  <si>
    <t>HE</t>
  </si>
  <si>
    <t>CLSA/SCA Plan 13A AB1401</t>
  </si>
  <si>
    <t>IB</t>
  </si>
  <si>
    <t>CLSA/SCA Plan 14A AB1401</t>
  </si>
  <si>
    <t>JB</t>
  </si>
  <si>
    <t>CLSA/SCA Plan 15A AB1401</t>
  </si>
  <si>
    <t>KB</t>
  </si>
  <si>
    <t>LB</t>
  </si>
  <si>
    <t>CLSA/SCA Plan 16-E A AB1401</t>
  </si>
  <si>
    <t>LE</t>
  </si>
  <si>
    <t>NB</t>
  </si>
  <si>
    <t>CLSA/SCA Plan 17-E A AB1401</t>
  </si>
  <si>
    <t>NE</t>
  </si>
  <si>
    <t>CLSA/SCA Plan 2A AB1401</t>
  </si>
  <si>
    <t>CQ</t>
  </si>
  <si>
    <t>CLSA/SCA Plan 3A AB1401</t>
  </si>
  <si>
    <t>DT</t>
  </si>
  <si>
    <t>CLSA/SCA Plan 4A AB1401</t>
  </si>
  <si>
    <t>IS</t>
  </si>
  <si>
    <t>CLSA/SCA Plan 5A AB1401</t>
  </si>
  <si>
    <t>EY</t>
  </si>
  <si>
    <t>CLSA/SCA Plan 6A AB1401</t>
  </si>
  <si>
    <t>JV</t>
  </si>
  <si>
    <t>CLSA/SCA Plan 7A AB1401</t>
  </si>
  <si>
    <t>DB</t>
  </si>
  <si>
    <t>CLSA/SCA Plan 8A AB1401</t>
  </si>
  <si>
    <t>EB</t>
  </si>
  <si>
    <t>CLSA/SCA Plan 9A AB1401</t>
  </si>
  <si>
    <t>FB</t>
  </si>
  <si>
    <t>CLSA/SCA Plan 1B AB1401</t>
  </si>
  <si>
    <t>HS</t>
  </si>
  <si>
    <t>CLSA/SCA Plan 10B AB1401</t>
  </si>
  <si>
    <t>GK</t>
  </si>
  <si>
    <t>CLSA/SCA Plan 11-E B AB1401</t>
  </si>
  <si>
    <t>CLSA/SCA Plan 12-E B AB1401</t>
  </si>
  <si>
    <t>CLSA/SCA Plan 13B AB1401</t>
  </si>
  <si>
    <t>CLSA/SCA Plan 14B AB1401</t>
  </si>
  <si>
    <t>CLSA/SCA Plan 15B AB1401</t>
  </si>
  <si>
    <t>CLSA/SCA Plan 16-E B AB1401</t>
  </si>
  <si>
    <t>CLSA/SCA Plan 17-E B AB1401</t>
  </si>
  <si>
    <t>CLSA/SCA Plan 2B AB1401</t>
  </si>
  <si>
    <t>CT</t>
  </si>
  <si>
    <t>CLSA/SCA Plan 3B AB1401</t>
  </si>
  <si>
    <t>DX</t>
  </si>
  <si>
    <t>CLSA/SCA Plan 4B AB1401</t>
  </si>
  <si>
    <t>IV</t>
  </si>
  <si>
    <t>CLSA/SCA Plan 5B AB1401</t>
  </si>
  <si>
    <t>FD</t>
  </si>
  <si>
    <t>CLSA/SCA Plan 6B AB1401</t>
  </si>
  <si>
    <t>JZ</t>
  </si>
  <si>
    <t>CLSA/SCA Plan 7B AB1401</t>
  </si>
  <si>
    <t>CLSA/SCA Plan 8B AB1401</t>
  </si>
  <si>
    <t>CLSA/SCA Plan 9B AB1401</t>
  </si>
  <si>
    <t>CLSA/SCA Plan 1C AB1401</t>
  </si>
  <si>
    <t>HV</t>
  </si>
  <si>
    <t>CLSA/SCA Plan 10C AB1401</t>
  </si>
  <si>
    <t>GP</t>
  </si>
  <si>
    <t>CLSA/SCA Plan 11-E C AB1401</t>
  </si>
  <si>
    <t>CLSA/SCA Plan 12-E C AB1401</t>
  </si>
  <si>
    <t>CLSA/SCA Plan 13C AB1401</t>
  </si>
  <si>
    <t>CLSA/SCA Plan 14C AB1401</t>
  </si>
  <si>
    <t>CLSA/SCA Plan 15C AB1401</t>
  </si>
  <si>
    <t>CLSA/SCA Plan 16-E C AB1401</t>
  </si>
  <si>
    <t>CLSA/SCA Plan 17-E C AB1401</t>
  </si>
  <si>
    <t>CLSA/SCA Plan 2C AB1401</t>
  </si>
  <si>
    <t>CX</t>
  </si>
  <si>
    <t>CLSA/SCA Plan 3C AB1401</t>
  </si>
  <si>
    <t>E</t>
  </si>
  <si>
    <t>CLSA/SCA Plan 4C AB1401</t>
  </si>
  <si>
    <t>IZ</t>
  </si>
  <si>
    <t>CLSA/SCA Plan 5C AB1401</t>
  </si>
  <si>
    <t>FG</t>
  </si>
  <si>
    <t>CLSA/SCA Plan 6C AB1401</t>
  </si>
  <si>
    <t>KE</t>
  </si>
  <si>
    <t>CLSA/SCA Plan 7C AB1401</t>
  </si>
  <si>
    <t>CLSA/SCA Plan 8C AB1401</t>
  </si>
  <si>
    <t>CLSA/SCA Plan 9C AB1401</t>
  </si>
  <si>
    <t>CLSA/SCA Plan 1D AB1401</t>
  </si>
  <si>
    <t>HZ</t>
  </si>
  <si>
    <t>CLSA/SCA Plan 10D AB1401</t>
  </si>
  <si>
    <t>GS</t>
  </si>
  <si>
    <t>CLSA/SCA Plan 11-E D AB1401</t>
  </si>
  <si>
    <t>CLSA/SCA Plan 12-E D AB1401</t>
  </si>
  <si>
    <t>CLSA/SCA Plan 13D AB1401</t>
  </si>
  <si>
    <t>CLSA/SCA Plan 14D AB1401</t>
  </si>
  <si>
    <t>CLSA/SCA Plan 15D AB1401</t>
  </si>
  <si>
    <t>CLSA/SCA Plan 16-E D AB1401</t>
  </si>
  <si>
    <t>CLSA/SCA Plan 17-E D AB1401</t>
  </si>
  <si>
    <t>CLSA/SCA Plan 2D AB1401</t>
  </si>
  <si>
    <t>CLSA/SCA Plan 3D AB1401</t>
  </si>
  <si>
    <t>CLSA/SCA Plan 4D AB1401</t>
  </si>
  <si>
    <t>JE</t>
  </si>
  <si>
    <t>CLSA/SCA Plan 5D AB1401</t>
  </si>
  <si>
    <t>FJ</t>
  </si>
  <si>
    <t>CLSA/SCA Plan 6D AB1401</t>
  </si>
  <si>
    <t>KH</t>
  </si>
  <si>
    <t>CLSA/SCA Plan 7D AB1401</t>
  </si>
  <si>
    <t>CLSA/SCA Plan 8D AB1401</t>
  </si>
  <si>
    <t>CLSA/SCA Plan 9D AB1401</t>
  </si>
  <si>
    <t>Active</t>
  </si>
  <si>
    <t>CLSA/OOS Plan 11-E A Active</t>
  </si>
  <si>
    <t>CLSA/OOS Plan 12-E A Active</t>
  </si>
  <si>
    <t>CLSA/OOS Plan 13A Active</t>
  </si>
  <si>
    <t>CLSA/OOS Plan 14A Active</t>
  </si>
  <si>
    <t>CLSA/OOS Plan 15A Active</t>
  </si>
  <si>
    <t>CLSA/OOS Plan 16-E A Active</t>
  </si>
  <si>
    <t>CLSA/OOS Plan 17-E A Active</t>
  </si>
  <si>
    <t>CLSA/OOS Plan 7A Active</t>
  </si>
  <si>
    <t>CLSA/OOS Plan 8A Active</t>
  </si>
  <si>
    <t>CLSA/OOS Plan 9A Active</t>
  </si>
  <si>
    <t>CLSA/OOS Plan 11-E B Active</t>
  </si>
  <si>
    <t>CLSA/OOS Plan 12-E B Active</t>
  </si>
  <si>
    <t>CLSA/OOS Plan 13B Active</t>
  </si>
  <si>
    <t>CLSA/OOS Plan 14B Active</t>
  </si>
  <si>
    <t>CLSA/OOS Plan 15B Active</t>
  </si>
  <si>
    <t>CLSA/OOS Plan 16-E B Active</t>
  </si>
  <si>
    <t>CLSA/OOS Plan 17-E B Active</t>
  </si>
  <si>
    <t>CLSA/OOS Plan 7B Active</t>
  </si>
  <si>
    <t>CLSA/OOS Plan 8B Active</t>
  </si>
  <si>
    <t>CLSA/OOS Plan 9B Active</t>
  </si>
  <si>
    <t>CLSA/OOS Plan 11-E C Active</t>
  </si>
  <si>
    <t>CLSA/OOS Plan 12-E C Active</t>
  </si>
  <si>
    <t>CLSA/OOS Plan 13C Active</t>
  </si>
  <si>
    <t>CLSA/OOS Plan 14C Active</t>
  </si>
  <si>
    <t>CLSA/OOS Plan 15C Active</t>
  </si>
  <si>
    <t>CLSA/OOS Plan 16-E C Active</t>
  </si>
  <si>
    <t>CLSA/OOS Plan 17-E C Active</t>
  </si>
  <si>
    <t>CLSA/OOS Plan 7C Active</t>
  </si>
  <si>
    <t>CLSA/OOS Plan 8C Active</t>
  </si>
  <si>
    <t>CLSA/OOS Plan 9C Active</t>
  </si>
  <si>
    <t>CLSA/OOS Plan 11-E D Active</t>
  </si>
  <si>
    <t>CLSA/OOS Plan 12-E D Active</t>
  </si>
  <si>
    <t>CLSA/OOS Plan 13D Active</t>
  </si>
  <si>
    <t>CLSA/OOS Plan 14D Active</t>
  </si>
  <si>
    <t>CLSA/OOS Plan 15D Active</t>
  </si>
  <si>
    <t>CLSA/OOS Plan 16-E D Active</t>
  </si>
  <si>
    <t>CLSA/OOS Plan 17-E D Active</t>
  </si>
  <si>
    <t>CLSA/OOS Plan 7D Active</t>
  </si>
  <si>
    <t>CLSA/OOS Plan 8D Active</t>
  </si>
  <si>
    <t>CLSA/OOS Plan 9D Active</t>
  </si>
  <si>
    <t>CLSA/NCA Plan 1A Active</t>
  </si>
  <si>
    <t>GT</t>
  </si>
  <si>
    <t>CLSA/NCA Plan 10A Active</t>
  </si>
  <si>
    <t>FK</t>
  </si>
  <si>
    <t>CLSA/NCA Plan 11-E A Active</t>
  </si>
  <si>
    <t>CLSA/NCA Plan 12-E A Active</t>
  </si>
  <si>
    <t>CLSA/NCA Plan 13A Active</t>
  </si>
  <si>
    <t>CLSA/NCA Plan 14A Active</t>
  </si>
  <si>
    <t>CLSA/NCA Plan 15A Active</t>
  </si>
  <si>
    <t>CLSA/NCA Plan 16-E A Active</t>
  </si>
  <si>
    <t>CLSA/NCA Plan 17-E A Active</t>
  </si>
  <si>
    <t>CLSA/NCA Plan 2A Active</t>
  </si>
  <si>
    <t>CLSA/NCA Plan 3A Active</t>
  </si>
  <si>
    <t>DD</t>
  </si>
  <si>
    <t>CLSA/NCA Plan 4A Active</t>
  </si>
  <si>
    <t>I</t>
  </si>
  <si>
    <t>CLSA/NCA Plan 5A Active</t>
  </si>
  <si>
    <t>EG</t>
  </si>
  <si>
    <t>CLSA/NCA Plan 6A Active</t>
  </si>
  <si>
    <t>JF</t>
  </si>
  <si>
    <t>CLSA/NCA Plan 7A Active</t>
  </si>
  <si>
    <t>CLSA/NCA Plan 8A Active</t>
  </si>
  <si>
    <t>CLSA/NCA Plan 9A Active</t>
  </si>
  <si>
    <t>CLSA/NCA Plan 1B Active</t>
  </si>
  <si>
    <t>GX</t>
  </si>
  <si>
    <t>CLSA/NCA Plan 10B Active</t>
  </si>
  <si>
    <t>FQ</t>
  </si>
  <si>
    <t>CLSA/NCA Plan 11-E B Active</t>
  </si>
  <si>
    <t>CLSA/NCA Plan 12-E B Active</t>
  </si>
  <si>
    <t>CLSA/NCA Plan 13B Active</t>
  </si>
  <si>
    <t>CLSA/NCA Plan 14B Active</t>
  </si>
  <si>
    <t>CLSA/NCA Plan 15B Active</t>
  </si>
  <si>
    <t>CLSA/NCA Plan 16-E B Active</t>
  </si>
  <si>
    <t>CLSA/NCA Plan 17-E B Active</t>
  </si>
  <si>
    <t>CLSA/NCA Plan 2B Active</t>
  </si>
  <si>
    <t>CD</t>
  </si>
  <si>
    <t>CLSA/NCA Plan 3B Active</t>
  </si>
  <si>
    <t>DG</t>
  </si>
  <si>
    <t>CLSA/NCA Plan 4B Active</t>
  </si>
  <si>
    <t>IF</t>
  </si>
  <si>
    <t>CLSA/NCA Plan 5B Active</t>
  </si>
  <si>
    <t>EJ</t>
  </si>
  <si>
    <t>CLSA/NCA Plan 6B Active</t>
  </si>
  <si>
    <t>JI</t>
  </si>
  <si>
    <t>CLSA/NCA Plan 7B Active</t>
  </si>
  <si>
    <t>CLSA/NCA Plan 8B Active</t>
  </si>
  <si>
    <t>CLSA/NCA Plan 9B Active</t>
  </si>
  <si>
    <t>CLSA/NCA Plan 1C Active</t>
  </si>
  <si>
    <t>H</t>
  </si>
  <si>
    <t>CLSA/NCA Plan 10C Active</t>
  </si>
  <si>
    <t>FT</t>
  </si>
  <si>
    <t>CLSA/NCA Plan 11-E C Active</t>
  </si>
  <si>
    <t>CLSA/NCA Plan 12-E C Active</t>
  </si>
  <si>
    <t>CLSA/NCA Plan 13C Active</t>
  </si>
  <si>
    <t>CLSA/NCA Plan 14C Active</t>
  </si>
  <si>
    <t>CLSA/NCA Plan 15C Active</t>
  </si>
  <si>
    <t>CLSA/NCA Plan 16-E C Active</t>
  </si>
  <si>
    <t>CLSA/NCA Plan 17-E C Active</t>
  </si>
  <si>
    <t>CLSA/NCA Plan 2C Active</t>
  </si>
  <si>
    <t>CG</t>
  </si>
  <si>
    <t>CLSA/NCA Plan 3C Active</t>
  </si>
  <si>
    <t>DJ</t>
  </si>
  <si>
    <t>CLSA/NCA Plan 4C Active</t>
  </si>
  <si>
    <t>II</t>
  </si>
  <si>
    <t>CLSA/NCA Plan 5C Active</t>
  </si>
  <si>
    <t>EN</t>
  </si>
  <si>
    <t>CLSA/NCA Plan 6C Active</t>
  </si>
  <si>
    <t>JL</t>
  </si>
  <si>
    <t>CLSA/NCA Plan 7C Active</t>
  </si>
  <si>
    <t>CLSA/NCA Plan 8C Active</t>
  </si>
  <si>
    <t>CLSA/NCA Plan 9C Active</t>
  </si>
  <si>
    <t>CLSA/NCA Plan 1D Active</t>
  </si>
  <si>
    <t>HI</t>
  </si>
  <si>
    <t>CLSA/NCA Plan 10D Active</t>
  </si>
  <si>
    <t>FX</t>
  </si>
  <si>
    <t>CLSA/NCA Plan 11-E D Active</t>
  </si>
  <si>
    <t>CLSA/NCA Plan 12-E D Active</t>
  </si>
  <si>
    <t>CLSA/NCA Plan 13D Active</t>
  </si>
  <si>
    <t>CLSA/NCA Plan 14D Active</t>
  </si>
  <si>
    <t>CLSA/NCA Plan 15D Active</t>
  </si>
  <si>
    <t>CLSA/NCA Plan 16-E D Active</t>
  </si>
  <si>
    <t>CLSA/NCA Plan 17-E D Active</t>
  </si>
  <si>
    <t>CLSA/NCA Plan 2D Active</t>
  </si>
  <si>
    <t>CJ</t>
  </si>
  <si>
    <t>CLSA/NCA Plan 3D Active</t>
  </si>
  <si>
    <t>DN</t>
  </si>
  <si>
    <t>CLSA/NCA Plan 4D Active</t>
  </si>
  <si>
    <t>IL</t>
  </si>
  <si>
    <t>CLSA/NCA Plan 5D Active</t>
  </si>
  <si>
    <t>ER</t>
  </si>
  <si>
    <t>CLSA/NCA Plan 6D Active</t>
  </si>
  <si>
    <t>JQ</t>
  </si>
  <si>
    <t>CLSA/NCA Plan 7D Active</t>
  </si>
  <si>
    <t>CLSA/NCA Plan 8D Active</t>
  </si>
  <si>
    <t>CLSA/NCA Plan 9D Active</t>
  </si>
  <si>
    <t>CLSA/SCA Plan 1A Active</t>
  </si>
  <si>
    <t>HL</t>
  </si>
  <si>
    <t>CLSA/SCA Plan 10A Active</t>
  </si>
  <si>
    <t>G</t>
  </si>
  <si>
    <t>CLSA/SCA Plan 11-E A Active</t>
  </si>
  <si>
    <t>CLSA/SCA Plan 12-E A Active</t>
  </si>
  <si>
    <t>CLSA/SCA Plan 13A Active</t>
  </si>
  <si>
    <t>CLSA/SCA Plan 14A Active</t>
  </si>
  <si>
    <t>CLSA/SCA Plan 15A Active</t>
  </si>
  <si>
    <t>CLSA/SCA Plan 16-E A Active</t>
  </si>
  <si>
    <t>CLSA/SCA Plan 17-E A Active</t>
  </si>
  <si>
    <t>CLSA/SCA Plan 2A Active</t>
  </si>
  <si>
    <t>CN</t>
  </si>
  <si>
    <t>CLSA/SCA Plan 3A Active</t>
  </si>
  <si>
    <t>DR</t>
  </si>
  <si>
    <t>CLSA/SCA Plan 4A Active</t>
  </si>
  <si>
    <t>IQ</t>
  </si>
  <si>
    <t>CLSA/SCA Plan 5A Active</t>
  </si>
  <si>
    <t>EU</t>
  </si>
  <si>
    <t>CLSA/SCA Plan 6A Active</t>
  </si>
  <si>
    <t>JT</t>
  </si>
  <si>
    <t>CLSA/SCA Plan 7A Active</t>
  </si>
  <si>
    <t>CLSA/SCA Plan 8A Active</t>
  </si>
  <si>
    <t>CLSA/SCA Plan 9A Active</t>
  </si>
  <si>
    <t>CLSA/SCA Plan 1B Active</t>
  </si>
  <si>
    <t>HQ</t>
  </si>
  <si>
    <t>CLSA/SCA Plan 10B Active</t>
  </si>
  <si>
    <t>GI</t>
  </si>
  <si>
    <t>CLSA/SCA Plan 11-E B Active</t>
  </si>
  <si>
    <t>CLSA/SCA Plan 12-E B Active</t>
  </si>
  <si>
    <t>CLSA/SCA Plan 13B Active</t>
  </si>
  <si>
    <t>CLSA/SCA Plan 14B Active</t>
  </si>
  <si>
    <t>CLSA/SCA Plan 15B Active</t>
  </si>
  <si>
    <t>CLSA/SCA Plan 16-E B Active</t>
  </si>
  <si>
    <t>CLSA/SCA Plan 17-E B Active</t>
  </si>
  <si>
    <t>CLSA/SCA Plan 2B Active</t>
  </si>
  <si>
    <t>CR</t>
  </si>
  <si>
    <t>CLSA/SCA Plan 3B Active</t>
  </si>
  <si>
    <t>DU</t>
  </si>
  <si>
    <t>CLSA/SCA Plan 4B Active</t>
  </si>
  <si>
    <t>IT</t>
  </si>
  <si>
    <t>CLSA/SCA Plan 5B Active</t>
  </si>
  <si>
    <t>EZ</t>
  </si>
  <si>
    <t>CLSA/SCA Plan 6B Active</t>
  </si>
  <si>
    <t>JX</t>
  </si>
  <si>
    <t>CLSA/SCA Plan 7B Active</t>
  </si>
  <si>
    <t>CLSA/SCA Plan 8B Active</t>
  </si>
  <si>
    <t>CLSA/SCA Plan 9B Active</t>
  </si>
  <si>
    <t>CLSA/SCA Plan 1C Active</t>
  </si>
  <si>
    <t>HT</t>
  </si>
  <si>
    <t>CLSA/SCA Plan 10C Active</t>
  </si>
  <si>
    <t>GL</t>
  </si>
  <si>
    <t>CLSA/SCA Plan 11-E C Active</t>
  </si>
  <si>
    <t>CLSA/SCA Plan 12-E C Active</t>
  </si>
  <si>
    <t>CLSA/SCA Plan 13C Active</t>
  </si>
  <si>
    <t>CLSA/SCA Plan 14C Active</t>
  </si>
  <si>
    <t>CLSA/SCA Plan 15C Active</t>
  </si>
  <si>
    <t>CLSA/SCA Plan 16-E C Active</t>
  </si>
  <si>
    <t>CLSA/SCA Plan 17-E C Active</t>
  </si>
  <si>
    <t>CLSA/SCA Plan 2C Active</t>
  </si>
  <si>
    <t>CU</t>
  </si>
  <si>
    <t>CLSA/SCA Plan 3C Active</t>
  </si>
  <si>
    <t>DY</t>
  </si>
  <si>
    <t>CLSA/SCA Plan 4C Active</t>
  </si>
  <si>
    <t>IX</t>
  </si>
  <si>
    <t>CLSA/SCA Plan 5C Active</t>
  </si>
  <si>
    <t>FE</t>
  </si>
  <si>
    <t>CLSA/SCA Plan 6C Active</t>
  </si>
  <si>
    <t>K</t>
  </si>
  <si>
    <t>CLSA/SCA Plan 7C Active</t>
  </si>
  <si>
    <t>CLSA/SCA Plan 8C Active</t>
  </si>
  <si>
    <t>CLSA/SCA Plan 9C Active</t>
  </si>
  <si>
    <t>CLSA/SCA Plan 1D Active</t>
  </si>
  <si>
    <t>HX</t>
  </si>
  <si>
    <t>CLSA/SCA Plan 10D Active</t>
  </si>
  <si>
    <t>GQ</t>
  </si>
  <si>
    <t>CLSA/SCA Plan 11-E D Active</t>
  </si>
  <si>
    <t>CLSA/SCA Plan 12-E D Active</t>
  </si>
  <si>
    <t>CLSA/SCA Plan 13D Active</t>
  </si>
  <si>
    <t>CLSA/SCA Plan 14D Active</t>
  </si>
  <si>
    <t>CLSA/SCA Plan 15D Active</t>
  </si>
  <si>
    <t>CLSA/SCA Plan 16-E D Active</t>
  </si>
  <si>
    <t>CLSA/SCA Plan 17-E D Active</t>
  </si>
  <si>
    <t>CLSA/SCA Plan 2D Active</t>
  </si>
  <si>
    <t>CY</t>
  </si>
  <si>
    <t>CLSA/SCA Plan 3D Active</t>
  </si>
  <si>
    <t>ED</t>
  </si>
  <si>
    <t>CLSA/SCA Plan 4D Active</t>
  </si>
  <si>
    <t>J</t>
  </si>
  <si>
    <t>CLSA/SCA Plan 5D Active</t>
  </si>
  <si>
    <t>FH</t>
  </si>
  <si>
    <t>CLSA/SCA Plan 6D Active</t>
  </si>
  <si>
    <t>KF</t>
  </si>
  <si>
    <t>CLSA/SCA Plan 7D Active</t>
  </si>
  <si>
    <t>CLSA/SCA Plan 8D Active</t>
  </si>
  <si>
    <t>CLSA/SCA Plan 9D Active</t>
  </si>
  <si>
    <t>CLSA/OOS Plan 11-E A Cobra</t>
  </si>
  <si>
    <t>CLSA/OOS Plan 12-E A Cobra</t>
  </si>
  <si>
    <t>CLSA/OOS Plan 13A Cobra</t>
  </si>
  <si>
    <t>CLSA/OOS Plan 14A Cobra</t>
  </si>
  <si>
    <t>CLSA/OOS Plan 15A Cobra</t>
  </si>
  <si>
    <t>CLSA/OOS Plan 16-E A Cobra</t>
  </si>
  <si>
    <t>CLSA/OOS Plan 17-E A Cobra</t>
  </si>
  <si>
    <t>CLSA/OOS Plan 7A Cobra</t>
  </si>
  <si>
    <t>CLSA/OOS Plan 8A Cobra</t>
  </si>
  <si>
    <t>CLSA/OOS Plan 9A Cobra</t>
  </si>
  <si>
    <t>CLSA/OOS Plan 11-E B Cobra</t>
  </si>
  <si>
    <t>CLSA/OOS Plan 12-E B Cobra</t>
  </si>
  <si>
    <t>CLSA/OOS Plan 13B Cobra</t>
  </si>
  <si>
    <t>CLSA/OOS Plan 14B Cobra</t>
  </si>
  <si>
    <t>CLSA/OOS Plan 15B Cobra</t>
  </si>
  <si>
    <t>CLSA/OOS Plan 16-E B Cobra</t>
  </si>
  <si>
    <t>CLSA/OOS Plan 17-E B Cobra</t>
  </si>
  <si>
    <t>CLSA/OOS Plan 7B Cobra</t>
  </si>
  <si>
    <t>CLSA/OOS Plan 8B Cobra</t>
  </si>
  <si>
    <t>CLSA/OOS Plan 9B Cobra</t>
  </si>
  <si>
    <t>CLSA/OOS Plan 11-E C Cobra</t>
  </si>
  <si>
    <t>CLSA/OOS Plan 12-E C Cobra</t>
  </si>
  <si>
    <t>CLSA/OOS Plan 13C Cobra</t>
  </si>
  <si>
    <t>CLSA/OOS Plan 14C Cobra</t>
  </si>
  <si>
    <t>CLSA/OOS Plan 15C Cobra</t>
  </si>
  <si>
    <t>CLSA/OOS Plan 16-E C Cobra</t>
  </si>
  <si>
    <t>CLSA/OOS Plan 17-E C Cobra</t>
  </si>
  <si>
    <t>CLSA/OOS Plan 7C Cobra</t>
  </si>
  <si>
    <t>CLSA/OOS Plan 8C Cobra</t>
  </si>
  <si>
    <t>CLSA/OOS Plan 9C Cobra</t>
  </si>
  <si>
    <t>CLSA/OOS Plan 11-E D Cobra</t>
  </si>
  <si>
    <t>CLSA/OOS Plan 12-E D Cobra</t>
  </si>
  <si>
    <t>CLSA/OOS Plan 13D Cobra</t>
  </si>
  <si>
    <t>CLSA/OOS Plan 14D Cobra</t>
  </si>
  <si>
    <t>CLSA/OOS Plan 15D Cobra</t>
  </si>
  <si>
    <t>CLSA/OOS Plan 16-E D Cobra</t>
  </si>
  <si>
    <t>CLSA/OOS Plan 17-E D Cobra</t>
  </si>
  <si>
    <t>CLSA/OOS Plan 7D Cobra</t>
  </si>
  <si>
    <t>CLSA/OOS Plan 8D Cobra</t>
  </si>
  <si>
    <t>CLSA/OOS Plan 9D Cobra</t>
  </si>
  <si>
    <t>CLSA/NCA Plan 1A COBRA</t>
  </si>
  <si>
    <t>GU</t>
  </si>
  <si>
    <t>CLSA/NCA Plan 10A COBRA</t>
  </si>
  <si>
    <t>FL</t>
  </si>
  <si>
    <t>CLSA/NCA Plan 11-E A Cobra</t>
  </si>
  <si>
    <t>CLSA/NCA Plan 12-E A Cobra</t>
  </si>
  <si>
    <t>CLSA/NCA Plan 13A Cobra</t>
  </si>
  <si>
    <t>CLSA/NCA Plan 14A Cobra</t>
  </si>
  <si>
    <t>CLSA/NCA Plan 15A Cobra</t>
  </si>
  <si>
    <t>CLSA/NCA Plan 16-E A Cobra</t>
  </si>
  <si>
    <t>CLSA/NCA Plan 17-E A Cobra</t>
  </si>
  <si>
    <t>CLSA/NCA Plan 2A COBRA</t>
  </si>
  <si>
    <t>CB</t>
  </si>
  <si>
    <t>CLSA/NCA Plan 3A COBRA</t>
  </si>
  <si>
    <t>DE</t>
  </si>
  <si>
    <t>CLSA/NCA Plan 4A COBRA</t>
  </si>
  <si>
    <t>ID</t>
  </si>
  <si>
    <t>CLSA/NCA Plan 5A COBRA</t>
  </si>
  <si>
    <t>EH</t>
  </si>
  <si>
    <t>CLSA/NCA Plan 6A COBRA</t>
  </si>
  <si>
    <t>JG</t>
  </si>
  <si>
    <t>CLSA/NCA Plan 7A Cobra</t>
  </si>
  <si>
    <t>CLSA/NCA Plan 8A Cobra</t>
  </si>
  <si>
    <t>CLSA/NCA Plan 9A Cobra</t>
  </si>
  <si>
    <t>CLSA/NCA Plan 1B COBRA</t>
  </si>
  <si>
    <t>GY</t>
  </si>
  <si>
    <t>CLSA/NCA Plan 10B COBRA</t>
  </si>
  <si>
    <t>FR</t>
  </si>
  <si>
    <t>CLSA/NCA Plan 11-E B Cobra</t>
  </si>
  <si>
    <t>CLSA/NCA Plan 12-E B Cobra</t>
  </si>
  <si>
    <t>CLSA/NCA Plan 13B Cobra</t>
  </si>
  <si>
    <t>CLSA/NCA Plan 14B Cobra</t>
  </si>
  <si>
    <t>CLSA/NCA Plan 15B Cobra</t>
  </si>
  <si>
    <t>CLSA/NCA Plan 16-E B Cobra</t>
  </si>
  <si>
    <t>CLSA/NCA Plan 17-E B Cobra</t>
  </si>
  <si>
    <t>CLSA/NCA Plan 2B COBRA</t>
  </si>
  <si>
    <t>CE</t>
  </si>
  <si>
    <t>CLSA/NCA Plan 3B COBRA</t>
  </si>
  <si>
    <t>DH</t>
  </si>
  <si>
    <t>CLSA/NCA Plan 4B COBRA</t>
  </si>
  <si>
    <t>IG</t>
  </si>
  <si>
    <t>CLSA/NCA Plan 5B COBRA</t>
  </si>
  <si>
    <t>EK</t>
  </si>
  <si>
    <t>CLSA/NCA Plan 6B COBRA</t>
  </si>
  <si>
    <t>JJ</t>
  </si>
  <si>
    <t>CLSA/NCA Plan 7B Cobra</t>
  </si>
  <si>
    <t>CLSA/NCA Plan 8B Cobra</t>
  </si>
  <si>
    <t>CLSA/NCA Plan 9B Cobra</t>
  </si>
  <si>
    <t>CLSA/NCA Plan 1C COBRA</t>
  </si>
  <si>
    <t>HG</t>
  </si>
  <si>
    <t>CLSA/NCA Plan 10C COBRA</t>
  </si>
  <si>
    <t>FU</t>
  </si>
  <si>
    <t>CLSA/NCA Plan 11-E C Cobra</t>
  </si>
  <si>
    <t>CLSA/NCA Plan 12-E C Cobra</t>
  </si>
  <si>
    <t>CLSA/NCA Plan 13C Cobra</t>
  </si>
  <si>
    <t>CLSA/NCA Plan 14C Cobra</t>
  </si>
  <si>
    <t>CLSA/NCA Plan 15C Cobra</t>
  </si>
  <si>
    <t>CLSA/NCA Plan 16-E C Cobra</t>
  </si>
  <si>
    <t>CLSA/NCA Plan 17-E C Cobra</t>
  </si>
  <si>
    <t>CLSA/NCA Plan 2C COBRA</t>
  </si>
  <si>
    <t>CH</t>
  </si>
  <si>
    <t>CLSA/NCA Plan 3C COBRA</t>
  </si>
  <si>
    <t>DK</t>
  </si>
  <si>
    <t>CLSA/NCA Plan 4C COBRA</t>
  </si>
  <si>
    <t>IJ</t>
  </si>
  <si>
    <t>CLSA/NCA Plan 5C COBRA</t>
  </si>
  <si>
    <t>EP</t>
  </si>
  <si>
    <t>CLSA/NCA Plan 6C COBRA</t>
  </si>
  <si>
    <t>JN</t>
  </si>
  <si>
    <t>CLSA/NCA Plan 7C Cobra</t>
  </si>
  <si>
    <t>CLSA/NCA Plan 8C Cobra</t>
  </si>
  <si>
    <t>CLSA/NCA Plan 9C Cobra</t>
  </si>
  <si>
    <t>CLSA/NCA Plan 1D COBRA</t>
  </si>
  <si>
    <t>HJ</t>
  </si>
  <si>
    <t>CLSA/NCA Plan 10D COBRA</t>
  </si>
  <si>
    <t>FY</t>
  </si>
  <si>
    <t>CLSA/NCA Plan 11-E D Cobra</t>
  </si>
  <si>
    <t>CLSA/NCA Plan 12-E D Cobra</t>
  </si>
  <si>
    <t>CLSA/NCA Plan 13D Cobra</t>
  </si>
  <si>
    <t>CLSA/NCA Plan 14D Cobra</t>
  </si>
  <si>
    <t>CLSA/NCA Plan 15D Cobra</t>
  </si>
  <si>
    <t>CLSA/NCA Plan 16-E D Cobra</t>
  </si>
  <si>
    <t>CLSA/NCA Plan 17-E D Cobra</t>
  </si>
  <si>
    <t>CLSA/NCA Plan 2D COBRA</t>
  </si>
  <si>
    <t>CK</t>
  </si>
  <si>
    <t>CLSA/NCA Plan 3D COBRA</t>
  </si>
  <si>
    <t>CLSA/NCA Plan 4D COBRA</t>
  </si>
  <si>
    <t>IN</t>
  </si>
  <si>
    <t>CLSA/NCA Plan 5D COBRA</t>
  </si>
  <si>
    <t>CLSA/NCA Plan 6D COBRA</t>
  </si>
  <si>
    <t>JR</t>
  </si>
  <si>
    <t>CLSA/NCA Plan 7D Cobra</t>
  </si>
  <si>
    <t>CLSA/NCA Plan 8D Cobra</t>
  </si>
  <si>
    <t>CLSA/NCA Plan 9D Cobra</t>
  </si>
  <si>
    <t>CLSA/SCA Plan 1A COBRA</t>
  </si>
  <si>
    <t>HN</t>
  </si>
  <si>
    <t>CLSA/SCA Plan 10A COBRA</t>
  </si>
  <si>
    <t>GG</t>
  </si>
  <si>
    <t>CLSA/SCA Plan 11-E A Cobra</t>
  </si>
  <si>
    <t>CLSA/SCA Plan 12-E A Cobra</t>
  </si>
  <si>
    <t>CLSA/SCA Plan 13A Cobra</t>
  </si>
  <si>
    <t>CLSA/SCA Plan 14A Cobra</t>
  </si>
  <si>
    <t>CLSA/SCA Plan 15A Cobra</t>
  </si>
  <si>
    <t>CLSA/SCA Plan 16-E A Cobra</t>
  </si>
  <si>
    <t>CLSA/SCA Plan 17-E A Cobra</t>
  </si>
  <si>
    <t>CLSA/SCA Plan 2A COBRA</t>
  </si>
  <si>
    <t>CP</t>
  </si>
  <si>
    <t>CLSA/SCA Plan 3A COBRA</t>
  </si>
  <si>
    <t>DS</t>
  </si>
  <si>
    <t>CLSA/SCA Plan 4A COBRA</t>
  </si>
  <si>
    <t>IR</t>
  </si>
  <si>
    <t>CLSA/SCA Plan 5A COBRA</t>
  </si>
  <si>
    <t>EV</t>
  </si>
  <si>
    <t>CLSA/SCA Plan 6A COBRA</t>
  </si>
  <si>
    <t>JU</t>
  </si>
  <si>
    <t>CLSA/SCA Plan 7A Cobra</t>
  </si>
  <si>
    <t>CLSA/SCA Plan 8A Cobra</t>
  </si>
  <si>
    <t>CLSA/SCA Plan 9A Cobra</t>
  </si>
  <si>
    <t>CLSA/SCA Plan 1B COBRA</t>
  </si>
  <si>
    <t>HR</t>
  </si>
  <si>
    <t>CLSA/SCA Plan 10B COBRA</t>
  </si>
  <si>
    <t>GJ</t>
  </si>
  <si>
    <t>CLSA/SCA Plan 11-E B Cobra</t>
  </si>
  <si>
    <t>CLSA/SCA Plan 12-E B Cobra</t>
  </si>
  <si>
    <t>CLSA/SCA Plan 13B Cobra</t>
  </si>
  <si>
    <t>CLSA/SCA Plan 14B Cobra</t>
  </si>
  <si>
    <t>CLSA/SCA Plan 15B Cobra</t>
  </si>
  <si>
    <t>CLSA/SCA Plan 16-E B Cobra</t>
  </si>
  <si>
    <t>CLSA/SCA Plan 17-E B Cobra</t>
  </si>
  <si>
    <t>CLSA/SCA Plan 2B COBRA</t>
  </si>
  <si>
    <t>CS</t>
  </si>
  <si>
    <t>CLSA/SCA Plan 3B COBRA</t>
  </si>
  <si>
    <t>DV</t>
  </si>
  <si>
    <t>CLSA/SCA Plan 4B COBRA</t>
  </si>
  <si>
    <t>IU</t>
  </si>
  <si>
    <t>CLSA/SCA Plan 5B COBRA</t>
  </si>
  <si>
    <t>F</t>
  </si>
  <si>
    <t>CLSA/SCA Plan 6B COBRA</t>
  </si>
  <si>
    <t>JY</t>
  </si>
  <si>
    <t>CLSA/SCA Plan 7B Cobra</t>
  </si>
  <si>
    <t>CLSA/SCA Plan 8B Cobra</t>
  </si>
  <si>
    <t>CLSA/SCA Plan 9B Cobra</t>
  </si>
  <si>
    <t>CLSA/SCA Plan 1C COBRA</t>
  </si>
  <si>
    <t>HU</t>
  </si>
  <si>
    <t>CLSA/SCA Plan 10C COBRA</t>
  </si>
  <si>
    <t>GN</t>
  </si>
  <si>
    <t>CLSA/SCA Plan 11-E C Cobra</t>
  </si>
  <si>
    <t>CLSA/SCA Plan 12-E C Cobra</t>
  </si>
  <si>
    <t>CLSA/SCA Plan 13C Cobra</t>
  </si>
  <si>
    <t>CLSA/SCA Plan 14C Cobra</t>
  </si>
  <si>
    <t>CLSA/SCA Plan 15C Cobra</t>
  </si>
  <si>
    <t>CLSA/SCA Plan 16-E C Cobra</t>
  </si>
  <si>
    <t>CLSA/SCA Plan 17-E C Cobra</t>
  </si>
  <si>
    <t>CLSA/SCA Plan 2C COBRA</t>
  </si>
  <si>
    <t>CV</t>
  </si>
  <si>
    <t>CLSA/SCA Plan 3C COBRA</t>
  </si>
  <si>
    <t>DZ</t>
  </si>
  <si>
    <t>CLSA/SCA Plan 4C COBRA</t>
  </si>
  <si>
    <t>IY</t>
  </si>
  <si>
    <t>CLSA/SCA Plan 5C COBRA</t>
  </si>
  <si>
    <t>FF</t>
  </si>
  <si>
    <t>CLSA/SCA Plan 6C COBRA</t>
  </si>
  <si>
    <t>KD</t>
  </si>
  <si>
    <t>CLSA/SCA Plan 7C Cobra</t>
  </si>
  <si>
    <t>CLSA/SCA Plan 8C Cobra</t>
  </si>
  <si>
    <t>CLSA/SCA Plan 9C Cobra</t>
  </si>
  <si>
    <t>CLSA/SCA Plan 1D COBRA</t>
  </si>
  <si>
    <t>HY</t>
  </si>
  <si>
    <t>CLSA/SCA Plan 10D COBRA</t>
  </si>
  <si>
    <t>GR</t>
  </si>
  <si>
    <t>CLSA/SCA Plan 11-E D Cobra</t>
  </si>
  <si>
    <t>CLSA/SCA Plan 12-E D Cobra</t>
  </si>
  <si>
    <t>CLSA/SCA Plan 13D Cobra</t>
  </si>
  <si>
    <t>CLSA/SCA Plan 14D Cobra</t>
  </si>
  <si>
    <t>CLSA/SCA Plan 15D Cobra</t>
  </si>
  <si>
    <t>CLSA/SCA Plan 16-E D Cobra</t>
  </si>
  <si>
    <t>CLSA/SCA Plan 17-E D Cobra</t>
  </si>
  <si>
    <t>CLSA/SCA Plan 2D COBRA</t>
  </si>
  <si>
    <t>CZ</t>
  </si>
  <si>
    <t>CLSA/SCA Plan 3D COBRA</t>
  </si>
  <si>
    <t>CLSA/SCA Plan 4D COBRA</t>
  </si>
  <si>
    <t>JD</t>
  </si>
  <si>
    <t>CLSA/SCA Plan 5D COBRA</t>
  </si>
  <si>
    <t>CLSA/SCA Plan 6D COBRA</t>
  </si>
  <si>
    <t>KG</t>
  </si>
  <si>
    <t>CLSA/SCA Plan 7D Cobra</t>
  </si>
  <si>
    <t>CLSA/SCA Plan 8D Cobra</t>
  </si>
  <si>
    <t>CLSA/SCA Plan 9D Cobra</t>
  </si>
  <si>
    <t>Kaushik Hansjee
650-281-0804
khansjee@kodiak.com</t>
  </si>
  <si>
    <t>UHC: Full HMO Plan 1: 10/0</t>
  </si>
  <si>
    <t>UHC: Narrow HMO Plan 4: 10/0</t>
  </si>
  <si>
    <t>Plan 3
(current plan is at or after 2/1/17)</t>
  </si>
  <si>
    <t>66.67% up to $20,000</t>
  </si>
  <si>
    <t xml:space="preserve">Tocagen, Inc. </t>
  </si>
  <si>
    <t>Abby Cleghorn
(781) 454-9622
acleghorn@versantventures.com</t>
  </si>
  <si>
    <t>3030 Bunker Hill St., Ste 230
San Diego, CA 92109</t>
  </si>
  <si>
    <t>39655 Eureka Dr
Newark, CA 94560</t>
  </si>
  <si>
    <t>Triple Ring Technologies, Inc.</t>
  </si>
  <si>
    <t>1x earnings up to $500,000</t>
  </si>
  <si>
    <t>Vital Therapies, Inc.</t>
  </si>
  <si>
    <t xml:space="preserve">15010 Avenue of Science 
Suite 200 
San Diego, CA 92128 </t>
  </si>
  <si>
    <t xml:space="preserve">Cindy Law
858 649-1880 
claw@vitaltherapies.com </t>
  </si>
  <si>
    <t xml:space="preserve">Blue Shielf of California: PPO Split 20-500 80/60 </t>
  </si>
  <si>
    <t>Principal: DPPOS</t>
  </si>
  <si>
    <t>Humanigen, Inc.</t>
  </si>
  <si>
    <t>Deborah Brown
650-243-3109
dbrown@humanigen.com</t>
  </si>
  <si>
    <t>Biospyder Technologies, Inc.</t>
  </si>
  <si>
    <t>5922 Farnsworth Ct 
Suite 102
Carlsbad, CA 92008</t>
  </si>
  <si>
    <t>303 Bryant St.
Mountain View, CA 94041</t>
  </si>
  <si>
    <t>Glooko Inc.</t>
  </si>
  <si>
    <t>Sani-Tech West Inc.</t>
  </si>
  <si>
    <t>3047 Orchard Parkway
San Jose, CA 95134</t>
  </si>
  <si>
    <t>One Sansome Street, Ste 3630
San Francisco, CA 94104</t>
  </si>
  <si>
    <t>Joanne Kwan
(415) 801-8100
accountspayable@versantventures.com</t>
  </si>
  <si>
    <t xml:space="preserve">Patelco Credit Union </t>
  </si>
  <si>
    <t>Non-CLSA Trust Vendor</t>
  </si>
  <si>
    <t>Trudy Schapansky
510-592-3000 x65467
tschapansky@tripleringtech.com</t>
  </si>
  <si>
    <t>Account Managed by ABD Team
Andrea Trudeau
andrea.trudeau@theabdteam.com
Megan Delgado
megan.delgado@theabdteam.com</t>
  </si>
  <si>
    <t>Kaiser SG</t>
  </si>
  <si>
    <t>Key Point Credit Union</t>
  </si>
  <si>
    <t>AlterG, Inc.</t>
  </si>
  <si>
    <t>48438 Milmont Drive
Freemont, CA 94538</t>
  </si>
  <si>
    <t>Heidi Remsberg
510-270-5882
hremsberg@alterg.com</t>
  </si>
  <si>
    <t>Plan 11-E</t>
  </si>
  <si>
    <t>Plan 12-E</t>
  </si>
  <si>
    <t>Plan 16-E</t>
  </si>
  <si>
    <t>Plan 17-E</t>
  </si>
  <si>
    <t xml:space="preserve">Account Managed by ABD Team
Producer-Andrea Trudeau
andrea.trudeau@theabdteam.com
Service Lead-Danielle Romero
Danielle.Romero@theabdteam.com </t>
  </si>
  <si>
    <t>BASIC</t>
  </si>
  <si>
    <t>Account Managed by ABD Team
Producer - Faye Lewis
Faye.Lewis@theabdteam.com
Service Lead-Michelle Parker
Michelle.Parker@theabdteam.com</t>
  </si>
  <si>
    <t>IGOE
(Commuter with BASIC)</t>
  </si>
  <si>
    <t>Account Managed by ABD Team
Mark Anderson
Mark.Anderson@theabdteam.com
Tommy Hendrickson
tommy.hendrickson@theabdteam.com</t>
  </si>
  <si>
    <t>Qool Therapeutics, Inc.</t>
  </si>
  <si>
    <t>1455 Adams Court
Menlo Park, CA 94025</t>
  </si>
  <si>
    <t>1160 Battery St., Ste. 225
San Francisco, CA 94111</t>
  </si>
  <si>
    <t>Kaiser: HMO</t>
  </si>
  <si>
    <t>Kaiser DHMO</t>
  </si>
  <si>
    <t>Non-CLSA Vision Carrier</t>
  </si>
  <si>
    <t>Non-CIGNA Plan</t>
  </si>
  <si>
    <t>Unknown</t>
  </si>
  <si>
    <t>Bryan Cass
510.270.5903
bcass@alterg.com</t>
  </si>
  <si>
    <t>Account Managed by Woodruff-Sawyer 
Producer - Suzanne Haslman
shaslam@wsandco.com
Service Lead - Vanessa Stuckey
vstuckey@wsandco.com</t>
  </si>
  <si>
    <t>Primmune Therapeutics, Inc.</t>
  </si>
  <si>
    <t>Paulo Rangel
(858) 205-2281
prangel@primmunerx.com</t>
  </si>
  <si>
    <t>1929 East Pointe Ave
Carlsbad, CA 92008</t>
  </si>
  <si>
    <t>6197 Cornerstone Ct. E, Suite 111
San Diego, CA 92121</t>
  </si>
  <si>
    <t>Christine Arzt
858-703-6544
crtz@crinetics.com</t>
  </si>
  <si>
    <t>Katie Mittleider
858-549-7525
kmittleider@core-rpo.com 
Tom Wang (Authorized Signatory)</t>
  </si>
  <si>
    <t>UHC: PPO w/ HSA Plan 18 : 2700/20</t>
  </si>
  <si>
    <t>Brian Goldman
(805) 465-5786
bgoldman@stwcos.com</t>
  </si>
  <si>
    <t xml:space="preserve">Account Managed by Woodruff-Sawyer Team
Producer - Sheila Villaroman
Service Lead - Kimmy Fung
</t>
  </si>
  <si>
    <t>ADP</t>
  </si>
  <si>
    <t>Kaiser SG
Platinum 90 0/10 HMO</t>
  </si>
  <si>
    <t>Meredith Delia
415-226-4305
meredith.delia@theabdteam.com</t>
  </si>
  <si>
    <t>IGOE (Limited FSA)
BASIC
(commuter only)</t>
  </si>
  <si>
    <t>SentreHEART, Inc.</t>
  </si>
  <si>
    <t>1325 Sycamore Avenue, Suite A
Vista, CA  92081</t>
  </si>
  <si>
    <t>Mindy Schwartz
760-509-1186
mschwartz@mynuface.com</t>
  </si>
  <si>
    <t>Valerie Alsman
760-509-1189
valsmar@mynuface.com</t>
  </si>
  <si>
    <t>300 Saginaw Drive
Redwood City, CA 94063</t>
  </si>
  <si>
    <t>1020 Flynn Road
Camarillo, CA 93012</t>
  </si>
  <si>
    <t xml:space="preserve">UHC: HMO Plan 4: 10/0 </t>
  </si>
  <si>
    <t xml:space="preserve">Ashley Avila
858 412-8464 
accounting@tocagen.com </t>
  </si>
  <si>
    <t>N/A
Mellon Bank</t>
  </si>
  <si>
    <t xml:space="preserve">11025 N. Torrey Pines Road, Suite 120
La Jolla, CA 92037 </t>
  </si>
  <si>
    <t xml:space="preserve">Brent Vetter
619.672.7363
bvetter@molecularstethoscope.com </t>
  </si>
  <si>
    <t xml:space="preserve">Jean Marie Connelly
949-207-3312 x22
jean@stromamedical.com </t>
  </si>
  <si>
    <t>Amy Pastor
APastor@Cidara.com
858-249-7453</t>
  </si>
  <si>
    <t>Beverly Huss
415-602-2862
bhuss@qooltherapeutics.com</t>
  </si>
  <si>
    <t>Bird Rock Bio, Inc.</t>
  </si>
  <si>
    <t>2223 Avenida De La Playa, 
Ste 205, La Jolla CA 92037</t>
  </si>
  <si>
    <t xml:space="preserve">Account Managed by HUB SD Team
Producer - Neal Cook
Service Lead - Pam Andrakowicz
</t>
  </si>
  <si>
    <t>2200 Powell Street, # 310
Emeryville, CA  94608</t>
  </si>
  <si>
    <t>Alyssa Lochbaum
619.607.1107
Alyssa@BirdRockBio.com</t>
  </si>
  <si>
    <t>Kenneth Huang
858-587-4926
kenneth@birdrockbio.com</t>
  </si>
  <si>
    <t>SutroVax, Inc.</t>
  </si>
  <si>
    <t>353 Hatch Drive
Foster City, CA 94404</t>
  </si>
  <si>
    <t>Navia Benefit Solutions</t>
  </si>
  <si>
    <t>Paycom</t>
  </si>
  <si>
    <t xml:space="preserve">Account Managed by ABD Team
Producer - Debbie Mangels
Service Lead - Gabrielle Anderson
</t>
  </si>
  <si>
    <t xml:space="preserve">Erma Galvan
650-622-2777
egalvan@sentreheart.com </t>
  </si>
  <si>
    <t>Plan</t>
  </si>
  <si>
    <t>PPO Rx</t>
  </si>
  <si>
    <r>
      <t>group_name
Note:</t>
    </r>
    <r>
      <rPr>
        <sz val="10"/>
        <color indexed="9"/>
        <rFont val="Arial"/>
        <family val="2"/>
      </rPr>
      <t xml:space="preserve"> E Standards for Expanded Preventative Rx Formulary….which all the HSA plans have now. </t>
    </r>
  </si>
  <si>
    <t>01/01/2018</t>
  </si>
  <si>
    <t>CA 2017 Sel+ HSA ULR (Plan 11E w/Acs)Mod</t>
  </si>
  <si>
    <t>Acs - Access (buy-up)</t>
  </si>
  <si>
    <t>-</t>
  </si>
  <si>
    <t>CLSA/NCA 11-E A AB1401 - Acs</t>
  </si>
  <si>
    <t>CA 2017 Sel+ HSA AHT6 (Plan 12E w/Acs)</t>
  </si>
  <si>
    <t>CLSA/NCA 12-E A AB1401 - Acs</t>
  </si>
  <si>
    <t>CA 2017 CH+PS1 480 (Plan 13 w/Acs) Mod</t>
  </si>
  <si>
    <t>CLSA/NCA 13A AB1401 - Acs</t>
  </si>
  <si>
    <t>CA 2017 CH+PS1 494 (Plan 14 w/Acs)</t>
  </si>
  <si>
    <t>CLSA/NCA 14A AB1401 - Acs</t>
  </si>
  <si>
    <t>CA 2017 CH+PS1 532 (Plan 15 w/Acs) Mod</t>
  </si>
  <si>
    <t>CLSA/NCA 15A AB1401 - Acs</t>
  </si>
  <si>
    <t>CA 2017 CH+PS1 HSA 560 (Plan 16E w/Acs)M</t>
  </si>
  <si>
    <t>CLSA/NCA 16-E A AB1401 - Acs</t>
  </si>
  <si>
    <t>CA 2017 CH+PS1 HSA 564 (Plan 17E w/Acs)M</t>
  </si>
  <si>
    <t>CLSA/NCA 17-E A AB1401 - Acs</t>
  </si>
  <si>
    <t>RA</t>
  </si>
  <si>
    <t>CA 2017 Sel+ HSA AXE8 (Plan 18E w/Acs)</t>
  </si>
  <si>
    <t>Plan 18-E</t>
  </si>
  <si>
    <t>CLSA/NCA 18-E A AB1401 - Acs</t>
  </si>
  <si>
    <t>TA</t>
  </si>
  <si>
    <t>CA 2017 CH+PS1 HSA AXFD (Plan 19E w/Acs)</t>
  </si>
  <si>
    <t>Plan 19-E</t>
  </si>
  <si>
    <t>CLSA/NCA 19-E A AB1401 - Acs</t>
  </si>
  <si>
    <t>CA 2017 Sel+ AB6G (Plan 7 w/Acs) Mod</t>
  </si>
  <si>
    <t>CLSA/NCA 7A AB1401 - Acs</t>
  </si>
  <si>
    <t>CA 2017 Sel+ PR3 (Plan 8 w/Acs)</t>
  </si>
  <si>
    <t>CLSA/NCA 8A AB1401 - Acs</t>
  </si>
  <si>
    <t>CA 2017 Sel+ AKLY (Plan 9 w/Acs)</t>
  </si>
  <si>
    <t>CLSA/NCA 9A AB1401 - Acs</t>
  </si>
  <si>
    <t>CA 2017 Sel+ HSA ULR (Plan 11E w/AcsMO)M</t>
  </si>
  <si>
    <t>MO - Motion (buy-up)</t>
  </si>
  <si>
    <t>CLSA/NCA 11-E A AB1401 - AcsMO</t>
  </si>
  <si>
    <t>CA 2017 Sel+ HSA AHT6 (Plan 12E w/AcsMO)</t>
  </si>
  <si>
    <t>CLSA/NCA 12-E A AB1401 - AcsMO</t>
  </si>
  <si>
    <t>CA 2017 CH+PS1 HSA 560(Plan 16Ew/AcsMO)M</t>
  </si>
  <si>
    <t>CLSA/NCA 16-E A AB1401 - AcsMO</t>
  </si>
  <si>
    <t>CA 2017 CH+PS1 HSA 564(Plan 17Ew/AcsMO)M</t>
  </si>
  <si>
    <t>CLSA/NCA 17-E A AB1401 - AcsMO</t>
  </si>
  <si>
    <t>CA 2017 Sel+HSA AXE8 (Plan 18E w/AcsMO)</t>
  </si>
  <si>
    <t>CLSA/NCA 18-E A AB1401 - AcsMO</t>
  </si>
  <si>
    <t>CA 2017 CH+PS1 HSA AXFD(Plan 19Ew/AcsMO)</t>
  </si>
  <si>
    <t>CLSA/NCA 19-E A AB1401 - AcsMO</t>
  </si>
  <si>
    <t>CA SV HML U8M/U8N/U8P Plan 1</t>
  </si>
  <si>
    <t>ADV - Advantage</t>
  </si>
  <si>
    <t>CA SV Alliance HML LSV/LSX/LSY HSA Pl 10</t>
  </si>
  <si>
    <t>CA 2017 Select+ HSA ULR Mod 11E</t>
  </si>
  <si>
    <t>CA 2017 Sel+ HSA AXE8 (Plan 18E)</t>
  </si>
  <si>
    <t>CLSA/NCA 18-E A AB1401</t>
  </si>
  <si>
    <t>CA 2017 CH+PS1 HSA AXFD (Plan 19E)</t>
  </si>
  <si>
    <t>CLSA/NCA 19-E A AB1401</t>
  </si>
  <si>
    <t>CA SV HML U8T/U8U/U8V Plan 2</t>
  </si>
  <si>
    <t>CA SV HML Y93/Y94/Y95 Plan 3</t>
  </si>
  <si>
    <t>CA SV Alliance HML YDO/YFO/YGO Plan 4</t>
  </si>
  <si>
    <t>CA SV Alliance HML YGI/YHI/YII Plan 5</t>
  </si>
  <si>
    <t>CA SV Alliance HML U2Z/U4Z/U6Z Plan 6</t>
  </si>
  <si>
    <t>CA 2017 Select+ AB6G Mod (Plan 7)</t>
  </si>
  <si>
    <t>CA 2017 Select+ PR3 (Plan 8)</t>
  </si>
  <si>
    <t>CA 2017 Sel+ Plan AKLY Plan 9</t>
  </si>
  <si>
    <t>CA 2017 Sel+ HSA ULR (Plan 11E w/MO) Mod</t>
  </si>
  <si>
    <t>CLSA/NCA 11-E A AB1401 - MO</t>
  </si>
  <si>
    <t>CA 2017 Sel+ HSA AHT6 (Plan 12E w/MO)</t>
  </si>
  <si>
    <t>CLSA/NCA 12-E A AB1401 - MO</t>
  </si>
  <si>
    <t>CA 2017 CH+PS1 HSA 560 (Plan 16E w/MO)M</t>
  </si>
  <si>
    <t>CLSA/NCA 16-E A AB1401 - MO</t>
  </si>
  <si>
    <t>CA 2017 CH+PS1 HSA 564 (Plan 17E w/MO)M</t>
  </si>
  <si>
    <t>CLSA/NCA 17-E A AB1401 - MO</t>
  </si>
  <si>
    <t>CA 2017 Sel+ HSA AXE8 (Plan 18E w/MO)</t>
  </si>
  <si>
    <t>CLSA/NCA 18-E A AB1401 - MO</t>
  </si>
  <si>
    <t>CA 2017 CH+PS1 HSA AXFD (Plan 19E w/MO)</t>
  </si>
  <si>
    <t>CLSA/NCA 19-E A AB1401 - MO</t>
  </si>
  <si>
    <t>CA 2017 Select+ HSA ULR Mod-TERM</t>
  </si>
  <si>
    <t>AB1401-TERM</t>
  </si>
  <si>
    <t>CLSA/NCA Plan 11A AB1401-TERM</t>
  </si>
  <si>
    <t>CA 2016 Select+HSA AHT6-TERM</t>
  </si>
  <si>
    <t>CLSA/NCA Plan 12A AB1401-TERM</t>
  </si>
  <si>
    <t>CA 2017 CH+PS1 HSA 560 Mod-TERM</t>
  </si>
  <si>
    <t>CLSA/NCA Plan 16A AB1401-TERM</t>
  </si>
  <si>
    <t>CA 2017 HSA CH+PS1 Pl 564 Mod 17-TERM</t>
  </si>
  <si>
    <t>CLSA/NCA Plan 17A AB1401-TERM</t>
  </si>
  <si>
    <t>CLSA/NCA 11-E A Active - Acs</t>
  </si>
  <si>
    <t>CLSA/NCA 12-E A Active - Acs</t>
  </si>
  <si>
    <t>CLSA/NCA 13A Active - Acs</t>
  </si>
  <si>
    <t>CLSA/NCA 14A Active - Acs</t>
  </si>
  <si>
    <t>CLSA/NCA 15A Active - Acs</t>
  </si>
  <si>
    <t>CLSA/NCA 16-E A Active - Acs</t>
  </si>
  <si>
    <t>CLSA/NCA 17-E A Active - Acs</t>
  </si>
  <si>
    <t>CLSA/NCA 18-E A Active - Acs</t>
  </si>
  <si>
    <t>CLSA/NCA 19-E A Active - Acs</t>
  </si>
  <si>
    <t>CLSA/NCA 7A Active - Acs</t>
  </si>
  <si>
    <t>CLSA/NCA 8A Active - Acs</t>
  </si>
  <si>
    <t>CLSA/NCA 9A Active - Acs</t>
  </si>
  <si>
    <t>CLSA/NCA 11-E A Active - AcsMO</t>
  </si>
  <si>
    <t>CLSA/NCA 12-E A Active - AcsMO</t>
  </si>
  <si>
    <t>CLSA/NCA 16-E A Active - AcsMO</t>
  </si>
  <si>
    <t>CLSA/NCA 17-E A Active - AcsMO</t>
  </si>
  <si>
    <t>CLSA/NCA 18-E A Active - AcsMO</t>
  </si>
  <si>
    <t>CLSA/NCA 19-E A Active - AcsMO</t>
  </si>
  <si>
    <t>CLSA/NCA 18-E A Active</t>
  </si>
  <si>
    <t>CLSA/NCA 19-E A Active</t>
  </si>
  <si>
    <t>CLSA/NCA 11-E A Active - MO</t>
  </si>
  <si>
    <t>CLSA/NCA 12-E A Active - MO</t>
  </si>
  <si>
    <t>CLSA/NCA 16-E A Active - MO</t>
  </si>
  <si>
    <t>CLSA/NCA 17-E A Active - MO</t>
  </si>
  <si>
    <t>CLSA/NCA 18-E A Active - MO</t>
  </si>
  <si>
    <t>CLSA/NCA 19-E A Active - MO</t>
  </si>
  <si>
    <t>Active-TERM</t>
  </si>
  <si>
    <t>CLSA/NCA Plan 11A Active-TERM</t>
  </si>
  <si>
    <t>CLSA/NCA Plan 12A Active-TERM</t>
  </si>
  <si>
    <t>CLSA/NCA Plan 16A Active-TERM</t>
  </si>
  <si>
    <t>CLSA/NCA Plan 17A Active-TERM</t>
  </si>
  <si>
    <t>CLSA/NCA 11-E A Cobra - Acs</t>
  </si>
  <si>
    <t>CLSA/NCA 12-E A Cobra - Acs</t>
  </si>
  <si>
    <t>CLSA/NCA 13A Cobra - Acs</t>
  </si>
  <si>
    <t>CLSA/NCA 14A Cobra - Acs</t>
  </si>
  <si>
    <t>CLSA/NCA 15A Cobra - Acs</t>
  </si>
  <si>
    <t>CLSA/NCA 16-E A Cobra - Acs</t>
  </si>
  <si>
    <t>CLSA/NCA 17-E A Cobra - Acs</t>
  </si>
  <si>
    <t>CLSA/NCA 18-E A Cobra - Acs</t>
  </si>
  <si>
    <t>CLSA/NCA 19-E A Cobra - Acs</t>
  </si>
  <si>
    <t>CLSA/NCA 7A Cobra - Acs</t>
  </si>
  <si>
    <t>CLSA/NCA 8A Cobra - Acs</t>
  </si>
  <si>
    <t>CLSA/NCA 9A Cobra - Acs</t>
  </si>
  <si>
    <t>CLSA/NCA 11-E A Cobra - AcsMO</t>
  </si>
  <si>
    <t>CLSA/NCA 12-E A Cobra - AcsMO</t>
  </si>
  <si>
    <t>CLSA/NCA 16-E A Cobra - AcsMO</t>
  </si>
  <si>
    <t>CLSA/NCA 17-E A Cobra - AcsMO</t>
  </si>
  <si>
    <t>CLSA/NCA 18-E A Cobra - AcsMO</t>
  </si>
  <si>
    <t>CLSA/NCA 19-E A Cobra - AcsMO</t>
  </si>
  <si>
    <t>CLSA/NCA 18-E A Cobra</t>
  </si>
  <si>
    <t>CLSA/NCA 19-E A Cobra</t>
  </si>
  <si>
    <t>CLSA/NCA 11-E A Cobra - MO</t>
  </si>
  <si>
    <t>CLSA/NCA 12-E A Cobra - MO</t>
  </si>
  <si>
    <t>CLSA/NCA 16-E A Cobra - MO</t>
  </si>
  <si>
    <t>CLSA/NCA 17-E A Cobra - MO</t>
  </si>
  <si>
    <t>CLSA/NCA 18-E A Cobra - MO</t>
  </si>
  <si>
    <t>CLSA/NCA 19-E A Cobra - MO</t>
  </si>
  <si>
    <t>Cobra-TERM</t>
  </si>
  <si>
    <t>CLSA/NCA Plan 11A Cobra-TERM</t>
  </si>
  <si>
    <t>CLSA/NCA Plan 12A Cobra-TERM</t>
  </si>
  <si>
    <t>CLSA/NCA Plan 16A Cobra-TERM</t>
  </si>
  <si>
    <t>CLSA/NCA Plan 17A Cobra-TERM</t>
  </si>
  <si>
    <t>CLSA/NCA 11-E B AB1401 - Acs</t>
  </si>
  <si>
    <t>CLSA/NCA 12-E B AB1401 - Acs</t>
  </si>
  <si>
    <t>CLSA/NCA 13B AB1401 - Acs</t>
  </si>
  <si>
    <t>CLSA/NCA 14B AB1401 - Acs</t>
  </si>
  <si>
    <t>CLSA/NCA 15B AB1401 - Acs</t>
  </si>
  <si>
    <t>CLSA/NCA 16-E B AB1401 - Acs</t>
  </si>
  <si>
    <t>CLSA/NCA 17-E B AB1401 - Acs</t>
  </si>
  <si>
    <t>CLSA/NCA 18-E B AB1401 - Acs</t>
  </si>
  <si>
    <t>CLSA/NCA 19-E B AB1401 - Acs</t>
  </si>
  <si>
    <t>CLSA/NCA 7B AB1401 - Acs</t>
  </si>
  <si>
    <t>CLSA/NCA 8B AB1401 - Acs</t>
  </si>
  <si>
    <t>CLSA/NCA 9B AB1401 - Acs</t>
  </si>
  <si>
    <t>CLSA/NCA 11-E B AB1401 - AcsMO</t>
  </si>
  <si>
    <t>CLSA/NCA 12-E B AB1401 - AcsMO</t>
  </si>
  <si>
    <t>CLSA/NCA 16-E B AB1401 - AcsMO</t>
  </si>
  <si>
    <t>CLSA/NCA 17-E B AB1401 - AcsMO</t>
  </si>
  <si>
    <t>CLSA/NCA 18-E B AB1401 - AcsMO</t>
  </si>
  <si>
    <t>CLSA/NCA 19-E B AB1401 - AcsMO</t>
  </si>
  <si>
    <t>CLSA/NCA 18-E B AB1401</t>
  </si>
  <si>
    <t>CLSA/NCA 19-E B AB1401</t>
  </si>
  <si>
    <t>CLSA/NCA 11-E B AB1401 - MO</t>
  </si>
  <si>
    <t>CLSA/NCA 12-E B AB1401 - MO</t>
  </si>
  <si>
    <t>CLSA/NCA 16-E B AB1401 - MO</t>
  </si>
  <si>
    <t>CLSA/NCA 17-E B AB1401 - MO</t>
  </si>
  <si>
    <t>CLSA/NCA 18-E B AB1401 - MO</t>
  </si>
  <si>
    <t>CLSA/NCA 19-E B AB1401 - MO</t>
  </si>
  <si>
    <t>CLSA/NCA Plan 11B AB1401-TERM</t>
  </si>
  <si>
    <t>CLSA/NCA Plan 12B AB1401-TERM</t>
  </si>
  <si>
    <t>CLSA/NCA Plan 16B AB1401-TERM</t>
  </si>
  <si>
    <t>CLSA/NCA Plan 17B AB1401-TERM</t>
  </si>
  <si>
    <t>CLSA/NCA 11-E B Active - Acs</t>
  </si>
  <si>
    <t>CLSA/NCA 12-E B Active - Acs</t>
  </si>
  <si>
    <t>CLSA/NCA 13B Active - Acs</t>
  </si>
  <si>
    <t>CLSA/NCA 14B Active - Acs</t>
  </si>
  <si>
    <t>CLSA/NCA 15B Active - Acs</t>
  </si>
  <si>
    <t>CLSA/NCA 16-E B Active - Acs</t>
  </si>
  <si>
    <t>CLSA/NCA 17-E B Active - Acs</t>
  </si>
  <si>
    <t>CLSA/NCA 18-E B Active - Acs</t>
  </si>
  <si>
    <t>CLSA/NCA 19-E B Active - Acs</t>
  </si>
  <si>
    <t>CLSA/NCA 7B Active - Acs</t>
  </si>
  <si>
    <t>CLSA/NCA 8B Active - Acs</t>
  </si>
  <si>
    <t>CLSA/NCA 9B Active - Acs</t>
  </si>
  <si>
    <t>CLSA/NCA 11-E B Active - AcsMO</t>
  </si>
  <si>
    <t>CLSA/NCA 12-E B Active - AcsMO</t>
  </si>
  <si>
    <t>CLSA/NCA 16-E B Active - AcsMO</t>
  </si>
  <si>
    <t>CLSA/NCA 17-E B Active - AcsMO</t>
  </si>
  <si>
    <t>CLSA/NCA 18-E B Active - AcsMO</t>
  </si>
  <si>
    <t>CLSA/NCA 19-E B Active - AcsMO</t>
  </si>
  <si>
    <t>CLSA/NCA 18-E B Active</t>
  </si>
  <si>
    <t>CLSA/NCA 19-E B Active</t>
  </si>
  <si>
    <t>CLSA/NCA 11-E B Active - MO</t>
  </si>
  <si>
    <t>CLSA/NCA 12-E B Active - MO</t>
  </si>
  <si>
    <t>CLSA/NCA 16-E B Active - MO</t>
  </si>
  <si>
    <t>CLSA/NCA 17-E B Active - MO</t>
  </si>
  <si>
    <t>CLSA/NCA 18-E B Active - MO</t>
  </si>
  <si>
    <t>CLSA/NCA 19-E B Active - MO</t>
  </si>
  <si>
    <t>CLSA/NCA Plan 11B Active-TERM</t>
  </si>
  <si>
    <t>CLSA/NCA Plan 12B Active-TERM</t>
  </si>
  <si>
    <t>CLSA/NCA Plan 16B Active-TERM</t>
  </si>
  <si>
    <t>CLSA/NCA Plan 17B Active-TERM</t>
  </si>
  <si>
    <t>CLSA/NCA 11-E B Cobra - Acs</t>
  </si>
  <si>
    <t>CLSA/NCA 12-E B Cobra - Acs</t>
  </si>
  <si>
    <t>CLSA/NCA 13B Cobra - Acs</t>
  </si>
  <si>
    <t>CLSA/NCA 14B Cobra - Acs</t>
  </si>
  <si>
    <t>CLSA/NCA 15B Cobra - Acs</t>
  </si>
  <si>
    <t>CLSA/NCA 16-E B Cobra - Acs</t>
  </si>
  <si>
    <t>CLSA/NCA 17-E B Cobra - Acs</t>
  </si>
  <si>
    <t>CLSA/NCA 18-E B Cobra - Acs</t>
  </si>
  <si>
    <t>CLSA/NCA 19-E B Cobra - Acs</t>
  </si>
  <si>
    <t>CLSA/NCA 7B Cobra - Acs</t>
  </si>
  <si>
    <t>CLSA/NCA 8B Cobra - Acs</t>
  </si>
  <si>
    <t>CLSA/NCA 9B Cobra - Acs</t>
  </si>
  <si>
    <t>CLSA/NCA 11-E B Cobra - AcsMO</t>
  </si>
  <si>
    <t>CLSA/NCA 12-E B Cobra - AcsMO</t>
  </si>
  <si>
    <t>CLSA/NCA 16-E B Cobra - AcsMO</t>
  </si>
  <si>
    <t>CLSA/NCA 17-E B Cobra - AcsMO</t>
  </si>
  <si>
    <t>CLSA/NCA 18-E B Cobra - AcsMO</t>
  </si>
  <si>
    <t>CLSA/NCA 19-E B Cobra - AcsMO</t>
  </si>
  <si>
    <t>CLSA/NCA 18-E B Cobra</t>
  </si>
  <si>
    <t>CLSA/NCA 19-E B Cobra</t>
  </si>
  <si>
    <t>CLSA/NCA 11-E B Cobra - MO</t>
  </si>
  <si>
    <t>CLSA/NCA 12-E B Cobra - MO</t>
  </si>
  <si>
    <t>CLSA/NCA 16-E B Cobra - MO</t>
  </si>
  <si>
    <t>CLSA/NCA 17-E B Cobra - MO</t>
  </si>
  <si>
    <t>CLSA/NCA 18-E B Cobra - MO</t>
  </si>
  <si>
    <t>CLSA/NCA 19-E B Cobra - MO</t>
  </si>
  <si>
    <t>CLSA/NCA Plan 11B Cobra-TERM</t>
  </si>
  <si>
    <t>CLSA/NCA Plan 12B Cobra-TERM</t>
  </si>
  <si>
    <t>CLSA/NCA Plan 16B Cobra-TERM</t>
  </si>
  <si>
    <t>CLSA/NCA Plan 17B Cobra-TERM</t>
  </si>
  <si>
    <t>CLSA/NCA 11-E C AB1401 - Acs</t>
  </si>
  <si>
    <t>CLSA/NCA 12-E C AB1401 - Acs</t>
  </si>
  <si>
    <t>CLSA/NCA 13C AB1401 - Acs</t>
  </si>
  <si>
    <t>CLSA/NCA 14C AB1401 - Acs</t>
  </si>
  <si>
    <t>CLSA/NCA 15C AB1401 - Acs</t>
  </si>
  <si>
    <t>CLSA/NCA 16-E C AB1401 - Acs</t>
  </si>
  <si>
    <t>CLSA/NCA 17-E C AB1401 - Acs</t>
  </si>
  <si>
    <t>CLSA/NCA 18-E C AB1401 - Acs</t>
  </si>
  <si>
    <t>CLSA/NCA 19-E C AB1401 - Acs</t>
  </si>
  <si>
    <t>CLSA/NCA 7C AB1401 - Acs</t>
  </si>
  <si>
    <t>CLSA/NCA 8C AB1401 - Acs</t>
  </si>
  <si>
    <t>CLSA/NCA 9C AB1401 - Acs</t>
  </si>
  <si>
    <t>CLSA/NCA 11-E C AB1401 - AcsMO</t>
  </si>
  <si>
    <t>CLSA/NCA 12-E C AB1401 - AcsMO</t>
  </si>
  <si>
    <t>CLSA/NCA 16-E C AB1401 - AcsMO</t>
  </si>
  <si>
    <t>CLSA/NCA 17-E C AB1401 - AcsMO</t>
  </si>
  <si>
    <t>CLSA/NCA 18-E C AB1401 - AcsMO</t>
  </si>
  <si>
    <t>CLSA/NCA 19-E C AB1401 - AcsMO</t>
  </si>
  <si>
    <t>CLSA/NCA 18-E C AB1401</t>
  </si>
  <si>
    <t>CLSA/NCA 19-E C AB1401</t>
  </si>
  <si>
    <t>CLSA/NCA 11-E C AB1401 - MO</t>
  </si>
  <si>
    <t>CLSA/NCA 12-E C AB1401 - MO</t>
  </si>
  <si>
    <t>CLSA/NCA 16-E C AB1401 - MO</t>
  </si>
  <si>
    <t>CLSA/NCA 17-E C AB1401 - MO</t>
  </si>
  <si>
    <t>CLSA/NCA 18-E C AB1401 - MO</t>
  </si>
  <si>
    <t>CLSA/NCA 19-E C AB1401 - MO</t>
  </si>
  <si>
    <t>CLSA/NCA Plan 11C AB1401-TERM</t>
  </si>
  <si>
    <t>CLSA/NCA Plan 12C AB1401-TERM</t>
  </si>
  <si>
    <t>CLSA/NCA Plan 16C AB1401-TERM</t>
  </si>
  <si>
    <t>CLSA/NCA Plan 17C AB1401-TERM</t>
  </si>
  <si>
    <t>CLSA/NCA 11-E C Active - Acs</t>
  </si>
  <si>
    <t>CLSA/NCA 12-E C Active - Acs</t>
  </si>
  <si>
    <t>CLSA/NCA 13C Active - Acs</t>
  </si>
  <si>
    <t>CLSA/NCA 14C Active - Acs</t>
  </si>
  <si>
    <t>CLSA/NCA 15C Active - Acs</t>
  </si>
  <si>
    <t>CLSA/NCA 16-E C Active - Acs</t>
  </si>
  <si>
    <t>CLSA/NCA 17-E C Active - Acs</t>
  </si>
  <si>
    <t>CLSA/NCA 18-E C Active - Acs</t>
  </si>
  <si>
    <t>CLSA/NCA 19-E C Active - Acs</t>
  </si>
  <si>
    <t>CLSA/NCA 7C Active - Acs</t>
  </si>
  <si>
    <t>CLSA/NCA 8C Active - Acs</t>
  </si>
  <si>
    <t>CLSA/NCA 9C Active - Acs</t>
  </si>
  <si>
    <t>CLSA/NCA 11-E C Active - AcsMO</t>
  </si>
  <si>
    <t>CLSA/NCA 12-E C Active - AcsMO</t>
  </si>
  <si>
    <t>CLSA/NCA 16-E C Active - AcsMO</t>
  </si>
  <si>
    <t>CLSA/NCA 17-E C Active - AcsMO</t>
  </si>
  <si>
    <t>CLSA/NCA 18-E C Active - AcsMO</t>
  </si>
  <si>
    <t>CLSA/NCA 19-E C Active - AcsMO</t>
  </si>
  <si>
    <t>CLSA/NCA 18-E C Active</t>
  </si>
  <si>
    <t>CLSA/NCA 19-E C Active</t>
  </si>
  <si>
    <t>CLSA/NCA 11-E C Active - MO</t>
  </si>
  <si>
    <t>CLSA/NCA 12-E C Active - MO</t>
  </si>
  <si>
    <t>CLSA/NCA 16-E C Active - MO</t>
  </si>
  <si>
    <t>CLSA/NCA 17-E C Active - MO</t>
  </si>
  <si>
    <t>CLSA/NCA 18-E C Active - MO</t>
  </si>
  <si>
    <t>CLSA/NCA 19-E C Active - MO</t>
  </si>
  <si>
    <t>CLSA/NCA Plan 11C Active-TERM</t>
  </si>
  <si>
    <t>CLSA/NCA Plan 12C Active-TERM</t>
  </si>
  <si>
    <t>CLSA/NCA Plan 16C Active-TERM</t>
  </si>
  <si>
    <t>CLSA/NCA Plan 17C Active-TERM</t>
  </si>
  <si>
    <t>CLSA/NCA 11-E C Cobra - Acs</t>
  </si>
  <si>
    <t>CLSA/NCA 12-E C Cobra - Acs</t>
  </si>
  <si>
    <t>CLSA/NCA 13C Cobra - Acs</t>
  </si>
  <si>
    <t>CLSA/NCA 14C Cobra - Acs</t>
  </si>
  <si>
    <t>CLSA/NCA 15C Cobra - Acs</t>
  </si>
  <si>
    <t>CLSA/NCA 16-E C Cobra - Acs</t>
  </si>
  <si>
    <t>CLSA/NCA 17-E C Cobra - Acs</t>
  </si>
  <si>
    <t>CLSA/NCA 18-E C Cobra - Acs</t>
  </si>
  <si>
    <t>CLSA/NCA 19-E C Cobra - Acs</t>
  </si>
  <si>
    <t>CLSA/NCA 7C Cobra - Acs</t>
  </si>
  <si>
    <t>CLSA/NCA 8C Cobra - Acs</t>
  </si>
  <si>
    <t>CLSA/NCA 9C Cobra - Acs</t>
  </si>
  <si>
    <t>CLSA/NCA 11-E C Cobra - AcsMO</t>
  </si>
  <si>
    <t>CLSA/NCA 12-E C Cobra - AcsMO</t>
  </si>
  <si>
    <t>CLSA/NCA 16-E C Cobra - AcsMO</t>
  </si>
  <si>
    <t>CLSA/NCA 17-E C Cobra - AcsMO</t>
  </si>
  <si>
    <t>CLSA/NCA 18-E C Cobra - AcsMO</t>
  </si>
  <si>
    <t>CLSA/NCA 19-E C Cobra - AcsMO</t>
  </si>
  <si>
    <t>CLSA/NCA 18-E C Cobra</t>
  </si>
  <si>
    <t>CLSA/NCA 19-E C Cobra</t>
  </si>
  <si>
    <t>CLSA/NCA 11-E C Cobra - MO</t>
  </si>
  <si>
    <t>CLSA/NCA 12-E C Cobra - MO</t>
  </si>
  <si>
    <t>CLSA/NCA 16-E C Cobra - MO</t>
  </si>
  <si>
    <t>CLSA/NCA 17-E C Cobra - MO</t>
  </si>
  <si>
    <t>CLSA/NCA 18-E C Cobra - MO</t>
  </si>
  <si>
    <t>CLSA/NCA 19-E C Cobra - MO</t>
  </si>
  <si>
    <t>CLSA/NCA Plan 11C Cobra-TERM</t>
  </si>
  <si>
    <t>CLSA/NCA Plan 12C Cobra-TERM</t>
  </si>
  <si>
    <t>CLSA/NCA Plan 16C Cobra-TERM</t>
  </si>
  <si>
    <t>CLSA/NCA Plan 17C Cobra-TERM</t>
  </si>
  <si>
    <t>CLSA/NCA 11-E D AB1401 - Acs</t>
  </si>
  <si>
    <t>CLSA/NCA 12-E D AB1401 - Acs</t>
  </si>
  <si>
    <t>CLSA/NCA 13D AB1401 - Acs</t>
  </si>
  <si>
    <t>CLSA/NCA 14D AB1401 - Acs</t>
  </si>
  <si>
    <t>CLSA/NCA 15D AB1401 - Acs</t>
  </si>
  <si>
    <t>CLSA/NCA 16-E D AB1401 - Acs</t>
  </si>
  <si>
    <t>CLSA/NCA 17-E D AB1401 - Acs</t>
  </si>
  <si>
    <t>CLSA/NCA 18-E D AB1401 - Acs</t>
  </si>
  <si>
    <t>CLSA/NCA 19-E D AB1401 - Acs</t>
  </si>
  <si>
    <t>CLSA/NCA 7D AB1401 - Acs</t>
  </si>
  <si>
    <t>CLSA/NCA 8D AB1401 - Acs</t>
  </si>
  <si>
    <t>CLSA/NCA 9D AB1401 - Acs</t>
  </si>
  <si>
    <t>CLSA/NCA 11-E D AB1401 - AcsMO</t>
  </si>
  <si>
    <t>CLSA/NCA 12-E D AB1401 - AcsMO</t>
  </si>
  <si>
    <t>CLSA/NCA 16-E D AB1401 - AcsMO</t>
  </si>
  <si>
    <t>CLSA/NCA 17-E D AB1401 - AcsMO</t>
  </si>
  <si>
    <t>CLSA/NCA 18-E D AB1401 - AcsMO</t>
  </si>
  <si>
    <t>CLSA/NCA 19-E D AB1401 - AcsMO</t>
  </si>
  <si>
    <t>CLSA/NCA 18-E D AB1401</t>
  </si>
  <si>
    <t>CLSA/NCA 19-E D AB1401</t>
  </si>
  <si>
    <t>CLSA/NCA 11-E D AB1401 - MO</t>
  </si>
  <si>
    <t>CLSA/NCA 12-E D AB1401 - MO</t>
  </si>
  <si>
    <t>CLSA/NCA 16-E D AB1401 - MO</t>
  </si>
  <si>
    <t>CLSA/NCA 17-E D AB1401 - MO</t>
  </si>
  <si>
    <t>CLSA/NCA 18-E D AB1401 - MO</t>
  </si>
  <si>
    <t>CLSA/NCA 19-E D AB1401 - MO</t>
  </si>
  <si>
    <t>CLSA/NCA Plan 11D AB1401-TERM</t>
  </si>
  <si>
    <t>CLSA/NCA Plan 12D AB1401-TERM</t>
  </si>
  <si>
    <t>CLSA/NCA Plan 16D AB1401-TERM</t>
  </si>
  <si>
    <t>CLSA/NCA Plan 17D AB1401-TERM</t>
  </si>
  <si>
    <t>CLSA/NCA 11-E D Active - Acs</t>
  </si>
  <si>
    <t>CLSA/NCA 12-E D Active - Acs</t>
  </si>
  <si>
    <t>CLSA/NCA 13D Active - Acs</t>
  </si>
  <si>
    <t>CLSA/NCA 14D Active - Acs</t>
  </si>
  <si>
    <t>CLSA/NCA 15D Active - Acs</t>
  </si>
  <si>
    <t>CLSA/NCA 16-E D Active - Acs</t>
  </si>
  <si>
    <t>CLSA/NCA 17-E D Active - Acs</t>
  </si>
  <si>
    <t>CLSA/NCA 18-E D Active - Acs</t>
  </si>
  <si>
    <t>CLSA/NCA 19-E D Active - Acs</t>
  </si>
  <si>
    <t>CLSA/NCA 7D Active - Acs</t>
  </si>
  <si>
    <t>CLSA/NCA 8D Active - Acs</t>
  </si>
  <si>
    <t>CLSA/NCA 9D Active - Acs</t>
  </si>
  <si>
    <t>CLSA/NCA 11-E D Active - AcsMO</t>
  </si>
  <si>
    <t>CLSA/NCA 12-E D Active - AcsMO</t>
  </si>
  <si>
    <t>CLSA/NCA 16-E D Active - AcsMO</t>
  </si>
  <si>
    <t>CLSA/NCA 17-E D Active - AcsMO</t>
  </si>
  <si>
    <t>CLSA/NCA 18-E D Active - AcsMO</t>
  </si>
  <si>
    <t>CLSA/NCA 19-E D Active - AcsMO</t>
  </si>
  <si>
    <t>CLSA/NCA 18-E D Active</t>
  </si>
  <si>
    <t>CLSA/NCA 19-E D Active</t>
  </si>
  <si>
    <t>CLSA/NCA 11-E D Active - MO</t>
  </si>
  <si>
    <t>CLSA/NCA 12-E D Active - MO</t>
  </si>
  <si>
    <t>CLSA/NCA 16-E D Active - MO</t>
  </si>
  <si>
    <t>CLSA/NCA 17-E D Active - MO</t>
  </si>
  <si>
    <t>CLSA/NCA 18-E D Active - MO</t>
  </si>
  <si>
    <t>CLSA/NCA 19-E D Active - MO</t>
  </si>
  <si>
    <t>CLSA/NCA Plan 11D Active-TERM</t>
  </si>
  <si>
    <t>CLSA/NCA Plan 12D Active-TERM</t>
  </si>
  <si>
    <t>CLSA/NCA Plan 16D Active-TERM</t>
  </si>
  <si>
    <t>CLSA/NCA Plan 17D Active-TERM</t>
  </si>
  <si>
    <t>CLSA/NCA 11-E D Cobra - Acs</t>
  </si>
  <si>
    <t>CLSA/NCA 12-E D Cobra - Acs</t>
  </si>
  <si>
    <t>CLSA/NCA 13D Cobra - Acs</t>
  </si>
  <si>
    <t>CLSA/NCA 14D Cobra - Acs</t>
  </si>
  <si>
    <t>CLSA/NCA 15D Cobra - Acs</t>
  </si>
  <si>
    <t>CLSA/NCA 16-E D Cobra - Acs</t>
  </si>
  <si>
    <t>CLSA/NCA 17-E D Cobra - Acs</t>
  </si>
  <si>
    <t>CLSA/NCA 18-E D Cobra - Acs</t>
  </si>
  <si>
    <t>CLSA/NCA 19-E D Cobra - Acs</t>
  </si>
  <si>
    <t>CLSA/NCA 7D Cobra - Acs</t>
  </si>
  <si>
    <t>CLSA/NCA 8D Cobra - Acs</t>
  </si>
  <si>
    <t>CLSA/NCA 9D Cobra - Acs</t>
  </si>
  <si>
    <t>CLSA/NCA 11-E D Cobra - AcsMO</t>
  </si>
  <si>
    <t>CLSA/NCA 12-E D Cobra - AcsMO</t>
  </si>
  <si>
    <t>CLSA/NCA 16-E D Cobra - AcsMO</t>
  </si>
  <si>
    <t>CLSA/NCA 17-E D Cobra - AcsMO</t>
  </si>
  <si>
    <t>CLSA/NCA 18-E D Cobra - AcsMO</t>
  </si>
  <si>
    <t>CLSA/NCA 19-E D Cobra - AcsMO</t>
  </si>
  <si>
    <t>CLSA/NCA 18-E D Cobra</t>
  </si>
  <si>
    <t>CLSA/NCA 19-E D Cobra</t>
  </si>
  <si>
    <t>CLSA/NCA 11-E D Cobra - MO</t>
  </si>
  <si>
    <t>CLSA/NCA 12-E D Cobra - MO</t>
  </si>
  <si>
    <t>CLSA/NCA 16-E D Cobra - MO</t>
  </si>
  <si>
    <t>CLSA/NCA 17-E D Cobra - MO</t>
  </si>
  <si>
    <t>CLSA/NCA 18-E D Cobra - MO</t>
  </si>
  <si>
    <t>CLSA/NCA 19-E D Cobra - MO</t>
  </si>
  <si>
    <t>CLSA/NCA Plan 11D Cobra-TERM</t>
  </si>
  <si>
    <t>CLSA/NCA Plan 12D Cobra-TERM</t>
  </si>
  <si>
    <t>CLSA/NCA Plan 16D Cobra-TERM</t>
  </si>
  <si>
    <t>CLSA/NCA Plan 17D Cobra-TERM</t>
  </si>
  <si>
    <t>CLSA/OOS 11-E A AB1401 - Acs</t>
  </si>
  <si>
    <t>CLSA/OOS 12-E A AB1401 - Acs</t>
  </si>
  <si>
    <t>CLSA/OOS 13A AB1401 - Acs</t>
  </si>
  <si>
    <t>CLSA/OOS 14A AB1401 - Acs</t>
  </si>
  <si>
    <t>CLSA/OOS 15A AB1401 - Acs</t>
  </si>
  <si>
    <t>CLSA/OOS 16-E A AB1401 - Acs</t>
  </si>
  <si>
    <t>CLSA/OOS 17-E A AB1401 - Acs</t>
  </si>
  <si>
    <t>RC</t>
  </si>
  <si>
    <t>CLSA/OOS 18-E A AB1401 - Acs</t>
  </si>
  <si>
    <t>TC</t>
  </si>
  <si>
    <t>CLSA/OOS 19-E A AB1401 - Acs</t>
  </si>
  <si>
    <t>CLSA/OOS 7A AB1401 - Acs</t>
  </si>
  <si>
    <t>CLSA/OOS 8A AB1401 - Acs</t>
  </si>
  <si>
    <t>CLSA/OOS 9A AB1401 - Acs</t>
  </si>
  <si>
    <t>CLSA/OOS 11-E A AB1401 - AcsMO</t>
  </si>
  <si>
    <t>CLSA/OOS 12-E A AB1401 - AcsMO</t>
  </si>
  <si>
    <t>CLSA/OOS 16-E A AB1401 - AcsMO</t>
  </si>
  <si>
    <t>CLSA/OOS 17-E A AB1401 - AcsMO</t>
  </si>
  <si>
    <t>CLSA/OOS 18-E A AB1401 - AcsMO</t>
  </si>
  <si>
    <t>CLSA/OOS 19-E A AB1401 - AcsMO</t>
  </si>
  <si>
    <t>CLSA/OOS 18-E A AB1401</t>
  </si>
  <si>
    <t>CLSA/OOS 19-E A AB1401</t>
  </si>
  <si>
    <t>CLSA/OOS 11-E A AB1401 - MO</t>
  </si>
  <si>
    <t>CLSA/OOS 12-E A AB1401 - MO</t>
  </si>
  <si>
    <t>CLSA/OOS 16-E A AB1401 - MO</t>
  </si>
  <si>
    <t>CLSA/OOS 17-E A AB1401 - MO</t>
  </si>
  <si>
    <t>CLSA/OOS 18-E A AB1401 - MO</t>
  </si>
  <si>
    <t>CLSA/OOS 19-E A AB1401 - MO</t>
  </si>
  <si>
    <t>CLSA/OOS Plan 11A AB1401-TERM</t>
  </si>
  <si>
    <t>CLSA/OOS Plan 12A AB1401-TERM</t>
  </si>
  <si>
    <t>CLSA/OOS Plan 16A AB1401-TERM</t>
  </si>
  <si>
    <t>CLSA/OOS Plan 17A AB1401-TERM</t>
  </si>
  <si>
    <t>CLSA/OOS 11-E A Active - Acs</t>
  </si>
  <si>
    <t>CLSA/OOS 12-E A Active - Acs</t>
  </si>
  <si>
    <t>CLSA/OOS 13A Active - Acs</t>
  </si>
  <si>
    <t>CLSA/OOS 14A Active - Acs</t>
  </si>
  <si>
    <t>CLSA/OOS 15A Active - Acs</t>
  </si>
  <si>
    <t>CLSA/OOS 16-E A Active - Acs</t>
  </si>
  <si>
    <t>CLSA/OOS 17-E A Active - Acs</t>
  </si>
  <si>
    <t>CLSA/OOS 18-E A Active - Acs</t>
  </si>
  <si>
    <t>CLSA/OOS 19-E A Active - Acs</t>
  </si>
  <si>
    <t>CLSA/OOS 7A Active - Acs</t>
  </si>
  <si>
    <t>CLSA/OOS 8A Active - Acs</t>
  </si>
  <si>
    <t>CLSA/OOS 9A Active - Acs</t>
  </si>
  <si>
    <t>CLSA/OOS 11-E A Active - AcsMO</t>
  </si>
  <si>
    <t>CLSA/OOS 12-E A Active - AcsMO</t>
  </si>
  <si>
    <t>CLSA/OOS 16-E A Active - AcsMO</t>
  </si>
  <si>
    <t>CLSA/OOS 17-E A Active - AcsMO</t>
  </si>
  <si>
    <t>CLSA/OOS 18-E A Active - AcsMO</t>
  </si>
  <si>
    <t>CLSA/OOS 19-E A Active - AcsMO</t>
  </si>
  <si>
    <t>CLSA/OOS 18-E A Active</t>
  </si>
  <si>
    <t>CLSA/OOS 19-E A Active</t>
  </si>
  <si>
    <t>CLSA/OOS 11-E A Active - MO</t>
  </si>
  <si>
    <t>CLSA/OOS 12-E A Active - MO</t>
  </si>
  <si>
    <t>CLSA/OOS 16-E A Active - MO</t>
  </si>
  <si>
    <t>CLSA/OOS 17-E A Active - MO</t>
  </si>
  <si>
    <t>CLSA/OOS 18-E A Active - MO</t>
  </si>
  <si>
    <t>CLSA/OOS 19-E A Active - MO</t>
  </si>
  <si>
    <t>CLSA/OOS Plan 11A Active-TERM</t>
  </si>
  <si>
    <t>CLSA/OOS Plan 12A Active-TERM</t>
  </si>
  <si>
    <t>CLSA/OOS Plan 16A Active-TERM</t>
  </si>
  <si>
    <t>CLSA/OOS Plan 17A Active-TERM</t>
  </si>
  <si>
    <t>CLSA/OOS 11-E A Cobra - Acs</t>
  </si>
  <si>
    <t>CLSA/OOS 12-E A Cobra - Acs</t>
  </si>
  <si>
    <t>CLSA/OOS 13A Cobra - Acs</t>
  </si>
  <si>
    <t>CLSA/OOS 14A Cobra - Acs</t>
  </si>
  <si>
    <t>CLSA/OOS 15A Cobra - Acs</t>
  </si>
  <si>
    <t>CLSA/OOS 16-E A Cobra - Acs</t>
  </si>
  <si>
    <t>CLSA/OOS 17-E A Cobra - Acs</t>
  </si>
  <si>
    <t>CLSA/OOS 18-E A Cobra - Acs</t>
  </si>
  <si>
    <t>CLSA/OOS 19-E A Cobra - Acs</t>
  </si>
  <si>
    <t>CLSA/OOS 7A Cobra - Acs</t>
  </si>
  <si>
    <t>CLSA/OOS 8A Cobra - Acs</t>
  </si>
  <si>
    <t>CLSA/OOS 9A Cobra - Acs</t>
  </si>
  <si>
    <t>CLSA/OOS 11-E A Cobra - AcsMO</t>
  </si>
  <si>
    <t>CLSA/OOS 12-E A Cobra - AcsMO</t>
  </si>
  <si>
    <t>CLSA/OOS 16-E A Cobra - AcsMO</t>
  </si>
  <si>
    <t>CLSA/OOS 17-E A Cobra - AcsMO</t>
  </si>
  <si>
    <t>CLSA/OOS 18-E A Cobra - AcsMO</t>
  </si>
  <si>
    <t>CLSA/OOS 19-E A Cobra - AcsMO</t>
  </si>
  <si>
    <t>CLSA/OOS 18-E A Cobra</t>
  </si>
  <si>
    <t>CLSA/OOS 19-E A Cobra</t>
  </si>
  <si>
    <t>CLSA/OOS 11-E A Cobra - MO</t>
  </si>
  <si>
    <t>CLSA/OOS 12-E A Cobra - MO</t>
  </si>
  <si>
    <t>CLSA/OOS 16-E A Cobra - MO</t>
  </si>
  <si>
    <t>CLSA/OOS 17-E A Cobra - MO</t>
  </si>
  <si>
    <t>CLSA/OOS 18-E A Cobra - MO</t>
  </si>
  <si>
    <t>CLSA/OOS 19-E A Cobra - MO</t>
  </si>
  <si>
    <t>CLSA/OOS Plan 11A Cobra-TERM</t>
  </si>
  <si>
    <t>CLSA/OOS Plan 12A Cobra-TERM</t>
  </si>
  <si>
    <t>CLSA/OOS Plan 16A Cobra-TERM</t>
  </si>
  <si>
    <t>CLSA/OOS Plan 17A Cobra-TERM</t>
  </si>
  <si>
    <t>CLSA/OOS 11-E B AB1401 - Acs</t>
  </si>
  <si>
    <t>CLSA/OOS 12-E B AB1401 - Acs</t>
  </si>
  <si>
    <t>CLSA/OOS 13B AB1401 - Acs</t>
  </si>
  <si>
    <t>CLSA/OOS 14B AB1401 - Acs</t>
  </si>
  <si>
    <t>CLSA/OOS 15B AB1401 - Acs</t>
  </si>
  <si>
    <t>CLSA/OOS 16-E B AB1401 - Acs</t>
  </si>
  <si>
    <t>CLSA/OOS 17-E B AB1401 - Acs</t>
  </si>
  <si>
    <t>CLSA/OOS 18-E B AB1401 - Acs</t>
  </si>
  <si>
    <t>CLSA/OOS 19-E B AB1401 - Acs</t>
  </si>
  <si>
    <t>CLSA/OOS 7B AB1401 - Acs</t>
  </si>
  <si>
    <t>CLSA/OOS 8B AB1401 - Acs</t>
  </si>
  <si>
    <t>CLSA/OOS 9B AB1401 - Acs</t>
  </si>
  <si>
    <t>CLSA/OOS 11-E B AB1401 - AcsMO</t>
  </si>
  <si>
    <t>CLSA/OOS 12-E B AB1401 - AcsMO</t>
  </si>
  <si>
    <t>CLSA/OOS 16-E B AB1401 - AcsMO</t>
  </si>
  <si>
    <t>CLSA/OOS 17-E B AB1401 - AcsMO</t>
  </si>
  <si>
    <t>CLSA/OOS 18-E B AB1401 - AcsMO</t>
  </si>
  <si>
    <t>CLSA/OOS 19-E B AB1401 - AcsMO</t>
  </si>
  <si>
    <t>CLSA/OOS 18-E B AB1401</t>
  </si>
  <si>
    <t>CLSA/OOS 19-E B AB1401</t>
  </si>
  <si>
    <t>CLSA/OOS 11-E B AB1401 - MO</t>
  </si>
  <si>
    <t>CLSA/OOS 12-E B AB1401 - MO</t>
  </si>
  <si>
    <t>CLSA/OOS 16-E B AB1401 - MO</t>
  </si>
  <si>
    <t>CLSA/OOS 17-E B AB1401 - MO</t>
  </si>
  <si>
    <t>CLSA/OOS 18-E B AB1401 - MO</t>
  </si>
  <si>
    <t>CLSA/OOS 19-E B AB1401 - MO</t>
  </si>
  <si>
    <t>CLSA/OOS Plan 11B AB1401-TERM</t>
  </si>
  <si>
    <t>CLSA/OOS Plan 12B AB1401-TERM</t>
  </si>
  <si>
    <t>CLSA/OOS Plan 16B AB1401-TERM</t>
  </si>
  <si>
    <t>CLSA/OOS Plan 17B AB1401-TERM</t>
  </si>
  <si>
    <t>CLSA/OOS 11-E B Active - Acs</t>
  </si>
  <si>
    <t>CLSA/OOS 12-E B Active - Acs</t>
  </si>
  <si>
    <t>CLSA/OOS 13B Active - Acs</t>
  </si>
  <si>
    <t>CLSA/OOS 14B Active - Acs</t>
  </si>
  <si>
    <t>CLSA/OOS 15B Active - Acs</t>
  </si>
  <si>
    <t>CLSA/OOS 16-E B Active - Acs</t>
  </si>
  <si>
    <t>CLSA/OOS 17-E B Active - Acs</t>
  </si>
  <si>
    <t>CLSA/OOS 18-E B Active - Acs</t>
  </si>
  <si>
    <t>CLSA/OOS 19-E B Active - Acs</t>
  </si>
  <si>
    <t>CLSA/OOS 7B Active - Acs</t>
  </si>
  <si>
    <t>CLSA/OOS 8B Active - Acs</t>
  </si>
  <si>
    <t>CLSA/OOS 9B Active - Acs</t>
  </si>
  <si>
    <t>CLSA/OOS 11-E B Active - AcsMO</t>
  </si>
  <si>
    <t>CLSA/OOS 12-E B Active - AcsMO</t>
  </si>
  <si>
    <t>CLSA/OOS 16-E B Active - AcsMO</t>
  </si>
  <si>
    <t>CLSA/OOS 17-E B Active - AcsMO</t>
  </si>
  <si>
    <t>CLSA/OOS 18-E B Active - AcsMO</t>
  </si>
  <si>
    <t>CLSA/OOS 19-E B Active - AcsMO</t>
  </si>
  <si>
    <t>CLSA/OOS 18-E B Active</t>
  </si>
  <si>
    <t>CLSA/OOS 19-E B Active</t>
  </si>
  <si>
    <t>CLSA/OOS 11-E B Active - MO</t>
  </si>
  <si>
    <t>CLSA/OOS 12-E B Active - MO</t>
  </si>
  <si>
    <t>CLSA/OOS 16-E B Active - MO</t>
  </si>
  <si>
    <t>CLSA/OOS 17-E B Active - MO</t>
  </si>
  <si>
    <t>CLSA/OOS 18-E B Active - MO</t>
  </si>
  <si>
    <t>CLSA/OOS 19-E B Active - MO</t>
  </si>
  <si>
    <t>CLSA/OOS Plan 11B Active-TERM</t>
  </si>
  <si>
    <t>CLSA/OOS Plan 12B Active-TERM</t>
  </si>
  <si>
    <t>CLSA/OOS Plan 16B Active-TERM</t>
  </si>
  <si>
    <t>CLSA/OOS Plan 17B Active-TERM</t>
  </si>
  <si>
    <t>CLSA/OOS 11-E B Cobra - Acs</t>
  </si>
  <si>
    <t>CLSA/OOS 12-E B Cobra - Acs</t>
  </si>
  <si>
    <t>CLSA/OOS 13B Cobra - Acs</t>
  </si>
  <si>
    <t>CLSA/OOS 14B Cobra - Acs</t>
  </si>
  <si>
    <t>CLSA/OOS 15B Cobra - Acs</t>
  </si>
  <si>
    <t>CLSA/OOS 16-E B Cobra - Acs</t>
  </si>
  <si>
    <t>CLSA/OOS 17-E B Cobra - Acs</t>
  </si>
  <si>
    <t>CLSA/OOS 18-E B Cobra - Acs</t>
  </si>
  <si>
    <t>CLSA/OOS 19-E B Cobra - Acs</t>
  </si>
  <si>
    <t>CLSA/OOS 7B Cobra - Acs</t>
  </si>
  <si>
    <t>CLSA/OOS 8B Cobra - Acs</t>
  </si>
  <si>
    <t>CLSA/OOS 9B Cobra - Acs</t>
  </si>
  <si>
    <t>CLSA/OOS 11-E B Cobra - AcsMO</t>
  </si>
  <si>
    <t>CLSA/OOS 12-E B Cobra - AcsMO</t>
  </si>
  <si>
    <t>CLSA/OOS 16-E B Cobra - AcsMO</t>
  </si>
  <si>
    <t>CLSA/OOS 17-E B Cobra - AcsMO</t>
  </si>
  <si>
    <t>CLSA/OOS 18-E B Cobra - AcsMO</t>
  </si>
  <si>
    <t>CLSA/OOS 19-E B Cobra - AcsMO</t>
  </si>
  <si>
    <t>CLSA/OOS 18-E B Cobra</t>
  </si>
  <si>
    <t>CLSA/OOS 19-E B Cobra</t>
  </si>
  <si>
    <t>CLSA/OOS 11-E B Cobra - MO</t>
  </si>
  <si>
    <t>CLSA/OOS 12-E B Cobra - MO</t>
  </si>
  <si>
    <t>CLSA/OOS 16-E B Cobra - MO</t>
  </si>
  <si>
    <t>CLSA/OOS 17-E B Cobra - MO</t>
  </si>
  <si>
    <t>CLSA/OOS 18-E B Cobra - MO</t>
  </si>
  <si>
    <t>CLSA/OOS 19-E B Cobra - MO</t>
  </si>
  <si>
    <t>CLSA/OOS Plan 11B Cobra-TERM</t>
  </si>
  <si>
    <t>CLSA/OOS Plan 12B Cobra-TERM</t>
  </si>
  <si>
    <t>CLSA/OOS Plan 16B Cobra-TERM</t>
  </si>
  <si>
    <t>CLSA/OOS Plan 17B Cobra-TERM</t>
  </si>
  <si>
    <t>CLSA/OOS 11-E C AB1401 - Acs</t>
  </si>
  <si>
    <t>CLSA/OOS 12-E C AB1401 - Acs</t>
  </si>
  <si>
    <t>CLSA/OOS 13C AB1401 - Acs</t>
  </si>
  <si>
    <t>CLSA/OOS 14C AB1401 - Acs</t>
  </si>
  <si>
    <t>CLSA/OOS 15C AB1401 - Acs</t>
  </si>
  <si>
    <t>CLSA/OOS 16-E C AB1401 - Acs</t>
  </si>
  <si>
    <t>CLSA/OOS 17-E C AB1401 - Acs</t>
  </si>
  <si>
    <t>CLSA/OOS 18-E C AB1401 - Acs</t>
  </si>
  <si>
    <t>CLSA/OOS 19-E C AB1401 - Acs</t>
  </si>
  <si>
    <t>CLSA/OOS 7C AB1401 - Acs</t>
  </si>
  <si>
    <t>CLSA/OOS 8C AB1401 - Acs</t>
  </si>
  <si>
    <t>CLSA/OOS 9C AB1401 - Acs</t>
  </si>
  <si>
    <t>CLSA/OOS 11-E C AB1401 - AcsMO</t>
  </si>
  <si>
    <t>CLSA/OOS 12-E C AB1401 - AcsMO</t>
  </si>
  <si>
    <t>CLSA/OOS 16-E C AB1401 - AcsMO</t>
  </si>
  <si>
    <t>CLSA/OOS 17-E C AB1401 - AcsMO</t>
  </si>
  <si>
    <t>CLSA/OOS 18-E C AB1401 - AcsMO</t>
  </si>
  <si>
    <t>CLSA/OOS 19-E C AB1401 - AcsMO</t>
  </si>
  <si>
    <t>CLSA/OOS 18-E C AB1401</t>
  </si>
  <si>
    <t>CLSA/OOS 19-E C AB1401</t>
  </si>
  <si>
    <t>CLSA/OOS 11-E C AB1401 - MO</t>
  </si>
  <si>
    <t>CLSA/OOS 12-E C AB1401 - MO</t>
  </si>
  <si>
    <t>CLSA/OOS 16-E C AB1401 - MO</t>
  </si>
  <si>
    <t>CLSA/OOS 17-E C AB1401 - MO</t>
  </si>
  <si>
    <t>CLSA/OOS 18-E C AB1401 - MO</t>
  </si>
  <si>
    <t>CLSA/OOS 19-E C AB1401 - MO</t>
  </si>
  <si>
    <t>CLSA/OOS Plan 11C AB1401-TERM</t>
  </si>
  <si>
    <t>CLSA/OOS Plan 12C AB1401-TERM</t>
  </si>
  <si>
    <t>CLSA/OOS Plan 16C AB1401-TERM</t>
  </si>
  <si>
    <t>CLSA/OOS Plan 17C AB1401-TERM</t>
  </si>
  <si>
    <t>CLSA/OOS 11-E C Active - Acs</t>
  </si>
  <si>
    <t>CLSA/OOS 12-E C Active - Acs</t>
  </si>
  <si>
    <t>CLSA/OOS 13C Active - Acs</t>
  </si>
  <si>
    <t>CLSA/OOS 14C Active - Acs</t>
  </si>
  <si>
    <t>CLSA/OOS 15C Active - Acs</t>
  </si>
  <si>
    <t>CLSA/OOS 16-E C Active - Acs</t>
  </si>
  <si>
    <t>CLSA/OOS 17-E C Active - Acs</t>
  </si>
  <si>
    <t>CLSA/OOS 18-E C Active - Acs</t>
  </si>
  <si>
    <t>CLSA/OOS 19-E C Active - Acs</t>
  </si>
  <si>
    <t>CLSA/OOS 7C Active - Acs</t>
  </si>
  <si>
    <t>CLSA/OOS 8C Active - Acs</t>
  </si>
  <si>
    <t>CLSA/OOS 9C Active - Acs</t>
  </si>
  <si>
    <t>CLSA/OOS 11-E C Active - AcsMO</t>
  </si>
  <si>
    <t>CLSA/OOS 12-E C Active - AcsMO</t>
  </si>
  <si>
    <t>CLSA/OOS 16-E C Active - AcsMO</t>
  </si>
  <si>
    <t>CLSA/OOS 17-E C Active - AcsMO</t>
  </si>
  <si>
    <t>CLSA/OOS 18-E C Active - AcsMO</t>
  </si>
  <si>
    <t>CLSA/OOS 19-E C Active - AcsMO</t>
  </si>
  <si>
    <t>CLSA/OOS 18-E C Active</t>
  </si>
  <si>
    <t>CLSA/OOS 19-E C Active</t>
  </si>
  <si>
    <t>CLSA/OOS 11-E C Active - MO</t>
  </si>
  <si>
    <t>CLSA/OOS 12-E C Active - MO</t>
  </si>
  <si>
    <t>CLSA/OOS 16-E C Active - MO</t>
  </si>
  <si>
    <t>CLSA/OOS 17-E C Active - MO</t>
  </si>
  <si>
    <t>CLSA/OOS 18-E C Active - MO</t>
  </si>
  <si>
    <t>CLSA/OOS 19-E C Active - MO</t>
  </si>
  <si>
    <t>CLSA/OOS Plan 11C Active-TERM</t>
  </si>
  <si>
    <t>CLSA/OOS Plan 12C Active-TERM</t>
  </si>
  <si>
    <t>CLSA/OOS Plan 16C Active-TERM</t>
  </si>
  <si>
    <t>CLSA/OOS Plan 17C Active-TERM</t>
  </si>
  <si>
    <t>CLSA/OOS 11-E C Cobra - Acs</t>
  </si>
  <si>
    <t>CLSA/OOS 12-E C Cobra - Acs</t>
  </si>
  <si>
    <t>CLSA/OOS 13C Cobra - Acs</t>
  </si>
  <si>
    <t>CLSA/OOS 14C Cobra - Acs</t>
  </si>
  <si>
    <t>CLSA/OOS 15C Cobra - Acs</t>
  </si>
  <si>
    <t>CLSA/OOS 16-E C Cobra - Acs</t>
  </si>
  <si>
    <t>CLSA/OOS 17-E C Cobra - Acs</t>
  </si>
  <si>
    <t>CLSA/OOS 18-E C Cobra - Acs</t>
  </si>
  <si>
    <t>CLSA/OOS 19-E C Cobra - Acs</t>
  </si>
  <si>
    <t>CLSA/OOS 7C Cobra - Acs</t>
  </si>
  <si>
    <t>CLSA/OOS 8C Cobra - Acs</t>
  </si>
  <si>
    <t>CLSA/OOS 9C Cobra - Acs</t>
  </si>
  <si>
    <t>CLSA/OOS 11-E C Cobra - AcsMO</t>
  </si>
  <si>
    <t>CLSA/OOS 12-E C Cobra - AcsMO</t>
  </si>
  <si>
    <t>CLSA/OOS 16-E C Cobra - AcsMO</t>
  </si>
  <si>
    <t>CLSA/OOS 17-E C Cobra - AcsMO</t>
  </si>
  <si>
    <t>CLSA/OOS 18-E C Cobra - AcsMO</t>
  </si>
  <si>
    <t>CLSA/OOS 19-E C Cobra - AcsMO</t>
  </si>
  <si>
    <t>CLSA/OOS 18-E C Cobra</t>
  </si>
  <si>
    <t>CLSA/OOS 19-E C Cobra</t>
  </si>
  <si>
    <t>CLSA/OOS 11-E C Cobra - MO</t>
  </si>
  <si>
    <t>CLSA/OOS 12-E C Cobra - MO</t>
  </si>
  <si>
    <t>CLSA/OOS 16-E C Cobra - MO</t>
  </si>
  <si>
    <t>CLSA/OOS 17-E C Cobra - MO</t>
  </si>
  <si>
    <t>CLSA/OOS 18-E C Cobra - MO</t>
  </si>
  <si>
    <t>CLSA/OOS 19-E C Cobra - MO</t>
  </si>
  <si>
    <t>CLSA/OOS Plan 11C Cobra-TERM</t>
  </si>
  <si>
    <t>CLSA/OOS Plan 12C Cobra-TERM</t>
  </si>
  <si>
    <t>CLSA/OOS Plan 16C Cobra-TERM</t>
  </si>
  <si>
    <t>CLSA/OOS Plan 17C Cobra-TERM</t>
  </si>
  <si>
    <t>CLSA/OOS 11-E D AB1401 - Acs</t>
  </si>
  <si>
    <t>CLSA/OOS 12-E D AB1401 - Acs</t>
  </si>
  <si>
    <t>CLSA/OOS 13D AB1401 - Acs</t>
  </si>
  <si>
    <t>CLSA/OOS 14D AB1401 - Acs</t>
  </si>
  <si>
    <t>CLSA/OOS 15D AB1401 - Acs</t>
  </si>
  <si>
    <t>CLSA/OOS 16-E D AB1401 - Acs</t>
  </si>
  <si>
    <t>CLSA/OOS 17-E D AB1401 - Acs</t>
  </si>
  <si>
    <t>CLSA/OOS 18-E D AB1401 - Acs</t>
  </si>
  <si>
    <t>CLSA/OOS 19-E D AB1401 - Acs</t>
  </si>
  <si>
    <t>CLSA/OOS 7D AB1401 - Acs</t>
  </si>
  <si>
    <t>CLSA/OOS 8D AB1401 - Acs</t>
  </si>
  <si>
    <t>CLSA/OOS 9D AB1401 - Acs</t>
  </si>
  <si>
    <t>CLSA/OOS 11-E D AB1401 - AcsMO</t>
  </si>
  <si>
    <t>CLSA/OOS 12-E D AB1401 - AcsMO</t>
  </si>
  <si>
    <t>CLSA/OOS 16-E D AB1401 - AcsMO</t>
  </si>
  <si>
    <t>CLSA/OOS 17-E D AB1401 - AcsMO</t>
  </si>
  <si>
    <t>CLSA/OOS 18-E D AB1401 - AcsMO</t>
  </si>
  <si>
    <t>CLSA/OOS 19-E D AB1401 - AcsMO</t>
  </si>
  <si>
    <t>CLSA/OOS 18-E D AB1401</t>
  </si>
  <si>
    <t>CLSA/OOS 19-E D AB1401</t>
  </si>
  <si>
    <t>CLSA/OOS 11-E D AB1401 - MO</t>
  </si>
  <si>
    <t>CLSA/OOS 12-E D AB1401 - MO</t>
  </si>
  <si>
    <t>CLSA/OOS 16-E D AB1401 - MO</t>
  </si>
  <si>
    <t>CLSA/OOS 17-E D AB1401 - MO</t>
  </si>
  <si>
    <t>CLSA/OOS 18-E D AB1401 - MO</t>
  </si>
  <si>
    <t>CLSA/OOS 19-E D AB1401 - MO</t>
  </si>
  <si>
    <t>CLSA/OOS Plan 11D AB1401-TERM</t>
  </si>
  <si>
    <t>CLSA/OOS Plan 12D AB1401-TERM</t>
  </si>
  <si>
    <t>CLSA/OOS Plan 16D AB1401-TERM</t>
  </si>
  <si>
    <t>CLSA/OOS Plan 17D AB1401-TERM</t>
  </si>
  <si>
    <t>CLSA/OOS 11-E D Active - Acs</t>
  </si>
  <si>
    <t>CLSA/OOS 12-E D Active - Acs</t>
  </si>
  <si>
    <t>CLSA/OOS 13D Active - Acs</t>
  </si>
  <si>
    <t>CLSA/OOS 14D Active - Acs</t>
  </si>
  <si>
    <t>CLSA/OOS 15D Active - Acs</t>
  </si>
  <si>
    <t>CLSA/OOS 16-E D Active - Acs</t>
  </si>
  <si>
    <t>CLSA/OOS 17-E D Active - Acs</t>
  </si>
  <si>
    <t>CLSA/OOS 18-E D Active - Acs</t>
  </si>
  <si>
    <t>CLSA/OOS 19-E D Active - Acs</t>
  </si>
  <si>
    <t>CLSA/OOS 7D Active - Acs</t>
  </si>
  <si>
    <t>CLSA/OOS 8D Active - Acs</t>
  </si>
  <si>
    <t>CLSA/OOS 9D Active - Acs</t>
  </si>
  <si>
    <t>CLSA/OOS 11-E D Active - AcsMO</t>
  </si>
  <si>
    <t>CLSA/OOS 12-E D Active - AcsMO</t>
  </si>
  <si>
    <t>CLSA/OOS 16-E D Active - AcsMO</t>
  </si>
  <si>
    <t>CLSA/OOS 17-E D Active - AcsMO</t>
  </si>
  <si>
    <t>CLSA/OOS 18-E D Active - AcsMO</t>
  </si>
  <si>
    <t>CLSA/OOS 19-E D Active - AcsMO</t>
  </si>
  <si>
    <t>CLSA/OOS 18-E D Active</t>
  </si>
  <si>
    <t>CLSA/OOS 19-E D Active</t>
  </si>
  <si>
    <t>CLSA/OOS 11-E D Active - MO</t>
  </si>
  <si>
    <t>CLSA/OOS 12-E D Active - MO</t>
  </si>
  <si>
    <t>CLSA/OOS 16-E D Active - MO</t>
  </si>
  <si>
    <t>CLSA/OOS 17-E D Active - MO</t>
  </si>
  <si>
    <t>CLSA/OOS 18-E D Active - MO</t>
  </si>
  <si>
    <t>CLSA/OOS 19-E D Active - MO</t>
  </si>
  <si>
    <t>CLSA/OOS Plan 11D Active-TERM</t>
  </si>
  <si>
    <t>CLSA/OOS Plan 12D Active-TERM</t>
  </si>
  <si>
    <t>CLSA/OOS Plan 16D Active-TERM</t>
  </si>
  <si>
    <t>CLSA/OOS Plan 17D Active-TERM</t>
  </si>
  <si>
    <t>CLSA/OOS 11-E D Cobra - Acs</t>
  </si>
  <si>
    <t>CLSA/OOS 12-E D Cobra - Acs</t>
  </si>
  <si>
    <t>CLSA/OOS 13D Cobra - Acs</t>
  </si>
  <si>
    <t>CLSA/OOS 14D Cobra - Acs</t>
  </si>
  <si>
    <t>CLSA/OOS 15D Cobra - Acs</t>
  </si>
  <si>
    <t>CLSA/OOS 16-E D Cobra - Acs</t>
  </si>
  <si>
    <t>CLSA/OOS 17-E D Cobra - Acs</t>
  </si>
  <si>
    <t>CLSA/OOS 18-E D Cobra - Acs</t>
  </si>
  <si>
    <t>CLSA/OOS 19-E D Cobra - Acs</t>
  </si>
  <si>
    <t>CLSA/OOS 7D Cobra - Acs</t>
  </si>
  <si>
    <t>CLSA/OOS 8D Cobra - Acs</t>
  </si>
  <si>
    <t>CLSA/OOS 9D Cobra - Acs</t>
  </si>
  <si>
    <t>CLSA/OOS 11-E D Cobra - AcsMO</t>
  </si>
  <si>
    <t>CLSA/OOS 12-E D Cobra - AcsMO</t>
  </si>
  <si>
    <t>CLSA/OOS 16-E D Cobra - AcsMO</t>
  </si>
  <si>
    <t>CLSA/OOS 17-E D Cobra - AcsMO</t>
  </si>
  <si>
    <t>CLSA/OOS 18-E D Cobra - AcsMO</t>
  </si>
  <si>
    <t>CLSA/OOS 19-E D Cobra - AcsMO</t>
  </si>
  <si>
    <t>CLSA/OOS 18-E D Cobra</t>
  </si>
  <si>
    <t>CLSA/OOS 19-E D Cobra</t>
  </si>
  <si>
    <t>CLSA/OOS 11-E D Cobra - MO</t>
  </si>
  <si>
    <t>CLSA/OOS 12-E D Cobra - MO</t>
  </si>
  <si>
    <t>CLSA/OOS 16-E D Cobra - MO</t>
  </si>
  <si>
    <t>CLSA/OOS 17-E D Cobra - MO</t>
  </si>
  <si>
    <t>CLSA/OOS 18-E D Cobra - MO</t>
  </si>
  <si>
    <t>CLSA/OOS 19-E D Cobra - MO</t>
  </si>
  <si>
    <t>CLSA/OOS Plan 11D Cobra-TERM</t>
  </si>
  <si>
    <t>CLSA/OOS Plan 12D Cobra-TERM</t>
  </si>
  <si>
    <t>CLSA/OOS Plan 16D Cobra-TERM</t>
  </si>
  <si>
    <t>CLSA/OOS Plan 17D Cobra-TERM</t>
  </si>
  <si>
    <t>CLSA/SCA 11-E A AB1401 - Acs</t>
  </si>
  <si>
    <t>CLSA/SCA 12-E A AB1401 - Acs</t>
  </si>
  <si>
    <t>CLSA/SCA 13A AB1401 - Acs</t>
  </si>
  <si>
    <t>CLSA/SCA 14A AB1401 - Acs</t>
  </si>
  <si>
    <t>CLSA/SCA 15A AB1401 - Acs</t>
  </si>
  <si>
    <t>CLSA/SCA 16-E A AB1401 - Acs</t>
  </si>
  <si>
    <t>CLSA/SCA 17-E A AB1401 - Acs</t>
  </si>
  <si>
    <t>RB</t>
  </si>
  <si>
    <t>CLSA/SCA 18-E A AB1401 - Acs</t>
  </si>
  <si>
    <t>TB</t>
  </si>
  <si>
    <t>CLSA/SCA 19-E A AB1401 - Acs</t>
  </si>
  <si>
    <t>CLSA/SCA 7A AB1401 - Acs</t>
  </si>
  <si>
    <t>CLSA/SCA 8A AB1401 - Acs</t>
  </si>
  <si>
    <t>CLSA/SCA 9A AB1401 - Acs</t>
  </si>
  <si>
    <t>CLSA/SCA 11-E A AB1401 - AcsMO</t>
  </si>
  <si>
    <t>CLSA/SCA 12-E A AB1401 - AcsMO</t>
  </si>
  <si>
    <t>CLSA/SCA 16-E A AB1401 - AcsMO</t>
  </si>
  <si>
    <t>CLSA/SCA 17-E A AB1401 - AcsMO</t>
  </si>
  <si>
    <t>CLSA/SCA 18-E A AB1401 - AcsMO</t>
  </si>
  <si>
    <t>CLSA/SCA 19-E A AB1401 - AcsMO</t>
  </si>
  <si>
    <t>CLSA/SCA 18-E A AB1401</t>
  </si>
  <si>
    <t>CLSA/SCA 19-E A AB1401</t>
  </si>
  <si>
    <t>CLSA/SCA 11-E A AB1401 - MO</t>
  </si>
  <si>
    <t>CLSA/SCA 12-E A AB1401 - MO</t>
  </si>
  <si>
    <t>CLSA/SCA 16-E A AB1401 - MO</t>
  </si>
  <si>
    <t>CLSA/SCA 17-E A AB1401 - MO</t>
  </si>
  <si>
    <t>CLSA/SCA 18-E A AB1401 - MO</t>
  </si>
  <si>
    <t>CLSA/SCA 19-E A AB1401 - MO</t>
  </si>
  <si>
    <t>CLSA/SCA Plan 11A AB1401-TERM</t>
  </si>
  <si>
    <t>CLSA/SCA Plan 12A AB1401-TERM</t>
  </si>
  <si>
    <t>CLSA/SCA Plan 16A AB1401-TERM</t>
  </si>
  <si>
    <t>CLSA/SCA Plan 17A AB1401-TERM</t>
  </si>
  <si>
    <t>CLSA/SCA 11-E A Active - Acs</t>
  </si>
  <si>
    <t>CLSA/SCA 12-E A Active - Acs</t>
  </si>
  <si>
    <t>CLSA/SCA 13A Active - Acs</t>
  </si>
  <si>
    <t>CLSA/SCA 14A Active - Acs</t>
  </si>
  <si>
    <t>CLSA/SCA 15A Active - Acs</t>
  </si>
  <si>
    <t>CLSA/SCA 16-E A Active - Acs</t>
  </si>
  <si>
    <t>CLSA/SCA 17-E A Active - Acs</t>
  </si>
  <si>
    <t>CLSA/SCA 18-E A Active - Acs</t>
  </si>
  <si>
    <t>CLSA/SCA 19-E A Active - Acs</t>
  </si>
  <si>
    <t>CLSA/SCA 7A Active - Acs</t>
  </si>
  <si>
    <t>CLSA/SCA 8A Active - Acs</t>
  </si>
  <si>
    <t>CLSA/SCA 9A Active - Acs</t>
  </si>
  <si>
    <t>CLSA/SCA 11-E A Active - AcsMO</t>
  </si>
  <si>
    <t>CLSA/SCA 12-E A Active - AcsMO</t>
  </si>
  <si>
    <t>CLSA/SCA 16-E A Active - AcsMO</t>
  </si>
  <si>
    <t>CLSA/SCA 17-E A Active - AcsMO</t>
  </si>
  <si>
    <t>CLSA/SCA 18-E A Active - AcsMO</t>
  </si>
  <si>
    <t>CLSA/SCA 19-E A Active - AcsMO</t>
  </si>
  <si>
    <t>CLSA/SCA 18-E A Active</t>
  </si>
  <si>
    <t>CLSA/SCA 19-E A Active</t>
  </si>
  <si>
    <t>CLSA/SCA 11-E A Active - MO</t>
  </si>
  <si>
    <t>CLSA/SCA 12-E A Active - MO</t>
  </si>
  <si>
    <t>CLSA/SCA 16-E A Active - MO</t>
  </si>
  <si>
    <t>CLSA/SCA 17-E A Active - MO</t>
  </si>
  <si>
    <t>CLSA/SCA 18-E A Active - MO</t>
  </si>
  <si>
    <t>CLSA/SCA 19-E A Active - MO</t>
  </si>
  <si>
    <t>CLSA/SCA Plan 11A Active-TERM</t>
  </si>
  <si>
    <t>CLSA/SCA Plan 12A Active-TERM</t>
  </si>
  <si>
    <t>CLSA/SCA Plan 16A Active-TERM</t>
  </si>
  <si>
    <t>CLSA/SCA Plan 17A Active-TERM</t>
  </si>
  <si>
    <t>CLSA/SCA 11-E A Cobra - Acs</t>
  </si>
  <si>
    <t>CLSA/SCA 12-E A Cobra - Acs</t>
  </si>
  <si>
    <t>CLSA/SCA 13A Cobra - Acs</t>
  </si>
  <si>
    <t>CLSA/SCA 14A Cobra - Acs</t>
  </si>
  <si>
    <t>CLSA/SCA 15A Cobra - Acs</t>
  </si>
  <si>
    <t>CLSA/SCA 16-E A Cobra - Acs</t>
  </si>
  <si>
    <t>CLSA/SCA 17-E A Cobra - Acs</t>
  </si>
  <si>
    <t>CLSA/SCA 18-E A Cobra - Acs</t>
  </si>
  <si>
    <t>CLSA/SCA 19-E A Cobra - Acs</t>
  </si>
  <si>
    <t>CLSA/SCA 7A Cobra - Acs</t>
  </si>
  <si>
    <t>CLSA/SCA 8A Cobra - Acs</t>
  </si>
  <si>
    <t>CLSA/SCA 9A Cobra - Acs</t>
  </si>
  <si>
    <t>CLSA/SCA 11-E A Cobra - AcsMO</t>
  </si>
  <si>
    <t>CLSA/SCA 12-E A Cobra - AcsMO</t>
  </si>
  <si>
    <t>CLSA/SCA 16-E A Cobra - AcsMO</t>
  </si>
  <si>
    <t>CLSA/SCA 17-E A Cobra - AcsMO</t>
  </si>
  <si>
    <t>CLSA/SCA 18-E A Cobra - AcsMO</t>
  </si>
  <si>
    <t>CLSA/SCA 19-E A Cobra - AcsMO</t>
  </si>
  <si>
    <t>CLSA/SCA 18-E A Cobra</t>
  </si>
  <si>
    <t>CLSA/SCA 19-E A Cobra</t>
  </si>
  <si>
    <t>CLSA/SCA 11-E A Cobra - MO</t>
  </si>
  <si>
    <t>CLSA/SCA 12-E A Cobra - MO</t>
  </si>
  <si>
    <t>CLSA/SCA 16-E A Cobra - MO</t>
  </si>
  <si>
    <t>CLSA/SCA 17-E A Cobra - MO</t>
  </si>
  <si>
    <t>CLSA/SCA 18-E A Cobra - MO</t>
  </si>
  <si>
    <t>CLSA/SCA 19-E A Cobra - MO</t>
  </si>
  <si>
    <t>CLSA/SCA Plan 11A Cobra-TERM</t>
  </si>
  <si>
    <t>CLSA/SCA Plan 12A Cobra-TERM</t>
  </si>
  <si>
    <t>CLSA/SCA Plan 16A Cobra-TERM</t>
  </si>
  <si>
    <t>CLSA/SCA Plan 17A Cobra-TERM</t>
  </si>
  <si>
    <t>CLSA/SCA 11-E B AB1401 - Acs</t>
  </si>
  <si>
    <t>CLSA/SCA 12-E B AB1401 - Acs</t>
  </si>
  <si>
    <t>CLSA/SCA 13B AB1401 - Acs</t>
  </si>
  <si>
    <t>CLSA/SCA 14B AB1401 - Acs</t>
  </si>
  <si>
    <t>CLSA/SCA 15B AB1401 - Acs</t>
  </si>
  <si>
    <t>CLSA/SCA 16-E B AB1401 - Acs</t>
  </si>
  <si>
    <t>CLSA/SCA 17-E B AB1401 - Acs</t>
  </si>
  <si>
    <t>CLSA/SCA 18-E B AB1401 - Acs</t>
  </si>
  <si>
    <t>CLSA/SCA 19-E B AB1401 - Acs</t>
  </si>
  <si>
    <t>CLSA/SCA 7B AB1401 - Acs</t>
  </si>
  <si>
    <t>CLSA/SCA 8B AB1401 - Acs</t>
  </si>
  <si>
    <t>CLSA/SCA 9B AB1401 - Acs</t>
  </si>
  <si>
    <t>CLSA/SCA 11-E B AB1401 - AcsMO</t>
  </si>
  <si>
    <t>CLSA/SCA 12-E B AB1401 - AcsMO</t>
  </si>
  <si>
    <t>CLSA/SCA 16-E B AB1401 - AcsMO</t>
  </si>
  <si>
    <t>CLSA/SCA 17-E B AB1401 - AcsMO</t>
  </si>
  <si>
    <t>CLSA/SCA 18-E B AB1401 - AcsMO</t>
  </si>
  <si>
    <t>CLSA/SCA 19-E B AB1401 - AcsMO</t>
  </si>
  <si>
    <t>CLSA/SCA 18-E B AB1401</t>
  </si>
  <si>
    <t>CLSA/SCA 19-E B AB1401</t>
  </si>
  <si>
    <t>CLSA/SCA 11-E B AB1401 - MO</t>
  </si>
  <si>
    <t>CLSA/SCA 12-E B AB1401 - MO</t>
  </si>
  <si>
    <t>CLSA/SCA 16-E B AB1401 - MO</t>
  </si>
  <si>
    <t>CLSA/SCA 17-E B AB1401 - MO</t>
  </si>
  <si>
    <t>CLSA/SCA 18-E B AB1401 - MO</t>
  </si>
  <si>
    <t>CLSA/SCA 19-E B AB1401 - MO</t>
  </si>
  <si>
    <t>CLSA/SCA Plan 11B AB1401_TERM</t>
  </si>
  <si>
    <t>CLSA/SCA Plan 12B AB1401-TERM</t>
  </si>
  <si>
    <t>CLSA/SCA Plan 16B AB1401-TERM</t>
  </si>
  <si>
    <t>CLSA/SCA Plan 17B AB1401-TERM</t>
  </si>
  <si>
    <t>CLSA/SCA 11-E B Active - Acs</t>
  </si>
  <si>
    <t>CLSA/SCA 12-E B Active - Acs</t>
  </si>
  <si>
    <t>CLSA/SCA 13B Active - Acs</t>
  </si>
  <si>
    <t>CLSA/SCA 14B Active - Acs</t>
  </si>
  <si>
    <t>CLSA/SCA 15B Active - Acs</t>
  </si>
  <si>
    <t>CLSA/SCA 16-E B Active - Acs</t>
  </si>
  <si>
    <t>CLSA/SCA 17-E B Active - Acs</t>
  </si>
  <si>
    <t>CLSA/SCA 18-E B Active - Acs</t>
  </si>
  <si>
    <t>CLSA/SCA 19-E B Active - Acs</t>
  </si>
  <si>
    <t>CLSA/SCA 7B Active - Acs</t>
  </si>
  <si>
    <t>CLSA/SCA 8B Active - Acs</t>
  </si>
  <si>
    <t>CLSA/SCA 9B Active - Acs</t>
  </si>
  <si>
    <t>CLSA/SCA 11-E B Active - AcsMO</t>
  </si>
  <si>
    <t>CLSA/SCA 12-E B Active - AcsMO</t>
  </si>
  <si>
    <t>CLSA/SCA 16-E B Active - AcsMO</t>
  </si>
  <si>
    <t>CLSA/SCA 17-E B Active - AcsMO</t>
  </si>
  <si>
    <t>CLSA/SCA 18-E B Active - AcsMO</t>
  </si>
  <si>
    <t>CLSA/SCA 19-E B Active - AcsMO</t>
  </si>
  <si>
    <t>CLSA/SCA 18-E B Active</t>
  </si>
  <si>
    <t>CLSA/SCA 19-E B Active</t>
  </si>
  <si>
    <t>CLSA/SCA 11-E B Active - MO</t>
  </si>
  <si>
    <t>CLSA/SCA 12-E B Active - MO</t>
  </si>
  <si>
    <t>CLSA/SCA 16-E B Active - MO</t>
  </si>
  <si>
    <t>CLSA/SCA 17-E B Active - MO</t>
  </si>
  <si>
    <t>CLSA/SCA 18-E B Active - MO</t>
  </si>
  <si>
    <t>CLSA/SCA 19-E B Active - MO</t>
  </si>
  <si>
    <t>CLSA/SCA Plan 11B Active-TERM</t>
  </si>
  <si>
    <t>CLSA/SCA Plan 12B Active-TERM</t>
  </si>
  <si>
    <t>CLSA/SCA Plan 16B Active-TERM</t>
  </si>
  <si>
    <t>CLSA/SCA Plan 17B Active-TERM</t>
  </si>
  <si>
    <t>CLSA/SCA 11-E B Cobra - Acs</t>
  </si>
  <si>
    <t>CLSA/SCA 12-E B Cobra - Acs</t>
  </si>
  <si>
    <t>CLSA/SCA 13B Cobra - Acs</t>
  </si>
  <si>
    <t>CLSA/SCA 14B Cobra - Acs</t>
  </si>
  <si>
    <t>CLSA/SCA 15B Cobra - Acs</t>
  </si>
  <si>
    <t>CLSA/SCA 16-E B Cobra - Acs</t>
  </si>
  <si>
    <t>CLSA/SCA 17-E B Cobra - Acs</t>
  </si>
  <si>
    <t>CLSA/SCA 18-E B Cobra - Acs</t>
  </si>
  <si>
    <t>CLSA/SCA 19-E B Cobra - Acs</t>
  </si>
  <si>
    <t>CLSA/SCA 7B Cobra - Acs</t>
  </si>
  <si>
    <t>CLSA/SCA 8B Cobra - Acs</t>
  </si>
  <si>
    <t>CLSA/SCA 9B Cobra - Acs</t>
  </si>
  <si>
    <t>CLSA/SCA 11-E B Cobra - AcsMO</t>
  </si>
  <si>
    <t>CLSA/SCA 12-E B Cobra - AcsMO</t>
  </si>
  <si>
    <t>CLSA/SCA 16-E B Cobra - AcsMO</t>
  </si>
  <si>
    <t>CLSA/SCA 17-E B Cobra - AcsMO</t>
  </si>
  <si>
    <t>CLSA/SCA 18-E B Cobra - AcsMO</t>
  </si>
  <si>
    <t>CLSA/SCA 19-E B Cobra - AcsMO</t>
  </si>
  <si>
    <t>CLSA/SCA 18-E B Cobra</t>
  </si>
  <si>
    <t>CLSA/SCA 19-E B Cobra</t>
  </si>
  <si>
    <t>CLSA/SCA 11-E B Cobra - MO</t>
  </si>
  <si>
    <t>CLSA/SCA 12-E B Cobra - MO</t>
  </si>
  <si>
    <t>CLSA/SCA 16-E B Cobra - MO</t>
  </si>
  <si>
    <t>CLSA/SCA 17-E B Cobra - MO</t>
  </si>
  <si>
    <t>CLSA/SCA 18-E B Cobra - MO</t>
  </si>
  <si>
    <t>CLSA/SCA 19-E B Cobra - MO</t>
  </si>
  <si>
    <t>CLSA/SCA Plan 11B Cobra-TERM</t>
  </si>
  <si>
    <t>CLSA/SCA Plan 12B Cobra-TERM</t>
  </si>
  <si>
    <t>CLSA/SCA Plan 16B Cobra-TERM</t>
  </si>
  <si>
    <t>CLSA/SCA Plan 17B Cobra-TERM</t>
  </si>
  <si>
    <t>CLSA/SCA 11-E C AB1401 - Acs</t>
  </si>
  <si>
    <t>CLSA/SCA 12-E C AB1401 - Acs</t>
  </si>
  <si>
    <t>CLSA/SCA 13C AB1401 - Acs</t>
  </si>
  <si>
    <t>CLSA/SCA 14C AB1401 - Acs</t>
  </si>
  <si>
    <t>CLSA/SCA 15C AB1401 - Acs</t>
  </si>
  <si>
    <t>CLSA/SCA 16-E C AB1401 - Acs</t>
  </si>
  <si>
    <t>CLSA/SCA 17-E C AB1401 - Acs</t>
  </si>
  <si>
    <t>CLSA/SCA 18-E C AB1401 - Acs</t>
  </si>
  <si>
    <t>CLSA/SCA 19-E C AB1401 - Acs</t>
  </si>
  <si>
    <t>CLSA/SCA 7C AB1401 - Acs</t>
  </si>
  <si>
    <t>CLSA/SCA 8C AB1401 - Acs</t>
  </si>
  <si>
    <t>CLSA/SCA 9C AB1401 - Acs</t>
  </si>
  <si>
    <t>CLSA/SCA 11-E C AB1401 - AcsMO</t>
  </si>
  <si>
    <t>CLSA/SCA 12-E C AB1401 - AcsMO</t>
  </si>
  <si>
    <t>CLSA/SCA 16-E C AB1401 - AcsMO</t>
  </si>
  <si>
    <t>CLSA/SCA 17-E C AB1401 - AcsMO</t>
  </si>
  <si>
    <t>CLSA/SCA 18-E C AB1401 - AcsMO</t>
  </si>
  <si>
    <t>CLSA/SCA 19-E C AB1401 - AcsMO</t>
  </si>
  <si>
    <t>CLSA/SCA 18-E C AB1401</t>
  </si>
  <si>
    <t>CLSA/SCA 19-E C AB1401</t>
  </si>
  <si>
    <t>CLSA/SCA 11-E C AB1401 - MO</t>
  </si>
  <si>
    <t>CLSA/SCA 12-E C AB1401 - MO</t>
  </si>
  <si>
    <t>CLSA/SCA 16-E C AB1401 - MO</t>
  </si>
  <si>
    <t>CLSA/SCA 17-E C AB1401 - MO</t>
  </si>
  <si>
    <t>CLSA/SCA 18-E C AB1401 - MO</t>
  </si>
  <si>
    <t>CLSA/SCA 19-E C AB1401 - MO</t>
  </si>
  <si>
    <t>CLSA/SCA Plan 11C AB1401-TERM</t>
  </si>
  <si>
    <t>CLSA/SCA Plan 12C AB1401-TERM</t>
  </si>
  <si>
    <t>CLSA/SCA Plan 16C AB1401-TERM</t>
  </si>
  <si>
    <t>CLSA/SCA Plan 17C AB1401-TERM</t>
  </si>
  <si>
    <t>CLSA/SCA 11-E C Active - Acs</t>
  </si>
  <si>
    <t>CLSA/SCA 12-E C Active - Acs</t>
  </si>
  <si>
    <t>CLSA/SCA 13C Active - Acs</t>
  </si>
  <si>
    <t>CLSA/SCA 14C Active - Acs</t>
  </si>
  <si>
    <t>CLSA/SCA 15C Active - Acs</t>
  </si>
  <si>
    <t>CLSA/SCA 16-E C Active - Acs</t>
  </si>
  <si>
    <t>CLSA/SCA 17-E C Active - Acs</t>
  </si>
  <si>
    <t>CLSA/SCA 18-E C Active - Acs</t>
  </si>
  <si>
    <t>CLSA/SCA 19-E C Active - Acs</t>
  </si>
  <si>
    <t>CLSA/SCA 7C Active - Acs</t>
  </si>
  <si>
    <t>CLSA/SCA 8C Active - Acs</t>
  </si>
  <si>
    <t>CLSA/SCA 9C Active - Acs</t>
  </si>
  <si>
    <t>CLSA/SCA 11-E C Active - AcsMO</t>
  </si>
  <si>
    <t>CLSA/SCA 12-E C Active - AcsMO</t>
  </si>
  <si>
    <t>CLSA/SCA 16-E C Active - AcsMO</t>
  </si>
  <si>
    <t>CLSA/SCA 17-E C Active - AcsMO</t>
  </si>
  <si>
    <t>CLSA/SCA 18-E C Active - AcsMO</t>
  </si>
  <si>
    <t>CLSA/SCA 19-E C Active - AcsMO</t>
  </si>
  <si>
    <t>CLSA/SCA 18-E C Active</t>
  </si>
  <si>
    <t>CLSA/SCA 19-E C Active</t>
  </si>
  <si>
    <t>CLSA/SCA 11-E C Active - MO</t>
  </si>
  <si>
    <t>CLSA/SCA 12-E C Active - MO</t>
  </si>
  <si>
    <t>CLSA/SCA 16-E C Active - MO</t>
  </si>
  <si>
    <t>CLSA/SCA 17-E C Active - MO</t>
  </si>
  <si>
    <t>CLSA/SCA 18-E C Active - MO</t>
  </si>
  <si>
    <t>CLSA/SCA 19-E C Active - MO</t>
  </si>
  <si>
    <t>CLSA/SCA Plan 11C Active-TERM</t>
  </si>
  <si>
    <t>CLSA/SCA Plan 12C Active-TERM</t>
  </si>
  <si>
    <t>CLSA/SCA Plan 16C Active-TERM</t>
  </si>
  <si>
    <t>CLSA/SCA Plan 17C Active-TERM</t>
  </si>
  <si>
    <t>CLSA/SCA 11-E C Cobra - Acs</t>
  </si>
  <si>
    <t>CLSA/SCA 12-E C Cobra - Acs</t>
  </si>
  <si>
    <t>CLSA/SCA 13C Cobra - Acs</t>
  </si>
  <si>
    <t>CLSA/SCA 14C Cobra - Acs</t>
  </si>
  <si>
    <t>CLSA/SCA 15C Cobra - Acs</t>
  </si>
  <si>
    <t>CLSA/SCA 16-E C Cobra - Acs</t>
  </si>
  <si>
    <t>CLSA/SCA 17-E C Cobra - Acs</t>
  </si>
  <si>
    <t>CLSA/SCA 18-E C Cobra - Acs</t>
  </si>
  <si>
    <t>CLSA/SCA 19-E C Cobra - Acs</t>
  </si>
  <si>
    <t>CLSA/SCA 7C Cobra - Acs</t>
  </si>
  <si>
    <t>CLSA/SCA 8C Cobra - Acs</t>
  </si>
  <si>
    <t>CLSA/SCA 9C Cobra - Acs</t>
  </si>
  <si>
    <t>CLSA/SCA 11-E C Cobra - AcsMO</t>
  </si>
  <si>
    <t>CLSA/SCA 12-E C Cobra - AcsMO</t>
  </si>
  <si>
    <t>CLSA/SCA 16-E C Cobra - AcsMO</t>
  </si>
  <si>
    <t>CLSA/SCA 17-E C Cobra - AcsMO</t>
  </si>
  <si>
    <t>CLSA/SCA 18-E C Cobra - AcsMO</t>
  </si>
  <si>
    <t>CLSA/SCA 19-E C Cobra - AcsMO</t>
  </si>
  <si>
    <t>CLSA/SCA 18-E C Cobra</t>
  </si>
  <si>
    <t>CLSA/SCA 19-E C Cobra</t>
  </si>
  <si>
    <t>CLSA/SCA 11-E C Cobra - MO</t>
  </si>
  <si>
    <t>CLSA/SCA 12-E C Cobra - MO</t>
  </si>
  <si>
    <t>CLSA/SCA 16-E C Cobra - MO</t>
  </si>
  <si>
    <t>CLSA/SCA 17-E C Cobra - MO</t>
  </si>
  <si>
    <t>CLSA/SCA 18-E C Cobra - MO</t>
  </si>
  <si>
    <t>CLSA/SCA 19-E C Cobra - MO</t>
  </si>
  <si>
    <t>CLSA/SCA Plan 11C Cobra-TERM</t>
  </si>
  <si>
    <t>CLSA/SCA Plan 12C Cobra-TERM</t>
  </si>
  <si>
    <t>CLSA/SCA Plan 16C Cobra-TERM</t>
  </si>
  <si>
    <t>CLSA/SCA Plan 17C Cobra-TERM</t>
  </si>
  <si>
    <t>CLSA/SCA 11-E D AB1401 - Acs</t>
  </si>
  <si>
    <t>CLSA/SCA 12-E D AB1401 - Acs</t>
  </si>
  <si>
    <t>CLSA/SCA 13D AB1401 - Acs</t>
  </si>
  <si>
    <t>CLSA/SCA 14D AB1401 - Acs</t>
  </si>
  <si>
    <t>CLSA/SCA 15D AB1401 - Acs</t>
  </si>
  <si>
    <t>CLSA/SCA 16-E D AB1401 - Acs</t>
  </si>
  <si>
    <t>CLSA/SCA 17-E D AB1401 - Acs</t>
  </si>
  <si>
    <t>CLSA/SCA 18-E D AB1401 - Acs</t>
  </si>
  <si>
    <t>CLSA/SCA 19-E D AB1401 - Acs</t>
  </si>
  <si>
    <t>CLSA/SCA 7D AB1401 - Acs</t>
  </si>
  <si>
    <t>CLSA/SCA 8D AB1401 - Acs</t>
  </si>
  <si>
    <t>CLSA/SCA 9D AB1401 - Acs</t>
  </si>
  <si>
    <t>CLSA/SCA 11-E D AB1401 - AcsMO</t>
  </si>
  <si>
    <t>CLSA/SCA 12-E D AB1401 - AcsMO</t>
  </si>
  <si>
    <t>CLSA/SCA 16-E D AB1401 - AcsMO</t>
  </si>
  <si>
    <t>CLSA/SCA 17-E D AB1401 - AcsMO</t>
  </si>
  <si>
    <t>CLSA/SCA 18-E D AB1401 - AcsMO</t>
  </si>
  <si>
    <t>CLSA/SCA 19-E D AB1401 - AcsMO</t>
  </si>
  <si>
    <t>CLSA/SCA 18-E D AB1401</t>
  </si>
  <si>
    <t>CLSA/SCA 19-E D AB1401</t>
  </si>
  <si>
    <t>CLSA/SCA 11-E D AB1401 - MO</t>
  </si>
  <si>
    <t>CLSA/SCA 12-E D AB1401 - MO</t>
  </si>
  <si>
    <t>CLSA/SCA 16-E D AB1401 - MO</t>
  </si>
  <si>
    <t>CLSA/SCA 17-E D AB1401 - MO</t>
  </si>
  <si>
    <t>CLSA/SCA 18-E D AB1401 - MO</t>
  </si>
  <si>
    <t>CLSA/SCA 19-E D AB1401 - MO</t>
  </si>
  <si>
    <t>CLSA/SCA Plan 11D AB1401-TERM</t>
  </si>
  <si>
    <t>CLSA/SCA Plan 12D AB1401-TERM</t>
  </si>
  <si>
    <t>CLSA/SCA Plan 16D AB1401-TERM</t>
  </si>
  <si>
    <t>CLSA/SCA Plan 17D AB1401-TERM</t>
  </si>
  <si>
    <t>CLSA/SCA 11-E D Active - Acs</t>
  </si>
  <si>
    <t>CLSA/SCA 12-E D Active - Acs</t>
  </si>
  <si>
    <t>CLSA/SCA 13D Active - Acs</t>
  </si>
  <si>
    <t>CLSA/SCA 14D Active - Acs</t>
  </si>
  <si>
    <t>CLSA/SCA 15D Active - Acs</t>
  </si>
  <si>
    <t>CLSA/SCA 16-E D Active - Acs</t>
  </si>
  <si>
    <t>CLSA/SCA 17-E D Active - Acs</t>
  </si>
  <si>
    <t>CLSA/SCA 18-E D Active - Acs</t>
  </si>
  <si>
    <t>CLSA/SCA 19-E D Active - Acs</t>
  </si>
  <si>
    <t>CLSA/SCA 7D Active - Acs</t>
  </si>
  <si>
    <t>CLSA/SCA 8D Active - Acs</t>
  </si>
  <si>
    <t>CLSA/SCA 9D Active - Acs</t>
  </si>
  <si>
    <t>CLSA/SCA 11-E D Active - AcsMO</t>
  </si>
  <si>
    <t>CLSA/SCA 12-E D Active - AcsMO</t>
  </si>
  <si>
    <t>CLSA/SCA 16-E D Active - AcsMO</t>
  </si>
  <si>
    <t>CLSA/SCA 17-E D Active - AcsMO</t>
  </si>
  <si>
    <t>CLSA/SCA 18-E D Active - AcsMO</t>
  </si>
  <si>
    <t>CLSA/SCA 19-E D Active - AcsMO</t>
  </si>
  <si>
    <t>CLSA/SCA 18-E D Active</t>
  </si>
  <si>
    <t>CLSA/SCA 19-E D Active</t>
  </si>
  <si>
    <t>CLSA/SCA 11-E D Active - MO</t>
  </si>
  <si>
    <t>CLSA/SCA 12-E D Active - MO</t>
  </si>
  <si>
    <t>CLSA/SCA 16-E D Active - MO</t>
  </si>
  <si>
    <t>CLSA/SCA 17-E D Active - MO</t>
  </si>
  <si>
    <t>CLSA/SCA 18-E D Active - MO</t>
  </si>
  <si>
    <t>CLSA/SCA 19-E D Active - MO</t>
  </si>
  <si>
    <t>CLSA/SCA Plan 11D Active-TERM</t>
  </si>
  <si>
    <t>CLSA/SCA Plan 12D Active-TERM</t>
  </si>
  <si>
    <t>CLSA/SCA Plan 16D Active-TERM</t>
  </si>
  <si>
    <t>CLSA/SCA Plan 17D Active-TERM</t>
  </si>
  <si>
    <t>CLSA/SCA 11-E D Cobra - Acs</t>
  </si>
  <si>
    <t>CLSA/SCA 12-E D Cobra - Acs</t>
  </si>
  <si>
    <t>CLSA/SCA 13D Cobra - Acs</t>
  </si>
  <si>
    <t>CLSA/SCA 14D Cobra - Acs</t>
  </si>
  <si>
    <t>CLSA/SCA 15D Cobra - Acs</t>
  </si>
  <si>
    <t>CLSA/SCA 16-E D Cobra - Acs</t>
  </si>
  <si>
    <t>CLSA/SCA 17-E D Cobra - Acs</t>
  </si>
  <si>
    <t>CLSA/SCA 18-E D Cobra - Acs</t>
  </si>
  <si>
    <t>CLSA/SCA 19-E D Cobra - Acs</t>
  </si>
  <si>
    <t>CLSA/SCA 7D Cobra - Acs</t>
  </si>
  <si>
    <t>CLSA/SCA 8D Cobra - Acs</t>
  </si>
  <si>
    <t>CLSA/SCA 9D Cobra - Acs</t>
  </si>
  <si>
    <t>CLSA/SCA 11-E D Cobra - AcsMO</t>
  </si>
  <si>
    <t>CLSA/SCA 12-E D Cobra - AcsMO</t>
  </si>
  <si>
    <t>CLSA/SCA 16-E D Cobra - AcsMO</t>
  </si>
  <si>
    <t>CLSA/SCA 17-E D Cobra - AcsMO</t>
  </si>
  <si>
    <t>CLSA/SCA 18-E D Cobra - AcsMO</t>
  </si>
  <si>
    <t>CLSA/SCA 19-E D Cobra - AcsMO</t>
  </si>
  <si>
    <t>CLSA/SCA 18-E D Cobra</t>
  </si>
  <si>
    <t>CLSA/SCA 19-E D Cobra</t>
  </si>
  <si>
    <t>CLSA/SCA 11-E D Cobra - MO</t>
  </si>
  <si>
    <t>CLSA/SCA 12-E D Cobra - MO</t>
  </si>
  <si>
    <t>CLSA/SCA 16-E D Cobra - MO</t>
  </si>
  <si>
    <t>CLSA/SCA 17-E D Cobra - MO</t>
  </si>
  <si>
    <t>CLSA/SCA 18-E D Cobra - MO</t>
  </si>
  <si>
    <t>CLSA/SCA 19-E D Cobra - MO</t>
  </si>
  <si>
    <t>CLSA/SCA Plan 11D Cobra-TERM</t>
  </si>
  <si>
    <t>CLSA/SCA Plan 12D Cobra-TERM</t>
  </si>
  <si>
    <t>CLSA/SCA Plan 16D Cobra-TERM</t>
  </si>
  <si>
    <t>CLSA/SCA Plan 17D Cobra-TERM</t>
  </si>
  <si>
    <t>Trust Status</t>
  </si>
  <si>
    <t>New</t>
  </si>
  <si>
    <t>Renewal</t>
  </si>
  <si>
    <t>UHC Region</t>
  </si>
  <si>
    <t>UHC Age Band</t>
  </si>
  <si>
    <t>Group B (34-44)</t>
  </si>
  <si>
    <t>MetLife Dental Region</t>
  </si>
  <si>
    <t>MetLife Dental Size</t>
  </si>
  <si>
    <t xml:space="preserve">Region 2 </t>
  </si>
  <si>
    <t>(25-49)</t>
  </si>
  <si>
    <t>(50-99)</t>
  </si>
  <si>
    <t xml:space="preserve"> (2-49)</t>
  </si>
  <si>
    <t>MetLife: 
Plan 1: M130D-10/25</t>
  </si>
  <si>
    <t>MetLife: 
Plan 1: M130D-10/25
(Note: Voluntary Plan)</t>
  </si>
  <si>
    <t xml:space="preserve">MetLife: 
Plan 2: M130A-10/25 </t>
  </si>
  <si>
    <t>MetLife: 
Plan 2: M130A-10/25</t>
  </si>
  <si>
    <t xml:space="preserve">MetLife: 
Plan 3: M150D-10/10 </t>
  </si>
  <si>
    <t>Region 1</t>
  </si>
  <si>
    <t>Region 3</t>
  </si>
  <si>
    <t xml:space="preserve"> (25-49)</t>
  </si>
  <si>
    <t>(2-49)</t>
  </si>
  <si>
    <t xml:space="preserve"> (50-99)</t>
  </si>
  <si>
    <t>Region 2</t>
  </si>
  <si>
    <t>(2-9)</t>
  </si>
  <si>
    <t>Region 5</t>
  </si>
  <si>
    <t>(10-24)</t>
  </si>
  <si>
    <t xml:space="preserve"> Region 3</t>
  </si>
  <si>
    <t xml:space="preserve">Region 4 </t>
  </si>
  <si>
    <t>Region 4</t>
  </si>
  <si>
    <t xml:space="preserve">Region 3 </t>
  </si>
  <si>
    <t>Group A (&lt;34)</t>
  </si>
  <si>
    <t>Group C (44-54)</t>
  </si>
  <si>
    <t>Group D (54+)</t>
  </si>
  <si>
    <t>Group C (40-49)</t>
  </si>
  <si>
    <t>Company</t>
  </si>
  <si>
    <t>Carrier Information</t>
  </si>
  <si>
    <t>Contact Typer</t>
  </si>
  <si>
    <t>Contact</t>
  </si>
  <si>
    <t>Title/Role</t>
  </si>
  <si>
    <t>Phone</t>
  </si>
  <si>
    <t>Fax</t>
  </si>
  <si>
    <t>Email</t>
  </si>
  <si>
    <t>Address</t>
  </si>
  <si>
    <t>Kaiser</t>
  </si>
  <si>
    <r>
      <t xml:space="preserve">Medical Policy #s:  
</t>
    </r>
    <r>
      <rPr>
        <b/>
        <sz val="10"/>
        <color theme="0"/>
        <rFont val="Arial"/>
        <family val="2"/>
      </rPr>
      <t xml:space="preserve">
</t>
    </r>
    <r>
      <rPr>
        <u/>
        <sz val="10"/>
        <color theme="0"/>
        <rFont val="Arial"/>
        <family val="2"/>
      </rPr>
      <t>www.kp.org</t>
    </r>
  </si>
  <si>
    <r>
      <t xml:space="preserve">Broker/Employer Resources
</t>
    </r>
    <r>
      <rPr>
        <sz val="8"/>
        <color theme="0"/>
        <rFont val="Arial"/>
        <family val="2"/>
      </rPr>
      <t>Primary contact for questions</t>
    </r>
  </si>
  <si>
    <t>Broker/Employer</t>
  </si>
  <si>
    <t>Stacy Moskowitz</t>
  </si>
  <si>
    <r>
      <t xml:space="preserve">Sr. Sales Executive
</t>
    </r>
    <r>
      <rPr>
        <sz val="10"/>
        <rFont val="Arial"/>
        <family val="2"/>
      </rPr>
      <t>California Sales- South</t>
    </r>
  </si>
  <si>
    <t>818-319-7953</t>
  </si>
  <si>
    <t>Stacy.A.Moskowitz@kp.org</t>
  </si>
  <si>
    <t>Andres Rodriguez Jr</t>
  </si>
  <si>
    <r>
      <t xml:space="preserve">Sales Associate
</t>
    </r>
    <r>
      <rPr>
        <sz val="10"/>
        <rFont val="Arial"/>
        <family val="2"/>
      </rPr>
      <t>Small Business Unit</t>
    </r>
  </si>
  <si>
    <t>818-557-7108</t>
  </si>
  <si>
    <t>818-557-6812</t>
  </si>
  <si>
    <t>Andres.x.Rodriguez@kp.org</t>
  </si>
  <si>
    <t>LaKeshia Kimble</t>
  </si>
  <si>
    <r>
      <t xml:space="preserve">Sr. Account Manager, Inland Empire
</t>
    </r>
    <r>
      <rPr>
        <sz val="10"/>
        <rFont val="Arial"/>
        <family val="2"/>
      </rPr>
      <t xml:space="preserve">Certified Healthcare Reform Specialist </t>
    </r>
  </si>
  <si>
    <t>909-609-2827</t>
  </si>
  <si>
    <t>818-557-6837</t>
  </si>
  <si>
    <t>LaKeshia.M.Kimble@kp.org</t>
  </si>
  <si>
    <t>Palm Court II
17284 Slover Avenue 
Fontana, CA 92337</t>
  </si>
  <si>
    <t>Associate Account Manager II</t>
  </si>
  <si>
    <t>Client Services</t>
  </si>
  <si>
    <r>
      <rPr>
        <b/>
        <sz val="10"/>
        <rFont val="Arial"/>
        <family val="2"/>
      </rPr>
      <t>Client Services Unit</t>
    </r>
    <r>
      <rPr>
        <sz val="10"/>
        <rFont val="Arial"/>
        <family val="2"/>
      </rPr>
      <t xml:space="preserve">
Benefit inquiries, COBRA interpretation, Employer collateral, Contract inquires</t>
    </r>
  </si>
  <si>
    <t>800-790-4661
Option 2</t>
  </si>
  <si>
    <t>800-369-8010</t>
  </si>
  <si>
    <t>csu.ca@kp.org</t>
  </si>
  <si>
    <t>Account Administration</t>
  </si>
  <si>
    <r>
      <t xml:space="preserve">Cutomer Connection Team
</t>
    </r>
    <r>
      <rPr>
        <sz val="10"/>
        <rFont val="Arial"/>
        <family val="2"/>
      </rPr>
      <t>Changes to:</t>
    </r>
    <r>
      <rPr>
        <b/>
        <sz val="10"/>
        <rFont val="Arial"/>
        <family val="2"/>
      </rPr>
      <t xml:space="preserve"> </t>
    </r>
    <r>
      <rPr>
        <sz val="10"/>
        <rFont val="Arial"/>
        <family val="2"/>
      </rPr>
      <t>BOR, Plan, Renewal, Group Address, Contact</t>
    </r>
  </si>
  <si>
    <t>800-790-4661
Option 3</t>
  </si>
  <si>
    <t>amt@kp.org</t>
  </si>
  <si>
    <t>Billing &amp; Eligibility</t>
  </si>
  <si>
    <r>
      <t xml:space="preserve">Billing &amp; Eligibility
</t>
    </r>
    <r>
      <rPr>
        <sz val="10"/>
        <rFont val="Arial"/>
        <family val="2"/>
      </rPr>
      <t>Membership Status, Reinstatement, Schedule A-5500 request</t>
    </r>
  </si>
  <si>
    <t>800-790-4661
Option 1</t>
  </si>
  <si>
    <t>SCAL: 858-614-3345
NCAL: 858-614-3344</t>
  </si>
  <si>
    <t>csc-sd-sba@kp.org</t>
  </si>
  <si>
    <t>Online Resources - Employers</t>
  </si>
  <si>
    <r>
      <t>Online Resources - Employers</t>
    </r>
    <r>
      <rPr>
        <sz val="10"/>
        <rFont val="Arial"/>
        <family val="2"/>
      </rPr>
      <t xml:space="preserve">
Account Management, Download forms, SBCs, Wellness Information</t>
    </r>
  </si>
  <si>
    <r>
      <t>www.businessnet.kp.org</t>
    </r>
    <r>
      <rPr>
        <sz val="10"/>
        <rFont val="Arial"/>
        <family val="2"/>
      </rPr>
      <t/>
    </r>
  </si>
  <si>
    <r>
      <rPr>
        <sz val="10"/>
        <rFont val="Arial"/>
        <family val="2"/>
      </rPr>
      <t xml:space="preserve">Portal:  </t>
    </r>
    <r>
      <rPr>
        <u/>
        <sz val="10"/>
        <color indexed="12"/>
        <rFont val="Arial"/>
        <family val="2"/>
      </rPr>
      <t xml:space="preserve">https://account.kp.org/broker-employer/resources/floating/signon </t>
    </r>
  </si>
  <si>
    <t>Online Resources - Brokers</t>
  </si>
  <si>
    <r>
      <t>Online Resources -Brokers</t>
    </r>
    <r>
      <rPr>
        <sz val="10"/>
        <rFont val="Arial"/>
        <family val="2"/>
      </rPr>
      <t xml:space="preserve">
Account Management, Client Renewals, Forms, SBCs, Wellness Information, Commission</t>
    </r>
  </si>
  <si>
    <t>www.brokernet.kp.org</t>
  </si>
  <si>
    <r>
      <t xml:space="preserve">Employee Resources
</t>
    </r>
    <r>
      <rPr>
        <sz val="8"/>
        <color theme="0"/>
        <rFont val="Arial"/>
        <family val="2"/>
      </rPr>
      <t>Primary contact for questions</t>
    </r>
  </si>
  <si>
    <t>Employee</t>
  </si>
  <si>
    <t>Member Services</t>
  </si>
  <si>
    <r>
      <t xml:space="preserve">Member Services Call Center
</t>
    </r>
    <r>
      <rPr>
        <sz val="10"/>
        <rFont val="Arial"/>
        <family val="2"/>
      </rPr>
      <t>For Employees/Members</t>
    </r>
  </si>
  <si>
    <t>800-464-4000 
8:30 am - 5 pm PST / M-F</t>
  </si>
  <si>
    <t>Online Resources - Employees</t>
  </si>
  <si>
    <r>
      <t>Online Resources -Members</t>
    </r>
    <r>
      <rPr>
        <sz val="10"/>
        <rFont val="Arial"/>
        <family val="2"/>
      </rPr>
      <t xml:space="preserve">
Facility &amp; Physician locator, Guidebooks, Order Rx refills, Plan information, Request routine appointments</t>
    </r>
  </si>
  <si>
    <t>www.kp.org</t>
  </si>
  <si>
    <t>Blue Shield of CA</t>
  </si>
  <si>
    <r>
      <t xml:space="preserve">Medical Policy #s:  
HMO 10-250: W0063657
PPO 90/70: W0063657
HSA 2250/4500:  W0063657
</t>
    </r>
    <r>
      <rPr>
        <u/>
        <sz val="10"/>
        <color theme="0"/>
        <rFont val="Arial"/>
        <family val="2"/>
      </rPr>
      <t>www.blueshieldca.com</t>
    </r>
  </si>
  <si>
    <t>Mike Saipe</t>
  </si>
  <si>
    <r>
      <t xml:space="preserve">Sr. Sales Executive
</t>
    </r>
    <r>
      <rPr>
        <sz val="10"/>
        <rFont val="Arial"/>
        <family val="2"/>
      </rPr>
      <t>Core Accounts</t>
    </r>
  </si>
  <si>
    <t xml:space="preserve">P: 619-686-4229
C: 619-847-5596 </t>
  </si>
  <si>
    <t>mike.saipe@blueshieldca.com</t>
  </si>
  <si>
    <t>Blue Shield of California
2275 Rio Bonito Way, Suite 250
San Diego, CA  92108</t>
  </si>
  <si>
    <t>Amy Crights</t>
  </si>
  <si>
    <r>
      <t xml:space="preserve">Senior Sales Analyst
</t>
    </r>
    <r>
      <rPr>
        <sz val="10"/>
        <rFont val="Arial"/>
        <family val="2"/>
      </rPr>
      <t>Core Accounts</t>
    </r>
  </si>
  <si>
    <t>619-686-4213</t>
  </si>
  <si>
    <t xml:space="preserve">619-686-4251 </t>
  </si>
  <si>
    <t>Amy.Crites@blueshieldca.com</t>
  </si>
  <si>
    <t>Judy Shea</t>
  </si>
  <si>
    <r>
      <t xml:space="preserve">Account Manager
</t>
    </r>
    <r>
      <rPr>
        <sz val="10"/>
        <rFont val="Arial"/>
        <family val="2"/>
      </rPr>
      <t>Responsible for the overall renewal of the account</t>
    </r>
  </si>
  <si>
    <t>714-428-4817</t>
  </si>
  <si>
    <t>714-428-4903</t>
  </si>
  <si>
    <t>Judy.Shea@blueshieldca.com</t>
  </si>
  <si>
    <t>Brian Tiller</t>
  </si>
  <si>
    <t>714-428-4835</t>
  </si>
  <si>
    <t>Brian.Tiller@blueshieldca.com</t>
  </si>
  <si>
    <t>Matthew Leming</t>
  </si>
  <si>
    <t>Matthew.Leming@blueshieldca.com</t>
  </si>
  <si>
    <t>Lauren Tyler</t>
  </si>
  <si>
    <r>
      <t xml:space="preserve">Account Service Representative
</t>
    </r>
    <r>
      <rPr>
        <sz val="10"/>
        <rFont val="Arial"/>
        <family val="2"/>
      </rPr>
      <t>Supports the overall service management of the account on a daily basis</t>
    </r>
  </si>
  <si>
    <t>714-428-4824</t>
  </si>
  <si>
    <t>714-428-4994</t>
  </si>
  <si>
    <t>Lauren.Tyler@blueshieldca.com</t>
  </si>
  <si>
    <t>Blue Shield of California
555 Anton Blvd, Suite 800
Costa Mesa, CA 92626</t>
  </si>
  <si>
    <t>Urgent Requests</t>
  </si>
  <si>
    <r>
      <t xml:space="preserve">Core Priority Team
 </t>
    </r>
    <r>
      <rPr>
        <sz val="10"/>
        <rFont val="Arial"/>
        <family val="2"/>
      </rPr>
      <t>Urgent requests</t>
    </r>
  </si>
  <si>
    <t>855-747-5809</t>
  </si>
  <si>
    <t>209-371-5819</t>
  </si>
  <si>
    <t>CorePriority@blueshieldca.com</t>
  </si>
  <si>
    <t>Bookkeeping</t>
  </si>
  <si>
    <t>Large Group Billing</t>
  </si>
  <si>
    <t>916-350-7595</t>
  </si>
  <si>
    <t>916-350-350-2855</t>
  </si>
  <si>
    <t>Group.Billing@blueshieldca.com</t>
  </si>
  <si>
    <t>P.O. Box 749415
Los Angeles, CA 90074-9415</t>
  </si>
  <si>
    <t>Group Eligibility</t>
  </si>
  <si>
    <t>Eligibility Team</t>
  </si>
  <si>
    <t>916-350-8800</t>
  </si>
  <si>
    <t>LargeGroup.MemberEligibility@blueshieldca.com</t>
  </si>
  <si>
    <t>Cal-COBRA Admin</t>
  </si>
  <si>
    <t>800-228-9476</t>
  </si>
  <si>
    <t>916-350-7480</t>
  </si>
  <si>
    <t>Medical &amp; Pharmacy Services</t>
  </si>
  <si>
    <r>
      <rPr>
        <b/>
        <sz val="10"/>
        <rFont val="Arial"/>
        <family val="2"/>
      </rPr>
      <t>Medical &amp; Pharmacy Services</t>
    </r>
    <r>
      <rPr>
        <sz val="10"/>
        <rFont val="Arial"/>
        <family val="2"/>
      </rPr>
      <t xml:space="preserve">
for Members</t>
    </r>
  </si>
  <si>
    <t>888-256-1915</t>
  </si>
  <si>
    <r>
      <rPr>
        <b/>
        <sz val="10"/>
        <rFont val="Arial"/>
        <family val="2"/>
      </rPr>
      <t xml:space="preserve">Pharmacy IDS: </t>
    </r>
    <r>
      <rPr>
        <sz val="10"/>
        <rFont val="Arial"/>
        <family val="2"/>
      </rPr>
      <t xml:space="preserve">
PCN: 01910000 (HMO/PPO)
PCN: 02960000 (HSA)
BIN: 600428</t>
    </r>
  </si>
  <si>
    <t>Prime Mail - Mail Order</t>
  </si>
  <si>
    <r>
      <t xml:space="preserve">Prime Mail - Mail Order
</t>
    </r>
    <r>
      <rPr>
        <sz val="10"/>
        <rFont val="Arial"/>
        <family val="2"/>
      </rPr>
      <t>for Members</t>
    </r>
  </si>
  <si>
    <t>866-346-7200</t>
  </si>
  <si>
    <t>www.myprimemail.com</t>
  </si>
  <si>
    <t>HMO Chiropractic/Acupuncture
(ASHP)</t>
  </si>
  <si>
    <r>
      <t xml:space="preserve">HMO Chiropractic/Acupuncture
</t>
    </r>
    <r>
      <rPr>
        <sz val="10"/>
        <rFont val="Arial"/>
        <family val="2"/>
      </rPr>
      <t>for Members</t>
    </r>
  </si>
  <si>
    <t>Member Services: 800-678-9133
Provider Services: 800-972-4226</t>
  </si>
  <si>
    <t>Mental Health/Substance Abuse
(Magellan)</t>
  </si>
  <si>
    <r>
      <rPr>
        <b/>
        <sz val="10"/>
        <rFont val="Arial"/>
        <family val="2"/>
      </rPr>
      <t>Mental Health/Substance Abuse</t>
    </r>
    <r>
      <rPr>
        <sz val="10"/>
        <rFont val="Arial"/>
        <family val="2"/>
      </rPr>
      <t xml:space="preserve">
for Members</t>
    </r>
  </si>
  <si>
    <t>In-State: 877-263-9972
Out-of-State: 800-810-2583</t>
  </si>
  <si>
    <t>Away from Home Care</t>
  </si>
  <si>
    <r>
      <rPr>
        <b/>
        <sz val="10"/>
        <rFont val="Arial"/>
        <family val="2"/>
      </rPr>
      <t>Away from Home Care</t>
    </r>
    <r>
      <rPr>
        <sz val="10"/>
        <rFont val="Arial"/>
        <family val="2"/>
      </rPr>
      <t xml:space="preserve">
HMO Only</t>
    </r>
  </si>
  <si>
    <t>800-622-9402</t>
  </si>
  <si>
    <t>Access to Care Outside of CA</t>
  </si>
  <si>
    <r>
      <t xml:space="preserve">Access to Care Outside of CA
</t>
    </r>
    <r>
      <rPr>
        <sz val="10"/>
        <rFont val="Arial"/>
        <family val="2"/>
      </rPr>
      <t>Blue Card</t>
    </r>
  </si>
  <si>
    <t>800-810-2583</t>
  </si>
  <si>
    <t>www.bcbs.com/healthtravel/finder.html</t>
  </si>
  <si>
    <t>Access to Care Outside of the U.S.</t>
  </si>
  <si>
    <r>
      <t xml:space="preserve">Access to Care Outside of the U.S.
</t>
    </r>
    <r>
      <rPr>
        <sz val="10"/>
        <rFont val="Arial"/>
        <family val="2"/>
      </rPr>
      <t>Blue Card</t>
    </r>
  </si>
  <si>
    <t>804-673-1177</t>
  </si>
  <si>
    <t>Online Support</t>
  </si>
  <si>
    <r>
      <t xml:space="preserve">Online Support
</t>
    </r>
    <r>
      <rPr>
        <sz val="10"/>
        <rFont val="Arial"/>
        <family val="2"/>
      </rPr>
      <t>for Members</t>
    </r>
  </si>
  <si>
    <r>
      <t xml:space="preserve">Member Portal: </t>
    </r>
    <r>
      <rPr>
        <u/>
        <sz val="10"/>
        <color rgb="FF0000CC"/>
        <rFont val="Arial"/>
        <family val="2"/>
      </rPr>
      <t>wwww.blueshieldca.com</t>
    </r>
    <r>
      <rPr>
        <sz val="10"/>
        <rFont val="Arial"/>
        <family val="2"/>
      </rPr>
      <t xml:space="preserve">
Wellness: </t>
    </r>
    <r>
      <rPr>
        <u/>
        <sz val="10"/>
        <color rgb="FF0000CC"/>
        <rFont val="Arial"/>
        <family val="2"/>
      </rPr>
      <t>www.mywellvolution.com</t>
    </r>
  </si>
  <si>
    <t>Nurse Help 24/7</t>
  </si>
  <si>
    <r>
      <t xml:space="preserve">Nurse Help 24/7
</t>
    </r>
    <r>
      <rPr>
        <sz val="10"/>
        <rFont val="Arial"/>
        <family val="2"/>
      </rPr>
      <t>for Members</t>
    </r>
  </si>
  <si>
    <t>877-304-0504
24 Hours</t>
  </si>
  <si>
    <t xml:space="preserve">Life Referrals 24/7  </t>
  </si>
  <si>
    <r>
      <t xml:space="preserve">Life Referrals 24/7
</t>
    </r>
    <r>
      <rPr>
        <sz val="10"/>
        <rFont val="Arial"/>
        <family val="2"/>
      </rPr>
      <t>Work-life resources, Financial Assistance, Legal Services, Personal Consultation</t>
    </r>
  </si>
  <si>
    <t>800-985-2405
24 Hours</t>
  </si>
  <si>
    <t>Alternative Care Discount Program</t>
  </si>
  <si>
    <r>
      <t xml:space="preserve">Alternative Care Discount Program
</t>
    </r>
    <r>
      <rPr>
        <sz val="10"/>
        <rFont val="Arial"/>
        <family val="2"/>
      </rPr>
      <t>25%+ off  participating
acupuncture, massage therapy, &amp; chiropractic</t>
    </r>
  </si>
  <si>
    <t>888-999-9452</t>
  </si>
  <si>
    <t>Discount Vision Program</t>
  </si>
  <si>
    <r>
      <t xml:space="preserve">Discount Vision Program
</t>
    </r>
    <r>
      <rPr>
        <sz val="10"/>
        <rFont val="Arial"/>
        <family val="2"/>
      </rPr>
      <t>20% discount on vision care services and supplies</t>
    </r>
  </si>
  <si>
    <t>800-793-9288</t>
  </si>
  <si>
    <t>Health Equity HSA</t>
  </si>
  <si>
    <r>
      <t xml:space="preserve">HSA Banking
Policy#72500
</t>
    </r>
    <r>
      <rPr>
        <u/>
        <sz val="10"/>
        <color theme="0"/>
        <rFont val="Arial"/>
        <family val="2"/>
      </rPr>
      <t>www.healthequity.com</t>
    </r>
    <r>
      <rPr>
        <b/>
        <sz val="10"/>
        <color rgb="FFFF0000"/>
        <rFont val="Arial"/>
        <family val="2"/>
      </rPr>
      <t/>
    </r>
  </si>
  <si>
    <t>866-382-3510
6 am - 5 pm PST / M-F</t>
  </si>
  <si>
    <t>employerservices@healthequity.com</t>
  </si>
  <si>
    <t>www.healthequity.com/oe/educate
http://healthequity.com/employerportalguide/integrated/default.html
http://healthequity.com/webinars/employer/bsc/</t>
  </si>
  <si>
    <t>Ben Little</t>
  </si>
  <si>
    <t>Account Manager Group Leader</t>
  </si>
  <si>
    <t xml:space="preserve">P: 801.727.1506  
C: 801.414.9676
</t>
  </si>
  <si>
    <t>blittle@healthequity.com</t>
  </si>
  <si>
    <t>877-857-6810</t>
  </si>
  <si>
    <t>memberservices@healthequity.com</t>
  </si>
  <si>
    <t xml:space="preserve">http://healthequity.com/learn/webinars.aspx
www.healthequity.com/hsamemberguide </t>
  </si>
  <si>
    <t>UHC</t>
  </si>
  <si>
    <r>
      <t xml:space="preserve">Medical Policy #s:  
HMO: </t>
    </r>
    <r>
      <rPr>
        <sz val="10"/>
        <color theme="0"/>
        <rFont val="Arial"/>
        <family val="2"/>
      </rPr>
      <t xml:space="preserve">CUSTOM 6 digit number
</t>
    </r>
    <r>
      <rPr>
        <b/>
        <sz val="10"/>
        <color theme="0"/>
        <rFont val="Arial"/>
        <family val="2"/>
      </rPr>
      <t>PPO</t>
    </r>
    <r>
      <rPr>
        <sz val="10"/>
        <color theme="0"/>
        <rFont val="Arial"/>
        <family val="2"/>
      </rPr>
      <t xml:space="preserve">: 909678
</t>
    </r>
    <r>
      <rPr>
        <b/>
        <sz val="10"/>
        <color theme="0"/>
        <rFont val="Arial"/>
        <family val="2"/>
      </rPr>
      <t>PPO w/HSA:</t>
    </r>
    <r>
      <rPr>
        <sz val="10"/>
        <color theme="0"/>
        <rFont val="Arial"/>
        <family val="2"/>
      </rPr>
      <t xml:space="preserve"> 909678</t>
    </r>
    <r>
      <rPr>
        <b/>
        <sz val="10"/>
        <color theme="0"/>
        <rFont val="Arial"/>
        <family val="2"/>
      </rPr>
      <t xml:space="preserve">
</t>
    </r>
    <r>
      <rPr>
        <u/>
        <sz val="10"/>
        <color theme="0"/>
        <rFont val="Arial"/>
        <family val="2"/>
      </rPr>
      <t>www.myuhc.com</t>
    </r>
  </si>
  <si>
    <r>
      <t xml:space="preserve">CLSA HUB Team /TPA  Resources
</t>
    </r>
    <r>
      <rPr>
        <sz val="8"/>
        <color theme="0"/>
        <rFont val="Arial"/>
        <family val="2"/>
      </rPr>
      <t>Primary contact for all questions</t>
    </r>
  </si>
  <si>
    <t>CLSA HUB Team /TPA  Resources</t>
  </si>
  <si>
    <t>Nick Schubert</t>
  </si>
  <si>
    <t>Strategic Account Executive (SAE)</t>
  </si>
  <si>
    <t>P: (714) 252-0403</t>
  </si>
  <si>
    <t>Nick.schubert@uhc.com</t>
  </si>
  <si>
    <t>5701 Katella Avenue
M/S CA120-0530
Cypress, CA 90630</t>
  </si>
  <si>
    <t>Yumi Gormley</t>
  </si>
  <si>
    <t>Field Account Manager (FAM)</t>
  </si>
  <si>
    <t>P: (714) 252-0450</t>
  </si>
  <si>
    <t>(714) 784-4474</t>
  </si>
  <si>
    <t xml:space="preserve">Yumi.gormley@uhc.com </t>
  </si>
  <si>
    <t>Anthony Ocampo</t>
  </si>
  <si>
    <t>Dedicated Client Service Manager (DCSM)/Service Consultant</t>
  </si>
  <si>
    <t>P: (714) 226-7844</t>
  </si>
  <si>
    <t xml:space="preserve">(888) 235-4379 </t>
  </si>
  <si>
    <t>anthony_ocampo@uhc.com</t>
  </si>
  <si>
    <t>Julie Zablan</t>
  </si>
  <si>
    <t>Billing Analyst</t>
  </si>
  <si>
    <t>P: (657) 214-6913</t>
  </si>
  <si>
    <t>JulieAnn.Zablan@uhc.com</t>
  </si>
  <si>
    <t>Cynnia Chavez</t>
  </si>
  <si>
    <t>Billing Supervisor</t>
  </si>
  <si>
    <t>P: (657) 214-6920</t>
  </si>
  <si>
    <t>Cynnia.chavez@uhc.com</t>
  </si>
  <si>
    <t>Kathy L Smith</t>
  </si>
  <si>
    <t>Electronic Eligibility Analyst</t>
  </si>
  <si>
    <t>P: (952) 406-5542</t>
  </si>
  <si>
    <t>kathy_l_smith@uhc.com</t>
  </si>
  <si>
    <t>Pamela Arisman</t>
  </si>
  <si>
    <t xml:space="preserve">x-Tool Analyst/Spreadsheet Solutions Team </t>
  </si>
  <si>
    <t>P: 813-818-3808</t>
  </si>
  <si>
    <t>pamela_d_arisman@uhc.com</t>
  </si>
  <si>
    <t>Joanne Martin</t>
  </si>
  <si>
    <t xml:space="preserve">Implementation Manager </t>
  </si>
  <si>
    <t>P: 530-879-8295</t>
  </si>
  <si>
    <t>530-879-8233</t>
  </si>
  <si>
    <t>Joanne_M_Martin@uhc.com</t>
  </si>
  <si>
    <t>Caroline Caruso</t>
  </si>
  <si>
    <t>Implementation Manager – HSA (PPO)</t>
  </si>
  <si>
    <t>P: (860) 702-9009</t>
  </si>
  <si>
    <t>(877) 414-4771</t>
  </si>
  <si>
    <t>Caroline.Caruso@optum.com</t>
  </si>
  <si>
    <t>Employer eServices</t>
  </si>
  <si>
    <t>1-800-651-5465</t>
  </si>
  <si>
    <t xml:space="preserve">www.EmployereServices.com </t>
  </si>
  <si>
    <t>Enrollment Service Center (PPO &amp; HMO)</t>
  </si>
  <si>
    <t xml:space="preserve">1-877-468-0982 </t>
  </si>
  <si>
    <t xml:space="preserve">1-248-733-6061 </t>
  </si>
  <si>
    <t>Attn: Eligibility
P.O. Box 30963, Salt Lake City, Utah 84130-0964</t>
  </si>
  <si>
    <r>
      <t xml:space="preserve">Broker/Employer Resources
</t>
    </r>
    <r>
      <rPr>
        <sz val="8"/>
        <color theme="0"/>
        <rFont val="Arial"/>
        <family val="2"/>
      </rPr>
      <t xml:space="preserve">Primary contact for questions, inquiries and information related to Billing &amp; Eligibility </t>
    </r>
  </si>
  <si>
    <t>Member ID # Inquiry
(HMO)</t>
  </si>
  <si>
    <r>
      <t xml:space="preserve">HMO Member ID # Inqury
</t>
    </r>
    <r>
      <rPr>
        <sz val="10"/>
        <rFont val="Arial"/>
        <family val="2"/>
      </rPr>
      <t>For ID# verification 
(Employer contact only)</t>
    </r>
  </si>
  <si>
    <t>1-800-591-9911</t>
  </si>
  <si>
    <r>
      <t xml:space="preserve">Employee Resources
</t>
    </r>
    <r>
      <rPr>
        <sz val="8"/>
        <color theme="0"/>
        <rFont val="Arial"/>
        <family val="2"/>
      </rPr>
      <t>Primary contact for questions, inquires and information related to Eligibility, Coverage, Claims, Provider Changes, Case Management</t>
    </r>
  </si>
  <si>
    <t>Member Services 
(HMO)</t>
  </si>
  <si>
    <r>
      <t xml:space="preserve">HMO Member Services
</t>
    </r>
    <r>
      <rPr>
        <sz val="10"/>
        <rFont val="Arial"/>
        <family val="2"/>
      </rPr>
      <t>Primary contact for Member's questions</t>
    </r>
  </si>
  <si>
    <t>1-800-624-8822
7:00 a.m. - 8:00 p.m. – PST</t>
  </si>
  <si>
    <t>www.myuhc.com</t>
  </si>
  <si>
    <t>Appeals: UHC of CA
(HMO)</t>
  </si>
  <si>
    <r>
      <t xml:space="preserve">HMO Appeals
</t>
    </r>
    <r>
      <rPr>
        <sz val="10"/>
        <rFont val="Arial"/>
        <family val="2"/>
      </rPr>
      <t>Primary contact for Appeals</t>
    </r>
  </si>
  <si>
    <t>1-800-624-8822</t>
  </si>
  <si>
    <t>Attn: Appeals and Grievances Unit
P.O. Box 6107
Cypress, California 90630-9972</t>
  </si>
  <si>
    <t>Claims: UHC of CA
(HMO)</t>
  </si>
  <si>
    <r>
      <t xml:space="preserve">HMO Claims
</t>
    </r>
    <r>
      <rPr>
        <sz val="10"/>
        <rFont val="Arial"/>
        <family val="2"/>
      </rPr>
      <t>Primary contact for Claims</t>
    </r>
  </si>
  <si>
    <t>Attn: Claims Department
P.O. Box 30968
Salt Lake City, Utah 84130-0968</t>
  </si>
  <si>
    <t>Members Services 
(PPO &amp; HSA)</t>
  </si>
  <si>
    <r>
      <t xml:space="preserve">PPO &amp; HSA Member Services
</t>
    </r>
    <r>
      <rPr>
        <sz val="10"/>
        <rFont val="Arial"/>
        <family val="2"/>
      </rPr>
      <t>Primary contact for Member's questions</t>
    </r>
  </si>
  <si>
    <t>Select Plus PPO 1-866-633-2446
8 am - 8 pm</t>
  </si>
  <si>
    <t>Appeals: UHC
(PPO &amp; HSA)</t>
  </si>
  <si>
    <r>
      <t xml:space="preserve">PPO &amp; HSA Appeals
</t>
    </r>
    <r>
      <rPr>
        <sz val="10"/>
        <rFont val="Arial"/>
        <family val="2"/>
      </rPr>
      <t>Primary contact for Appeals</t>
    </r>
  </si>
  <si>
    <t>1-800-638-7204</t>
  </si>
  <si>
    <t>Attn: Appeals and Grievances Unit
P.O. Box 30432
Salt Lake City, Utah 84130-0432</t>
  </si>
  <si>
    <t>Claims: UHC
(PPO &amp; HSA)</t>
  </si>
  <si>
    <r>
      <t xml:space="preserve">PPO &amp; HSA Claims
</t>
    </r>
    <r>
      <rPr>
        <sz val="10"/>
        <rFont val="Arial"/>
        <family val="2"/>
      </rPr>
      <t>Primary contact for Claims</t>
    </r>
  </si>
  <si>
    <t>Attn: Claims Department
PO Box 30555
Salt Lake City, Utah 84130</t>
  </si>
  <si>
    <t>Pharmacy
 (OptumRx)</t>
  </si>
  <si>
    <t>Pharmacy</t>
  </si>
  <si>
    <t>General: 1-800-788-7871
Specialty Rx: 1-866-218-5445
Patient Care: 1-866-218-7398</t>
  </si>
  <si>
    <t>Prior Authorization: 1-800-853-3844</t>
  </si>
  <si>
    <t xml:space="preserve">P.O. Box 509075
San Diego, California 92150-9075
www.optumrx.com
</t>
  </si>
  <si>
    <t>Mental Health
(United Behavioral Health)</t>
  </si>
  <si>
    <t>Mental Health</t>
  </si>
  <si>
    <t>1-800-357-0978</t>
  </si>
  <si>
    <t>www.LiveandWorkWell.com</t>
  </si>
  <si>
    <t>OptumBank
HSA</t>
  </si>
  <si>
    <r>
      <t xml:space="preserve">HAS Banking
</t>
    </r>
    <r>
      <rPr>
        <sz val="10"/>
        <color theme="0"/>
        <rFont val="Arial"/>
        <family val="2"/>
      </rPr>
      <t xml:space="preserve">
</t>
    </r>
    <r>
      <rPr>
        <b/>
        <sz val="10"/>
        <color theme="0"/>
        <rFont val="Arial"/>
        <family val="2"/>
      </rPr>
      <t xml:space="preserve">Policy# </t>
    </r>
    <r>
      <rPr>
        <sz val="10"/>
        <color theme="0"/>
        <rFont val="Arial"/>
        <family val="2"/>
      </rPr>
      <t>909678</t>
    </r>
    <r>
      <rPr>
        <b/>
        <sz val="10"/>
        <color theme="0"/>
        <rFont val="Arial"/>
        <family val="2"/>
      </rPr>
      <t xml:space="preserve">
</t>
    </r>
    <r>
      <rPr>
        <b/>
        <u/>
        <sz val="10"/>
        <color theme="0"/>
        <rFont val="Arial"/>
        <family val="2"/>
      </rPr>
      <t xml:space="preserve">
</t>
    </r>
    <r>
      <rPr>
        <u/>
        <sz val="10"/>
        <color theme="0"/>
        <rFont val="Arial"/>
        <family val="2"/>
      </rPr>
      <t>http://www.optumbank.com/</t>
    </r>
  </si>
  <si>
    <r>
      <t xml:space="preserve">Broker/Employer Resources
</t>
    </r>
    <r>
      <rPr>
        <sz val="8"/>
        <color theme="0"/>
        <rFont val="Arial"/>
        <family val="2"/>
      </rPr>
      <t>Primary contact once group is implemented</t>
    </r>
  </si>
  <si>
    <t>B.E.S.T.  Team
(Broker Employer Support Team)</t>
  </si>
  <si>
    <t>B.E.S.T Team</t>
  </si>
  <si>
    <t xml:space="preserve">1-866-234-8913, Option 4 </t>
  </si>
  <si>
    <t>hsagroup@optumbank.com</t>
  </si>
  <si>
    <t>http://www.optumbank.com/</t>
  </si>
  <si>
    <t xml:space="preserve">1-800-791-9361, Option 1 </t>
  </si>
  <si>
    <t>MetLife</t>
  </si>
  <si>
    <r>
      <t xml:space="preserve">Dental 
Policy# </t>
    </r>
    <r>
      <rPr>
        <sz val="10"/>
        <color theme="0"/>
        <rFont val="Arial"/>
        <family val="2"/>
      </rPr>
      <t>TS-05347643</t>
    </r>
    <r>
      <rPr>
        <b/>
        <sz val="10"/>
        <color theme="0"/>
        <rFont val="Arial"/>
        <family val="2"/>
      </rPr>
      <t xml:space="preserve">
Vision (VSP Choice Network)
Policy# </t>
    </r>
    <r>
      <rPr>
        <sz val="10"/>
        <color theme="0"/>
        <rFont val="Arial"/>
        <family val="2"/>
      </rPr>
      <t>TS-05347643</t>
    </r>
    <r>
      <rPr>
        <b/>
        <sz val="10"/>
        <color theme="0"/>
        <rFont val="Arial"/>
        <family val="2"/>
      </rPr>
      <t xml:space="preserve">
</t>
    </r>
    <r>
      <rPr>
        <sz val="10"/>
        <color theme="0"/>
        <rFont val="Arial"/>
        <family val="2"/>
      </rPr>
      <t>www.metlife.com</t>
    </r>
  </si>
  <si>
    <r>
      <t xml:space="preserve">Broker/Employer Resources (after 2/1/17 = CLSA Trust Groups)
</t>
    </r>
    <r>
      <rPr>
        <sz val="8"/>
        <color theme="0"/>
        <rFont val="Arial"/>
        <family val="2"/>
      </rPr>
      <t>Primary contact for questions</t>
    </r>
  </si>
  <si>
    <t>Steve Porath</t>
  </si>
  <si>
    <r>
      <t xml:space="preserve">Senior Account Executive
</t>
    </r>
    <r>
      <rPr>
        <sz val="10"/>
        <rFont val="Arial"/>
        <family val="2"/>
      </rPr>
      <t>Sales Representative</t>
    </r>
  </si>
  <si>
    <t>P: 425-698-6934
C: 815-690-5177
Toll Number:  800-504-6003 ext 6934</t>
  </si>
  <si>
    <t>425-698-6951</t>
  </si>
  <si>
    <t>SPorath@metlife.com</t>
  </si>
  <si>
    <t>San Diego, CA 92121</t>
  </si>
  <si>
    <t xml:space="preserve">Natalie Tang </t>
  </si>
  <si>
    <r>
      <t xml:space="preserve">Specialty Market Director
</t>
    </r>
    <r>
      <rPr>
        <sz val="10"/>
        <rFont val="Arial"/>
        <family val="2"/>
      </rPr>
      <t xml:space="preserve">Specialty Market Sales </t>
    </r>
  </si>
  <si>
    <t xml:space="preserve">P: 630‐375‐5767 </t>
  </si>
  <si>
    <t>natang@metlife.com</t>
  </si>
  <si>
    <t xml:space="preserve">Margie Greer </t>
  </si>
  <si>
    <r>
      <t xml:space="preserve">Account Manager
</t>
    </r>
    <r>
      <rPr>
        <sz val="10"/>
        <rFont val="Arial"/>
        <family val="2"/>
      </rPr>
      <t xml:space="preserve">Primary Contact for Ongoing Customer Service and Issue Resolution </t>
    </r>
  </si>
  <si>
    <t xml:space="preserve">P: 813‐673‐3871 </t>
  </si>
  <si>
    <t xml:space="preserve">1-813-673-3982 </t>
  </si>
  <si>
    <t>mgreer@metlifeservice.com</t>
  </si>
  <si>
    <t xml:space="preserve">18210 Cranes Nest Drive
Tampa, FL  33647 </t>
  </si>
  <si>
    <t xml:space="preserve">Cindy Lemke </t>
  </si>
  <si>
    <r>
      <t xml:space="preserve">Affinity Consultant
</t>
    </r>
    <r>
      <rPr>
        <sz val="10"/>
        <rFont val="Arial"/>
        <family val="2"/>
      </rPr>
      <t xml:space="preserve">Primary Contact for Implementation of New Clients </t>
    </r>
  </si>
  <si>
    <t xml:space="preserve">P: 949‐471‐2222 </t>
  </si>
  <si>
    <t>clemke@metlife.com</t>
  </si>
  <si>
    <r>
      <t xml:space="preserve">Broker/Employer Resources: Under 100 ees
</t>
    </r>
    <r>
      <rPr>
        <sz val="8"/>
        <color theme="0"/>
        <rFont val="Arial"/>
        <family val="2"/>
      </rPr>
      <t>Primary contact for questions</t>
    </r>
  </si>
  <si>
    <t>Lisa Palomares</t>
  </si>
  <si>
    <r>
      <t xml:space="preserve">Sales Specialist
</t>
    </r>
    <r>
      <rPr>
        <sz val="10"/>
        <rFont val="Arial"/>
        <family val="2"/>
      </rPr>
      <t>New business quote and renewal delivery</t>
    </r>
  </si>
  <si>
    <t>P: 480.627.3947</t>
  </si>
  <si>
    <t>lisa.palomares@metlife.com</t>
  </si>
  <si>
    <t>60 E Rio Salado Pkwy, Suite 711
Tempe, AZ 85281</t>
  </si>
  <si>
    <t>Zully Forero</t>
  </si>
  <si>
    <r>
      <t xml:space="preserve">Client Service Consultant
</t>
    </r>
    <r>
      <rPr>
        <sz val="10"/>
        <rFont val="Arial"/>
        <family val="2"/>
      </rPr>
      <t>Client Primary Service Contact</t>
    </r>
  </si>
  <si>
    <t>P: 813.673.3755</t>
  </si>
  <si>
    <t>Phoenix_Service@metlifeservice.com</t>
  </si>
  <si>
    <r>
      <t xml:space="preserve">Broker/Employer Resources: Over 100 ees
</t>
    </r>
    <r>
      <rPr>
        <sz val="8"/>
        <color theme="0"/>
        <rFont val="Arial"/>
        <family val="2"/>
      </rPr>
      <t>Primary contact for questions</t>
    </r>
  </si>
  <si>
    <t>Michelle Trout</t>
  </si>
  <si>
    <r>
      <t xml:space="preserve">Field Service Consultant
</t>
    </r>
    <r>
      <rPr>
        <sz val="10"/>
        <rFont val="Arial"/>
        <family val="2"/>
      </rPr>
      <t>Provide broker and client management support</t>
    </r>
  </si>
  <si>
    <t>P: 949.471.2243
C: 949.337.8596</t>
  </si>
  <si>
    <t>michelle.y.trout@metlife.com</t>
  </si>
  <si>
    <t>5 Park Plaza, Suite 650
Irvine, CA 92614</t>
  </si>
  <si>
    <r>
      <t xml:space="preserve">Dedicated to each client
</t>
    </r>
    <r>
      <rPr>
        <i/>
        <sz val="8"/>
        <rFont val="Arial"/>
        <family val="2"/>
      </rPr>
      <t>(See Field Service Consultant for details)</t>
    </r>
  </si>
  <si>
    <r>
      <t xml:space="preserve">Broker/Employer Resources: Other
</t>
    </r>
    <r>
      <rPr>
        <sz val="8"/>
        <color theme="0"/>
        <rFont val="Arial"/>
        <family val="2"/>
      </rPr>
      <t>Primary contact for questions</t>
    </r>
  </si>
  <si>
    <t xml:space="preserve">Topher Lang </t>
  </si>
  <si>
    <t>Underwriting Analyst</t>
  </si>
  <si>
    <t xml:space="preserve">816-204-3875 </t>
  </si>
  <si>
    <t xml:space="preserve">christopher.lang@metlife.com </t>
  </si>
  <si>
    <t>Payments - List Billed Groups</t>
  </si>
  <si>
    <t>MetLife
PO Box 804466
Kansas City, MO 64180</t>
  </si>
  <si>
    <t>Payments - Self-Administered</t>
  </si>
  <si>
    <t>MetLife
PO Box 803323
Kansas City, MO 64180-3323</t>
  </si>
  <si>
    <t>Payments - Overnight</t>
  </si>
  <si>
    <t>Commerce Bank
811 Main Street, 7th Floor
Kansas City, MO 64105-2005</t>
  </si>
  <si>
    <t>Eligibility</t>
  </si>
  <si>
    <r>
      <t xml:space="preserve">Eligibility
</t>
    </r>
    <r>
      <rPr>
        <sz val="10"/>
        <rFont val="Arial"/>
        <family val="2"/>
      </rPr>
      <t>Salary, Enrollments and Terminations</t>
    </r>
  </si>
  <si>
    <t>1-888-505-7446</t>
  </si>
  <si>
    <t>MetLife Eligibility
PO Box 14593
Lexington, KY 40512-4593</t>
  </si>
  <si>
    <t>Eligibility - Overnight</t>
  </si>
  <si>
    <t>MetLife Eligibility
2025 Leestown Road, Suite J
Lexington, KY 40511-1000</t>
  </si>
  <si>
    <t>COBRA Forms or Requests</t>
  </si>
  <si>
    <t>Member Services - General</t>
  </si>
  <si>
    <t>800-275-4638</t>
  </si>
  <si>
    <t>irvine_service@metlifeservice.com</t>
  </si>
  <si>
    <t>Member Services-Dental</t>
  </si>
  <si>
    <t>800-942-0854</t>
  </si>
  <si>
    <t>Dental Claims</t>
  </si>
  <si>
    <t>1-859-389-6505</t>
  </si>
  <si>
    <t>PO Box 981282
El Paso, TX 79998-1282</t>
  </si>
  <si>
    <t>Dental Directories</t>
  </si>
  <si>
    <t>800-275-4638
Opt. 2, enter group #, then 2</t>
  </si>
  <si>
    <t>www.metlife.com/dental</t>
  </si>
  <si>
    <t>Member Services-Vision</t>
  </si>
  <si>
    <t>855-638-3931</t>
  </si>
  <si>
    <t>Vision Claims - MetLife</t>
  </si>
  <si>
    <t>PO Box 997565
Sacramento, CA 95899-7565</t>
  </si>
  <si>
    <t>Vision Claims - SafeGuard</t>
  </si>
  <si>
    <t>PO Box 981987
El Paso, TX 79998-1987</t>
  </si>
  <si>
    <t>Vision Directories</t>
  </si>
  <si>
    <t>800-275-4638
Opt. 2, enter group #, then 5</t>
  </si>
  <si>
    <t>www.metlife.com</t>
  </si>
  <si>
    <t>CIGNA</t>
  </si>
  <si>
    <r>
      <t xml:space="preserve">
Account #:
Life (Basic &amp; Vol): </t>
    </r>
    <r>
      <rPr>
        <sz val="10"/>
        <color theme="0"/>
        <rFont val="Arial"/>
        <family val="2"/>
      </rPr>
      <t xml:space="preserve">FLX-967478
</t>
    </r>
    <r>
      <rPr>
        <b/>
        <sz val="10"/>
        <color theme="0"/>
        <rFont val="Arial"/>
        <family val="2"/>
      </rPr>
      <t>AD&amp;D (Basic &amp; Vol):</t>
    </r>
    <r>
      <rPr>
        <sz val="10"/>
        <color theme="0"/>
        <rFont val="Arial"/>
        <family val="2"/>
      </rPr>
      <t xml:space="preserve"> OK-968987
</t>
    </r>
    <r>
      <rPr>
        <b/>
        <sz val="10"/>
        <color theme="0"/>
        <rFont val="Arial"/>
        <family val="2"/>
      </rPr>
      <t>STD:</t>
    </r>
    <r>
      <rPr>
        <sz val="10"/>
        <color theme="0"/>
        <rFont val="Arial"/>
        <family val="2"/>
      </rPr>
      <t xml:space="preserve"> LK-752054
</t>
    </r>
    <r>
      <rPr>
        <b/>
        <sz val="10"/>
        <color theme="0"/>
        <rFont val="Arial"/>
        <family val="2"/>
      </rPr>
      <t>LTD:</t>
    </r>
    <r>
      <rPr>
        <sz val="10"/>
        <color theme="0"/>
        <rFont val="Arial"/>
        <family val="2"/>
      </rPr>
      <t xml:space="preserve"> LK-965122
</t>
    </r>
    <r>
      <rPr>
        <b/>
        <sz val="10"/>
        <color theme="0"/>
        <rFont val="Arial"/>
        <family val="2"/>
      </rPr>
      <t xml:space="preserve">Accident: </t>
    </r>
    <r>
      <rPr>
        <sz val="10"/>
        <color theme="0"/>
        <rFont val="Arial"/>
        <family val="2"/>
      </rPr>
      <t xml:space="preserve">AI-960383 
</t>
    </r>
    <r>
      <rPr>
        <b/>
        <sz val="10"/>
        <color theme="0"/>
        <rFont val="Arial"/>
        <family val="2"/>
      </rPr>
      <t xml:space="preserve">Critical Illness: </t>
    </r>
    <r>
      <rPr>
        <sz val="10"/>
        <color theme="0"/>
        <rFont val="Arial"/>
        <family val="2"/>
      </rPr>
      <t xml:space="preserve">CI-960392 
</t>
    </r>
    <r>
      <rPr>
        <b/>
        <sz val="10"/>
        <color theme="0"/>
        <rFont val="Arial"/>
        <family val="2"/>
      </rPr>
      <t>Hospital</t>
    </r>
    <r>
      <rPr>
        <sz val="10"/>
        <color theme="0"/>
        <rFont val="Arial"/>
        <family val="2"/>
      </rPr>
      <t xml:space="preserve">: HC-960074
</t>
    </r>
    <r>
      <rPr>
        <b/>
        <sz val="10"/>
        <color theme="0"/>
        <rFont val="Arial"/>
        <family val="2"/>
      </rPr>
      <t>Statuoty NJ &amp; NY</t>
    </r>
    <r>
      <rPr>
        <sz val="10"/>
        <color theme="0"/>
        <rFont val="Arial"/>
        <family val="2"/>
      </rPr>
      <t xml:space="preserve">: will be set up as individual policy numbers based on each group
</t>
    </r>
    <r>
      <rPr>
        <b/>
        <sz val="10"/>
        <color theme="0"/>
        <rFont val="Arial"/>
        <family val="2"/>
      </rPr>
      <t xml:space="preserve">
</t>
    </r>
    <r>
      <rPr>
        <u/>
        <sz val="10"/>
        <color theme="0"/>
        <rFont val="Arial"/>
        <family val="2"/>
      </rPr>
      <t>www.cigna.com</t>
    </r>
  </si>
  <si>
    <r>
      <t xml:space="preserve">Broker/Employer Resources: General
</t>
    </r>
    <r>
      <rPr>
        <sz val="8"/>
        <color theme="0"/>
        <rFont val="Arial"/>
        <family val="2"/>
      </rPr>
      <t>Primary contact for questions</t>
    </r>
  </si>
  <si>
    <t>Lance Petit</t>
  </si>
  <si>
    <t>Sr. Sales Executive</t>
  </si>
  <si>
    <t>P: 858-625-5782
C: 858-344-2690</t>
  </si>
  <si>
    <t>860-735-7980</t>
  </si>
  <si>
    <t>Lance.Petit@cigna.com</t>
  </si>
  <si>
    <t>3636 Nobel Drive, Suite 150
San Diego, CA 92122</t>
  </si>
  <si>
    <t>Marielle Clemo</t>
  </si>
  <si>
    <r>
      <t>Client Manager</t>
    </r>
    <r>
      <rPr>
        <sz val="10"/>
        <rFont val="Arial"/>
        <family val="2"/>
      </rPr>
      <t xml:space="preserve">
Policy issues, service requests, renewals</t>
    </r>
  </si>
  <si>
    <t>P: 858.625.5638
C: 619.417.1795</t>
  </si>
  <si>
    <t>Marielle.Clemo@Cigna.com</t>
  </si>
  <si>
    <t>Pam Garnett</t>
  </si>
  <si>
    <r>
      <t>Client Representative</t>
    </r>
    <r>
      <rPr>
        <sz val="10"/>
        <rFont val="Arial"/>
        <family val="2"/>
      </rPr>
      <t xml:space="preserve">
Service requests, day to day issues</t>
    </r>
  </si>
  <si>
    <t>P: 770-779-5403</t>
  </si>
  <si>
    <t>Pamela.Garnett@Cigna.com</t>
  </si>
  <si>
    <t>25600 Norterra Drive
Phoenix, AZ 85085</t>
  </si>
  <si>
    <t>Carol Seagreaves</t>
  </si>
  <si>
    <r>
      <t>Premium Service Representative</t>
    </r>
    <r>
      <rPr>
        <sz val="10"/>
        <rFont val="Arial"/>
        <family val="2"/>
      </rPr>
      <t xml:space="preserve">
Payment and premium inquiries</t>
    </r>
  </si>
  <si>
    <t>P: 610-758-7284</t>
  </si>
  <si>
    <t>Carol.Seagreaves@cigna.com</t>
  </si>
  <si>
    <t>1455 Valley Center Parkway
Bethlehem, PA 18017</t>
  </si>
  <si>
    <t>Medical Underwriting</t>
  </si>
  <si>
    <t>Medical Underwriting (EOI)</t>
  </si>
  <si>
    <t>800.440.0856</t>
  </si>
  <si>
    <t>BethlehemMail@Cigna.com</t>
  </si>
  <si>
    <r>
      <rPr>
        <b/>
        <sz val="10"/>
        <rFont val="Arial"/>
        <family val="2"/>
      </rPr>
      <t>Cigna Group Insurance</t>
    </r>
    <r>
      <rPr>
        <sz val="10"/>
        <rFont val="Arial"/>
        <family val="2"/>
      </rPr>
      <t xml:space="preserve">
PO Box 20310
Lehigh Valley, PA 18003-9924</t>
    </r>
  </si>
  <si>
    <t xml:space="preserve">Felicia Rivera </t>
  </si>
  <si>
    <t>Implementation Manager</t>
  </si>
  <si>
    <t xml:space="preserve">P: 623.277.1122 </t>
  </si>
  <si>
    <t xml:space="preserve">Felicia.Rivera@Cigna.com </t>
  </si>
  <si>
    <t xml:space="preserve">25600 N Norterra Drive 
Phoenix, AZ 85085-8200 </t>
  </si>
  <si>
    <t>Steven L. Macias</t>
  </si>
  <si>
    <t xml:space="preserve">Implementation Coordinator </t>
  </si>
  <si>
    <t>P: 858-625-5631
C: 858-692-8823</t>
  </si>
  <si>
    <t>860-656-1877</t>
  </si>
  <si>
    <t>Steven.Macias@Cigna.com</t>
  </si>
  <si>
    <t>Zech Lumpkin</t>
  </si>
  <si>
    <t>Implementation Manager
(Statutory Disability)</t>
  </si>
  <si>
    <t>P: 972-863-4368
C: 214-412-8756</t>
  </si>
  <si>
    <t>Zechariah.Lumpkin@Cigna.com</t>
  </si>
  <si>
    <t>Instant Access Service Team</t>
  </si>
  <si>
    <r>
      <t xml:space="preserve">Instant Access Service Team
</t>
    </r>
    <r>
      <rPr>
        <sz val="10"/>
        <rFont val="Arial"/>
        <family val="2"/>
      </rPr>
      <t>Quick answers to your general questions on policies, claims status or to request a form</t>
    </r>
  </si>
  <si>
    <t>P: 800.331.9548
8:00 am–5:00 pm  (local time) / M-F</t>
  </si>
  <si>
    <t>CGIClientService@Cigna.com</t>
  </si>
  <si>
    <r>
      <t xml:space="preserve">Broker/Employer Resources: Claims Processing
</t>
    </r>
    <r>
      <rPr>
        <sz val="8"/>
        <color theme="0"/>
        <rFont val="Arial"/>
        <family val="2"/>
      </rPr>
      <t>Primary contact for questions</t>
    </r>
  </si>
  <si>
    <t>Life Claim Intake and Office</t>
  </si>
  <si>
    <r>
      <t xml:space="preserve">Life Claim Intake and Office
</t>
    </r>
    <r>
      <rPr>
        <sz val="10"/>
        <rFont val="Arial"/>
        <family val="2"/>
      </rPr>
      <t>General</t>
    </r>
  </si>
  <si>
    <t>Claim Filing: 800.362.4462</t>
  </si>
  <si>
    <r>
      <t xml:space="preserve">Web Reporting: </t>
    </r>
    <r>
      <rPr>
        <u/>
        <sz val="10"/>
        <color rgb="FF0000CC"/>
        <rFont val="Arial"/>
        <family val="2"/>
      </rPr>
      <t>http://www.cigna.com/privacyinformation/privacy- notices-and-forms/member-forms/submit-a-life-and-accident- claim-fraud-warning/index.html</t>
    </r>
  </si>
  <si>
    <r>
      <rPr>
        <b/>
        <sz val="10"/>
        <rFont val="Arial"/>
        <family val="2"/>
      </rPr>
      <t>Cigna Group Insurance</t>
    </r>
    <r>
      <rPr>
        <sz val="10"/>
        <rFont val="Arial"/>
        <family val="2"/>
      </rPr>
      <t xml:space="preserve">
Pittsburgh Claims Office
2000 Park Lane Drive North
Fayette, PA 15275</t>
    </r>
  </si>
  <si>
    <t>Adam Frederick</t>
  </si>
  <si>
    <r>
      <t xml:space="preserve">Life Claim Intake and Office
</t>
    </r>
    <r>
      <rPr>
        <sz val="10"/>
        <rFont val="Arial"/>
        <family val="2"/>
      </rPr>
      <t>Case Manager</t>
    </r>
  </si>
  <si>
    <t>P: 800.238.2125 x 9322</t>
  </si>
  <si>
    <t>800.208.0628</t>
  </si>
  <si>
    <t xml:space="preserve">adam.frederick@cigna.com </t>
  </si>
  <si>
    <t>Waiver of Premium Office</t>
  </si>
  <si>
    <r>
      <t xml:space="preserve">Waiver of Premium Office
</t>
    </r>
    <r>
      <rPr>
        <sz val="10"/>
        <rFont val="Arial"/>
        <family val="2"/>
      </rPr>
      <t>General</t>
    </r>
  </si>
  <si>
    <r>
      <rPr>
        <b/>
        <sz val="10"/>
        <rFont val="Arial"/>
        <family val="2"/>
      </rPr>
      <t>Cigna Group Insurance</t>
    </r>
    <r>
      <rPr>
        <sz val="10"/>
        <rFont val="Arial"/>
        <family val="2"/>
      </rPr>
      <t xml:space="preserve"> 
Attn.: Waiver of Premium Glendale Claims Office 
400 N Brand Blvd
Suite 500
Glendale, CA 91203</t>
    </r>
  </si>
  <si>
    <t>Gideon Brady</t>
  </si>
  <si>
    <r>
      <t xml:space="preserve">Waiver of Premium Office
</t>
    </r>
    <r>
      <rPr>
        <sz val="10"/>
        <rFont val="Arial"/>
        <family val="2"/>
      </rPr>
      <t>Waiver Claims Specialist</t>
    </r>
  </si>
  <si>
    <t>P: 800.781.2006 x 6436</t>
  </si>
  <si>
    <t>818.500.6327</t>
  </si>
  <si>
    <t xml:space="preserve">gideon.brady@cigna.com </t>
  </si>
  <si>
    <t>Accident Claim Office</t>
  </si>
  <si>
    <r>
      <t xml:space="preserve">Accident Claim Office
</t>
    </r>
    <r>
      <rPr>
        <sz val="10"/>
        <rFont val="Arial"/>
        <family val="2"/>
      </rPr>
      <t>General</t>
    </r>
  </si>
  <si>
    <t>Jennifer Cherry</t>
  </si>
  <si>
    <r>
      <t xml:space="preserve">Accident Claim Office
</t>
    </r>
    <r>
      <rPr>
        <sz val="10"/>
        <rFont val="Arial"/>
        <family val="2"/>
      </rPr>
      <t>Claims Manager</t>
    </r>
  </si>
  <si>
    <t>P: 800.238.2125 x7561</t>
  </si>
  <si>
    <t>203.678.7911</t>
  </si>
  <si>
    <t>jennifer.cherry@cigna.com</t>
  </si>
  <si>
    <t>Amanda Lekse</t>
  </si>
  <si>
    <t>P: 800.238.2125 x9052</t>
  </si>
  <si>
    <t>amanda.lekse@cigna.com</t>
  </si>
  <si>
    <t>Disability Claim Intake</t>
  </si>
  <si>
    <r>
      <t xml:space="preserve">Disability Claim Intake
</t>
    </r>
    <r>
      <rPr>
        <sz val="10"/>
        <rFont val="Arial"/>
        <family val="2"/>
      </rPr>
      <t>General</t>
    </r>
  </si>
  <si>
    <t>800.642.8553</t>
  </si>
  <si>
    <r>
      <t>Web Reporting:</t>
    </r>
    <r>
      <rPr>
        <u/>
        <sz val="10"/>
        <color rgb="FF0000CC"/>
        <rFont val="Arial"/>
        <family val="2"/>
      </rPr>
      <t xml:space="preserve"> http://www.cigna.com/privacyinformation/privacy- notices-and-forms/member-forms/submit-a-disability-claim-group- insurance/submit-a-disability-claim.html</t>
    </r>
  </si>
  <si>
    <r>
      <rPr>
        <b/>
        <sz val="10"/>
        <rFont val="Arial"/>
        <family val="2"/>
      </rPr>
      <t>Cigna Group Insurance</t>
    </r>
    <r>
      <rPr>
        <sz val="10"/>
        <rFont val="Arial"/>
        <family val="2"/>
      </rPr>
      <t xml:space="preserve">
Paper Intake Team
1640 Dallas Parkway
Plano, TX 75093</t>
    </r>
  </si>
  <si>
    <t>Disability Claim Office</t>
  </si>
  <si>
    <r>
      <t xml:space="preserve">Disability Claim Office
</t>
    </r>
    <r>
      <rPr>
        <sz val="10"/>
        <rFont val="Arial"/>
        <family val="2"/>
      </rPr>
      <t>General</t>
    </r>
  </si>
  <si>
    <r>
      <rPr>
        <b/>
        <sz val="10"/>
        <rFont val="Arial"/>
        <family val="2"/>
      </rPr>
      <t>Cigna Group Insurance</t>
    </r>
    <r>
      <rPr>
        <sz val="10"/>
        <rFont val="Arial"/>
        <family val="2"/>
      </rPr>
      <t xml:space="preserve">
Glendale Claims Office
400 N Brand Blvd
Suite 500
Glendale, CA 91203</t>
    </r>
  </si>
  <si>
    <t>Larry Crawford</t>
  </si>
  <si>
    <r>
      <t xml:space="preserve">Disability Claim Office (STD)
</t>
    </r>
    <r>
      <rPr>
        <sz val="10"/>
        <rFont val="Arial"/>
        <family val="2"/>
      </rPr>
      <t>Claims Manager</t>
    </r>
  </si>
  <si>
    <t>P: 800.781.2006 x 6746</t>
  </si>
  <si>
    <t>866.517.9873</t>
  </si>
  <si>
    <t>larry.crawford@cigna.com</t>
  </si>
  <si>
    <t>Jeannie Paik</t>
  </si>
  <si>
    <r>
      <t xml:space="preserve">Disability Claim Office (LTD)
</t>
    </r>
    <r>
      <rPr>
        <sz val="10"/>
        <rFont val="Arial"/>
        <family val="2"/>
      </rPr>
      <t>Claims Manager</t>
    </r>
  </si>
  <si>
    <t>P: 800.781.2006 x 6264</t>
  </si>
  <si>
    <t>jennifel.paik@cigna.com</t>
  </si>
  <si>
    <r>
      <t xml:space="preserve">Broker/Employer Resources: Premium Remittance
</t>
    </r>
    <r>
      <rPr>
        <sz val="8"/>
        <color theme="0"/>
        <rFont val="Arial"/>
        <family val="2"/>
      </rPr>
      <t>Primary contact for questions</t>
    </r>
  </si>
  <si>
    <t>William Miller</t>
  </si>
  <si>
    <r>
      <t xml:space="preserve">Premium Service Representative
</t>
    </r>
    <r>
      <rPr>
        <sz val="10"/>
        <rFont val="Arial"/>
        <family val="2"/>
      </rPr>
      <t>Premium Remittance Questions</t>
    </r>
  </si>
  <si>
    <t>P: 610.758.7874</t>
  </si>
  <si>
    <t>610.758.7053</t>
  </si>
  <si>
    <t xml:space="preserve">william.miller@cigna.com </t>
  </si>
  <si>
    <r>
      <rPr>
        <b/>
        <sz val="10"/>
        <rFont val="Arial"/>
        <family val="2"/>
      </rPr>
      <t>Premium Remittance Address</t>
    </r>
    <r>
      <rPr>
        <sz val="10"/>
        <rFont val="Arial"/>
        <family val="2"/>
      </rPr>
      <t xml:space="preserve">
Remit payment monthly via Cigna secure online portal.</t>
    </r>
  </si>
  <si>
    <r>
      <t xml:space="preserve">Broker/Employer Resources: Continuation of Coverage
</t>
    </r>
    <r>
      <rPr>
        <sz val="8"/>
        <color theme="0"/>
        <rFont val="Arial"/>
        <family val="2"/>
      </rPr>
      <t>Primary contact for questions</t>
    </r>
  </si>
  <si>
    <t>Portability</t>
  </si>
  <si>
    <t>P: 800.423.1282</t>
  </si>
  <si>
    <t>469.417.1675</t>
  </si>
  <si>
    <t>MedicalUW@amwins.com
(When you email to this address, please be sure to use your company's secure email process)</t>
  </si>
  <si>
    <r>
      <rPr>
        <b/>
        <sz val="10"/>
        <rFont val="Arial"/>
        <family val="2"/>
      </rPr>
      <t>AmWINS</t>
    </r>
    <r>
      <rPr>
        <sz val="10"/>
        <rFont val="Arial"/>
        <family val="2"/>
      </rPr>
      <t xml:space="preserve">
PO Box 152501
Irving, TX 75015–2501</t>
    </r>
  </si>
  <si>
    <t>Conversion – Life</t>
  </si>
  <si>
    <t>Conversion – Accident</t>
  </si>
  <si>
    <t>P: 800.441.1832</t>
  </si>
  <si>
    <r>
      <rPr>
        <b/>
        <sz val="10"/>
        <rFont val="Arial"/>
        <family val="2"/>
      </rPr>
      <t>Cigna Group Insurance</t>
    </r>
    <r>
      <rPr>
        <sz val="10"/>
        <rFont val="Arial"/>
        <family val="2"/>
      </rPr>
      <t xml:space="preserve">
Individual Conversion Unit
PO Box 21087
Lehigh Valley, PA 18002–0187 </t>
    </r>
  </si>
  <si>
    <t>Claims</t>
  </si>
  <si>
    <t>How To File a Life/AD&amp;D or Disability Claim</t>
  </si>
  <si>
    <t>800-362-4462
5 am - 5 pm PST / M-F</t>
  </si>
  <si>
    <t>www.cigna.com</t>
  </si>
  <si>
    <t>Life &amp; Disability Medical Underwriting</t>
  </si>
  <si>
    <t>Life &amp; Disability Medical</t>
  </si>
  <si>
    <t>1-800-732-1603
5 am to 3pm PST  / M-F</t>
  </si>
  <si>
    <t>1-800-440-0856</t>
  </si>
  <si>
    <r>
      <rPr>
        <b/>
        <sz val="10"/>
        <rFont val="Arial"/>
        <family val="2"/>
      </rPr>
      <t>CIGNA Group Insurance</t>
    </r>
    <r>
      <rPr>
        <sz val="10"/>
        <rFont val="Arial"/>
        <family val="2"/>
      </rPr>
      <t xml:space="preserve">
P.O. Box 20310
Lehigh Valley, PA 18003-9924</t>
    </r>
  </si>
  <si>
    <t>CIGNAssurance Program</t>
  </si>
  <si>
    <r>
      <t xml:space="preserve">CIGNAssurance Program
</t>
    </r>
    <r>
      <rPr>
        <sz val="10"/>
        <rFont val="Arial"/>
        <family val="2"/>
      </rPr>
      <t>for beneficiaries</t>
    </r>
  </si>
  <si>
    <t>800-570-3778
5 am - 5 pm PST / M-F</t>
  </si>
  <si>
    <t>P.O. Box 570
Rockland, MA 02370-0570</t>
  </si>
  <si>
    <t>Will Preparation Program</t>
  </si>
  <si>
    <t>www.CIGNAWillCenter.com</t>
  </si>
  <si>
    <t>Identity Theft Services</t>
  </si>
  <si>
    <t>US: 888-226-4567
Outside US: 202-331-7635
24 Hours</t>
  </si>
  <si>
    <t>Health Rewards</t>
  </si>
  <si>
    <t>Healthy Rewards</t>
  </si>
  <si>
    <t>800-258-3312</t>
  </si>
  <si>
    <t>www.cigna.com/rewards</t>
  </si>
  <si>
    <t>Password: savings / online access 24 hours</t>
  </si>
  <si>
    <t>Secure Travel Assistance Services</t>
  </si>
  <si>
    <r>
      <t xml:space="preserve">Assistance Services
</t>
    </r>
    <r>
      <rPr>
        <sz val="10"/>
        <rFont val="Arial"/>
        <family val="2"/>
      </rPr>
      <t>(Basic &amp; Voluntary AD&amp;D)</t>
    </r>
  </si>
  <si>
    <t xml:space="preserve"> </t>
  </si>
  <si>
    <t>Life Assistance EAP</t>
  </si>
  <si>
    <r>
      <t xml:space="preserve">Life Assistance EAP
</t>
    </r>
    <r>
      <rPr>
        <sz val="10"/>
        <rFont val="Arial"/>
        <family val="2"/>
      </rPr>
      <t>(LTD)</t>
    </r>
    <r>
      <rPr>
        <b/>
        <sz val="10"/>
        <rFont val="Arial"/>
        <family val="2"/>
      </rPr>
      <t xml:space="preserve"> </t>
    </r>
    <r>
      <rPr>
        <sz val="10"/>
        <rFont val="Arial"/>
        <family val="2"/>
      </rPr>
      <t>Up to 3 times per issue</t>
    </r>
  </si>
  <si>
    <t>800-538-3543
24 hours</t>
  </si>
  <si>
    <t>www.cignabehavioral.com/cgi</t>
  </si>
  <si>
    <t>Worksite Assistance</t>
  </si>
  <si>
    <r>
      <t xml:space="preserve">Assistance Services
</t>
    </r>
    <r>
      <rPr>
        <sz val="10"/>
        <rFont val="Arial"/>
        <family val="2"/>
      </rPr>
      <t>(Accidental Injury, Critical Illness, Hospital Care)</t>
    </r>
  </si>
  <si>
    <t>800-754-3207</t>
  </si>
  <si>
    <t>Igoe</t>
  </si>
  <si>
    <t>General Contacts</t>
  </si>
  <si>
    <t>Melissa Grey</t>
  </si>
  <si>
    <t>Client Integration - Executive Director</t>
  </si>
  <si>
    <t>858-815-2520</t>
  </si>
  <si>
    <t>858-430-5896</t>
  </si>
  <si>
    <t>MGrey@goigoe.com</t>
  </si>
  <si>
    <t>Jill Lambertus</t>
  </si>
  <si>
    <t>Client Integration Coordinator</t>
  </si>
  <si>
    <t>858-815-2519</t>
  </si>
  <si>
    <t>858-225-3930</t>
  </si>
  <si>
    <t xml:space="preserve">JLambertus@goigoe.com </t>
  </si>
  <si>
    <t>Leslie Farrer</t>
  </si>
  <si>
    <t>858-815-2542</t>
  </si>
  <si>
    <t>LFarrer@goigoe.com</t>
  </si>
  <si>
    <t>Laura McKinlay</t>
  </si>
  <si>
    <t>Owner - President | CEO</t>
  </si>
  <si>
    <t>858-815-2516</t>
  </si>
  <si>
    <t>lkmckinlay@goigoe.com</t>
  </si>
  <si>
    <r>
      <t xml:space="preserve">FSA Administration
</t>
    </r>
    <r>
      <rPr>
        <u/>
        <sz val="10"/>
        <color theme="0"/>
        <rFont val="Arial"/>
        <family val="2"/>
      </rPr>
      <t>www.goigoe.com/flex</t>
    </r>
  </si>
  <si>
    <t>Jenni Barden</t>
  </si>
  <si>
    <t>FSA Implementation Specialist</t>
  </si>
  <si>
    <t xml:space="preserve">858-815-2504 </t>
  </si>
  <si>
    <t>858-430-9667</t>
  </si>
  <si>
    <t>jbarden@goigoe.com</t>
  </si>
  <si>
    <t>Flex Customer Service Director</t>
  </si>
  <si>
    <t>Flex Account Manger</t>
  </si>
  <si>
    <t>Flex</t>
  </si>
  <si>
    <t>Flex Participant Services</t>
  </si>
  <si>
    <t>800-633-8818, Option 1</t>
  </si>
  <si>
    <t>858-777-5424</t>
  </si>
  <si>
    <t>Flex@goigoe.com</t>
  </si>
  <si>
    <t>PO Box 501480
San Diego, CA  92150-1480</t>
  </si>
  <si>
    <r>
      <t xml:space="preserve">COBRA Administration
</t>
    </r>
    <r>
      <rPr>
        <u/>
        <sz val="10"/>
        <color theme="0"/>
        <rFont val="Arial"/>
        <family val="2"/>
      </rPr>
      <t>www.goigoe.com</t>
    </r>
  </si>
  <si>
    <t>Frank Montalvo</t>
  </si>
  <si>
    <t>COBRA Implementation Specialist</t>
  </si>
  <si>
    <t>858-815-2533</t>
  </si>
  <si>
    <t>FMontalvo@goigoe.com</t>
  </si>
  <si>
    <t>Renee McKown</t>
  </si>
  <si>
    <t>COBRA Services Director</t>
  </si>
  <si>
    <t>P: 858-815-2541</t>
  </si>
  <si>
    <t>RMckown@goigoe.com</t>
  </si>
  <si>
    <t>COBRA Client Relations Manager</t>
  </si>
  <si>
    <t>COBRA Participant Services</t>
  </si>
  <si>
    <t>800-633-8818, Option 2</t>
  </si>
  <si>
    <t>Cobra@goigoe.com</t>
  </si>
  <si>
    <t>PO Box 22891
Omaha, NE 68103-2291</t>
  </si>
  <si>
    <t>Maestro Health</t>
  </si>
  <si>
    <t xml:space="preserve">Benefits Admin System
</t>
  </si>
  <si>
    <t>TBD</t>
  </si>
  <si>
    <t>Director of Exchange
Implementation</t>
  </si>
  <si>
    <t xml:space="preserve">Maestro Health, Inc.
500 West Madison Street, Suite 1250
Chicago, Illinois 60661
</t>
  </si>
  <si>
    <t>Shawn Tanner</t>
  </si>
  <si>
    <t>P: 248.593.2870
C: 248-766-6107</t>
  </si>
  <si>
    <t>STanner@MaestroHealth.com</t>
  </si>
  <si>
    <t>Implementation Support</t>
  </si>
  <si>
    <t>implementationsupport@maestrohealth.com</t>
  </si>
  <si>
    <t>Shay Butler</t>
  </si>
  <si>
    <t>Director of Sales,
Midwest Region</t>
  </si>
  <si>
    <t>P: 630.549.7960
C: 630.818.0999</t>
  </si>
  <si>
    <t>sbutler@maestrohealth.com</t>
  </si>
  <si>
    <t>Eric Condron</t>
  </si>
  <si>
    <t>Product Sales Specialist</t>
  </si>
  <si>
    <t>P: 616.261.6200
C: 616.443.8078</t>
  </si>
  <si>
    <t>econdron@maestrohealth.com</t>
  </si>
  <si>
    <t>Roger Vandenboogaard</t>
  </si>
  <si>
    <t>Account Executive</t>
  </si>
  <si>
    <t>P: 303-587-7640</t>
  </si>
  <si>
    <t>rvandenboogaard@maestrohealth.com</t>
  </si>
  <si>
    <t>Toria Andrews</t>
  </si>
  <si>
    <t>Director of Support Operations</t>
  </si>
  <si>
    <t>P: 407-960-7392</t>
  </si>
  <si>
    <t>tandrews@maestrohealth.com</t>
  </si>
  <si>
    <t>Ryan Johnson</t>
  </si>
  <si>
    <t>Chief Financial Officer</t>
  </si>
  <si>
    <t xml:space="preserve">P: 312.517.3505 </t>
  </si>
  <si>
    <t>rjohnson@maestrohealth.com</t>
  </si>
  <si>
    <t>Service Support</t>
  </si>
  <si>
    <t>P: 855.810.1811
M-F 5am-3pm PST</t>
  </si>
  <si>
    <t>servicesupport@maestrohealth.com</t>
  </si>
  <si>
    <t>Zuman</t>
  </si>
  <si>
    <r>
      <t xml:space="preserve">TPA
</t>
    </r>
    <r>
      <rPr>
        <u/>
        <sz val="10"/>
        <color theme="0"/>
        <rFont val="Arial"/>
        <family val="2"/>
      </rPr>
      <t>www.zuman.com</t>
    </r>
  </si>
  <si>
    <t>Lisa Crosby</t>
  </si>
  <si>
    <t>Vice President of Operations</t>
  </si>
  <si>
    <t>P: 925-234-4080</t>
  </si>
  <si>
    <t>lisa.crosby@zuman.com</t>
  </si>
  <si>
    <t xml:space="preserve">5994 W. Las Positas Blvd. Suite 225
Pleasanton, CA 94588
</t>
  </si>
  <si>
    <t>Gary Bryson</t>
  </si>
  <si>
    <t>gary.bryson@zuman.com</t>
  </si>
  <si>
    <t>Janaki Guduru</t>
  </si>
  <si>
    <t>Director of Engineering &amp; QA</t>
  </si>
  <si>
    <t>P: 925-234-4027</t>
  </si>
  <si>
    <t>janaki.guduru@zuman.com</t>
  </si>
  <si>
    <t>Doug Devlin</t>
  </si>
  <si>
    <t>doug.devlin@zuman.com</t>
  </si>
  <si>
    <t>Steven Carlson</t>
  </si>
  <si>
    <t>Steve.carlson@zuman.com</t>
  </si>
  <si>
    <t>Jonathan Waterbury</t>
  </si>
  <si>
    <t>jonathan.waterbury@zuman.com</t>
  </si>
  <si>
    <t>Chief Revenue Officer</t>
  </si>
  <si>
    <t xml:space="preserve">Delores Krishna </t>
  </si>
  <si>
    <t>IS/Technical Contact</t>
  </si>
  <si>
    <t>P: 925-237-9774</t>
  </si>
  <si>
    <t>Delores.Krishna@zuman.com</t>
  </si>
  <si>
    <t>Sri Tennety</t>
  </si>
  <si>
    <t>File Transmission Contact (FTP)
(Manger of QA)</t>
  </si>
  <si>
    <t>P: 925-344-6727</t>
  </si>
  <si>
    <t>sri.tennety@zuman.com</t>
  </si>
  <si>
    <t>Gina Creson</t>
  </si>
  <si>
    <t>Eligiblity Contact</t>
  </si>
  <si>
    <t>P: 510-849-2017
F: 925-523-3790</t>
  </si>
  <si>
    <t>people.ops@zuman.com</t>
  </si>
  <si>
    <t>People Ops</t>
  </si>
  <si>
    <t>Eligiblity &amp; Error Contact</t>
  </si>
  <si>
    <t>P: 855-849-2229</t>
  </si>
  <si>
    <t>Employe Advocacy</t>
  </si>
  <si>
    <t xml:space="preserve">P: 855-849-2229 </t>
  </si>
  <si>
    <t>HUB International</t>
  </si>
  <si>
    <r>
      <t xml:space="preserve">Employee Benefits Consultation
</t>
    </r>
    <r>
      <rPr>
        <u/>
        <sz val="10"/>
        <color theme="0"/>
        <rFont val="Arial"/>
        <family val="2"/>
      </rPr>
      <t>www.hubinternational.com</t>
    </r>
  </si>
  <si>
    <r>
      <t xml:space="preserve">CLSA Trust Broker/Employer Resources
</t>
    </r>
    <r>
      <rPr>
        <sz val="8"/>
        <color theme="0"/>
        <rFont val="Arial"/>
        <family val="2"/>
      </rPr>
      <t>Primary contact once group is implemented</t>
    </r>
  </si>
  <si>
    <t>David Duenas</t>
  </si>
  <si>
    <t>Life Science Trust Practice Leader</t>
  </si>
  <si>
    <t>858-373-6909</t>
  </si>
  <si>
    <t>916-781-5772</t>
  </si>
  <si>
    <t>david.duenas@hubinternational.com</t>
  </si>
  <si>
    <t>5375 Mira Sorrento Place, Ste. 400
San Diego, CA  92121</t>
  </si>
  <si>
    <t>Brent Simmons</t>
  </si>
  <si>
    <t>Trust Advisor</t>
  </si>
  <si>
    <t>858-373-6976</t>
  </si>
  <si>
    <t>brent.simmons@hubinternational.com</t>
  </si>
  <si>
    <t>Ashley Ball</t>
  </si>
  <si>
    <t>Project Manager</t>
  </si>
  <si>
    <t>858-373-6961</t>
  </si>
  <si>
    <t>858-366-0063</t>
  </si>
  <si>
    <t>ashley.ball@hubinternational.com</t>
  </si>
  <si>
    <t>Jennyfer Larkin</t>
  </si>
  <si>
    <t>Executive Trust Assistant</t>
  </si>
  <si>
    <t>858-207-9902</t>
  </si>
  <si>
    <t>jennyfer.larkin@hubinternational.com</t>
  </si>
  <si>
    <t>Lisa Ness</t>
  </si>
  <si>
    <t>Technology Consultant</t>
  </si>
  <si>
    <t>858-373-6924</t>
  </si>
  <si>
    <t>858-366-0143</t>
  </si>
  <si>
    <t>lisa.ness@hubinternational.com</t>
  </si>
  <si>
    <t>Heather Garbers</t>
  </si>
  <si>
    <t>Voluntary Benefits Expert</t>
  </si>
  <si>
    <t>303-335-8463</t>
  </si>
  <si>
    <t>heather.garbers@hubinternational.com</t>
  </si>
  <si>
    <t>Dino Palavicino</t>
  </si>
  <si>
    <t>Call Center Supervisor</t>
  </si>
  <si>
    <t>858-373-6925</t>
  </si>
  <si>
    <t>dino.palavicino@hubinternational.com</t>
  </si>
  <si>
    <t>Nicole Wivart</t>
  </si>
  <si>
    <t>Operations Analyst</t>
  </si>
  <si>
    <t>858-373-6931</t>
  </si>
  <si>
    <t>858-408-7803</t>
  </si>
  <si>
    <t>nicole.wivart@hubinternational.com</t>
  </si>
  <si>
    <r>
      <t xml:space="preserve">CLSA Trust Employee Resources
</t>
    </r>
    <r>
      <rPr>
        <sz val="8"/>
        <color theme="0"/>
        <rFont val="Arial"/>
        <family val="2"/>
      </rPr>
      <t>Primary contact for questions</t>
    </r>
  </si>
  <si>
    <t>CLSA Call Center</t>
  </si>
  <si>
    <t>844-880-CLSA
(844-880-2572)</t>
  </si>
  <si>
    <t>866-214-2211</t>
  </si>
  <si>
    <t>champion@hubinternational.com</t>
  </si>
  <si>
    <t>Other Broker/Employer Resources
HUB San Diego Contacts</t>
  </si>
  <si>
    <t>Andrew Werth</t>
  </si>
  <si>
    <t xml:space="preserve">Benefits Analyst </t>
  </si>
  <si>
    <t>858-373-6975</t>
  </si>
  <si>
    <t>Andrew.Werth@hubinternational.com</t>
  </si>
  <si>
    <t xml:space="preserve">5375 Mira Sorrento Place, Suite 400, San Diego, CA 92121 |  Main: 858-373-6900 | Fax: 858-373-6897 </t>
  </si>
  <si>
    <t>Ann Otto</t>
  </si>
  <si>
    <t xml:space="preserve">Account Executive </t>
  </si>
  <si>
    <t>858-373-6904</t>
  </si>
  <si>
    <t>858-366-0396</t>
  </si>
  <si>
    <t>Ann.Otto@hubinternational.com</t>
  </si>
  <si>
    <t>Benefits Analyst - Sr.</t>
  </si>
  <si>
    <t>858 373-6961</t>
  </si>
  <si>
    <t>Ashley.Ball@hubinternational.com</t>
  </si>
  <si>
    <t>Ben Hendricks</t>
  </si>
  <si>
    <t>858-255-3907</t>
  </si>
  <si>
    <t>Ben.Hendricks@hubinternational.com</t>
  </si>
  <si>
    <t>Bev Gregory</t>
  </si>
  <si>
    <t>EB &amp; PC - President - Sr. Vice</t>
  </si>
  <si>
    <t>858-373-6945</t>
  </si>
  <si>
    <t>858-366-0064</t>
  </si>
  <si>
    <t>Bev.Gregory@hubinternational.com</t>
  </si>
  <si>
    <t>Bo Lebherz</t>
  </si>
  <si>
    <t>President - Vice</t>
  </si>
  <si>
    <t>858-373-6933</t>
  </si>
  <si>
    <t>858-366-0065</t>
  </si>
  <si>
    <t>Bo.Lebherz@hubinternational.com</t>
  </si>
  <si>
    <t>Brian Alexander</t>
  </si>
  <si>
    <t>858-255-3262</t>
  </si>
  <si>
    <t>858-408-7118</t>
  </si>
  <si>
    <t>Brian.Alexander@hubinternational.com</t>
  </si>
  <si>
    <t>President - Sr. Vice</t>
  </si>
  <si>
    <t>858-366-0071</t>
  </si>
  <si>
    <t>David.Duenas@hubinternational.com</t>
  </si>
  <si>
    <t>Domenica Hernandez</t>
  </si>
  <si>
    <t>Account Manager</t>
  </si>
  <si>
    <t>858-373-6914</t>
  </si>
  <si>
    <t>858-408-4213</t>
  </si>
  <si>
    <t>Domenica.Hernandez@hubinternational.com</t>
  </si>
  <si>
    <t>Erin Gage</t>
  </si>
  <si>
    <t xml:space="preserve">Account Representative </t>
  </si>
  <si>
    <t>858-255-3260</t>
  </si>
  <si>
    <t>858-408-7134</t>
  </si>
  <si>
    <t>Erin.Gage@hubinternational.com</t>
  </si>
  <si>
    <t>Janelle Harris</t>
  </si>
  <si>
    <t>858-373-6903</t>
  </si>
  <si>
    <t>858-366-0405</t>
  </si>
  <si>
    <t>Janelle.Harris@hubinternational.com</t>
  </si>
  <si>
    <t>Jennifer Eilers</t>
  </si>
  <si>
    <t>858-373-6993</t>
  </si>
  <si>
    <t>858-366-0624</t>
  </si>
  <si>
    <t>Jennifer.Eilers@hubinternational.com</t>
  </si>
  <si>
    <t>Jennifer Lawson</t>
  </si>
  <si>
    <t>858-373-6972</t>
  </si>
  <si>
    <t>858-430-2723</t>
  </si>
  <si>
    <t>Jennifer.Lawson@hubinternational.com</t>
  </si>
  <si>
    <t>Jennifer Peterson</t>
  </si>
  <si>
    <t>858-373-6986</t>
  </si>
  <si>
    <t>858-366-0609</t>
  </si>
  <si>
    <t>Jennifer.Peterson@hubinternational.com</t>
  </si>
  <si>
    <t>Jessica Hurley Webb</t>
  </si>
  <si>
    <t>Client Service Operations Director</t>
  </si>
  <si>
    <t>858-373-6912</t>
  </si>
  <si>
    <t>858-366-0091</t>
  </si>
  <si>
    <t>Jessica.Hurley@hubinternational.com</t>
  </si>
  <si>
    <t>Jonathan Visano</t>
  </si>
  <si>
    <t>858-373-4971</t>
  </si>
  <si>
    <t>858-366-0067</t>
  </si>
  <si>
    <t>Jonathan.Visano@hubinternational.com</t>
  </si>
  <si>
    <t>Karen Padilla</t>
  </si>
  <si>
    <t>858-373-6967</t>
  </si>
  <si>
    <t>858-366-0068</t>
  </si>
  <si>
    <t>Karen.Padilla@hubinternational.com</t>
  </si>
  <si>
    <t>Karin Spitzer</t>
  </si>
  <si>
    <t>858-373-6978</t>
  </si>
  <si>
    <t>858-366-0558</t>
  </si>
  <si>
    <t>Karin.Spitzer@hubinternational.com</t>
  </si>
  <si>
    <t>Katherine Tomlin</t>
  </si>
  <si>
    <t>858-373-6936</t>
  </si>
  <si>
    <t>Katherine.Tomlin@hubinternational.com</t>
  </si>
  <si>
    <t>Lisa Barone</t>
  </si>
  <si>
    <t>858-373-6940</t>
  </si>
  <si>
    <t>858-366-0142</t>
  </si>
  <si>
    <t>Lisa.Barone@hubinternational.com</t>
  </si>
  <si>
    <t>Lisa.Ness@hubinternational.com</t>
  </si>
  <si>
    <t>Lydia Frazer</t>
  </si>
  <si>
    <t>Account Executive - Sr.</t>
  </si>
  <si>
    <t>858-373-6942</t>
  </si>
  <si>
    <t>858-366-0144</t>
  </si>
  <si>
    <t>Lydia.Frazer@hubinternational.com</t>
  </si>
  <si>
    <t>Maggie Osburn</t>
  </si>
  <si>
    <t>Sales and Marketing - EVP</t>
  </si>
  <si>
    <t>858-373-6918</t>
  </si>
  <si>
    <t>Maggie.Osburn@hubinternational.com</t>
  </si>
  <si>
    <t>Marcello Esteves</t>
  </si>
  <si>
    <t>858-373-6944</t>
  </si>
  <si>
    <t>858-366-0146</t>
  </si>
  <si>
    <t>Marcello.Esteves@hubinternational.com</t>
  </si>
  <si>
    <t>Matt Creighton</t>
  </si>
  <si>
    <t>858-373-6954</t>
  </si>
  <si>
    <t>858-366-0408</t>
  </si>
  <si>
    <t>Matt.Creighton@hubinternational.com</t>
  </si>
  <si>
    <t>Michelle Brady</t>
  </si>
  <si>
    <t>858-373-6917</t>
  </si>
  <si>
    <t>858-366-0384</t>
  </si>
  <si>
    <t>Michelle.Brady@hubinternational.com</t>
  </si>
  <si>
    <t>Myra Datu</t>
  </si>
  <si>
    <t>Account Representative - Associate</t>
  </si>
  <si>
    <t>858-373-6916</t>
  </si>
  <si>
    <t>866-551-4286</t>
  </si>
  <si>
    <t>Myra.Datu@hubinternational.com</t>
  </si>
  <si>
    <t>Nanette Styer</t>
  </si>
  <si>
    <t>858-373-6964</t>
  </si>
  <si>
    <t>858-366-0494</t>
  </si>
  <si>
    <t>Nanette.Styer@hubinternational.com</t>
  </si>
  <si>
    <t>Natasha Dorsey</t>
  </si>
  <si>
    <t>858-373-6913</t>
  </si>
  <si>
    <t>858-380-1155</t>
  </si>
  <si>
    <t>Natasha.Dorsey@hubinternational.com</t>
  </si>
  <si>
    <t>Neal Cook</t>
  </si>
  <si>
    <t>Business Development Director</t>
  </si>
  <si>
    <t>858-373-4925</t>
  </si>
  <si>
    <t>Neal.Cook@hubinternational.com</t>
  </si>
  <si>
    <t>Oliver Lebrilla</t>
  </si>
  <si>
    <t>858-373-6937</t>
  </si>
  <si>
    <t>858-366-0386</t>
  </si>
  <si>
    <t>Oliver.Lebrilla@hubinternational.com</t>
  </si>
  <si>
    <t>Rachel Wexler</t>
  </si>
  <si>
    <t>Account Representative</t>
  </si>
  <si>
    <t>858-255-3908</t>
  </si>
  <si>
    <t>Rachel.Wexler@hubinternational.com</t>
  </si>
  <si>
    <t>Randell Jacobs</t>
  </si>
  <si>
    <t>Account Representative &amp; Benefit Analyst</t>
  </si>
  <si>
    <t>858-373-6963</t>
  </si>
  <si>
    <t>858-366-0492</t>
  </si>
  <si>
    <t>Randell.Jacobs@hubinternational.com</t>
  </si>
  <si>
    <t>Sandra Thompson</t>
  </si>
  <si>
    <t>Account Representative - Sr.</t>
  </si>
  <si>
    <t>858-373-6966</t>
  </si>
  <si>
    <t>858-366-0139</t>
  </si>
  <si>
    <t>Sandra.Thompson@hubinternational.com</t>
  </si>
  <si>
    <t>Sarice Jaehn</t>
  </si>
  <si>
    <t>858-373-6922</t>
  </si>
  <si>
    <t>858-366-0395</t>
  </si>
  <si>
    <t>Sarice.Jaehn@hubinternational.com</t>
  </si>
  <si>
    <t>Shontae Thompson</t>
  </si>
  <si>
    <t>858-373-6949</t>
  </si>
  <si>
    <t>858-366-0527</t>
  </si>
  <si>
    <t>Shontae.Thompson@hubinternational.com</t>
  </si>
  <si>
    <t>Susan Shaw</t>
  </si>
  <si>
    <t>858-373-6947</t>
  </si>
  <si>
    <t>Susan.Shaw@hubinternational.com</t>
  </si>
  <si>
    <t>Tam Pham</t>
  </si>
  <si>
    <t>Benefits Analyst</t>
  </si>
  <si>
    <t>858-373-6905</t>
  </si>
  <si>
    <t>858-724-3043</t>
  </si>
  <si>
    <t>Tam.Pham@hubinternational.com</t>
  </si>
  <si>
    <t>Tinina Pettway</t>
  </si>
  <si>
    <t>858-255-3259</t>
  </si>
  <si>
    <t>858-408-7462</t>
  </si>
  <si>
    <t>Tinina.Pettway@hubinternational.com</t>
  </si>
  <si>
    <t>Yvonne Bello</t>
  </si>
  <si>
    <t>858-373-6946</t>
  </si>
  <si>
    <t>858-366-0073</t>
  </si>
  <si>
    <t>Yvonne.Bello@hubinternational.com</t>
  </si>
  <si>
    <t>Zinnia Blythe</t>
  </si>
  <si>
    <t>858-373-6902</t>
  </si>
  <si>
    <t>858-366-0401</t>
  </si>
  <si>
    <t>Zinnia.Blythe@hubinternational.com</t>
  </si>
  <si>
    <t>Other Broker/Employer Resources
HUB Carlsbad Contacts</t>
  </si>
  <si>
    <t>Alissa Viggianelli</t>
  </si>
  <si>
    <t>760-707-5647</t>
  </si>
  <si>
    <t xml:space="preserve">760-707-5983 </t>
  </si>
  <si>
    <t>Alissa.Viggianelli@hubinternational.com</t>
  </si>
  <si>
    <t>1903 Wright Place, Ste 280, Carlsbad, CA 92008  |  Main: 760-804-0402  |  Toll Free: 800-624-4538  |  Fax: (760) 804-0942</t>
  </si>
  <si>
    <t>Dori Wittman</t>
  </si>
  <si>
    <t>760-707-5641</t>
  </si>
  <si>
    <t>Dori.Wittman@hubinternational.com</t>
  </si>
  <si>
    <t>Heather Farnsworth</t>
  </si>
  <si>
    <t>Account Representative II</t>
  </si>
  <si>
    <t>760-707-5668</t>
  </si>
  <si>
    <t>Heather.Farnsworth@hubinternational.com</t>
  </si>
  <si>
    <t>Kayla Strawser</t>
  </si>
  <si>
    <t>Account Manager - Sr.</t>
  </si>
  <si>
    <t>760-707-5623</t>
  </si>
  <si>
    <t>Kayla.Strawser@hubinternational.com</t>
  </si>
  <si>
    <t>Lisa Cameron</t>
  </si>
  <si>
    <t>760-707-5631</t>
  </si>
  <si>
    <t>Lisa.Cameron@hubinternational.com</t>
  </si>
  <si>
    <t>Mel Morris</t>
  </si>
  <si>
    <t>760-707-5622</t>
  </si>
  <si>
    <t>Mel.Morris@hubinternational.com</t>
  </si>
  <si>
    <t>Neal Stehly</t>
  </si>
  <si>
    <t>760-707-5636</t>
  </si>
  <si>
    <t xml:space="preserve">760-585-1316 </t>
  </si>
  <si>
    <t>Neal.Stehly@hubinternational.com</t>
  </si>
  <si>
    <t>Sara Rawson</t>
  </si>
  <si>
    <t>760-707-5651</t>
  </si>
  <si>
    <t>Sara.Rawson@hubinternational.com</t>
  </si>
  <si>
    <t>Tierney Watson</t>
  </si>
  <si>
    <t>760-707-5658</t>
  </si>
  <si>
    <t>Tierney.Watson@hubinternational.com</t>
  </si>
  <si>
    <t>Other Broker/Employer Resources
HUB Del Mar Contacts</t>
  </si>
  <si>
    <t>Kim Larochelle</t>
  </si>
  <si>
    <t xml:space="preserve">Account Manager II </t>
  </si>
  <si>
    <t>858-792-1766</t>
  </si>
  <si>
    <t>kim.larochelle@hubinternational.com</t>
  </si>
  <si>
    <t>2262 Carmel Valley Rd, Del Mar, CA 92014 l  Main: 858-792-1400</t>
  </si>
  <si>
    <t>Melissa Brean</t>
  </si>
  <si>
    <t>Manager - Executive Benefits &amp; Retirement Plans</t>
  </si>
  <si>
    <t>858-792-1488</t>
  </si>
  <si>
    <t>melissa.brean@hubinternational.com</t>
  </si>
  <si>
    <t>Pam Andrakowicz</t>
  </si>
  <si>
    <t>858-792-1547</t>
  </si>
  <si>
    <t>pam.andrakowicz@hubinternational.com</t>
  </si>
  <si>
    <t>Thom Freismuth</t>
  </si>
  <si>
    <t>President - Executive Vice</t>
  </si>
  <si>
    <t>858-792-1489</t>
  </si>
  <si>
    <t>thom.freismuth@hubinternational.com</t>
  </si>
  <si>
    <t>Other Broker/Employer Resources
HUB Newport Contacts</t>
  </si>
  <si>
    <t>Adrienne Shaffer</t>
  </si>
  <si>
    <t>President - Vice.</t>
  </si>
  <si>
    <t>949-379-2924</t>
  </si>
  <si>
    <t>858-366-0542</t>
  </si>
  <si>
    <t>Adrienne.Shaffer@hubinternational.com</t>
  </si>
  <si>
    <t xml:space="preserve">4695 MacArthur Court, Suite 600, Newport Beach, CA 92660  |  Toll Free: 855-466-1764 | Fax: 949-891-0407 </t>
  </si>
  <si>
    <t>Ann Wilson</t>
  </si>
  <si>
    <t>Manager - Client Service Operations</t>
  </si>
  <si>
    <t>949-208-9593</t>
  </si>
  <si>
    <t>858-366-0546</t>
  </si>
  <si>
    <t>Ann.Wilson@hubinternational.com</t>
  </si>
  <si>
    <t>Carrie Miranda</t>
  </si>
  <si>
    <t>949-208-9594</t>
  </si>
  <si>
    <t>carrie.miranda@hubinternational.com</t>
  </si>
  <si>
    <t>Elise Greenwood</t>
  </si>
  <si>
    <t>858-373-6929</t>
  </si>
  <si>
    <t>858-366-0404</t>
  </si>
  <si>
    <t>Elise.Greenwood@hubinternational.com</t>
  </si>
  <si>
    <t>Jill Dorris</t>
  </si>
  <si>
    <t>H&amp;P - Consultant</t>
  </si>
  <si>
    <t>949-623-1024</t>
  </si>
  <si>
    <t>jill.dorris@hubinternational.com</t>
  </si>
  <si>
    <t>Lara Perez</t>
  </si>
  <si>
    <t>949-623-1424</t>
  </si>
  <si>
    <t>949-209-2644</t>
  </si>
  <si>
    <t>Lara.Perez@hubinternational.com</t>
  </si>
  <si>
    <t>Nicole Carl</t>
  </si>
  <si>
    <t>949-623-1034</t>
  </si>
  <si>
    <t>949-209-0387</t>
  </si>
  <si>
    <t>Nicole.Carl@hubinternational.com</t>
  </si>
  <si>
    <t>Nina Rea</t>
  </si>
  <si>
    <t>949-208-9598</t>
  </si>
  <si>
    <t>858-366-0069</t>
  </si>
  <si>
    <t>Nina.Rea@hubinternational.com</t>
  </si>
  <si>
    <t>Peter Meilak</t>
  </si>
  <si>
    <t>949-623-1022</t>
  </si>
  <si>
    <t>peter.meilak@hubinternational.com</t>
  </si>
  <si>
    <t>Rob Queen</t>
  </si>
  <si>
    <t>949-379-2927</t>
  </si>
  <si>
    <t>858-366-0509</t>
  </si>
  <si>
    <t>Rob.Queen@hubinternational.com</t>
  </si>
  <si>
    <t>Andrew Littlefair</t>
  </si>
  <si>
    <t>949-623-1048</t>
  </si>
  <si>
    <t>Andrew.Littlefair@hubinternational.com</t>
  </si>
  <si>
    <t>Suzanne Bott</t>
  </si>
  <si>
    <t>949-379-2926</t>
  </si>
  <si>
    <t>858-366-0072</t>
  </si>
  <si>
    <t>Suzanne.Bott@hubinternational.com</t>
  </si>
  <si>
    <t>Trevor Garbers</t>
  </si>
  <si>
    <t>VB - Sales Executive</t>
  </si>
  <si>
    <t>949-623-1058</t>
  </si>
  <si>
    <t>949-209-0423</t>
  </si>
  <si>
    <t>Trevor.Garbers@hubinternational.com</t>
  </si>
  <si>
    <t>Wendy McKinney</t>
  </si>
  <si>
    <t>949-208-9592</t>
  </si>
  <si>
    <t>858-366-0545</t>
  </si>
  <si>
    <t>Wendy.McKinney@hubinternational.com</t>
  </si>
  <si>
    <t>Other Broker/Employer Resources
HUB Sunnyvale Contacts</t>
  </si>
  <si>
    <t>Nancy Howitt</t>
  </si>
  <si>
    <t>Senior Vice President</t>
  </si>
  <si>
    <t>408-568-2815</t>
  </si>
  <si>
    <t>408-904-5807</t>
  </si>
  <si>
    <t>nancy.howitt@hubinternational.com</t>
  </si>
  <si>
    <t>333 West El Camino Real, Suite 330
Sunnyvale,CA 94087</t>
  </si>
  <si>
    <t>Agnes Aguas</t>
  </si>
  <si>
    <t>408-426-1871</t>
  </si>
  <si>
    <t>agnes.aguas@hubinternational.com</t>
  </si>
  <si>
    <t>Christina Ly</t>
  </si>
  <si>
    <t xml:space="preserve">408-701-6388 </t>
  </si>
  <si>
    <t>christina.ly@hubinternational.com</t>
  </si>
  <si>
    <t>Other Broker/Employer Resources
HUB Roseville Contacts</t>
  </si>
  <si>
    <t>Kevin Lewis-Grenz</t>
  </si>
  <si>
    <t>Executive Vice-President</t>
  </si>
  <si>
    <t>Newport: 714.371.9071
Sacremento: 916.878.5871  
Cell: 916.996.4111</t>
  </si>
  <si>
    <t>kevin.lewisgrenz@hubinternational.com</t>
  </si>
  <si>
    <t>970 Reserve Drive, Suite 200 Roseville, CA 95678</t>
  </si>
  <si>
    <t>Amy Decker</t>
  </si>
  <si>
    <t>916.742.5849</t>
  </si>
  <si>
    <t>855.547.5753</t>
  </si>
  <si>
    <t>amy.decker@hubinternational.com</t>
  </si>
  <si>
    <t>Jennifer Newberry</t>
  </si>
  <si>
    <t>Associate Account Manager</t>
  </si>
  <si>
    <t>916-742-5841</t>
  </si>
  <si>
    <t>jennifer.newberry@hubinternational.com</t>
  </si>
  <si>
    <t>Rose Mary</t>
  </si>
  <si>
    <t>Marketing Specialist</t>
  </si>
  <si>
    <t>916-742-5843</t>
  </si>
  <si>
    <t>mary.rose@hubinternational.com</t>
  </si>
  <si>
    <t>ABD Insurance and Financial Services</t>
  </si>
  <si>
    <r>
      <t xml:space="preserve">Employee Benefits Consultation
</t>
    </r>
    <r>
      <rPr>
        <u/>
        <sz val="10"/>
        <color theme="0"/>
        <rFont val="Arial"/>
        <family val="2"/>
      </rPr>
      <t>www.theABDteam.com</t>
    </r>
  </si>
  <si>
    <t>Mark Anderson</t>
  </si>
  <si>
    <t>Founding Principal</t>
  </si>
  <si>
    <t>P: 408-363-7353
C: 408-892-9718</t>
  </si>
  <si>
    <t>408-608-2027</t>
  </si>
  <si>
    <t>mark.anderson@theabdteam.com</t>
  </si>
  <si>
    <t>3 Waters Park Dr., Suite 100
San Mateo, CA  94403</t>
  </si>
  <si>
    <t>Tommy Hendrickson</t>
  </si>
  <si>
    <t>EB Account Manager</t>
  </si>
  <si>
    <t>P: 650-539-2747</t>
  </si>
  <si>
    <t>tommy.hendrickson@theabdteam.com</t>
  </si>
  <si>
    <t>Catherine Walker</t>
  </si>
  <si>
    <t>AVP / Senior Account Executive</t>
  </si>
  <si>
    <t>P: 650-488-8582
C: 925-858-6414</t>
  </si>
  <si>
    <t>cathy.walker@theabdteam.com</t>
  </si>
  <si>
    <t xml:space="preserve">Angie Lopez-Frazier </t>
  </si>
  <si>
    <t>P: 408-363-7359</t>
  </si>
  <si>
    <t>angie.lopez@theabdteam.com</t>
  </si>
  <si>
    <t>Debbie Mangels</t>
  </si>
  <si>
    <t>Sales Lead</t>
  </si>
  <si>
    <t>P: 650-488-8601</t>
  </si>
  <si>
    <t xml:space="preserve">debbie.mangels@theabdteam.com </t>
  </si>
  <si>
    <t>Gabrielle Anderson</t>
  </si>
  <si>
    <t>Service Lead</t>
  </si>
  <si>
    <t>P: 650-200-5656</t>
  </si>
  <si>
    <t>gabrielle.anderson@theabdteam.com</t>
  </si>
  <si>
    <t>Meredith Delia</t>
  </si>
  <si>
    <t>meredith.delia@theabdteam.com</t>
  </si>
  <si>
    <t>Andrea Trudeau</t>
  </si>
  <si>
    <t>Executive Vice President</t>
  </si>
  <si>
    <t>P: 408-363-7343
C: 408-476-0530</t>
  </si>
  <si>
    <t>andrea.trudeau@theabdteam.com</t>
  </si>
  <si>
    <t>5448 Thornwood Drive
San Jose, CA  95123</t>
  </si>
  <si>
    <t>Michelle Trudeau</t>
  </si>
  <si>
    <t xml:space="preserve">P: 408-363-7358 </t>
  </si>
  <si>
    <t xml:space="preserve">408-363-0287 </t>
  </si>
  <si>
    <t xml:space="preserve">michelle.trudeau@theabdteam.com </t>
  </si>
  <si>
    <t>Megan Delgado</t>
  </si>
  <si>
    <t>P: 408-363-2583</t>
  </si>
  <si>
    <t>megan.delgado@theabdteam.com</t>
  </si>
  <si>
    <t xml:space="preserve">Danielle Romero </t>
  </si>
  <si>
    <t xml:space="preserve">P: 408-363-2593 </t>
  </si>
  <si>
    <t>danielle.romero@theabdteam.com</t>
  </si>
  <si>
    <t>Hoang Tran</t>
  </si>
  <si>
    <t>VP, Benefits Marketing Manager</t>
  </si>
  <si>
    <t>P: 408-363-7349</t>
  </si>
  <si>
    <t>hoang.tran@theabdteam.com</t>
  </si>
  <si>
    <t>Faye Lewis</t>
  </si>
  <si>
    <t>Vice President/Sr. Account Executive</t>
  </si>
  <si>
    <t>P: 650- 488-8576
C: 408-623-9822</t>
  </si>
  <si>
    <t>faye.lewis@theabdteam.com</t>
  </si>
  <si>
    <t>1990 N. California Blvd, Suite 720
Walnut Creek, CA 94596</t>
  </si>
  <si>
    <t>Michelle Parker</t>
  </si>
  <si>
    <t>Sr. Account Manager</t>
  </si>
  <si>
    <t>michelle.parker@theabdteam.com</t>
  </si>
  <si>
    <t>Call Center</t>
  </si>
  <si>
    <t>P: 866-596-6089</t>
  </si>
  <si>
    <t>ABDanswers@theabdteam.com</t>
  </si>
  <si>
    <t>Company Contact</t>
  </si>
  <si>
    <t>P: 650-352-4150</t>
  </si>
  <si>
    <t>info@fortyseveninc.com</t>
  </si>
  <si>
    <t>Woodruff Sawyer &amp; Co.</t>
  </si>
  <si>
    <r>
      <t xml:space="preserve">Employee Benefits Consultation
</t>
    </r>
    <r>
      <rPr>
        <u/>
        <sz val="10"/>
        <color theme="0"/>
        <rFont val="Arial"/>
        <family val="2"/>
      </rPr>
      <t>https://wsandco.com/</t>
    </r>
  </si>
  <si>
    <t>Andrea Robinson</t>
  </si>
  <si>
    <t>National Client Service Leader</t>
  </si>
  <si>
    <t>P: 415-399-6304
C: 510-501-9701</t>
  </si>
  <si>
    <t>arobinson@wsandco.com</t>
  </si>
  <si>
    <t>50 California Street, Floor 12
San Francisco, CA 94111</t>
  </si>
  <si>
    <t>Kathy Prosser</t>
  </si>
  <si>
    <t>kprosser@wsandco.com</t>
  </si>
  <si>
    <t>Chris Nussbaum</t>
  </si>
  <si>
    <t>Account Executive, Assistant Vice President</t>
  </si>
  <si>
    <t>P:  415.399.6338
C:  415.613.2153</t>
  </si>
  <si>
    <t>415.989.9923</t>
  </si>
  <si>
    <t>cnussbaum@wsandco.com</t>
  </si>
  <si>
    <t>Camille Couture</t>
  </si>
  <si>
    <t>Senior Account Manager / Supervisor</t>
  </si>
  <si>
    <t>P: 415.402.6546
C: 415.391.2141</t>
  </si>
  <si>
    <t>ccouture@wsandco.com</t>
  </si>
  <si>
    <t>Suzanne Haslam</t>
  </si>
  <si>
    <t>P: 415-399-6377</t>
  </si>
  <si>
    <t>shaslam@wsandco.com</t>
  </si>
  <si>
    <t>Vanessa Stuckey</t>
  </si>
  <si>
    <t>P: 415-402-6541</t>
  </si>
  <si>
    <t>vstuckey@wsandco.com</t>
  </si>
  <si>
    <t>Madeleine Ryan</t>
  </si>
  <si>
    <t>Account Assistant, Employee Benefits</t>
  </si>
  <si>
    <t>P: 415.399.6437
C: 415.391.2141</t>
  </si>
  <si>
    <t>mryan@wsandco.com</t>
  </si>
  <si>
    <t>Sheila Villaroman</t>
  </si>
  <si>
    <t>Partner, Senior Vice President</t>
  </si>
  <si>
    <t>P:  415.399.6408
C:  650.773.7246</t>
  </si>
  <si>
    <t>svillaroman@wsandco.com</t>
  </si>
  <si>
    <t>Kimmy Fung</t>
  </si>
  <si>
    <t>P: 415-402-6578</t>
  </si>
  <si>
    <t>kfung@wsandco.com</t>
  </si>
  <si>
    <t xml:space="preserve">Anne Belinn </t>
  </si>
  <si>
    <t>aarnone@wsandco.com</t>
  </si>
  <si>
    <r>
      <t xml:space="preserve">Membership
</t>
    </r>
    <r>
      <rPr>
        <u/>
        <sz val="10"/>
        <color theme="0"/>
        <rFont val="Arial"/>
        <family val="2"/>
      </rPr>
      <t>http://califesciences.org/</t>
    </r>
  </si>
  <si>
    <t>Cheryl St. Cyr</t>
  </si>
  <si>
    <t xml:space="preserve">Assistant Manager – Administration &amp; Human Resources </t>
  </si>
  <si>
    <t>P: 858-456-8882
C: 858-230-4222</t>
  </si>
  <si>
    <t xml:space="preserve">858-551-6688 </t>
  </si>
  <si>
    <t>cstcyr@califesciences.org</t>
  </si>
  <si>
    <t xml:space="preserve">9191 Towne Center Drive, Ste. 450
San Diego, CA 92122 </t>
  </si>
  <si>
    <t>Sam Assmann</t>
  </si>
  <si>
    <t xml:space="preserve">Director, Business Development </t>
  </si>
  <si>
    <t>P: 619-319-8191</t>
  </si>
  <si>
    <t>sam@califesciences.org</t>
  </si>
  <si>
    <t>CLSA Website</t>
  </si>
  <si>
    <t>Membership</t>
  </si>
  <si>
    <t>http://califesciences.org/member-resources/join-renew-today/</t>
  </si>
  <si>
    <t>CLSA Trust Website</t>
  </si>
  <si>
    <t>Prospecting</t>
  </si>
  <si>
    <t>http://www.clsatrust.com/</t>
  </si>
  <si>
    <t>CLSA Trust Microsite</t>
  </si>
  <si>
    <t>Broker Support</t>
  </si>
  <si>
    <t>http://portal.clsatrust.com/</t>
  </si>
  <si>
    <t>Chris Breitbarth
760-476-1800
chrisbreitbarth@biospyder.com</t>
  </si>
  <si>
    <t>Karen Alderete
650-241-3900
kalderete@sutrovax.com</t>
  </si>
  <si>
    <t xml:space="preserve">Kayo Chih
kchih@sutrovax.com
</t>
  </si>
  <si>
    <t>California Proton Therapy Center, LLC</t>
  </si>
  <si>
    <t>Chi Dinh</t>
  </si>
  <si>
    <t>Senior Account Coordinator</t>
  </si>
  <si>
    <t xml:space="preserve">P: 925-494-0353 
C: 916-539-4083  </t>
  </si>
  <si>
    <t>chi.dinh@theabdteam.com</t>
  </si>
  <si>
    <t>Nicole Willingham</t>
  </si>
  <si>
    <t xml:space="preserve">P: 925-322-6035 </t>
  </si>
  <si>
    <t>Nicole.Willingham@TheABDTeam.com</t>
  </si>
  <si>
    <t>Laura Weiman</t>
  </si>
  <si>
    <t xml:space="preserve">P: 650-600-3789 </t>
  </si>
  <si>
    <t>Laura.Weiman@theABDteam.com</t>
  </si>
  <si>
    <t>OnCore</t>
  </si>
  <si>
    <t xml:space="preserve">Heather Adams
858-888-7694
hadams@bionanogenomics.com </t>
  </si>
  <si>
    <t>Eileen Sun
858-888-7669
AP@bionanogenomics.com</t>
  </si>
  <si>
    <t xml:space="preserve">Accounts Payable
858-368-8639
accounts.payable@emolecules.com </t>
  </si>
  <si>
    <t>Blue Shield of California: Trio HMO Per Admit 25-750</t>
  </si>
  <si>
    <t>Blue Shield of California: Full PPO Split Deductible 25-750 80/60</t>
  </si>
  <si>
    <t>Blue Shield of California: Full PPO Combined Deductible Value 25-2500 80/50</t>
  </si>
  <si>
    <t>Sara Barba</t>
  </si>
  <si>
    <t>Account Representative - II</t>
  </si>
  <si>
    <t>Sara.Barba@hubinternational.com</t>
  </si>
  <si>
    <t>P: (415) 704-8865
C: (408) 506-9135</t>
  </si>
  <si>
    <t>Truvian Sciences, Inc.</t>
  </si>
  <si>
    <t>Account Managed by HUB SD Team
Producer - Bo Lebherz
Service Lead - Michelle Brady</t>
  </si>
  <si>
    <t>Account Managed by HUB OC Team
Producer - Rob Queen
Service Lead - Ann Wilson 
AR- Elise Greenwood</t>
  </si>
  <si>
    <t>Account Managed by HUB SD Team
Producer - Bev Gregory
Service Lead - Lisa Barone
AM- Susan Shaw</t>
  </si>
  <si>
    <t xml:space="preserve">Account Managed by HUB OC Team
Producer - Rob Queen
Service Lead - Elise Greenwood
</t>
  </si>
  <si>
    <t>Account Managed by HUB SD Team
Producer - Dave Duenas
Service Lead- Jessica Hurley
AM-Katherine Tomline</t>
  </si>
  <si>
    <t>Account Managed by HUB Carlsbad Team
Producer - Dori Wittman
Service Lead - Lisa Cameron</t>
  </si>
  <si>
    <t>Account Managed by HUB Team
Producer - Kevin Lewis-Grenz
Service Lead - Amy Decker
Note: Does not use MBC (have their own call center)</t>
  </si>
  <si>
    <t>Account Managed by HUB SD Team
Producer - Matt Creighton
Service Lead - Brent Simmons</t>
  </si>
  <si>
    <t>Account Managed by HUB Carlsbad Team
Producer - Dori Wittman
Service Lead - Kayla Strawser</t>
  </si>
  <si>
    <t>Account Managed by HUB SD Team
Producer - Bo Lebherz/Maggie Osburn
Service Lead - Michelle Brady
AR-Marcello E.</t>
  </si>
  <si>
    <t>Account Managed by HUB Del Mar Team
Producer - Thomas Freismuth
Service Lead - Kim Larochelle</t>
  </si>
  <si>
    <t>Account Managed by HUB SD Team
Producer - Matt Creighton
Service Lead/BA - Ben Hendricks
AR - Yvonne Bello
Assistant - Aubrey Brandt</t>
  </si>
  <si>
    <t>Account Managed by HUB Carlsbad Team
Producer-
Dori Wittman
Service Lead-
Kayla Strawswer</t>
  </si>
  <si>
    <t xml:space="preserve">Account Managed by Woodruff-Sawyer Team
Producer - Chris Nussbaum
Service Lead - Camille Couture
</t>
  </si>
  <si>
    <t>Jim Schmidt
(858) 254-7116
jim.schmidt@truviansci.com</t>
  </si>
  <si>
    <t>9381 Judicial Drive, Suite 200
San Diego, CA 92121</t>
  </si>
  <si>
    <t>N/A - HSA Bank</t>
  </si>
  <si>
    <t>ActivX Biosciences, Inc.</t>
  </si>
  <si>
    <t>Integrium LLC and OC Research Center are under the above client name umbrella</t>
  </si>
  <si>
    <t>N/A - Health Equity</t>
  </si>
  <si>
    <t>Zak Rico
760-585-2100
ap@impedimed.com</t>
  </si>
  <si>
    <t>FronThera US Pharmaceuticals LLC</t>
  </si>
  <si>
    <t>FronThera Pharmaceuticals</t>
  </si>
  <si>
    <t>Xiaohong Chen
858-232-9490
xhongchen1@gmail.com</t>
  </si>
  <si>
    <t xml:space="preserve">11526 Sorrento Valley Road, Suite D
 San Diego, CA 92121 </t>
  </si>
  <si>
    <t>Plan X
(current plan is at or after 2/1/17)</t>
  </si>
  <si>
    <t xml:space="preserve">MetLife: 
Plan X: </t>
  </si>
  <si>
    <t xml:space="preserve">MetLife:
</t>
  </si>
  <si>
    <t>Hancock Jaffe Laboratories, Inc.</t>
  </si>
  <si>
    <t>70 Doppler
Irvine, CA 92618</t>
  </si>
  <si>
    <t xml:space="preserve">Account Managed by Woodruff-Sawyer Team
Producer - Leslie Slay
Service Lead - Danielle Fike
</t>
  </si>
  <si>
    <t>William Abbott
(949) 261-2900
BillAbbott@hjlinc.com</t>
  </si>
  <si>
    <t xml:space="preserve">Danielle Fike </t>
  </si>
  <si>
    <t>C: 805.335.0700
P: 844.972.6326 (General)</t>
  </si>
  <si>
    <t xml:space="preserve">415.989.9923  </t>
  </si>
  <si>
    <t>dfike@wsandco.com</t>
  </si>
  <si>
    <t xml:space="preserve">10 E. Yanonali Street
Santa Barbara, CA 93101
</t>
  </si>
  <si>
    <t>Leslie Slay</t>
  </si>
  <si>
    <t>Vice President, Employee Benefits</t>
  </si>
  <si>
    <t>P: 626.788.4611
M: 951.312.0326</t>
  </si>
  <si>
    <t>lslay@wsandco.com</t>
  </si>
  <si>
    <t xml:space="preserve">225 South Lake Avenue, Suite M-210  
Pasadena CA 91101
</t>
  </si>
  <si>
    <t>Sequoia Consulting Group, LLC</t>
  </si>
  <si>
    <t>Natalie Dukette
858-381-4822
Natalie.Dukette@sequoiasolution.com</t>
  </si>
  <si>
    <t>125 N Acacia Ave, Suite 101
 Solana Beach, CA 92075</t>
  </si>
  <si>
    <t>N/A- Health Equity</t>
  </si>
  <si>
    <t>Kasier: Gold 80 HMO 0/25 + Child Dental</t>
  </si>
  <si>
    <t>Kaiser: Platinum HMO 0/15 + Child Dental</t>
  </si>
  <si>
    <t>NA/ - Outside Vendor</t>
  </si>
  <si>
    <t>N/A - TASC</t>
  </si>
  <si>
    <t>Client</t>
  </si>
  <si>
    <t>UHC Age</t>
  </si>
  <si>
    <t>Access or Advantage</t>
  </si>
  <si>
    <t>HSA Motion (Y/N)</t>
  </si>
  <si>
    <t>Effective Date</t>
  </si>
  <si>
    <t>Renewal Date</t>
  </si>
  <si>
    <t>Medical</t>
  </si>
  <si>
    <t>Grp B (34-44)</t>
  </si>
  <si>
    <t>HSA</t>
  </si>
  <si>
    <t>Dental</t>
  </si>
  <si>
    <t>Vision</t>
  </si>
  <si>
    <t>FSA</t>
  </si>
  <si>
    <t>HUB</t>
  </si>
  <si>
    <t>ABD</t>
  </si>
  <si>
    <t>Grp A (&lt;34)</t>
  </si>
  <si>
    <t>Grp C (44-54)</t>
  </si>
  <si>
    <t>Account Managed by HUB SD Team
Producer - Neal Cook
Service Lead - Pam Andrakowicz</t>
  </si>
  <si>
    <t>Grp D (54+)</t>
  </si>
  <si>
    <t>Woodruff-Sawyer</t>
  </si>
  <si>
    <t>66.67% up to $615 (NJ)</t>
  </si>
  <si>
    <t>Retrophin</t>
  </si>
  <si>
    <t>Versant Venture Management, LLC</t>
  </si>
  <si>
    <t>Broker Team</t>
  </si>
  <si>
    <t>HUB (Del Mar)</t>
  </si>
  <si>
    <t>HUB (San Diego)</t>
  </si>
  <si>
    <t>HUB (Orange County)</t>
  </si>
  <si>
    <t>HUB (Carlsbad)</t>
  </si>
  <si>
    <t>Account Managed by HUB SD Team
Producer - Dave Duenas
Service Lead - Katherine Tomline</t>
  </si>
  <si>
    <t>Vanessa Gutierrez
650-720-5310
Vanessa@glooko.com</t>
  </si>
  <si>
    <t>Annie Wayne
650-720-5310
Annie@glooko.com</t>
  </si>
  <si>
    <t>Paylocity</t>
  </si>
  <si>
    <t>N/A -Clarity</t>
  </si>
  <si>
    <t>Carol Cole Company, Inc.</t>
  </si>
  <si>
    <t>NuFACE</t>
  </si>
  <si>
    <r>
      <rPr>
        <b/>
        <sz val="14"/>
        <rFont val="Calibri"/>
        <family val="2"/>
        <scheme val="minor"/>
      </rPr>
      <t>CORE STRUCTURE TEMPLATE 
For</t>
    </r>
    <r>
      <rPr>
        <b/>
        <sz val="14"/>
        <color rgb="FFFF0000"/>
        <rFont val="Calibri"/>
        <family val="2"/>
        <scheme val="minor"/>
      </rPr>
      <t xml:space="preserve">
 California Life Sciences Association Benefits Advantage Trust  
</t>
    </r>
    <r>
      <rPr>
        <b/>
        <sz val="14"/>
        <rFont val="Calibri"/>
        <family val="2"/>
        <scheme val="minor"/>
      </rPr>
      <t xml:space="preserve">Structure Effective Date: </t>
    </r>
    <r>
      <rPr>
        <b/>
        <sz val="14"/>
        <color rgb="FFFF0000"/>
        <rFont val="Calibri"/>
        <family val="2"/>
        <scheme val="minor"/>
      </rPr>
      <t xml:space="preserve">10/1/2017  
</t>
    </r>
  </si>
  <si>
    <t>This Structure Template supplies you with the plan structure for your account with the MetLife family of companies.  This document will assist you with adding new employees or modifying information on current employees.  
Please report each coverage the member has on the file - do not bundle products unless otherwise shown.</t>
  </si>
  <si>
    <t>Core Customer Number: 5347643</t>
  </si>
  <si>
    <t xml:space="preserve">Core Products </t>
  </si>
  <si>
    <t>Coverage Code</t>
  </si>
  <si>
    <t>Coverage Code Description/Benefit/Amount</t>
  </si>
  <si>
    <t>Experience Number</t>
  </si>
  <si>
    <t>Report/                Group Number</t>
  </si>
  <si>
    <t>Sub code/   Division</t>
  </si>
  <si>
    <t>Branch/ Class</t>
  </si>
  <si>
    <t>Branch/Class Description</t>
  </si>
  <si>
    <t>Waiting Period</t>
  </si>
  <si>
    <t>Contribution</t>
  </si>
  <si>
    <t>Division Name</t>
  </si>
  <si>
    <t>Dental Plan 1 with Ortho</t>
  </si>
  <si>
    <t>All Active Full-Time Employees</t>
  </si>
  <si>
    <t>1st of month following DOH</t>
  </si>
  <si>
    <t>75% Employee 0% Dependent</t>
  </si>
  <si>
    <t>VV</t>
  </si>
  <si>
    <t>Vision Plan 1 M130D-10/25</t>
  </si>
  <si>
    <t>0% Employee 0% Dependent</t>
  </si>
  <si>
    <t>Dental Plan 2 with Ortho</t>
  </si>
  <si>
    <t>Date of Hire</t>
  </si>
  <si>
    <t>Dental Plan 4 with Ortho</t>
  </si>
  <si>
    <t>Vision Plan 2 M130A-10/25</t>
  </si>
  <si>
    <t>Carlsbad Tech, Inc.</t>
  </si>
  <si>
    <t>January Therapeutics</t>
  </si>
  <si>
    <t>Vision Plan 3 M150D-10/10</t>
  </si>
  <si>
    <t>Dare' Bioscience, Inc.</t>
  </si>
  <si>
    <t>Cidara Therapeutics</t>
  </si>
  <si>
    <t>Dental Plan 6 no Ortho</t>
  </si>
  <si>
    <t>Molecular Stethoscope</t>
  </si>
  <si>
    <t>1/1/1/18</t>
  </si>
  <si>
    <t>All Active Full-Time Employees excluding Texas Employees</t>
  </si>
  <si>
    <t>Prothena Biosciences, Inc.</t>
  </si>
  <si>
    <t>Dental Plan 3 with Ortho</t>
  </si>
  <si>
    <t>All Active Full-Time Texas Employees</t>
  </si>
  <si>
    <t>TriReme Medical, LLC</t>
  </si>
  <si>
    <t>BioSpyder Technologies, Inc.</t>
  </si>
  <si>
    <t>Forty Seven, Inc.</t>
  </si>
  <si>
    <t>Tocagen, Inc.</t>
  </si>
  <si>
    <t>Glooko, Inc.</t>
  </si>
  <si>
    <t>Dental Plan 7 no Ortho</t>
  </si>
  <si>
    <t>California Life Sciences Association</t>
  </si>
  <si>
    <t>C O B R A (Plan 1 with Ortho)</t>
  </si>
  <si>
    <t>CLSA Trust - Dental COBRA</t>
  </si>
  <si>
    <t>C O B R A (Plan 2 with Ortho)</t>
  </si>
  <si>
    <t>C O B R A (Plan 3 with Ortho)</t>
  </si>
  <si>
    <t>C O B R A (Plan 4 with Ortho)</t>
  </si>
  <si>
    <t>Dental Plan 5 no Ortho</t>
  </si>
  <si>
    <t>C O B R A (Plan 5 no Ortho)</t>
  </si>
  <si>
    <t>C O B R A (Plan 6 no Ortho)</t>
  </si>
  <si>
    <t>C O B R A (Plan 7 no Ortho)</t>
  </si>
  <si>
    <t>Dental Plan 8 no Ortho</t>
  </si>
  <si>
    <t>C O B R A (Plan 8 no Ortho)</t>
  </si>
  <si>
    <t>C O B R A  (M130D - $10 / $25)</t>
  </si>
  <si>
    <t>CLSA Trust - Vision COBRA</t>
  </si>
  <si>
    <t>C O B R A  (M130A - $10 / $25)</t>
  </si>
  <si>
    <t>C O B R A  (M150D - $10 / $10)</t>
  </si>
  <si>
    <t>Group Life - Exec</t>
  </si>
  <si>
    <t>Group AD&amp;D - Exec</t>
  </si>
  <si>
    <t>Has NY Policy through NY State Insurance Fund</t>
  </si>
  <si>
    <t>NJ Statutory (via State)</t>
  </si>
  <si>
    <t>Sequoia Solution</t>
  </si>
  <si>
    <t>Florence Zhu
650-352-4673
invoices@fortyseveninc.com</t>
  </si>
  <si>
    <t>Ivy Nguyen
650-352-4144
inguyen@fortyseveninc.com</t>
  </si>
  <si>
    <t>N/A - Don't want to Set-up</t>
  </si>
  <si>
    <t>Jordan Smail
(650) 281-0803 
jsmail@kodiak.com</t>
  </si>
  <si>
    <t>Margot Gilpin
(714) 841-9411
Margot@bcpsco.com</t>
  </si>
  <si>
    <t>Carol Cole Company dba NuFace</t>
  </si>
  <si>
    <t>Memorial Research Medical Clinic</t>
  </si>
  <si>
    <t>1st of month following 60 days</t>
  </si>
  <si>
    <t>OKAPI Environmental Group, Inc. DBA Pangea Biological</t>
  </si>
  <si>
    <t>XOMA (US) LLC</t>
  </si>
  <si>
    <t>Trucode Gene Repair, Inc</t>
  </si>
  <si>
    <t xml:space="preserve">Arena Pharmaceuticals, Inc. </t>
  </si>
  <si>
    <t xml:space="preserve">Group </t>
  </si>
  <si>
    <t>Eff</t>
  </si>
  <si>
    <t>Utility Code</t>
  </si>
  <si>
    <t>Plans</t>
  </si>
  <si>
    <t>Motion/No Motion
Access/Adv</t>
  </si>
  <si>
    <t>HSA Group#</t>
  </si>
  <si>
    <t>ActivX</t>
  </si>
  <si>
    <t>So. CA</t>
  </si>
  <si>
    <t>000018</t>
  </si>
  <si>
    <t>No Motion, ADV PDL</t>
  </si>
  <si>
    <t>909678ACT</t>
  </si>
  <si>
    <t>Advanced Brain Monitoring</t>
  </si>
  <si>
    <t>000049</t>
  </si>
  <si>
    <t>10, 11</t>
  </si>
  <si>
    <t>909678ABM</t>
  </si>
  <si>
    <t>AlterG</t>
  </si>
  <si>
    <t xml:space="preserve">No. CA </t>
  </si>
  <si>
    <t>000035</t>
  </si>
  <si>
    <t>8, 11</t>
  </si>
  <si>
    <t xml:space="preserve">Navia Benefit Solution </t>
  </si>
  <si>
    <t xml:space="preserve">Ambrx </t>
  </si>
  <si>
    <t>000019</t>
  </si>
  <si>
    <t>1, 7</t>
  </si>
  <si>
    <t>Applied Proteomics</t>
  </si>
  <si>
    <t>000020</t>
  </si>
  <si>
    <t>1, 8, 11</t>
  </si>
  <si>
    <t>909678APP</t>
  </si>
  <si>
    <t>Applied Stem Cell</t>
  </si>
  <si>
    <t>000014</t>
  </si>
  <si>
    <t>11</t>
  </si>
  <si>
    <t>Arena Pharmaceutical</t>
  </si>
  <si>
    <t>000039</t>
  </si>
  <si>
    <t>909678ARE</t>
  </si>
  <si>
    <t>No. CA</t>
  </si>
  <si>
    <t>000048</t>
  </si>
  <si>
    <t>3, 8</t>
  </si>
  <si>
    <t>000021</t>
  </si>
  <si>
    <t>1, 7, 11</t>
  </si>
  <si>
    <t>N/A
"HSA Bank"</t>
  </si>
  <si>
    <t>BioNano Genomics</t>
  </si>
  <si>
    <t>000065</t>
  </si>
  <si>
    <t>909678BNG</t>
  </si>
  <si>
    <t>BioSpyder</t>
  </si>
  <si>
    <t>000022</t>
  </si>
  <si>
    <t>2, 8</t>
  </si>
  <si>
    <t>Bird Rock Bio</t>
  </si>
  <si>
    <t>000050</t>
  </si>
  <si>
    <t>2, 7, 11</t>
  </si>
  <si>
    <t>909678BRB</t>
  </si>
  <si>
    <t>California Proton Therapy</t>
  </si>
  <si>
    <t>000058</t>
  </si>
  <si>
    <t>Carlsbad Technology</t>
  </si>
  <si>
    <t>000005</t>
  </si>
  <si>
    <t>Cellerant Therapeutics</t>
  </si>
  <si>
    <t>000004</t>
  </si>
  <si>
    <t>909678CEL</t>
  </si>
  <si>
    <t>Chem Div</t>
  </si>
  <si>
    <t xml:space="preserve">000015 </t>
  </si>
  <si>
    <t>909678CHM</t>
  </si>
  <si>
    <t>000024</t>
  </si>
  <si>
    <t>1, 4, 7, 11</t>
  </si>
  <si>
    <t>No Motion, Adv PDL</t>
  </si>
  <si>
    <t>909678CID</t>
  </si>
  <si>
    <t>CLSA Mgt - renewed</t>
  </si>
  <si>
    <t xml:space="preserve">So. CA </t>
  </si>
  <si>
    <t>000023</t>
  </si>
  <si>
    <t>909678CLS</t>
  </si>
  <si>
    <t>Crinetics</t>
  </si>
  <si>
    <t>000051</t>
  </si>
  <si>
    <t>CTK Biotech</t>
  </si>
  <si>
    <t>000025</t>
  </si>
  <si>
    <t>3</t>
  </si>
  <si>
    <t>CymaBay</t>
  </si>
  <si>
    <t>000040</t>
  </si>
  <si>
    <t>909678CYM</t>
  </si>
  <si>
    <t>Cytori Therapeutics</t>
  </si>
  <si>
    <t>000062</t>
  </si>
  <si>
    <t>909678CYT</t>
  </si>
  <si>
    <t>Dare Bioscience</t>
  </si>
  <si>
    <t>000007</t>
  </si>
  <si>
    <t>2, 8, 11</t>
  </si>
  <si>
    <t xml:space="preserve">Will send ENF if any EE is enrolled </t>
  </si>
  <si>
    <t>Emboline, Inc</t>
  </si>
  <si>
    <t>000012</t>
  </si>
  <si>
    <t>7, 11</t>
  </si>
  <si>
    <t>eMolecules</t>
  </si>
  <si>
    <t>000052</t>
  </si>
  <si>
    <t>909678EMO</t>
  </si>
  <si>
    <t>Forty Seven</t>
  </si>
  <si>
    <t>000026</t>
  </si>
  <si>
    <t>2, 7</t>
  </si>
  <si>
    <t>GIMDx</t>
  </si>
  <si>
    <t>000053</t>
  </si>
  <si>
    <t>909678GIM</t>
  </si>
  <si>
    <t>Glooko</t>
  </si>
  <si>
    <t>000027</t>
  </si>
  <si>
    <t>909678GLO</t>
  </si>
  <si>
    <t>Humanigen, Inc. (AKA Kalos Bio)</t>
  </si>
  <si>
    <t>000054</t>
  </si>
  <si>
    <t>7</t>
  </si>
  <si>
    <t>INmune Bio</t>
  </si>
  <si>
    <t>909678INM</t>
  </si>
  <si>
    <t>ImpediMed</t>
  </si>
  <si>
    <t>000028</t>
  </si>
  <si>
    <t>N/A (Health Equity)</t>
  </si>
  <si>
    <t>Inflammatix</t>
  </si>
  <si>
    <t>000010</t>
  </si>
  <si>
    <t xml:space="preserve">2, 7, 11 </t>
  </si>
  <si>
    <t>909678INF</t>
  </si>
  <si>
    <t>January Therapeutics (AKA: Integrity BioSolutions)</t>
  </si>
  <si>
    <t>000006</t>
  </si>
  <si>
    <t>909678JTX</t>
  </si>
  <si>
    <t xml:space="preserve">Kodiak Sciences </t>
  </si>
  <si>
    <t>000029</t>
  </si>
  <si>
    <t>909678KOD</t>
  </si>
  <si>
    <t>Memorial Research Medical Clinic (dba Integrium)</t>
  </si>
  <si>
    <t>000041</t>
  </si>
  <si>
    <t xml:space="preserve">2, 8, 18 </t>
  </si>
  <si>
    <t>909678MRM</t>
  </si>
  <si>
    <t>000057</t>
  </si>
  <si>
    <t>909678MOL</t>
  </si>
  <si>
    <t>NuFace</t>
  </si>
  <si>
    <t>000030</t>
  </si>
  <si>
    <t>1, 11</t>
  </si>
  <si>
    <t>909678NUF</t>
  </si>
  <si>
    <t>Okapi Environmental Group (dba Pangea Biological)</t>
  </si>
  <si>
    <t>000042</t>
  </si>
  <si>
    <t>Pipeline Bioscience</t>
  </si>
  <si>
    <t xml:space="preserve">000013 </t>
  </si>
  <si>
    <t>Plexxikon</t>
  </si>
  <si>
    <t>000043</t>
  </si>
  <si>
    <t>3, 7</t>
  </si>
  <si>
    <t>Prime Genomics</t>
  </si>
  <si>
    <t>000011</t>
  </si>
  <si>
    <t xml:space="preserve">1, 7, 11 </t>
  </si>
  <si>
    <t>Primmune Therapeutics</t>
  </si>
  <si>
    <t>000055</t>
  </si>
  <si>
    <t>909678PTI</t>
  </si>
  <si>
    <t>Pro-Dex</t>
  </si>
  <si>
    <t>000063</t>
  </si>
  <si>
    <t>3, 5, 8, 11</t>
  </si>
  <si>
    <t>Prothena Biosciences</t>
  </si>
  <si>
    <t>000031</t>
  </si>
  <si>
    <t>3, 7, 11</t>
  </si>
  <si>
    <t>909678PBI</t>
  </si>
  <si>
    <t xml:space="preserve">Public Library of Science (PLOS) </t>
  </si>
  <si>
    <t>000044</t>
  </si>
  <si>
    <t>909678PLO</t>
  </si>
  <si>
    <t>Qool Therapeutics</t>
  </si>
  <si>
    <t>000061</t>
  </si>
  <si>
    <t>1, 7, 11
13 &amp; 16</t>
  </si>
  <si>
    <t>909678QOO</t>
  </si>
  <si>
    <t>000034</t>
  </si>
  <si>
    <t>Sani-tech West</t>
  </si>
  <si>
    <t>000059</t>
  </si>
  <si>
    <t>909678STW</t>
  </si>
  <si>
    <t>SeaSpine Orthopedics
(Isotis Ortho)</t>
  </si>
  <si>
    <t>000036</t>
  </si>
  <si>
    <t>2, 5, 11, 18</t>
  </si>
  <si>
    <t>909678SEA</t>
  </si>
  <si>
    <t>SentreHEART</t>
  </si>
  <si>
    <t>000064</t>
  </si>
  <si>
    <t>3, 9. 11</t>
  </si>
  <si>
    <t>909678SEN</t>
  </si>
  <si>
    <t>000032</t>
  </si>
  <si>
    <t>909678SFJ</t>
  </si>
  <si>
    <t>Stroma Medical</t>
  </si>
  <si>
    <t>000009</t>
  </si>
  <si>
    <t xml:space="preserve">909678STR </t>
  </si>
  <si>
    <t>SutroVax</t>
  </si>
  <si>
    <t>000060</t>
  </si>
  <si>
    <t>7 &amp; 11</t>
  </si>
  <si>
    <t>909678SUT</t>
  </si>
  <si>
    <t>909678SYN</t>
  </si>
  <si>
    <t xml:space="preserve">Tocagen </t>
  </si>
  <si>
    <t>000045</t>
  </si>
  <si>
    <t>2, 11</t>
  </si>
  <si>
    <t>N/A. Mellon Bank</t>
  </si>
  <si>
    <t xml:space="preserve">Triple Ring </t>
  </si>
  <si>
    <t>000016</t>
  </si>
  <si>
    <t xml:space="preserve">N/A </t>
  </si>
  <si>
    <t>TriReme Medical</t>
  </si>
  <si>
    <t>000017</t>
  </si>
  <si>
    <t>Trucode</t>
  </si>
  <si>
    <t>000046</t>
  </si>
  <si>
    <t>9, 11</t>
  </si>
  <si>
    <t>Truvian Sciences</t>
  </si>
  <si>
    <t>Versant Venture</t>
  </si>
  <si>
    <t>000033</t>
  </si>
  <si>
    <t>XOMA Corporation</t>
  </si>
  <si>
    <t>000047</t>
  </si>
  <si>
    <t xml:space="preserve">FronThera US Pharmaceuticals </t>
  </si>
  <si>
    <t>HSA Motion Program - Buy-up Option
(HSA)</t>
  </si>
  <si>
    <r>
      <t xml:space="preserve">HSA Motion Program
</t>
    </r>
    <r>
      <rPr>
        <sz val="10"/>
        <rFont val="Arial"/>
        <family val="2"/>
      </rPr>
      <t>Primary contact for registering/member questio's</t>
    </r>
  </si>
  <si>
    <t>1-855-256-8669, TTY users can dial 711</t>
  </si>
  <si>
    <t>www.unitedhealthcaremotion.com</t>
  </si>
  <si>
    <t>CJ Hinshaw
cj.hinshaw@sequoiasolution.com</t>
  </si>
  <si>
    <t>Account Managed by HUB SD Team
Producer - Neal Cook
Service Lead - Lydia Frazer
AR-Jonathan Visano
BA-Ben Hendricks</t>
  </si>
  <si>
    <t>Spec Utility Codes</t>
  </si>
  <si>
    <r>
      <t xml:space="preserve">Network
</t>
    </r>
    <r>
      <rPr>
        <b/>
        <sz val="8"/>
        <color theme="0"/>
        <rFont val="Calibri"/>
        <family val="2"/>
        <scheme val="minor"/>
      </rPr>
      <t>Choice Plus: AK, OR, TX, WI, MT, WY, ID</t>
    </r>
  </si>
  <si>
    <t>Plan Number / Name</t>
  </si>
  <si>
    <t>Active Policy Number</t>
  </si>
  <si>
    <t>Active PVRC</t>
  </si>
  <si>
    <t>Cobra Policy Number</t>
  </si>
  <si>
    <t>COBRA PVRC</t>
  </si>
  <si>
    <t>Notes</t>
  </si>
  <si>
    <t>Vendor</t>
  </si>
  <si>
    <t>ER Plan Name</t>
  </si>
  <si>
    <t>EDI Plan Code</t>
  </si>
  <si>
    <t>Cobra Plan Name</t>
  </si>
  <si>
    <t>Cobra EDI Plan Code</t>
  </si>
  <si>
    <t>HMO</t>
  </si>
  <si>
    <t>SignatureValue (Full)</t>
  </si>
  <si>
    <t>Plan 2: 15/250A</t>
  </si>
  <si>
    <t>HMO 15/250A (SignatureValue Network)</t>
  </si>
  <si>
    <t>Y</t>
  </si>
  <si>
    <t>UHC HMO Full Network Medical Plan</t>
  </si>
  <si>
    <t>Alliance (Narrow)</t>
  </si>
  <si>
    <t>Plan 5: 15/250A</t>
  </si>
  <si>
    <t>HMO 15/250A (Alliance Network)</t>
  </si>
  <si>
    <t>UHC HMO Alliance Medical Plan</t>
  </si>
  <si>
    <t>PPO</t>
  </si>
  <si>
    <t xml:space="preserve">Select Plus </t>
  </si>
  <si>
    <t>Plan 9: 750/20</t>
  </si>
  <si>
    <t>PPO 750 (Select Plus Network)</t>
  </si>
  <si>
    <t>UHC PPO Medical Plan</t>
  </si>
  <si>
    <t>Choice Plus</t>
  </si>
  <si>
    <t>Plan 15: 750/20</t>
  </si>
  <si>
    <t>Not Included</t>
  </si>
  <si>
    <t>N</t>
  </si>
  <si>
    <t>PPO w/HSA</t>
  </si>
  <si>
    <t xml:space="preserve">Plan 11: 1500/10 </t>
  </si>
  <si>
    <t>HSA 1500 (Select Plus Network)</t>
  </si>
  <si>
    <t>UHC PPO w/ HSA Medical Plan</t>
  </si>
  <si>
    <t xml:space="preserve">Plan 16: 1500/10 </t>
  </si>
  <si>
    <t>HMO w/HSA</t>
  </si>
  <si>
    <t>Plan 10: 2700/20</t>
  </si>
  <si>
    <t>HMO w/HSA 2600 (Alliance Network)</t>
  </si>
  <si>
    <t>UHC Signature Value Alliance HMO Medical Plan</t>
  </si>
  <si>
    <t>UHC HSA Select Plus PPO Medical Plan</t>
  </si>
  <si>
    <t>ALTERG INC</t>
  </si>
  <si>
    <t xml:space="preserve">Plan 8: 500/20 </t>
  </si>
  <si>
    <t>UHC PPO 500/1000 CA</t>
  </si>
  <si>
    <t xml:space="preserve">Plan 14: 500/20 </t>
  </si>
  <si>
    <t>UHC PPO 500/1000 Non CA</t>
  </si>
  <si>
    <t>UHC HDHP 1500/3000 CA</t>
  </si>
  <si>
    <t>UHC HDHP 1500/3000 Non CA</t>
  </si>
  <si>
    <t>Plan 1: 10/0</t>
  </si>
  <si>
    <t>HMO 10/0 (SignatureValue Network)</t>
  </si>
  <si>
    <t>United Healthcare Signature Value HMO 10/0%</t>
  </si>
  <si>
    <t>Plan 7: 250/10</t>
  </si>
  <si>
    <t>PPO 250 (Select Plus Network)</t>
  </si>
  <si>
    <t>United Healthcare Select Plus PPO</t>
  </si>
  <si>
    <t>Plan 13: 250/10</t>
  </si>
  <si>
    <t>Applied Proteomics, Inc.</t>
  </si>
  <si>
    <t>UHC Signature Value HMO Medical Plan</t>
  </si>
  <si>
    <t>PPO 500 (Select Plus Network)</t>
  </si>
  <si>
    <t>UHC Select Plus Advantage PPO Medical Plan</t>
  </si>
  <si>
    <t>UHC Select Plus Advantage PPO w/HSA Medical Plan</t>
  </si>
  <si>
    <t>Applied Stem Cell, Inc</t>
  </si>
  <si>
    <t>California - Select Plus HSA</t>
  </si>
  <si>
    <t>Arena Pharmaceuticals</t>
  </si>
  <si>
    <t>UnitedHealthcare HMO</t>
  </si>
  <si>
    <t>Plan 4: 10/0</t>
  </si>
  <si>
    <t>HMO - Limited Network</t>
  </si>
  <si>
    <t>UnitedHealthcare HMO LIMITED NETWORK</t>
  </si>
  <si>
    <t>UnitedHealthcare PPO</t>
  </si>
  <si>
    <t>HDHP with HSA</t>
  </si>
  <si>
    <t>UnitedHealthcare HSA</t>
  </si>
  <si>
    <t>ATUM (DNA TwopointO)</t>
  </si>
  <si>
    <t>Plan 3: 20-40/500A</t>
  </si>
  <si>
    <t>UHC HMO CLSA Trust - Plan 3</t>
  </si>
  <si>
    <t>UHC PPO CLSA Trust - Plan 8</t>
  </si>
  <si>
    <t>aTyr Pharma</t>
  </si>
  <si>
    <t>United HealthCare HMO Medical Plan</t>
  </si>
  <si>
    <t>United HealthCare PPO Medical Plan</t>
  </si>
  <si>
    <t>United HealthCare HSA Medical Plan</t>
  </si>
  <si>
    <t>BioNano, Inc.</t>
  </si>
  <si>
    <t>HDHP</t>
  </si>
  <si>
    <t>United Healthcare HMO Signature Medical Plan</t>
  </si>
  <si>
    <t>United Healthcare PPO Select Plus Medical Plan</t>
  </si>
  <si>
    <t>Bird Rock Bio, Inc</t>
  </si>
  <si>
    <t>United Healthcare PPO (HSA) Medical Plan</t>
  </si>
  <si>
    <t>Signature Value HMO 15/250A</t>
  </si>
  <si>
    <t>Select Plus Advantage PPO 250/10</t>
  </si>
  <si>
    <t>Select Plus Advantage PPO w/ HSA 1500/10</t>
  </si>
  <si>
    <t>California Proton Therapy Center</t>
  </si>
  <si>
    <t>UHCMEDOPT1(SV)_2018 Medical Plan</t>
  </si>
  <si>
    <t>HMO 10/0% (Alliance Network)</t>
  </si>
  <si>
    <t>UHCMEDOPT4(SVA)_2018 Medical Plan</t>
  </si>
  <si>
    <t>UHCMEDOPT7(SP)_2018 Medical Plan</t>
  </si>
  <si>
    <t>UHCMEDOPT11(SP)_2018 Medical Plan</t>
  </si>
  <si>
    <t xml:space="preserve">Plan 3: 20-40/500A </t>
  </si>
  <si>
    <t>HMO 20-40/500A (SignatureValue Network)</t>
  </si>
  <si>
    <t>United Health Care HMO Medical Plan</t>
  </si>
  <si>
    <t>Cymabay Therapeutics Inc</t>
  </si>
  <si>
    <t>UHC HMO 15/250A</t>
  </si>
  <si>
    <t>UHC PPO 250/10</t>
  </si>
  <si>
    <t>UHC HSA 1500/10 Enhanced Rx</t>
  </si>
  <si>
    <t>UHC HMO</t>
  </si>
  <si>
    <t>UHC HSA</t>
  </si>
  <si>
    <t>Dare Bioscience, Inc.</t>
  </si>
  <si>
    <t>HMO 15/250A</t>
  </si>
  <si>
    <t>UHC HMO 15/250A Medical Plan</t>
  </si>
  <si>
    <t>PPO $250</t>
  </si>
  <si>
    <t>UHC PPO $250 Medical Plan</t>
  </si>
  <si>
    <t>GIMDx Inc.</t>
  </si>
  <si>
    <t>United Healthcare HMO Medical Plan</t>
  </si>
  <si>
    <t>United Healthcare PPO Medical Plan</t>
  </si>
  <si>
    <t>PPO 500 (Choice Plus Network)</t>
  </si>
  <si>
    <t>United Healthcare HSA Medical Plan</t>
  </si>
  <si>
    <t>Humanigen</t>
  </si>
  <si>
    <t>UHC HMO15/250A(SignatureValueNetwork) Medical Plan</t>
  </si>
  <si>
    <t>UHC PPO 500 (Select Plus Network) Medical Plan</t>
  </si>
  <si>
    <t>UHC HSA 1500 (Select Plus Network) Medical Plan</t>
  </si>
  <si>
    <t>HSA 1500 (Choice Plus Network)</t>
  </si>
  <si>
    <t>Plan 18: 2700/20</t>
  </si>
  <si>
    <t>Incorrect ER Plan Name - Should be HSA 2700</t>
  </si>
  <si>
    <t>Plan 19: 2700/20</t>
  </si>
  <si>
    <t>UHC HMO Medical Plan</t>
  </si>
  <si>
    <t>UHC HSA PPO Medical Plan</t>
  </si>
  <si>
    <t>Okapi Environmental Group, Inc.</t>
  </si>
  <si>
    <t>Plexxikon, Inc.</t>
  </si>
  <si>
    <t>UHC HMO Plan 3 (CLSA Trust)</t>
  </si>
  <si>
    <t>UHC PPO Plan 7 (CLSA Trust)</t>
  </si>
  <si>
    <t>PLOS</t>
  </si>
  <si>
    <t>United Healthcare HMO</t>
  </si>
  <si>
    <t>United Healthcare PPO 500</t>
  </si>
  <si>
    <t>United Healthcare PPO 1500 with HSA</t>
  </si>
  <si>
    <t>UHC PPO w/HSA 1500/10 Medical Plan</t>
  </si>
  <si>
    <t>Signature Value HMO 20</t>
  </si>
  <si>
    <t xml:space="preserve">Plan 5: 15/250A </t>
  </si>
  <si>
    <t>Alliance HMO 15</t>
  </si>
  <si>
    <t>UHC Signature Val Alliance HMO Medical Plan</t>
  </si>
  <si>
    <t>PPO 500</t>
  </si>
  <si>
    <t>UHC PPO HSA Medical Plan</t>
  </si>
  <si>
    <t>Prothena Biosciences, Inc</t>
  </si>
  <si>
    <t>UHC HMO Signature Medical Plan</t>
  </si>
  <si>
    <t>UHC PPO 250/10 Select Plus Medical Plan</t>
  </si>
  <si>
    <t>PPO 250 (Choice Plus Network)</t>
  </si>
  <si>
    <t>UHC PPO (HSA) 1500/10 Select Plus Medical Plan</t>
  </si>
  <si>
    <t>Qool Therapeutics Inc</t>
  </si>
  <si>
    <t>UHC PPO Plan 7:250/10 Medical Plan</t>
  </si>
  <si>
    <t>UHC PPO w/HSA Plan 11:1500/10 Medical Plan</t>
  </si>
  <si>
    <t>UHC CA HMO Signature Value Network Medical Plan</t>
  </si>
  <si>
    <t>Select Plus</t>
  </si>
  <si>
    <t>UHC PPO Select Plus</t>
  </si>
  <si>
    <t>UHC PPO Select Plus- All Other States</t>
  </si>
  <si>
    <t xml:space="preserve">Choice Plus </t>
  </si>
  <si>
    <t>UHC PPO Choice Plus</t>
  </si>
  <si>
    <t>UHC PPO Choice Select ‰ÛÒ AK, OR, TX, WI, MT, WY, ID</t>
  </si>
  <si>
    <t>Sani-Tech West, Inc.</t>
  </si>
  <si>
    <t>SEASPINE INC</t>
  </si>
  <si>
    <t>UHC - SignatureValue HMO -- Full Ne</t>
  </si>
  <si>
    <t>UHC Signature Value Full Network HMO Medical Plan</t>
  </si>
  <si>
    <t>Signature Value Alliance HMO - Limi</t>
  </si>
  <si>
    <t>UHC - HSA 1500 High</t>
  </si>
  <si>
    <t>UnitedHealthcare HSA 1500 Medical Plan</t>
  </si>
  <si>
    <t>UHC - HSA 2700 Low</t>
  </si>
  <si>
    <t>UnitedHealthcare HSA 2700 Medical Plan</t>
  </si>
  <si>
    <t>SEASPINE SALES, LLC</t>
  </si>
  <si>
    <t>Isotis Ortho</t>
  </si>
  <si>
    <t>SentreHeart</t>
  </si>
  <si>
    <t>HMO Plan 3</t>
  </si>
  <si>
    <t>PPO Plan 9</t>
  </si>
  <si>
    <t>PPO w/HSA Plan 11</t>
  </si>
  <si>
    <t>SFJ Pharmaceuticals Group</t>
  </si>
  <si>
    <t>Dropped HMO in 2018</t>
  </si>
  <si>
    <t>UHC 15-250A HMO (Signature Value)</t>
  </si>
  <si>
    <t>UHC 250 PPO (Select Plus)</t>
  </si>
  <si>
    <t>UHC 1500 HSA (Select Plus)</t>
  </si>
  <si>
    <t>UHC SELECT PLUS ADVANTAGE HSA Medical Plan</t>
  </si>
  <si>
    <t>Sutrovax, Inc.</t>
  </si>
  <si>
    <t>UHC PPO Plan 7: 250/10 Select Plus Medical Plan</t>
  </si>
  <si>
    <t>UHC PPO w/ HSA Plan 11:1500/10 Select+ MedicalPlan</t>
  </si>
  <si>
    <t>Tocagen</t>
  </si>
  <si>
    <t>Triple Ring Technoloiges, Inc.</t>
  </si>
  <si>
    <t>UHC PPO 500</t>
  </si>
  <si>
    <t>UHC HSA 1500/10</t>
  </si>
  <si>
    <t>TriReme Medical LLC</t>
  </si>
  <si>
    <t>000056</t>
  </si>
  <si>
    <t>Xoma (US) LLC</t>
  </si>
  <si>
    <t>000015</t>
  </si>
  <si>
    <t>000013</t>
  </si>
  <si>
    <t>Crinetics Pharmaceuticals, Inc</t>
  </si>
  <si>
    <t>AIRXPANDERS INC.</t>
  </si>
  <si>
    <t xml:space="preserve">Amy Rowland
760 723-3231
Amy@pangeabiological.com </t>
  </si>
  <si>
    <t>000066</t>
  </si>
  <si>
    <t>000067</t>
  </si>
  <si>
    <t>NY Statutory (via State)</t>
  </si>
  <si>
    <t>Somatek</t>
  </si>
  <si>
    <t>3937 Southview Drive, San Diego, CA 92117</t>
  </si>
  <si>
    <t>Account Managed by HUB Team
Producer - Nancy Howitt
Service Lead - Agnes Aguas</t>
  </si>
  <si>
    <t xml:space="preserve">Account Managed by HUB SD Team
Producer - Bev Gregory
Service Lead - Domenica Hernandez
</t>
  </si>
  <si>
    <t>Account Managed by HUB Carlsbad Team
Producer - Neal Stehly
Service Lead - Sara Barba
Primary Contact -Tierney Watson
Admin - Lisa Cameron</t>
  </si>
  <si>
    <t xml:space="preserve">Plan Number </t>
  </si>
  <si>
    <t>Grp B (30-39)</t>
  </si>
  <si>
    <t>Grp C (40-49)</t>
  </si>
  <si>
    <t>Bill Grp 21</t>
  </si>
  <si>
    <t>IGOE - Not part of Trust</t>
  </si>
  <si>
    <t>Ewa Olesiak-Deptuch
908 375 2014
Ewa.Olesiak@integrium.com</t>
  </si>
  <si>
    <t>UnitedHealthcare
5771 Katella Avenue
CA120-0530
Cypress, CA 90630</t>
  </si>
  <si>
    <t>Jennifer Masangcay</t>
  </si>
  <si>
    <t>COBRA EDI Coordinator</t>
  </si>
  <si>
    <t xml:space="preserve">jmasangcay@goigoe.com  </t>
  </si>
  <si>
    <t>EDI Team</t>
  </si>
  <si>
    <t xml:space="preserve">EDI@goigoe.com </t>
  </si>
  <si>
    <t>Jacqui Lopez</t>
  </si>
  <si>
    <t>P: 858.815.2545</t>
  </si>
  <si>
    <t>858.430.5896</t>
  </si>
  <si>
    <t>jlopez@goigoe.com</t>
  </si>
  <si>
    <t>Director Finance, Benefits and Trust Operations</t>
  </si>
  <si>
    <t>P: 925-378-5967</t>
  </si>
  <si>
    <t>Vice President of Finance</t>
  </si>
  <si>
    <t>925-234-9058</t>
  </si>
  <si>
    <t>CLSA Tech Support</t>
  </si>
  <si>
    <t>clsatechsupport@zuman.com</t>
  </si>
  <si>
    <t>CAL-Cobra Policy Number</t>
  </si>
  <si>
    <t>CAL-COBRA PVRC</t>
  </si>
  <si>
    <t>Integrium and OC Research Center</t>
  </si>
  <si>
    <t>DBA / Other Name</t>
  </si>
  <si>
    <t>SeaSpine</t>
  </si>
  <si>
    <t>Public Library of Science</t>
  </si>
  <si>
    <t>Kalos Bio</t>
  </si>
  <si>
    <t>Advanced Brain Monitoring Inc</t>
  </si>
  <si>
    <t>Applied Stem Cell Inc</t>
  </si>
  <si>
    <t>Arena Pharmaceuticals Inc</t>
  </si>
  <si>
    <t>aTyr Pharma, Inc - CLSA</t>
  </si>
  <si>
    <t>BioSpyder-CLSA</t>
  </si>
  <si>
    <t>Bird Rock Bio, Inc. - CLSA</t>
  </si>
  <si>
    <t>Carlsbad Tech</t>
  </si>
  <si>
    <t>Carol Cole Company-CLSA</t>
  </si>
  <si>
    <t>ChemDiv., Inc</t>
  </si>
  <si>
    <t>Cidara Therapeutics-CLSA</t>
  </si>
  <si>
    <t>CTK Biotech-CLSA</t>
  </si>
  <si>
    <t>CymaBay Therapeutics</t>
  </si>
  <si>
    <t>ImpediMed-CLSA</t>
  </si>
  <si>
    <t>Kodiak Sciences Inc</t>
  </si>
  <si>
    <t>Okapi Environmental Group Inc</t>
  </si>
  <si>
    <t>Pipeline Therapeutics, Inc</t>
  </si>
  <si>
    <t>Plexxikon Inc</t>
  </si>
  <si>
    <t>Primmune Therapeutics, Inc</t>
  </si>
  <si>
    <t>Prothena Biosciences Inc</t>
  </si>
  <si>
    <t>Retrophin Inc.</t>
  </si>
  <si>
    <t>SFJ Pharmaceuticals Inc.</t>
  </si>
  <si>
    <t>Sutrovax, Inc</t>
  </si>
  <si>
    <t>XOMA Corportation</t>
  </si>
  <si>
    <t>IGOE COBRA Division Name</t>
  </si>
  <si>
    <t>IGOE COBRA Client Name</t>
  </si>
  <si>
    <t>10020 Huennekens Street
San Diego, CA 92121</t>
  </si>
  <si>
    <t>Sotera Wireless, Inc.</t>
  </si>
  <si>
    <t>Optum Health
*Moved back to old policy / account (HB783)</t>
  </si>
  <si>
    <t>Maria Soloveychik
415.706.8701
msoloveychik@synthexlabs.com
Additional Contact: 
Tri Luong 
tluong@synthexlabs.com</t>
  </si>
  <si>
    <t>Bionano Genomics</t>
  </si>
  <si>
    <t>Cytori Therapeutics, Inc.</t>
  </si>
  <si>
    <t>BG#</t>
  </si>
  <si>
    <r>
      <t>2,</t>
    </r>
    <r>
      <rPr>
        <b/>
        <sz val="8"/>
        <rFont val="Calibri"/>
        <family val="2"/>
        <scheme val="minor"/>
      </rPr>
      <t xml:space="preserve"> 5</t>
    </r>
    <r>
      <rPr>
        <sz val="8"/>
        <rFont val="Calibri"/>
        <family val="2"/>
        <scheme val="minor"/>
      </rPr>
      <t>, 9, 11</t>
    </r>
  </si>
  <si>
    <t>N/A (does not want to set up)</t>
  </si>
  <si>
    <r>
      <t xml:space="preserve">1, </t>
    </r>
    <r>
      <rPr>
        <sz val="8"/>
        <color rgb="FFFF0000"/>
        <rFont val="Calibri"/>
        <family val="2"/>
        <scheme val="minor"/>
      </rPr>
      <t>4</t>
    </r>
    <r>
      <rPr>
        <sz val="8"/>
        <rFont val="Calibri"/>
        <family val="2"/>
        <scheme val="minor"/>
      </rPr>
      <t>, 8, 11</t>
    </r>
  </si>
  <si>
    <r>
      <t xml:space="preserve">
</t>
    </r>
    <r>
      <rPr>
        <sz val="8"/>
        <rFont val="Calibri"/>
        <family val="2"/>
        <scheme val="minor"/>
      </rPr>
      <t xml:space="preserve">ATUM (AKA DNA) </t>
    </r>
  </si>
  <si>
    <r>
      <t>No Motion/</t>
    </r>
    <r>
      <rPr>
        <sz val="8"/>
        <color rgb="FFFF0000"/>
        <rFont val="Calibri"/>
        <family val="2"/>
        <scheme val="minor"/>
      </rPr>
      <t>Access PDL</t>
    </r>
  </si>
  <si>
    <t xml:space="preserve">No. CA
</t>
  </si>
  <si>
    <r>
      <t xml:space="preserve">No Motion, </t>
    </r>
    <r>
      <rPr>
        <sz val="8"/>
        <color rgb="FFFF0000"/>
        <rFont val="Calibri"/>
        <family val="2"/>
        <scheme val="minor"/>
      </rPr>
      <t>Access</t>
    </r>
    <r>
      <rPr>
        <sz val="8"/>
        <rFont val="Calibri"/>
        <family val="2"/>
        <scheme val="minor"/>
      </rPr>
      <t xml:space="preserve"> </t>
    </r>
    <r>
      <rPr>
        <sz val="8"/>
        <color rgb="FFFF0000"/>
        <rFont val="Calibri"/>
        <family val="2"/>
        <scheme val="minor"/>
      </rPr>
      <t>PDL</t>
    </r>
  </si>
  <si>
    <r>
      <rPr>
        <sz val="8"/>
        <color rgb="FFFF0000"/>
        <rFont val="Calibri"/>
        <family val="2"/>
        <scheme val="minor"/>
      </rPr>
      <t>Motion</t>
    </r>
    <r>
      <rPr>
        <sz val="8"/>
        <rFont val="Calibri"/>
        <family val="2"/>
        <scheme val="minor"/>
      </rPr>
      <t xml:space="preserve">, </t>
    </r>
    <r>
      <rPr>
        <sz val="8"/>
        <color rgb="FFFF0000"/>
        <rFont val="Calibri"/>
        <family val="2"/>
        <scheme val="minor"/>
      </rPr>
      <t>Access PDL</t>
    </r>
  </si>
  <si>
    <t xml:space="preserve">909678TRU </t>
  </si>
  <si>
    <t xml:space="preserve">909678TSI </t>
  </si>
  <si>
    <t>000069</t>
  </si>
  <si>
    <t>909678FTP</t>
  </si>
  <si>
    <t>Hancock Jaffe Laboratory</t>
  </si>
  <si>
    <t>Sequoia Consulting Group</t>
  </si>
  <si>
    <t>000068</t>
  </si>
  <si>
    <r>
      <t>No Motion,</t>
    </r>
    <r>
      <rPr>
        <sz val="8"/>
        <color rgb="FFFF0000"/>
        <rFont val="Calibri"/>
        <family val="2"/>
        <scheme val="minor"/>
      </rPr>
      <t xml:space="preserve"> Access </t>
    </r>
    <r>
      <rPr>
        <sz val="8"/>
        <rFont val="Calibri"/>
        <family val="2"/>
        <scheme val="minor"/>
      </rPr>
      <t>PDL</t>
    </r>
  </si>
  <si>
    <t>909678SCG</t>
  </si>
  <si>
    <t xml:space="preserve">Somatik Technologies </t>
  </si>
  <si>
    <t>909678SOT</t>
  </si>
  <si>
    <t>Nicole Song
415-590-3512
nsong@plos.org</t>
  </si>
  <si>
    <t>Client wants to push/send ACH vs. it being pulled automatically</t>
  </si>
  <si>
    <t xml:space="preserve">All Active Full-Time Employees     </t>
  </si>
  <si>
    <t>90% Employee 80% Dependent</t>
  </si>
  <si>
    <t>C O B R A</t>
  </si>
  <si>
    <t>Vision Plan 2 M130D-10/25</t>
  </si>
  <si>
    <t>Megan Wallace</t>
  </si>
  <si>
    <t>858-373-6959</t>
  </si>
  <si>
    <t>Megan.Wallace@hubinternational.com</t>
  </si>
  <si>
    <t>Account Managed by HUB SD Team
Producer - Maggie Osburn
Service Lead - Megan Wallace</t>
  </si>
  <si>
    <t>Account Managed by HUB SD Team
Producer - Bev Gregory
Service Lead - Megan Wallace</t>
  </si>
  <si>
    <t>Account Managed by HUB SD Team
Producer - Neal Cook
Service Lead- Megan Wallace</t>
  </si>
  <si>
    <t>Account Managed by HUB SD Team
Producer - Maggie Osburn
Service Lead - Randell Jacobs</t>
  </si>
  <si>
    <t>Account Managed by HUB SD Team
Producer - Dave Duenas
Service Lead - Randell Jacobs</t>
  </si>
  <si>
    <t>Account Managed by HUB SD Team
Producer - Dave Duenas
Service Lead - Pam Andrakowicz</t>
  </si>
  <si>
    <t>Alice Feng
(858) 784-9346
fenga@scripps.edu</t>
  </si>
  <si>
    <t xml:space="preserve">Account Managed by HUB SD Team
Producer - Neal Cook
Service Lead - Megan Wallace
</t>
  </si>
  <si>
    <t>Missing</t>
  </si>
  <si>
    <t>Received</t>
  </si>
  <si>
    <t xml:space="preserve">000073
</t>
  </si>
  <si>
    <t>Termed Client</t>
  </si>
  <si>
    <t>863 Mitten Road, Suite 104
Burlingame, CA 94010</t>
  </si>
  <si>
    <t>11119 N Torrey Pines Rd, Suite 115
La Jolla, CA 92037</t>
  </si>
  <si>
    <t>Primer</t>
  </si>
  <si>
    <t>Karen Hulsizer</t>
  </si>
  <si>
    <t>P: 610-758-7006</t>
  </si>
  <si>
    <t>Karen.Hulsizer@cigna.com</t>
  </si>
  <si>
    <t>Andrea Leon</t>
  </si>
  <si>
    <t>858-815-2536</t>
  </si>
  <si>
    <t>Aleon@goigoe.com</t>
  </si>
  <si>
    <t>Alwyn Beatima</t>
  </si>
  <si>
    <t>Flex Account Representative</t>
  </si>
  <si>
    <t>858-815-2538</t>
  </si>
  <si>
    <t>Abeatima@goigoe.com</t>
  </si>
  <si>
    <t>Cigna</t>
  </si>
  <si>
    <t xml:space="preserve">Donna Rainwater
858-703-6544
rainwater@crinetics.com </t>
  </si>
  <si>
    <t>Michelle Vollrath</t>
  </si>
  <si>
    <t>Vice President of Account Management</t>
  </si>
  <si>
    <t>P: 858) 699-6312</t>
  </si>
  <si>
    <t>michelle_g_vollrath@uhc.com</t>
  </si>
  <si>
    <t>Vice President of Underwriting</t>
  </si>
  <si>
    <t>Maurice Couser</t>
  </si>
  <si>
    <t>maurice.couser@uhc.com</t>
  </si>
  <si>
    <t>Jeffrey_p_dooley@uhc.com</t>
  </si>
  <si>
    <t>2300 Clayton Rd. Suite 1000
Concord, CA 94520</t>
  </si>
  <si>
    <t>Jeff Dooley</t>
  </si>
  <si>
    <t>P: (925) 246-1474</t>
  </si>
  <si>
    <t>Vice President of  Key Accounts</t>
  </si>
  <si>
    <t>Darren Brown</t>
  </si>
  <si>
    <t>Execuitve Vice President</t>
  </si>
  <si>
    <t>darren.brown@theabdteam.com</t>
  </si>
  <si>
    <t>P: (415) 816-5170</t>
  </si>
  <si>
    <t>CEO</t>
  </si>
  <si>
    <t>Vice President of Business Development</t>
  </si>
  <si>
    <t>250 E. Grand Avenue, Suite 26
South San Francisco, 94080</t>
  </si>
  <si>
    <t>sradcliffe@califesciences.org</t>
  </si>
  <si>
    <t>kbryant@califesciences.org</t>
  </si>
  <si>
    <t>Sara Radcliffe</t>
  </si>
  <si>
    <t>Kelly Bryant</t>
  </si>
  <si>
    <t>P: (650) 871-3261</t>
  </si>
  <si>
    <t>P: (424) 744-0025</t>
  </si>
  <si>
    <t>NJ Statutory</t>
  </si>
  <si>
    <t>Matt Camp
858-373-4808
matthew.camp@soterawireless.com</t>
  </si>
  <si>
    <t>joe@califesciences.org</t>
  </si>
  <si>
    <t>ljordan@califesciences.org</t>
  </si>
  <si>
    <t>Joe</t>
  </si>
  <si>
    <t>L Jordan</t>
  </si>
  <si>
    <t>Client Pays Via Check</t>
  </si>
  <si>
    <t xml:space="preserve">Kerry Kanuho </t>
  </si>
  <si>
    <t>Account Coordinator</t>
  </si>
  <si>
    <t>1 877-427-1485 ext. 3061950</t>
  </si>
  <si>
    <t>Kerry.Kanuho@optum.com</t>
  </si>
  <si>
    <t>Daniel Roth</t>
  </si>
  <si>
    <t>VP of Sales</t>
  </si>
  <si>
    <t>daniel.roth@optum.com</t>
  </si>
  <si>
    <t>Cary Rosenzweig</t>
  </si>
  <si>
    <t>P: 925-401-7643</t>
  </si>
  <si>
    <t>cary@zuman.com</t>
  </si>
  <si>
    <t>Founder / Chief Executive Officer</t>
  </si>
  <si>
    <t xml:space="preserve">Chief Technology Officer </t>
  </si>
  <si>
    <t>Sr. Account Coordinator</t>
  </si>
  <si>
    <t>P: 650-437-0907</t>
  </si>
  <si>
    <t>shelleen.rivera@theabdteam.com</t>
  </si>
  <si>
    <t>Shelleen Rivera</t>
  </si>
  <si>
    <t>Renee Polk</t>
  </si>
  <si>
    <t>Executive Vice President / Founding Principal</t>
  </si>
  <si>
    <t>P: 650-488-8536</t>
  </si>
  <si>
    <t>renee.polk@theabdteam.com</t>
  </si>
  <si>
    <t>Toolbox Genomics, Inc.</t>
  </si>
  <si>
    <t>75 Broadway #251
San Francisco, CA 94111</t>
  </si>
  <si>
    <t>Didier Perez
415-269-0666
didier@toolboxgenomics.com</t>
  </si>
  <si>
    <t>Account Payable Team
415-269-0666
AP@toolboxgenomics.com</t>
  </si>
  <si>
    <t>Mark Fitchmun
858-449-1310
fitchmun@somatek.com</t>
  </si>
  <si>
    <t>10578 Science Center Drive, Suite 200
San Diego, CA 92121</t>
  </si>
  <si>
    <t>Preventative Drug List</t>
  </si>
  <si>
    <t>Aligos Therapeutics, Inc.</t>
  </si>
  <si>
    <t>156 2nd Avenue
San Francisco, CA 94118
*Quoted under Provided Zip: 94080 (and Address will be changing again soon)</t>
  </si>
  <si>
    <t>Bharath Kumandan
917-603-0493
bkumandan@aligos.com</t>
  </si>
  <si>
    <t>DC3 Therapeutics, LLC</t>
  </si>
  <si>
    <t>160 S. Linden Ave., Suite 130
South San Francisco, CA  94080</t>
  </si>
  <si>
    <t>Robyn Gregory
703-408-0147
robyn@dc3therapeutics.com</t>
  </si>
  <si>
    <t>Courtney Stanley</t>
  </si>
  <si>
    <t>Account Manager - Trust Services</t>
  </si>
  <si>
    <t>858-373-6960</t>
  </si>
  <si>
    <t xml:space="preserve">Courtney.Stanley@hubinternational.com </t>
  </si>
  <si>
    <t>Account Managed by HUB SD Team
Producer - Dave Duenas
Service Lead - Jessica Hurley Webb
Account Rep - Courtney Stanley</t>
  </si>
  <si>
    <t>Account Managed by HUB SD Team
Producer - Dave Duenas
Service Lead - Lydia Frazer
Account Rep - Courtney Stanley</t>
  </si>
  <si>
    <t>Account Managed by HUB SD Team
Producer - Neal Cook
Service Lead - Domenica Hernandez
Account Rep - Courtney Stanley</t>
  </si>
  <si>
    <t>Account Managed by HUB SD Team
Producer - Dave Duenas
Service Lead - Domenica Hernandez 
Account Rep - Courtney Stanley</t>
  </si>
  <si>
    <t>Account Managed by HUB SD Team
Producer- Dave Duenas
Service Lead- Domenica Hernandez 
Account Rep - Courtney Stanley</t>
  </si>
  <si>
    <t>Account Managed by HUB SD Team
Producer - Maggie Osburn
Service Lead - Courtney Stanley</t>
  </si>
  <si>
    <t>Account Managed by HUB SD Team
Producer - Dave Duenas
Service Lead - Courtney Stanley</t>
  </si>
  <si>
    <t>Account Managed by HUB SD Team
Producer - Neal Cook
Service Lead - Courtney Stanley</t>
  </si>
  <si>
    <t xml:space="preserve">Account Managed by HUB SD Team
Producer - Maggie Osburn
Service Lead - Courtney Stanley
</t>
  </si>
  <si>
    <t>lyndsay.errington@theabdteam.com</t>
  </si>
  <si>
    <t>Lyndsay Errington</t>
  </si>
  <si>
    <r>
      <t>1</t>
    </r>
    <r>
      <rPr>
        <vertAlign val="superscript"/>
        <sz val="10"/>
        <color theme="1"/>
        <rFont val="Arial"/>
        <family val="2"/>
      </rPr>
      <t>st</t>
    </r>
    <r>
      <rPr>
        <sz val="10"/>
        <color theme="1"/>
        <rFont val="Arial"/>
        <family val="2"/>
      </rPr>
      <t xml:space="preserve"> of month following 30 days</t>
    </r>
  </si>
  <si>
    <t>1st of month following 30 Days</t>
  </si>
  <si>
    <t>000077</t>
  </si>
  <si>
    <t>000075</t>
  </si>
  <si>
    <t>000076</t>
  </si>
  <si>
    <t>000073</t>
  </si>
  <si>
    <t xml:space="preserve">Mike Tebesceff
201-647-3191
mtebesceff@lmcopartners.com
Additional Contacts:
Virginia Nigro
vnigro@signatureanalytics.com
858.774.5467
Darlene.frenchporter@californiaprotons.com
pjain@signatureanalytics.com
</t>
  </si>
  <si>
    <t>CLSA Consolidated COBRA Account (CCCA)</t>
  </si>
  <si>
    <t>Account Managed by HUB SD Team
Producer - Matt Creighton
Service Lead - Ben Hendricks
AM - Yvonne Bello</t>
  </si>
  <si>
    <t xml:space="preserve">Account Managed by HUB SD Team
Producer - Matt Creighton
Service Lead - Erin Gage
</t>
  </si>
  <si>
    <t xml:space="preserve">Account Managed by Woodruff-Sawyer Team
Producer - Chris Nussbaum 
Service Lead - Kimmy Fung
</t>
  </si>
  <si>
    <t>1st of month following 60 Days</t>
  </si>
  <si>
    <t>Provenance Biofabrics, Inc.</t>
  </si>
  <si>
    <t>Christian Ewton
858-229-4077
Christian@provenance.bio</t>
  </si>
  <si>
    <t>953 Indiana St., San Francisco, CA 94107</t>
  </si>
  <si>
    <t>#N/A</t>
  </si>
  <si>
    <t>Christina Garcia</t>
  </si>
  <si>
    <t>562-777-2736</t>
  </si>
  <si>
    <t>Christina.U.Garcia@kp.org</t>
  </si>
  <si>
    <t>11980 Telegraph Rd, Suite 200 
Santa Fe Springs, CA 90670</t>
  </si>
  <si>
    <t xml:space="preserve">SFJ Pharmaceuticals </t>
  </si>
  <si>
    <t>HB783</t>
  </si>
  <si>
    <t>909678OEG</t>
  </si>
  <si>
    <t xml:space="preserve">4, 8, 11 </t>
  </si>
  <si>
    <t xml:space="preserve">2, 8, 11
</t>
  </si>
  <si>
    <t>HB906097</t>
  </si>
  <si>
    <t>SyntheX</t>
  </si>
  <si>
    <t>Sotera Wireless</t>
  </si>
  <si>
    <t>2, 5, 8</t>
  </si>
  <si>
    <t>Aligos Therapeutics</t>
  </si>
  <si>
    <t>909678ALI</t>
  </si>
  <si>
    <t>909678DC3</t>
  </si>
  <si>
    <t>Toolbox</t>
  </si>
  <si>
    <t>909678TOO</t>
  </si>
  <si>
    <t xml:space="preserve"> 7, 11 </t>
  </si>
  <si>
    <t>MetLife Vision Size</t>
  </si>
  <si>
    <t>Arena Pharmaceuticals, Inc.</t>
  </si>
  <si>
    <t>ATUM</t>
  </si>
  <si>
    <t>Client Name from 2018 Tab</t>
  </si>
  <si>
    <t>Trust Original Effective Date</t>
  </si>
  <si>
    <t>Products</t>
  </si>
  <si>
    <t>Carrier</t>
  </si>
  <si>
    <t>Plan
Name</t>
  </si>
  <si>
    <t>Plan
Description</t>
  </si>
  <si>
    <t>Plan
Number</t>
  </si>
  <si>
    <t>Classes</t>
  </si>
  <si>
    <t>Pre/Post Tax?</t>
  </si>
  <si>
    <t>Permitted to
Waive?</t>
  </si>
  <si>
    <t>Self Funded?</t>
  </si>
  <si>
    <t>Auto-Enroll in ER Sponsored</t>
  </si>
  <si>
    <t>United Healthcare</t>
  </si>
  <si>
    <t>UHCMEDOPT1(SV)_2018</t>
  </si>
  <si>
    <t>All Classes</t>
  </si>
  <si>
    <t>Pre-tax</t>
  </si>
  <si>
    <t>SignatureValue Network available for those residing in: CA</t>
  </si>
  <si>
    <t>UHCMEDOPT2(SV)_2018</t>
  </si>
  <si>
    <t>UHCMEDOPT3(SV)_2018</t>
  </si>
  <si>
    <t>UHCMEDOPT4(SVA)_2018</t>
  </si>
  <si>
    <t>HMO 10/0 (Alliance Network)</t>
  </si>
  <si>
    <t>Alliance Network available for those residing in: CA</t>
  </si>
  <si>
    <t>UHCMEDOPT5(SVA)_2018</t>
  </si>
  <si>
    <t>UHCMEDOPT6(SVA)_2018</t>
  </si>
  <si>
    <t>HMO 20-40/500A (Alliance Network)</t>
  </si>
  <si>
    <t>UHCMEDOPT7(SP)_2018</t>
  </si>
  <si>
    <t>UHCMEDOPT8(SP)_2018</t>
  </si>
  <si>
    <t>UHCMEDOPT9(SP)_2018</t>
  </si>
  <si>
    <t>UHCMEDOPT10(SVA)_2018</t>
  </si>
  <si>
    <t>HMO w/HSA 2700 (Alliance Network)</t>
  </si>
  <si>
    <t>UHCMEDOPT11(SP)_2018</t>
  </si>
  <si>
    <t>UHCMEDOPT12(SP)_2018</t>
  </si>
  <si>
    <t>HSA 4000 (Select Plus Network)</t>
  </si>
  <si>
    <t>UHCMEDOPT18(SP)_2018</t>
  </si>
  <si>
    <t>HSA 2700 (Select Plus Network)</t>
  </si>
  <si>
    <t>Out Of State Plans for PPO for those residing in: AK, OR, TX, WI, MT, WY, ID</t>
  </si>
  <si>
    <t>UHCMEDOPT13(CP)_2018</t>
  </si>
  <si>
    <t>Choice Plus Network available for those residing in: AK, OR, TX, WI, MT, WY, ID</t>
  </si>
  <si>
    <t>UHCMEDOPT14(CP)_2018</t>
  </si>
  <si>
    <t>UHCMEDOPT15(CP)_2018</t>
  </si>
  <si>
    <t>PPO 750 (Choice Plus Network)</t>
  </si>
  <si>
    <t>UHCMEDOPT16(CP)_2018</t>
  </si>
  <si>
    <t>UHCMEDOPT17(CP)_2018</t>
  </si>
  <si>
    <t>HSA 4000 (Choice Plus Network)</t>
  </si>
  <si>
    <t>UHCMEDOPT19(CP)_2018</t>
  </si>
  <si>
    <t>HSA 2700 (Choice Plus Network)</t>
  </si>
  <si>
    <t>Dental PPO Option1</t>
  </si>
  <si>
    <t>(100/80/50 $1.5k Max w/ 50% to $1.5k Ortho)</t>
  </si>
  <si>
    <t>Dental PPO Option2</t>
  </si>
  <si>
    <t>(100/90/60 (IN) &amp; 100/80/50 (OUT) $2k Max w/ 50% to $2k Ortho)</t>
  </si>
  <si>
    <t>Dental PPO Option3</t>
  </si>
  <si>
    <t>(100/90/60 $2k Max w/ 50% to $2k Ortho)</t>
  </si>
  <si>
    <t>Dental PPO Option4</t>
  </si>
  <si>
    <t>(100/80/50 $5k Max w/ 50% to $2k Ortho)</t>
  </si>
  <si>
    <t>Dental PPO Option5</t>
  </si>
  <si>
    <t>(100/80/50 $1.5k Max)</t>
  </si>
  <si>
    <t>Dental PPO Option6</t>
  </si>
  <si>
    <t>(100/90/60 (IN) &amp; 100/80/50 (OUT) $2k Max)</t>
  </si>
  <si>
    <t>Dental PPO Option7</t>
  </si>
  <si>
    <t>(100/90/60 $2k Max)</t>
  </si>
  <si>
    <t>Dental PPO Option8</t>
  </si>
  <si>
    <t>(100/80/50 $5k Max)</t>
  </si>
  <si>
    <t>VISPLAN1</t>
  </si>
  <si>
    <t>M130D-10/25</t>
  </si>
  <si>
    <t>VISPLAN2</t>
  </si>
  <si>
    <t>M130A-10/25</t>
  </si>
  <si>
    <t>VISPLAN7</t>
  </si>
  <si>
    <t>M150D-10/10</t>
  </si>
  <si>
    <t>Basic Life/AD&amp;D</t>
  </si>
  <si>
    <t>Basic Life/ADD Flat $50,000</t>
  </si>
  <si>
    <t>Post-tax</t>
  </si>
  <si>
    <t>Basic Life/ADD 1x earnings up to $500,000</t>
  </si>
  <si>
    <t>Basic Life/ADD 2x earnings up to $500,000</t>
  </si>
  <si>
    <t>Basic Life/ADD 3x earnings up to $750,000</t>
  </si>
  <si>
    <t>Supplemental Life/AD&amp;D</t>
  </si>
  <si>
    <t>Voluntary Employee</t>
  </si>
  <si>
    <t>1x - 5x earnings up to $500,000</t>
  </si>
  <si>
    <t>Voluntary Spouse</t>
  </si>
  <si>
    <t>GI $25,000 / $250,000 Max</t>
  </si>
  <si>
    <t>Voluntary Child(ren)</t>
  </si>
  <si>
    <t>Short-Term Disability</t>
  </si>
  <si>
    <t>Short Term Disability (STD)</t>
  </si>
  <si>
    <t>Long-Term Disability</t>
  </si>
  <si>
    <t>Long Term Disability (LTD)</t>
  </si>
  <si>
    <t>60% up to $10,000 (Gross Up)</t>
  </si>
  <si>
    <t>60% up to $20,000 (Gross Up)</t>
  </si>
  <si>
    <t>HSA &amp; Flex Spending Products</t>
  </si>
  <si>
    <t>HSA Provider Name:</t>
  </si>
  <si>
    <t>UHC with Optum Bank</t>
  </si>
  <si>
    <t>Yes/No</t>
  </si>
  <si>
    <t>HSA:</t>
  </si>
  <si>
    <t>LPFSA:</t>
  </si>
  <si>
    <t>FSA Provider Name:</t>
  </si>
  <si>
    <t>Medical FSA:</t>
  </si>
  <si>
    <t>DCRA:</t>
  </si>
  <si>
    <t>Worksite Benefits</t>
  </si>
  <si>
    <t>Accidental Injury (Non-WA)</t>
  </si>
  <si>
    <t>Off the Job Plan (Non-WA)</t>
  </si>
  <si>
    <t>Plan for those residing in a Non-Washington state</t>
  </si>
  <si>
    <t>Accidental Injury (WA)</t>
  </si>
  <si>
    <t>Off the Job Plan (WA)</t>
  </si>
  <si>
    <t>Plan for those residing in Washington state</t>
  </si>
  <si>
    <t>Critical Illness (Non-WA)</t>
  </si>
  <si>
    <t>Critical Illness (WA)</t>
  </si>
  <si>
    <t>Hospital Indemnity</t>
  </si>
  <si>
    <t>ER Paid/Auto Enroll</t>
  </si>
  <si>
    <t>Hospital Indemnity (Voluntary)</t>
  </si>
  <si>
    <t>EE Paid/ Enroll Optional</t>
  </si>
  <si>
    <t>COBRA Admin</t>
  </si>
  <si>
    <t>Kezar Life Sciences, Inc.</t>
  </si>
  <si>
    <t>4000 Shoreline, Suite 300
South San Francisco, CA  94080</t>
  </si>
  <si>
    <t>Marc Belsky
415-509-6168
mbelsky@kezarbio.com</t>
  </si>
  <si>
    <t>Mike Wolfe
650-822-5601
mwolfe@kezarbio.com</t>
  </si>
  <si>
    <t>47-3366145</t>
  </si>
  <si>
    <t>Zuman File Name</t>
  </si>
  <si>
    <t>Dental PPO (100/80/50 $1.5k Max w/ 50% to $1.5k Ortho)</t>
  </si>
  <si>
    <t>Dental PPO (100/90/60 - 100/80/50 $2k Max w/ 50% to $2k Ortho)</t>
  </si>
  <si>
    <t>Dental PPO (100/90/60 $2k Max w/50% to $2k Ortho)</t>
  </si>
  <si>
    <t>Dental PPO (100/80/50 $5k Max w/ 50% to $2k Ortho)</t>
  </si>
  <si>
    <t>Dental PPO (100/90/60 - 100/80/50 $2k Max)</t>
  </si>
  <si>
    <t>Dental PPO (100/90/60 $2k Max)</t>
  </si>
  <si>
    <t>Dental PPO (100/80/50 $5k Max)</t>
  </si>
  <si>
    <t>Vision PPO (M130D-10/25)</t>
  </si>
  <si>
    <t>Vision PPO (M130A-10/25)</t>
  </si>
  <si>
    <t>Vision PPO (M150D - 10/10)</t>
  </si>
  <si>
    <t>Basic Term Life/AD&amp;D-Employer Paid (Flat $50k)</t>
  </si>
  <si>
    <t>Basic Term Life and AD&amp;D 1x up to $500k</t>
  </si>
  <si>
    <t>Basic Term Life/AD&amp;D-Employer Paid (2x earnings up to $500,000)</t>
  </si>
  <si>
    <t>Basic Term Life/AD&amp;D-Employer Paid (3x earnings up to $750,000)</t>
  </si>
  <si>
    <t>Voluntary Employee Term Life/AD&amp;D-Paid By You</t>
  </si>
  <si>
    <t>Voluntary Spouse Term Life/AD&amp;D-Paid By You (50% EE up to $250k)</t>
  </si>
  <si>
    <t>Voluntary Child Term Life/AD&amp;D-Paid By You ($5,000)</t>
  </si>
  <si>
    <t>Voluntary Child Term Life/AD&amp;D-Paid By You ($10,000)</t>
  </si>
  <si>
    <t>Short Term Disability - Employer Paid (60% up to $2,500)</t>
  </si>
  <si>
    <t>Short Term Disability - Employer Paid (60% up to $3,000)</t>
  </si>
  <si>
    <t>Short Term Disability - Employer Paid (66.67% up to $3,000)</t>
  </si>
  <si>
    <t>Short Term Disability - Employer Paid (60% up to $3,500)</t>
  </si>
  <si>
    <t>Short Term Disability - Employer Paid (66.67% up to $3,500)</t>
  </si>
  <si>
    <t>Short Term Disability (NJ)- Employer Paid (66.67% up to $615)</t>
  </si>
  <si>
    <t>Long Term Disability - Employer Paid (60% up to $10,000)</t>
  </si>
  <si>
    <t>Long Term Disability - Gross up (60% up to $10,000)</t>
  </si>
  <si>
    <t>Long Term Disability - Employer Paid (66.67% up to $15,000)</t>
  </si>
  <si>
    <t>Long Term Disability - Employer Paid (60% up to $20,000)</t>
  </si>
  <si>
    <t>Long Term Disability - Employer Paid (60% up to $20,000 - Gross Up)</t>
  </si>
  <si>
    <t>Long Term Disability - Employer Paid (66.67% up to $20,000)</t>
  </si>
  <si>
    <t>Benefit Amount: $5,000 (Non-WA)</t>
  </si>
  <si>
    <t>Group Critical Illness ($5,000 Non-WA)</t>
  </si>
  <si>
    <t>Benefit Amount: $10,000 (Non-WA)</t>
  </si>
  <si>
    <t>Group Critical Illness ($10,000 Non-WA)</t>
  </si>
  <si>
    <t>Benefit Amount: $15,000 (Non-WA)</t>
  </si>
  <si>
    <t>Group Critical Illness ($15,000 Non-WA)</t>
  </si>
  <si>
    <t>Benefit Amount: $20,000 (Non-WA)</t>
  </si>
  <si>
    <t>Group Critical Illness ($20,000 Non-WA)</t>
  </si>
  <si>
    <t>Benefit Amount: $5,000 (WA)</t>
  </si>
  <si>
    <t>Group Critical Illness ($5,000 WA)</t>
  </si>
  <si>
    <t>Benefit Amount: $10,000 (WA)</t>
  </si>
  <si>
    <t>Group Critical Illness ($10,000 WA)</t>
  </si>
  <si>
    <t>Benefit Amount: $15,000 (WA)</t>
  </si>
  <si>
    <t>Group Critical Illness ($15,000 WA)</t>
  </si>
  <si>
    <t>Benefit Amount: $20,000 (WA)</t>
  </si>
  <si>
    <t>Group Critical Illness ($20,000 WA)</t>
  </si>
  <si>
    <t>Group Hospital Indemnity - Employer Paid</t>
  </si>
  <si>
    <t>Group Hospital Indemnity - Employee Paid</t>
  </si>
  <si>
    <t>12760 High Bluff Drive, Suite 370 
San Diego, Ca. 92130</t>
  </si>
  <si>
    <t>533 Airport Boulevard, Suite 400
Burlingame, CA 94010</t>
  </si>
  <si>
    <t xml:space="preserve">Group C (44-54) </t>
  </si>
  <si>
    <t>000078</t>
  </si>
  <si>
    <t>000079</t>
  </si>
  <si>
    <t>000080</t>
  </si>
  <si>
    <t>30-1059033</t>
  </si>
  <si>
    <t>1250 Prospect Street 
Ocean Level 4
La Jolla Ca 92037</t>
  </si>
  <si>
    <t>Nishan de Silva
(201 ) 221-6714
ndesilva@dermtreat.com</t>
  </si>
  <si>
    <t>Dermtreat Inc.</t>
  </si>
  <si>
    <t>Dental PPO (100/80/50 $1.5k Max)</t>
  </si>
  <si>
    <t>California Protons</t>
  </si>
  <si>
    <t>Crinetics Pharmaceuticals Inc.</t>
  </si>
  <si>
    <t>Faye Konrad</t>
  </si>
  <si>
    <t>P: 626.788.4613</t>
  </si>
  <si>
    <t>fkonrad@wsandco.com</t>
  </si>
  <si>
    <t>81-1664243</t>
  </si>
  <si>
    <t>FPG Services, LLC</t>
  </si>
  <si>
    <t>Ovation Fertility</t>
  </si>
  <si>
    <t xml:space="preserve">Account Managed by Woodruff-Sawyer Team
Producer - Leslie Slay
Service Lead - Faye Konrad
</t>
  </si>
  <si>
    <t>Superior State</t>
  </si>
  <si>
    <t>15821 Ventura Blvd., Suite 550
Encino, CA  91436</t>
  </si>
  <si>
    <t>Robert Chilton
(818) 858-1082
rchilton@ovationfertility.com</t>
  </si>
  <si>
    <t>Kris Elliott
(818) 858-1071
kelliott@ovationfertility.com</t>
  </si>
  <si>
    <t>Escient Pharmaceuticals, Inc.</t>
  </si>
  <si>
    <t>12255 El Camino Real, Suite 300
San Diego, CA 92130</t>
  </si>
  <si>
    <t>82-2065265</t>
  </si>
  <si>
    <t>Marie-Claire Durkin
858.337.4913
mcdurkin@escientpharma.com</t>
  </si>
  <si>
    <t>Beacon Discovery</t>
  </si>
  <si>
    <t>6118 Nancy Ridge Dr
San Diego, CA 92121</t>
  </si>
  <si>
    <t>Beacon Discovery, Inc.</t>
  </si>
  <si>
    <t>Erin Sanabria
858-346-7127
esanabria@beacondiscovery.com</t>
  </si>
  <si>
    <t>UHC Plan 1
(COBRA)</t>
  </si>
  <si>
    <t>UHC Plan 2
(COBRA)</t>
  </si>
  <si>
    <t>UHC Plan 3
(COBRA)</t>
  </si>
  <si>
    <t>UHC Plan 4
(COBRA)</t>
  </si>
  <si>
    <t>UHC Plan 5
(COBRA)</t>
  </si>
  <si>
    <t>UHC Plan 6
(COBRA)</t>
  </si>
  <si>
    <t>UHC Plan 10
(COBRA)</t>
  </si>
  <si>
    <t>UHC Plan 7
(COBRA)</t>
  </si>
  <si>
    <t>UHC Plan 8
(COBRA)</t>
  </si>
  <si>
    <t>UHC Plan 9
(COBRA)</t>
  </si>
  <si>
    <t>UHC Plan 11
(COBRA)</t>
  </si>
  <si>
    <t>UHC Plan 12
(COBRA)</t>
  </si>
  <si>
    <t>UHC Plan 18
(COBRA)</t>
  </si>
  <si>
    <t>UHC Plan 1
(AB1401)</t>
  </si>
  <si>
    <t>UHC Plan 2
(AB1401)</t>
  </si>
  <si>
    <t>UHC Plan 3
(AB1401)</t>
  </si>
  <si>
    <t>UHC Plan 4
(AB1401)</t>
  </si>
  <si>
    <t>UHC Plan 5
(AB1401)</t>
  </si>
  <si>
    <t>UHC Plan 6
(AB1401)</t>
  </si>
  <si>
    <t>UHC Plan 10
(AB1401)</t>
  </si>
  <si>
    <t>UHC Plan 7
(AB1401)</t>
  </si>
  <si>
    <t>UHC Plan 8
(AB1401)</t>
  </si>
  <si>
    <t>UHC Plan 9
(AB1401)</t>
  </si>
  <si>
    <t>UHC Plan 11
(AB1401)</t>
  </si>
  <si>
    <t>UHC Plan 12
(AB1401)</t>
  </si>
  <si>
    <t>UHC Plan 18
(AB1401)</t>
  </si>
  <si>
    <t>61-1798266</t>
  </si>
  <si>
    <t>Kaiser (Grandfathering 5 EE's and will not be on Maestro)</t>
  </si>
  <si>
    <t>TOTAL</t>
  </si>
  <si>
    <t>CLSA Total</t>
  </si>
  <si>
    <t>Outside Total 
(i.e. ABD)</t>
  </si>
  <si>
    <t>HUB Other Revenue 
(i.e. Non-SD Office)</t>
  </si>
  <si>
    <t>HUB SD Revenue</t>
  </si>
  <si>
    <t>HUB SD TOTAL</t>
  </si>
  <si>
    <t>HUB TOTAL</t>
  </si>
  <si>
    <t>Sharp TOTAL</t>
  </si>
  <si>
    <t>Contact Information</t>
  </si>
  <si>
    <t>BenefitPoint</t>
  </si>
  <si>
    <t>Commission Split Type</t>
  </si>
  <si>
    <t>EE Count</t>
  </si>
  <si>
    <t>Joined Trust Dated</t>
  </si>
  <si>
    <t>Terminated from Trust</t>
  </si>
  <si>
    <t>Primary Medical</t>
  </si>
  <si>
    <t>CLSA Product?</t>
  </si>
  <si>
    <t>CLSA Revenue</t>
  </si>
  <si>
    <t>UHC Comparison</t>
  </si>
  <si>
    <t>Split Done?</t>
  </si>
  <si>
    <t>Product</t>
  </si>
  <si>
    <t>Plan Description</t>
  </si>
  <si>
    <r>
      <t xml:space="preserve">Policy Numbers
</t>
    </r>
    <r>
      <rPr>
        <b/>
        <sz val="8"/>
        <color theme="0"/>
        <rFont val="Arial"/>
        <family val="2"/>
      </rPr>
      <t>(PPO - only Select Plus #)</t>
    </r>
  </si>
  <si>
    <t>Choice Plus Plan &amp; Policy Number
(AK, OR, TX, WI, MT, WY, ID)</t>
  </si>
  <si>
    <t>ML Dental R</t>
  </si>
  <si>
    <t>ML Dental Size</t>
  </si>
  <si>
    <t>ML Vision Size</t>
  </si>
  <si>
    <t>Total # of Ees</t>
  </si>
  <si>
    <t>Rate/Commission Notes</t>
  </si>
  <si>
    <t>Before Trust CURRENT Premium</t>
  </si>
  <si>
    <t>Before Trust RENEWAL Premium</t>
  </si>
  <si>
    <t>With Trust Premium</t>
  </si>
  <si>
    <t>Difference ($)
from Current</t>
  </si>
  <si>
    <t>Difference (%)
from Current</t>
  </si>
  <si>
    <t>Monthly Cost
(Client Premium)</t>
  </si>
  <si>
    <t>Annual Cost (Client Premium)</t>
  </si>
  <si>
    <t>Total Commission</t>
  </si>
  <si>
    <t>Total Est. Monthly Revenue</t>
  </si>
  <si>
    <t>Total Est. Annual Revenue</t>
  </si>
  <si>
    <t>CLSA 
Commission</t>
  </si>
  <si>
    <t>CLSA Base Points 
(0.5% of HUB Premium)</t>
  </si>
  <si>
    <t>Outside Commission
PRODUCER</t>
  </si>
  <si>
    <t>Outside Revenue
PRODUCER</t>
  </si>
  <si>
    <t>HUB Other Commission
PRODUCER</t>
  </si>
  <si>
    <t>HUB Other Revenue
PRODUCER</t>
  </si>
  <si>
    <t>HUB SD Commission
PRODUCER</t>
  </si>
  <si>
    <t>HUB SD Revenue
PRODUCER</t>
  </si>
  <si>
    <t>HUB SD Commission
HOUSE</t>
  </si>
  <si>
    <t>HUB SD Revenue
HOUSE</t>
  </si>
  <si>
    <t>HUB SD Commission
DUENAS</t>
  </si>
  <si>
    <t>HUB SD Revenue
DUENAS</t>
  </si>
  <si>
    <r>
      <t xml:space="preserve">HUB SD Commission
</t>
    </r>
    <r>
      <rPr>
        <sz val="8"/>
        <color indexed="9"/>
        <rFont val="Arial"/>
        <family val="2"/>
      </rPr>
      <t>(Includes Del Mar &amp; Carlsbad)</t>
    </r>
  </si>
  <si>
    <r>
      <t>HUB SD Revenue</t>
    </r>
    <r>
      <rPr>
        <b/>
        <sz val="8"/>
        <color indexed="9"/>
        <rFont val="Arial"/>
        <family val="2"/>
      </rPr>
      <t xml:space="preserve">
</t>
    </r>
    <r>
      <rPr>
        <sz val="8"/>
        <color indexed="9"/>
        <rFont val="Arial"/>
        <family val="2"/>
      </rPr>
      <t>(Includes Del Mar &amp; Carlsbad)</t>
    </r>
  </si>
  <si>
    <t>HUB Commission</t>
  </si>
  <si>
    <t>HUB Revenue</t>
  </si>
  <si>
    <t>Total Sharp</t>
  </si>
  <si>
    <t>Main Address</t>
  </si>
  <si>
    <t>Tax ID</t>
  </si>
  <si>
    <t xml:space="preserve">HUB SD </t>
  </si>
  <si>
    <t>HUB SD</t>
  </si>
  <si>
    <t>Zip: 92037
SIC: 3826</t>
  </si>
  <si>
    <t>COOK
(Lydia F.)</t>
  </si>
  <si>
    <r>
      <t xml:space="preserve">HMO: </t>
    </r>
    <r>
      <rPr>
        <sz val="10"/>
        <rFont val="Arial"/>
        <family val="2"/>
      </rPr>
      <t xml:space="preserve">Plan 2: 15/250A (Full)
</t>
    </r>
    <r>
      <rPr>
        <b/>
        <sz val="10"/>
        <rFont val="Arial"/>
        <family val="2"/>
      </rPr>
      <t>HMO:</t>
    </r>
    <r>
      <rPr>
        <sz val="10"/>
        <rFont val="Arial"/>
        <family val="2"/>
      </rPr>
      <t xml:space="preserve"> Plan 5: 15/250A (Narrow)</t>
    </r>
    <r>
      <rPr>
        <b/>
        <sz val="10"/>
        <rFont val="Arial"/>
        <family val="2"/>
      </rPr>
      <t xml:space="preserve">
PPO: </t>
    </r>
    <r>
      <rPr>
        <sz val="10"/>
        <rFont val="Arial"/>
        <family val="2"/>
      </rPr>
      <t>Plan 9:  750/20 w/Advantage Rx</t>
    </r>
    <r>
      <rPr>
        <b/>
        <sz val="10"/>
        <rFont val="Arial"/>
        <family val="2"/>
      </rPr>
      <t xml:space="preserve">
HSA: </t>
    </r>
    <r>
      <rPr>
        <sz val="10"/>
        <rFont val="Arial"/>
        <family val="2"/>
      </rPr>
      <t>Plan 11: 1500/10 w/Advantage Rx &amp; No Motion
(SCAL-Group B (34-44))</t>
    </r>
  </si>
  <si>
    <t>260089-0190 HMO (Full)
260161-0262 HMO (Narrow)
909678-0409 PPO
909678-0481 PPO w/HSA</t>
  </si>
  <si>
    <r>
      <rPr>
        <b/>
        <sz val="10"/>
        <rFont val="Arial"/>
        <family val="2"/>
      </rPr>
      <t xml:space="preserve">PPO: </t>
    </r>
    <r>
      <rPr>
        <sz val="10"/>
        <rFont val="Arial"/>
        <family val="2"/>
      </rPr>
      <t xml:space="preserve">Plan 15 (9) - 909678-0661
</t>
    </r>
    <r>
      <rPr>
        <b/>
        <sz val="10"/>
        <rFont val="Arial"/>
        <family val="2"/>
      </rPr>
      <t>HSA</t>
    </r>
    <r>
      <rPr>
        <sz val="10"/>
        <rFont val="Arial"/>
        <family val="2"/>
      </rPr>
      <t>: Plan 16 (11) - 909678-0733</t>
    </r>
  </si>
  <si>
    <t>10/1/17+
CLSA gets 0.5%
House gets 2.5% 
Dave gets 1%
Other Prod gets 4%</t>
  </si>
  <si>
    <t xml:space="preserve">Lorrie Daggett
(858) 526-2505
lorried@ACTIVX.com
</t>
  </si>
  <si>
    <t>Producer - Neal Cook
Service Lead - Lydia Frazer
AR-Jonathan Visano
BA-Ben Hendricks</t>
  </si>
  <si>
    <t>Non-Revenue</t>
  </si>
  <si>
    <t xml:space="preserve">Optum Health </t>
  </si>
  <si>
    <r>
      <t xml:space="preserve">HSA
EE Only: </t>
    </r>
    <r>
      <rPr>
        <sz val="10"/>
        <rFont val="Arial"/>
        <family val="2"/>
      </rPr>
      <t>$750</t>
    </r>
    <r>
      <rPr>
        <b/>
        <sz val="10"/>
        <rFont val="Arial"/>
        <family val="2"/>
      </rPr>
      <t xml:space="preserve">
EE + DEP: </t>
    </r>
    <r>
      <rPr>
        <sz val="10"/>
        <rFont val="Arial"/>
        <family val="2"/>
      </rPr>
      <t>$1,500</t>
    </r>
  </si>
  <si>
    <t>909678-ACT  HSA Bank</t>
  </si>
  <si>
    <t>Net of Commissions</t>
  </si>
  <si>
    <t xml:space="preserve">MetLife </t>
  </si>
  <si>
    <r>
      <rPr>
        <b/>
        <sz val="10"/>
        <rFont val="Arial"/>
        <family val="2"/>
      </rPr>
      <t xml:space="preserve">Plan 4: </t>
    </r>
    <r>
      <rPr>
        <sz val="10"/>
        <rFont val="Arial"/>
        <family val="2"/>
      </rPr>
      <t>100/80/50 $5k Max w/ 50% to $2k Ortho
(Region 1 (25-49))</t>
    </r>
  </si>
  <si>
    <t>TS-05347643 DPPO</t>
  </si>
  <si>
    <t>R1</t>
  </si>
  <si>
    <t>Dave gets 2.0%
Other Prod gets 8%</t>
  </si>
  <si>
    <r>
      <t xml:space="preserve">M130D-10/25
</t>
    </r>
    <r>
      <rPr>
        <sz val="10"/>
        <rFont val="Arial"/>
        <family val="2"/>
      </rPr>
      <t>(All Regions (50-99))</t>
    </r>
  </si>
  <si>
    <t>TS-05347643 Vision</t>
  </si>
  <si>
    <t xml:space="preserve">CIGNA </t>
  </si>
  <si>
    <t>Life &amp; AD&amp;D</t>
  </si>
  <si>
    <t>FLX-967478 Basic Life
OK-968987 Basic AD&amp;D</t>
  </si>
  <si>
    <t>Dave gets 5.0%
Other Prod gets 10%</t>
  </si>
  <si>
    <t>Vol Life &amp; AD&amp;D</t>
  </si>
  <si>
    <t>FLX-967478 Vol Life
OK-968987 Vol AD&amp;D</t>
  </si>
  <si>
    <t>LK-752054 STD</t>
  </si>
  <si>
    <t>LK-965122 LTD</t>
  </si>
  <si>
    <t>Voluntary</t>
  </si>
  <si>
    <t>Worksite</t>
  </si>
  <si>
    <t xml:space="preserve">AI-960383 </t>
  </si>
  <si>
    <t xml:space="preserve">CI-960392 </t>
  </si>
  <si>
    <r>
      <t>Hospital Indemnity</t>
    </r>
    <r>
      <rPr>
        <sz val="10"/>
        <rFont val="Arial"/>
        <family val="2"/>
      </rPr>
      <t xml:space="preserve"> (HSA Compatible)
EE Paid</t>
    </r>
  </si>
  <si>
    <t>HC-960074</t>
  </si>
  <si>
    <t>XYZ</t>
  </si>
  <si>
    <t>Admin Fee</t>
  </si>
  <si>
    <r>
      <rPr>
        <b/>
        <sz val="10"/>
        <rFont val="Arial"/>
        <family val="2"/>
      </rPr>
      <t>CLSA Membership</t>
    </r>
    <r>
      <rPr>
        <sz val="10"/>
        <rFont val="Arial"/>
        <family val="2"/>
      </rPr>
      <t xml:space="preserve"> - Annual</t>
    </r>
  </si>
  <si>
    <t>CLSA Membership</t>
  </si>
  <si>
    <t>Yes, but not offically</t>
  </si>
  <si>
    <r>
      <t xml:space="preserve">FSA </t>
    </r>
    <r>
      <rPr>
        <sz val="10"/>
        <rFont val="Arial"/>
        <family val="2"/>
      </rPr>
      <t xml:space="preserve">- HC, DC, LP </t>
    </r>
    <r>
      <rPr>
        <i/>
        <sz val="8"/>
        <rFont val="Arial"/>
        <family val="2"/>
      </rPr>
      <t>(Client pays)</t>
    </r>
  </si>
  <si>
    <t>IGOE FSA</t>
  </si>
  <si>
    <r>
      <t xml:space="preserve">COBRA </t>
    </r>
    <r>
      <rPr>
        <i/>
        <sz val="8"/>
        <rFont val="Arial"/>
        <family val="2"/>
      </rPr>
      <t>(CLSA Trust pays)</t>
    </r>
  </si>
  <si>
    <t>IGOE COBRA</t>
  </si>
  <si>
    <t>Ben Admin</t>
  </si>
  <si>
    <r>
      <t xml:space="preserve">Ben Admin </t>
    </r>
    <r>
      <rPr>
        <i/>
        <sz val="8"/>
        <rFont val="Arial"/>
        <family val="2"/>
      </rPr>
      <t>(UHC pays)</t>
    </r>
  </si>
  <si>
    <t>Maestro Ben Admin</t>
  </si>
  <si>
    <t>TPA</t>
  </si>
  <si>
    <r>
      <t xml:space="preserve">TPA </t>
    </r>
    <r>
      <rPr>
        <i/>
        <sz val="8"/>
        <rFont val="Arial"/>
        <family val="2"/>
      </rPr>
      <t>(CLSA Trust pays)</t>
    </r>
  </si>
  <si>
    <t>Zuman TPA</t>
  </si>
  <si>
    <t>Header</t>
  </si>
  <si>
    <t>Zip: 92008
SIC: 8733</t>
  </si>
  <si>
    <t>LEWIS-GRENZ
(Amy D.)</t>
  </si>
  <si>
    <r>
      <t xml:space="preserve">HMO: </t>
    </r>
    <r>
      <rPr>
        <sz val="10"/>
        <rFont val="Arial"/>
        <family val="2"/>
      </rPr>
      <t>Plan 10: 2600/20</t>
    </r>
    <r>
      <rPr>
        <b/>
        <sz val="10"/>
        <rFont val="Arial"/>
        <family val="2"/>
      </rPr>
      <t xml:space="preserve">
HSA: </t>
    </r>
    <r>
      <rPr>
        <sz val="10"/>
        <rFont val="Arial"/>
        <family val="2"/>
      </rPr>
      <t>Plan 11: 1500/10 w/Advantage Rx &amp; No Motion
(SCAL-Group B (34-44))</t>
    </r>
  </si>
  <si>
    <t>260209-0310 (HMO w/HSA)
909678-0481 PPO w/HSA</t>
  </si>
  <si>
    <r>
      <rPr>
        <b/>
        <sz val="10"/>
        <rFont val="Arial"/>
        <family val="2"/>
      </rPr>
      <t xml:space="preserve">HSA: </t>
    </r>
    <r>
      <rPr>
        <sz val="10"/>
        <rFont val="Arial"/>
        <family val="2"/>
      </rPr>
      <t>Plan 16 (11) - 909678-0733</t>
    </r>
  </si>
  <si>
    <t>Lynne Krauss
(760) 752-0009 x 6038
Lkrauss@b-alert.com</t>
  </si>
  <si>
    <t>Producer - Kevin Lewis-Grenz
Service Lead - Amy Decker
Note: Does not use MBC (have their own call center)</t>
  </si>
  <si>
    <r>
      <t xml:space="preserve">HSA </t>
    </r>
    <r>
      <rPr>
        <sz val="10"/>
        <rFont val="Arial"/>
        <family val="2"/>
      </rPr>
      <t>(Eligible: working 40+ hrs/week)</t>
    </r>
    <r>
      <rPr>
        <b/>
        <sz val="10"/>
        <rFont val="Arial"/>
        <family val="2"/>
      </rPr>
      <t xml:space="preserve">
</t>
    </r>
    <r>
      <rPr>
        <sz val="10"/>
        <rFont val="Arial"/>
        <family val="2"/>
      </rPr>
      <t>EE Only: $150/mo
EE + DEP: $150/mo</t>
    </r>
  </si>
  <si>
    <t>909678-ABM HSA Bank</t>
  </si>
  <si>
    <t>Vol Dental</t>
  </si>
  <si>
    <r>
      <t xml:space="preserve">Vol DPPO 1: </t>
    </r>
    <r>
      <rPr>
        <sz val="10"/>
        <rFont val="Arial"/>
        <family val="2"/>
      </rPr>
      <t>100/80/50 $1.5k Max w/ 50% to $1.5k Ortho
(Region 3 (25-49))</t>
    </r>
  </si>
  <si>
    <t>R3</t>
  </si>
  <si>
    <t>Vol Vision</t>
  </si>
  <si>
    <r>
      <t xml:space="preserve">Vol M130D-10/25
</t>
    </r>
    <r>
      <rPr>
        <sz val="10"/>
        <rFont val="Arial"/>
        <family val="2"/>
      </rPr>
      <t>(All Regions (2-49))</t>
    </r>
  </si>
  <si>
    <t xml:space="preserve">HUB </t>
  </si>
  <si>
    <t>Zip: 95134
SIC: 3841</t>
  </si>
  <si>
    <t>HOWITT
(Agnes A.)</t>
  </si>
  <si>
    <t xml:space="preserve">Blue Shield </t>
  </si>
  <si>
    <r>
      <t xml:space="preserve">HMO: </t>
    </r>
    <r>
      <rPr>
        <sz val="10"/>
        <rFont val="Arial"/>
        <family val="2"/>
      </rPr>
      <t xml:space="preserve">Trio &amp; Full 10-250 </t>
    </r>
    <r>
      <rPr>
        <sz val="8"/>
        <rFont val="Arial"/>
        <family val="2"/>
      </rPr>
      <t>(w/o Chrio &amp; Acu)</t>
    </r>
    <r>
      <rPr>
        <b/>
        <sz val="10"/>
        <rFont val="Arial"/>
        <family val="2"/>
      </rPr>
      <t xml:space="preserve">
PPO: </t>
    </r>
    <r>
      <rPr>
        <sz val="10"/>
        <rFont val="Arial"/>
        <family val="2"/>
      </rPr>
      <t>Split 20-500 80/60</t>
    </r>
    <r>
      <rPr>
        <b/>
        <sz val="10"/>
        <rFont val="Arial"/>
        <family val="2"/>
      </rPr>
      <t xml:space="preserve">
HSA: </t>
    </r>
    <r>
      <rPr>
        <sz val="10"/>
        <rFont val="Arial"/>
        <family val="2"/>
      </rPr>
      <t xml:space="preserve">Savings 2250/4500 </t>
    </r>
  </si>
  <si>
    <t>W0064000</t>
  </si>
  <si>
    <t>CLSA gets 0.5%
House gets 1% 
Dave gets 1%
Other Prod gets 4%</t>
  </si>
  <si>
    <t xml:space="preserve">Producer - Nancy Howitt
Service Lead - Agnes Aguas
</t>
  </si>
  <si>
    <t xml:space="preserve">Kaiser (SG) </t>
  </si>
  <si>
    <r>
      <t xml:space="preserve">HMO: </t>
    </r>
    <r>
      <rPr>
        <sz val="10"/>
        <rFont val="Arial"/>
        <family val="2"/>
      </rPr>
      <t xml:space="preserve">Platinum 90 0/15
</t>
    </r>
    <r>
      <rPr>
        <b/>
        <sz val="10"/>
        <rFont val="Arial"/>
        <family val="2"/>
      </rPr>
      <t>HMO:</t>
    </r>
    <r>
      <rPr>
        <sz val="10"/>
        <rFont val="Arial"/>
        <family val="2"/>
      </rPr>
      <t xml:space="preserve"> Silver 70 2000/20
Zip: 94303 (Region 7)</t>
    </r>
  </si>
  <si>
    <t>Outside Trust (No Split with Dave)</t>
  </si>
  <si>
    <t xml:space="preserve">HealthEquity </t>
  </si>
  <si>
    <t>Outside Trust - Net of Commissions</t>
  </si>
  <si>
    <r>
      <rPr>
        <b/>
        <sz val="10"/>
        <rFont val="Arial"/>
        <family val="2"/>
      </rPr>
      <t xml:space="preserve">Plan 3: </t>
    </r>
    <r>
      <rPr>
        <sz val="10"/>
        <rFont val="Arial"/>
        <family val="2"/>
      </rPr>
      <t>100/90/60/50 $2k Max w/ 50% to $2k Ortho
(Region 3 (25-49))</t>
    </r>
  </si>
  <si>
    <r>
      <t xml:space="preserve">M130D-10/25 
</t>
    </r>
    <r>
      <rPr>
        <sz val="10"/>
        <rFont val="Arial"/>
        <family val="2"/>
      </rPr>
      <t>(All Regions (50-99))</t>
    </r>
  </si>
  <si>
    <t>NY TDB</t>
  </si>
  <si>
    <t>50% up to $170 (NY)</t>
  </si>
  <si>
    <t>NYD-075466 NY</t>
  </si>
  <si>
    <r>
      <rPr>
        <b/>
        <sz val="10"/>
        <rFont val="Arial"/>
        <family val="2"/>
      </rPr>
      <t>CLSA Membership</t>
    </r>
    <r>
      <rPr>
        <sz val="10"/>
        <rFont val="Arial"/>
        <family val="2"/>
      </rPr>
      <t xml:space="preserve"> - Annual
(Paid by Howitt)</t>
    </r>
  </si>
  <si>
    <r>
      <t xml:space="preserve">FSA - HC &amp; DC </t>
    </r>
    <r>
      <rPr>
        <i/>
        <sz val="8"/>
        <rFont val="Arial"/>
        <family val="2"/>
      </rPr>
      <t>(Client pays)</t>
    </r>
  </si>
  <si>
    <r>
      <t xml:space="preserve">Ben Admin </t>
    </r>
    <r>
      <rPr>
        <i/>
        <sz val="8"/>
        <rFont val="Arial"/>
        <family val="2"/>
      </rPr>
      <t>(Client pays)</t>
    </r>
  </si>
  <si>
    <t>ADP Ben Admin</t>
  </si>
  <si>
    <t>Zip: 94118
SIC: 9999 / 8731</t>
  </si>
  <si>
    <t>ANDERSON
(Angie L.)</t>
  </si>
  <si>
    <r>
      <t xml:space="preserve">PPO: </t>
    </r>
    <r>
      <rPr>
        <sz val="10"/>
        <rFont val="Arial"/>
        <family val="2"/>
      </rPr>
      <t>Plan 7: 250/10 w/Advantage Rx</t>
    </r>
    <r>
      <rPr>
        <b/>
        <sz val="10"/>
        <rFont val="Arial"/>
        <family val="2"/>
      </rPr>
      <t xml:space="preserve">
HSA: </t>
    </r>
    <r>
      <rPr>
        <sz val="10"/>
        <rFont val="Arial"/>
        <family val="2"/>
      </rPr>
      <t>Plan 11: 1500/10 w/Advantage Rx &amp; No Motion
(NCAL-Group C (44-54)</t>
    </r>
  </si>
  <si>
    <t>909678-0328 PPO
909678-0472 PPO w/HSA</t>
  </si>
  <si>
    <r>
      <rPr>
        <b/>
        <sz val="10"/>
        <rFont val="Arial"/>
        <family val="2"/>
      </rPr>
      <t>PPO:</t>
    </r>
    <r>
      <rPr>
        <sz val="10"/>
        <rFont val="Arial"/>
        <family val="2"/>
      </rPr>
      <t xml:space="preserve"> Plan 13 (7) - 909678-0580
</t>
    </r>
    <r>
      <rPr>
        <b/>
        <sz val="10"/>
        <rFont val="Arial"/>
        <family val="2"/>
      </rPr>
      <t xml:space="preserve">HSA: </t>
    </r>
    <r>
      <rPr>
        <sz val="10"/>
        <rFont val="Arial"/>
        <family val="2"/>
      </rPr>
      <t>Plan 16 (11) - 909678-0724</t>
    </r>
  </si>
  <si>
    <t>156 2nd Avenue
San Francisco, CA 94118</t>
  </si>
  <si>
    <t>Account Managed by ABD Team
Producer - Mark Anderson
Service Lead - Angie Lopez</t>
  </si>
  <si>
    <r>
      <t xml:space="preserve">HSA
</t>
    </r>
    <r>
      <rPr>
        <sz val="10"/>
        <rFont val="Arial"/>
        <family val="2"/>
      </rPr>
      <t>EE Only: $1,500
EE + DEP: $2,700</t>
    </r>
  </si>
  <si>
    <t>909678-ALI HSA Bank</t>
  </si>
  <si>
    <r>
      <rPr>
        <b/>
        <sz val="10"/>
        <rFont val="Arial"/>
        <family val="2"/>
      </rPr>
      <t>DPPO 2: 100/90/60 - 100/80/50 $2k Max w/ 50% to $2k Ortho</t>
    </r>
    <r>
      <rPr>
        <sz val="10"/>
        <rFont val="Arial"/>
        <family val="2"/>
      </rPr>
      <t xml:space="preserve">
Region 3 (2-9)</t>
    </r>
  </si>
  <si>
    <r>
      <t xml:space="preserve">M150D-10/10
</t>
    </r>
    <r>
      <rPr>
        <sz val="10"/>
        <rFont val="Arial"/>
        <family val="2"/>
      </rPr>
      <t>(All Regions (2-49)</t>
    </r>
  </si>
  <si>
    <t>Zip: 94538
SIC: 3949</t>
  </si>
  <si>
    <r>
      <t xml:space="preserve">PPO: </t>
    </r>
    <r>
      <rPr>
        <sz val="10"/>
        <rFont val="Arial"/>
        <family val="2"/>
      </rPr>
      <t>Plan 8: 500/20 w/Advantage Rx</t>
    </r>
    <r>
      <rPr>
        <b/>
        <sz val="10"/>
        <rFont val="Arial"/>
        <family val="2"/>
      </rPr>
      <t xml:space="preserve">
HSA: </t>
    </r>
    <r>
      <rPr>
        <sz val="10"/>
        <rFont val="Arial"/>
        <family val="2"/>
      </rPr>
      <t>Plan 11: 1500/10 w/Advantage Rx &amp; No Motion
(NCAL-Group A (&lt;34)</t>
    </r>
  </si>
  <si>
    <t>909678-0358 PPO
909678-0466 PPO w/HSA</t>
  </si>
  <si>
    <r>
      <rPr>
        <b/>
        <sz val="10"/>
        <rFont val="Arial"/>
        <family val="2"/>
      </rPr>
      <t>PPO</t>
    </r>
    <r>
      <rPr>
        <sz val="10"/>
        <rFont val="Arial"/>
        <family val="2"/>
      </rPr>
      <t xml:space="preserve">: Plan 14 (8) - 909678-0610
</t>
    </r>
    <r>
      <rPr>
        <b/>
        <sz val="10"/>
        <rFont val="Arial"/>
        <family val="2"/>
      </rPr>
      <t xml:space="preserve">HSA: </t>
    </r>
    <r>
      <rPr>
        <sz val="10"/>
        <rFont val="Arial"/>
        <family val="2"/>
      </rPr>
      <t>Plan 16 (11) - 909678-0718</t>
    </r>
  </si>
  <si>
    <t xml:space="preserve">Account Managed by ABD Team
Producer - Mark Anderson
Service Lead - Angie Lopez
</t>
  </si>
  <si>
    <t>HSA Bank
Non-BOR</t>
  </si>
  <si>
    <t>Navia Benefits Solution HSA Bank (Non-BOR)</t>
  </si>
  <si>
    <t>Prospective, Non-BOR, &amp; Net of Commissions</t>
  </si>
  <si>
    <t xml:space="preserve">Kaiser </t>
  </si>
  <si>
    <r>
      <t xml:space="preserve">HMO
</t>
    </r>
    <r>
      <rPr>
        <sz val="10"/>
        <rFont val="Arial"/>
        <family val="2"/>
      </rPr>
      <t>Non-BOR</t>
    </r>
  </si>
  <si>
    <t>Non-BOR HMO</t>
  </si>
  <si>
    <t>NYD-0068394 NY</t>
  </si>
  <si>
    <r>
      <t xml:space="preserve">COBRA </t>
    </r>
    <r>
      <rPr>
        <i/>
        <sz val="8"/>
        <rFont val="Arial"/>
        <family val="2"/>
      </rPr>
      <t xml:space="preserve">(Client pays)
</t>
    </r>
    <r>
      <rPr>
        <sz val="10"/>
        <rFont val="Arial"/>
        <family val="2"/>
      </rPr>
      <t>Non-BOR</t>
    </r>
  </si>
  <si>
    <t>Navia Benefits Solution COBRA (Non-BOR)</t>
  </si>
  <si>
    <r>
      <t xml:space="preserve">Ben Admin </t>
    </r>
    <r>
      <rPr>
        <i/>
        <sz val="8"/>
        <rFont val="Arial"/>
        <family val="2"/>
      </rPr>
      <t xml:space="preserve">(Client pays)
</t>
    </r>
    <r>
      <rPr>
        <sz val="10"/>
        <rFont val="Arial"/>
        <family val="2"/>
      </rPr>
      <t>Non-BOR</t>
    </r>
  </si>
  <si>
    <t>Paycom Ben Admin</t>
  </si>
  <si>
    <t>Zip: 92037
SIC: 2834</t>
  </si>
  <si>
    <t>Stehly
(Sara B.)</t>
  </si>
  <si>
    <r>
      <t xml:space="preserve">HMO: </t>
    </r>
    <r>
      <rPr>
        <sz val="10"/>
        <rFont val="Arial"/>
        <family val="2"/>
      </rPr>
      <t>Plan 1: 10/0</t>
    </r>
    <r>
      <rPr>
        <b/>
        <sz val="10"/>
        <rFont val="Arial"/>
        <family val="2"/>
      </rPr>
      <t xml:space="preserve">
PPO: </t>
    </r>
    <r>
      <rPr>
        <sz val="10"/>
        <rFont val="Arial"/>
        <family val="2"/>
      </rPr>
      <t>Plan 7: 250/10 w/Advantage Rx
(SCAL-Group B (34-44))</t>
    </r>
  </si>
  <si>
    <t>260065-0166 HMO (Full)
909678-0337 PPO</t>
  </si>
  <si>
    <r>
      <rPr>
        <b/>
        <sz val="10"/>
        <rFont val="Arial"/>
        <family val="2"/>
      </rPr>
      <t>PPO:</t>
    </r>
    <r>
      <rPr>
        <sz val="10"/>
        <rFont val="Arial"/>
        <family val="2"/>
      </rPr>
      <t xml:space="preserve"> Plan 13 (7) - 909678-0589</t>
    </r>
  </si>
  <si>
    <t>Account Managed by HUB SD (Carlsbad) Team
Producer - Neal Stehly
Service Lead - Sara Barba
Primary Contact -Tierney Watson
Admin - Lisa Cameron</t>
  </si>
  <si>
    <r>
      <t xml:space="preserve">FSA - </t>
    </r>
    <r>
      <rPr>
        <sz val="10"/>
        <rFont val="Arial"/>
        <family val="2"/>
      </rPr>
      <t>HC &amp; DC</t>
    </r>
    <r>
      <rPr>
        <b/>
        <sz val="10"/>
        <rFont val="Arial"/>
        <family val="2"/>
      </rPr>
      <t xml:space="preserve"> </t>
    </r>
    <r>
      <rPr>
        <i/>
        <sz val="8"/>
        <rFont val="Arial"/>
        <family val="2"/>
      </rPr>
      <t>(Client pays)</t>
    </r>
  </si>
  <si>
    <r>
      <t xml:space="preserve">COBRA </t>
    </r>
    <r>
      <rPr>
        <i/>
        <sz val="8"/>
        <rFont val="Arial"/>
        <family val="2"/>
      </rPr>
      <t>(Client pays)
Confirmed by Ashley - Non Trust</t>
    </r>
  </si>
  <si>
    <t xml:space="preserve">IGOE COBRA </t>
  </si>
  <si>
    <r>
      <t>Ben Admin</t>
    </r>
    <r>
      <rPr>
        <sz val="10"/>
        <rFont val="Arial"/>
        <family val="2"/>
      </rPr>
      <t xml:space="preserve"> </t>
    </r>
    <r>
      <rPr>
        <i/>
        <sz val="8"/>
        <rFont val="Arial"/>
        <family val="2"/>
      </rPr>
      <t>(UHC pays)</t>
    </r>
  </si>
  <si>
    <t>Zip: 95035
SIC: 8731</t>
  </si>
  <si>
    <r>
      <t xml:space="preserve">HSA: </t>
    </r>
    <r>
      <rPr>
        <sz val="10"/>
        <rFont val="Arial"/>
        <family val="2"/>
      </rPr>
      <t>Plan 11: 1500/10 w/Advantage Rx &amp; No Motion</t>
    </r>
    <r>
      <rPr>
        <b/>
        <sz val="10"/>
        <rFont val="Arial"/>
        <family val="2"/>
      </rPr>
      <t xml:space="preserve">
</t>
    </r>
    <r>
      <rPr>
        <sz val="10"/>
        <rFont val="Arial"/>
        <family val="2"/>
      </rPr>
      <t>(NCAL-Group B (34-44))</t>
    </r>
  </si>
  <si>
    <t xml:space="preserve">
909678-0469 PPO w/HSA</t>
  </si>
  <si>
    <r>
      <rPr>
        <b/>
        <sz val="10"/>
        <rFont val="Arial"/>
        <family val="2"/>
      </rPr>
      <t xml:space="preserve">HSA: </t>
    </r>
    <r>
      <rPr>
        <sz val="10"/>
        <rFont val="Arial"/>
        <family val="2"/>
      </rPr>
      <t>Plan 16 (11) - 909678-0721</t>
    </r>
  </si>
  <si>
    <t>Account Managed by ABD Team
Mark Anderson
Mark.Anderson@theabdteam.com
Service Lead-
Angie Lopez-Frazier 
angie.lopez@theabdteam.com</t>
  </si>
  <si>
    <t>26-2120522</t>
  </si>
  <si>
    <t>909678 HSA Bank
(Not Set-up)</t>
  </si>
  <si>
    <t>Flock Ben Admin</t>
  </si>
  <si>
    <t>Zip: 92121
SIC: 2834</t>
  </si>
  <si>
    <t>CREIGHTON 
(Ben H.)</t>
  </si>
  <si>
    <r>
      <t xml:space="preserve">HMO: </t>
    </r>
    <r>
      <rPr>
        <sz val="10"/>
        <rFont val="Arial"/>
        <family val="2"/>
      </rPr>
      <t xml:space="preserve">Plan 1: 10/0 (Full)
</t>
    </r>
    <r>
      <rPr>
        <b/>
        <sz val="10"/>
        <rFont val="Arial"/>
        <family val="2"/>
      </rPr>
      <t>HMO:</t>
    </r>
    <r>
      <rPr>
        <sz val="10"/>
        <rFont val="Arial"/>
        <family val="2"/>
      </rPr>
      <t xml:space="preserve"> Plan 4: 10/0 (Narrow)</t>
    </r>
    <r>
      <rPr>
        <b/>
        <sz val="10"/>
        <rFont val="Arial"/>
        <family val="2"/>
      </rPr>
      <t xml:space="preserve">
PPO: </t>
    </r>
    <r>
      <rPr>
        <sz val="10"/>
        <rFont val="Arial"/>
        <family val="2"/>
      </rPr>
      <t>Plan 8: 500/20 w/Advantage Rx</t>
    </r>
    <r>
      <rPr>
        <b/>
        <sz val="10"/>
        <rFont val="Arial"/>
        <family val="2"/>
      </rPr>
      <t xml:space="preserve">
HSA: </t>
    </r>
    <r>
      <rPr>
        <sz val="10"/>
        <rFont val="Arial"/>
        <family val="2"/>
      </rPr>
      <t>Plan 11: 1500/10 w/Advantage Rx &amp; No Motion
(SCAL-Group C (44-54))</t>
    </r>
  </si>
  <si>
    <t>260068-0169 HMO (Full)
260140-0241 HMO (Narrow)
909678-0376 PPO
909678-0484 PPO w/HSA</t>
  </si>
  <si>
    <r>
      <rPr>
        <b/>
        <sz val="10"/>
        <rFont val="Arial"/>
        <family val="2"/>
      </rPr>
      <t>PPO</t>
    </r>
    <r>
      <rPr>
        <sz val="10"/>
        <rFont val="Arial"/>
        <family val="2"/>
      </rPr>
      <t xml:space="preserve">: Plan 14 (8) - 909678-0628
</t>
    </r>
    <r>
      <rPr>
        <b/>
        <sz val="10"/>
        <rFont val="Arial"/>
        <family val="2"/>
      </rPr>
      <t xml:space="preserve">HSA: </t>
    </r>
    <r>
      <rPr>
        <sz val="10"/>
        <rFont val="Arial"/>
        <family val="2"/>
      </rPr>
      <t>Plan 16 (11) - 909678-0736</t>
    </r>
  </si>
  <si>
    <t>Producer - Matt Creighton
Service Lead - Ben Hendricks
AM - Yvonne Bello</t>
  </si>
  <si>
    <r>
      <t xml:space="preserve">HSA
EE Only: </t>
    </r>
    <r>
      <rPr>
        <sz val="10"/>
        <rFont val="Arial"/>
        <family val="2"/>
      </rPr>
      <t>$1,000</t>
    </r>
    <r>
      <rPr>
        <b/>
        <sz val="10"/>
        <rFont val="Arial"/>
        <family val="2"/>
      </rPr>
      <t xml:space="preserve">
EE + DEP: </t>
    </r>
    <r>
      <rPr>
        <sz val="10"/>
        <rFont val="Arial"/>
        <family val="2"/>
      </rPr>
      <t>$2,000</t>
    </r>
  </si>
  <si>
    <t>909678-ARE HSA Bank</t>
  </si>
  <si>
    <r>
      <rPr>
        <b/>
        <sz val="10"/>
        <rFont val="Arial"/>
        <family val="2"/>
      </rPr>
      <t>DPPO 3:</t>
    </r>
    <r>
      <rPr>
        <sz val="10"/>
        <rFont val="Arial"/>
        <family val="2"/>
      </rPr>
      <t xml:space="preserve"> 100/90/60/50 $2k Max w/ 50% to $2k Ortho
(Region 2 (25-49))</t>
    </r>
  </si>
  <si>
    <t>R2</t>
  </si>
  <si>
    <r>
      <t xml:space="preserve">M130A-10/25
</t>
    </r>
    <r>
      <rPr>
        <sz val="10"/>
        <rFont val="Arial"/>
        <family val="2"/>
      </rPr>
      <t>(All Regions (50-99))</t>
    </r>
  </si>
  <si>
    <r>
      <t xml:space="preserve">FSA </t>
    </r>
    <r>
      <rPr>
        <i/>
        <sz val="8"/>
        <rFont val="Arial"/>
        <family val="2"/>
      </rPr>
      <t>(Client pays)</t>
    </r>
  </si>
  <si>
    <r>
      <t>Ben Admin</t>
    </r>
    <r>
      <rPr>
        <i/>
        <sz val="8"/>
        <rFont val="Arial"/>
        <family val="2"/>
      </rPr>
      <t xml:space="preserve"> (Client pays)</t>
    </r>
  </si>
  <si>
    <t xml:space="preserve">ABD </t>
  </si>
  <si>
    <t>Zip: 94560
SIC: 2836</t>
  </si>
  <si>
    <t>LEWIS
(Michelle P.)</t>
  </si>
  <si>
    <r>
      <t xml:space="preserve">HMO: </t>
    </r>
    <r>
      <rPr>
        <sz val="10"/>
        <rFont val="Arial"/>
        <family val="2"/>
      </rPr>
      <t>Plan 3: 20-40/500A</t>
    </r>
    <r>
      <rPr>
        <b/>
        <sz val="10"/>
        <rFont val="Arial"/>
        <family val="2"/>
      </rPr>
      <t xml:space="preserve">
PPO: </t>
    </r>
    <r>
      <rPr>
        <sz val="10"/>
        <rFont val="Arial"/>
        <family val="2"/>
      </rPr>
      <t>Plan 8: 500/20 w/Advantage Rx
(NCAL-Group B (34-44))</t>
    </r>
  </si>
  <si>
    <t>260101-0202 (HMO)
909678-0361 PPO</t>
  </si>
  <si>
    <r>
      <rPr>
        <b/>
        <sz val="10"/>
        <rFont val="Arial"/>
        <family val="2"/>
      </rPr>
      <t>PPO</t>
    </r>
    <r>
      <rPr>
        <sz val="10"/>
        <rFont val="Arial"/>
        <family val="2"/>
      </rPr>
      <t>: Plan 14 (8) - 909678-0613</t>
    </r>
  </si>
  <si>
    <t>Account Managed by ABD Team
Producer - Faye Lewis
Service Lead-Michelle Parker</t>
  </si>
  <si>
    <t>Navia Benefits Solution COBRA</t>
  </si>
  <si>
    <t>Namely Ben Admin</t>
  </si>
  <si>
    <t>Zip: 92121
SIC: 2836</t>
  </si>
  <si>
    <t>LEBHERZ
(Michelle Brady)</t>
  </si>
  <si>
    <r>
      <t xml:space="preserve">HMO: </t>
    </r>
    <r>
      <rPr>
        <sz val="10"/>
        <rFont val="Arial"/>
        <family val="2"/>
      </rPr>
      <t>Plan 1: 10/0</t>
    </r>
    <r>
      <rPr>
        <b/>
        <sz val="10"/>
        <rFont val="Arial"/>
        <family val="2"/>
      </rPr>
      <t xml:space="preserve">
PPO: </t>
    </r>
    <r>
      <rPr>
        <sz val="10"/>
        <rFont val="Arial"/>
        <family val="2"/>
      </rPr>
      <t>Plan 7: 250/10 w/Advantage Rx</t>
    </r>
    <r>
      <rPr>
        <b/>
        <sz val="10"/>
        <rFont val="Arial"/>
        <family val="2"/>
      </rPr>
      <t xml:space="preserve">
HSA: </t>
    </r>
    <r>
      <rPr>
        <sz val="10"/>
        <rFont val="Arial"/>
        <family val="2"/>
      </rPr>
      <t>Plan 11: 1500/10 w/Advantage Rx &amp; No Motion
(SCAL-Group C (44-54))</t>
    </r>
  </si>
  <si>
    <t>260068-0169 HMO (Full)
909678-0340 PPO
909678-0484 PPO w/HSA</t>
  </si>
  <si>
    <r>
      <rPr>
        <b/>
        <sz val="10"/>
        <rFont val="Arial"/>
        <family val="2"/>
      </rPr>
      <t>PPO:</t>
    </r>
    <r>
      <rPr>
        <sz val="10"/>
        <rFont val="Arial"/>
        <family val="2"/>
      </rPr>
      <t xml:space="preserve"> Plan 13 (7) - 909678-0592
</t>
    </r>
    <r>
      <rPr>
        <b/>
        <sz val="10"/>
        <rFont val="Arial"/>
        <family val="2"/>
      </rPr>
      <t xml:space="preserve">HSA: </t>
    </r>
    <r>
      <rPr>
        <sz val="10"/>
        <rFont val="Arial"/>
        <family val="2"/>
      </rPr>
      <t>Plan 16 (11) - 909678-0736</t>
    </r>
  </si>
  <si>
    <t>HSA Bank</t>
  </si>
  <si>
    <t>TBD  HSA Bank</t>
  </si>
  <si>
    <r>
      <rPr>
        <b/>
        <sz val="10"/>
        <rFont val="Arial"/>
        <family val="2"/>
      </rPr>
      <t xml:space="preserve">DPPO 2: </t>
    </r>
    <r>
      <rPr>
        <sz val="10"/>
        <rFont val="Arial"/>
        <family val="2"/>
      </rPr>
      <t>100/90/60 - 100/80/50 $2k Max w/ 50% to $2k Ortho
Region 2 (50-99)</t>
    </r>
  </si>
  <si>
    <r>
      <t xml:space="preserve">M150D - 10/10
</t>
    </r>
    <r>
      <rPr>
        <sz val="10"/>
        <rFont val="Arial"/>
        <family val="2"/>
      </rPr>
      <t>(All Regions (50-99))</t>
    </r>
  </si>
  <si>
    <r>
      <t xml:space="preserve">FSA </t>
    </r>
    <r>
      <rPr>
        <sz val="10"/>
        <rFont val="Arial"/>
        <family val="2"/>
      </rPr>
      <t xml:space="preserve">- HC, DC, LP </t>
    </r>
    <r>
      <rPr>
        <i/>
        <sz val="8"/>
        <rFont val="Arial"/>
        <family val="2"/>
      </rPr>
      <t xml:space="preserve">(Client pays)
</t>
    </r>
    <r>
      <rPr>
        <sz val="10"/>
        <rFont val="Arial"/>
        <family val="2"/>
      </rPr>
      <t>No rollover or grace period</t>
    </r>
  </si>
  <si>
    <t>Zip: 92121
SIC: 8731</t>
  </si>
  <si>
    <t>COOK
(Megan W.)</t>
  </si>
  <si>
    <r>
      <t xml:space="preserve">HMO: </t>
    </r>
    <r>
      <rPr>
        <sz val="10"/>
        <rFont val="Arial"/>
        <family val="2"/>
      </rPr>
      <t>Plan 2: 15/250A</t>
    </r>
    <r>
      <rPr>
        <b/>
        <sz val="10"/>
        <rFont val="Arial"/>
        <family val="2"/>
      </rPr>
      <t xml:space="preserve">
HSA: </t>
    </r>
    <r>
      <rPr>
        <sz val="10"/>
        <rFont val="Arial"/>
        <family val="2"/>
      </rPr>
      <t>Plan 11: 1500/10 w/Advantage Rx &amp; No Motion
(SCAL-Group C (44-54)</t>
    </r>
  </si>
  <si>
    <t>260092-0193 HMO (Full)
909678-0484 PPO w/HSA</t>
  </si>
  <si>
    <r>
      <rPr>
        <b/>
        <sz val="10"/>
        <rFont val="Arial"/>
        <family val="2"/>
      </rPr>
      <t xml:space="preserve">HSA: </t>
    </r>
    <r>
      <rPr>
        <sz val="10"/>
        <rFont val="Arial"/>
        <family val="2"/>
      </rPr>
      <t>Plan 16 (11) - 909678-0736</t>
    </r>
  </si>
  <si>
    <t xml:space="preserve">Account Managed by HUB SD Team
Producer - Neal Cook
Service Lead - Megan Wallace
</t>
  </si>
  <si>
    <r>
      <t xml:space="preserve">HSA
EE Only: </t>
    </r>
    <r>
      <rPr>
        <sz val="10"/>
        <rFont val="Arial"/>
        <family val="2"/>
      </rPr>
      <t>$1,500</t>
    </r>
    <r>
      <rPr>
        <b/>
        <sz val="10"/>
        <rFont val="Arial"/>
        <family val="2"/>
      </rPr>
      <t xml:space="preserve">
EE + DEP: </t>
    </r>
    <r>
      <rPr>
        <sz val="10"/>
        <rFont val="Arial"/>
        <family val="2"/>
      </rPr>
      <t>$2,700</t>
    </r>
  </si>
  <si>
    <t>909678 HSA Bank</t>
  </si>
  <si>
    <r>
      <rPr>
        <b/>
        <sz val="10"/>
        <rFont val="Arial"/>
        <family val="2"/>
      </rPr>
      <t xml:space="preserve">Plan 2:  </t>
    </r>
    <r>
      <rPr>
        <sz val="10"/>
        <rFont val="Arial"/>
        <family val="2"/>
      </rPr>
      <t>100/90/60 - 100/80/50 $2k Max w/ 50% to $2k Ortho
Region 2 (25-49)</t>
    </r>
  </si>
  <si>
    <r>
      <t xml:space="preserve">M130A-10/25
</t>
    </r>
    <r>
      <rPr>
        <sz val="10"/>
        <rFont val="Arial"/>
        <family val="2"/>
      </rPr>
      <t>(All Regions (2-49)</t>
    </r>
  </si>
  <si>
    <t>Duenas</t>
  </si>
  <si>
    <t>Zip: 92121
SIC: 8733</t>
  </si>
  <si>
    <t>DUENAS
(Jess W.)</t>
  </si>
  <si>
    <r>
      <t xml:space="preserve">PPO: </t>
    </r>
    <r>
      <rPr>
        <sz val="10"/>
        <rFont val="Arial"/>
        <family val="2"/>
      </rPr>
      <t>Plan 8: 500/20 w/Advantage Rx</t>
    </r>
    <r>
      <rPr>
        <b/>
        <sz val="10"/>
        <rFont val="Arial"/>
        <family val="2"/>
      </rPr>
      <t xml:space="preserve">
HSA: </t>
    </r>
    <r>
      <rPr>
        <sz val="10"/>
        <rFont val="Arial"/>
        <family val="2"/>
      </rPr>
      <t>Plan 11: 1500/10 w/Advantage Rx &amp; No Motion
(SCAL-Group A (&lt;34))</t>
    </r>
  </si>
  <si>
    <t>909678-0370 PPO
909678-0478 PPO w/HSA</t>
  </si>
  <si>
    <r>
      <rPr>
        <b/>
        <sz val="10"/>
        <rFont val="Arial"/>
        <family val="2"/>
      </rPr>
      <t>PPO</t>
    </r>
    <r>
      <rPr>
        <sz val="10"/>
        <rFont val="Arial"/>
        <family val="2"/>
      </rPr>
      <t xml:space="preserve">: Plan 14 (8) - 909678-0622
</t>
    </r>
    <r>
      <rPr>
        <b/>
        <sz val="10"/>
        <rFont val="Arial"/>
        <family val="2"/>
      </rPr>
      <t xml:space="preserve">HSA: </t>
    </r>
    <r>
      <rPr>
        <sz val="10"/>
        <rFont val="Arial"/>
        <family val="2"/>
      </rPr>
      <t>Plan 16 (11) - 909678-0730</t>
    </r>
  </si>
  <si>
    <t>10/1/17+
CLSA gets 0.5%
House gets 2.5% 
Dave gets 5%</t>
  </si>
  <si>
    <t>Producer - Dave Duenas
Service Lead - Jessica Hurley Webb
Account Rep - Courtney Stanley</t>
  </si>
  <si>
    <r>
      <t xml:space="preserve">HSA
EE Only: </t>
    </r>
    <r>
      <rPr>
        <sz val="10"/>
        <rFont val="Arial"/>
        <family val="2"/>
      </rPr>
      <t>$1,100</t>
    </r>
    <r>
      <rPr>
        <b/>
        <sz val="10"/>
        <rFont val="Arial"/>
        <family val="2"/>
      </rPr>
      <t xml:space="preserve">
EE + DEP: </t>
    </r>
    <r>
      <rPr>
        <sz val="10"/>
        <rFont val="Arial"/>
        <family val="2"/>
      </rPr>
      <t>$2,200</t>
    </r>
  </si>
  <si>
    <t>909678-BNG HSA Bank</t>
  </si>
  <si>
    <r>
      <rPr>
        <b/>
        <sz val="10"/>
        <rFont val="Arial"/>
        <family val="2"/>
      </rPr>
      <t xml:space="preserve">Plan 7: </t>
    </r>
    <r>
      <rPr>
        <sz val="10"/>
        <rFont val="Arial"/>
        <family val="2"/>
      </rPr>
      <t>100/90/60/50 $2k Max w/o Ortho
Region 1 (50-99)</t>
    </r>
  </si>
  <si>
    <t>Dave gets 10.0%</t>
  </si>
  <si>
    <r>
      <t xml:space="preserve">M150D-10/10
</t>
    </r>
    <r>
      <rPr>
        <sz val="10"/>
        <rFont val="Arial"/>
        <family val="2"/>
      </rPr>
      <t>(All Regions (50-99))</t>
    </r>
  </si>
  <si>
    <r>
      <t xml:space="preserve">FSA </t>
    </r>
    <r>
      <rPr>
        <sz val="10"/>
        <rFont val="Arial"/>
        <family val="2"/>
      </rPr>
      <t xml:space="preserve">- HC, DC, LP </t>
    </r>
    <r>
      <rPr>
        <i/>
        <sz val="8"/>
        <rFont val="Arial"/>
        <family val="2"/>
      </rPr>
      <t>(Client pays)
with Rollover</t>
    </r>
  </si>
  <si>
    <t>Zip: 92008
SIC: 2899</t>
  </si>
  <si>
    <t>WITTMAN
(Kayla S.)</t>
  </si>
  <si>
    <r>
      <t xml:space="preserve">HMO: </t>
    </r>
    <r>
      <rPr>
        <sz val="10"/>
        <rFont val="Arial"/>
        <family val="2"/>
      </rPr>
      <t>Plan 2: 15/250A</t>
    </r>
    <r>
      <rPr>
        <b/>
        <sz val="10"/>
        <rFont val="Arial"/>
        <family val="2"/>
      </rPr>
      <t xml:space="preserve">
PPO: </t>
    </r>
    <r>
      <rPr>
        <sz val="10"/>
        <rFont val="Arial"/>
        <family val="2"/>
      </rPr>
      <t>Plan 8: 500/20 w/Advantage Rx
(SCAL-Group B (34-44)</t>
    </r>
  </si>
  <si>
    <t>260089-0190 HMO (Full)
909678-0373 PPO</t>
  </si>
  <si>
    <r>
      <rPr>
        <b/>
        <sz val="10"/>
        <rFont val="Arial"/>
        <family val="2"/>
      </rPr>
      <t>PPO</t>
    </r>
    <r>
      <rPr>
        <sz val="10"/>
        <rFont val="Arial"/>
        <family val="2"/>
      </rPr>
      <t>: Plan 14 (8) - 909678-0625</t>
    </r>
  </si>
  <si>
    <t>Account Managed by HUB SD (Carlsbad) Team
Producer - Dori Wittman
Service Lead - Kayla Strawser</t>
  </si>
  <si>
    <r>
      <rPr>
        <b/>
        <sz val="10"/>
        <rFont val="Arial"/>
        <family val="2"/>
      </rPr>
      <t xml:space="preserve">Plan 6: </t>
    </r>
    <r>
      <rPr>
        <sz val="10"/>
        <rFont val="Arial"/>
        <family val="2"/>
      </rPr>
      <t>100/90/60 - 100/80/50 $2k Max w/o Ortho
Region 1 (25-49)</t>
    </r>
  </si>
  <si>
    <r>
      <t xml:space="preserve">M130D-10/25
</t>
    </r>
    <r>
      <rPr>
        <sz val="10"/>
        <rFont val="Arial"/>
        <family val="2"/>
      </rPr>
      <t>(All Regions (2-49)</t>
    </r>
  </si>
  <si>
    <r>
      <t xml:space="preserve">Hospital Indemnity </t>
    </r>
    <r>
      <rPr>
        <sz val="10"/>
        <rFont val="Arial"/>
        <family val="2"/>
      </rPr>
      <t>(HSA Compatible)</t>
    </r>
    <r>
      <rPr>
        <b/>
        <sz val="10"/>
        <rFont val="Arial"/>
        <family val="2"/>
      </rPr>
      <t xml:space="preserve">
</t>
    </r>
    <r>
      <rPr>
        <sz val="10"/>
        <rFont val="Arial"/>
        <family val="2"/>
      </rPr>
      <t>EE Paid</t>
    </r>
  </si>
  <si>
    <t>Zip: 92037
SIC: 8731</t>
  </si>
  <si>
    <t>COOK
(Pam A)</t>
  </si>
  <si>
    <r>
      <t xml:space="preserve">HMO: </t>
    </r>
    <r>
      <rPr>
        <sz val="10"/>
        <rFont val="Arial"/>
        <family val="2"/>
      </rPr>
      <t>Plan 2: 15/250A</t>
    </r>
    <r>
      <rPr>
        <b/>
        <sz val="10"/>
        <rFont val="Arial"/>
        <family val="2"/>
      </rPr>
      <t xml:space="preserve">
PPO: </t>
    </r>
    <r>
      <rPr>
        <sz val="10"/>
        <rFont val="Arial"/>
        <family val="2"/>
      </rPr>
      <t>Plan 7: 250/10 w/Advantage Rx</t>
    </r>
    <r>
      <rPr>
        <b/>
        <sz val="10"/>
        <rFont val="Arial"/>
        <family val="2"/>
      </rPr>
      <t xml:space="preserve">
HSA: </t>
    </r>
    <r>
      <rPr>
        <sz val="10"/>
        <rFont val="Arial"/>
        <family val="2"/>
      </rPr>
      <t>Plan 11: 1500/10 w/Advantage Rx &amp; No Motion
(SCAL-Group B (34-44)</t>
    </r>
  </si>
  <si>
    <t>260089-0190 HMO (Full)
909678-0337 PPO
909678-0481 PPO w/HSA</t>
  </si>
  <si>
    <r>
      <rPr>
        <b/>
        <sz val="10"/>
        <rFont val="Arial"/>
        <family val="2"/>
      </rPr>
      <t>PPO:</t>
    </r>
    <r>
      <rPr>
        <sz val="10"/>
        <rFont val="Arial"/>
        <family val="2"/>
      </rPr>
      <t xml:space="preserve"> Plan 13 (7) - 909678-0589
</t>
    </r>
    <r>
      <rPr>
        <b/>
        <sz val="10"/>
        <rFont val="Arial"/>
        <family val="2"/>
      </rPr>
      <t xml:space="preserve">HSA: </t>
    </r>
    <r>
      <rPr>
        <sz val="10"/>
        <rFont val="Arial"/>
        <family val="2"/>
      </rPr>
      <t>Plan 16 (11) - 909678-0733</t>
    </r>
  </si>
  <si>
    <t>2223 Avenida De La Playa, 
Ste 205
La Jolla CA 92037</t>
  </si>
  <si>
    <r>
      <t xml:space="preserve">HSA
EE Only: </t>
    </r>
    <r>
      <rPr>
        <sz val="10"/>
        <rFont val="Arial"/>
        <family val="2"/>
      </rPr>
      <t>$3,400</t>
    </r>
    <r>
      <rPr>
        <b/>
        <sz val="10"/>
        <rFont val="Arial"/>
        <family val="2"/>
      </rPr>
      <t xml:space="preserve">
EE + DEP: </t>
    </r>
    <r>
      <rPr>
        <sz val="10"/>
        <rFont val="Arial"/>
        <family val="2"/>
      </rPr>
      <t>$3,400</t>
    </r>
  </si>
  <si>
    <t>909678-BRB HSA Bank</t>
  </si>
  <si>
    <r>
      <rPr>
        <b/>
        <sz val="10"/>
        <rFont val="Arial"/>
        <family val="2"/>
      </rPr>
      <t xml:space="preserve">Plan 2: </t>
    </r>
    <r>
      <rPr>
        <sz val="10"/>
        <rFont val="Arial"/>
        <family val="2"/>
      </rPr>
      <t xml:space="preserve"> 100/90/60 - 100/80/50 $2k Max w/ 50% to $2k Ortho
Region 2 (10-24)</t>
    </r>
  </si>
  <si>
    <t>Zip: 92121
SIC: 8049</t>
  </si>
  <si>
    <t xml:space="preserve">
LEBHERZ/Osburn
(Michelle B.)</t>
  </si>
  <si>
    <r>
      <t xml:space="preserve">HMO: </t>
    </r>
    <r>
      <rPr>
        <sz val="10"/>
        <rFont val="Arial"/>
        <family val="2"/>
      </rPr>
      <t>Plan 1: 10/0</t>
    </r>
    <r>
      <rPr>
        <b/>
        <sz val="10"/>
        <rFont val="Arial"/>
        <family val="2"/>
      </rPr>
      <t xml:space="preserve">
PPO: </t>
    </r>
    <r>
      <rPr>
        <sz val="10"/>
        <rFont val="Arial"/>
        <family val="2"/>
      </rPr>
      <t>Plan 7: 250/10  w/Advantage Rx
(SCAL-Group C (44-54))</t>
    </r>
  </si>
  <si>
    <t>260068-0169 HMO (Full)
909678-0340 PPO</t>
  </si>
  <si>
    <r>
      <rPr>
        <b/>
        <sz val="10"/>
        <rFont val="Arial"/>
        <family val="2"/>
      </rPr>
      <t>PPO:</t>
    </r>
    <r>
      <rPr>
        <sz val="10"/>
        <rFont val="Arial"/>
        <family val="2"/>
      </rPr>
      <t xml:space="preserve"> Plan 13 (7) - 909678-0592</t>
    </r>
  </si>
  <si>
    <t>Mike Tebesceff
201-647-3191
mtebesceff@lmcopartners.com
Additional Contacts:
Virginia Nigro
vnigro@signatureanalytics.com
858.774.5467
Darlene.frenchporter@californiaprotons.com
pjain@signatureanalytics.com</t>
  </si>
  <si>
    <t>Producer - Bo Lebherz / Maggie Osburn
Service Lead -Michelle Brady</t>
  </si>
  <si>
    <r>
      <rPr>
        <b/>
        <sz val="10"/>
        <rFont val="Arial"/>
        <family val="2"/>
      </rPr>
      <t>Plan 3: 100/90/60/50 $2k Max w/ 50% to $2k Ortho</t>
    </r>
    <r>
      <rPr>
        <sz val="10"/>
        <rFont val="Arial"/>
        <family val="2"/>
      </rPr>
      <t xml:space="preserve">
Region 2 (25-49)</t>
    </r>
  </si>
  <si>
    <r>
      <t xml:space="preserve">M130D-10/25
</t>
    </r>
    <r>
      <rPr>
        <sz val="10"/>
        <rFont val="Arial"/>
        <family val="2"/>
      </rPr>
      <t>(All Regions (2-49))</t>
    </r>
  </si>
  <si>
    <r>
      <t>60% up to $2,500</t>
    </r>
    <r>
      <rPr>
        <sz val="10"/>
        <rFont val="Arial"/>
        <family val="2"/>
      </rPr>
      <t xml:space="preserve"> </t>
    </r>
  </si>
  <si>
    <r>
      <t xml:space="preserve">FSA </t>
    </r>
    <r>
      <rPr>
        <sz val="10"/>
        <rFont val="Arial"/>
        <family val="2"/>
      </rPr>
      <t xml:space="preserve">- HC, DC </t>
    </r>
    <r>
      <rPr>
        <i/>
        <sz val="8"/>
        <rFont val="Arial"/>
        <family val="2"/>
      </rPr>
      <t>(Client pays)</t>
    </r>
  </si>
  <si>
    <t>Zip: 92008
SIC: 5122</t>
  </si>
  <si>
    <t>DUENAS
(Lydia F.)-</t>
  </si>
  <si>
    <r>
      <t>HMO:</t>
    </r>
    <r>
      <rPr>
        <sz val="10"/>
        <rFont val="Arial"/>
        <family val="2"/>
      </rPr>
      <t xml:space="preserve">  Plan 2: 15/250A</t>
    </r>
    <r>
      <rPr>
        <b/>
        <sz val="10"/>
        <rFont val="Arial"/>
        <family val="2"/>
      </rPr>
      <t xml:space="preserve">
PPO: </t>
    </r>
    <r>
      <rPr>
        <sz val="10"/>
        <rFont val="Arial"/>
        <family val="2"/>
      </rPr>
      <t>Plan 8: 500/20 w/Advantage Rx
(SCAL-Group B (34-44))</t>
    </r>
  </si>
  <si>
    <t>Producer - Dave Duenas
Service Lead - Lydia Frazer
Account Rep - Courtney Stanley</t>
  </si>
  <si>
    <r>
      <rPr>
        <b/>
        <sz val="10"/>
        <rFont val="Arial"/>
        <family val="2"/>
      </rPr>
      <t xml:space="preserve">Plan 1: </t>
    </r>
    <r>
      <rPr>
        <sz val="10"/>
        <rFont val="Arial"/>
        <family val="2"/>
      </rPr>
      <t>100/80/50 $1.5k Max w/ 50% to $1.5k Ortho
(Region 1 (50-99))</t>
    </r>
  </si>
  <si>
    <r>
      <t>M130A-10/25</t>
    </r>
    <r>
      <rPr>
        <sz val="10"/>
        <rFont val="Arial"/>
        <family val="2"/>
      </rPr>
      <t xml:space="preserve">
(All Regions (50-99))</t>
    </r>
  </si>
  <si>
    <t>Dave gets 15.0%</t>
  </si>
  <si>
    <t xml:space="preserve">Guardian </t>
  </si>
  <si>
    <t>Non-BOR</t>
  </si>
  <si>
    <t>Outside Trust - Commissions TBD</t>
  </si>
  <si>
    <t>DBA: NuFACE</t>
  </si>
  <si>
    <t>Zip: 92081
SIC: 5099</t>
  </si>
  <si>
    <t>WITTMAN
(Lisa C.)</t>
  </si>
  <si>
    <r>
      <t xml:space="preserve">HMO: </t>
    </r>
    <r>
      <rPr>
        <sz val="10"/>
        <rFont val="Arial"/>
        <family val="2"/>
      </rPr>
      <t>Plan 1: 10/0</t>
    </r>
    <r>
      <rPr>
        <b/>
        <sz val="10"/>
        <rFont val="Arial"/>
        <family val="2"/>
      </rPr>
      <t xml:space="preserve">
HSA: </t>
    </r>
    <r>
      <rPr>
        <sz val="10"/>
        <rFont val="Arial"/>
        <family val="2"/>
      </rPr>
      <t>Plan 11: 1500/10 w/Advantage Rx &amp; No Motion
(SCAL-Group A (&lt;34)</t>
    </r>
  </si>
  <si>
    <t>260062-0163 HMO (Full)
909678-0478 PPO w/HSA</t>
  </si>
  <si>
    <r>
      <rPr>
        <b/>
        <sz val="10"/>
        <rFont val="Arial"/>
        <family val="2"/>
      </rPr>
      <t xml:space="preserve">HSA: </t>
    </r>
    <r>
      <rPr>
        <sz val="10"/>
        <rFont val="Arial"/>
        <family val="2"/>
      </rPr>
      <t>Plan 16 (11) - 909678-0730</t>
    </r>
  </si>
  <si>
    <t xml:space="preserve">Account Managed by HUB SD Team
Producer - Dori Wittman
Service Lead - Lisa Cameron
</t>
  </si>
  <si>
    <t>909678-NUF HSA Bank</t>
  </si>
  <si>
    <r>
      <rPr>
        <b/>
        <sz val="10"/>
        <rFont val="Arial"/>
        <family val="2"/>
      </rPr>
      <t>Plan 2:</t>
    </r>
    <r>
      <rPr>
        <sz val="10"/>
        <rFont val="Arial"/>
        <family val="2"/>
      </rPr>
      <t xml:space="preserve"> 100/90/60 - 100/80/50 $2k Max w/ 50% to $2k Ortho
Region 1 (50-99)</t>
    </r>
  </si>
  <si>
    <r>
      <t xml:space="preserve">M130D-10/25
</t>
    </r>
    <r>
      <rPr>
        <sz val="10"/>
        <rFont val="Arial"/>
        <family val="2"/>
      </rPr>
      <t>(All Regions (50-99)</t>
    </r>
  </si>
  <si>
    <t>NYD-068387 NY</t>
  </si>
  <si>
    <r>
      <t xml:space="preserve">FSA </t>
    </r>
    <r>
      <rPr>
        <sz val="10"/>
        <rFont val="Arial"/>
        <family val="2"/>
      </rPr>
      <t xml:space="preserve">- HC, LP </t>
    </r>
    <r>
      <rPr>
        <i/>
        <sz val="8"/>
        <rFont val="Arial"/>
        <family val="2"/>
      </rPr>
      <t xml:space="preserve">(Client pays)
</t>
    </r>
    <r>
      <rPr>
        <sz val="10"/>
        <rFont val="Arial"/>
        <family val="2"/>
      </rPr>
      <t>2.5 mo Grace Pd.</t>
    </r>
  </si>
  <si>
    <t>Zip: 94070
SIC: 8731</t>
  </si>
  <si>
    <t>WALKER</t>
  </si>
  <si>
    <r>
      <t xml:space="preserve">HMO: </t>
    </r>
    <r>
      <rPr>
        <sz val="10"/>
        <rFont val="Arial"/>
        <family val="2"/>
      </rPr>
      <t>Plan 1: 10/0</t>
    </r>
    <r>
      <rPr>
        <b/>
        <sz val="10"/>
        <rFont val="Arial"/>
        <family val="2"/>
      </rPr>
      <t xml:space="preserve">
PPO: </t>
    </r>
    <r>
      <rPr>
        <sz val="10"/>
        <rFont val="Arial"/>
        <family val="2"/>
      </rPr>
      <t>Plan 7: 250/10 w/Advantage Rx</t>
    </r>
    <r>
      <rPr>
        <b/>
        <sz val="10"/>
        <rFont val="Arial"/>
        <family val="2"/>
      </rPr>
      <t xml:space="preserve">
HSA: </t>
    </r>
    <r>
      <rPr>
        <sz val="10"/>
        <rFont val="Arial"/>
        <family val="2"/>
      </rPr>
      <t>Plan 11: 1500/10 w/Advantage Rx &amp; No Motion</t>
    </r>
    <r>
      <rPr>
        <b/>
        <sz val="10"/>
        <rFont val="Arial"/>
        <family val="2"/>
      </rPr>
      <t xml:space="preserve">
</t>
    </r>
    <r>
      <rPr>
        <sz val="10"/>
        <rFont val="Arial"/>
        <family val="2"/>
      </rPr>
      <t>(NCAL-Group C (44-54))</t>
    </r>
  </si>
  <si>
    <t>260056-0157 HMO (Full)
909678-0328 PPO
909678-0472 PPO w/HSA</t>
  </si>
  <si>
    <r>
      <t xml:space="preserve">HSA
</t>
    </r>
    <r>
      <rPr>
        <sz val="10"/>
        <rFont val="Arial"/>
        <family val="2"/>
      </rPr>
      <t>EE Only: $X
EE + DEP: $X</t>
    </r>
  </si>
  <si>
    <t>909678-CEL HSA Bank</t>
  </si>
  <si>
    <r>
      <t xml:space="preserve">HMO: </t>
    </r>
    <r>
      <rPr>
        <sz val="10"/>
        <rFont val="Arial"/>
        <family val="2"/>
      </rPr>
      <t>$15 Copayment (GF)
Non-BOR</t>
    </r>
  </si>
  <si>
    <r>
      <rPr>
        <b/>
        <sz val="10"/>
        <rFont val="Arial"/>
        <family val="2"/>
      </rPr>
      <t xml:space="preserve">Plan 4 </t>
    </r>
    <r>
      <rPr>
        <sz val="10"/>
        <rFont val="Arial"/>
        <family val="2"/>
      </rPr>
      <t>- 100/80/50 $5k Max w/ 50% to $2k Ortho
(Region 3 (25-49))</t>
    </r>
  </si>
  <si>
    <r>
      <t>M130A-10/25</t>
    </r>
    <r>
      <rPr>
        <sz val="10"/>
        <rFont val="Arial"/>
        <family val="2"/>
      </rPr>
      <t xml:space="preserve">
(All Regions (2-49))</t>
    </r>
  </si>
  <si>
    <r>
      <t xml:space="preserve">FSA </t>
    </r>
    <r>
      <rPr>
        <sz val="10"/>
        <rFont val="Arial"/>
        <family val="2"/>
      </rPr>
      <t xml:space="preserve">- HC </t>
    </r>
    <r>
      <rPr>
        <i/>
        <sz val="8"/>
        <rFont val="Arial"/>
        <family val="2"/>
      </rPr>
      <t>(Client pays)</t>
    </r>
  </si>
  <si>
    <t>New Trust Client (HUB Renewal)</t>
  </si>
  <si>
    <t>Zip: 92121
SIC: 2899</t>
  </si>
  <si>
    <t xml:space="preserve">
FREISMUTH
(Kim L.)</t>
  </si>
  <si>
    <r>
      <rPr>
        <b/>
        <sz val="10"/>
        <rFont val="Arial"/>
        <family val="2"/>
      </rPr>
      <t xml:space="preserve">HSA: </t>
    </r>
    <r>
      <rPr>
        <sz val="10"/>
        <rFont val="Arial"/>
        <family val="2"/>
      </rPr>
      <t>Plan 11: 1500/10  w/Advantage Rx &amp; No Motion</t>
    </r>
    <r>
      <rPr>
        <sz val="10"/>
        <color rgb="FFFF0000"/>
        <rFont val="Arial"/>
        <family val="2"/>
      </rPr>
      <t xml:space="preserve">
</t>
    </r>
    <r>
      <rPr>
        <sz val="10"/>
        <rFont val="Arial"/>
        <family val="2"/>
      </rPr>
      <t>(SCAL-Group C (44-54))</t>
    </r>
  </si>
  <si>
    <t>909678-0484 PPO w/HSA</t>
  </si>
  <si>
    <t>12760 High Bluff Drive, Suite 370
 San Diego, Ca. 92130</t>
  </si>
  <si>
    <t>Account Managed by HUB SD (Del Mar) Team
Producer - Thomas Freismuth
Service Lead - Kim Larochelle</t>
  </si>
  <si>
    <r>
      <t xml:space="preserve">HSA
EE Only: </t>
    </r>
    <r>
      <rPr>
        <sz val="10"/>
        <rFont val="Arial"/>
        <family val="2"/>
      </rPr>
      <t>$500</t>
    </r>
    <r>
      <rPr>
        <b/>
        <sz val="10"/>
        <rFont val="Arial"/>
        <family val="2"/>
      </rPr>
      <t xml:space="preserve">
EE + DEP: </t>
    </r>
    <r>
      <rPr>
        <sz val="10"/>
        <rFont val="Arial"/>
        <family val="2"/>
      </rPr>
      <t>$500</t>
    </r>
  </si>
  <si>
    <t>909678-CHM HSA Bank</t>
  </si>
  <si>
    <t>CREIGHTON
(Ben H)</t>
  </si>
  <si>
    <r>
      <t xml:space="preserve">HMO: </t>
    </r>
    <r>
      <rPr>
        <sz val="10"/>
        <rFont val="Arial"/>
        <family val="2"/>
      </rPr>
      <t xml:space="preserve">Plan 1: 10/0 (Full)
</t>
    </r>
    <r>
      <rPr>
        <b/>
        <sz val="10"/>
        <rFont val="Arial"/>
        <family val="2"/>
      </rPr>
      <t>HMO:</t>
    </r>
    <r>
      <rPr>
        <sz val="10"/>
        <rFont val="Arial"/>
        <family val="2"/>
      </rPr>
      <t xml:space="preserve"> Plan 4: 10/0 (Narrow)</t>
    </r>
    <r>
      <rPr>
        <b/>
        <sz val="10"/>
        <rFont val="Arial"/>
        <family val="2"/>
      </rPr>
      <t xml:space="preserve">
PPO:</t>
    </r>
    <r>
      <rPr>
        <sz val="10"/>
        <rFont val="Arial"/>
        <family val="2"/>
      </rPr>
      <t xml:space="preserve"> Plan 7: 250/10 w/Advantage Rx
</t>
    </r>
    <r>
      <rPr>
        <b/>
        <sz val="10"/>
        <rFont val="Arial"/>
        <family val="2"/>
      </rPr>
      <t>HSA:</t>
    </r>
    <r>
      <rPr>
        <sz val="10"/>
        <rFont val="Arial"/>
        <family val="2"/>
      </rPr>
      <t xml:space="preserve"> Plan 11: 1500/10 w/Advantage Rx &amp; No Motion
(SCAL-Group A &lt;34))</t>
    </r>
  </si>
  <si>
    <t>260062-0163 HMO (Full)
260134-0235 HMO (Narrow)
909678-0334 PPO
909678-0478 PPO w/HSA</t>
  </si>
  <si>
    <r>
      <rPr>
        <b/>
        <sz val="10"/>
        <rFont val="Arial"/>
        <family val="2"/>
      </rPr>
      <t>PPO:</t>
    </r>
    <r>
      <rPr>
        <sz val="10"/>
        <rFont val="Arial"/>
        <family val="2"/>
      </rPr>
      <t xml:space="preserve"> Plan 13 (7) - 909678-0586
</t>
    </r>
    <r>
      <rPr>
        <b/>
        <sz val="10"/>
        <rFont val="Arial"/>
        <family val="2"/>
      </rPr>
      <t xml:space="preserve">HSA: </t>
    </r>
    <r>
      <rPr>
        <sz val="10"/>
        <rFont val="Arial"/>
        <family val="2"/>
      </rPr>
      <t>Plan 16 (11) - 909678-0730</t>
    </r>
  </si>
  <si>
    <t>Producer - Matt Creighton
Service Lead/BA - Ben Hendricks
AR - Yvonne Bello
Assistant - Aubrey Brandt</t>
  </si>
  <si>
    <r>
      <t xml:space="preserve">HSA
EE Only: </t>
    </r>
    <r>
      <rPr>
        <sz val="10"/>
        <rFont val="Arial"/>
        <family val="2"/>
      </rPr>
      <t>$1,750</t>
    </r>
    <r>
      <rPr>
        <b/>
        <sz val="10"/>
        <rFont val="Arial"/>
        <family val="2"/>
      </rPr>
      <t xml:space="preserve">
EE + DEP: </t>
    </r>
    <r>
      <rPr>
        <sz val="10"/>
        <rFont val="Arial"/>
        <family val="2"/>
      </rPr>
      <t>$3,500</t>
    </r>
  </si>
  <si>
    <t>909678-CID HSA Bank</t>
  </si>
  <si>
    <r>
      <rPr>
        <b/>
        <sz val="10"/>
        <rFont val="Arial"/>
        <family val="2"/>
      </rPr>
      <t xml:space="preserve">Plan 2: </t>
    </r>
    <r>
      <rPr>
        <sz val="10"/>
        <rFont val="Arial"/>
        <family val="2"/>
      </rPr>
      <t xml:space="preserve"> 100/90/60 - 100/80/50 $2k Max w/ 50% to $2k Ortho
Region 2 (50-99)</t>
    </r>
  </si>
  <si>
    <r>
      <t xml:space="preserve">FSA </t>
    </r>
    <r>
      <rPr>
        <sz val="10"/>
        <rFont val="Arial"/>
        <family val="2"/>
      </rPr>
      <t xml:space="preserve">- HC, DC, LP </t>
    </r>
    <r>
      <rPr>
        <i/>
        <sz val="8"/>
        <rFont val="Arial"/>
        <family val="2"/>
      </rPr>
      <t xml:space="preserve">(Client pays)
</t>
    </r>
    <r>
      <rPr>
        <sz val="10"/>
        <rFont val="Arial"/>
        <family val="2"/>
      </rPr>
      <t>Rollover: $500</t>
    </r>
  </si>
  <si>
    <t>Zip: 92122
SIC: 8742</t>
  </si>
  <si>
    <t>DUENAS
(Katherine T.)</t>
  </si>
  <si>
    <r>
      <t xml:space="preserve">HMO: </t>
    </r>
    <r>
      <rPr>
        <sz val="10"/>
        <rFont val="Arial"/>
        <family val="2"/>
      </rPr>
      <t>Plan 2: 15/250</t>
    </r>
    <r>
      <rPr>
        <b/>
        <sz val="10"/>
        <rFont val="Arial"/>
        <family val="2"/>
      </rPr>
      <t xml:space="preserve">
PPO: </t>
    </r>
    <r>
      <rPr>
        <sz val="10"/>
        <rFont val="Arial"/>
        <family val="2"/>
      </rPr>
      <t>Plan 7: 250/10 w/Access Rx</t>
    </r>
    <r>
      <rPr>
        <b/>
        <sz val="10"/>
        <rFont val="Arial"/>
        <family val="2"/>
      </rPr>
      <t xml:space="preserve">
HSA: </t>
    </r>
    <r>
      <rPr>
        <sz val="10"/>
        <rFont val="Arial"/>
        <family val="2"/>
      </rPr>
      <t>Plan 11: 1500/10 w/Access Rx &amp; No Motion
(SCAL-Group B (34-44))</t>
    </r>
  </si>
  <si>
    <r>
      <t>260089-0190 HMO (Full)
909678-</t>
    </r>
    <r>
      <rPr>
        <b/>
        <sz val="10"/>
        <rFont val="Arial"/>
        <family val="2"/>
      </rPr>
      <t xml:space="preserve">0913 </t>
    </r>
    <r>
      <rPr>
        <sz val="10"/>
        <rFont val="Arial"/>
        <family val="2"/>
      </rPr>
      <t>PPO
909678-</t>
    </r>
    <r>
      <rPr>
        <b/>
        <sz val="10"/>
        <rFont val="Arial"/>
        <family val="2"/>
      </rPr>
      <t xml:space="preserve">1021 </t>
    </r>
    <r>
      <rPr>
        <sz val="10"/>
        <rFont val="Arial"/>
        <family val="2"/>
      </rPr>
      <t>PPO w/HSA</t>
    </r>
  </si>
  <si>
    <r>
      <rPr>
        <b/>
        <sz val="10"/>
        <rFont val="Arial"/>
        <family val="2"/>
      </rPr>
      <t>PPO:</t>
    </r>
    <r>
      <rPr>
        <sz val="10"/>
        <rFont val="Arial"/>
        <family val="2"/>
      </rPr>
      <t xml:space="preserve"> Plan 13 (7) - 909678-</t>
    </r>
    <r>
      <rPr>
        <b/>
        <sz val="10"/>
        <rFont val="Arial"/>
        <family val="2"/>
      </rPr>
      <t>1093</t>
    </r>
    <r>
      <rPr>
        <sz val="10"/>
        <rFont val="Arial"/>
        <family val="2"/>
      </rPr>
      <t xml:space="preserve">
</t>
    </r>
    <r>
      <rPr>
        <b/>
        <sz val="10"/>
        <rFont val="Arial"/>
        <family val="2"/>
      </rPr>
      <t xml:space="preserve">HSA: </t>
    </r>
    <r>
      <rPr>
        <sz val="10"/>
        <rFont val="Arial"/>
        <family val="2"/>
      </rPr>
      <t>Plan 16 (11) - 909678-</t>
    </r>
    <r>
      <rPr>
        <b/>
        <sz val="10"/>
        <rFont val="Arial"/>
        <family val="2"/>
      </rPr>
      <t>1201</t>
    </r>
  </si>
  <si>
    <r>
      <t xml:space="preserve">HSA
</t>
    </r>
    <r>
      <rPr>
        <sz val="10"/>
        <rFont val="Arial"/>
        <family val="2"/>
      </rPr>
      <t>EE Only: $1,500
EE + DEP: $3,000</t>
    </r>
  </si>
  <si>
    <t>909678-CLS HSA Bank</t>
  </si>
  <si>
    <r>
      <t xml:space="preserve">HMO: </t>
    </r>
    <r>
      <rPr>
        <sz val="10"/>
        <rFont val="Arial"/>
        <family val="2"/>
      </rPr>
      <t>Platinum 90 0/10
Zip: 92122</t>
    </r>
  </si>
  <si>
    <r>
      <rPr>
        <b/>
        <sz val="10"/>
        <rFont val="Arial"/>
        <family val="2"/>
      </rPr>
      <t xml:space="preserve">Plan 7: </t>
    </r>
    <r>
      <rPr>
        <sz val="10"/>
        <rFont val="Arial"/>
        <family val="2"/>
      </rPr>
      <t>100/90/60/0 $2k Max w/o  Ortho
(Region 2 (25-49))</t>
    </r>
  </si>
  <si>
    <r>
      <t xml:space="preserve">FSA </t>
    </r>
    <r>
      <rPr>
        <sz val="10"/>
        <rFont val="Arial"/>
        <family val="2"/>
      </rPr>
      <t xml:space="preserve">- HC &amp; DC </t>
    </r>
    <r>
      <rPr>
        <sz val="8"/>
        <rFont val="Arial"/>
        <family val="2"/>
      </rPr>
      <t>(</t>
    </r>
    <r>
      <rPr>
        <i/>
        <sz val="8"/>
        <rFont val="Arial"/>
        <family val="2"/>
      </rPr>
      <t>Client pays)</t>
    </r>
  </si>
  <si>
    <t>Zip: 92121
SIC: 5122</t>
  </si>
  <si>
    <t>OSBURN
(Megan W.)</t>
  </si>
  <si>
    <r>
      <t xml:space="preserve">HMO: </t>
    </r>
    <r>
      <rPr>
        <sz val="10"/>
        <rFont val="Arial"/>
        <family val="2"/>
      </rPr>
      <t>Plan 2: 15/250A</t>
    </r>
    <r>
      <rPr>
        <b/>
        <sz val="10"/>
        <rFont val="Arial"/>
        <family val="2"/>
      </rPr>
      <t xml:space="preserve">
PPO: </t>
    </r>
    <r>
      <rPr>
        <sz val="10"/>
        <rFont val="Arial"/>
        <family val="2"/>
      </rPr>
      <t>Plan 8: 500/20 w/Advantage Rx
(SCAL-Group D (54+))</t>
    </r>
  </si>
  <si>
    <t>260095-0196 HMO (Full)
909678-0379 PPO</t>
  </si>
  <si>
    <r>
      <t xml:space="preserve">PPO: </t>
    </r>
    <r>
      <rPr>
        <sz val="10"/>
        <rFont val="Arial"/>
        <family val="2"/>
      </rPr>
      <t>Plan 14 (8) - 909678-0631</t>
    </r>
  </si>
  <si>
    <t>Producer - Maggie Osburn
Service Lead - Megan Wallace</t>
  </si>
  <si>
    <r>
      <rPr>
        <b/>
        <sz val="10"/>
        <rFont val="Arial"/>
        <family val="2"/>
      </rPr>
      <t xml:space="preserve">Plan 6: </t>
    </r>
    <r>
      <rPr>
        <sz val="10"/>
        <rFont val="Arial"/>
        <family val="2"/>
      </rPr>
      <t>100/90/60 - 100/80/50 $2k Max w/o Ortho
Region 2 (10-24)</t>
    </r>
  </si>
  <si>
    <r>
      <t xml:space="preserve">FSA </t>
    </r>
    <r>
      <rPr>
        <sz val="10"/>
        <rFont val="Arial"/>
        <family val="2"/>
      </rPr>
      <t>- HC, DC</t>
    </r>
    <r>
      <rPr>
        <i/>
        <sz val="8"/>
        <rFont val="Arial"/>
        <family val="2"/>
      </rPr>
      <t>(Client pays)
With Rollover</t>
    </r>
  </si>
  <si>
    <t>Zip: 92064
SIC:  2835</t>
  </si>
  <si>
    <r>
      <t xml:space="preserve">HMO: </t>
    </r>
    <r>
      <rPr>
        <sz val="10"/>
        <rFont val="Arial"/>
        <family val="2"/>
      </rPr>
      <t>Plan 3:  20-40/500A
(SCAL-Group A (&lt;34)</t>
    </r>
  </si>
  <si>
    <t>260110-0211 HMO (Full)</t>
  </si>
  <si>
    <t>Account Managed by HUB SD (Carlsbad) Team
Producer-
Dori Wittman
Service Lead-
Kayla Strawswer</t>
  </si>
  <si>
    <r>
      <t xml:space="preserve">1-5x earnings up to $500,000
</t>
    </r>
    <r>
      <rPr>
        <sz val="10"/>
        <rFont val="Arial"/>
        <family val="2"/>
      </rPr>
      <t>(Amounts Grandfathered)</t>
    </r>
  </si>
  <si>
    <t>Zip: 94560
SIC: 2834</t>
  </si>
  <si>
    <r>
      <t xml:space="preserve">HMO: </t>
    </r>
    <r>
      <rPr>
        <sz val="10"/>
        <rFont val="Arial"/>
        <family val="2"/>
      </rPr>
      <t>Plan 2: 15/250A</t>
    </r>
    <r>
      <rPr>
        <b/>
        <sz val="10"/>
        <rFont val="Arial"/>
        <family val="2"/>
      </rPr>
      <t xml:space="preserve">
PPO: </t>
    </r>
    <r>
      <rPr>
        <sz val="10"/>
        <rFont val="Arial"/>
        <family val="2"/>
      </rPr>
      <t>Plan 7: 250/10 w/Advantage Rx</t>
    </r>
    <r>
      <rPr>
        <b/>
        <sz val="10"/>
        <rFont val="Arial"/>
        <family val="2"/>
      </rPr>
      <t xml:space="preserve">
HSA: </t>
    </r>
    <r>
      <rPr>
        <sz val="10"/>
        <rFont val="Arial"/>
        <family val="2"/>
      </rPr>
      <t>Plan 11: 1500/10 w/Advantage Rx &amp; No Motion
(NCAL-Group C (44-54))</t>
    </r>
  </si>
  <si>
    <t>260080-0181 HMO (Full)
909678-0328 PPO
909678-0472 PPO w/HSA</t>
  </si>
  <si>
    <t>Account Managed by ABD Team
Producer - Mark Anderson
Mark.Anderson@theabdteam.com
Service Lead-
Angie Lopez-Frazier 
angie.lopez@theabdteam.com
Was managed by HUB (Duenas/Katherine T.) until 11/2017</t>
  </si>
  <si>
    <r>
      <t xml:space="preserve">HSA
</t>
    </r>
    <r>
      <rPr>
        <sz val="10"/>
        <rFont val="Arial"/>
        <family val="2"/>
      </rPr>
      <t>EE Only: $1,550
EE + DEP: $3,050</t>
    </r>
  </si>
  <si>
    <r>
      <t xml:space="preserve">HMO: </t>
    </r>
    <r>
      <rPr>
        <sz val="10"/>
        <rFont val="Arial"/>
        <family val="2"/>
      </rPr>
      <t>Platinum 90 0/15</t>
    </r>
    <r>
      <rPr>
        <b/>
        <sz val="10"/>
        <rFont val="Arial"/>
        <family val="2"/>
      </rPr>
      <t xml:space="preserve">
HMO: </t>
    </r>
    <r>
      <rPr>
        <sz val="10"/>
        <rFont val="Arial"/>
        <family val="2"/>
      </rPr>
      <t>Gold 80 0/30
Non-BOR</t>
    </r>
  </si>
  <si>
    <t>$16.57pmpm</t>
  </si>
  <si>
    <r>
      <rPr>
        <b/>
        <sz val="10"/>
        <rFont val="Arial"/>
        <family val="2"/>
      </rPr>
      <t>Plan 3: 100/90/60/50 $2k Max w/ 50% to $2k Ortho</t>
    </r>
    <r>
      <rPr>
        <sz val="10"/>
        <rFont val="Arial"/>
        <family val="2"/>
      </rPr>
      <t xml:space="preserve">
(Region 4 (25-49)</t>
    </r>
  </si>
  <si>
    <t>R4</t>
  </si>
  <si>
    <t>2x earnings up to $500,000 (All Others)
3x earnings up to $750,000 (Executives)</t>
  </si>
  <si>
    <t xml:space="preserve">CymaBay - FSA </t>
  </si>
  <si>
    <t>CYMABAY</t>
  </si>
  <si>
    <t>Zip: 92121
SIC: 3841</t>
  </si>
  <si>
    <t>GREGORY 
(Megan W.)</t>
  </si>
  <si>
    <r>
      <t xml:space="preserve">HMO: </t>
    </r>
    <r>
      <rPr>
        <sz val="10"/>
        <rFont val="Arial"/>
        <family val="2"/>
      </rPr>
      <t>Plan 2: 15/250A</t>
    </r>
    <r>
      <rPr>
        <b/>
        <sz val="10"/>
        <rFont val="Arial"/>
        <family val="2"/>
      </rPr>
      <t xml:space="preserve">
HSA: </t>
    </r>
    <r>
      <rPr>
        <sz val="10"/>
        <rFont val="Arial"/>
        <family val="2"/>
      </rPr>
      <t>Plan 11: 1500/10 w/Advantage Rx &amp; No Motion
(SCAL-Group C (44-54))</t>
    </r>
  </si>
  <si>
    <t>Producer - Bev Gregory
Service Lead - Megan Wallace</t>
  </si>
  <si>
    <t>909678-CYT HSA Bank</t>
  </si>
  <si>
    <r>
      <t xml:space="preserve">FSA - HC &amp; DC </t>
    </r>
    <r>
      <rPr>
        <i/>
        <sz val="8"/>
        <rFont val="Arial"/>
        <family val="2"/>
      </rPr>
      <t>(Client pays)
Confirmed managed via trust</t>
    </r>
  </si>
  <si>
    <r>
      <t xml:space="preserve">COBRA </t>
    </r>
    <r>
      <rPr>
        <i/>
        <sz val="8"/>
        <rFont val="Arial"/>
        <family val="2"/>
      </rPr>
      <t>(CLSA Trust pays)
Confirmed managed via trust</t>
    </r>
  </si>
  <si>
    <t>Daré Bioscience, Inc.</t>
  </si>
  <si>
    <t>Zip: 92037
SIC: 2836</t>
  </si>
  <si>
    <t>OSBURN
(Courtney S.)</t>
  </si>
  <si>
    <r>
      <t xml:space="preserve">HMO: </t>
    </r>
    <r>
      <rPr>
        <sz val="10"/>
        <rFont val="Arial"/>
        <family val="2"/>
      </rPr>
      <t xml:space="preserve">Plan 2: 15/250A
</t>
    </r>
    <r>
      <rPr>
        <b/>
        <sz val="10"/>
        <rFont val="Arial"/>
        <family val="2"/>
      </rPr>
      <t>PPO:</t>
    </r>
    <r>
      <rPr>
        <sz val="10"/>
        <rFont val="Arial"/>
        <family val="2"/>
      </rPr>
      <t xml:space="preserve"> Plan 8: 500/20 w/Advantage Rx</t>
    </r>
    <r>
      <rPr>
        <b/>
        <sz val="10"/>
        <rFont val="Arial"/>
        <family val="2"/>
      </rPr>
      <t xml:space="preserve">
HSA: </t>
    </r>
    <r>
      <rPr>
        <sz val="10"/>
        <rFont val="Arial"/>
        <family val="2"/>
      </rPr>
      <t xml:space="preserve">Plan 11: 1500/10 w/Advantage Rx &amp; No Motion
(SCAL-Group D (54+)) </t>
    </r>
  </si>
  <si>
    <t>260095-0196 HMO (Full)
909678-0379 PPO
909678-0487 PPO w/HSA</t>
  </si>
  <si>
    <r>
      <rPr>
        <b/>
        <sz val="10"/>
        <rFont val="Arial"/>
        <family val="2"/>
      </rPr>
      <t>PPO</t>
    </r>
    <r>
      <rPr>
        <sz val="10"/>
        <rFont val="Arial"/>
        <family val="2"/>
      </rPr>
      <t xml:space="preserve">: Plan 14 (8) - 909678-0631
</t>
    </r>
    <r>
      <rPr>
        <b/>
        <sz val="10"/>
        <rFont val="Arial"/>
        <family val="2"/>
      </rPr>
      <t xml:space="preserve">HSA: </t>
    </r>
    <r>
      <rPr>
        <sz val="10"/>
        <rFont val="Arial"/>
        <family val="2"/>
      </rPr>
      <t>Plan 16 (11) - 909678-0739</t>
    </r>
  </si>
  <si>
    <t>Producer - Maggie Osburn
Service Lead - Courtney Stanley</t>
  </si>
  <si>
    <r>
      <t xml:space="preserve">HSA
</t>
    </r>
    <r>
      <rPr>
        <sz val="10"/>
        <rFont val="Arial"/>
        <family val="2"/>
      </rPr>
      <t>EE Only: $500
EE + DEP: $1,000</t>
    </r>
  </si>
  <si>
    <r>
      <rPr>
        <b/>
        <sz val="10"/>
        <rFont val="Arial"/>
        <family val="2"/>
      </rPr>
      <t xml:space="preserve">DPPO 2: </t>
    </r>
    <r>
      <rPr>
        <sz val="10"/>
        <rFont val="Arial"/>
        <family val="2"/>
      </rPr>
      <t xml:space="preserve">100/90/60 - 100/80/50 $2k Max w/ 50% to $2k Ortho
(Region 1 (2-9))
</t>
    </r>
  </si>
  <si>
    <t xml:space="preserve">IGOE - COBRA </t>
  </si>
  <si>
    <t>Maestro - Ben Admin</t>
  </si>
  <si>
    <t>909678-DC3 HSA Bank</t>
  </si>
  <si>
    <r>
      <rPr>
        <b/>
        <sz val="10"/>
        <rFont val="Arial"/>
        <family val="2"/>
      </rPr>
      <t xml:space="preserve">Plan 5: </t>
    </r>
    <r>
      <rPr>
        <sz val="10"/>
        <rFont val="Arial"/>
        <family val="2"/>
      </rPr>
      <t>100/80/50 $1.5k Max w/o Ortho
Region 3 (2-9)</t>
    </r>
  </si>
  <si>
    <t>HUB SD (Small)</t>
  </si>
  <si>
    <t>Less Than 5k</t>
  </si>
  <si>
    <t>LEBHERZ
(Michelle B)</t>
  </si>
  <si>
    <r>
      <t xml:space="preserve">HMO: </t>
    </r>
    <r>
      <rPr>
        <sz val="10"/>
        <rFont val="Arial"/>
        <family val="2"/>
      </rPr>
      <t>Plan 1: 10/0</t>
    </r>
    <r>
      <rPr>
        <b/>
        <sz val="10"/>
        <rFont val="Arial"/>
        <family val="2"/>
      </rPr>
      <t xml:space="preserve">
PPO: </t>
    </r>
    <r>
      <rPr>
        <sz val="10"/>
        <rFont val="Arial"/>
        <family val="2"/>
      </rPr>
      <t>Plan 7: 250/10 w/Advantage Rx
(SCAL-Group B (34-44)</t>
    </r>
  </si>
  <si>
    <r>
      <rPr>
        <b/>
        <sz val="10"/>
        <rFont val="Arial"/>
        <family val="2"/>
      </rPr>
      <t>PPO:</t>
    </r>
    <r>
      <rPr>
        <sz val="10"/>
        <rFont val="Arial"/>
        <family val="2"/>
      </rPr>
      <t xml:space="preserve"> Plan 13 (7) - 909678-0589</t>
    </r>
    <r>
      <rPr>
        <b/>
        <sz val="10"/>
        <rFont val="Arial"/>
        <family val="2"/>
      </rPr>
      <t/>
    </r>
  </si>
  <si>
    <t xml:space="preserve">10/1/17+
CLSA gets 0.5%
House gets 7.5% </t>
  </si>
  <si>
    <t xml:space="preserve">Account Managed by HUB SD Team
Producer -Bo Lebherz
Service Lead - Michelle Brady
</t>
  </si>
  <si>
    <r>
      <rPr>
        <b/>
        <sz val="10"/>
        <rFont val="Arial"/>
        <family val="2"/>
      </rPr>
      <t xml:space="preserve">Plan 1: </t>
    </r>
    <r>
      <rPr>
        <sz val="10"/>
        <rFont val="Arial"/>
        <family val="2"/>
      </rPr>
      <t>100/80/50 $1.5k Max with Ortho
Region 1 (2-9)</t>
    </r>
  </si>
  <si>
    <t>House gets 10.0%</t>
  </si>
  <si>
    <t>House gets 15.0%</t>
  </si>
  <si>
    <t>Zip: 95060
SIC: 9999 / 8731</t>
  </si>
  <si>
    <r>
      <t xml:space="preserve">PPO: </t>
    </r>
    <r>
      <rPr>
        <sz val="10"/>
        <rFont val="Arial"/>
        <family val="2"/>
      </rPr>
      <t xml:space="preserve">Plan 7: 250/10 w/Advantage Rx
</t>
    </r>
    <r>
      <rPr>
        <b/>
        <sz val="10"/>
        <rFont val="Arial"/>
        <family val="2"/>
      </rPr>
      <t>HSA:</t>
    </r>
    <r>
      <rPr>
        <sz val="10"/>
        <rFont val="Arial"/>
        <family val="2"/>
      </rPr>
      <t xml:space="preserve"> Plan 11: 1500/10 w/Advantage Rx &amp; No Motion
(NCAL-Group C (44-54))</t>
    </r>
  </si>
  <si>
    <t>909678-EMB HSA Bank</t>
  </si>
  <si>
    <r>
      <rPr>
        <b/>
        <sz val="10"/>
        <rFont val="Arial"/>
        <family val="2"/>
      </rPr>
      <t xml:space="preserve">Plan 1: </t>
    </r>
    <r>
      <rPr>
        <sz val="10"/>
        <rFont val="Arial"/>
        <family val="2"/>
      </rPr>
      <t>100/80/50 $1.5k Max w/ 50% to $1.5k Ortho
(Region 4 (2-9))</t>
    </r>
  </si>
  <si>
    <r>
      <t xml:space="preserve">M130A-10/25
</t>
    </r>
    <r>
      <rPr>
        <sz val="10"/>
        <rFont val="Arial"/>
        <family val="2"/>
      </rPr>
      <t>(All Regions (2-49))</t>
    </r>
  </si>
  <si>
    <t>Emboline - COBRA</t>
  </si>
  <si>
    <t>Zip: 92037
SIC: 8748</t>
  </si>
  <si>
    <t>OSBURN
(Randell J.)</t>
  </si>
  <si>
    <r>
      <t xml:space="preserve">HMO: </t>
    </r>
    <r>
      <rPr>
        <sz val="10"/>
        <rFont val="Arial"/>
        <family val="2"/>
      </rPr>
      <t>Plan 2: 15/250A</t>
    </r>
    <r>
      <rPr>
        <b/>
        <sz val="10"/>
        <rFont val="Arial"/>
        <family val="2"/>
      </rPr>
      <t xml:space="preserve">
PPO: </t>
    </r>
    <r>
      <rPr>
        <sz val="10"/>
        <rFont val="Arial"/>
        <family val="2"/>
      </rPr>
      <t>Plan 8: 500/20 w/Advantage Rx</t>
    </r>
    <r>
      <rPr>
        <b/>
        <sz val="10"/>
        <rFont val="Arial"/>
        <family val="2"/>
      </rPr>
      <t xml:space="preserve">
HSA: </t>
    </r>
    <r>
      <rPr>
        <sz val="10"/>
        <rFont val="Arial"/>
        <family val="2"/>
      </rPr>
      <t>Plan 11: 1500/10 w/Advantage Rx &amp; No Motion
(SCAL-Group B (34-44))</t>
    </r>
  </si>
  <si>
    <t>260089-0190 HMO (Full)
909678-0373 PPO
909678-0481 PPO w/HSA</t>
  </si>
  <si>
    <r>
      <rPr>
        <b/>
        <sz val="10"/>
        <rFont val="Arial"/>
        <family val="2"/>
      </rPr>
      <t>PPO</t>
    </r>
    <r>
      <rPr>
        <sz val="10"/>
        <rFont val="Arial"/>
        <family val="2"/>
      </rPr>
      <t xml:space="preserve">: Plan 14 (8) - 909678-0625
</t>
    </r>
    <r>
      <rPr>
        <b/>
        <sz val="10"/>
        <rFont val="Arial"/>
        <family val="2"/>
      </rPr>
      <t xml:space="preserve">HSA: </t>
    </r>
    <r>
      <rPr>
        <sz val="10"/>
        <rFont val="Arial"/>
        <family val="2"/>
      </rPr>
      <t>Plan 16 (11) - 909678-0733</t>
    </r>
  </si>
  <si>
    <t>Producer - Maggie Osburn
Service Lead - Randell Jacobs</t>
  </si>
  <si>
    <r>
      <t xml:space="preserve">HSA
EE Only: </t>
    </r>
    <r>
      <rPr>
        <sz val="10"/>
        <rFont val="Arial"/>
        <family val="2"/>
      </rPr>
      <t>$600</t>
    </r>
    <r>
      <rPr>
        <b/>
        <sz val="10"/>
        <rFont val="Arial"/>
        <family val="2"/>
      </rPr>
      <t xml:space="preserve">
EE + DEP: </t>
    </r>
    <r>
      <rPr>
        <sz val="10"/>
        <rFont val="Arial"/>
        <family val="2"/>
      </rPr>
      <t>$600</t>
    </r>
  </si>
  <si>
    <t>909678-EMO HSA Bank</t>
  </si>
  <si>
    <r>
      <t xml:space="preserve">M150D-10/10
</t>
    </r>
    <r>
      <rPr>
        <sz val="10"/>
        <rFont val="Arial"/>
        <family val="2"/>
      </rPr>
      <t>(All Regions (2-49))</t>
    </r>
  </si>
  <si>
    <r>
      <t xml:space="preserve">FSA - HC, DC, LP (Client pays)
</t>
    </r>
    <r>
      <rPr>
        <i/>
        <sz val="10"/>
        <rFont val="Arial"/>
        <family val="2"/>
      </rPr>
      <t>with Rollover</t>
    </r>
  </si>
  <si>
    <t>Zip: 92130
SIC: TBD</t>
  </si>
  <si>
    <t>Less than 5k</t>
  </si>
  <si>
    <r>
      <t xml:space="preserve">HSA: </t>
    </r>
    <r>
      <rPr>
        <sz val="10"/>
        <rFont val="Arial"/>
        <family val="2"/>
      </rPr>
      <t>Plan 11: 1500/10
(SCAL-Group D (54+)</t>
    </r>
  </si>
  <si>
    <t>909678-0487 PPO w/HSA</t>
  </si>
  <si>
    <r>
      <rPr>
        <b/>
        <sz val="10"/>
        <rFont val="Arial"/>
        <family val="2"/>
      </rPr>
      <t xml:space="preserve">HSA: </t>
    </r>
    <r>
      <rPr>
        <sz val="10"/>
        <rFont val="Arial"/>
        <family val="2"/>
      </rPr>
      <t>Plan 16 (11) - 909678-0739</t>
    </r>
  </si>
  <si>
    <r>
      <t xml:space="preserve">HSA
EE Only: </t>
    </r>
    <r>
      <rPr>
        <sz val="10"/>
        <rFont val="Arial"/>
        <family val="2"/>
      </rPr>
      <t>$3,000</t>
    </r>
    <r>
      <rPr>
        <b/>
        <sz val="10"/>
        <rFont val="Arial"/>
        <family val="2"/>
      </rPr>
      <t xml:space="preserve">
EE + DEP: </t>
    </r>
    <r>
      <rPr>
        <sz val="10"/>
        <rFont val="Arial"/>
        <family val="2"/>
      </rPr>
      <t>$6,000</t>
    </r>
  </si>
  <si>
    <r>
      <rPr>
        <b/>
        <sz val="10"/>
        <rFont val="Arial"/>
        <family val="2"/>
      </rPr>
      <t xml:space="preserve">Plan 2: </t>
    </r>
    <r>
      <rPr>
        <sz val="10"/>
        <rFont val="Arial"/>
        <family val="2"/>
      </rPr>
      <t>100/90/60 - 100/80/50 $2k Max w/ 50% to $2k Ortho
Region 2 (2-9)</t>
    </r>
  </si>
  <si>
    <t>DBA: Ovation Fertility</t>
  </si>
  <si>
    <t>Zip: 91436
SIC: 8011</t>
  </si>
  <si>
    <t>SLAY
(Faye K.)</t>
  </si>
  <si>
    <r>
      <t xml:space="preserve">PPO: </t>
    </r>
    <r>
      <rPr>
        <sz val="10"/>
        <rFont val="Arial"/>
        <family val="2"/>
      </rPr>
      <t>Plan 9: 750/20 w/Advantage Rx</t>
    </r>
    <r>
      <rPr>
        <b/>
        <sz val="10"/>
        <rFont val="Arial"/>
        <family val="2"/>
      </rPr>
      <t xml:space="preserve">
HSA: </t>
    </r>
    <r>
      <rPr>
        <sz val="10"/>
        <rFont val="Arial"/>
        <family val="2"/>
      </rPr>
      <t>Plan 11: 1500/10 w/Advantage Rx &amp; No Motion
HSA: Plan 18: 2700/20 w/Advantage Rx &amp; No Motion
(SCAL-Group B (34-44))</t>
    </r>
  </si>
  <si>
    <t>909678-0409 PPO
909678-0481 PPO w/HSA
909678-0841 PPO w/HSA</t>
  </si>
  <si>
    <r>
      <rPr>
        <b/>
        <sz val="10"/>
        <rFont val="Arial"/>
        <family val="2"/>
      </rPr>
      <t xml:space="preserve">PPO: </t>
    </r>
    <r>
      <rPr>
        <sz val="10"/>
        <rFont val="Arial"/>
        <family val="2"/>
      </rPr>
      <t xml:space="preserve">Plan 15 (9) - 909678-0661
</t>
    </r>
    <r>
      <rPr>
        <b/>
        <sz val="10"/>
        <rFont val="Arial"/>
        <family val="2"/>
      </rPr>
      <t>HSA</t>
    </r>
    <r>
      <rPr>
        <sz val="10"/>
        <rFont val="Arial"/>
        <family val="2"/>
      </rPr>
      <t>: Plan 16 (11) - 909678-0733
HSA: Plan 19 (18) - 909678-0877</t>
    </r>
  </si>
  <si>
    <r>
      <rPr>
        <b/>
        <sz val="10"/>
        <rFont val="Arial"/>
        <family val="2"/>
      </rPr>
      <t xml:space="preserve">Plan 1: </t>
    </r>
    <r>
      <rPr>
        <sz val="10"/>
        <rFont val="Arial"/>
        <family val="2"/>
      </rPr>
      <t>100/80/50 $1.5k Max with Ortho
Region 4 (50-99)</t>
    </r>
  </si>
  <si>
    <r>
      <t xml:space="preserve">FSA </t>
    </r>
    <r>
      <rPr>
        <sz val="10"/>
        <rFont val="Arial"/>
        <family val="2"/>
      </rPr>
      <t>- HC, DC (</t>
    </r>
    <r>
      <rPr>
        <i/>
        <sz val="8"/>
        <rFont val="Arial"/>
        <family val="2"/>
      </rPr>
      <t>Client pays)</t>
    </r>
  </si>
  <si>
    <t>Superior State FSA</t>
  </si>
  <si>
    <t>Zip: 94025
SIC: 8731</t>
  </si>
  <si>
    <t>TRUDEAU
(Danielle R.)</t>
  </si>
  <si>
    <r>
      <t xml:space="preserve">HMO: </t>
    </r>
    <r>
      <rPr>
        <sz val="10"/>
        <rFont val="Arial"/>
        <family val="2"/>
      </rPr>
      <t>Plan 2: 15/250A</t>
    </r>
    <r>
      <rPr>
        <b/>
        <sz val="10"/>
        <rFont val="Arial"/>
        <family val="2"/>
      </rPr>
      <t xml:space="preserve">
PPO: </t>
    </r>
    <r>
      <rPr>
        <sz val="10"/>
        <rFont val="Arial"/>
        <family val="2"/>
      </rPr>
      <t>Plan 7: 250/10 w/Advantage Rx
(NCAL-Group C (44-54))</t>
    </r>
  </si>
  <si>
    <t>260080-0181 HMO (Full)
909678-0328 PPO</t>
  </si>
  <si>
    <r>
      <rPr>
        <b/>
        <sz val="10"/>
        <rFont val="Arial"/>
        <family val="2"/>
      </rPr>
      <t>PPO:</t>
    </r>
    <r>
      <rPr>
        <sz val="10"/>
        <rFont val="Arial"/>
        <family val="2"/>
      </rPr>
      <t xml:space="preserve"> Plan 13 (7) - 909678-0580</t>
    </r>
  </si>
  <si>
    <r>
      <t xml:space="preserve">DPPO 2: </t>
    </r>
    <r>
      <rPr>
        <sz val="10"/>
        <rFont val="Arial"/>
        <family val="2"/>
      </rPr>
      <t>100/90/60 - 100/80/50 $2k Max w/ 50% to $2k Ortho
(Region 4 (25-49))</t>
    </r>
  </si>
  <si>
    <t>2x earnings up to $500,000 (Non-Exec)
3x earnings up to $750,000 (Exec)</t>
  </si>
  <si>
    <r>
      <t xml:space="preserve">FSA </t>
    </r>
    <r>
      <rPr>
        <sz val="10"/>
        <rFont val="Arial"/>
        <family val="2"/>
      </rPr>
      <t xml:space="preserve">- HC, DC </t>
    </r>
    <r>
      <rPr>
        <i/>
        <sz val="8"/>
        <rFont val="Arial"/>
        <family val="2"/>
      </rPr>
      <t xml:space="preserve">(Client pays)
</t>
    </r>
    <r>
      <rPr>
        <sz val="10"/>
        <rFont val="Arial"/>
        <family val="2"/>
      </rPr>
      <t>with $500 rollover</t>
    </r>
  </si>
  <si>
    <t>Transit/Parking Admin</t>
  </si>
  <si>
    <r>
      <rPr>
        <b/>
        <sz val="10"/>
        <rFont val="Arial"/>
        <family val="2"/>
      </rPr>
      <t>FSA Commuter -</t>
    </r>
    <r>
      <rPr>
        <sz val="10"/>
        <rFont val="Arial"/>
        <family val="2"/>
      </rPr>
      <t xml:space="preserve"> Transit, Parking </t>
    </r>
    <r>
      <rPr>
        <i/>
        <sz val="8"/>
        <rFont val="Arial"/>
        <family val="2"/>
      </rPr>
      <t>(Client pays)</t>
    </r>
  </si>
  <si>
    <t>IGOE FSA - Commuter</t>
  </si>
  <si>
    <t>Forty Seven - COBRA</t>
  </si>
  <si>
    <t>Forty Seven - Ben Admin</t>
  </si>
  <si>
    <t>DBA: FronThera Pharmaceuticals</t>
  </si>
  <si>
    <t>Zip: 92130
SIC: 2834</t>
  </si>
  <si>
    <t>COOK
(Courtney S.)</t>
  </si>
  <si>
    <r>
      <t xml:space="preserve">HSA: </t>
    </r>
    <r>
      <rPr>
        <sz val="10"/>
        <rFont val="Arial"/>
        <family val="2"/>
      </rPr>
      <t>Plan 11: 1500/10 w/Advantage Rx &amp; No Motion
(SCAL-Group C (44-54)</t>
    </r>
  </si>
  <si>
    <t>Xiaohong Chen
858-232-9490
xhongcheni@gmail.com</t>
  </si>
  <si>
    <t xml:space="preserve">Account Managed by HUB SD Team
Producer - Neal Cook
Service Lead - Courtney Stanley
Account Rep - Courtney Stanley
</t>
  </si>
  <si>
    <r>
      <t xml:space="preserve">HSA
EE Only: </t>
    </r>
    <r>
      <rPr>
        <sz val="10"/>
        <rFont val="Arial"/>
        <family val="2"/>
      </rPr>
      <t>$2,000</t>
    </r>
    <r>
      <rPr>
        <b/>
        <sz val="10"/>
        <rFont val="Arial"/>
        <family val="2"/>
      </rPr>
      <t xml:space="preserve">
EE + DEP: </t>
    </r>
    <r>
      <rPr>
        <sz val="10"/>
        <rFont val="Arial"/>
        <family val="2"/>
      </rPr>
      <t>$5,000</t>
    </r>
  </si>
  <si>
    <t xml:space="preserve">909678-FTP HSA Bank
</t>
  </si>
  <si>
    <r>
      <rPr>
        <b/>
        <sz val="10"/>
        <rFont val="Arial"/>
        <family val="2"/>
      </rPr>
      <t xml:space="preserve">Plan 1: </t>
    </r>
    <r>
      <rPr>
        <sz val="10"/>
        <rFont val="Arial"/>
        <family val="2"/>
      </rPr>
      <t>100/80/50 $1.5k Max with Ortho
Region 2 (2-9)</t>
    </r>
  </si>
  <si>
    <t>House gets 10%</t>
  </si>
  <si>
    <t>House gets 15%</t>
  </si>
  <si>
    <t>Zip: 92008
SIC: 3842</t>
  </si>
  <si>
    <t>COOK
(Pam A.)</t>
  </si>
  <si>
    <r>
      <t xml:space="preserve">HMO: </t>
    </r>
    <r>
      <rPr>
        <sz val="10"/>
        <rFont val="Arial"/>
        <family val="2"/>
      </rPr>
      <t>Plan 2: 15/250A</t>
    </r>
    <r>
      <rPr>
        <b/>
        <sz val="10"/>
        <rFont val="Arial"/>
        <family val="2"/>
      </rPr>
      <t xml:space="preserve">
PPO: </t>
    </r>
    <r>
      <rPr>
        <sz val="10"/>
        <rFont val="Arial"/>
        <family val="2"/>
      </rPr>
      <t>Plan 8: 500/20 w/Advantage Rx</t>
    </r>
    <r>
      <rPr>
        <b/>
        <sz val="10"/>
        <rFont val="Arial"/>
        <family val="2"/>
      </rPr>
      <t xml:space="preserve">
HSA: </t>
    </r>
    <r>
      <rPr>
        <sz val="10"/>
        <rFont val="Arial"/>
        <family val="2"/>
      </rPr>
      <t>Plan 11: 1500/10 w/Advantage Rx &amp; No Motion
(SCAL-Group C (44-54))</t>
    </r>
  </si>
  <si>
    <t>260092-0193 HMO (Full)
909678-0376 PPO
909678-0484 PPO w/HSA</t>
  </si>
  <si>
    <t>909678-GIM HSA Bank</t>
  </si>
  <si>
    <r>
      <rPr>
        <b/>
        <sz val="10"/>
        <rFont val="Arial"/>
        <family val="2"/>
      </rPr>
      <t xml:space="preserve">Plan 1: </t>
    </r>
    <r>
      <rPr>
        <sz val="10"/>
        <rFont val="Arial"/>
        <family val="2"/>
      </rPr>
      <t>100/80/50 $1.5k Max with Ortho
Region 1 (10-24)</t>
    </r>
  </si>
  <si>
    <t>TASC FSA</t>
  </si>
  <si>
    <t>Zip: 94041
SIC: 7372</t>
  </si>
  <si>
    <t>VILLAROMAN
(Kimmy F.)</t>
  </si>
  <si>
    <r>
      <t xml:space="preserve">HMO: </t>
    </r>
    <r>
      <rPr>
        <sz val="10"/>
        <rFont val="Arial"/>
        <family val="2"/>
      </rPr>
      <t>Plan 2: 15/250A</t>
    </r>
    <r>
      <rPr>
        <b/>
        <sz val="10"/>
        <rFont val="Arial"/>
        <family val="2"/>
      </rPr>
      <t xml:space="preserve">
PPO: </t>
    </r>
    <r>
      <rPr>
        <sz val="10"/>
        <rFont val="Arial"/>
        <family val="2"/>
      </rPr>
      <t>Plan 8: 500/20 w/Advantage Rx</t>
    </r>
    <r>
      <rPr>
        <b/>
        <sz val="10"/>
        <rFont val="Arial"/>
        <family val="2"/>
      </rPr>
      <t xml:space="preserve">
HSA: </t>
    </r>
    <r>
      <rPr>
        <sz val="10"/>
        <rFont val="Arial"/>
        <family val="2"/>
      </rPr>
      <t>Plan 11: 1500/10 w/Advantage Rx &amp; No Motion
(NCAL-Group B (34-44)</t>
    </r>
  </si>
  <si>
    <t>260077-0178 HMO (Full)
909678-0361 PPO
909678-0469 PPO w/HSA</t>
  </si>
  <si>
    <r>
      <rPr>
        <b/>
        <sz val="10"/>
        <rFont val="Arial"/>
        <family val="2"/>
      </rPr>
      <t xml:space="preserve">PPO: </t>
    </r>
    <r>
      <rPr>
        <sz val="10"/>
        <rFont val="Arial"/>
        <family val="2"/>
      </rPr>
      <t xml:space="preserve">Plan 14 (8) - 909678-0613
</t>
    </r>
    <r>
      <rPr>
        <b/>
        <sz val="10"/>
        <rFont val="Arial"/>
        <family val="2"/>
      </rPr>
      <t xml:space="preserve">HSA: </t>
    </r>
    <r>
      <rPr>
        <sz val="10"/>
        <rFont val="Arial"/>
        <family val="2"/>
      </rPr>
      <t>Plan 16 (11) - 909678-0721</t>
    </r>
  </si>
  <si>
    <t>909678-GLO HSA Bank</t>
  </si>
  <si>
    <r>
      <t xml:space="preserve">Platinum 90 0/10 HMO
</t>
    </r>
    <r>
      <rPr>
        <sz val="10"/>
        <rFont val="Arial"/>
        <family val="2"/>
      </rPr>
      <t>Non-BOR</t>
    </r>
  </si>
  <si>
    <r>
      <rPr>
        <b/>
        <sz val="10"/>
        <rFont val="Arial"/>
        <family val="2"/>
      </rPr>
      <t xml:space="preserve">Plan 1: </t>
    </r>
    <r>
      <rPr>
        <sz val="10"/>
        <rFont val="Arial"/>
        <family val="2"/>
      </rPr>
      <t>100/80/50 $1.5k Max with Ortho
Region 3 (50-99)</t>
    </r>
  </si>
  <si>
    <r>
      <t xml:space="preserve">M150D-10/10
</t>
    </r>
    <r>
      <rPr>
        <sz val="10"/>
        <rFont val="Arial"/>
        <family val="2"/>
      </rPr>
      <t>(All Regions (50-99)</t>
    </r>
  </si>
  <si>
    <t>NYD-068431 NY</t>
  </si>
  <si>
    <r>
      <t xml:space="preserve">FSA </t>
    </r>
    <r>
      <rPr>
        <sz val="10"/>
        <rFont val="Arial"/>
        <family val="2"/>
      </rPr>
      <t xml:space="preserve">- HC, DC, LP </t>
    </r>
    <r>
      <rPr>
        <i/>
        <sz val="8"/>
        <rFont val="Arial"/>
        <family val="2"/>
      </rPr>
      <t xml:space="preserve">(Client pays)
</t>
    </r>
    <r>
      <rPr>
        <sz val="10"/>
        <rFont val="Arial"/>
        <family val="2"/>
      </rPr>
      <t>With $500 Rollover</t>
    </r>
  </si>
  <si>
    <t>Zip: 92618
SIC: 3841</t>
  </si>
  <si>
    <t>SLAY
(Leslie S.)</t>
  </si>
  <si>
    <r>
      <t xml:space="preserve">PPO: </t>
    </r>
    <r>
      <rPr>
        <sz val="10"/>
        <rFont val="Arial"/>
        <family val="2"/>
      </rPr>
      <t>Plan 7: 250/10 w/Advantage Rx
(SCAL-Group D (54+)</t>
    </r>
  </si>
  <si>
    <t>909678-0343 PPO</t>
  </si>
  <si>
    <r>
      <rPr>
        <b/>
        <sz val="10"/>
        <rFont val="Arial"/>
        <family val="2"/>
      </rPr>
      <t>PPO:</t>
    </r>
    <r>
      <rPr>
        <sz val="10"/>
        <rFont val="Arial"/>
        <family val="2"/>
      </rPr>
      <t xml:space="preserve"> Plan 13 (7) - 909678-0595</t>
    </r>
  </si>
  <si>
    <t xml:space="preserve">Account Managed by Woodruff-Sawyer Team
Producer - Leslie Slay
Service Lead - Leslie Slay
</t>
  </si>
  <si>
    <t>33-0936180</t>
  </si>
  <si>
    <r>
      <rPr>
        <b/>
        <sz val="10"/>
        <rFont val="Arial"/>
        <family val="2"/>
      </rPr>
      <t xml:space="preserve">Plan 2: </t>
    </r>
    <r>
      <rPr>
        <sz val="10"/>
        <rFont val="Arial"/>
        <family val="2"/>
      </rPr>
      <t>100/90/60 - 100/80/50 $2k Max w/ 50% to $2k Ortho
Region 3 (2-9)</t>
    </r>
  </si>
  <si>
    <r>
      <rPr>
        <b/>
        <sz val="10"/>
        <rFont val="Arial"/>
        <family val="2"/>
      </rPr>
      <t>M150D-10/10</t>
    </r>
    <r>
      <rPr>
        <sz val="10"/>
        <rFont val="Arial"/>
        <family val="2"/>
      </rPr>
      <t xml:space="preserve">
Region 3 (2-49)</t>
    </r>
  </si>
  <si>
    <t>Zip: 94080
SIC: 2834</t>
  </si>
  <si>
    <t>ANDERSON
(Tommy H.)</t>
  </si>
  <si>
    <r>
      <t xml:space="preserve">PPO: </t>
    </r>
    <r>
      <rPr>
        <sz val="10"/>
        <rFont val="Arial"/>
        <family val="2"/>
      </rPr>
      <t>Plan 7: 250/10 w/Advantage Rx
(NCAL-Group C (44-54)</t>
    </r>
  </si>
  <si>
    <t>909678-0328 PPO</t>
  </si>
  <si>
    <t>Zip: 92008
SIC: 3841</t>
  </si>
  <si>
    <t>COOK
(Domenica H.)</t>
  </si>
  <si>
    <t>Producer - Neal Cook
Service Lead - Domenica Hernandez
Account Rep - Courtney Stanley</t>
  </si>
  <si>
    <t>Healthy Equity HSA Bank</t>
  </si>
  <si>
    <r>
      <rPr>
        <b/>
        <sz val="10"/>
        <rFont val="Arial"/>
        <family val="2"/>
      </rPr>
      <t xml:space="preserve">Plan 2: </t>
    </r>
    <r>
      <rPr>
        <sz val="10"/>
        <rFont val="Arial"/>
        <family val="2"/>
      </rPr>
      <t>100/90/60 - 100/80/50 $2k Max w/ 50% to $2k Ortho
Region 1 (50-99)</t>
    </r>
  </si>
  <si>
    <r>
      <t xml:space="preserve">FSA </t>
    </r>
    <r>
      <rPr>
        <sz val="10"/>
        <rFont val="Arial"/>
        <family val="2"/>
      </rPr>
      <t xml:space="preserve">- HC , LP, DC </t>
    </r>
    <r>
      <rPr>
        <i/>
        <sz val="8"/>
        <rFont val="Arial"/>
        <family val="2"/>
      </rPr>
      <t>(Client pays)</t>
    </r>
  </si>
  <si>
    <t>Zip: 94107
SIC: 8011</t>
  </si>
  <si>
    <t>DUENAS
(Courtney S.)-</t>
  </si>
  <si>
    <r>
      <t>HMO:</t>
    </r>
    <r>
      <rPr>
        <sz val="10"/>
        <rFont val="Arial"/>
        <family val="2"/>
      </rPr>
      <t xml:space="preserve">  Plan 2: 15/250A</t>
    </r>
    <r>
      <rPr>
        <b/>
        <sz val="10"/>
        <rFont val="Arial"/>
        <family val="2"/>
      </rPr>
      <t xml:space="preserve">
PPO:</t>
    </r>
    <r>
      <rPr>
        <sz val="10"/>
        <rFont val="Arial"/>
        <family val="2"/>
      </rPr>
      <t xml:space="preserve"> Plan 7: 250/10 w/Advantage Rx</t>
    </r>
    <r>
      <rPr>
        <b/>
        <sz val="10"/>
        <rFont val="Arial"/>
        <family val="2"/>
      </rPr>
      <t xml:space="preserve">
HSA: </t>
    </r>
    <r>
      <rPr>
        <sz val="10"/>
        <rFont val="Arial"/>
        <family val="2"/>
      </rPr>
      <t>Plan 11: 1500/10 w/Advantage Rx &amp; No Motion
(NCAL-Group B (34-44))</t>
    </r>
  </si>
  <si>
    <t>260077-0178 HMO (Full)
909678-0325 PPO
909678-0469 PPO w/HSA</t>
  </si>
  <si>
    <r>
      <rPr>
        <b/>
        <sz val="10"/>
        <rFont val="Arial"/>
        <family val="2"/>
      </rPr>
      <t>PPO:</t>
    </r>
    <r>
      <rPr>
        <sz val="10"/>
        <rFont val="Arial"/>
        <family val="2"/>
      </rPr>
      <t xml:space="preserve"> Plan 13 (7) - 909678-0577
</t>
    </r>
    <r>
      <rPr>
        <b/>
        <sz val="10"/>
        <rFont val="Arial"/>
        <family val="2"/>
      </rPr>
      <t xml:space="preserve">HSA: </t>
    </r>
    <r>
      <rPr>
        <sz val="10"/>
        <rFont val="Arial"/>
        <family val="2"/>
      </rPr>
      <t>Plan 16 (11) - 909678-0721</t>
    </r>
  </si>
  <si>
    <t>Producer - Dave Duenas
Service Lead - Courtney Stanley</t>
  </si>
  <si>
    <r>
      <t xml:space="preserve">HSA
EE Only: </t>
    </r>
    <r>
      <rPr>
        <sz val="10"/>
        <rFont val="Arial"/>
        <family val="2"/>
      </rPr>
      <t xml:space="preserve">$500
</t>
    </r>
    <r>
      <rPr>
        <b/>
        <sz val="10"/>
        <rFont val="Arial"/>
        <family val="2"/>
      </rPr>
      <t>EE + 1 DEP</t>
    </r>
    <r>
      <rPr>
        <sz val="10"/>
        <rFont val="Arial"/>
        <family val="2"/>
      </rPr>
      <t>: $1,000</t>
    </r>
    <r>
      <rPr>
        <b/>
        <sz val="10"/>
        <rFont val="Arial"/>
        <family val="2"/>
      </rPr>
      <t xml:space="preserve">
EE + 2 DEP: </t>
    </r>
    <r>
      <rPr>
        <sz val="10"/>
        <rFont val="Arial"/>
        <family val="2"/>
      </rPr>
      <t>$1,500</t>
    </r>
  </si>
  <si>
    <t>909678-INF HSA Bank</t>
  </si>
  <si>
    <r>
      <rPr>
        <b/>
        <sz val="10"/>
        <rFont val="Arial"/>
        <family val="2"/>
      </rPr>
      <t xml:space="preserve">Plan 2 </t>
    </r>
    <r>
      <rPr>
        <sz val="10"/>
        <rFont val="Arial"/>
        <family val="2"/>
      </rPr>
      <t>- 100/90/60 - 100/80/50 $2k Max w/ 50% to $2k Ortho
(Region 4 (2-9))</t>
    </r>
  </si>
  <si>
    <t>Virgin</t>
  </si>
  <si>
    <t>Zip: 92037
SIC: 9999 / 8731</t>
  </si>
  <si>
    <t xml:space="preserve">CLSA gets 0.5%
House gets 7.5% </t>
  </si>
  <si>
    <t>909678-INM HSA Bank</t>
  </si>
  <si>
    <t>Zip: 92121
SIC: 9999 / 8731</t>
  </si>
  <si>
    <r>
      <t xml:space="preserve">HSA: </t>
    </r>
    <r>
      <rPr>
        <sz val="10"/>
        <rFont val="Arial"/>
        <family val="2"/>
      </rPr>
      <t>Plan 11: 1500/10 w/Advantage Rx &amp; No Motion
(SCAL-Group C (44-54))</t>
    </r>
  </si>
  <si>
    <t>909678-JTX HSA Bank</t>
  </si>
  <si>
    <r>
      <rPr>
        <b/>
        <sz val="10"/>
        <rFont val="Arial"/>
        <family val="2"/>
      </rPr>
      <t xml:space="preserve">Plan 2: </t>
    </r>
    <r>
      <rPr>
        <sz val="10"/>
        <rFont val="Arial"/>
        <family val="2"/>
      </rPr>
      <t>100/90/60 - 100/80/50 $2k Max w/ 50% to $2k Ortho
(Region 2 (2-9))</t>
    </r>
  </si>
  <si>
    <t>IGOE - COBRA</t>
  </si>
  <si>
    <t>Maestro  Ben Admin</t>
  </si>
  <si>
    <t>Zip: 94080
SIC: 9999 / 8731</t>
  </si>
  <si>
    <r>
      <t xml:space="preserve">HSA: </t>
    </r>
    <r>
      <rPr>
        <sz val="10"/>
        <rFont val="Arial"/>
        <family val="2"/>
      </rPr>
      <t>Plan 11: 1500/10 w/Advantage Rx &amp; No Motion
(NCAL-Group C (44-54)</t>
    </r>
  </si>
  <si>
    <t>260056-0157 HMO (Full)
909678-0472 PPO w/HSA</t>
  </si>
  <si>
    <r>
      <rPr>
        <b/>
        <sz val="10"/>
        <rFont val="Arial"/>
        <family val="2"/>
      </rPr>
      <t xml:space="preserve">HSA: </t>
    </r>
    <r>
      <rPr>
        <sz val="10"/>
        <rFont val="Arial"/>
        <family val="2"/>
      </rPr>
      <t>Plan 16 (11) - 909678-0724</t>
    </r>
  </si>
  <si>
    <t>909678-KLS HSA Bank</t>
  </si>
  <si>
    <r>
      <rPr>
        <b/>
        <sz val="10"/>
        <rFont val="Arial"/>
        <family val="2"/>
      </rPr>
      <t xml:space="preserve">Plan 1: </t>
    </r>
    <r>
      <rPr>
        <sz val="10"/>
        <rFont val="Arial"/>
        <family val="2"/>
      </rPr>
      <t>100/80/50 $1.5k Max with Ortho
Region 3 (10-24)</t>
    </r>
  </si>
  <si>
    <t>Zuman Ben Admin</t>
  </si>
  <si>
    <t>Zip: 94304
SIC: 8733</t>
  </si>
  <si>
    <t>NUSSBAUM
(Kimmy F.)</t>
  </si>
  <si>
    <r>
      <t xml:space="preserve">HSA: </t>
    </r>
    <r>
      <rPr>
        <sz val="10"/>
        <rFont val="Arial"/>
        <family val="2"/>
      </rPr>
      <t>Plan 11: 1500/10 w/Advantage Rx &amp; No Motion
(NCAL-Group B (34-44)</t>
    </r>
  </si>
  <si>
    <t>909678-0469 PPO w/HSA</t>
  </si>
  <si>
    <t xml:space="preserve">Producer - Chris Nussbaum 
Service Lead - Kimmy Fung
</t>
  </si>
  <si>
    <r>
      <t xml:space="preserve">HSA
</t>
    </r>
    <r>
      <rPr>
        <sz val="10"/>
        <rFont val="Arial"/>
        <family val="2"/>
      </rPr>
      <t>EE Only: $3,000
EE + DEP: $6,000</t>
    </r>
  </si>
  <si>
    <t>909678-KOD HSA Bank</t>
  </si>
  <si>
    <r>
      <rPr>
        <b/>
        <sz val="10"/>
        <rFont val="Arial"/>
        <family val="2"/>
      </rPr>
      <t xml:space="preserve">Plan 2: </t>
    </r>
    <r>
      <rPr>
        <sz val="10"/>
        <rFont val="Arial"/>
        <family val="2"/>
      </rPr>
      <t>100/90/60 - 100/80/50 $2k Max w/ 50% to $2k Ortho
Region 5 (10-24)</t>
    </r>
  </si>
  <si>
    <t>R5</t>
  </si>
  <si>
    <r>
      <t xml:space="preserve">FSA </t>
    </r>
    <r>
      <rPr>
        <sz val="10"/>
        <rFont val="Arial"/>
        <family val="2"/>
      </rPr>
      <t xml:space="preserve">-  LP </t>
    </r>
    <r>
      <rPr>
        <i/>
        <sz val="8"/>
        <rFont val="Arial"/>
        <family val="2"/>
      </rPr>
      <t>(Client pays)</t>
    </r>
  </si>
  <si>
    <r>
      <t xml:space="preserve">FSA </t>
    </r>
    <r>
      <rPr>
        <sz val="10"/>
        <rFont val="Arial"/>
        <family val="2"/>
      </rPr>
      <t xml:space="preserve">- Commuter </t>
    </r>
    <r>
      <rPr>
        <i/>
        <sz val="8"/>
        <rFont val="Arial"/>
        <family val="2"/>
      </rPr>
      <t xml:space="preserve">(Client pays)
</t>
    </r>
    <r>
      <rPr>
        <sz val="10"/>
        <rFont val="Arial"/>
        <family val="2"/>
      </rPr>
      <t>Non-BOR</t>
    </r>
  </si>
  <si>
    <t>BASIC FSA - Commuter</t>
  </si>
  <si>
    <t>DBA: Integrium &amp; OC Research Center</t>
  </si>
  <si>
    <t>Zip: 92780
SIC: 8731</t>
  </si>
  <si>
    <r>
      <t xml:space="preserve">HMO: </t>
    </r>
    <r>
      <rPr>
        <sz val="10"/>
        <rFont val="Arial"/>
        <family val="2"/>
      </rPr>
      <t>Plan 2: 15/250A</t>
    </r>
    <r>
      <rPr>
        <b/>
        <sz val="10"/>
        <rFont val="Arial"/>
        <family val="2"/>
      </rPr>
      <t xml:space="preserve">
PPO: </t>
    </r>
    <r>
      <rPr>
        <sz val="10"/>
        <rFont val="Arial"/>
        <family val="2"/>
      </rPr>
      <t>Plan 8: 500/20 w/Advantage Rx</t>
    </r>
    <r>
      <rPr>
        <b/>
        <sz val="10"/>
        <rFont val="Arial"/>
        <family val="2"/>
      </rPr>
      <t xml:space="preserve">
HSA: </t>
    </r>
    <r>
      <rPr>
        <sz val="10"/>
        <rFont val="Arial"/>
        <family val="2"/>
      </rPr>
      <t>Plan 18: 2700/20 w/Advantage Rx &amp; No Motion
(SCAL-Group C (44-54)</t>
    </r>
  </si>
  <si>
    <t>260092-0193 HMO (Full)
909678-0376 PPO
909678-0844 PPO w/HSA</t>
  </si>
  <si>
    <r>
      <rPr>
        <b/>
        <sz val="10"/>
        <rFont val="Arial"/>
        <family val="2"/>
      </rPr>
      <t>PPO</t>
    </r>
    <r>
      <rPr>
        <sz val="10"/>
        <rFont val="Arial"/>
        <family val="2"/>
      </rPr>
      <t xml:space="preserve">: Plan 14 (8) - 909678-0628
</t>
    </r>
    <r>
      <rPr>
        <b/>
        <sz val="10"/>
        <rFont val="Arial"/>
        <family val="2"/>
      </rPr>
      <t>HSA:</t>
    </r>
    <r>
      <rPr>
        <sz val="10"/>
        <rFont val="Arial"/>
        <family val="2"/>
      </rPr>
      <t xml:space="preserve"> Plan 19 (18) - 909678-0880</t>
    </r>
  </si>
  <si>
    <t xml:space="preserve">Producer - Neal Cook
Service Lead - Domenica Hernandez
Account Rep - Courtney Stanley
</t>
  </si>
  <si>
    <t>909678-MRM HSA Bank</t>
  </si>
  <si>
    <r>
      <rPr>
        <b/>
        <sz val="10"/>
        <rFont val="Arial"/>
        <family val="2"/>
      </rPr>
      <t xml:space="preserve">Plan 2: </t>
    </r>
    <r>
      <rPr>
        <sz val="10"/>
        <rFont val="Arial"/>
        <family val="2"/>
      </rPr>
      <t>100/90/60 - 100/80/50 $2k Max w/ 50% to $2k Ortho
Region 3 (50-99)</t>
    </r>
  </si>
  <si>
    <r>
      <t xml:space="preserve">HMO: </t>
    </r>
    <r>
      <rPr>
        <sz val="10"/>
        <rFont val="Arial"/>
        <family val="2"/>
      </rPr>
      <t>Plan 1: 10/0</t>
    </r>
    <r>
      <rPr>
        <b/>
        <sz val="10"/>
        <rFont val="Arial"/>
        <family val="2"/>
      </rPr>
      <t xml:space="preserve">
PPO:</t>
    </r>
    <r>
      <rPr>
        <sz val="10"/>
        <rFont val="Arial"/>
        <family val="2"/>
      </rPr>
      <t xml:space="preserve"> Plan 7: 250/10 w/Advantage Rx
</t>
    </r>
    <r>
      <rPr>
        <b/>
        <sz val="10"/>
        <rFont val="Arial"/>
        <family val="2"/>
      </rPr>
      <t>HSA:</t>
    </r>
    <r>
      <rPr>
        <sz val="10"/>
        <rFont val="Arial"/>
        <family val="2"/>
      </rPr>
      <t xml:space="preserve"> Plan 11: 1500/10 w/Advantage Rx &amp; No Motion
(SCAL-Group B (34-44))</t>
    </r>
  </si>
  <si>
    <t>260065-0166 HMO (Full)
909678-0337 PPO
909678-0481 PPO w/HSA</t>
  </si>
  <si>
    <t>Producer - Neal Cook
Service Lead - Pam Andrakowicz</t>
  </si>
  <si>
    <r>
      <t xml:space="preserve">HSA
EE Only: </t>
    </r>
    <r>
      <rPr>
        <sz val="10"/>
        <rFont val="Arial"/>
        <family val="2"/>
      </rPr>
      <t>$1,250</t>
    </r>
    <r>
      <rPr>
        <b/>
        <sz val="10"/>
        <rFont val="Arial"/>
        <family val="2"/>
      </rPr>
      <t xml:space="preserve">
EE + DEP: </t>
    </r>
    <r>
      <rPr>
        <sz val="10"/>
        <rFont val="Arial"/>
        <family val="2"/>
      </rPr>
      <t>$1,950</t>
    </r>
  </si>
  <si>
    <t>909678-MOL HSA Bank</t>
  </si>
  <si>
    <t>DBA: Pangea Biological</t>
  </si>
  <si>
    <t>Zip: 92024
SIC: 8748</t>
  </si>
  <si>
    <t>DUENAS
(Randell J.)</t>
  </si>
  <si>
    <r>
      <t xml:space="preserve">HMO: </t>
    </r>
    <r>
      <rPr>
        <sz val="10"/>
        <rFont val="Arial"/>
        <family val="2"/>
      </rPr>
      <t>Plan 1: 10/0</t>
    </r>
    <r>
      <rPr>
        <b/>
        <sz val="10"/>
        <rFont val="Arial"/>
        <family val="2"/>
      </rPr>
      <t xml:space="preserve">
PPO: </t>
    </r>
    <r>
      <rPr>
        <sz val="10"/>
        <rFont val="Arial"/>
        <family val="2"/>
      </rPr>
      <t>Plan 7: 250/10 w/Advantage Rx</t>
    </r>
    <r>
      <rPr>
        <b/>
        <sz val="10"/>
        <rFont val="Arial"/>
        <family val="2"/>
      </rPr>
      <t xml:space="preserve">
HSA: </t>
    </r>
    <r>
      <rPr>
        <sz val="10"/>
        <rFont val="Arial"/>
        <family val="2"/>
      </rPr>
      <t>Plan 11: 1500/10 w/Advantage Rx &amp; No Motion
(SCAL-Group B (34-44)</t>
    </r>
  </si>
  <si>
    <t>Producer - Dave Duenas
Service Lead - Randell Jacobs</t>
  </si>
  <si>
    <t>909678-OEG HSA Bank</t>
  </si>
  <si>
    <r>
      <rPr>
        <b/>
        <sz val="10"/>
        <rFont val="Arial"/>
        <family val="2"/>
      </rPr>
      <t>Plan 5</t>
    </r>
    <r>
      <rPr>
        <sz val="10"/>
        <rFont val="Arial"/>
        <family val="2"/>
      </rPr>
      <t>- 100/80/50/0 $1.5k Max w/o  Ortho
(Region 2 (25-49))</t>
    </r>
  </si>
  <si>
    <r>
      <t xml:space="preserve">FSA </t>
    </r>
    <r>
      <rPr>
        <sz val="10"/>
        <rFont val="Arial"/>
        <family val="2"/>
      </rPr>
      <t xml:space="preserve">- HC &amp; DC </t>
    </r>
    <r>
      <rPr>
        <i/>
        <sz val="8"/>
        <rFont val="Arial"/>
        <family val="2"/>
      </rPr>
      <t>(Client pays)</t>
    </r>
  </si>
  <si>
    <t>Pangea - FSA (HC &amp; DC)</t>
  </si>
  <si>
    <r>
      <t xml:space="preserve">FSA </t>
    </r>
    <r>
      <rPr>
        <sz val="10"/>
        <rFont val="Arial"/>
        <family val="2"/>
      </rPr>
      <t>- Commuter</t>
    </r>
    <r>
      <rPr>
        <i/>
        <sz val="8"/>
        <rFont val="Arial"/>
        <family val="2"/>
      </rPr>
      <t xml:space="preserve"> (Client pays)</t>
    </r>
  </si>
  <si>
    <t>Pangea - FSA Commuter</t>
  </si>
  <si>
    <t>Zip: 92121
SIC: 8011</t>
  </si>
  <si>
    <t>LEBHERZ
(Michelle B)-</t>
  </si>
  <si>
    <r>
      <t xml:space="preserve">HMO: </t>
    </r>
    <r>
      <rPr>
        <sz val="10"/>
        <rFont val="Arial"/>
        <family val="2"/>
      </rPr>
      <t>Plan 1: 10/0</t>
    </r>
    <r>
      <rPr>
        <b/>
        <sz val="10"/>
        <rFont val="Arial"/>
        <family val="2"/>
      </rPr>
      <t xml:space="preserve">
PPO: </t>
    </r>
    <r>
      <rPr>
        <sz val="10"/>
        <rFont val="Arial"/>
        <family val="2"/>
      </rPr>
      <t>Plan 7: 250/10 with Advantage Rx
(SCAL-Group B (34-44))</t>
    </r>
  </si>
  <si>
    <t>82-1490132</t>
  </si>
  <si>
    <t>Zip: 94710
SIC: 2834</t>
  </si>
  <si>
    <r>
      <t xml:space="preserve">HMO: </t>
    </r>
    <r>
      <rPr>
        <sz val="10"/>
        <rFont val="Arial"/>
        <family val="2"/>
      </rPr>
      <t>Plan 3: 20-40/500A</t>
    </r>
    <r>
      <rPr>
        <b/>
        <sz val="10"/>
        <rFont val="Arial"/>
        <family val="2"/>
      </rPr>
      <t xml:space="preserve">
PPO: </t>
    </r>
    <r>
      <rPr>
        <sz val="10"/>
        <rFont val="Arial"/>
        <family val="2"/>
      </rPr>
      <t>Plan 7: 250/10 w/Advantage Rx
(NCAL-Group C (44-54)</t>
    </r>
  </si>
  <si>
    <t>260104-0205 HMO (Full)
909678-0328 PPO</t>
  </si>
  <si>
    <t>Account Managed by ABD Team
Producer - Faye Lewis
Service Lead-Michelle Parker
Michelle.Parker@theabdteam.com</t>
  </si>
  <si>
    <r>
      <t xml:space="preserve">DPPO 2: </t>
    </r>
    <r>
      <rPr>
        <sz val="10"/>
        <rFont val="Arial"/>
        <family val="2"/>
      </rPr>
      <t>100/90/60 - 100/80/50 $2k Max w/ 50% to $2k Ortho
(Region 3 (50-99))</t>
    </r>
  </si>
  <si>
    <t>TS-05347642 DPPO
*Has a diff Policy #</t>
  </si>
  <si>
    <t>Zip: 94111
SIC: 8999</t>
  </si>
  <si>
    <t>HASLAM
(Vanessa S.)</t>
  </si>
  <si>
    <r>
      <t xml:space="preserve">HMO: </t>
    </r>
    <r>
      <rPr>
        <sz val="10"/>
        <rFont val="Arial"/>
        <family val="2"/>
      </rPr>
      <t>Plan 2: 15/250A</t>
    </r>
    <r>
      <rPr>
        <b/>
        <sz val="10"/>
        <rFont val="Arial"/>
        <family val="2"/>
      </rPr>
      <t xml:space="preserve">
PPO: </t>
    </r>
    <r>
      <rPr>
        <sz val="10"/>
        <rFont val="Arial"/>
        <family val="2"/>
      </rPr>
      <t>Plan 8: 500/20 w/Advantage Rx</t>
    </r>
    <r>
      <rPr>
        <b/>
        <sz val="10"/>
        <rFont val="Arial"/>
        <family val="2"/>
      </rPr>
      <t xml:space="preserve">
HSA: </t>
    </r>
    <r>
      <rPr>
        <sz val="10"/>
        <rFont val="Arial"/>
        <family val="2"/>
      </rPr>
      <t>Plan 11: 1500/10 w/Advantage Rx &amp; No Motion
(NCAL-Group C (44-54)</t>
    </r>
  </si>
  <si>
    <t>260080-0181 HMO (Full)
909678-0364 PPO
909678-0472 PPO w/HSA</t>
  </si>
  <si>
    <r>
      <rPr>
        <b/>
        <sz val="10"/>
        <rFont val="Arial"/>
        <family val="2"/>
      </rPr>
      <t>PPO</t>
    </r>
    <r>
      <rPr>
        <sz val="10"/>
        <rFont val="Arial"/>
        <family val="2"/>
      </rPr>
      <t xml:space="preserve">: Plan 14 (8) - 909678-0616
</t>
    </r>
    <r>
      <rPr>
        <b/>
        <sz val="10"/>
        <rFont val="Arial"/>
        <family val="2"/>
      </rPr>
      <t xml:space="preserve">HSA: </t>
    </r>
    <r>
      <rPr>
        <sz val="10"/>
        <rFont val="Arial"/>
        <family val="2"/>
      </rPr>
      <t>Plan 16 (11) - 909678-0724</t>
    </r>
  </si>
  <si>
    <t>Nicole Song
415-590-3512
nsong@plos.org
PLOS to pay via check for their UHC medical benefit and include invoice with check (mailed to HUB SD Office)</t>
  </si>
  <si>
    <t>Account managed by Woodruff-Sawyer 
Producer - Suzanne Haslman
shaslam@wsandco.com
Service Lead - Vanessa Stuckey
vstuckey@wsandco.com</t>
  </si>
  <si>
    <t>909678-PLO HSA Bank</t>
  </si>
  <si>
    <t>TASC COBRA</t>
  </si>
  <si>
    <t>Ultripro Ben Admin</t>
  </si>
  <si>
    <t>Zip: 92008
SIC: 9999 / 8731</t>
  </si>
  <si>
    <r>
      <t xml:space="preserve">HSA: </t>
    </r>
    <r>
      <rPr>
        <sz val="10"/>
        <rFont val="Arial"/>
        <family val="2"/>
      </rPr>
      <t>Plan 11: 1500/10 w/Advantage Rx &amp; No Motion
(SCAL-Group D (54+)</t>
    </r>
  </si>
  <si>
    <r>
      <t xml:space="preserve">HSA
EE Only: </t>
    </r>
    <r>
      <rPr>
        <sz val="10"/>
        <rFont val="Arial"/>
        <family val="2"/>
      </rPr>
      <t>$12,066</t>
    </r>
    <r>
      <rPr>
        <b/>
        <sz val="10"/>
        <rFont val="Arial"/>
        <family val="2"/>
      </rPr>
      <t xml:space="preserve">
EE + DEP: </t>
    </r>
    <r>
      <rPr>
        <sz val="10"/>
        <rFont val="Arial"/>
        <family val="2"/>
      </rPr>
      <t>$0</t>
    </r>
  </si>
  <si>
    <t>909678-PTI HSA Bank</t>
  </si>
  <si>
    <r>
      <rPr>
        <b/>
        <sz val="10"/>
        <rFont val="Arial"/>
        <family val="2"/>
      </rPr>
      <t>Plan 2:</t>
    </r>
    <r>
      <rPr>
        <sz val="10"/>
        <rFont val="Arial"/>
        <family val="2"/>
      </rPr>
      <t xml:space="preserve"> 100/90/60 - 100/80/50 $2k Max w/ 50% to $2k Ortho
Region 1 (2-9)</t>
    </r>
  </si>
  <si>
    <t>House get 10%</t>
  </si>
  <si>
    <t>House get 15%</t>
  </si>
  <si>
    <t>Zip: 95065
SIC: 8731</t>
  </si>
  <si>
    <r>
      <t>HMO:</t>
    </r>
    <r>
      <rPr>
        <sz val="10"/>
        <rFont val="Arial"/>
        <family val="2"/>
      </rPr>
      <t xml:space="preserve"> Plan 1: 10/0</t>
    </r>
    <r>
      <rPr>
        <b/>
        <sz val="10"/>
        <rFont val="Arial"/>
        <family val="2"/>
      </rPr>
      <t xml:space="preserve">
PPO:</t>
    </r>
    <r>
      <rPr>
        <sz val="10"/>
        <rFont val="Arial"/>
        <family val="2"/>
      </rPr>
      <t xml:space="preserve"> Plan 7: 250/10 w/Advantage Rx</t>
    </r>
    <r>
      <rPr>
        <b/>
        <sz val="10"/>
        <rFont val="Arial"/>
        <family val="2"/>
      </rPr>
      <t xml:space="preserve">
HSA: </t>
    </r>
    <r>
      <rPr>
        <sz val="10"/>
        <rFont val="Arial"/>
        <family val="2"/>
      </rPr>
      <t>Plan 11: 1500/10 w/Advantage Rx &amp; No Motion
(NCAL-Group C (44-54))</t>
    </r>
  </si>
  <si>
    <t>250 Natural Bridges Drive, 
Santa Cruz, CA 95060</t>
  </si>
  <si>
    <r>
      <t xml:space="preserve">HSA
EE Only: </t>
    </r>
    <r>
      <rPr>
        <sz val="10"/>
        <rFont val="Arial"/>
        <family val="2"/>
      </rPr>
      <t>$1,500</t>
    </r>
    <r>
      <rPr>
        <b/>
        <sz val="10"/>
        <rFont val="Arial"/>
        <family val="2"/>
      </rPr>
      <t xml:space="preserve">
EE + DEP: </t>
    </r>
    <r>
      <rPr>
        <sz val="10"/>
        <rFont val="Arial"/>
        <family val="2"/>
      </rPr>
      <t>$3,000</t>
    </r>
  </si>
  <si>
    <t>Prime Genomics - COBRA</t>
  </si>
  <si>
    <t>Zip: 92614
SIC: 3841</t>
  </si>
  <si>
    <t>QUEEN 
(Ann W)-</t>
  </si>
  <si>
    <r>
      <t xml:space="preserve">HMO: </t>
    </r>
    <r>
      <rPr>
        <sz val="10"/>
        <rFont val="Arial"/>
        <family val="2"/>
      </rPr>
      <t>Plan 3: 20-40/500A (Full)</t>
    </r>
    <r>
      <rPr>
        <b/>
        <sz val="10"/>
        <rFont val="Arial"/>
        <family val="2"/>
      </rPr>
      <t xml:space="preserve">
HMO: </t>
    </r>
    <r>
      <rPr>
        <sz val="10"/>
        <rFont val="Arial"/>
        <family val="2"/>
      </rPr>
      <t xml:space="preserve">Plan 5: 15/250A (Narrow)
</t>
    </r>
    <r>
      <rPr>
        <b/>
        <sz val="10"/>
        <rFont val="Arial"/>
        <family val="2"/>
      </rPr>
      <t>PPO:</t>
    </r>
    <r>
      <rPr>
        <sz val="10"/>
        <rFont val="Arial"/>
        <family val="2"/>
      </rPr>
      <t xml:space="preserve"> Plan 8: 500/20 w/Advantage Rx</t>
    </r>
    <r>
      <rPr>
        <b/>
        <sz val="10"/>
        <rFont val="Arial"/>
        <family val="2"/>
      </rPr>
      <t xml:space="preserve">
HSA: </t>
    </r>
    <r>
      <rPr>
        <sz val="10"/>
        <rFont val="Arial"/>
        <family val="2"/>
      </rPr>
      <t>Plan 11: 1500/10 w/Advantage Rx &amp; No Motion
(SCAL-Group C (44-54))</t>
    </r>
  </si>
  <si>
    <t>260116-0217 HMO (Full)
260164-0265 HMO (Narrow)
909678-0376 PPO
909678-0484 PPO w/HSA</t>
  </si>
  <si>
    <t>HB906097 HSA Bank</t>
  </si>
  <si>
    <r>
      <t xml:space="preserve">HMO: </t>
    </r>
    <r>
      <rPr>
        <sz val="10"/>
        <rFont val="Arial"/>
        <family val="2"/>
      </rPr>
      <t>Deductible HMO</t>
    </r>
  </si>
  <si>
    <r>
      <rPr>
        <b/>
        <sz val="10"/>
        <rFont val="Arial"/>
        <family val="2"/>
      </rPr>
      <t xml:space="preserve">DPPO 1: </t>
    </r>
    <r>
      <rPr>
        <sz val="10"/>
        <rFont val="Arial"/>
        <family val="2"/>
      </rPr>
      <t xml:space="preserve">100/80/50 $1.5k Max w/ 50% to $1.5k Ortho
(Region 2 (50-99))
</t>
    </r>
  </si>
  <si>
    <t>Flat 50,000
2x earnings up to $500,000</t>
  </si>
  <si>
    <t xml:space="preserve">IGOE FSA </t>
  </si>
  <si>
    <t>OnCore Ben Admin</t>
  </si>
  <si>
    <t>Zip: 94080
SIC: 8733</t>
  </si>
  <si>
    <t>NUSSBAUM
(Camille C.)</t>
  </si>
  <si>
    <r>
      <t xml:space="preserve">HMO: </t>
    </r>
    <r>
      <rPr>
        <sz val="10"/>
        <rFont val="Arial"/>
        <family val="2"/>
      </rPr>
      <t>Plan 3: 20-40/500A</t>
    </r>
    <r>
      <rPr>
        <b/>
        <sz val="10"/>
        <rFont val="Arial"/>
        <family val="2"/>
      </rPr>
      <t xml:space="preserve">
PPO: </t>
    </r>
    <r>
      <rPr>
        <sz val="10"/>
        <rFont val="Arial"/>
        <family val="2"/>
      </rPr>
      <t>Plan 7: 250/10 w/Advantage Rx</t>
    </r>
    <r>
      <rPr>
        <b/>
        <sz val="10"/>
        <rFont val="Arial"/>
        <family val="2"/>
      </rPr>
      <t xml:space="preserve">
HSA: </t>
    </r>
    <r>
      <rPr>
        <sz val="10"/>
        <rFont val="Arial"/>
        <family val="2"/>
      </rPr>
      <t>Plan 11: 1500/10 w/Advantage Rx &amp; No Motion
(NCAL-Group C (44-54)</t>
    </r>
  </si>
  <si>
    <t>260104-0205 HMO (Full)
909678-0328 PPO
909678-0472 PPO w/HSA</t>
  </si>
  <si>
    <t>909678-PBI HSA Bank</t>
  </si>
  <si>
    <r>
      <t xml:space="preserve">HMO: </t>
    </r>
    <r>
      <rPr>
        <sz val="10"/>
        <rFont val="Arial"/>
        <family val="2"/>
      </rPr>
      <t>Platinum 90 0/15 HMO
Non-BOR</t>
    </r>
  </si>
  <si>
    <r>
      <rPr>
        <b/>
        <sz val="10"/>
        <rFont val="Arial"/>
        <family val="2"/>
      </rPr>
      <t>Plan 2:</t>
    </r>
    <r>
      <rPr>
        <sz val="10"/>
        <rFont val="Arial"/>
        <family val="2"/>
      </rPr>
      <t xml:space="preserve"> 100/90/60 - 100/80/50 $2k Max w/ 50% to $2k Ortho
Region 3 (50-99)</t>
    </r>
  </si>
  <si>
    <r>
      <t xml:space="preserve">M150D-10/10
</t>
    </r>
    <r>
      <rPr>
        <sz val="10"/>
        <rFont val="Arial"/>
        <family val="2"/>
      </rPr>
      <t>(All Regions 50-99)</t>
    </r>
  </si>
  <si>
    <t>NYD-068373 NY</t>
  </si>
  <si>
    <r>
      <t xml:space="preserve">FSA - HC, DC, LP </t>
    </r>
    <r>
      <rPr>
        <i/>
        <sz val="8"/>
        <rFont val="Arial"/>
        <family val="2"/>
      </rPr>
      <t>(Client pays)</t>
    </r>
    <r>
      <rPr>
        <b/>
        <sz val="10"/>
        <rFont val="Arial"/>
        <family val="2"/>
      </rPr>
      <t xml:space="preserve">
</t>
    </r>
    <r>
      <rPr>
        <sz val="10"/>
        <rFont val="Arial"/>
        <family val="2"/>
      </rPr>
      <t>Rollover: $500</t>
    </r>
  </si>
  <si>
    <t>x</t>
  </si>
  <si>
    <r>
      <t>FSA - Commuter</t>
    </r>
    <r>
      <rPr>
        <i/>
        <sz val="8"/>
        <rFont val="Arial"/>
        <family val="2"/>
      </rPr>
      <t xml:space="preserve"> (Client pays)</t>
    </r>
    <r>
      <rPr>
        <b/>
        <sz val="10"/>
        <rFont val="Arial"/>
        <family val="2"/>
      </rPr>
      <t xml:space="preserve">
</t>
    </r>
    <r>
      <rPr>
        <sz val="10"/>
        <rFont val="Arial"/>
        <family val="2"/>
      </rPr>
      <t>Non-BOR</t>
    </r>
  </si>
  <si>
    <t>Yes - Exception (paying all Trust &amp; Non-Trust for 2018)</t>
  </si>
  <si>
    <r>
      <t xml:space="preserve">COBRA </t>
    </r>
    <r>
      <rPr>
        <i/>
        <sz val="8"/>
        <rFont val="Arial"/>
        <family val="2"/>
      </rPr>
      <t xml:space="preserve">(CLSA Trust pays. </t>
    </r>
    <r>
      <rPr>
        <b/>
        <i/>
        <sz val="8"/>
        <rFont val="Arial"/>
        <family val="2"/>
      </rPr>
      <t>Exception: for Trust &amp; Non- Trust for 2018)</t>
    </r>
  </si>
  <si>
    <t>Zip: 94107
SIC: 8731</t>
  </si>
  <si>
    <t>Osburn
(Courtney S.)</t>
  </si>
  <si>
    <r>
      <t xml:space="preserve">PPO: </t>
    </r>
    <r>
      <rPr>
        <sz val="10"/>
        <rFont val="Arial"/>
        <family val="2"/>
      </rPr>
      <t>Plan 7: 250/10 w/Advantage Rx</t>
    </r>
    <r>
      <rPr>
        <b/>
        <sz val="10"/>
        <rFont val="Arial"/>
        <family val="2"/>
      </rPr>
      <t xml:space="preserve">
HSA: </t>
    </r>
    <r>
      <rPr>
        <sz val="10"/>
        <rFont val="Arial"/>
        <family val="2"/>
      </rPr>
      <t>Plan 11: 1500/10 w/Advantage Rx &amp; No Motion
(NCAL-Group B (34-44)</t>
    </r>
  </si>
  <si>
    <t>909678-0325 PPO
909678-0469 PPO w/HSA</t>
  </si>
  <si>
    <r>
      <rPr>
        <b/>
        <sz val="10"/>
        <rFont val="Arial"/>
        <family val="2"/>
      </rPr>
      <t xml:space="preserve">Plan 1: </t>
    </r>
    <r>
      <rPr>
        <sz val="10"/>
        <rFont val="Arial"/>
        <family val="2"/>
      </rPr>
      <t>100/80/50 $1.5k Max with Ortho
Region 4 (2-9)</t>
    </r>
  </si>
  <si>
    <t>Zip: 94025
SIC: 3841</t>
  </si>
  <si>
    <r>
      <t xml:space="preserve">HMO: </t>
    </r>
    <r>
      <rPr>
        <sz val="10"/>
        <rFont val="Arial"/>
        <family val="2"/>
      </rPr>
      <t>Plan 1: 10/0</t>
    </r>
    <r>
      <rPr>
        <b/>
        <sz val="10"/>
        <rFont val="Arial"/>
        <family val="2"/>
      </rPr>
      <t xml:space="preserve">
PPO: </t>
    </r>
    <r>
      <rPr>
        <sz val="10"/>
        <rFont val="Arial"/>
        <family val="2"/>
      </rPr>
      <t>Plan 7: 250/10 w/Advantage Rx</t>
    </r>
    <r>
      <rPr>
        <b/>
        <sz val="10"/>
        <rFont val="Arial"/>
        <family val="2"/>
      </rPr>
      <t xml:space="preserve">
HSA: </t>
    </r>
    <r>
      <rPr>
        <sz val="10"/>
        <rFont val="Arial"/>
        <family val="2"/>
      </rPr>
      <t>Plan 11: 1500/10 w/Advantage Rx &amp; No Motion
(NCAL-Group B (34-44)</t>
    </r>
  </si>
  <si>
    <t>260053-0154 HMO (Full)
909678-0325 PPO
909678-0469 PPO w/HSA</t>
  </si>
  <si>
    <t>909678-QOO HSA Bank</t>
  </si>
  <si>
    <r>
      <rPr>
        <b/>
        <sz val="10"/>
        <rFont val="Arial"/>
        <family val="2"/>
      </rPr>
      <t xml:space="preserve">Plan 1: </t>
    </r>
    <r>
      <rPr>
        <sz val="10"/>
        <rFont val="Arial"/>
        <family val="2"/>
      </rPr>
      <t>100/80/50 $1.5k Max with Ortho
Region 3 (2-9)</t>
    </r>
  </si>
  <si>
    <t>GREGORY
(Lisa B.)</t>
  </si>
  <si>
    <r>
      <t xml:space="preserve">HMO: </t>
    </r>
    <r>
      <rPr>
        <sz val="10"/>
        <rFont val="Arial"/>
        <family val="2"/>
      </rPr>
      <t>Plan 2: 15/250A</t>
    </r>
    <r>
      <rPr>
        <b/>
        <sz val="10"/>
        <rFont val="Arial"/>
        <family val="2"/>
      </rPr>
      <t xml:space="preserve">
PPO: </t>
    </r>
    <r>
      <rPr>
        <sz val="10"/>
        <rFont val="Arial"/>
        <family val="2"/>
      </rPr>
      <t>Plan 7: 250/10 w/Access Rx
(SCAL-Group C (44-54)</t>
    </r>
  </si>
  <si>
    <r>
      <t>260092-0193 HMO (Full)
909678-</t>
    </r>
    <r>
      <rPr>
        <b/>
        <sz val="10"/>
        <rFont val="Arial"/>
        <family val="2"/>
      </rPr>
      <t>0916</t>
    </r>
    <r>
      <rPr>
        <sz val="10"/>
        <rFont val="Arial"/>
        <family val="2"/>
      </rPr>
      <t xml:space="preserve"> PPO</t>
    </r>
  </si>
  <si>
    <r>
      <rPr>
        <b/>
        <sz val="10"/>
        <rFont val="Arial"/>
        <family val="2"/>
      </rPr>
      <t>PPO:</t>
    </r>
    <r>
      <rPr>
        <sz val="10"/>
        <rFont val="Arial"/>
        <family val="2"/>
      </rPr>
      <t xml:space="preserve"> Plan 13 (7) - 909678-</t>
    </r>
    <r>
      <rPr>
        <b/>
        <sz val="10"/>
        <rFont val="Arial"/>
        <family val="2"/>
      </rPr>
      <t>1096</t>
    </r>
  </si>
  <si>
    <r>
      <t xml:space="preserve">FSA </t>
    </r>
    <r>
      <rPr>
        <sz val="10"/>
        <rFont val="Arial"/>
        <family val="2"/>
      </rPr>
      <t xml:space="preserve">- Commuter </t>
    </r>
    <r>
      <rPr>
        <i/>
        <sz val="8"/>
        <rFont val="Arial"/>
        <family val="2"/>
      </rPr>
      <t>(Client pays)</t>
    </r>
  </si>
  <si>
    <r>
      <t xml:space="preserve">COBRA (Client pays)
</t>
    </r>
    <r>
      <rPr>
        <sz val="9"/>
        <rFont val="Arial"/>
        <family val="2"/>
      </rPr>
      <t>Confirmed by Ashley - Non Trust</t>
    </r>
  </si>
  <si>
    <t>Zip: 93012
SIC: 3052</t>
  </si>
  <si>
    <t>QUEEN
(Elise G.)</t>
  </si>
  <si>
    <t>909678-STW HSA Bank</t>
  </si>
  <si>
    <r>
      <rPr>
        <b/>
        <sz val="10"/>
        <rFont val="Arial"/>
        <family val="2"/>
      </rPr>
      <t xml:space="preserve">Plan 1: </t>
    </r>
    <r>
      <rPr>
        <sz val="10"/>
        <rFont val="Arial"/>
        <family val="2"/>
      </rPr>
      <t>100/80/50 $1.5k Max with Ortho
Region 2 (50-99)</t>
    </r>
  </si>
  <si>
    <t>PayCom</t>
  </si>
  <si>
    <t>Zip: 92081
SIC: 3841</t>
  </si>
  <si>
    <t>DUENAS
(Jess H.)-</t>
  </si>
  <si>
    <r>
      <t xml:space="preserve">HMO: </t>
    </r>
    <r>
      <rPr>
        <sz val="10"/>
        <rFont val="Arial"/>
        <family val="2"/>
      </rPr>
      <t>Plan 2: 15/250A (Full)</t>
    </r>
    <r>
      <rPr>
        <b/>
        <sz val="10"/>
        <rFont val="Arial"/>
        <family val="2"/>
      </rPr>
      <t xml:space="preserve">
HMO: </t>
    </r>
    <r>
      <rPr>
        <sz val="10"/>
        <rFont val="Arial"/>
        <family val="2"/>
      </rPr>
      <t>Plan 5: 15/250A (Narrow)</t>
    </r>
    <r>
      <rPr>
        <b/>
        <sz val="10"/>
        <rFont val="Arial"/>
        <family val="2"/>
      </rPr>
      <t xml:space="preserve">
HSA: </t>
    </r>
    <r>
      <rPr>
        <sz val="10"/>
        <rFont val="Arial"/>
        <family val="2"/>
      </rPr>
      <t xml:space="preserve">Plan 11: 1500/10 w/Access Rx &amp; Motion
</t>
    </r>
    <r>
      <rPr>
        <b/>
        <sz val="10"/>
        <rFont val="Arial"/>
        <family val="2"/>
      </rPr>
      <t xml:space="preserve">HSA: </t>
    </r>
    <r>
      <rPr>
        <sz val="10"/>
        <rFont val="Arial"/>
        <family val="2"/>
      </rPr>
      <t>Plan 18: 2700/20 w/Access Rx &amp; Motion
(SCAL-Group B (34-44))</t>
    </r>
  </si>
  <si>
    <r>
      <t>260089-0190 HMO (Full)
260161-0262 HMO (Narrow)
909678-</t>
    </r>
    <r>
      <rPr>
        <b/>
        <sz val="10"/>
        <rFont val="Arial"/>
        <family val="2"/>
      </rPr>
      <t>1561</t>
    </r>
    <r>
      <rPr>
        <sz val="10"/>
        <rFont val="Arial"/>
        <family val="2"/>
      </rPr>
      <t xml:space="preserve"> PPO w/HSA
909678-</t>
    </r>
    <r>
      <rPr>
        <b/>
        <sz val="10"/>
        <rFont val="Arial"/>
        <family val="2"/>
      </rPr>
      <t>1705</t>
    </r>
    <r>
      <rPr>
        <sz val="10"/>
        <rFont val="Arial"/>
        <family val="2"/>
      </rPr>
      <t xml:space="preserve">  PPO w/HSA</t>
    </r>
  </si>
  <si>
    <r>
      <rPr>
        <b/>
        <sz val="10"/>
        <rFont val="Arial"/>
        <family val="2"/>
      </rPr>
      <t xml:space="preserve">HSA: </t>
    </r>
    <r>
      <rPr>
        <sz val="10"/>
        <rFont val="Arial"/>
        <family val="2"/>
      </rPr>
      <t>Plan 16 (11) - 909678-</t>
    </r>
    <r>
      <rPr>
        <b/>
        <sz val="10"/>
        <rFont val="Arial"/>
        <family val="2"/>
      </rPr>
      <t>1633</t>
    </r>
    <r>
      <rPr>
        <sz val="10"/>
        <rFont val="Arial"/>
        <family val="2"/>
      </rPr>
      <t xml:space="preserve">
</t>
    </r>
    <r>
      <rPr>
        <b/>
        <sz val="10"/>
        <rFont val="Arial"/>
        <family val="2"/>
      </rPr>
      <t>HSA:</t>
    </r>
    <r>
      <rPr>
        <sz val="10"/>
        <rFont val="Arial"/>
        <family val="2"/>
      </rPr>
      <t xml:space="preserve"> Plan 19 (18) - 909678-</t>
    </r>
    <r>
      <rPr>
        <b/>
        <sz val="10"/>
        <rFont val="Arial"/>
        <family val="2"/>
      </rPr>
      <t>1741</t>
    </r>
  </si>
  <si>
    <r>
      <t xml:space="preserve">HSA
EE Only: </t>
    </r>
    <r>
      <rPr>
        <sz val="10"/>
        <rFont val="Arial"/>
        <family val="2"/>
      </rPr>
      <t>$900</t>
    </r>
    <r>
      <rPr>
        <b/>
        <sz val="10"/>
        <rFont val="Arial"/>
        <family val="2"/>
      </rPr>
      <t xml:space="preserve">
EE + DEP: </t>
    </r>
    <r>
      <rPr>
        <sz val="10"/>
        <rFont val="Arial"/>
        <family val="2"/>
      </rPr>
      <t>$1,500</t>
    </r>
  </si>
  <si>
    <t>909678-SEA HSA Bank</t>
  </si>
  <si>
    <t xml:space="preserve">Kaiser  </t>
  </si>
  <si>
    <r>
      <t xml:space="preserve">HMO: </t>
    </r>
    <r>
      <rPr>
        <sz val="10"/>
        <rFont val="Arial"/>
        <family val="2"/>
      </rPr>
      <t>Platinum 90 0/15</t>
    </r>
  </si>
  <si>
    <r>
      <t xml:space="preserve">Plan 1: </t>
    </r>
    <r>
      <rPr>
        <sz val="10"/>
        <rFont val="Arial"/>
        <family val="2"/>
      </rPr>
      <t>100/80/50 $1.5k Max w/ 50% to $1.25k Ortho</t>
    </r>
    <r>
      <rPr>
        <b/>
        <sz val="10"/>
        <rFont val="Arial"/>
        <family val="2"/>
      </rPr>
      <t xml:space="preserve"> (Ortho diff than trust)</t>
    </r>
    <r>
      <rPr>
        <sz val="10"/>
        <rFont val="Arial"/>
        <family val="2"/>
      </rPr>
      <t xml:space="preserve">
(Region 1 (50-99)</t>
    </r>
  </si>
  <si>
    <t xml:space="preserve">VSP </t>
  </si>
  <si>
    <r>
      <t>10/25 (150)</t>
    </r>
    <r>
      <rPr>
        <sz val="10"/>
        <rFont val="Arial"/>
        <family val="2"/>
      </rPr>
      <t xml:space="preserve">
(All Regions (50-99)</t>
    </r>
  </si>
  <si>
    <t>Yes (but not included on Zuman File)</t>
  </si>
  <si>
    <r>
      <t xml:space="preserve">Basic Life &amp; ADD
</t>
    </r>
    <r>
      <rPr>
        <sz val="10"/>
        <rFont val="Arial"/>
        <family val="2"/>
      </rPr>
      <t>Class 1:  3 x up to $1,000,000
Class 2:  2 x  up to $500,000</t>
    </r>
  </si>
  <si>
    <t>FLX-967241 Basic Life
OK-968752 Basic AD&amp;D</t>
  </si>
  <si>
    <t>Renewing as part of the trust but have separate policy numbers from the addition of FML to their policies</t>
  </si>
  <si>
    <r>
      <t>60% up to $2,500
66.67% to $615</t>
    </r>
    <r>
      <rPr>
        <sz val="10"/>
        <rFont val="Arial"/>
        <family val="2"/>
      </rPr>
      <t xml:space="preserve"> (NJ Statutory)</t>
    </r>
  </si>
  <si>
    <t>LK-751982 STD
SDJ-960608 NJ</t>
  </si>
  <si>
    <t>NJ TDB</t>
  </si>
  <si>
    <t>SDJ-960608 NJ</t>
  </si>
  <si>
    <t>LK-964974 LTD</t>
  </si>
  <si>
    <t>FMLA</t>
  </si>
  <si>
    <t>FML 751982 (FMLA)</t>
  </si>
  <si>
    <t>Outside Trust -$1.97 PEPM</t>
  </si>
  <si>
    <t>Ultipro Ben Admin</t>
  </si>
  <si>
    <t>Zip: 94063
SIC: 5047</t>
  </si>
  <si>
    <t>MANGELS
(Gabrielle A.)</t>
  </si>
  <si>
    <r>
      <t xml:space="preserve">HMO: </t>
    </r>
    <r>
      <rPr>
        <sz val="10"/>
        <rFont val="Arial"/>
        <family val="2"/>
      </rPr>
      <t>Plan 3: 20-40/500A</t>
    </r>
    <r>
      <rPr>
        <b/>
        <sz val="10"/>
        <rFont val="Arial"/>
        <family val="2"/>
      </rPr>
      <t xml:space="preserve">
PPO: </t>
    </r>
    <r>
      <rPr>
        <sz val="10"/>
        <rFont val="Arial"/>
        <family val="2"/>
      </rPr>
      <t>Plan 9: 750/20 w/Advantage Rx</t>
    </r>
    <r>
      <rPr>
        <b/>
        <sz val="10"/>
        <rFont val="Arial"/>
        <family val="2"/>
      </rPr>
      <t xml:space="preserve">
HSA: </t>
    </r>
    <r>
      <rPr>
        <sz val="10"/>
        <rFont val="Arial"/>
        <family val="2"/>
      </rPr>
      <t>Plan 11: 1500/10 w/Advantage Rx &amp; No Motion
(NCAL-Group D (54+)</t>
    </r>
  </si>
  <si>
    <t>260107-0208 HMO (Full)
909678-0403 PPO
909678-0475 PPO w/HSA</t>
  </si>
  <si>
    <r>
      <rPr>
        <b/>
        <sz val="10"/>
        <rFont val="Arial"/>
        <family val="2"/>
      </rPr>
      <t xml:space="preserve">PPO: </t>
    </r>
    <r>
      <rPr>
        <sz val="10"/>
        <rFont val="Arial"/>
        <family val="2"/>
      </rPr>
      <t xml:space="preserve">Plan 15 (9) - 909678-0655
</t>
    </r>
    <r>
      <rPr>
        <b/>
        <sz val="10"/>
        <rFont val="Arial"/>
        <family val="2"/>
      </rPr>
      <t xml:space="preserve">HSA: </t>
    </r>
    <r>
      <rPr>
        <sz val="10"/>
        <rFont val="Arial"/>
        <family val="2"/>
      </rPr>
      <t>Plan 16 (11) - 909678-0727</t>
    </r>
  </si>
  <si>
    <r>
      <t xml:space="preserve">HSA
</t>
    </r>
    <r>
      <rPr>
        <sz val="10"/>
        <rFont val="Arial"/>
        <family val="2"/>
      </rPr>
      <t>EE Only: $2,000
EE + DEP: $4,000</t>
    </r>
  </si>
  <si>
    <t>909678-SEN HSA Bank</t>
  </si>
  <si>
    <r>
      <t xml:space="preserve">COBRA </t>
    </r>
    <r>
      <rPr>
        <i/>
        <sz val="8"/>
        <rFont val="Arial"/>
        <family val="2"/>
      </rPr>
      <t xml:space="preserve">(Client pays)
</t>
    </r>
    <r>
      <rPr>
        <sz val="8"/>
        <rFont val="Arial"/>
        <family val="2"/>
      </rPr>
      <t>Non-BOR</t>
    </r>
  </si>
  <si>
    <t>ADP COBRA</t>
  </si>
  <si>
    <r>
      <t xml:space="preserve">Ben Admin </t>
    </r>
    <r>
      <rPr>
        <i/>
        <sz val="8"/>
        <rFont val="Arial"/>
        <family val="2"/>
      </rPr>
      <t xml:space="preserve">(Client pays)
</t>
    </r>
    <r>
      <rPr>
        <sz val="8"/>
        <rFont val="Arial"/>
        <family val="2"/>
      </rPr>
      <t>Non-BOR</t>
    </r>
  </si>
  <si>
    <t>DBA: Sequoia Solution</t>
  </si>
  <si>
    <t>Zip: 92075
SIC: 8999</t>
  </si>
  <si>
    <r>
      <t xml:space="preserve">PPO: </t>
    </r>
    <r>
      <rPr>
        <sz val="10"/>
        <rFont val="Arial"/>
        <family val="2"/>
      </rPr>
      <t>Plan 8: 500/20 w/Access Rx</t>
    </r>
    <r>
      <rPr>
        <b/>
        <sz val="10"/>
        <rFont val="Arial"/>
        <family val="2"/>
      </rPr>
      <t xml:space="preserve">
HSA: </t>
    </r>
    <r>
      <rPr>
        <sz val="10"/>
        <rFont val="Arial"/>
        <family val="2"/>
      </rPr>
      <t>Plan 11: 1500/10 w/Access Rx &amp; No Motion
(SCAL-Group B (34-44)</t>
    </r>
  </si>
  <si>
    <t>909678-0949 PPO
909678-1021 PPO w/HSA</t>
  </si>
  <si>
    <r>
      <rPr>
        <b/>
        <sz val="10"/>
        <rFont val="Arial"/>
        <family val="2"/>
      </rPr>
      <t>PPO</t>
    </r>
    <r>
      <rPr>
        <sz val="10"/>
        <rFont val="Arial"/>
        <family val="2"/>
      </rPr>
      <t xml:space="preserve">: Plan 14 (8) - 909678-1129
</t>
    </r>
    <r>
      <rPr>
        <b/>
        <sz val="10"/>
        <rFont val="Arial"/>
        <family val="2"/>
      </rPr>
      <t xml:space="preserve">HSA: </t>
    </r>
    <r>
      <rPr>
        <sz val="10"/>
        <rFont val="Arial"/>
        <family val="2"/>
      </rPr>
      <t>Plan 16 (11) - 909678-1201</t>
    </r>
  </si>
  <si>
    <t xml:space="preserve">Account Managed by HUB SD Team
Producer - Maggie Osburn
Service Lead - Megan Wallace
</t>
  </si>
  <si>
    <r>
      <t xml:space="preserve">HSA
EE Only: </t>
    </r>
    <r>
      <rPr>
        <sz val="10"/>
        <rFont val="Arial"/>
        <family val="2"/>
      </rPr>
      <t>$1,300</t>
    </r>
    <r>
      <rPr>
        <b/>
        <sz val="10"/>
        <rFont val="Arial"/>
        <family val="2"/>
      </rPr>
      <t xml:space="preserve">
EE + DEP: </t>
    </r>
    <r>
      <rPr>
        <sz val="10"/>
        <rFont val="Arial"/>
        <family val="2"/>
      </rPr>
      <t>$2,200</t>
    </r>
  </si>
  <si>
    <t>909678-SCG HSA Bank</t>
  </si>
  <si>
    <r>
      <rPr>
        <b/>
        <sz val="10"/>
        <rFont val="Arial"/>
        <family val="2"/>
      </rPr>
      <t>Plan 1: 100/80/50 $1.5k Max with Ortho</t>
    </r>
    <r>
      <rPr>
        <sz val="10"/>
        <rFont val="Arial"/>
        <family val="2"/>
      </rPr>
      <t xml:space="preserve">
Region 1 (50-99)</t>
    </r>
  </si>
  <si>
    <t>Zip: 94588
SIC: 5122</t>
  </si>
  <si>
    <t>DUENAS
(Pam A.)-</t>
  </si>
  <si>
    <r>
      <t xml:space="preserve">PPO: </t>
    </r>
    <r>
      <rPr>
        <sz val="10"/>
        <rFont val="Arial"/>
        <family val="2"/>
      </rPr>
      <t>Plan 7: 250/10 w/Advantage Rx</t>
    </r>
    <r>
      <rPr>
        <b/>
        <sz val="10"/>
        <rFont val="Arial"/>
        <family val="2"/>
      </rPr>
      <t xml:space="preserve">
HSA: </t>
    </r>
    <r>
      <rPr>
        <sz val="10"/>
        <rFont val="Arial"/>
        <family val="2"/>
      </rPr>
      <t>Plan 11: 1500/10 w/Advantage Rx &amp; No Motion
(NCAL-Group C (44-54))</t>
    </r>
  </si>
  <si>
    <t>909678-SFJ HSA Bank</t>
  </si>
  <si>
    <r>
      <t>Ben Admin</t>
    </r>
    <r>
      <rPr>
        <b/>
        <i/>
        <sz val="8"/>
        <rFont val="Arial"/>
        <family val="2"/>
      </rPr>
      <t xml:space="preserve"> </t>
    </r>
    <r>
      <rPr>
        <i/>
        <sz val="8"/>
        <rFont val="Arial"/>
        <family val="2"/>
      </rPr>
      <t>(UHC pays)</t>
    </r>
  </si>
  <si>
    <t>50/50 Split</t>
  </si>
  <si>
    <t>Zip: 92121
SIC: 5551</t>
  </si>
  <si>
    <r>
      <rPr>
        <b/>
        <sz val="10"/>
        <rFont val="Arial"/>
        <family val="2"/>
      </rPr>
      <t>HMO:</t>
    </r>
    <r>
      <rPr>
        <sz val="10"/>
        <rFont val="Arial"/>
        <family val="2"/>
      </rPr>
      <t xml:space="preserve"> Trio 25-750
</t>
    </r>
    <r>
      <rPr>
        <b/>
        <sz val="10"/>
        <rFont val="Arial"/>
        <family val="2"/>
      </rPr>
      <t>PPO:</t>
    </r>
    <r>
      <rPr>
        <sz val="10"/>
        <rFont val="Arial"/>
        <family val="2"/>
      </rPr>
      <t xml:space="preserve"> Split 25-750 80/60
</t>
    </r>
    <r>
      <rPr>
        <b/>
        <sz val="10"/>
        <rFont val="Arial"/>
        <family val="2"/>
      </rPr>
      <t>PPO:</t>
    </r>
    <r>
      <rPr>
        <sz val="10"/>
        <rFont val="Arial"/>
        <family val="2"/>
      </rPr>
      <t xml:space="preserve"> Combined 25-2500 80/50</t>
    </r>
  </si>
  <si>
    <t xml:space="preserve">W00635831000 </t>
  </si>
  <si>
    <t>HUB - 6%
CLSA - .5%</t>
  </si>
  <si>
    <r>
      <rPr>
        <b/>
        <sz val="10"/>
        <rFont val="Arial"/>
        <family val="2"/>
      </rPr>
      <t>Plan 3</t>
    </r>
    <r>
      <rPr>
        <sz val="10"/>
        <rFont val="Arial"/>
        <family val="2"/>
      </rPr>
      <t xml:space="preserve"> - 100/90/60/50 $2k Max w/ 50% to $2k Ortho
(Region 1 (25-49))</t>
    </r>
  </si>
  <si>
    <t xml:space="preserve">Discovery Benefits </t>
  </si>
  <si>
    <t>DBA: Somatek</t>
  </si>
  <si>
    <t>Zip: 92117
SIC: 9999 / 8731</t>
  </si>
  <si>
    <t>Neal Cook
(Courtney S.)</t>
  </si>
  <si>
    <r>
      <t xml:space="preserve">HMO: </t>
    </r>
    <r>
      <rPr>
        <sz val="10"/>
        <rFont val="Arial"/>
        <family val="2"/>
      </rPr>
      <t>Plan 2: 15/250A</t>
    </r>
    <r>
      <rPr>
        <b/>
        <sz val="10"/>
        <rFont val="Arial"/>
        <family val="2"/>
      </rPr>
      <t xml:space="preserve">
HSA: </t>
    </r>
    <r>
      <rPr>
        <sz val="10"/>
        <rFont val="Arial"/>
        <family val="2"/>
      </rPr>
      <t>Plan 11: 1500/10 w/Advantage Rx &amp; No Motion
(SCAL-Group D (54+)</t>
    </r>
  </si>
  <si>
    <t>260095-0196 HMO (Full)
909678-0487 PPO w/HSA</t>
  </si>
  <si>
    <t xml:space="preserve">Account Managed by HUB SD Team
Producer - Neal Cook
Service Lead - Courtney Stanley
</t>
  </si>
  <si>
    <r>
      <t xml:space="preserve">HSA
EE Only: </t>
    </r>
    <r>
      <rPr>
        <sz val="10"/>
        <rFont val="Arial"/>
        <family val="2"/>
      </rPr>
      <t>$2,400</t>
    </r>
    <r>
      <rPr>
        <b/>
        <sz val="10"/>
        <rFont val="Arial"/>
        <family val="2"/>
      </rPr>
      <t xml:space="preserve">
EE + DEP: </t>
    </r>
    <r>
      <rPr>
        <sz val="10"/>
        <rFont val="Arial"/>
        <family val="2"/>
      </rPr>
      <t>$0</t>
    </r>
  </si>
  <si>
    <t>909678-SOT HSA Bank</t>
  </si>
  <si>
    <t>Zip: 92121
SIC: 7629</t>
  </si>
  <si>
    <t>Matt Creighton
(Erin G.)</t>
  </si>
  <si>
    <r>
      <t xml:space="preserve">HMO: </t>
    </r>
    <r>
      <rPr>
        <sz val="10"/>
        <rFont val="Arial"/>
        <family val="2"/>
      </rPr>
      <t>Plan 2: 15/250A (Full)</t>
    </r>
    <r>
      <rPr>
        <b/>
        <sz val="10"/>
        <rFont val="Arial"/>
        <family val="2"/>
      </rPr>
      <t xml:space="preserve">
HMO: </t>
    </r>
    <r>
      <rPr>
        <sz val="10"/>
        <rFont val="Arial"/>
        <family val="2"/>
      </rPr>
      <t>Plan 5: 15/250A (Narrow)</t>
    </r>
    <r>
      <rPr>
        <b/>
        <sz val="10"/>
        <rFont val="Arial"/>
        <family val="2"/>
      </rPr>
      <t xml:space="preserve">
PPO: </t>
    </r>
    <r>
      <rPr>
        <sz val="10"/>
        <rFont val="Arial"/>
        <family val="2"/>
      </rPr>
      <t>Plan 8: 500/20 w/Advantage Rx
(SCAL-Group B (34-44)</t>
    </r>
  </si>
  <si>
    <t>260089-0190 HMO (Full)
260161-0262 HMO (Narrow)
909678-0373 PPO</t>
  </si>
  <si>
    <r>
      <rPr>
        <b/>
        <sz val="10"/>
        <rFont val="Arial"/>
        <family val="2"/>
      </rPr>
      <t>PPO</t>
    </r>
    <r>
      <rPr>
        <sz val="10"/>
        <rFont val="Arial"/>
        <family val="2"/>
      </rPr>
      <t>: Plan 14 (8) - 909678-0625</t>
    </r>
    <r>
      <rPr>
        <b/>
        <sz val="10"/>
        <rFont val="Arial"/>
        <family val="2"/>
      </rPr>
      <t/>
    </r>
  </si>
  <si>
    <t xml:space="preserve">Account Managed by HUB SD Team
Producer - Matt Creighton
Service Lead - Erin G.
</t>
  </si>
  <si>
    <r>
      <t xml:space="preserve">HMO: </t>
    </r>
    <r>
      <rPr>
        <sz val="10"/>
        <rFont val="Arial"/>
        <family val="2"/>
      </rPr>
      <t>Platinum 90 HMO 0/15</t>
    </r>
  </si>
  <si>
    <t>No Split with Dave</t>
  </si>
  <si>
    <r>
      <rPr>
        <b/>
        <sz val="10"/>
        <rFont val="Arial"/>
        <family val="2"/>
      </rPr>
      <t xml:space="preserve">Plan 3 - </t>
    </r>
    <r>
      <rPr>
        <sz val="10"/>
        <rFont val="Arial"/>
        <family val="2"/>
      </rPr>
      <t>100/90/60/50 $2k Max w/ 50% to $2k Ortho
Region 2</t>
    </r>
    <r>
      <rPr>
        <b/>
        <sz val="10"/>
        <rFont val="Arial"/>
        <family val="2"/>
      </rPr>
      <t xml:space="preserve"> </t>
    </r>
    <r>
      <rPr>
        <sz val="10"/>
        <rFont val="Arial"/>
        <family val="2"/>
      </rPr>
      <t>(50-99)</t>
    </r>
  </si>
  <si>
    <r>
      <rPr>
        <sz val="10"/>
        <rFont val="Arial"/>
        <family val="2"/>
      </rPr>
      <t>M130A-10/25</t>
    </r>
    <r>
      <rPr>
        <b/>
        <sz val="10"/>
        <rFont val="Arial"/>
        <family val="2"/>
      </rPr>
      <t xml:space="preserve">
</t>
    </r>
    <r>
      <rPr>
        <sz val="10"/>
        <rFont val="Arial"/>
        <family val="2"/>
      </rPr>
      <t>(All Regions (50-99))</t>
    </r>
  </si>
  <si>
    <t>SDJ-960780 NJ</t>
  </si>
  <si>
    <r>
      <t xml:space="preserve">FSA </t>
    </r>
    <r>
      <rPr>
        <sz val="10"/>
        <rFont val="Arial"/>
        <family val="2"/>
      </rPr>
      <t xml:space="preserve">- HC, DC </t>
    </r>
    <r>
      <rPr>
        <i/>
        <sz val="8"/>
        <rFont val="Arial"/>
        <family val="2"/>
      </rPr>
      <t xml:space="preserve">(Client pays)
</t>
    </r>
    <r>
      <rPr>
        <sz val="10"/>
        <rFont val="Arial"/>
        <family val="2"/>
      </rPr>
      <t>With $500 Rollover</t>
    </r>
  </si>
  <si>
    <r>
      <t xml:space="preserve">HSA: </t>
    </r>
    <r>
      <rPr>
        <sz val="10"/>
        <rFont val="Arial"/>
        <family val="2"/>
      </rPr>
      <t>Plan 11: 1500/10 w/Access Rx &amp; No Motion
(SCAL-Group C (44-54))</t>
    </r>
  </si>
  <si>
    <t>909678-1024 PPO w/HSA</t>
  </si>
  <si>
    <r>
      <rPr>
        <b/>
        <sz val="10"/>
        <rFont val="Arial"/>
        <family val="2"/>
      </rPr>
      <t xml:space="preserve">HSA: </t>
    </r>
    <r>
      <rPr>
        <sz val="10"/>
        <rFont val="Arial"/>
        <family val="2"/>
      </rPr>
      <t>Plan 16 (11) - 909678-1204</t>
    </r>
  </si>
  <si>
    <r>
      <t xml:space="preserve">Account Managed by HUB SD Team
Producer - Dave Duenas
</t>
    </r>
    <r>
      <rPr>
        <b/>
        <sz val="10"/>
        <rFont val="Arial"/>
        <family val="2"/>
      </rPr>
      <t xml:space="preserve">
</t>
    </r>
    <r>
      <rPr>
        <sz val="10"/>
        <rFont val="Arial"/>
        <family val="2"/>
      </rPr>
      <t>Service Lead - Courtney Stanley</t>
    </r>
  </si>
  <si>
    <t xml:space="preserve">HSA Bank </t>
  </si>
  <si>
    <t>909678-STR HSA Bank</t>
  </si>
  <si>
    <t>Stroma COBRA</t>
  </si>
  <si>
    <t>Zip: 94404
SIC: 2834</t>
  </si>
  <si>
    <t>ANDERSON
(AE)</t>
  </si>
  <si>
    <t>Kayo Chih
kchih@sutrovax.com</t>
  </si>
  <si>
    <t xml:space="preserve">Account Managed by ABD Team
Producer - Mark Anderson
Service Lead - TBD
</t>
  </si>
  <si>
    <t>909678-SUT HSA Bank</t>
  </si>
  <si>
    <r>
      <rPr>
        <b/>
        <sz val="10"/>
        <rFont val="Arial"/>
        <family val="2"/>
      </rPr>
      <t xml:space="preserve">Plan 1: </t>
    </r>
    <r>
      <rPr>
        <sz val="10"/>
        <rFont val="Arial"/>
        <family val="2"/>
      </rPr>
      <t>100/80/50 $1.5k Max with Ortho
Region 4 (10-24)</t>
    </r>
  </si>
  <si>
    <t>Zip: 94103
SIC: 9999 / 8731</t>
  </si>
  <si>
    <r>
      <t>HMO:</t>
    </r>
    <r>
      <rPr>
        <sz val="10"/>
        <rFont val="Arial"/>
        <family val="2"/>
      </rPr>
      <t xml:space="preserve"> Plan 2: 15/250A</t>
    </r>
    <r>
      <rPr>
        <b/>
        <sz val="10"/>
        <rFont val="Arial"/>
        <family val="2"/>
      </rPr>
      <t xml:space="preserve">
PPO: </t>
    </r>
    <r>
      <rPr>
        <sz val="10"/>
        <rFont val="Arial"/>
        <family val="2"/>
      </rPr>
      <t>Plan 7: 250/10 w/Advantage</t>
    </r>
    <r>
      <rPr>
        <b/>
        <sz val="10"/>
        <rFont val="Arial"/>
        <family val="2"/>
      </rPr>
      <t xml:space="preserve">
HSA: </t>
    </r>
    <r>
      <rPr>
        <sz val="10"/>
        <rFont val="Arial"/>
        <family val="2"/>
      </rPr>
      <t>Plan 11: 1500/10 w/Advantage Rx &amp; No Motion
(NCAL-Group A (&lt;34))</t>
    </r>
  </si>
  <si>
    <t>260074-0175 HMO (Full)
909678-0322 PPO
909678-0466 PPO w/HSA</t>
  </si>
  <si>
    <r>
      <rPr>
        <b/>
        <sz val="10"/>
        <rFont val="Arial"/>
        <family val="2"/>
      </rPr>
      <t>PPO</t>
    </r>
    <r>
      <rPr>
        <sz val="10"/>
        <rFont val="Arial"/>
        <family val="2"/>
      </rPr>
      <t xml:space="preserve">: Plan 13 (7) - 909678-0574
</t>
    </r>
    <r>
      <rPr>
        <b/>
        <sz val="10"/>
        <rFont val="Arial"/>
        <family val="2"/>
      </rPr>
      <t xml:space="preserve">HSA: </t>
    </r>
    <r>
      <rPr>
        <sz val="10"/>
        <rFont val="Arial"/>
        <family val="2"/>
      </rPr>
      <t>Plan 16 (11) - 909678-0718</t>
    </r>
  </si>
  <si>
    <t>909678-SYN HSA Bank</t>
  </si>
  <si>
    <t>SyntheX - COBRA</t>
  </si>
  <si>
    <t>Zip: 92109
SIC: 2834</t>
  </si>
  <si>
    <t>Stephanie Gray
(858) 412-8406
sgray@tocagen.com</t>
  </si>
  <si>
    <t>Mellon Bank</t>
  </si>
  <si>
    <r>
      <t xml:space="preserve">HSA
EE Only: </t>
    </r>
    <r>
      <rPr>
        <sz val="10"/>
        <rFont val="Arial"/>
        <family val="2"/>
      </rPr>
      <t>$1,500</t>
    </r>
    <r>
      <rPr>
        <b/>
        <sz val="10"/>
        <rFont val="Arial"/>
        <family val="2"/>
      </rPr>
      <t xml:space="preserve">
EE + DEP: </t>
    </r>
    <r>
      <rPr>
        <sz val="10"/>
        <rFont val="Arial"/>
        <family val="2"/>
      </rPr>
      <t>$2,300</t>
    </r>
  </si>
  <si>
    <t>Mellon Bank HSA Bank</t>
  </si>
  <si>
    <t>Zip: 94560
SIC: 8742</t>
  </si>
  <si>
    <t>TRUDEAU
(Megan D.)</t>
  </si>
  <si>
    <r>
      <t xml:space="preserve">PPO: </t>
    </r>
    <r>
      <rPr>
        <sz val="10"/>
        <rFont val="Arial"/>
        <family val="2"/>
      </rPr>
      <t>Plan 8: 500/20 w/Advantage Rx</t>
    </r>
    <r>
      <rPr>
        <b/>
        <sz val="10"/>
        <rFont val="Arial"/>
        <family val="2"/>
      </rPr>
      <t xml:space="preserve">
HSA: </t>
    </r>
    <r>
      <rPr>
        <sz val="10"/>
        <rFont val="Arial"/>
        <family val="2"/>
      </rPr>
      <t>Plan 11: 1500/10 w/Advantage Rx &amp; No Motion
(NCAL-Group C (44-54)</t>
    </r>
  </si>
  <si>
    <t>909678-0364 PPO
909678-0472 PPO w/HSA</t>
  </si>
  <si>
    <t>39655 Eureka Dr.
Newark, CA 94560</t>
  </si>
  <si>
    <r>
      <t xml:space="preserve">HSA Bank
</t>
    </r>
    <r>
      <rPr>
        <sz val="10"/>
        <rFont val="Arial"/>
        <family val="2"/>
      </rPr>
      <t>Non-BOR</t>
    </r>
  </si>
  <si>
    <t>Key Point Credit Union HSA Bank</t>
  </si>
  <si>
    <r>
      <t xml:space="preserve">HMO 
</t>
    </r>
    <r>
      <rPr>
        <sz val="10"/>
        <rFont val="Arial"/>
        <family val="2"/>
      </rPr>
      <t>Non-BOR</t>
    </r>
  </si>
  <si>
    <t>Basic COBRA</t>
  </si>
  <si>
    <r>
      <t xml:space="preserve">Ben Admin </t>
    </r>
    <r>
      <rPr>
        <i/>
        <sz val="8"/>
        <rFont val="Arial"/>
        <family val="2"/>
      </rPr>
      <t>(Client pays)</t>
    </r>
    <r>
      <rPr>
        <b/>
        <sz val="10"/>
        <rFont val="Arial"/>
        <family val="2"/>
      </rPr>
      <t xml:space="preserve">
</t>
    </r>
    <r>
      <rPr>
        <sz val="10"/>
        <rFont val="Arial"/>
        <family val="2"/>
      </rPr>
      <t>Non-BOR</t>
    </r>
  </si>
  <si>
    <t>Zip: 94566
SIC: 3841</t>
  </si>
  <si>
    <t>909678-0472 PPO w/HSA</t>
  </si>
  <si>
    <t>7060 Koll Center Pkwy, Suite 300
Pleasanton, CA 94566</t>
  </si>
  <si>
    <t>Patelco Credit Union HSA Bank</t>
  </si>
  <si>
    <r>
      <t xml:space="preserve">HMO: </t>
    </r>
    <r>
      <rPr>
        <sz val="10"/>
        <rFont val="Arial"/>
        <family val="2"/>
      </rPr>
      <t>Platinum 90 HMO 0/15
Non-BOR</t>
    </r>
  </si>
  <si>
    <r>
      <rPr>
        <b/>
        <sz val="10"/>
        <rFont val="Arial"/>
        <family val="2"/>
      </rPr>
      <t xml:space="preserve">Plan 1: </t>
    </r>
    <r>
      <rPr>
        <sz val="10"/>
        <rFont val="Arial"/>
        <family val="2"/>
      </rPr>
      <t>100/80/50 $1.5k Max with Ortho
Region 4 (25-49)</t>
    </r>
  </si>
  <si>
    <t>Zip: 94111
SIC: 8731</t>
  </si>
  <si>
    <r>
      <t>HMO:</t>
    </r>
    <r>
      <rPr>
        <sz val="10"/>
        <rFont val="Arial"/>
        <family val="2"/>
      </rPr>
      <t xml:space="preserve">  Plan 2: 15/250A</t>
    </r>
    <r>
      <rPr>
        <b/>
        <sz val="10"/>
        <rFont val="Arial"/>
        <family val="2"/>
      </rPr>
      <t xml:space="preserve">
HSA: </t>
    </r>
    <r>
      <rPr>
        <sz val="10"/>
        <rFont val="Arial"/>
        <family val="2"/>
      </rPr>
      <t>Plan 11: 1500/10 w/Advantage Rx &amp; No Motion
(NCAL-Group B (34-44))</t>
    </r>
  </si>
  <si>
    <t>260077-0178 HMO (Full)
909678-0469 PPO w/HSA</t>
  </si>
  <si>
    <r>
      <t xml:space="preserve">Didier Perez
415-269-0666
</t>
    </r>
    <r>
      <rPr>
        <u/>
        <sz val="10"/>
        <color rgb="FF0000CC"/>
        <rFont val="Arial"/>
        <family val="2"/>
      </rPr>
      <t>didier@toolboxgenomics.com</t>
    </r>
  </si>
  <si>
    <r>
      <rPr>
        <sz val="10"/>
        <rFont val="Arial"/>
        <family val="2"/>
      </rPr>
      <t>Account Payable Team
415-269-0666</t>
    </r>
    <r>
      <rPr>
        <sz val="10"/>
        <color rgb="FFFF0000"/>
        <rFont val="Arial"/>
        <family val="2"/>
      </rPr>
      <t xml:space="preserve">
</t>
    </r>
    <r>
      <rPr>
        <u/>
        <sz val="10"/>
        <color rgb="FF0000CC"/>
        <rFont val="Arial"/>
        <family val="2"/>
      </rPr>
      <t>AP@toolboxgenomics.com</t>
    </r>
  </si>
  <si>
    <t>909678-TOO HSA Bank</t>
  </si>
  <si>
    <r>
      <t xml:space="preserve">FSA </t>
    </r>
    <r>
      <rPr>
        <sz val="10"/>
        <rFont val="Arial"/>
        <family val="2"/>
      </rPr>
      <t xml:space="preserve">- HC, DC, LP </t>
    </r>
    <r>
      <rPr>
        <i/>
        <sz val="8"/>
        <rFont val="Arial"/>
        <family val="2"/>
      </rPr>
      <t xml:space="preserve">(Client pays)
</t>
    </r>
    <r>
      <rPr>
        <sz val="10"/>
        <rFont val="Arial"/>
        <family val="2"/>
      </rPr>
      <t>With $500 Rollover or 2.5 mo Grace Pd.</t>
    </r>
  </si>
  <si>
    <r>
      <rPr>
        <b/>
        <sz val="10"/>
        <rFont val="Arial"/>
        <family val="2"/>
      </rPr>
      <t>FSA Commuter -</t>
    </r>
    <r>
      <rPr>
        <sz val="10"/>
        <rFont val="Arial"/>
        <family val="2"/>
      </rPr>
      <t xml:space="preserve"> Transit, Parking, Bike </t>
    </r>
    <r>
      <rPr>
        <i/>
        <sz val="8"/>
        <rFont val="Arial"/>
        <family val="2"/>
      </rPr>
      <t>(Client pays)</t>
    </r>
  </si>
  <si>
    <t>DUENAS
(Domenica H.)-</t>
  </si>
  <si>
    <r>
      <t xml:space="preserve">PPO: </t>
    </r>
    <r>
      <rPr>
        <sz val="10"/>
        <rFont val="Arial"/>
        <family val="2"/>
      </rPr>
      <t>Plan 9: 750/20 w/Advantage Rx</t>
    </r>
    <r>
      <rPr>
        <b/>
        <sz val="10"/>
        <rFont val="Arial"/>
        <family val="2"/>
      </rPr>
      <t xml:space="preserve">
HSA: </t>
    </r>
    <r>
      <rPr>
        <sz val="10"/>
        <rFont val="Arial"/>
        <family val="2"/>
      </rPr>
      <t>Plan 11: 1500/10 w/Advantage Rx &amp; No Motion
(NCAL-Group C (44-54)</t>
    </r>
  </si>
  <si>
    <t>909678-0400 PPO
909678-0472 PPO w/HSA</t>
  </si>
  <si>
    <r>
      <rPr>
        <b/>
        <sz val="10"/>
        <rFont val="Arial"/>
        <family val="2"/>
      </rPr>
      <t xml:space="preserve">PPO: </t>
    </r>
    <r>
      <rPr>
        <sz val="10"/>
        <rFont val="Arial"/>
        <family val="2"/>
      </rPr>
      <t xml:space="preserve">Plan 15 (9) - 909678-0652
</t>
    </r>
    <r>
      <rPr>
        <b/>
        <sz val="10"/>
        <rFont val="Arial"/>
        <family val="2"/>
      </rPr>
      <t xml:space="preserve">HSA: </t>
    </r>
    <r>
      <rPr>
        <sz val="10"/>
        <rFont val="Arial"/>
        <family val="2"/>
      </rPr>
      <t>Plan 16 (11) - 909678-0724</t>
    </r>
  </si>
  <si>
    <t>Account Managed by HUB SD Team
Producer - Duenas
Service Lead - Domenica Hernandez 
Account Rep - Courtney Stanley</t>
  </si>
  <si>
    <r>
      <t xml:space="preserve">HSA
EE Only: </t>
    </r>
    <r>
      <rPr>
        <sz val="10"/>
        <rFont val="Arial"/>
        <family val="2"/>
      </rPr>
      <t>$1,500</t>
    </r>
    <r>
      <rPr>
        <b/>
        <sz val="10"/>
        <rFont val="Arial"/>
        <family val="2"/>
      </rPr>
      <t xml:space="preserve">
EE + DEP: </t>
    </r>
    <r>
      <rPr>
        <sz val="10"/>
        <rFont val="Arial"/>
        <family val="2"/>
      </rPr>
      <t>$2,000</t>
    </r>
  </si>
  <si>
    <t>909678-TRU HSA Bank</t>
  </si>
  <si>
    <t>TBD HMO</t>
  </si>
  <si>
    <r>
      <t xml:space="preserve">DPPO 5 (100/80/50 $1.5k Max)
</t>
    </r>
    <r>
      <rPr>
        <sz val="10"/>
        <rFont val="Arial"/>
        <family val="2"/>
      </rPr>
      <t>(Region 3 (10-24)</t>
    </r>
  </si>
  <si>
    <t>TS-05347643 Dental</t>
  </si>
  <si>
    <r>
      <t xml:space="preserve">HMO: </t>
    </r>
    <r>
      <rPr>
        <sz val="10"/>
        <rFont val="Arial"/>
        <family val="2"/>
      </rPr>
      <t>Plan 2: 15/250A</t>
    </r>
    <r>
      <rPr>
        <b/>
        <sz val="10"/>
        <rFont val="Arial"/>
        <family val="2"/>
      </rPr>
      <t xml:space="preserve">
PPO: </t>
    </r>
    <r>
      <rPr>
        <sz val="10"/>
        <rFont val="Arial"/>
        <family val="2"/>
      </rPr>
      <t>Plan 8: 500/20 w/Advantage Rx</t>
    </r>
    <r>
      <rPr>
        <b/>
        <sz val="10"/>
        <rFont val="Arial"/>
        <family val="2"/>
      </rPr>
      <t xml:space="preserve">
HSA: </t>
    </r>
    <r>
      <rPr>
        <sz val="10"/>
        <rFont val="Arial"/>
        <family val="2"/>
      </rPr>
      <t>Plan 11: 1500/10 w/Advantage Rx &amp; No Motion
(SCAL-Group B (34-44)</t>
    </r>
  </si>
  <si>
    <t>Account Managed by HUB SD Team
Producer - Neal Cook
Service Lead - Domenica Hearnandez
Account Rep - Courtney Stanley</t>
  </si>
  <si>
    <t>909678-TSI HSA Bank</t>
  </si>
  <si>
    <r>
      <rPr>
        <b/>
        <sz val="10"/>
        <rFont val="Arial"/>
        <family val="2"/>
      </rPr>
      <t>Plan 3</t>
    </r>
    <r>
      <rPr>
        <sz val="10"/>
        <rFont val="Arial"/>
        <family val="2"/>
      </rPr>
      <t xml:space="preserve"> - 100/90/60/50 $2k Max w/ 50% to $2k Ortho
Region 2 (10-24)</t>
    </r>
  </si>
  <si>
    <t>Zip: 94104
SIC: 6799</t>
  </si>
  <si>
    <t>DUENAS
(Domenica H. )</t>
  </si>
  <si>
    <t>Producer - Duenas
Service Lead - Domenica Hernandez 
Account Rep - Courtney Stanley</t>
  </si>
  <si>
    <r>
      <t>909678-VVM HSA Ba</t>
    </r>
    <r>
      <rPr>
        <strike/>
        <sz val="10"/>
        <rFont val="Arial"/>
        <family val="2"/>
      </rPr>
      <t xml:space="preserve">nk
</t>
    </r>
    <r>
      <rPr>
        <sz val="10"/>
        <rFont val="Arial"/>
        <family val="2"/>
      </rPr>
      <t>*Moved back to old policy / account</t>
    </r>
  </si>
  <si>
    <r>
      <rPr>
        <b/>
        <sz val="10"/>
        <rFont val="Arial"/>
        <family val="2"/>
      </rPr>
      <t xml:space="preserve">DPPO 2: </t>
    </r>
    <r>
      <rPr>
        <sz val="10"/>
        <rFont val="Arial"/>
        <family val="2"/>
      </rPr>
      <t>100/90/60 - 100/80/50 $2k Max w/ 50% to $2k Ortho
Region 4 (25-49)</t>
    </r>
  </si>
  <si>
    <t>PayChex</t>
  </si>
  <si>
    <r>
      <t xml:space="preserve">FSA </t>
    </r>
    <r>
      <rPr>
        <sz val="10"/>
        <rFont val="Arial"/>
        <family val="2"/>
      </rPr>
      <t xml:space="preserve">- HC, DC, LP </t>
    </r>
    <r>
      <rPr>
        <i/>
        <sz val="8"/>
        <rFont val="Arial"/>
        <family val="2"/>
      </rPr>
      <t>(Client pays)</t>
    </r>
    <r>
      <rPr>
        <sz val="10"/>
        <rFont val="Arial"/>
        <family val="2"/>
      </rPr>
      <t xml:space="preserve"> Non-BOR</t>
    </r>
    <r>
      <rPr>
        <i/>
        <sz val="8"/>
        <rFont val="Arial"/>
        <family val="2"/>
      </rPr>
      <t xml:space="preserve">
2.5 month grace period</t>
    </r>
  </si>
  <si>
    <t>Paychex FSA</t>
  </si>
  <si>
    <t>Sentinel</t>
  </si>
  <si>
    <r>
      <t xml:space="preserve">FSA </t>
    </r>
    <r>
      <rPr>
        <sz val="10"/>
        <rFont val="Arial"/>
        <family val="2"/>
      </rPr>
      <t xml:space="preserve">- Commuter </t>
    </r>
    <r>
      <rPr>
        <i/>
        <sz val="8"/>
        <rFont val="Arial"/>
        <family val="2"/>
      </rPr>
      <t xml:space="preserve">(Client pays) </t>
    </r>
    <r>
      <rPr>
        <sz val="10"/>
        <rFont val="Arial"/>
        <family val="2"/>
      </rPr>
      <t>Non-BOR</t>
    </r>
  </si>
  <si>
    <t>Sentinel FSA - Commuter</t>
  </si>
  <si>
    <t>Zip: 92128
SIC: 2834</t>
  </si>
  <si>
    <t xml:space="preserve">
GREGORY
(Domenica H.)</t>
  </si>
  <si>
    <r>
      <t xml:space="preserve">HMO: </t>
    </r>
    <r>
      <rPr>
        <sz val="10"/>
        <rFont val="Arial"/>
        <family val="2"/>
      </rPr>
      <t>Trio &amp; Full 10-250</t>
    </r>
    <r>
      <rPr>
        <b/>
        <sz val="10"/>
        <rFont val="Arial"/>
        <family val="2"/>
      </rPr>
      <t xml:space="preserve">
PPO: </t>
    </r>
    <r>
      <rPr>
        <sz val="10"/>
        <rFont val="Arial"/>
        <family val="2"/>
      </rPr>
      <t>Split 20-500 80/60</t>
    </r>
    <r>
      <rPr>
        <b/>
        <sz val="10"/>
        <rFont val="Arial"/>
        <family val="2"/>
      </rPr>
      <t xml:space="preserve">
HSA: </t>
    </r>
    <r>
      <rPr>
        <sz val="10"/>
        <rFont val="Arial"/>
        <family val="2"/>
      </rPr>
      <t xml:space="preserve">Savings 2250/4500 </t>
    </r>
  </si>
  <si>
    <t>W0051714</t>
  </si>
  <si>
    <t xml:space="preserve">Producer - Bev Gregory
Service Lead - Domenica Hernandez
</t>
  </si>
  <si>
    <r>
      <t xml:space="preserve">HSA
EE Only: </t>
    </r>
    <r>
      <rPr>
        <sz val="10"/>
        <rFont val="Arial"/>
        <family val="2"/>
      </rPr>
      <t>$1,800</t>
    </r>
    <r>
      <rPr>
        <b/>
        <sz val="10"/>
        <rFont val="Arial"/>
        <family val="2"/>
      </rPr>
      <t xml:space="preserve">
EE + DEP: </t>
    </r>
    <r>
      <rPr>
        <sz val="10"/>
        <rFont val="Arial"/>
        <family val="2"/>
      </rPr>
      <t>$3,600</t>
    </r>
  </si>
  <si>
    <t>Clarity</t>
  </si>
  <si>
    <r>
      <t xml:space="preserve">COBRA </t>
    </r>
    <r>
      <rPr>
        <i/>
        <sz val="8"/>
        <rFont val="Arial"/>
        <family val="2"/>
      </rPr>
      <t>(Client pays)</t>
    </r>
  </si>
  <si>
    <t>Clarity COBRA</t>
  </si>
  <si>
    <t>Paylocity Ben Admin</t>
  </si>
  <si>
    <t>GRAND TOTAL</t>
  </si>
  <si>
    <t>ABC</t>
  </si>
  <si>
    <t>New/Renewal</t>
  </si>
  <si>
    <t>Zip: TBD
SIC: TBD</t>
  </si>
  <si>
    <t>PRODUCER
(AE)</t>
  </si>
  <si>
    <t>Yes/Maybe</t>
  </si>
  <si>
    <r>
      <t xml:space="preserve">HMO: </t>
    </r>
    <r>
      <rPr>
        <sz val="10"/>
        <color rgb="FFFF0000"/>
        <rFont val="Arial"/>
        <family val="2"/>
      </rPr>
      <t>Plan 1: 10/0</t>
    </r>
    <r>
      <rPr>
        <b/>
        <sz val="10"/>
        <color rgb="FFFF0000"/>
        <rFont val="Arial"/>
        <family val="2"/>
      </rPr>
      <t xml:space="preserve">
PPO: </t>
    </r>
    <r>
      <rPr>
        <sz val="10"/>
        <color rgb="FFFF0000"/>
        <rFont val="Arial"/>
        <family val="2"/>
      </rPr>
      <t>Plan 7: 250/10 w/Advantage Rx</t>
    </r>
    <r>
      <rPr>
        <b/>
        <sz val="10"/>
        <color rgb="FFFF0000"/>
        <rFont val="Arial"/>
        <family val="2"/>
      </rPr>
      <t xml:space="preserve">
HSA: </t>
    </r>
    <r>
      <rPr>
        <sz val="10"/>
        <color rgb="FFFF0000"/>
        <rFont val="Arial"/>
        <family val="2"/>
      </rPr>
      <t>Plan 11: 1500/10 w/Advantage Rx &amp; No Motion
(SCAL-Group C (44-54)</t>
    </r>
  </si>
  <si>
    <t>TBD-TBD HMO (Full)
909678-TBD PPO
909678-TBD PPO w/HSA</t>
  </si>
  <si>
    <r>
      <rPr>
        <b/>
        <sz val="10"/>
        <color rgb="FFFF0000"/>
        <rFont val="Arial"/>
        <family val="2"/>
      </rPr>
      <t>PPO:</t>
    </r>
    <r>
      <rPr>
        <sz val="10"/>
        <color rgb="FFFF0000"/>
        <rFont val="Arial"/>
        <family val="2"/>
      </rPr>
      <t xml:space="preserve"> Plan 13 (7) - 909678-0XXX
</t>
    </r>
    <r>
      <rPr>
        <b/>
        <sz val="10"/>
        <color rgb="FFFF0000"/>
        <rFont val="Arial"/>
        <family val="2"/>
      </rPr>
      <t>PPO</t>
    </r>
    <r>
      <rPr>
        <sz val="10"/>
        <color rgb="FFFF0000"/>
        <rFont val="Arial"/>
        <family val="2"/>
      </rPr>
      <t xml:space="preserve">: Plan 14 (8) - 909678-0XXX
</t>
    </r>
    <r>
      <rPr>
        <b/>
        <sz val="10"/>
        <color rgb="FFFF0000"/>
        <rFont val="Arial"/>
        <family val="2"/>
      </rPr>
      <t xml:space="preserve">PPO: </t>
    </r>
    <r>
      <rPr>
        <sz val="10"/>
        <color rgb="FFFF0000"/>
        <rFont val="Arial"/>
        <family val="2"/>
      </rPr>
      <t xml:space="preserve">Plan 15 (9) - 909678-0XXX
</t>
    </r>
    <r>
      <rPr>
        <b/>
        <sz val="10"/>
        <color rgb="FFFF0000"/>
        <rFont val="Arial"/>
        <family val="2"/>
      </rPr>
      <t xml:space="preserve">HSA: </t>
    </r>
    <r>
      <rPr>
        <sz val="10"/>
        <color rgb="FFFF0000"/>
        <rFont val="Arial"/>
        <family val="2"/>
      </rPr>
      <t xml:space="preserve">Plan 16 (11) - 909678-0XXX
</t>
    </r>
    <r>
      <rPr>
        <b/>
        <sz val="10"/>
        <color rgb="FFFF0000"/>
        <rFont val="Arial"/>
        <family val="2"/>
      </rPr>
      <t>HSA:</t>
    </r>
    <r>
      <rPr>
        <sz val="10"/>
        <color rgb="FFFF0000"/>
        <rFont val="Arial"/>
        <family val="2"/>
      </rPr>
      <t xml:space="preserve"> Plan 17 (12) - 909678-0XXX
</t>
    </r>
    <r>
      <rPr>
        <b/>
        <sz val="10"/>
        <color rgb="FFFF0000"/>
        <rFont val="Arial"/>
        <family val="2"/>
      </rPr>
      <t>HSA:</t>
    </r>
    <r>
      <rPr>
        <sz val="10"/>
        <color rgb="FFFF0000"/>
        <rFont val="Arial"/>
        <family val="2"/>
      </rPr>
      <t xml:space="preserve"> Plan 19 (18) - 909678-0XXX</t>
    </r>
  </si>
  <si>
    <t>NCAL
SCAL</t>
  </si>
  <si>
    <t>Grp A (&lt;34)
Grp B (34-44)
Grp C (44-54)
Grp D (54+)</t>
  </si>
  <si>
    <t>123
San Diego, CA 1234</t>
  </si>
  <si>
    <t>Name
Phone
Email</t>
  </si>
  <si>
    <t xml:space="preserve">Account Managed by HUB SD Team
Producer -
Service Lead - TBD
</t>
  </si>
  <si>
    <r>
      <t xml:space="preserve">HSA
EE Only: </t>
    </r>
    <r>
      <rPr>
        <sz val="10"/>
        <color rgb="FFFF0000"/>
        <rFont val="Arial"/>
        <family val="2"/>
      </rPr>
      <t>$1,000</t>
    </r>
    <r>
      <rPr>
        <b/>
        <sz val="10"/>
        <color rgb="FFFF0000"/>
        <rFont val="Arial"/>
        <family val="2"/>
      </rPr>
      <t xml:space="preserve">
EE + DEP: </t>
    </r>
    <r>
      <rPr>
        <sz val="10"/>
        <color rgb="FFFF0000"/>
        <rFont val="Arial"/>
        <family val="2"/>
      </rPr>
      <t>$2,000</t>
    </r>
  </si>
  <si>
    <r>
      <rPr>
        <b/>
        <sz val="10"/>
        <color rgb="FFFF0000"/>
        <rFont val="Arial"/>
        <family val="2"/>
      </rPr>
      <t xml:space="preserve">Plan 1: </t>
    </r>
    <r>
      <rPr>
        <sz val="10"/>
        <color rgb="FFFF0000"/>
        <rFont val="Arial"/>
        <family val="2"/>
      </rPr>
      <t>100/80/50 $1.5k Max with Ortho
Region 3 (2-9)</t>
    </r>
  </si>
  <si>
    <t>R1
R2</t>
  </si>
  <si>
    <t>(2-9)
(10-24)</t>
  </si>
  <si>
    <r>
      <t xml:space="preserve">M130D-10/25
</t>
    </r>
    <r>
      <rPr>
        <sz val="10"/>
        <color rgb="FFFF0000"/>
        <rFont val="Arial"/>
        <family val="2"/>
      </rPr>
      <t>(All Regions (2-49)</t>
    </r>
  </si>
  <si>
    <t>SDJ-XXXXXX NJ</t>
  </si>
  <si>
    <t>NYD-XXXXXX NY</t>
  </si>
  <si>
    <r>
      <rPr>
        <b/>
        <sz val="10"/>
        <color rgb="FFFF0000"/>
        <rFont val="Arial"/>
        <family val="2"/>
      </rPr>
      <t>CLSA Membership</t>
    </r>
    <r>
      <rPr>
        <sz val="10"/>
        <color rgb="FFFF0000"/>
        <rFont val="Arial"/>
        <family val="2"/>
      </rPr>
      <t xml:space="preserve"> - Annual</t>
    </r>
  </si>
  <si>
    <r>
      <t xml:space="preserve">FSA </t>
    </r>
    <r>
      <rPr>
        <sz val="10"/>
        <color rgb="FFFF0000"/>
        <rFont val="Arial"/>
        <family val="2"/>
      </rPr>
      <t xml:space="preserve">- HC, DC, LP </t>
    </r>
    <r>
      <rPr>
        <i/>
        <sz val="8"/>
        <color rgb="FFFF0000"/>
        <rFont val="Arial"/>
        <family val="2"/>
      </rPr>
      <t xml:space="preserve">(Client pays)
</t>
    </r>
    <r>
      <rPr>
        <sz val="10"/>
        <color rgb="FFFF0000"/>
        <rFont val="Arial"/>
        <family val="2"/>
      </rPr>
      <t>With $500 Rollover or 2.5 mo Grace Pd.</t>
    </r>
  </si>
  <si>
    <r>
      <rPr>
        <b/>
        <sz val="10"/>
        <color rgb="FFFF0000"/>
        <rFont val="Arial"/>
        <family val="2"/>
      </rPr>
      <t>FSA Commuter -</t>
    </r>
    <r>
      <rPr>
        <sz val="10"/>
        <color rgb="FFFF0000"/>
        <rFont val="Arial"/>
        <family val="2"/>
      </rPr>
      <t xml:space="preserve"> Transit, Parking, Bike </t>
    </r>
    <r>
      <rPr>
        <i/>
        <sz val="8"/>
        <color rgb="FFFF0000"/>
        <rFont val="Arial"/>
        <family val="2"/>
      </rPr>
      <t>(Client pays)</t>
    </r>
  </si>
  <si>
    <r>
      <t xml:space="preserve">COBRA </t>
    </r>
    <r>
      <rPr>
        <i/>
        <sz val="8"/>
        <color rgb="FFFF0000"/>
        <rFont val="Arial"/>
        <family val="2"/>
      </rPr>
      <t>(CLSA Trust pays)</t>
    </r>
  </si>
  <si>
    <r>
      <t xml:space="preserve">Ben Admin </t>
    </r>
    <r>
      <rPr>
        <i/>
        <sz val="8"/>
        <color rgb="FFFF0000"/>
        <rFont val="Arial"/>
        <family val="2"/>
      </rPr>
      <t>(UHC pays)</t>
    </r>
  </si>
  <si>
    <r>
      <t xml:space="preserve">TPA </t>
    </r>
    <r>
      <rPr>
        <i/>
        <sz val="8"/>
        <color rgb="FFFF0000"/>
        <rFont val="Arial"/>
        <family val="2"/>
      </rPr>
      <t>(CLSA Trust pays)</t>
    </r>
  </si>
  <si>
    <t>DUENAS
(AE)</t>
  </si>
  <si>
    <t xml:space="preserve">Account Managed by Duenas Team
Producer - Duenas
Service Lead - TBD
</t>
  </si>
  <si>
    <r>
      <t xml:space="preserve">HMO: </t>
    </r>
    <r>
      <rPr>
        <sz val="10"/>
        <color rgb="FFFF0000"/>
        <rFont val="Arial"/>
        <family val="2"/>
      </rPr>
      <t>Deductible HMO</t>
    </r>
  </si>
  <si>
    <t>Dave gets 100%</t>
  </si>
  <si>
    <t>(2-9)
(10-24)
(25-49)
(50-99)</t>
  </si>
  <si>
    <t>(2-49)
(50-99)</t>
  </si>
  <si>
    <t xml:space="preserve">Account Managed by HUB SD Team
Producer - TBD
Service Lead - TBD
</t>
  </si>
  <si>
    <r>
      <t xml:space="preserve">HSA
EE Only: </t>
    </r>
    <r>
      <rPr>
        <sz val="10"/>
        <color rgb="FFFF0000"/>
        <rFont val="Arial"/>
        <family val="2"/>
      </rPr>
      <t>$1,500</t>
    </r>
    <r>
      <rPr>
        <b/>
        <sz val="10"/>
        <color rgb="FFFF0000"/>
        <rFont val="Arial"/>
        <family val="2"/>
      </rPr>
      <t xml:space="preserve">
EE + DEP: </t>
    </r>
    <r>
      <rPr>
        <sz val="10"/>
        <color rgb="FFFF0000"/>
        <rFont val="Arial"/>
        <family val="2"/>
      </rPr>
      <t>$3,000</t>
    </r>
  </si>
  <si>
    <t xml:space="preserve">Account Managed by HUB Team
Producer - TBD
Service Lead - TBD
</t>
  </si>
  <si>
    <t xml:space="preserve">Account Managed by ABD Team
Producer - TBD
Service Lead - TBD
</t>
  </si>
  <si>
    <r>
      <t xml:space="preserve">HSA
</t>
    </r>
    <r>
      <rPr>
        <sz val="10"/>
        <color rgb="FFFF0000"/>
        <rFont val="Arial"/>
        <family val="2"/>
      </rPr>
      <t>EE Only: $1,500
EE + DEP: $3,000</t>
    </r>
  </si>
  <si>
    <r>
      <t xml:space="preserve">HMO: </t>
    </r>
    <r>
      <rPr>
        <sz val="10"/>
        <color rgb="FFFF0000"/>
        <rFont val="Arial"/>
        <family val="2"/>
      </rPr>
      <t>Deductible HMO
(Non-BOR)</t>
    </r>
  </si>
  <si>
    <t xml:space="preserve">Account Managed by Woodruff-Sawyer Team
Producer - TBD
Service Lead - TBD
</t>
  </si>
  <si>
    <t>STEHLY
(Courtney S.)</t>
  </si>
  <si>
    <r>
      <t xml:space="preserve">HMO: </t>
    </r>
    <r>
      <rPr>
        <sz val="10"/>
        <rFont val="Arial"/>
        <family val="2"/>
      </rPr>
      <t xml:space="preserve">Plan 2: 15/250A </t>
    </r>
    <r>
      <rPr>
        <b/>
        <sz val="10"/>
        <rFont val="Arial"/>
        <family val="2"/>
      </rPr>
      <t xml:space="preserve">
PPO: </t>
    </r>
    <r>
      <rPr>
        <sz val="10"/>
        <rFont val="Arial"/>
        <family val="2"/>
      </rPr>
      <t>Plan 8: 500/20 w/Advantage Rx</t>
    </r>
    <r>
      <rPr>
        <b/>
        <sz val="10"/>
        <rFont val="Arial"/>
        <family val="2"/>
      </rPr>
      <t xml:space="preserve">
HSA: </t>
    </r>
    <r>
      <rPr>
        <sz val="10"/>
        <rFont val="Arial"/>
        <family val="2"/>
      </rPr>
      <t>Plan 11: 1500/10 w/Advantage Rx &amp; No Motion
(SCAL-Group C (44-54)</t>
    </r>
  </si>
  <si>
    <t xml:space="preserve">Account Managed by HUB SD (Carlsbad) Team
Producer - Neal Stehly
Service Lead - Courtney Stanley
</t>
  </si>
  <si>
    <r>
      <rPr>
        <b/>
        <sz val="10"/>
        <rFont val="Arial"/>
        <family val="2"/>
      </rPr>
      <t>Plan 2</t>
    </r>
    <r>
      <rPr>
        <sz val="10"/>
        <rFont val="Arial"/>
        <family val="2"/>
      </rPr>
      <t>: 100/90/60 - 100/80/50 $2k Max w/ 50% to $2k Ortho
Region 1 (2-9)</t>
    </r>
  </si>
  <si>
    <t>Flat  $50,000</t>
  </si>
  <si>
    <t>Zip: 92121
SIC: 8071</t>
  </si>
  <si>
    <t>CREIGHTON 
(Brent S.)-</t>
  </si>
  <si>
    <r>
      <t xml:space="preserve">HMO: </t>
    </r>
    <r>
      <rPr>
        <sz val="10"/>
        <rFont val="Arial"/>
        <family val="2"/>
      </rPr>
      <t>Plan 1: 10/0</t>
    </r>
    <r>
      <rPr>
        <b/>
        <sz val="10"/>
        <rFont val="Arial"/>
        <family val="2"/>
      </rPr>
      <t xml:space="preserve">
PPO: </t>
    </r>
    <r>
      <rPr>
        <sz val="10"/>
        <rFont val="Arial"/>
        <family val="2"/>
      </rPr>
      <t>Plan 8: 500/20 w/Advantage Rx</t>
    </r>
    <r>
      <rPr>
        <b/>
        <sz val="10"/>
        <rFont val="Arial"/>
        <family val="2"/>
      </rPr>
      <t xml:space="preserve">
HSA: </t>
    </r>
    <r>
      <rPr>
        <sz val="10"/>
        <rFont val="Arial"/>
        <family val="2"/>
      </rPr>
      <t>Plan 11: 1500/10 w/Advantage Rx &amp; No Motion
(SCAL-Group B (34-44))</t>
    </r>
  </si>
  <si>
    <t>260065-0166 HMO (Full)
909678-0373 PPO
909678-0481 PPO w/HSA</t>
  </si>
  <si>
    <t>Producer - Matt Creighton
Service Lead - Brent Simmons</t>
  </si>
  <si>
    <r>
      <t xml:space="preserve">HSA
EE Only: </t>
    </r>
    <r>
      <rPr>
        <sz val="10"/>
        <rFont val="Arial"/>
        <family val="2"/>
      </rPr>
      <t>$1,250</t>
    </r>
    <r>
      <rPr>
        <b/>
        <sz val="10"/>
        <rFont val="Arial"/>
        <family val="2"/>
      </rPr>
      <t xml:space="preserve">
EE + DEP: </t>
    </r>
    <r>
      <rPr>
        <sz val="10"/>
        <rFont val="Arial"/>
        <family val="2"/>
      </rPr>
      <t>$2,500</t>
    </r>
  </si>
  <si>
    <t>909678-APP HSA Bank</t>
  </si>
  <si>
    <r>
      <rPr>
        <b/>
        <sz val="10"/>
        <rFont val="Arial"/>
        <family val="2"/>
      </rPr>
      <t xml:space="preserve">Plan 4: </t>
    </r>
    <r>
      <rPr>
        <sz val="10"/>
        <rFont val="Arial"/>
        <family val="2"/>
      </rPr>
      <t>100/80/50 $5k Max w/ 50% to $2k Ortho
(Region 3 (50-99))</t>
    </r>
  </si>
  <si>
    <t>Zip: 94110
SIC: 7372</t>
  </si>
  <si>
    <t>DeValle</t>
  </si>
  <si>
    <r>
      <t xml:space="preserve">PPO: </t>
    </r>
    <r>
      <rPr>
        <sz val="10"/>
        <color rgb="FF7030A0"/>
        <rFont val="Arial"/>
        <family val="2"/>
      </rPr>
      <t>Plan 7: 250/10</t>
    </r>
    <r>
      <rPr>
        <b/>
        <sz val="10"/>
        <color rgb="FF7030A0"/>
        <rFont val="Arial"/>
        <family val="2"/>
      </rPr>
      <t xml:space="preserve">
HSA: </t>
    </r>
    <r>
      <rPr>
        <sz val="10"/>
        <color rgb="FF7030A0"/>
        <rFont val="Arial"/>
        <family val="2"/>
      </rPr>
      <t xml:space="preserve">Plan 11: 1500/10 w/ Expanded RX
</t>
    </r>
    <r>
      <rPr>
        <b/>
        <sz val="10"/>
        <color rgb="FF7030A0"/>
        <rFont val="Arial"/>
        <family val="2"/>
      </rPr>
      <t xml:space="preserve">HSA: </t>
    </r>
    <r>
      <rPr>
        <sz val="10"/>
        <color rgb="FF7030A0"/>
        <rFont val="Arial"/>
        <family val="2"/>
      </rPr>
      <t>Plan 12: 4000/100 + 20
(NCAL-Group B (30-39))</t>
    </r>
  </si>
  <si>
    <t>909678-0079 PPO
909678-0082 (HSA)
909678-0085 (HSA)</t>
  </si>
  <si>
    <t>HUB - 6.5%
CLSA - .5%
Plan 7 - Care Zone Inc.
Plan 11 &amp; 12 - Care Zone Staffing &amp; Financial
Plan 11 - with Expanded Rx has 2.2% load</t>
  </si>
  <si>
    <r>
      <t xml:space="preserve">HSA
EE Only: </t>
    </r>
    <r>
      <rPr>
        <sz val="10"/>
        <color rgb="FF7030A0"/>
        <rFont val="Arial"/>
        <family val="2"/>
      </rPr>
      <t>$300 ($25/month)</t>
    </r>
    <r>
      <rPr>
        <b/>
        <sz val="10"/>
        <color rgb="FF7030A0"/>
        <rFont val="Arial"/>
        <family val="2"/>
      </rPr>
      <t xml:space="preserve">
EE + DEP: </t>
    </r>
    <r>
      <rPr>
        <sz val="10"/>
        <color rgb="FF7030A0"/>
        <rFont val="Arial"/>
        <family val="2"/>
      </rPr>
      <t>$450 ($37.50/month)</t>
    </r>
  </si>
  <si>
    <t>909678-CAR</t>
  </si>
  <si>
    <r>
      <rPr>
        <b/>
        <sz val="10"/>
        <color rgb="FF7030A0"/>
        <rFont val="Arial"/>
        <family val="2"/>
      </rPr>
      <t>Plan 1/4:</t>
    </r>
    <r>
      <rPr>
        <sz val="10"/>
        <color rgb="FF7030A0"/>
        <rFont val="Arial"/>
        <family val="2"/>
      </rPr>
      <t xml:space="preserve"> 100/80/50 $5k Max w/ 50% to $2k Ortho
(Region 4 (50-99))</t>
    </r>
  </si>
  <si>
    <r>
      <t>M130A-10/25</t>
    </r>
    <r>
      <rPr>
        <sz val="10"/>
        <color rgb="FF7030A0"/>
        <rFont val="Arial"/>
        <family val="2"/>
      </rPr>
      <t xml:space="preserve">
(All Regions (50-99))</t>
    </r>
  </si>
  <si>
    <r>
      <t>60% up to $2,500</t>
    </r>
    <r>
      <rPr>
        <sz val="10"/>
        <color rgb="FF7030A0"/>
        <rFont val="Arial"/>
        <family val="2"/>
      </rPr>
      <t xml:space="preserve"> (OOS Ees only)</t>
    </r>
  </si>
  <si>
    <t>Available to Care Zone Staffing &amp; Finaincial: Non covered states</t>
  </si>
  <si>
    <t xml:space="preserve">Eflexgroup.com </t>
  </si>
  <si>
    <r>
      <t xml:space="preserve">FSA - </t>
    </r>
    <r>
      <rPr>
        <sz val="10"/>
        <color rgb="FF7030A0"/>
        <rFont val="Arial"/>
        <family val="2"/>
      </rPr>
      <t xml:space="preserve">HC </t>
    </r>
    <r>
      <rPr>
        <i/>
        <sz val="8"/>
        <color rgb="FF7030A0"/>
        <rFont val="Arial"/>
        <family val="2"/>
      </rPr>
      <t>(Client pays)</t>
    </r>
  </si>
  <si>
    <t>Care Zone - FSA</t>
  </si>
  <si>
    <t>Available to Care Zone Inc. &amp; $4,000 HSA plan election</t>
  </si>
  <si>
    <r>
      <t xml:space="preserve">COBRA </t>
    </r>
    <r>
      <rPr>
        <i/>
        <sz val="8"/>
        <color rgb="FF7030A0"/>
        <rFont val="Arial"/>
        <family val="2"/>
      </rPr>
      <t>(Client pays)</t>
    </r>
  </si>
  <si>
    <t>Care Zone - COBRA</t>
  </si>
  <si>
    <r>
      <t>Ben Admin</t>
    </r>
    <r>
      <rPr>
        <sz val="8"/>
        <color rgb="FF7030A0"/>
        <rFont val="Arial"/>
        <family val="2"/>
      </rPr>
      <t xml:space="preserve"> </t>
    </r>
    <r>
      <rPr>
        <i/>
        <sz val="8"/>
        <color rgb="FF7030A0"/>
        <rFont val="Arial"/>
        <family val="2"/>
      </rPr>
      <t>(Client pays)</t>
    </r>
  </si>
  <si>
    <t>Care Zone - Ben Admin</t>
  </si>
  <si>
    <t>HOWITT</t>
  </si>
  <si>
    <r>
      <t xml:space="preserve">HMO: </t>
    </r>
    <r>
      <rPr>
        <sz val="10"/>
        <rFont val="Arial"/>
        <family val="2"/>
      </rPr>
      <t xml:space="preserve">Silver 70 HMO 1000/50
</t>
    </r>
    <r>
      <rPr>
        <b/>
        <sz val="10"/>
        <rFont val="Arial"/>
        <family val="2"/>
      </rPr>
      <t>HMO:</t>
    </r>
    <r>
      <rPr>
        <sz val="10"/>
        <rFont val="Arial"/>
        <family val="2"/>
      </rPr>
      <t xml:space="preserve"> Bronze 60 HSA 4500/40%
Zip: 94080 (Region 8)</t>
    </r>
  </si>
  <si>
    <t>Contribution shows Zip as 94080</t>
  </si>
  <si>
    <r>
      <t xml:space="preserve">HMO: </t>
    </r>
    <r>
      <rPr>
        <sz val="10"/>
        <color rgb="FF7030A0"/>
        <rFont val="Arial"/>
        <family val="2"/>
      </rPr>
      <t>20-250</t>
    </r>
    <r>
      <rPr>
        <b/>
        <sz val="10"/>
        <color rgb="FF7030A0"/>
        <rFont val="Arial"/>
        <family val="2"/>
      </rPr>
      <t xml:space="preserve">
PPO: </t>
    </r>
    <r>
      <rPr>
        <sz val="10"/>
        <color rgb="FF7030A0"/>
        <rFont val="Arial"/>
        <family val="2"/>
      </rPr>
      <t>Value 250 90/70</t>
    </r>
    <r>
      <rPr>
        <b/>
        <sz val="10"/>
        <color rgb="FF7030A0"/>
        <rFont val="Arial"/>
        <family val="2"/>
      </rPr>
      <t xml:space="preserve">
HSA: </t>
    </r>
    <r>
      <rPr>
        <sz val="10"/>
        <color rgb="FF7030A0"/>
        <rFont val="Arial"/>
        <family val="2"/>
      </rPr>
      <t xml:space="preserve">Savings 2250/4500 </t>
    </r>
  </si>
  <si>
    <t xml:space="preserve">W0064039 </t>
  </si>
  <si>
    <r>
      <t xml:space="preserve">HSA
</t>
    </r>
    <r>
      <rPr>
        <sz val="10"/>
        <color rgb="FF7030A0"/>
        <rFont val="Arial"/>
        <family val="2"/>
      </rPr>
      <t>EE Only: $2,500
EE + DEP: $5,000</t>
    </r>
  </si>
  <si>
    <t xml:space="preserve">TBD HSA Bank </t>
  </si>
  <si>
    <r>
      <t xml:space="preserve">Plan 1/4: </t>
    </r>
    <r>
      <rPr>
        <sz val="10"/>
        <color rgb="FF7030A0"/>
        <rFont val="Arial"/>
        <family val="2"/>
      </rPr>
      <t>100/80/50 $5k Max w/ 50% to $2k Ortho
(Region 3 (50-99))</t>
    </r>
  </si>
  <si>
    <r>
      <t xml:space="preserve">M150D-10/10
</t>
    </r>
    <r>
      <rPr>
        <sz val="10"/>
        <color rgb="FF7030A0"/>
        <rFont val="Arial"/>
        <family val="2"/>
      </rPr>
      <t>(All Regions (50-99))</t>
    </r>
  </si>
  <si>
    <t>24 Mo RG (1/1/19)</t>
  </si>
  <si>
    <r>
      <t xml:space="preserve">FSA - </t>
    </r>
    <r>
      <rPr>
        <sz val="10"/>
        <color rgb="FF7030A0"/>
        <rFont val="Arial"/>
        <family val="2"/>
      </rPr>
      <t xml:space="preserve">HC &amp; DC </t>
    </r>
    <r>
      <rPr>
        <i/>
        <sz val="8"/>
        <color rgb="FF7030A0"/>
        <rFont val="Arial"/>
        <family val="2"/>
      </rPr>
      <t>(Client pays)</t>
    </r>
  </si>
  <si>
    <t xml:space="preserve">IGOEVOTEC </t>
  </si>
  <si>
    <r>
      <t xml:space="preserve">COBRA </t>
    </r>
    <r>
      <rPr>
        <i/>
        <sz val="8"/>
        <color rgb="FF7030A0"/>
        <rFont val="Arial"/>
        <family val="2"/>
      </rPr>
      <t>(CLSA Trust pays)</t>
    </r>
  </si>
  <si>
    <t xml:space="preserve">Evotec - COBRA </t>
  </si>
  <si>
    <r>
      <t xml:space="preserve">Ben Admin </t>
    </r>
    <r>
      <rPr>
        <i/>
        <sz val="8"/>
        <color rgb="FF7030A0"/>
        <rFont val="Arial"/>
        <family val="2"/>
      </rPr>
      <t>(UHC pays)</t>
    </r>
  </si>
  <si>
    <t>Evotec - Ben Admin</t>
  </si>
  <si>
    <t>Zip: 94063
SIC: 3826</t>
  </si>
  <si>
    <r>
      <t xml:space="preserve">HMO: </t>
    </r>
    <r>
      <rPr>
        <sz val="10"/>
        <color rgb="FF7030A0"/>
        <rFont val="Arial"/>
        <family val="2"/>
      </rPr>
      <t>Platinum 90 0/15
Zip: 94063</t>
    </r>
  </si>
  <si>
    <t>Elaine Cheung
650 535-0055
echeung@grailbio.com</t>
  </si>
  <si>
    <r>
      <rPr>
        <b/>
        <sz val="10"/>
        <color rgb="FF7030A0"/>
        <rFont val="Arial"/>
        <family val="2"/>
      </rPr>
      <t>HMO:</t>
    </r>
    <r>
      <rPr>
        <sz val="10"/>
        <color rgb="FF7030A0"/>
        <rFont val="Arial"/>
        <family val="2"/>
      </rPr>
      <t xml:space="preserve"> Full 20-250
</t>
    </r>
    <r>
      <rPr>
        <b/>
        <sz val="10"/>
        <color rgb="FF7030A0"/>
        <rFont val="Arial"/>
        <family val="2"/>
      </rPr>
      <t xml:space="preserve">PPO: </t>
    </r>
    <r>
      <rPr>
        <sz val="10"/>
        <color rgb="FF7030A0"/>
        <rFont val="Arial"/>
        <family val="2"/>
      </rPr>
      <t xml:space="preserve">Value 250 90/70
</t>
    </r>
    <r>
      <rPr>
        <b/>
        <sz val="10"/>
        <color rgb="FF7030A0"/>
        <rFont val="Arial"/>
        <family val="2"/>
      </rPr>
      <t xml:space="preserve">HSA: </t>
    </r>
    <r>
      <rPr>
        <sz val="10"/>
        <color rgb="FF7030A0"/>
        <rFont val="Arial"/>
        <family val="2"/>
      </rPr>
      <t xml:space="preserve">Savings 2250/4500 </t>
    </r>
  </si>
  <si>
    <t xml:space="preserve">W0063841 </t>
  </si>
  <si>
    <r>
      <t xml:space="preserve">HSA
</t>
    </r>
    <r>
      <rPr>
        <sz val="10"/>
        <color rgb="FF7030A0"/>
        <rFont val="Arial"/>
        <family val="2"/>
      </rPr>
      <t>EE Only: $1,125
EE + DEP: $2,250</t>
    </r>
  </si>
  <si>
    <t xml:space="preserve">GRAIL HSA </t>
  </si>
  <si>
    <r>
      <t xml:space="preserve">Plan 3 </t>
    </r>
    <r>
      <rPr>
        <sz val="10"/>
        <color rgb="FF7030A0"/>
        <rFont val="Arial"/>
        <family val="2"/>
      </rPr>
      <t>- 100/90/60/50 - $2,000
(Ortho: Child only / Endo: Major)
(Region 3 (50-99))</t>
    </r>
  </si>
  <si>
    <r>
      <t xml:space="preserve">M130D-10/25
</t>
    </r>
    <r>
      <rPr>
        <sz val="10"/>
        <color rgb="FF7030A0"/>
        <rFont val="Arial"/>
        <family val="2"/>
      </rPr>
      <t>(All Regions (50-99))</t>
    </r>
  </si>
  <si>
    <t xml:space="preserve">MHN </t>
  </si>
  <si>
    <t>EAP</t>
  </si>
  <si>
    <t>8 Visits</t>
  </si>
  <si>
    <r>
      <t xml:space="preserve">FSA </t>
    </r>
    <r>
      <rPr>
        <sz val="10"/>
        <color rgb="FF7030A0"/>
        <rFont val="Arial"/>
        <family val="2"/>
      </rPr>
      <t>- HC (with $500) &amp; DC (</t>
    </r>
    <r>
      <rPr>
        <i/>
        <sz val="8"/>
        <color rgb="FF7030A0"/>
        <rFont val="Arial"/>
        <family val="2"/>
      </rPr>
      <t>Client pays)</t>
    </r>
  </si>
  <si>
    <t>GRAIL - FSA</t>
  </si>
  <si>
    <r>
      <t xml:space="preserve">FSA </t>
    </r>
    <r>
      <rPr>
        <sz val="10"/>
        <color rgb="FF7030A0"/>
        <rFont val="Arial"/>
        <family val="2"/>
      </rPr>
      <t xml:space="preserve">- Commuter </t>
    </r>
    <r>
      <rPr>
        <i/>
        <sz val="8"/>
        <color rgb="FF7030A0"/>
        <rFont val="Arial"/>
        <family val="2"/>
      </rPr>
      <t>(Client pays)</t>
    </r>
  </si>
  <si>
    <t>GRAIL - FSA Commuter</t>
  </si>
  <si>
    <t>Net of Commission</t>
  </si>
  <si>
    <t>GRAIL - COBRA</t>
  </si>
  <si>
    <r>
      <t>Ben Admin</t>
    </r>
    <r>
      <rPr>
        <i/>
        <sz val="8"/>
        <color rgb="FF7030A0"/>
        <rFont val="Arial"/>
        <family val="2"/>
      </rPr>
      <t xml:space="preserve"> (Client pays)</t>
    </r>
  </si>
  <si>
    <t>GRAIL - Ben Admin</t>
  </si>
  <si>
    <t>Kezar Life Sciences, Inc</t>
  </si>
  <si>
    <t>Dermtreat Inc</t>
  </si>
  <si>
    <t>Escient Pharmaceuticals</t>
  </si>
  <si>
    <t>Provenance Biofabrics</t>
  </si>
  <si>
    <t>FPG Services</t>
  </si>
  <si>
    <t>Consolidated COBRA</t>
  </si>
  <si>
    <t>909678KLS</t>
  </si>
  <si>
    <t xml:space="preserve">9, 11, 18 </t>
  </si>
  <si>
    <t>Beloteca, Inc.</t>
  </si>
  <si>
    <t xml:space="preserve">Account Managed by HUB SD Team
Producer - Dave Duenas
Service Lead - Courtney Stanley
</t>
  </si>
  <si>
    <t>10525 Vista Sorrento Parkway, Suite 100
San Diego, CA 92121</t>
  </si>
  <si>
    <t>Fred Defesche
(512) 669-8765
fdefesche@beloteca.com</t>
  </si>
  <si>
    <t>Lynne Clarke
650-282-8108 
lclarke@airxpanders.com</t>
  </si>
  <si>
    <t>UHC Access or Advantage</t>
  </si>
  <si>
    <t>UHC HSA Motion</t>
  </si>
  <si>
    <t>DUENAS
(Courtney S.)</t>
  </si>
  <si>
    <t xml:space="preserve">Account Managed by Duenas Team
Producer - Duenas
Service Lead - Courtney Stanley
</t>
  </si>
  <si>
    <r>
      <t>HMO:</t>
    </r>
    <r>
      <rPr>
        <sz val="10"/>
        <rFont val="Arial"/>
        <family val="2"/>
      </rPr>
      <t xml:space="preserve"> Plan 1: 10/0</t>
    </r>
    <r>
      <rPr>
        <b/>
        <sz val="10"/>
        <rFont val="Arial"/>
        <family val="2"/>
      </rPr>
      <t xml:space="preserve">
HSA: </t>
    </r>
    <r>
      <rPr>
        <sz val="10"/>
        <rFont val="Arial"/>
        <family val="2"/>
      </rPr>
      <t>Plan 11: 1500/10 w/Advantage Rx &amp; No Motion
(NCAL-Group C (44-54)</t>
    </r>
  </si>
  <si>
    <r>
      <t xml:space="preserve">HMO: </t>
    </r>
    <r>
      <rPr>
        <sz val="10"/>
        <rFont val="Arial"/>
        <family val="2"/>
      </rPr>
      <t>Plan 1: 10/0 (Full)</t>
    </r>
    <r>
      <rPr>
        <b/>
        <sz val="10"/>
        <rFont val="Arial"/>
        <family val="2"/>
      </rPr>
      <t xml:space="preserve">
HMO: </t>
    </r>
    <r>
      <rPr>
        <sz val="10"/>
        <rFont val="Arial"/>
        <family val="2"/>
      </rPr>
      <t>Plan 4: 10/0 (Narrow)</t>
    </r>
    <r>
      <rPr>
        <b/>
        <sz val="10"/>
        <rFont val="Arial"/>
        <family val="2"/>
      </rPr>
      <t xml:space="preserve">
PPO: </t>
    </r>
    <r>
      <rPr>
        <sz val="10"/>
        <rFont val="Arial"/>
        <family val="2"/>
      </rPr>
      <t>Plan 8: 500/20 w/Advantage Rx</t>
    </r>
    <r>
      <rPr>
        <b/>
        <sz val="10"/>
        <rFont val="Arial"/>
        <family val="2"/>
      </rPr>
      <t xml:space="preserve">
HSA: </t>
    </r>
    <r>
      <rPr>
        <sz val="10"/>
        <rFont val="Arial"/>
        <family val="2"/>
      </rPr>
      <t>Plan 11: 1500/10 w/Advantage Rx &amp; No Motion
(SCAL-Group C (44-54)</t>
    </r>
  </si>
  <si>
    <t>Somatek Technologies</t>
  </si>
  <si>
    <t>Creighton</t>
  </si>
  <si>
    <t>Matt</t>
  </si>
  <si>
    <t>Peterson</t>
  </si>
  <si>
    <t>Jen</t>
  </si>
  <si>
    <t>Galvan</t>
  </si>
  <si>
    <t>Irma</t>
  </si>
  <si>
    <t>SD</t>
  </si>
  <si>
    <t>TERMINATED</t>
  </si>
  <si>
    <t>Anderson</t>
  </si>
  <si>
    <t>Mark</t>
  </si>
  <si>
    <t>Lopez</t>
  </si>
  <si>
    <t>Angie</t>
  </si>
  <si>
    <t>Delia</t>
  </si>
  <si>
    <t>Meredith</t>
  </si>
  <si>
    <t>Gregory</t>
  </si>
  <si>
    <t>Bev</t>
  </si>
  <si>
    <t>Hernandez</t>
  </si>
  <si>
    <t>Domenica</t>
  </si>
  <si>
    <t>Law</t>
  </si>
  <si>
    <t>Cindy</t>
  </si>
  <si>
    <t>HUB SD (BS GF)</t>
  </si>
  <si>
    <t>David</t>
  </si>
  <si>
    <t>Kwan</t>
  </si>
  <si>
    <t>Joanne</t>
  </si>
  <si>
    <t>Cleghorn</t>
  </si>
  <si>
    <t>Abby</t>
  </si>
  <si>
    <t>Cook</t>
  </si>
  <si>
    <t>Neal</t>
  </si>
  <si>
    <t>Schmidt</t>
  </si>
  <si>
    <t>Jim</t>
  </si>
  <si>
    <t>Stow</t>
  </si>
  <si>
    <t>Denise</t>
  </si>
  <si>
    <t>Rodman</t>
  </si>
  <si>
    <t>Lindsey</t>
  </si>
  <si>
    <t>Connolly</t>
  </si>
  <si>
    <t>Leiyan</t>
  </si>
  <si>
    <t>Trudeau</t>
  </si>
  <si>
    <t>Andrea</t>
  </si>
  <si>
    <t>Delgado</t>
  </si>
  <si>
    <t>Megan</t>
  </si>
  <si>
    <t>Schapansky</t>
  </si>
  <si>
    <t>Trudy</t>
  </si>
  <si>
    <t>Osburn</t>
  </si>
  <si>
    <t>Maggie</t>
  </si>
  <si>
    <t>Courtney.Stanley@hubinternational.com</t>
  </si>
  <si>
    <t>Stanley</t>
  </si>
  <si>
    <t>Courtney</t>
  </si>
  <si>
    <t>Team</t>
  </si>
  <si>
    <t>Account Payable</t>
  </si>
  <si>
    <t>Perez</t>
  </si>
  <si>
    <t>Didier</t>
  </si>
  <si>
    <t>megan.wallace@hubinternational.com</t>
  </si>
  <si>
    <t>Wallace</t>
  </si>
  <si>
    <t>Avila</t>
  </si>
  <si>
    <t>Ashley</t>
  </si>
  <si>
    <t>Gray</t>
  </si>
  <si>
    <t>Stephanie</t>
  </si>
  <si>
    <t>Soloveychik</t>
  </si>
  <si>
    <t>Maria</t>
  </si>
  <si>
    <t>Chih</t>
  </si>
  <si>
    <t>Kayo</t>
  </si>
  <si>
    <t>Alderete</t>
  </si>
  <si>
    <t>Karen</t>
  </si>
  <si>
    <t>Connelly</t>
  </si>
  <si>
    <t>Jean Marie</t>
  </si>
  <si>
    <t>Gage</t>
  </si>
  <si>
    <t>Erin</t>
  </si>
  <si>
    <t>Camp</t>
  </si>
  <si>
    <t>Fitchmun</t>
  </si>
  <si>
    <t>Lebherz</t>
  </si>
  <si>
    <t>Bo</t>
  </si>
  <si>
    <t>Brady</t>
  </si>
  <si>
    <t>Michelle</t>
  </si>
  <si>
    <t>HUB SD (BS GF 50-50)</t>
  </si>
  <si>
    <t>Andrakowicz</t>
  </si>
  <si>
    <t>Pam</t>
  </si>
  <si>
    <t>Noor Mohamed</t>
  </si>
  <si>
    <t>Johann</t>
  </si>
  <si>
    <t>SD (Del Mar)</t>
  </si>
  <si>
    <t>Dukette</t>
  </si>
  <si>
    <t>Natalie</t>
  </si>
  <si>
    <t>Hinshaw</t>
  </si>
  <si>
    <t>Mangels</t>
  </si>
  <si>
    <t>Debbie</t>
  </si>
  <si>
    <t>Gabrielle</t>
  </si>
  <si>
    <t>Erma</t>
  </si>
  <si>
    <t>Hurley</t>
  </si>
  <si>
    <t>Jessica</t>
  </si>
  <si>
    <t>Peppard</t>
  </si>
  <si>
    <t>Danielle</t>
  </si>
  <si>
    <t>Faraimo</t>
  </si>
  <si>
    <t>Marcie</t>
  </si>
  <si>
    <t>Has 3 Division: SeaSpine Inc., Isotis Ortho, Seaspine Sales, LLC</t>
  </si>
  <si>
    <t>Queen</t>
  </si>
  <si>
    <t>Rob</t>
  </si>
  <si>
    <t>Greenwood</t>
  </si>
  <si>
    <t>Elise</t>
  </si>
  <si>
    <t>Goldman</t>
  </si>
  <si>
    <t>Brian</t>
  </si>
  <si>
    <t>HUB (85/15)</t>
  </si>
  <si>
    <t>Other</t>
  </si>
  <si>
    <t>Barone</t>
  </si>
  <si>
    <t>Lisa</t>
  </si>
  <si>
    <t>Crowe</t>
  </si>
  <si>
    <t>Huss</t>
  </si>
  <si>
    <t>Beverly</t>
  </si>
  <si>
    <t>Haslam</t>
  </si>
  <si>
    <t>Suzanne</t>
  </si>
  <si>
    <t>Stuckey</t>
  </si>
  <si>
    <t>Vanessa</t>
  </si>
  <si>
    <t>Song</t>
  </si>
  <si>
    <t>Nicole</t>
  </si>
  <si>
    <t>Woodruff</t>
  </si>
  <si>
    <t>Ewton</t>
  </si>
  <si>
    <t>Christian</t>
  </si>
  <si>
    <t>Nussbaum</t>
  </si>
  <si>
    <t>Chris</t>
  </si>
  <si>
    <t>Couture</t>
  </si>
  <si>
    <t>Camille</t>
  </si>
  <si>
    <t>Moriarty</t>
  </si>
  <si>
    <t>Anne</t>
  </si>
  <si>
    <t>Wilson</t>
  </si>
  <si>
    <t>Ann</t>
  </si>
  <si>
    <t>Hokanson</t>
  </si>
  <si>
    <t>Rosie</t>
  </si>
  <si>
    <t>Rangel</t>
  </si>
  <si>
    <t>Paulo</t>
  </si>
  <si>
    <t>Mahtani</t>
  </si>
  <si>
    <t>Melanie</t>
  </si>
  <si>
    <t>Lewis</t>
  </si>
  <si>
    <t>Faye</t>
  </si>
  <si>
    <t>Parker</t>
  </si>
  <si>
    <t>Walker</t>
  </si>
  <si>
    <t>Kate</t>
  </si>
  <si>
    <t>randell.jacobs@hubinternational.com</t>
  </si>
  <si>
    <t>Jacobs</t>
  </si>
  <si>
    <t>Randell</t>
  </si>
  <si>
    <t>Rowland</t>
  </si>
  <si>
    <t>Amy</t>
  </si>
  <si>
    <t>Vetter</t>
  </si>
  <si>
    <t>Brent</t>
  </si>
  <si>
    <t>Olesiak-Deptuch</t>
  </si>
  <si>
    <t>Ewa</t>
  </si>
  <si>
    <t>Mason</t>
  </si>
  <si>
    <t>Integrium, LLC and OC Research Center are under the above client name umbrella</t>
  </si>
  <si>
    <t>Fung</t>
  </si>
  <si>
    <t>Kimmy</t>
  </si>
  <si>
    <t>Hansjee</t>
  </si>
  <si>
    <t>Kaushik</t>
  </si>
  <si>
    <t>Smail</t>
  </si>
  <si>
    <t>Jordan</t>
  </si>
  <si>
    <t>Wolfe</t>
  </si>
  <si>
    <t>Mike</t>
  </si>
  <si>
    <t>Belsky</t>
  </si>
  <si>
    <t>Marc</t>
  </si>
  <si>
    <t>Kahana</t>
  </si>
  <si>
    <t>Jason</t>
  </si>
  <si>
    <t>Jackman</t>
  </si>
  <si>
    <t>Robin</t>
  </si>
  <si>
    <t>Moss</t>
  </si>
  <si>
    <t>Romanowsky</t>
  </si>
  <si>
    <t>Jonathan</t>
  </si>
  <si>
    <t>Rico</t>
  </si>
  <si>
    <t>Zak</t>
  </si>
  <si>
    <t>Deisinger</t>
  </si>
  <si>
    <t>Nancy</t>
  </si>
  <si>
    <t>Brown</t>
  </si>
  <si>
    <t>Deborah</t>
  </si>
  <si>
    <t>Slay</t>
  </si>
  <si>
    <t>Leslie</t>
  </si>
  <si>
    <t>Gilpin</t>
  </si>
  <si>
    <t>Margot</t>
  </si>
  <si>
    <t>Abbott</t>
  </si>
  <si>
    <t>William</t>
  </si>
  <si>
    <t>Villaroman</t>
  </si>
  <si>
    <t>Sheila</t>
  </si>
  <si>
    <t>Wayne</t>
  </si>
  <si>
    <t>Annie</t>
  </si>
  <si>
    <t>Gutierrez</t>
  </si>
  <si>
    <t>Che</t>
  </si>
  <si>
    <t>Monica</t>
  </si>
  <si>
    <t>Chen</t>
  </si>
  <si>
    <t>Xiaohong</t>
  </si>
  <si>
    <t>Konrad</t>
  </si>
  <si>
    <t>Elliott</t>
  </si>
  <si>
    <t>Kris</t>
  </si>
  <si>
    <t>Chilton</t>
  </si>
  <si>
    <t>Robert</t>
  </si>
  <si>
    <t>Romero</t>
  </si>
  <si>
    <t>Zhu</t>
  </si>
  <si>
    <t>Florence</t>
  </si>
  <si>
    <t>Nguyen</t>
  </si>
  <si>
    <t>Ivy</t>
  </si>
  <si>
    <t>Durkin</t>
  </si>
  <si>
    <t>Marie-Claire</t>
  </si>
  <si>
    <t>Payable</t>
  </si>
  <si>
    <t>Accounts</t>
  </si>
  <si>
    <t>Hayden</t>
  </si>
  <si>
    <t>Pat</t>
  </si>
  <si>
    <t>Russell</t>
  </si>
  <si>
    <t>Scott</t>
  </si>
  <si>
    <t>de Silva</t>
  </si>
  <si>
    <t>Nishan</t>
  </si>
  <si>
    <t>Robyn</t>
  </si>
  <si>
    <t>Walters-Hoffert</t>
  </si>
  <si>
    <t>Porter</t>
  </si>
  <si>
    <t>Katie</t>
  </si>
  <si>
    <t>Byerly</t>
  </si>
  <si>
    <t>Laura</t>
  </si>
  <si>
    <t>Wittman</t>
  </si>
  <si>
    <t>Dori</t>
  </si>
  <si>
    <t>Strawser</t>
  </si>
  <si>
    <t>Kayla</t>
  </si>
  <si>
    <t>Alexa</t>
  </si>
  <si>
    <t>HUB SD (Carlsbad - New)</t>
  </si>
  <si>
    <t>SD (Carlsbad)</t>
  </si>
  <si>
    <t>Arzt</t>
  </si>
  <si>
    <t>Christine</t>
  </si>
  <si>
    <t>Rainwater</t>
  </si>
  <si>
    <t>Donna</t>
  </si>
  <si>
    <t>Tomlin</t>
  </si>
  <si>
    <t>Katherine</t>
  </si>
  <si>
    <t>Mancio</t>
  </si>
  <si>
    <t>Jocelyn</t>
  </si>
  <si>
    <t>St. Cyr</t>
  </si>
  <si>
    <t>Cheryl</t>
  </si>
  <si>
    <t>Hendricks</t>
  </si>
  <si>
    <t>Ben</t>
  </si>
  <si>
    <t>Pastor</t>
  </si>
  <si>
    <t>Allison</t>
  </si>
  <si>
    <t>Freismuth</t>
  </si>
  <si>
    <t>Thom</t>
  </si>
  <si>
    <t>Larochelle</t>
  </si>
  <si>
    <t>Kim</t>
  </si>
  <si>
    <t>Satur</t>
  </si>
  <si>
    <t>Valentina</t>
  </si>
  <si>
    <t>Deangelo</t>
  </si>
  <si>
    <t>Coleen</t>
  </si>
  <si>
    <t>Cathy</t>
  </si>
  <si>
    <t>Hughes</t>
  </si>
  <si>
    <t>Joan</t>
  </si>
  <si>
    <t>Cameron</t>
  </si>
  <si>
    <t>Alsman</t>
  </si>
  <si>
    <t>Valerie</t>
  </si>
  <si>
    <t>Schwartz</t>
  </si>
  <si>
    <t>Mindy</t>
  </si>
  <si>
    <t>Dan Kabban
(1st yr only)</t>
  </si>
  <si>
    <t>Frazer</t>
  </si>
  <si>
    <t>Lydia</t>
  </si>
  <si>
    <t>Wang</t>
  </si>
  <si>
    <t>Qingmei</t>
  </si>
  <si>
    <t>HUB SD (80-20; New)</t>
  </si>
  <si>
    <t>Tebesceff</t>
  </si>
  <si>
    <t>Mittleider</t>
  </si>
  <si>
    <t>HUB SD (50/50)</t>
  </si>
  <si>
    <t>Huang</t>
  </si>
  <si>
    <t>Kenneth</t>
  </si>
  <si>
    <t>Lochbaum</t>
  </si>
  <si>
    <t>Alyssa</t>
  </si>
  <si>
    <t>Breitbarth</t>
  </si>
  <si>
    <t>Sun</t>
  </si>
  <si>
    <t>Eileen</t>
  </si>
  <si>
    <t>Adams</t>
  </si>
  <si>
    <t>Heather</t>
  </si>
  <si>
    <t>Defesche</t>
  </si>
  <si>
    <t>Fred</t>
  </si>
  <si>
    <t>Sanabria</t>
  </si>
  <si>
    <t>Serrato</t>
  </si>
  <si>
    <t>Melinda</t>
  </si>
  <si>
    <t>Chrzanowski Winter</t>
  </si>
  <si>
    <t>Holly</t>
  </si>
  <si>
    <t>Steingrimsson</t>
  </si>
  <si>
    <t>Frances</t>
  </si>
  <si>
    <t>(was previously DNA 2.0)</t>
  </si>
  <si>
    <t>Semonis</t>
  </si>
  <si>
    <t>Gu</t>
  </si>
  <si>
    <t>Lucy</t>
  </si>
  <si>
    <t>Stehly</t>
  </si>
  <si>
    <t>Barba</t>
  </si>
  <si>
    <t>Sara</t>
  </si>
  <si>
    <t>Be</t>
  </si>
  <si>
    <t>HUB SD (Carlsbad - Renewal)</t>
  </si>
  <si>
    <t>Cass</t>
  </si>
  <si>
    <t>Bryan</t>
  </si>
  <si>
    <t>Remsberg</t>
  </si>
  <si>
    <t>Heidi</t>
  </si>
  <si>
    <t>Kumandan</t>
  </si>
  <si>
    <t>Bharath</t>
  </si>
  <si>
    <t>Howitt</t>
  </si>
  <si>
    <t>Agnes.Aguas@hubinternational.com</t>
  </si>
  <si>
    <t>Aguas</t>
  </si>
  <si>
    <t>Agnes</t>
  </si>
  <si>
    <t>Clarke</t>
  </si>
  <si>
    <t>Lynne</t>
  </si>
  <si>
    <t>Mary Rose</t>
  </si>
  <si>
    <t>Lewis-Grenz</t>
  </si>
  <si>
    <t>Kevin</t>
  </si>
  <si>
    <t>Decker</t>
  </si>
  <si>
    <t>Krauss</t>
  </si>
  <si>
    <t>HUB (Tevis - New)</t>
  </si>
  <si>
    <t>Daggett</t>
  </si>
  <si>
    <t>Lorrie</t>
  </si>
  <si>
    <t>Sales Lead 2  - for Commissions</t>
  </si>
  <si>
    <t>Sales Lead 1  - for Commissions</t>
  </si>
  <si>
    <t>Primary Sales Lead: BenefitPoint Name</t>
  </si>
  <si>
    <t>Primary Sales Lead: Last Name</t>
  </si>
  <si>
    <t>Primary Sales Lead: First Name</t>
  </si>
  <si>
    <t>Primary Service Lead: Email</t>
  </si>
  <si>
    <t>Primary Service Lead: BenefitPoint Name</t>
  </si>
  <si>
    <t>Primary Service Lead: Last Name</t>
  </si>
  <si>
    <t>Primary Service Lead: First Name</t>
  </si>
  <si>
    <t>Billing Client Contact: BenefitPoint Name</t>
  </si>
  <si>
    <t>Billing Client Contact: Last Name</t>
  </si>
  <si>
    <t>Billing Client Contact: First Name</t>
  </si>
  <si>
    <t>Main Client Contact: BenefitPoint Name</t>
  </si>
  <si>
    <t>Main Client Contact: Last Name</t>
  </si>
  <si>
    <t>Main Client Contact: First Name</t>
  </si>
  <si>
    <t>CommGroup</t>
  </si>
  <si>
    <t>Commission Split Status (based on 12 months)</t>
  </si>
  <si>
    <t>CLSA Trust Plan Status</t>
  </si>
  <si>
    <t>Plan Eff. Date</t>
  </si>
  <si>
    <t>HUB Office</t>
  </si>
  <si>
    <t>Broker</t>
  </si>
  <si>
    <t>DBA</t>
  </si>
  <si>
    <t>Terminated Trust Date</t>
  </si>
  <si>
    <t>Joined Trust Date</t>
  </si>
  <si>
    <t>Terminated</t>
  </si>
  <si>
    <t>11025 N. Torrey Pines Road</t>
  </si>
  <si>
    <t>La Jolla</t>
  </si>
  <si>
    <t>Frazer,Lydia</t>
  </si>
  <si>
    <t>Cook,Neal</t>
  </si>
  <si>
    <t>2237 Faraday Ave</t>
  </si>
  <si>
    <t>Suite 100</t>
  </si>
  <si>
    <t>Carlsbad</t>
  </si>
  <si>
    <t>Decker,Amy</t>
  </si>
  <si>
    <t>Lewis-Grenz,Kevin</t>
  </si>
  <si>
    <t>Palo Alto</t>
  </si>
  <si>
    <t>Aguas,Agnes</t>
  </si>
  <si>
    <t>Howitt,Nancy</t>
  </si>
  <si>
    <t>Duenas,David</t>
  </si>
  <si>
    <t>156 2nd Avenue</t>
  </si>
  <si>
    <t>San Francisco</t>
  </si>
  <si>
    <t>48438 Milmont Drive</t>
  </si>
  <si>
    <t>Freemont</t>
  </si>
  <si>
    <t>10975 North Torrey Pines Road</t>
  </si>
  <si>
    <t>Cameron,Lisa</t>
  </si>
  <si>
    <t>Barba,Sara</t>
  </si>
  <si>
    <t>Stehly,Neal</t>
  </si>
  <si>
    <t>Creighton,Matt</t>
  </si>
  <si>
    <t>San Mateo</t>
  </si>
  <si>
    <t>521 Cottonwood Dr</t>
  </si>
  <si>
    <t>Suite #111</t>
  </si>
  <si>
    <t>Milpitas</t>
  </si>
  <si>
    <t>San Jose</t>
  </si>
  <si>
    <t>Hendricks,Ben</t>
  </si>
  <si>
    <t>6154 Nancy Ridge Drive</t>
  </si>
  <si>
    <t>San Diego</t>
  </si>
  <si>
    <t>37950 Central Court</t>
  </si>
  <si>
    <t>Newark</t>
  </si>
  <si>
    <t>3545 John Hopkins Court</t>
  </si>
  <si>
    <t>Suite 250</t>
  </si>
  <si>
    <t>Brady,Michelle</t>
  </si>
  <si>
    <t>Lebherz,Bo</t>
  </si>
  <si>
    <t>6118 Nancy Ridge Dr.</t>
  </si>
  <si>
    <t>Wallace,Megan</t>
  </si>
  <si>
    <t>10525 Vista Sorrento Parkway</t>
  </si>
  <si>
    <t>Stanley,Courtney</t>
  </si>
  <si>
    <t>9640 Towne Center Drive Ste. 100</t>
  </si>
  <si>
    <t>Hurley,Jessica</t>
  </si>
  <si>
    <t>5922 Farnsworth Ct</t>
  </si>
  <si>
    <t>Suite 102</t>
  </si>
  <si>
    <t>Strawser,Kayla</t>
  </si>
  <si>
    <t>Wittman,Dori</t>
  </si>
  <si>
    <t>2223 Avenida De La Playa</t>
  </si>
  <si>
    <t>Ste 205</t>
  </si>
  <si>
    <t>Andrakowicz,Pam</t>
  </si>
  <si>
    <t>9730 Summers Ridge Rd.</t>
  </si>
  <si>
    <t>5928 Farnsworth Court</t>
  </si>
  <si>
    <t>1325 Sycamore Avenue</t>
  </si>
  <si>
    <t>Suite A</t>
  </si>
  <si>
    <t>Vista</t>
  </si>
  <si>
    <t>1561 Industrial Road</t>
  </si>
  <si>
    <t>San Carlos</t>
  </si>
  <si>
    <t>3 Waters Park Dr</t>
  </si>
  <si>
    <t>Larochelle,Kim</t>
  </si>
  <si>
    <t>6310 Nancy Ridge Dr.</t>
  </si>
  <si>
    <t>#101</t>
  </si>
  <si>
    <t>9191 Towne Centre Drive</t>
  </si>
  <si>
    <t>Suite 450</t>
  </si>
  <si>
    <t>Tomlin,Katherine</t>
  </si>
  <si>
    <t>Osburn,Maggie</t>
  </si>
  <si>
    <t>3020 Callan Road</t>
  </si>
  <si>
    <t>Gregory,Bev</t>
  </si>
  <si>
    <t>160 S. Linden Ave.</t>
  </si>
  <si>
    <t>Suite 130</t>
  </si>
  <si>
    <t>South San Francisco</t>
  </si>
  <si>
    <t>1250 Prospect Street</t>
  </si>
  <si>
    <t>Ocean Level 4</t>
  </si>
  <si>
    <t>2811 Mission Street</t>
  </si>
  <si>
    <t>Santa Cruz</t>
  </si>
  <si>
    <t>11025 N Torrey Pines Rd</t>
  </si>
  <si>
    <t>Suite 140</t>
  </si>
  <si>
    <t>Jacobs,Randell</t>
  </si>
  <si>
    <t>12255 El Camino Real</t>
  </si>
  <si>
    <t>Suite 300</t>
  </si>
  <si>
    <t>Menlo Park</t>
  </si>
  <si>
    <t>15821 Ventura Blvd.</t>
  </si>
  <si>
    <t>Suite 550</t>
  </si>
  <si>
    <t>Encino</t>
  </si>
  <si>
    <t>11526 Sorrento Valley Road</t>
  </si>
  <si>
    <t>Suite D</t>
  </si>
  <si>
    <t>2215 Faraday Avenue</t>
  </si>
  <si>
    <t>Suite H</t>
  </si>
  <si>
    <t>303 Bryant St.</t>
  </si>
  <si>
    <t>Mountain View</t>
  </si>
  <si>
    <t>70 Doppler</t>
  </si>
  <si>
    <t>Irvine</t>
  </si>
  <si>
    <t>Hernandez,Domenica</t>
  </si>
  <si>
    <t>953 Indiana St.</t>
  </si>
  <si>
    <t>1224 Prospect Street</t>
  </si>
  <si>
    <t>Suite 150</t>
  </si>
  <si>
    <t>11575 Sorrento Valley Rd</t>
  </si>
  <si>
    <t>2631 Hanover St.</t>
  </si>
  <si>
    <t>14351 Myford Rd</t>
  </si>
  <si>
    <t>Tustin</t>
  </si>
  <si>
    <t>10835 Road to the Cure</t>
  </si>
  <si>
    <t>#100</t>
  </si>
  <si>
    <t>374 N Coast Highway 101</t>
  </si>
  <si>
    <t>Suite B</t>
  </si>
  <si>
    <t>Encinitas</t>
  </si>
  <si>
    <t>91 Bolivar Drive</t>
  </si>
  <si>
    <t>Berkeley</t>
  </si>
  <si>
    <t>1929 East Pointe Ave.</t>
  </si>
  <si>
    <t>Greenwood,Elise</t>
  </si>
  <si>
    <t>Wilson,Ann</t>
  </si>
  <si>
    <t>Queen,Rob</t>
  </si>
  <si>
    <t>50 California Street, Floor 12</t>
  </si>
  <si>
    <t>1160 Battery St.</t>
  </si>
  <si>
    <t>Ste. 225</t>
  </si>
  <si>
    <t>1455 Adams Court</t>
  </si>
  <si>
    <t>Barone,Lisa</t>
  </si>
  <si>
    <t>1020 Flynn Rd</t>
  </si>
  <si>
    <t>Camarillo</t>
  </si>
  <si>
    <t>2302 La Mirada Drive</t>
  </si>
  <si>
    <t>300 Saginaw Drive</t>
  </si>
  <si>
    <t>Redwood City</t>
  </si>
  <si>
    <t>125 N Acacia Ave</t>
  </si>
  <si>
    <t>Suite 101</t>
  </si>
  <si>
    <t>Solana Beach</t>
  </si>
  <si>
    <t>5000 Hopyard Road</t>
  </si>
  <si>
    <t>Suite 330</t>
  </si>
  <si>
    <t>Pleasanton</t>
  </si>
  <si>
    <t>3550 General Atomic Court</t>
  </si>
  <si>
    <t>#02/211</t>
  </si>
  <si>
    <t>3937 Southview Drive</t>
  </si>
  <si>
    <t>Gage,Erin</t>
  </si>
  <si>
    <t>30 Hughes</t>
  </si>
  <si>
    <t>Suite 206</t>
  </si>
  <si>
    <t>353 Hatch Drive</t>
  </si>
  <si>
    <t>Foster City</t>
  </si>
  <si>
    <t>479 Jessie St.</t>
  </si>
  <si>
    <t>3030 Bunker Hill St.</t>
  </si>
  <si>
    <t>Ste 230</t>
  </si>
  <si>
    <t>75 Broadway</t>
  </si>
  <si>
    <t>#251</t>
  </si>
  <si>
    <t>7060 Koll Center Pkwy</t>
  </si>
  <si>
    <t>329 Oyster Point Blvd.</t>
  </si>
  <si>
    <t>3rd Floor</t>
  </si>
  <si>
    <t>9381 Judicial Drive</t>
  </si>
  <si>
    <t>Suite 200</t>
  </si>
  <si>
    <t>1 Sansome St.</t>
  </si>
  <si>
    <t>Ste 3630</t>
  </si>
  <si>
    <t>15222 Avenue of Science</t>
  </si>
  <si>
    <t>2910 7th St.</t>
  </si>
  <si>
    <t>1490 O Brien Drive</t>
  </si>
  <si>
    <t>2361 McGaw Ave</t>
  </si>
  <si>
    <t>3721 Valley Centre Drive</t>
  </si>
  <si>
    <t>10020 Huennekens Street</t>
  </si>
  <si>
    <t>San Dieog</t>
  </si>
  <si>
    <t>Daggett,Lorrie</t>
  </si>
  <si>
    <t>Krauss,Lynne</t>
  </si>
  <si>
    <t>Clarke,Lynne</t>
  </si>
  <si>
    <t>Kumandan,Bharath</t>
  </si>
  <si>
    <t>Lopez,Angie</t>
  </si>
  <si>
    <t>Anderson,Mark</t>
  </si>
  <si>
    <t>Remsberg,Heidi</t>
  </si>
  <si>
    <t>Cass,Bryan</t>
  </si>
  <si>
    <t>Be,Lisa</t>
  </si>
  <si>
    <t>Gu,Lucy</t>
  </si>
  <si>
    <t>Semonis,Nicole</t>
  </si>
  <si>
    <t>Steingrimsson,Frances</t>
  </si>
  <si>
    <t>Parker,Michelle</t>
  </si>
  <si>
    <t>Lewis,Faye</t>
  </si>
  <si>
    <t>Chrzanowski Winter,Holly</t>
  </si>
  <si>
    <t>Serrato,Melinda</t>
  </si>
  <si>
    <t>Sanabria,Erin</t>
  </si>
  <si>
    <t>Defesche,Fred</t>
  </si>
  <si>
    <t>Adams,Heather</t>
  </si>
  <si>
    <t>Sun,Eileen</t>
  </si>
  <si>
    <t>Breitbarth,Chris</t>
  </si>
  <si>
    <t>Lochbaum,Alyssa</t>
  </si>
  <si>
    <t>Huang,Kenneth</t>
  </si>
  <si>
    <t>Mittleider,Katie</t>
  </si>
  <si>
    <t>Tebesceff,Mike</t>
  </si>
  <si>
    <t>Wang,Qingmei</t>
  </si>
  <si>
    <t>Schwartz,Mindy</t>
  </si>
  <si>
    <t>Alsman,Valerie</t>
  </si>
  <si>
    <t>Hughes,Joan</t>
  </si>
  <si>
    <t>Walker,Cathy</t>
  </si>
  <si>
    <t>Deangelo,Coleen</t>
  </si>
  <si>
    <t>Satur,Valentina</t>
  </si>
  <si>
    <t>Freismuth,Thom</t>
  </si>
  <si>
    <t>Lewis,Allison</t>
  </si>
  <si>
    <t>Pastor,Amy</t>
  </si>
  <si>
    <t>St. Cyr,Cheryl</t>
  </si>
  <si>
    <t>Mancio,Jocelyn</t>
  </si>
  <si>
    <t>Rainwater,Donna</t>
  </si>
  <si>
    <t>Arzt,Christine</t>
  </si>
  <si>
    <t>Cook,Alexa</t>
  </si>
  <si>
    <t>Byerly,Laura</t>
  </si>
  <si>
    <t>Porter,Katie</t>
  </si>
  <si>
    <t>Walters-Hoffert,Lisa</t>
  </si>
  <si>
    <t>Gregory,Robyn</t>
  </si>
  <si>
    <t>de Silva,Nishan</t>
  </si>
  <si>
    <t>Russell,Scott</t>
  </si>
  <si>
    <t>Hayden,Pat</t>
  </si>
  <si>
    <t>Payable,Accounts</t>
  </si>
  <si>
    <t>Durkin,Marie-Claire</t>
  </si>
  <si>
    <t>Nguyen,Ivy</t>
  </si>
  <si>
    <t>Zhu,Florence</t>
  </si>
  <si>
    <t>Romero,Danielle</t>
  </si>
  <si>
    <t>Trudeau,Andrea</t>
  </si>
  <si>
    <t>Chilton,Robert</t>
  </si>
  <si>
    <t>Elliott,Kris</t>
  </si>
  <si>
    <t>Konrad,Faye</t>
  </si>
  <si>
    <t>Slay,Leslie</t>
  </si>
  <si>
    <t>Chen,Xiaohong</t>
  </si>
  <si>
    <t>Che,Monica</t>
  </si>
  <si>
    <t>Gutierrez,Vanessa</t>
  </si>
  <si>
    <t>Wayne,Annie</t>
  </si>
  <si>
    <t>Fung,Kimmy</t>
  </si>
  <si>
    <t>Villaroman,Sheila</t>
  </si>
  <si>
    <t>Abbott,William</t>
  </si>
  <si>
    <t>Gilpin,Margot</t>
  </si>
  <si>
    <t>Brown,Deborah</t>
  </si>
  <si>
    <t>Deisinger,Nancy</t>
  </si>
  <si>
    <t>Rico,Zak</t>
  </si>
  <si>
    <t>Romanowsky,Jonathan</t>
  </si>
  <si>
    <t>Moss,David</t>
  </si>
  <si>
    <t>Jackman,Robin</t>
  </si>
  <si>
    <t>Kahana,Jason</t>
  </si>
  <si>
    <t>Belsky,Marc</t>
  </si>
  <si>
    <t>Wolfe,Mike</t>
  </si>
  <si>
    <t>Smail,Jordan</t>
  </si>
  <si>
    <t>Hansjee,Kaushik</t>
  </si>
  <si>
    <t>Nussbaum,Chris</t>
  </si>
  <si>
    <t>Mason,Debbie</t>
  </si>
  <si>
    <t>Olesiak-Deptuch,Ewa</t>
  </si>
  <si>
    <t>Vetter,Brent</t>
  </si>
  <si>
    <t>Rowland,Amy</t>
  </si>
  <si>
    <t>Song,Anne</t>
  </si>
  <si>
    <t>Walker,Kate</t>
  </si>
  <si>
    <t>Mahtani,Melanie</t>
  </si>
  <si>
    <t>Rangel,Paulo</t>
  </si>
  <si>
    <t>Hokanson,Rosie</t>
  </si>
  <si>
    <t>Moriarty,Anne</t>
  </si>
  <si>
    <t>Couture,Camille</t>
  </si>
  <si>
    <t>Ewton,Christian</t>
  </si>
  <si>
    <t>Song,Nicole</t>
  </si>
  <si>
    <t>Stuckey,Vanessa</t>
  </si>
  <si>
    <t>Haslam,Suzanne</t>
  </si>
  <si>
    <t>Huss,Beverly</t>
  </si>
  <si>
    <t>Crowe,Erin</t>
  </si>
  <si>
    <t>Goldman,Brian</t>
  </si>
  <si>
    <t>Faraimo,Marcie</t>
  </si>
  <si>
    <t>Peppard,Danielle</t>
  </si>
  <si>
    <t>Galvan,Erma</t>
  </si>
  <si>
    <t>Anderson,Gabrielle</t>
  </si>
  <si>
    <t>Mangels,Debbie</t>
  </si>
  <si>
    <t>Hinshaw,CJ</t>
  </si>
  <si>
    <t>Dukette,Natalie</t>
  </si>
  <si>
    <t>Noor Mohamed,Johann</t>
  </si>
  <si>
    <t>David,Michelle</t>
  </si>
  <si>
    <t>Fitchmun,Mark</t>
  </si>
  <si>
    <t>Camp,Matt</t>
  </si>
  <si>
    <t>Connelly,Jean Marie</t>
  </si>
  <si>
    <t>Alderete,Karen</t>
  </si>
  <si>
    <t>Chih,Kayo</t>
  </si>
  <si>
    <t>Soloveychik,Maria</t>
  </si>
  <si>
    <t>Gray,Stephanie</t>
  </si>
  <si>
    <t>Avila,Ashley</t>
  </si>
  <si>
    <t>Perez,Didier</t>
  </si>
  <si>
    <t>Team,Account Payable</t>
  </si>
  <si>
    <t>Schapansky,Trudy</t>
  </si>
  <si>
    <t>Delgado,Megan</t>
  </si>
  <si>
    <t>Connolly,Leiyan</t>
  </si>
  <si>
    <t>Rodman,Lindsey</t>
  </si>
  <si>
    <t>Stow,Denise</t>
  </si>
  <si>
    <t>Schmidt,Jim</t>
  </si>
  <si>
    <t>Cleghorn,Abby</t>
  </si>
  <si>
    <t>Kwan,Joanne</t>
  </si>
  <si>
    <t>Law,Cindy</t>
  </si>
  <si>
    <t>Delia,Meredith</t>
  </si>
  <si>
    <t>Peterson,Jen</t>
  </si>
  <si>
    <t>Suite 120</t>
  </si>
  <si>
    <t>3047 Orchard Parkway</t>
  </si>
  <si>
    <t>12760 High Bluff Drive, Suite 370</t>
  </si>
  <si>
    <t>6197 Cornerstone Ct. E,</t>
  </si>
  <si>
    <t>Suite 111</t>
  </si>
  <si>
    <t>13855 Stowe Drive</t>
  </si>
  <si>
    <t>Poway</t>
  </si>
  <si>
    <t>7999 Gateway Blvd.</t>
  </si>
  <si>
    <t>11119 North Torrey Pines Rd</t>
  </si>
  <si>
    <t>533 Airport Boulevard</t>
  </si>
  <si>
    <t>Suite 400</t>
  </si>
  <si>
    <t>Burlingame</t>
  </si>
  <si>
    <t>5900 Pasteur Ct.</t>
  </si>
  <si>
    <t>Ste 125</t>
  </si>
  <si>
    <t>863 Mitten Road</t>
  </si>
  <si>
    <t>Suite 104</t>
  </si>
  <si>
    <t>4000 Shoreline</t>
  </si>
  <si>
    <t>10578 Science Center Drive</t>
  </si>
  <si>
    <t>250 Natural Bridges Drive</t>
  </si>
  <si>
    <t>Main: Street Address</t>
  </si>
  <si>
    <t>Main: Street Address 2</t>
  </si>
  <si>
    <t>Main: City</t>
  </si>
  <si>
    <t>Main: State/Province</t>
  </si>
  <si>
    <t>Main: Zip/Postal Code</t>
  </si>
  <si>
    <t>UHC Special Utility Code</t>
  </si>
  <si>
    <t>Missing from System</t>
  </si>
  <si>
    <t>BenefitPoint Account Names</t>
  </si>
  <si>
    <t>Zuman Account Names</t>
  </si>
  <si>
    <t>AirXpanders</t>
  </si>
  <si>
    <t>Bionano Genomics, Inc.</t>
  </si>
  <si>
    <t>DC3 Therapeutics</t>
  </si>
  <si>
    <t>Fronthera US Pharmaceuticals</t>
  </si>
  <si>
    <t>INmune Bio, Inc</t>
  </si>
  <si>
    <t>Kezar Life Sciences</t>
  </si>
  <si>
    <t>Pipeline Therapeutics Inc.</t>
  </si>
  <si>
    <t>BenefitPoint Account Names- TERMINATED</t>
  </si>
  <si>
    <t>Zuman Account Names - TERMINATED</t>
  </si>
  <si>
    <t>BenefitPoint Client Name</t>
  </si>
  <si>
    <t>Zuman Client Name</t>
  </si>
  <si>
    <t>MetLife Client Name</t>
  </si>
  <si>
    <t>UHC Client Name</t>
  </si>
  <si>
    <t xml:space="preserve">
ATUM (AKA DNA) </t>
  </si>
  <si>
    <t>Has Blue Shield</t>
  </si>
  <si>
    <t>Terminated Trust Clients w/COBRA</t>
  </si>
  <si>
    <t>OTHER</t>
  </si>
  <si>
    <t>MetLife Sub code/   Division</t>
  </si>
  <si>
    <t>Anne Moriarty
650-837-8550
anne.moriarty@prothena.com
Ria Palarca (Additional Contact)
650-615-2133
ria.palarca@prothena.com 
Kevin Hickey (Contract Signer)
650-837-8545
kevin.hickey@prothena.com</t>
  </si>
  <si>
    <t>47-1823764</t>
  </si>
  <si>
    <t>Arena Pharamceuticals, Inc.</t>
  </si>
  <si>
    <r>
      <t xml:space="preserve">PPO: </t>
    </r>
    <r>
      <rPr>
        <sz val="10"/>
        <rFont val="Arial"/>
        <family val="2"/>
      </rPr>
      <t>Plan 8: 500/20 w/Advantage Rx</t>
    </r>
    <r>
      <rPr>
        <b/>
        <sz val="10"/>
        <rFont val="Arial"/>
        <family val="2"/>
      </rPr>
      <t xml:space="preserve">
HSA: </t>
    </r>
    <r>
      <rPr>
        <sz val="10"/>
        <rFont val="Arial"/>
        <family val="2"/>
      </rPr>
      <t>Plan 11: 1500/10 w/Advantage Rx &amp; No Motion
(SCAL-Group B (34-44)</t>
    </r>
  </si>
  <si>
    <t>909678-0373 PPO
909678-0481 PPO w/HSA</t>
  </si>
  <si>
    <t>DBA: PLOA</t>
  </si>
  <si>
    <t>XOMA "US" LLC</t>
  </si>
  <si>
    <t>HMO
10/0 
(Sig. Value Alliance)</t>
  </si>
  <si>
    <t>HMO
15/250A
(Sig. Value Alliance)</t>
  </si>
  <si>
    <t>HMO
20-40/500A
(Sig. Value Alliance)</t>
  </si>
  <si>
    <t>HMO w/HSA
2600/20 (2017) / 2700/20 (2018)
(Sig. Value Alliance)</t>
  </si>
  <si>
    <t>HMO 10/0 (U8M/4PJ)</t>
  </si>
  <si>
    <t>HMO 15/250A (U8T/4PJ)</t>
  </si>
  <si>
    <t>HMO 20-40/500A (Y93/42L)</t>
  </si>
  <si>
    <t>HMO 10/0 (YDO/4PJ)</t>
  </si>
  <si>
    <t>HMO 15/250A (YGI/4PJ)</t>
  </si>
  <si>
    <t>HMO 20-40/500A (U2Z/42L)</t>
  </si>
  <si>
    <t>HMO w/HSA 2700/20 (LSV/3A5)</t>
  </si>
  <si>
    <t>PPO 250/10 (AB6G/242)</t>
  </si>
  <si>
    <t>PPO 500/20 (PR3/242)</t>
  </si>
  <si>
    <t>PPO 750/20 (AKLY/242)</t>
  </si>
  <si>
    <t>PPO w/HSA 1500/10 (ULR/0C2)</t>
  </si>
  <si>
    <t>PPO w/HSA 2700/20 (AXE8/0C2)</t>
  </si>
  <si>
    <t>PPO w/HSA 4000/100 + 20 (AHT6/0C2)</t>
  </si>
  <si>
    <t>PPO w/HSA 1500/10 w/Motion (ULR/0C2)</t>
  </si>
  <si>
    <t>PPO w/HSA 2700/20 w/Motion (AXE8/0C2)</t>
  </si>
  <si>
    <t>PPO w/HSA 4000/100 + 20 w/Motion (AHT6/0C2)</t>
  </si>
  <si>
    <t>Advantage (4PJ)</t>
  </si>
  <si>
    <t>Advantage (3A5)</t>
  </si>
  <si>
    <t>Advantage (242)</t>
  </si>
  <si>
    <t>Access (242)</t>
  </si>
  <si>
    <t>Advantage (0C2)</t>
  </si>
  <si>
    <t>Access (0C2)</t>
  </si>
  <si>
    <t>Option 1 - $1500 100/80/50 w/Ortho</t>
  </si>
  <si>
    <t>Option 2 - $2000 100/90/60 w/Ortho</t>
  </si>
  <si>
    <t>Option 3 - $2000 100/90/60 w/Ortho</t>
  </si>
  <si>
    <t>Option 4 - $5000 100/80/50 w/Ortho</t>
  </si>
  <si>
    <t>Option 5 - $1500 100/80/50</t>
  </si>
  <si>
    <t>Option 6 - $2000 100/90/60</t>
  </si>
  <si>
    <t>Option 7 - $2000 100/90/60</t>
  </si>
  <si>
    <t>Option 8 - $5000 100/80/50</t>
  </si>
  <si>
    <t>VISPLAN1 - M130D-10/25</t>
  </si>
  <si>
    <t>VISPLAN2 - M130A-10/25</t>
  </si>
  <si>
    <t>VISPLAN3 - M150D-10/10</t>
  </si>
  <si>
    <t>Option 1 - 1xAE to $500k</t>
  </si>
  <si>
    <t>Option 2 - 2xAE to $500k</t>
  </si>
  <si>
    <t>Option 3 - 3xAE to $750k</t>
  </si>
  <si>
    <t>Option 4 - Flat $50k</t>
  </si>
  <si>
    <t>Option 1 - 60% to $10k</t>
  </si>
  <si>
    <t>Option 2 - 60% to $10k (Gross Up)</t>
  </si>
  <si>
    <t>Option 5 - 66.67% to $15k</t>
  </si>
  <si>
    <t>Option 3 - 60% to $20k</t>
  </si>
  <si>
    <t>Option 4 - 60% to $20k (Gross Up)</t>
  </si>
  <si>
    <t>Option 6 - 66.67% to $20k</t>
  </si>
  <si>
    <t>Option 1 - 60% to $2,500</t>
  </si>
  <si>
    <t>Option 2 - 60% to $3,000</t>
  </si>
  <si>
    <t>Option 4 - 66.67% to $3,000</t>
  </si>
  <si>
    <t>Option 3 - 60% to $3,500</t>
  </si>
  <si>
    <t>Option 5 - 66.67% to $3,500</t>
  </si>
  <si>
    <t>1-5xAE to $500k</t>
  </si>
  <si>
    <t>No CLSA Plan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</si>
</sst>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6" formatCode="&quot;$&quot;#,##0_);[Red]\(&quot;$&quot;#,##0\)"/>
    <numFmt numFmtId="8" formatCode="&quot;$&quot;#,##0.00_);[Red]\(&quot;$&quot;#,##0.00\)"/>
    <numFmt numFmtId="44" formatCode="_(&quot;$&quot;* #,##0.00_);_(&quot;$&quot;* \(#,##0.00\);_(&quot;$&quot;* &quot;-&quot;??_);_(@_)"/>
    <numFmt numFmtId="164" formatCode="m/d/yy;@"/>
    <numFmt numFmtId="165" formatCode="&quot;$&quot;#,##0.00"/>
    <numFmt numFmtId="166" formatCode="&quot;$&quot;#,##0.000"/>
    <numFmt numFmtId="167" formatCode="0.000"/>
    <numFmt numFmtId="168" formatCode="000000"/>
    <numFmt numFmtId="169" formatCode="0000"/>
    <numFmt numFmtId="170" formatCode="00\-0000000"/>
    <numFmt numFmtId="171" formatCode="00"/>
    <numFmt numFmtId="172" formatCode="000"/>
    <numFmt numFmtId="173" formatCode="m/d/yyyy;@"/>
    <numFmt numFmtId="174" formatCode="mm/dd/yy;@"/>
    <numFmt numFmtId="175" formatCode="d/m/yy;@"/>
    <numFmt numFmtId="176" formatCode="[$-409]mmm\-yy;@"/>
    <numFmt numFmtId="177" formatCode="&quot;$&quot;#,##0"/>
    <numFmt numFmtId="178" formatCode="0.0%"/>
  </numFmts>
  <fonts count="119">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b/>
      <sz val="14"/>
      <color theme="0"/>
      <name val="Calibri"/>
      <family val="2"/>
      <scheme val="minor"/>
    </font>
    <font>
      <sz val="14"/>
      <color theme="1"/>
      <name val="Calibri"/>
      <family val="2"/>
      <scheme val="minor"/>
    </font>
    <font>
      <sz val="12"/>
      <color rgb="FFFF0000"/>
      <name val="Calibri"/>
      <family val="2"/>
      <scheme val="minor"/>
    </font>
    <font>
      <sz val="12"/>
      <name val="Calibri"/>
      <family val="2"/>
      <scheme val="minor"/>
    </font>
    <font>
      <b/>
      <sz val="10"/>
      <color rgb="FFFFFFFF"/>
      <name val="Arial"/>
      <family val="2"/>
    </font>
    <font>
      <sz val="10"/>
      <color theme="1"/>
      <name val="Arial"/>
      <family val="2"/>
    </font>
    <font>
      <sz val="10"/>
      <color rgb="FF000000"/>
      <name val="Arial"/>
      <family val="2"/>
    </font>
    <font>
      <b/>
      <sz val="10"/>
      <color theme="1"/>
      <name val="Ariel"/>
    </font>
    <font>
      <sz val="10"/>
      <color theme="1"/>
      <name val="Ariel"/>
    </font>
    <font>
      <b/>
      <sz val="10"/>
      <color theme="0"/>
      <name val="Ariel"/>
    </font>
    <font>
      <sz val="10"/>
      <name val="Arial"/>
      <family val="2"/>
    </font>
    <font>
      <b/>
      <sz val="10"/>
      <color theme="2"/>
      <name val="Arial"/>
      <family val="2"/>
    </font>
    <font>
      <b/>
      <sz val="8"/>
      <color theme="2"/>
      <name val="Arial"/>
      <family val="2"/>
    </font>
    <font>
      <b/>
      <sz val="10"/>
      <name val="Arial"/>
      <family val="2"/>
    </font>
    <font>
      <u/>
      <sz val="10"/>
      <color indexed="12"/>
      <name val="Arial"/>
      <family val="2"/>
    </font>
    <font>
      <sz val="10"/>
      <color rgb="FF000000"/>
      <name val="Times New Roman"/>
      <family val="1"/>
    </font>
    <font>
      <sz val="9"/>
      <name val="Arial"/>
      <family val="2"/>
    </font>
    <font>
      <u/>
      <sz val="10"/>
      <name val="Arial"/>
      <family val="2"/>
    </font>
    <font>
      <b/>
      <sz val="10"/>
      <color theme="0"/>
      <name val="Arial"/>
      <family val="2"/>
    </font>
    <font>
      <sz val="10"/>
      <color theme="0"/>
      <name val="Arial"/>
      <family val="2"/>
    </font>
    <font>
      <b/>
      <sz val="10"/>
      <color indexed="9"/>
      <name val="Arial"/>
      <family val="2"/>
    </font>
    <font>
      <b/>
      <sz val="10"/>
      <color rgb="FFFF0000"/>
      <name val="Arial"/>
      <family val="2"/>
    </font>
    <font>
      <b/>
      <sz val="10"/>
      <color rgb="FF00B050"/>
      <name val="Arial"/>
      <family val="2"/>
    </font>
    <font>
      <b/>
      <sz val="10"/>
      <color theme="0"/>
      <name val="Verdana"/>
      <family val="2"/>
    </font>
    <font>
      <sz val="10"/>
      <color theme="0"/>
      <name val="Verdana"/>
      <family val="2"/>
    </font>
    <font>
      <b/>
      <sz val="11"/>
      <name val="Calibri"/>
      <family val="2"/>
      <scheme val="minor"/>
    </font>
    <font>
      <sz val="11"/>
      <name val="Calibri"/>
      <family val="2"/>
      <scheme val="minor"/>
    </font>
    <font>
      <sz val="10"/>
      <color rgb="FF000000"/>
      <name val="Times New Roman"/>
      <family val="1"/>
    </font>
    <font>
      <sz val="12"/>
      <color theme="0"/>
      <name val="Calibri"/>
      <family val="2"/>
      <scheme val="minor"/>
    </font>
    <font>
      <sz val="10"/>
      <color indexed="9"/>
      <name val="Arial"/>
      <family val="2"/>
    </font>
    <font>
      <b/>
      <sz val="10"/>
      <color rgb="FF7030A0"/>
      <name val="Arial"/>
      <family val="2"/>
    </font>
    <font>
      <sz val="10"/>
      <name val="Arial"/>
      <family val="2"/>
    </font>
    <font>
      <b/>
      <sz val="10"/>
      <color indexed="10"/>
      <name val="Arial"/>
      <family val="2"/>
    </font>
    <font>
      <sz val="8"/>
      <color indexed="81"/>
      <name val="Tahoma"/>
      <family val="2"/>
    </font>
    <font>
      <b/>
      <sz val="11"/>
      <color indexed="9"/>
      <name val="Arial"/>
      <family val="2"/>
    </font>
    <font>
      <b/>
      <sz val="11"/>
      <name val="Arial"/>
      <family val="2"/>
    </font>
    <font>
      <u/>
      <sz val="10"/>
      <color theme="0"/>
      <name val="Arial"/>
      <family val="2"/>
    </font>
    <font>
      <sz val="8"/>
      <color theme="0"/>
      <name val="Arial"/>
      <family val="2"/>
    </font>
    <font>
      <sz val="11"/>
      <name val="Arial"/>
      <family val="2"/>
    </font>
    <font>
      <u/>
      <sz val="10"/>
      <color rgb="FF0000CC"/>
      <name val="Arial"/>
      <family val="2"/>
    </font>
    <font>
      <b/>
      <u/>
      <sz val="10"/>
      <color theme="0"/>
      <name val="Arial"/>
      <family val="2"/>
    </font>
    <font>
      <sz val="9"/>
      <color indexed="22"/>
      <name val="Arial"/>
      <family val="2"/>
    </font>
    <font>
      <i/>
      <sz val="8"/>
      <name val="Arial"/>
      <family val="2"/>
    </font>
    <font>
      <sz val="10"/>
      <color rgb="FFFF0000"/>
      <name val="Arial"/>
      <family val="2"/>
    </font>
    <font>
      <sz val="9"/>
      <color rgb="FF0000FF"/>
      <name val="Arial"/>
      <family val="2"/>
    </font>
    <font>
      <b/>
      <sz val="9"/>
      <name val="Arial"/>
      <family val="2"/>
    </font>
    <font>
      <sz val="10"/>
      <color indexed="81"/>
      <name val="Arial"/>
      <family val="2"/>
    </font>
    <font>
      <b/>
      <sz val="8"/>
      <color indexed="81"/>
      <name val="Tahoma"/>
      <family val="2"/>
    </font>
    <font>
      <b/>
      <sz val="14"/>
      <color theme="1"/>
      <name val="Calibri"/>
      <family val="2"/>
      <scheme val="minor"/>
    </font>
    <font>
      <b/>
      <sz val="14"/>
      <name val="Calibri"/>
      <family val="2"/>
      <scheme val="minor"/>
    </font>
    <font>
      <b/>
      <sz val="14"/>
      <color rgb="FFFF0000"/>
      <name val="Calibri"/>
      <family val="2"/>
      <scheme val="minor"/>
    </font>
    <font>
      <i/>
      <sz val="12"/>
      <name val="Calibri"/>
      <family val="2"/>
      <scheme val="minor"/>
    </font>
    <font>
      <sz val="11"/>
      <color rgb="FF000000"/>
      <name val="Calibri"/>
      <family val="2"/>
    </font>
    <font>
      <sz val="11"/>
      <color rgb="FF000000"/>
      <name val="Calibri"/>
      <family val="2"/>
      <scheme val="minor"/>
    </font>
    <font>
      <b/>
      <sz val="9"/>
      <color theme="1"/>
      <name val="Calibri"/>
      <family val="2"/>
      <scheme val="minor"/>
    </font>
    <font>
      <sz val="9"/>
      <color theme="1"/>
      <name val="Calibri"/>
      <family val="2"/>
      <scheme val="minor"/>
    </font>
    <font>
      <sz val="9"/>
      <name val="Calibri"/>
      <family val="2"/>
      <scheme val="minor"/>
    </font>
    <font>
      <b/>
      <sz val="8"/>
      <color theme="0"/>
      <name val="Calibri"/>
      <family val="2"/>
      <scheme val="minor"/>
    </font>
    <font>
      <b/>
      <sz val="11"/>
      <color rgb="FF000000"/>
      <name val="Calibri"/>
      <family val="2"/>
      <scheme val="minor"/>
    </font>
    <font>
      <sz val="11"/>
      <color rgb="FF151B26"/>
      <name val="Calibri"/>
      <family val="2"/>
      <scheme val="minor"/>
    </font>
    <font>
      <sz val="11"/>
      <color theme="1"/>
      <name val="Calibri (Body)"/>
    </font>
    <font>
      <b/>
      <sz val="8"/>
      <color theme="1"/>
      <name val="Calibri"/>
      <family val="2"/>
      <scheme val="minor"/>
    </font>
    <font>
      <sz val="8"/>
      <color theme="1"/>
      <name val="Calibri"/>
      <family val="2"/>
      <scheme val="minor"/>
    </font>
    <font>
      <sz val="8"/>
      <name val="Calibri"/>
      <family val="2"/>
      <scheme val="minor"/>
    </font>
    <font>
      <b/>
      <sz val="8"/>
      <name val="Calibri"/>
      <family val="2"/>
      <scheme val="minor"/>
    </font>
    <font>
      <sz val="8"/>
      <color rgb="FFFF0000"/>
      <name val="Calibri"/>
      <family val="2"/>
      <scheme val="minor"/>
    </font>
    <font>
      <sz val="10"/>
      <name val="Arial"/>
      <family val="2"/>
    </font>
    <font>
      <b/>
      <sz val="9"/>
      <color theme="0"/>
      <name val="Calibri"/>
      <family val="2"/>
      <scheme val="minor"/>
    </font>
    <font>
      <b/>
      <sz val="10"/>
      <color theme="1"/>
      <name val="Arial"/>
      <family val="2"/>
    </font>
    <font>
      <u/>
      <sz val="12"/>
      <color theme="10"/>
      <name val="Calibri"/>
      <family val="2"/>
      <scheme val="minor"/>
    </font>
    <font>
      <strike/>
      <sz val="11"/>
      <name val="Calibri"/>
      <family val="2"/>
      <scheme val="minor"/>
    </font>
    <font>
      <strike/>
      <sz val="11"/>
      <color rgb="FFFF0000"/>
      <name val="Calibri"/>
      <family val="2"/>
      <scheme val="minor"/>
    </font>
    <font>
      <strike/>
      <sz val="11"/>
      <color theme="1"/>
      <name val="Calibri"/>
      <family val="2"/>
      <scheme val="minor"/>
    </font>
    <font>
      <vertAlign val="superscript"/>
      <sz val="10"/>
      <color theme="1"/>
      <name val="Arial"/>
      <family val="2"/>
    </font>
    <font>
      <b/>
      <sz val="18"/>
      <color theme="1"/>
      <name val="Arial"/>
      <family val="2"/>
    </font>
    <font>
      <sz val="18"/>
      <color theme="1"/>
      <name val="Arial"/>
      <family val="2"/>
    </font>
    <font>
      <sz val="18"/>
      <name val="Arial"/>
      <family val="2"/>
    </font>
    <font>
      <sz val="18"/>
      <color rgb="FFFF0000"/>
      <name val="Arial"/>
      <family val="2"/>
    </font>
    <font>
      <sz val="10"/>
      <color indexed="81"/>
      <name val="Calibri"/>
      <family val="2"/>
    </font>
    <font>
      <b/>
      <sz val="8"/>
      <color theme="0"/>
      <name val="Arial"/>
      <family val="2"/>
    </font>
    <font>
      <sz val="8"/>
      <color indexed="9"/>
      <name val="Arial"/>
      <family val="2"/>
    </font>
    <font>
      <b/>
      <sz val="8"/>
      <color indexed="9"/>
      <name val="Arial"/>
      <family val="2"/>
    </font>
    <font>
      <sz val="8"/>
      <name val="Arial"/>
      <family val="2"/>
    </font>
    <font>
      <sz val="10"/>
      <color rgb="FF7030A0"/>
      <name val="Arial"/>
      <family val="2"/>
    </font>
    <font>
      <i/>
      <sz val="10"/>
      <name val="Arial"/>
      <family val="2"/>
    </font>
    <font>
      <b/>
      <i/>
      <sz val="8"/>
      <name val="Arial"/>
      <family val="2"/>
    </font>
    <font>
      <strike/>
      <sz val="10"/>
      <name val="Arial"/>
      <family val="2"/>
    </font>
    <font>
      <i/>
      <sz val="8"/>
      <color rgb="FFFF0000"/>
      <name val="Arial"/>
      <family val="2"/>
    </font>
    <font>
      <i/>
      <sz val="8"/>
      <color rgb="FF7030A0"/>
      <name val="Arial"/>
      <family val="2"/>
    </font>
    <font>
      <sz val="8"/>
      <color rgb="FF7030A0"/>
      <name val="Arial"/>
      <family val="2"/>
    </font>
    <font>
      <b/>
      <sz val="10"/>
      <color indexed="81"/>
      <name val="Arial"/>
      <family val="2"/>
    </font>
    <font>
      <b/>
      <sz val="10"/>
      <color indexed="81"/>
      <name val="Tahoma"/>
      <family val="2"/>
    </font>
    <font>
      <u/>
      <sz val="11"/>
      <color theme="10"/>
      <name val="Calibri"/>
      <family val="2"/>
      <scheme val="minor"/>
    </font>
    <font>
      <b/>
      <sz val="10"/>
      <color theme="4"/>
      <name val="Verdana"/>
      <family val="2"/>
    </font>
  </fonts>
  <fills count="43">
    <fill>
      <patternFill patternType="none"/>
    </fill>
    <fill>
      <patternFill patternType="gray125"/>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3"/>
        <bgColor indexed="64"/>
      </patternFill>
    </fill>
    <fill>
      <patternFill patternType="solid">
        <fgColor theme="9"/>
        <bgColor indexed="64"/>
      </patternFill>
    </fill>
    <fill>
      <patternFill patternType="solid">
        <fgColor theme="7" tint="0.79998168889431442"/>
        <bgColor indexed="64"/>
      </patternFill>
    </fill>
    <fill>
      <patternFill patternType="solid">
        <fgColor rgb="FFFFFF00"/>
        <bgColor indexed="64"/>
      </patternFill>
    </fill>
    <fill>
      <patternFill patternType="solid">
        <fgColor rgb="FF4F81BD"/>
        <bgColor indexed="64"/>
      </patternFill>
    </fill>
    <fill>
      <patternFill patternType="solid">
        <fgColor theme="0" tint="-0.14999847407452621"/>
        <bgColor indexed="64"/>
      </patternFill>
    </fill>
    <fill>
      <patternFill patternType="solid">
        <fgColor indexed="42"/>
        <bgColor indexed="64"/>
      </patternFill>
    </fill>
    <fill>
      <patternFill patternType="solid">
        <fgColor indexed="56"/>
        <bgColor indexed="64"/>
      </patternFill>
    </fill>
    <fill>
      <patternFill patternType="solid">
        <fgColor indexed="62"/>
        <bgColor indexed="64"/>
      </patternFill>
    </fill>
    <fill>
      <patternFill patternType="solid">
        <fgColor theme="6" tint="0.79998168889431442"/>
        <bgColor indexed="64"/>
      </patternFill>
    </fill>
    <fill>
      <patternFill patternType="solid">
        <fgColor rgb="FF007298"/>
        <bgColor indexed="64"/>
      </patternFill>
    </fill>
    <fill>
      <patternFill patternType="solid">
        <fgColor theme="3" tint="0.79998168889431442"/>
        <bgColor indexed="64"/>
      </patternFill>
    </fill>
    <fill>
      <patternFill patternType="solid">
        <fgColor rgb="FFCEBEFC"/>
        <bgColor indexed="64"/>
      </patternFill>
    </fill>
    <fill>
      <patternFill patternType="solid">
        <fgColor theme="9" tint="0.79998168889431442"/>
        <bgColor indexed="64"/>
      </patternFill>
    </fill>
    <fill>
      <patternFill patternType="solid">
        <fgColor indexed="30"/>
        <bgColor indexed="64"/>
      </patternFill>
    </fill>
    <fill>
      <patternFill patternType="solid">
        <fgColor theme="7" tint="0.59999389629810485"/>
        <bgColor indexed="64"/>
      </patternFill>
    </fill>
    <fill>
      <patternFill patternType="solid">
        <fgColor theme="0"/>
        <bgColor indexed="64"/>
      </patternFill>
    </fill>
    <fill>
      <patternFill patternType="solid">
        <fgColor rgb="FF7030A0"/>
        <bgColor indexed="64"/>
      </patternFill>
    </fill>
    <fill>
      <patternFill patternType="solid">
        <fgColor indexed="63"/>
        <bgColor indexed="64"/>
      </patternFill>
    </fill>
    <fill>
      <patternFill patternType="solid">
        <fgColor indexed="12"/>
        <bgColor indexed="64"/>
      </patternFill>
    </fill>
    <fill>
      <patternFill patternType="solid">
        <fgColor indexed="45"/>
        <bgColor indexed="64"/>
      </patternFill>
    </fill>
    <fill>
      <patternFill patternType="solid">
        <fgColor rgb="FF00B050"/>
        <bgColor indexed="64"/>
      </patternFill>
    </fill>
    <fill>
      <patternFill patternType="solid">
        <fgColor rgb="FFF4FAA0"/>
        <bgColor indexed="64"/>
      </patternFill>
    </fill>
    <fill>
      <patternFill patternType="solid">
        <fgColor theme="8" tint="0.79998168889431442"/>
        <bgColor indexed="64"/>
      </patternFill>
    </fill>
    <fill>
      <patternFill patternType="solid">
        <fgColor rgb="FFFFC000"/>
        <bgColor indexed="64"/>
      </patternFill>
    </fill>
    <fill>
      <patternFill patternType="solid">
        <fgColor theme="3" tint="0.59999389629810485"/>
        <bgColor indexed="64"/>
      </patternFill>
    </fill>
    <fill>
      <patternFill patternType="solid">
        <fgColor rgb="FFC00000"/>
        <bgColor indexed="64"/>
      </patternFill>
    </fill>
    <fill>
      <patternFill patternType="solid">
        <fgColor theme="7" tint="0.39997558519241921"/>
        <bgColor indexed="64"/>
      </patternFill>
    </fill>
    <fill>
      <patternFill patternType="solid">
        <fgColor rgb="FFFFF059"/>
        <bgColor indexed="64"/>
      </patternFill>
    </fill>
    <fill>
      <patternFill patternType="solid">
        <fgColor theme="0" tint="-4.9989318521683403E-2"/>
        <bgColor indexed="64"/>
      </patternFill>
    </fill>
    <fill>
      <patternFill patternType="solid">
        <fgColor rgb="FF0070C0"/>
        <bgColor indexed="64"/>
      </patternFill>
    </fill>
    <fill>
      <patternFill patternType="solid">
        <fgColor theme="5" tint="0.79998168889431442"/>
        <bgColor indexed="64"/>
      </patternFill>
    </fill>
    <fill>
      <patternFill patternType="solid">
        <fgColor rgb="FFD7AFFF"/>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2" tint="-0.14999847407452621"/>
        <bgColor indexed="64"/>
      </patternFill>
    </fill>
  </fills>
  <borders count="110">
    <border>
      <left/>
      <right/>
      <top/>
      <bottom/>
      <diagonal/>
    </border>
    <border>
      <left style="thin">
        <color auto="1"/>
      </left>
      <right style="thin">
        <color auto="1"/>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thin">
        <color auto="1"/>
      </left>
      <right style="thin">
        <color auto="1"/>
      </right>
      <top style="medium">
        <color auto="1"/>
      </top>
      <bottom/>
      <diagonal/>
    </border>
    <border>
      <left style="thin">
        <color auto="1"/>
      </left>
      <right/>
      <top style="medium">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medium">
        <color auto="1"/>
      </bottom>
      <diagonal/>
    </border>
    <border>
      <left style="thin">
        <color auto="1"/>
      </left>
      <right/>
      <top style="thin">
        <color auto="1"/>
      </top>
      <bottom style="medium">
        <color auto="1"/>
      </bottom>
      <diagonal/>
    </border>
    <border>
      <left style="thin">
        <color auto="1"/>
      </left>
      <right style="thin">
        <color auto="1"/>
      </right>
      <top style="thin">
        <color auto="1"/>
      </top>
      <bottom/>
      <diagonal/>
    </border>
    <border>
      <left style="thin">
        <color auto="1"/>
      </left>
      <right/>
      <top style="thin">
        <color auto="1"/>
      </top>
      <bottom/>
      <diagonal/>
    </border>
    <border>
      <left style="thin">
        <color auto="1"/>
      </left>
      <right/>
      <top/>
      <bottom/>
      <diagonal/>
    </border>
    <border>
      <left/>
      <right/>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top style="medium">
        <color auto="1"/>
      </top>
      <bottom style="medium">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thin">
        <color auto="1"/>
      </left>
      <right style="thin">
        <color auto="1"/>
      </right>
      <top style="thin">
        <color auto="1"/>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style="thin">
        <color auto="1"/>
      </right>
      <top/>
      <bottom style="medium">
        <color auto="1"/>
      </bottom>
      <diagonal/>
    </border>
    <border>
      <left style="thin">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top style="thin">
        <color auto="1"/>
      </top>
      <bottom style="medium">
        <color auto="1"/>
      </bottom>
      <diagonal/>
    </border>
    <border>
      <left style="thin">
        <color auto="1"/>
      </left>
      <right style="thin">
        <color auto="1"/>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medium">
        <color auto="1"/>
      </right>
      <top style="medium">
        <color auto="1"/>
      </top>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style="medium">
        <color auto="1"/>
      </left>
      <right style="medium">
        <color auto="1"/>
      </right>
      <top/>
      <bottom style="thin">
        <color auto="1"/>
      </bottom>
      <diagonal/>
    </border>
    <border>
      <left style="medium">
        <color auto="1"/>
      </left>
      <right style="medium">
        <color auto="1"/>
      </right>
      <top/>
      <bottom style="medium">
        <color auto="1"/>
      </bottom>
      <diagonal/>
    </border>
    <border>
      <left style="medium">
        <color auto="1"/>
      </left>
      <right/>
      <top style="medium">
        <color auto="1"/>
      </top>
      <bottom style="thin">
        <color auto="1"/>
      </bottom>
      <diagonal/>
    </border>
    <border>
      <left style="thin">
        <color indexed="9"/>
      </left>
      <right style="thin">
        <color indexed="9"/>
      </right>
      <top style="medium">
        <color auto="1"/>
      </top>
      <bottom style="medium">
        <color auto="1"/>
      </bottom>
      <diagonal/>
    </border>
    <border>
      <left style="thin">
        <color indexed="9"/>
      </left>
      <right/>
      <top style="medium">
        <color auto="1"/>
      </top>
      <bottom style="thin">
        <color auto="1"/>
      </bottom>
      <diagonal/>
    </border>
    <border>
      <left style="thin">
        <color indexed="9"/>
      </left>
      <right style="thin">
        <color indexed="9"/>
      </right>
      <top style="medium">
        <color auto="1"/>
      </top>
      <bottom style="thin">
        <color auto="1"/>
      </bottom>
      <diagonal/>
    </border>
    <border>
      <left style="thin">
        <color indexed="9"/>
      </left>
      <right style="medium">
        <color auto="1"/>
      </right>
      <top style="medium">
        <color auto="1"/>
      </top>
      <bottom style="thin">
        <color auto="1"/>
      </bottom>
      <diagonal/>
    </border>
    <border>
      <left style="thin">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thin">
        <color auto="1"/>
      </right>
      <top/>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style="thin">
        <color auto="1"/>
      </left>
      <right/>
      <top style="medium">
        <color auto="1"/>
      </top>
      <bottom style="medium">
        <color auto="1"/>
      </bottom>
      <diagonal/>
    </border>
    <border>
      <left/>
      <right style="medium">
        <color auto="1"/>
      </right>
      <top/>
      <bottom style="thin">
        <color auto="1"/>
      </bottom>
      <diagonal/>
    </border>
    <border>
      <left style="thin">
        <color auto="1"/>
      </left>
      <right style="medium">
        <color auto="1"/>
      </right>
      <top/>
      <bottom/>
      <diagonal/>
    </border>
    <border>
      <left style="medium">
        <color auto="1"/>
      </left>
      <right style="thin">
        <color auto="1"/>
      </right>
      <top/>
      <bottom style="medium">
        <color auto="1"/>
      </bottom>
      <diagonal/>
    </border>
    <border>
      <left/>
      <right style="thin">
        <color auto="1"/>
      </right>
      <top style="medium">
        <color auto="1"/>
      </top>
      <bottom/>
      <diagonal/>
    </border>
    <border>
      <left/>
      <right style="thin">
        <color auto="1"/>
      </right>
      <top style="thin">
        <color auto="1"/>
      </top>
      <bottom style="thin">
        <color auto="1"/>
      </bottom>
      <diagonal/>
    </border>
    <border>
      <left/>
      <right/>
      <top style="hair">
        <color auto="1"/>
      </top>
      <bottom/>
      <diagonal/>
    </border>
    <border>
      <left style="thin">
        <color auto="1"/>
      </left>
      <right style="medium">
        <color auto="1"/>
      </right>
      <top/>
      <bottom style="medium">
        <color auto="1"/>
      </bottom>
      <diagonal/>
    </border>
    <border>
      <left/>
      <right style="medium">
        <color auto="1"/>
      </right>
      <top style="medium">
        <color auto="1"/>
      </top>
      <bottom/>
      <diagonal/>
    </border>
    <border>
      <left/>
      <right style="medium">
        <color auto="1"/>
      </right>
      <top/>
      <bottom/>
      <diagonal/>
    </border>
    <border>
      <left style="medium">
        <color auto="1"/>
      </left>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style="thin">
        <color auto="1"/>
      </top>
      <bottom style="thin">
        <color auto="1"/>
      </bottom>
      <diagonal/>
    </border>
    <border>
      <left style="double">
        <color auto="1"/>
      </left>
      <right style="double">
        <color auto="1"/>
      </right>
      <top style="double">
        <color auto="1"/>
      </top>
      <bottom style="double">
        <color auto="1"/>
      </bottom>
      <diagonal/>
    </border>
    <border>
      <left style="double">
        <color auto="1"/>
      </left>
      <right style="double">
        <color auto="1"/>
      </right>
      <top/>
      <bottom style="double">
        <color auto="1"/>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top style="medium">
        <color auto="1"/>
      </top>
      <bottom/>
      <diagonal/>
    </border>
    <border>
      <left style="thin">
        <color auto="1"/>
      </left>
      <right style="thin">
        <color auto="1"/>
      </right>
      <top style="thin">
        <color auto="1"/>
      </top>
      <bottom/>
      <diagonal/>
    </border>
    <border>
      <left style="thin">
        <color auto="1"/>
      </left>
      <right style="medium">
        <color auto="1"/>
      </right>
      <top style="thin">
        <color auto="1"/>
      </top>
      <bottom/>
      <diagonal/>
    </border>
    <border>
      <left/>
      <right/>
      <top/>
      <bottom style="dotted">
        <color auto="1"/>
      </bottom>
      <diagonal/>
    </border>
    <border>
      <left style="dotted">
        <color auto="1"/>
      </left>
      <right/>
      <top/>
      <bottom style="dotted">
        <color auto="1"/>
      </bottom>
      <diagonal/>
    </border>
    <border>
      <left style="dotted">
        <color auto="1"/>
      </left>
      <right style="dotted">
        <color auto="1"/>
      </right>
      <top style="dotted">
        <color auto="1"/>
      </top>
      <bottom style="dotted">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thin">
        <color auto="1"/>
      </right>
      <top style="thin">
        <color auto="1"/>
      </top>
      <bottom style="thin">
        <color auto="1"/>
      </bottom>
      <diagonal/>
    </border>
    <border>
      <left style="medium">
        <color auto="1"/>
      </left>
      <right/>
      <top/>
      <bottom style="thin">
        <color auto="1"/>
      </bottom>
      <diagonal/>
    </border>
    <border>
      <left style="medium">
        <color auto="1"/>
      </left>
      <right style="medium">
        <color auto="1"/>
      </right>
      <top style="thin">
        <color auto="1"/>
      </top>
      <bottom/>
      <diagonal/>
    </border>
    <border>
      <left style="medium">
        <color auto="1"/>
      </left>
      <right/>
      <top style="thin">
        <color auto="1"/>
      </top>
      <bottom/>
      <diagonal/>
    </border>
    <border>
      <left style="medium">
        <color auto="1"/>
      </left>
      <right style="medium">
        <color auto="1"/>
      </right>
      <top/>
      <bottom/>
      <diagonal/>
    </border>
    <border>
      <left style="medium">
        <color auto="1"/>
      </left>
      <right/>
      <top/>
      <bottom/>
      <diagonal/>
    </border>
    <border>
      <left/>
      <right style="thin">
        <color auto="1"/>
      </right>
      <top/>
      <bottom/>
      <diagonal/>
    </border>
    <border>
      <left/>
      <right/>
      <top style="thin">
        <color auto="1"/>
      </top>
      <bottom/>
      <diagonal/>
    </border>
  </borders>
  <cellStyleXfs count="12">
    <xf numFmtId="0" fontId="0" fillId="0" borderId="0"/>
    <xf numFmtId="0" fontId="8" fillId="0" borderId="0"/>
    <xf numFmtId="0" fontId="94" fillId="0" borderId="0" applyNumberFormat="0" applyFill="0" applyBorder="0" applyAlignment="0" applyProtection="0"/>
    <xf numFmtId="0" fontId="7" fillId="0" borderId="0"/>
    <xf numFmtId="0" fontId="6" fillId="0" borderId="0"/>
    <xf numFmtId="0" fontId="117" fillId="0" borderId="0" applyNumberFormat="0" applyFill="0" applyBorder="0" applyAlignment="0" applyProtection="0"/>
    <xf numFmtId="0" fontId="5" fillId="0" borderId="0"/>
    <xf numFmtId="0" fontId="4" fillId="0" borderId="0"/>
    <xf numFmtId="0" fontId="21" fillId="0" borderId="0"/>
    <xf numFmtId="0" fontId="3" fillId="0" borderId="0"/>
    <xf numFmtId="0" fontId="2" fillId="0" borderId="0"/>
    <xf numFmtId="0" fontId="1" fillId="0" borderId="0"/>
  </cellStyleXfs>
  <cellXfs count="1974">
    <xf numFmtId="0" fontId="0" fillId="0" borderId="0" xfId="0"/>
    <xf numFmtId="165" fontId="27" fillId="9" borderId="3" xfId="0" applyNumberFormat="1" applyFont="1" applyFill="1" applyBorder="1" applyAlignment="1">
      <alignment horizontal="center" vertical="center" wrapText="1"/>
    </xf>
    <xf numFmtId="165" fontId="21" fillId="9" borderId="3" xfId="0" applyNumberFormat="1" applyFont="1" applyFill="1" applyBorder="1" applyAlignment="1">
      <alignment horizontal="center" vertical="center" wrapText="1"/>
    </xf>
    <xf numFmtId="165" fontId="21" fillId="0" borderId="3" xfId="0" applyNumberFormat="1" applyFont="1" applyBorder="1" applyAlignment="1">
      <alignment horizontal="center" vertical="center" wrapText="1"/>
    </xf>
    <xf numFmtId="166" fontId="21" fillId="0" borderId="14" xfId="0" applyNumberFormat="1" applyFont="1" applyBorder="1" applyAlignment="1">
      <alignment horizontal="center" vertical="center" wrapText="1"/>
    </xf>
    <xf numFmtId="165" fontId="21" fillId="0" borderId="1" xfId="0" applyNumberFormat="1" applyFont="1" applyBorder="1" applyAlignment="1">
      <alignment horizontal="center" vertical="center" wrapText="1"/>
    </xf>
    <xf numFmtId="166" fontId="21" fillId="0" borderId="15" xfId="0" applyNumberFormat="1" applyFont="1" applyBorder="1" applyAlignment="1">
      <alignment horizontal="center" vertical="center" wrapText="1"/>
    </xf>
    <xf numFmtId="166" fontId="21" fillId="9" borderId="14" xfId="0" applyNumberFormat="1" applyFont="1" applyFill="1" applyBorder="1" applyAlignment="1">
      <alignment horizontal="center" vertical="center" wrapText="1"/>
    </xf>
    <xf numFmtId="0" fontId="21" fillId="0" borderId="0" xfId="0" applyFont="1" applyAlignment="1">
      <alignment horizontal="center" vertical="center" wrapText="1"/>
    </xf>
    <xf numFmtId="165" fontId="27" fillId="9" borderId="1" xfId="0" applyNumberFormat="1" applyFont="1" applyFill="1" applyBorder="1" applyAlignment="1">
      <alignment horizontal="center" vertical="center" wrapText="1"/>
    </xf>
    <xf numFmtId="165" fontId="21" fillId="9" borderId="1" xfId="0" applyNumberFormat="1" applyFont="1" applyFill="1" applyBorder="1" applyAlignment="1">
      <alignment horizontal="center" vertical="center" wrapText="1"/>
    </xf>
    <xf numFmtId="166" fontId="21" fillId="9" borderId="15" xfId="0" applyNumberFormat="1" applyFont="1" applyFill="1" applyBorder="1" applyAlignment="1">
      <alignment horizontal="center" vertical="center" wrapText="1"/>
    </xf>
    <xf numFmtId="165" fontId="27" fillId="9" borderId="8" xfId="0" applyNumberFormat="1" applyFont="1" applyFill="1" applyBorder="1" applyAlignment="1">
      <alignment horizontal="center" vertical="center" wrapText="1"/>
    </xf>
    <xf numFmtId="165" fontId="21" fillId="9" borderId="8" xfId="0" applyNumberFormat="1" applyFont="1" applyFill="1" applyBorder="1" applyAlignment="1">
      <alignment horizontal="center" vertical="center" wrapText="1"/>
    </xf>
    <xf numFmtId="165" fontId="21" fillId="0" borderId="8" xfId="0" applyNumberFormat="1" applyFont="1" applyBorder="1" applyAlignment="1">
      <alignment horizontal="center" vertical="center" wrapText="1"/>
    </xf>
    <xf numFmtId="166" fontId="21" fillId="9" borderId="18" xfId="0" applyNumberFormat="1" applyFont="1" applyFill="1" applyBorder="1" applyAlignment="1">
      <alignment horizontal="center" vertical="center" wrapText="1"/>
    </xf>
    <xf numFmtId="165" fontId="28" fillId="9" borderId="3" xfId="0" applyNumberFormat="1" applyFont="1" applyFill="1" applyBorder="1" applyAlignment="1">
      <alignment horizontal="center" vertical="center" wrapText="1"/>
    </xf>
    <xf numFmtId="0" fontId="28" fillId="9" borderId="3" xfId="0" applyFont="1" applyFill="1" applyBorder="1" applyAlignment="1">
      <alignment horizontal="center" vertical="center" wrapText="1"/>
    </xf>
    <xf numFmtId="166" fontId="28" fillId="9" borderId="14" xfId="0" applyNumberFormat="1" applyFont="1" applyFill="1" applyBorder="1" applyAlignment="1">
      <alignment horizontal="center" vertical="center" wrapText="1"/>
    </xf>
    <xf numFmtId="165" fontId="21" fillId="0" borderId="19" xfId="0" applyNumberFormat="1" applyFont="1" applyBorder="1" applyAlignment="1">
      <alignment horizontal="center" vertical="center" wrapText="1"/>
    </xf>
    <xf numFmtId="165" fontId="28" fillId="9" borderId="1" xfId="0" applyNumberFormat="1" applyFont="1" applyFill="1" applyBorder="1" applyAlignment="1">
      <alignment horizontal="center" vertical="center" wrapText="1"/>
    </xf>
    <xf numFmtId="0" fontId="28" fillId="9" borderId="1" xfId="0" applyFont="1" applyFill="1" applyBorder="1" applyAlignment="1">
      <alignment horizontal="center" vertical="center" wrapText="1"/>
    </xf>
    <xf numFmtId="166" fontId="28" fillId="9" borderId="15" xfId="0" applyNumberFormat="1" applyFont="1" applyFill="1" applyBorder="1" applyAlignment="1">
      <alignment horizontal="center" vertical="center" wrapText="1"/>
    </xf>
    <xf numFmtId="165" fontId="28" fillId="0" borderId="3" xfId="0" applyNumberFormat="1" applyFont="1" applyFill="1" applyBorder="1" applyAlignment="1">
      <alignment horizontal="center" vertical="center" wrapText="1"/>
    </xf>
    <xf numFmtId="166" fontId="21" fillId="0" borderId="4" xfId="0" applyNumberFormat="1" applyFont="1" applyBorder="1" applyAlignment="1">
      <alignment horizontal="center" vertical="center" wrapText="1"/>
    </xf>
    <xf numFmtId="165" fontId="28" fillId="0" borderId="1" xfId="0" applyNumberFormat="1" applyFont="1" applyFill="1" applyBorder="1" applyAlignment="1">
      <alignment horizontal="center" vertical="center" wrapText="1"/>
    </xf>
    <xf numFmtId="166" fontId="21" fillId="0" borderId="6" xfId="0" applyNumberFormat="1" applyFont="1" applyBorder="1" applyAlignment="1">
      <alignment horizontal="center" vertical="center" wrapText="1"/>
    </xf>
    <xf numFmtId="165" fontId="21" fillId="0" borderId="1" xfId="0" applyNumberFormat="1" applyFont="1" applyFill="1" applyBorder="1" applyAlignment="1">
      <alignment horizontal="center" vertical="center" wrapText="1"/>
    </xf>
    <xf numFmtId="0" fontId="21" fillId="9" borderId="9" xfId="0" applyFont="1" applyFill="1" applyBorder="1" applyAlignment="1">
      <alignment horizontal="center" vertical="center" wrapText="1"/>
    </xf>
    <xf numFmtId="0" fontId="21" fillId="0" borderId="19" xfId="0" applyFont="1" applyBorder="1" applyAlignment="1">
      <alignment horizontal="center" vertical="center" wrapText="1"/>
    </xf>
    <xf numFmtId="166" fontId="21" fillId="0" borderId="20" xfId="0" applyNumberFormat="1" applyFont="1" applyBorder="1" applyAlignment="1">
      <alignment horizontal="center" vertical="center" wrapText="1"/>
    </xf>
    <xf numFmtId="0" fontId="21" fillId="0" borderId="0" xfId="0" applyFont="1" applyAlignment="1">
      <alignment wrapText="1"/>
    </xf>
    <xf numFmtId="164" fontId="21" fillId="0" borderId="0" xfId="0" applyNumberFormat="1" applyFont="1" applyAlignment="1">
      <alignment wrapText="1"/>
    </xf>
    <xf numFmtId="3" fontId="21" fillId="0" borderId="0" xfId="0" applyNumberFormat="1" applyFont="1" applyAlignment="1">
      <alignment wrapText="1"/>
    </xf>
    <xf numFmtId="165" fontId="21" fillId="0" borderId="0" xfId="0" applyNumberFormat="1" applyFont="1" applyAlignment="1">
      <alignment wrapText="1"/>
    </xf>
    <xf numFmtId="166" fontId="21" fillId="0" borderId="0" xfId="0" applyNumberFormat="1" applyFont="1" applyAlignment="1">
      <alignment wrapText="1"/>
    </xf>
    <xf numFmtId="0" fontId="21" fillId="0" borderId="21" xfId="0" applyFont="1" applyBorder="1" applyAlignment="1">
      <alignment wrapText="1"/>
    </xf>
    <xf numFmtId="0" fontId="20" fillId="0" borderId="0" xfId="0" applyFont="1"/>
    <xf numFmtId="8" fontId="30" fillId="0" borderId="1" xfId="0" applyNumberFormat="1" applyFont="1" applyBorder="1" applyAlignment="1">
      <alignment vertical="center" wrapText="1"/>
    </xf>
    <xf numFmtId="0" fontId="20" fillId="0" borderId="0" xfId="0" applyFont="1" applyBorder="1"/>
    <xf numFmtId="0" fontId="33" fillId="0" borderId="0" xfId="0" applyFont="1"/>
    <xf numFmtId="0" fontId="34" fillId="2" borderId="1" xfId="0" applyFont="1" applyFill="1" applyBorder="1" applyAlignment="1">
      <alignment horizontal="center" vertical="center"/>
    </xf>
    <xf numFmtId="0" fontId="34" fillId="2" borderId="1" xfId="0" applyFont="1" applyFill="1" applyBorder="1" applyAlignment="1">
      <alignment horizontal="center" vertical="center" wrapText="1"/>
    </xf>
    <xf numFmtId="0" fontId="35" fillId="12" borderId="1" xfId="0" applyFont="1" applyFill="1" applyBorder="1" applyAlignment="1">
      <alignment horizontal="center" vertical="top" wrapText="1"/>
    </xf>
    <xf numFmtId="166" fontId="31" fillId="0" borderId="1" xfId="0" applyNumberFormat="1" applyFont="1" applyFill="1" applyBorder="1" applyAlignment="1">
      <alignment horizontal="center" vertical="top" wrapText="1"/>
    </xf>
    <xf numFmtId="0" fontId="33" fillId="0" borderId="0" xfId="0" applyFont="1" applyAlignment="1">
      <alignment vertical="center"/>
    </xf>
    <xf numFmtId="0" fontId="33" fillId="0" borderId="0" xfId="0" applyFont="1" applyAlignment="1">
      <alignment horizontal="center" vertical="center"/>
    </xf>
    <xf numFmtId="166" fontId="33" fillId="0" borderId="0" xfId="0" applyNumberFormat="1" applyFont="1" applyAlignment="1">
      <alignment horizontal="center" vertical="center"/>
    </xf>
    <xf numFmtId="166" fontId="31" fillId="0" borderId="1" xfId="0" applyNumberFormat="1" applyFont="1" applyFill="1" applyBorder="1" applyAlignment="1">
      <alignment horizontal="center" vertical="center" wrapText="1"/>
    </xf>
    <xf numFmtId="165" fontId="30" fillId="0" borderId="1" xfId="0" applyNumberFormat="1" applyFont="1" applyBorder="1" applyAlignment="1">
      <alignment horizontal="center" vertical="center" wrapText="1"/>
    </xf>
    <xf numFmtId="0" fontId="20" fillId="9" borderId="1" xfId="0" applyFont="1" applyFill="1" applyBorder="1" applyAlignment="1">
      <alignment vertical="center"/>
    </xf>
    <xf numFmtId="0" fontId="20" fillId="9" borderId="1" xfId="0" applyFont="1" applyFill="1" applyBorder="1"/>
    <xf numFmtId="0" fontId="38" fillId="9" borderId="1" xfId="0" applyFont="1" applyFill="1" applyBorder="1" applyAlignment="1">
      <alignment horizontal="center" vertical="center" wrapText="1"/>
    </xf>
    <xf numFmtId="0" fontId="38" fillId="9" borderId="6" xfId="0" applyFont="1" applyFill="1" applyBorder="1" applyAlignment="1">
      <alignment horizontal="center" vertical="center" wrapText="1"/>
    </xf>
    <xf numFmtId="0" fontId="38" fillId="9" borderId="23" xfId="0" applyFont="1" applyFill="1" applyBorder="1" applyAlignment="1">
      <alignment horizontal="center" vertical="center" wrapText="1"/>
    </xf>
    <xf numFmtId="0" fontId="20" fillId="0" borderId="1" xfId="0" applyFont="1" applyBorder="1"/>
    <xf numFmtId="166" fontId="35" fillId="0" borderId="1" xfId="0" applyNumberFormat="1" applyFont="1" applyFill="1" applyBorder="1" applyAlignment="1">
      <alignment horizontal="center" vertical="center" wrapText="1"/>
    </xf>
    <xf numFmtId="166" fontId="35" fillId="0" borderId="6" xfId="0" applyNumberFormat="1" applyFont="1" applyFill="1" applyBorder="1" applyAlignment="1">
      <alignment horizontal="center" vertical="center" wrapText="1"/>
    </xf>
    <xf numFmtId="166" fontId="35" fillId="0" borderId="23" xfId="0" applyNumberFormat="1" applyFont="1" applyFill="1" applyBorder="1" applyAlignment="1">
      <alignment horizontal="center" vertical="center" wrapText="1"/>
    </xf>
    <xf numFmtId="165" fontId="20" fillId="0" borderId="0" xfId="0" applyNumberFormat="1" applyFont="1" applyAlignment="1">
      <alignment horizontal="center"/>
    </xf>
    <xf numFmtId="0" fontId="25" fillId="2" borderId="10" xfId="0" applyFont="1" applyFill="1" applyBorder="1" applyAlignment="1">
      <alignment horizontal="center" vertical="center" wrapText="1"/>
    </xf>
    <xf numFmtId="0" fontId="25" fillId="2" borderId="11" xfId="0" applyFont="1" applyFill="1" applyBorder="1" applyAlignment="1">
      <alignment horizontal="center" vertical="center" wrapText="1"/>
    </xf>
    <xf numFmtId="164" fontId="25" fillId="2" borderId="11" xfId="0" applyNumberFormat="1" applyFont="1" applyFill="1" applyBorder="1" applyAlignment="1">
      <alignment horizontal="center" vertical="center" wrapText="1"/>
    </xf>
    <xf numFmtId="3" fontId="25" fillId="2" borderId="11" xfId="0" applyNumberFormat="1" applyFont="1" applyFill="1" applyBorder="1" applyAlignment="1">
      <alignment horizontal="center" vertical="center" wrapText="1"/>
    </xf>
    <xf numFmtId="0" fontId="25" fillId="3" borderId="11" xfId="0" applyFont="1" applyFill="1" applyBorder="1" applyAlignment="1">
      <alignment horizontal="center" vertical="center" wrapText="1"/>
    </xf>
    <xf numFmtId="165" fontId="25" fillId="3" borderId="11" xfId="0" applyNumberFormat="1" applyFont="1" applyFill="1" applyBorder="1" applyAlignment="1">
      <alignment horizontal="center" vertical="center" wrapText="1"/>
    </xf>
    <xf numFmtId="0" fontId="25" fillId="4" borderId="11" xfId="0" applyFont="1" applyFill="1" applyBorder="1" applyAlignment="1">
      <alignment horizontal="center" vertical="center" wrapText="1"/>
    </xf>
    <xf numFmtId="165" fontId="25" fillId="4" borderId="11" xfId="0" applyNumberFormat="1" applyFont="1" applyFill="1" applyBorder="1" applyAlignment="1">
      <alignment horizontal="center" vertical="center" wrapText="1"/>
    </xf>
    <xf numFmtId="0" fontId="25" fillId="5" borderId="11" xfId="0" applyFont="1" applyFill="1" applyBorder="1" applyAlignment="1">
      <alignment horizontal="center" vertical="center" wrapText="1"/>
    </xf>
    <xf numFmtId="165" fontId="25" fillId="5" borderId="11" xfId="0" applyNumberFormat="1" applyFont="1" applyFill="1" applyBorder="1" applyAlignment="1">
      <alignment horizontal="center" vertical="center" wrapText="1"/>
    </xf>
    <xf numFmtId="0" fontId="25" fillId="6" borderId="11" xfId="0" applyFont="1" applyFill="1" applyBorder="1" applyAlignment="1">
      <alignment horizontal="center" vertical="center" wrapText="1"/>
    </xf>
    <xf numFmtId="165" fontId="25" fillId="6" borderId="11" xfId="0" applyNumberFormat="1" applyFont="1" applyFill="1" applyBorder="1" applyAlignment="1">
      <alignment horizontal="center" vertical="center" wrapText="1"/>
    </xf>
    <xf numFmtId="0" fontId="25" fillId="7" borderId="11" xfId="0" applyFont="1" applyFill="1" applyBorder="1" applyAlignment="1">
      <alignment horizontal="center" vertical="center" wrapText="1"/>
    </xf>
    <xf numFmtId="165" fontId="25" fillId="7" borderId="11" xfId="0" applyNumberFormat="1" applyFont="1" applyFill="1" applyBorder="1" applyAlignment="1">
      <alignment horizontal="center" vertical="center" wrapText="1"/>
    </xf>
    <xf numFmtId="0" fontId="25" fillId="8" borderId="11" xfId="0" applyFont="1" applyFill="1" applyBorder="1" applyAlignment="1">
      <alignment horizontal="center" vertical="center" wrapText="1"/>
    </xf>
    <xf numFmtId="165" fontId="25" fillId="8" borderId="11" xfId="0" applyNumberFormat="1" applyFont="1" applyFill="1" applyBorder="1" applyAlignment="1">
      <alignment horizontal="center" vertical="center" wrapText="1"/>
    </xf>
    <xf numFmtId="166" fontId="25" fillId="8" borderId="12" xfId="0" applyNumberFormat="1" applyFont="1" applyFill="1" applyBorder="1" applyAlignment="1">
      <alignment horizontal="center" vertical="center" wrapText="1"/>
    </xf>
    <xf numFmtId="166" fontId="25" fillId="6" borderId="12" xfId="0" applyNumberFormat="1" applyFont="1" applyFill="1" applyBorder="1" applyAlignment="1">
      <alignment horizontal="center" vertical="center" wrapText="1"/>
    </xf>
    <xf numFmtId="166" fontId="25" fillId="5" borderId="12" xfId="0" applyNumberFormat="1" applyFont="1" applyFill="1" applyBorder="1" applyAlignment="1">
      <alignment horizontal="center" vertical="center" wrapText="1"/>
    </xf>
    <xf numFmtId="0" fontId="26" fillId="0" borderId="0" xfId="0" applyFont="1" applyAlignment="1">
      <alignment horizontal="center" vertical="center" wrapText="1"/>
    </xf>
    <xf numFmtId="0" fontId="21" fillId="10" borderId="0" xfId="0" applyFont="1" applyFill="1" applyAlignment="1">
      <alignment horizontal="center" vertical="center" wrapText="1"/>
    </xf>
    <xf numFmtId="165" fontId="21" fillId="0" borderId="3" xfId="0" applyNumberFormat="1" applyFont="1" applyFill="1" applyBorder="1" applyAlignment="1">
      <alignment horizontal="center" vertical="center" wrapText="1"/>
    </xf>
    <xf numFmtId="165" fontId="21" fillId="0" borderId="8" xfId="0" applyNumberFormat="1" applyFont="1" applyFill="1" applyBorder="1" applyAlignment="1">
      <alignment horizontal="center" vertical="center" wrapText="1"/>
    </xf>
    <xf numFmtId="166" fontId="21" fillId="0" borderId="15" xfId="0" applyNumberFormat="1" applyFont="1" applyFill="1" applyBorder="1" applyAlignment="1">
      <alignment horizontal="center" vertical="center" wrapText="1"/>
    </xf>
    <xf numFmtId="165" fontId="21" fillId="0" borderId="19" xfId="0" applyNumberFormat="1" applyFont="1" applyFill="1" applyBorder="1" applyAlignment="1">
      <alignment horizontal="center" vertical="center" wrapText="1"/>
    </xf>
    <xf numFmtId="166" fontId="21" fillId="0" borderId="14" xfId="0" applyNumberFormat="1" applyFont="1" applyFill="1" applyBorder="1" applyAlignment="1">
      <alignment horizontal="center" vertical="center" wrapText="1"/>
    </xf>
    <xf numFmtId="0" fontId="21" fillId="9" borderId="3"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2" fillId="2" borderId="10" xfId="0" applyFont="1" applyFill="1" applyBorder="1" applyAlignment="1">
      <alignment horizontal="center" wrapText="1"/>
    </xf>
    <xf numFmtId="0" fontId="22" fillId="2" borderId="11" xfId="0" applyFont="1" applyFill="1" applyBorder="1" applyAlignment="1">
      <alignment horizontal="center" wrapText="1"/>
    </xf>
    <xf numFmtId="167" fontId="22" fillId="2" borderId="35" xfId="0" applyNumberFormat="1" applyFont="1" applyFill="1" applyBorder="1" applyAlignment="1">
      <alignment horizontal="center" wrapText="1"/>
    </xf>
    <xf numFmtId="0" fontId="19" fillId="0" borderId="0" xfId="0" applyFont="1" applyAlignment="1">
      <alignment wrapText="1"/>
    </xf>
    <xf numFmtId="0" fontId="19" fillId="0" borderId="0" xfId="0" applyFont="1"/>
    <xf numFmtId="8" fontId="50" fillId="18" borderId="31" xfId="0" applyNumberFormat="1" applyFont="1" applyFill="1" applyBorder="1" applyAlignment="1">
      <alignment horizontal="center"/>
    </xf>
    <xf numFmtId="0" fontId="51" fillId="18" borderId="31" xfId="0" applyFont="1" applyFill="1" applyBorder="1"/>
    <xf numFmtId="167" fontId="51" fillId="18" borderId="31" xfId="0" applyNumberFormat="1" applyFont="1" applyFill="1" applyBorder="1"/>
    <xf numFmtId="167" fontId="51" fillId="18" borderId="37" xfId="0" applyNumberFormat="1" applyFont="1" applyFill="1" applyBorder="1" applyAlignment="1">
      <alignment horizontal="center"/>
    </xf>
    <xf numFmtId="0" fontId="22" fillId="2" borderId="2" xfId="0" applyFont="1" applyFill="1" applyBorder="1" applyAlignment="1">
      <alignment horizontal="center"/>
    </xf>
    <xf numFmtId="8" fontId="50" fillId="18" borderId="3" xfId="0" applyNumberFormat="1" applyFont="1" applyFill="1" applyBorder="1" applyAlignment="1">
      <alignment horizontal="center"/>
    </xf>
    <xf numFmtId="0" fontId="51" fillId="18" borderId="3" xfId="0" applyFont="1" applyFill="1" applyBorder="1"/>
    <xf numFmtId="167" fontId="51" fillId="18" borderId="3" xfId="0" applyNumberFormat="1" applyFont="1" applyFill="1" applyBorder="1"/>
    <xf numFmtId="167" fontId="51" fillId="18" borderId="4" xfId="0" applyNumberFormat="1" applyFont="1" applyFill="1" applyBorder="1" applyAlignment="1">
      <alignment horizontal="center"/>
    </xf>
    <xf numFmtId="0" fontId="22" fillId="2" borderId="36" xfId="0" applyFont="1" applyFill="1" applyBorder="1" applyAlignment="1">
      <alignment horizontal="center"/>
    </xf>
    <xf numFmtId="0" fontId="22" fillId="2" borderId="7" xfId="0" applyFont="1" applyFill="1" applyBorder="1" applyAlignment="1">
      <alignment horizontal="center"/>
    </xf>
    <xf numFmtId="8" fontId="50" fillId="18" borderId="32" xfId="0" applyNumberFormat="1" applyFont="1" applyFill="1" applyBorder="1" applyAlignment="1">
      <alignment horizontal="center"/>
    </xf>
    <xf numFmtId="0" fontId="51" fillId="18" borderId="32" xfId="0" applyFont="1" applyFill="1" applyBorder="1"/>
    <xf numFmtId="167" fontId="51" fillId="18" borderId="32" xfId="0" applyNumberFormat="1" applyFont="1" applyFill="1" applyBorder="1"/>
    <xf numFmtId="167" fontId="51" fillId="18" borderId="9" xfId="0" applyNumberFormat="1" applyFont="1" applyFill="1" applyBorder="1" applyAlignment="1">
      <alignment horizontal="center"/>
    </xf>
    <xf numFmtId="8" fontId="24" fillId="16" borderId="31" xfId="0" applyNumberFormat="1" applyFont="1" applyFill="1" applyBorder="1" applyAlignment="1">
      <alignment horizontal="center"/>
    </xf>
    <xf numFmtId="0" fontId="19" fillId="16" borderId="31" xfId="0" applyFont="1" applyFill="1" applyBorder="1"/>
    <xf numFmtId="167" fontId="19" fillId="16" borderId="31" xfId="0" applyNumberFormat="1" applyFont="1" applyFill="1" applyBorder="1"/>
    <xf numFmtId="167" fontId="51" fillId="16" borderId="37" xfId="0" applyNumberFormat="1" applyFont="1" applyFill="1" applyBorder="1" applyAlignment="1">
      <alignment horizontal="center"/>
    </xf>
    <xf numFmtId="8" fontId="24" fillId="16" borderId="3" xfId="0" applyNumberFormat="1" applyFont="1" applyFill="1" applyBorder="1" applyAlignment="1">
      <alignment horizontal="center"/>
    </xf>
    <xf numFmtId="0" fontId="19" fillId="16" borderId="3" xfId="0" applyFont="1" applyFill="1" applyBorder="1"/>
    <xf numFmtId="167" fontId="19" fillId="16" borderId="3" xfId="0" applyNumberFormat="1" applyFont="1" applyFill="1" applyBorder="1"/>
    <xf numFmtId="167" fontId="51" fillId="16" borderId="4" xfId="0" applyNumberFormat="1" applyFont="1" applyFill="1" applyBorder="1" applyAlignment="1">
      <alignment horizontal="center"/>
    </xf>
    <xf numFmtId="8" fontId="24" fillId="16" borderId="32" xfId="0" applyNumberFormat="1" applyFont="1" applyFill="1" applyBorder="1" applyAlignment="1">
      <alignment horizontal="center"/>
    </xf>
    <xf numFmtId="0" fontId="19" fillId="16" borderId="32" xfId="0" applyFont="1" applyFill="1" applyBorder="1"/>
    <xf numFmtId="167" fontId="19" fillId="16" borderId="32" xfId="0" applyNumberFormat="1" applyFont="1" applyFill="1" applyBorder="1"/>
    <xf numFmtId="167" fontId="51" fillId="16" borderId="9" xfId="0" applyNumberFormat="1" applyFont="1" applyFill="1" applyBorder="1" applyAlignment="1">
      <alignment horizontal="center"/>
    </xf>
    <xf numFmtId="0" fontId="19" fillId="19" borderId="31" xfId="0" applyFont="1" applyFill="1" applyBorder="1"/>
    <xf numFmtId="167" fontId="19" fillId="19" borderId="31" xfId="0" applyNumberFormat="1" applyFont="1" applyFill="1" applyBorder="1"/>
    <xf numFmtId="167" fontId="51" fillId="19" borderId="37" xfId="0" applyNumberFormat="1" applyFont="1" applyFill="1" applyBorder="1" applyAlignment="1">
      <alignment horizontal="center"/>
    </xf>
    <xf numFmtId="8" fontId="24" fillId="19" borderId="3" xfId="0" applyNumberFormat="1" applyFont="1" applyFill="1" applyBorder="1" applyAlignment="1">
      <alignment horizontal="center"/>
    </xf>
    <xf numFmtId="0" fontId="19" fillId="19" borderId="3" xfId="0" applyFont="1" applyFill="1" applyBorder="1"/>
    <xf numFmtId="167" fontId="19" fillId="19" borderId="3" xfId="0" applyNumberFormat="1" applyFont="1" applyFill="1" applyBorder="1"/>
    <xf numFmtId="167" fontId="51" fillId="19" borderId="4" xfId="0" applyNumberFormat="1" applyFont="1" applyFill="1" applyBorder="1" applyAlignment="1">
      <alignment horizontal="center"/>
    </xf>
    <xf numFmtId="0" fontId="24" fillId="19" borderId="31" xfId="0" applyFont="1" applyFill="1" applyBorder="1" applyAlignment="1">
      <alignment horizontal="center"/>
    </xf>
    <xf numFmtId="8" fontId="24" fillId="20" borderId="31" xfId="0" applyNumberFormat="1" applyFont="1" applyFill="1" applyBorder="1" applyAlignment="1">
      <alignment horizontal="center"/>
    </xf>
    <xf numFmtId="0" fontId="19" fillId="20" borderId="31" xfId="0" applyFont="1" applyFill="1" applyBorder="1"/>
    <xf numFmtId="167" fontId="19" fillId="20" borderId="31" xfId="0" applyNumberFormat="1" applyFont="1" applyFill="1" applyBorder="1"/>
    <xf numFmtId="167" fontId="51" fillId="20" borderId="37" xfId="0" applyNumberFormat="1" applyFont="1" applyFill="1" applyBorder="1" applyAlignment="1">
      <alignment horizontal="center"/>
    </xf>
    <xf numFmtId="8" fontId="24" fillId="20" borderId="3" xfId="0" applyNumberFormat="1" applyFont="1" applyFill="1" applyBorder="1" applyAlignment="1">
      <alignment horizontal="center"/>
    </xf>
    <xf numFmtId="0" fontId="19" fillId="20" borderId="3" xfId="0" applyFont="1" applyFill="1" applyBorder="1"/>
    <xf numFmtId="167" fontId="19" fillId="20" borderId="3" xfId="0" applyNumberFormat="1" applyFont="1" applyFill="1" applyBorder="1"/>
    <xf numFmtId="167" fontId="51" fillId="20" borderId="4" xfId="0" applyNumberFormat="1" applyFont="1" applyFill="1" applyBorder="1" applyAlignment="1">
      <alignment horizontal="center"/>
    </xf>
    <xf numFmtId="8" fontId="24" fillId="20" borderId="32" xfId="0" applyNumberFormat="1" applyFont="1" applyFill="1" applyBorder="1" applyAlignment="1">
      <alignment horizontal="center"/>
    </xf>
    <xf numFmtId="0" fontId="19" fillId="20" borderId="32" xfId="0" applyFont="1" applyFill="1" applyBorder="1"/>
    <xf numFmtId="167" fontId="19" fillId="20" borderId="32" xfId="0" applyNumberFormat="1" applyFont="1" applyFill="1" applyBorder="1"/>
    <xf numFmtId="167" fontId="51" fillId="20" borderId="9" xfId="0" applyNumberFormat="1" applyFont="1" applyFill="1" applyBorder="1" applyAlignment="1">
      <alignment horizontal="center"/>
    </xf>
    <xf numFmtId="0" fontId="19" fillId="0" borderId="0" xfId="0" applyFont="1" applyAlignment="1">
      <alignment horizontal="center"/>
    </xf>
    <xf numFmtId="167" fontId="19" fillId="0" borderId="0" xfId="0" applyNumberFormat="1" applyFont="1" applyAlignment="1">
      <alignment horizontal="center"/>
    </xf>
    <xf numFmtId="0" fontId="31" fillId="2" borderId="0" xfId="0" applyFont="1" applyFill="1" applyBorder="1" applyAlignment="1">
      <alignment horizontal="left" vertical="top"/>
    </xf>
    <xf numFmtId="0" fontId="31" fillId="0" borderId="0" xfId="0" applyFont="1" applyFill="1" applyBorder="1" applyAlignment="1">
      <alignment horizontal="left" vertical="top"/>
    </xf>
    <xf numFmtId="0" fontId="44" fillId="5" borderId="40" xfId="0" applyFont="1" applyFill="1" applyBorder="1" applyAlignment="1">
      <alignment horizontal="center" vertical="center"/>
    </xf>
    <xf numFmtId="0" fontId="35" fillId="9" borderId="40" xfId="0" applyFont="1" applyFill="1" applyBorder="1" applyAlignment="1">
      <alignment horizontal="center" vertical="center"/>
    </xf>
    <xf numFmtId="0" fontId="46" fillId="9" borderId="40" xfId="0" applyFont="1" applyFill="1" applyBorder="1" applyAlignment="1">
      <alignment horizontal="center" vertical="center"/>
    </xf>
    <xf numFmtId="0" fontId="38" fillId="9" borderId="40" xfId="0" applyFont="1" applyFill="1" applyBorder="1" applyAlignment="1">
      <alignment horizontal="center" vertical="center"/>
    </xf>
    <xf numFmtId="0" fontId="35" fillId="9" borderId="37" xfId="0" applyFont="1" applyFill="1" applyBorder="1" applyAlignment="1">
      <alignment horizontal="center" vertical="center"/>
    </xf>
    <xf numFmtId="0" fontId="31" fillId="0" borderId="0" xfId="0" applyFont="1" applyFill="1" applyBorder="1" applyAlignment="1">
      <alignment horizontal="center" vertical="top"/>
    </xf>
    <xf numFmtId="0" fontId="47" fillId="9" borderId="40" xfId="0" applyFont="1" applyFill="1" applyBorder="1" applyAlignment="1">
      <alignment horizontal="center" vertical="center"/>
    </xf>
    <xf numFmtId="0" fontId="44" fillId="4" borderId="40" xfId="0" applyFont="1" applyFill="1" applyBorder="1" applyAlignment="1">
      <alignment horizontal="center" vertical="center"/>
    </xf>
    <xf numFmtId="165" fontId="31" fillId="0" borderId="0" xfId="0" applyNumberFormat="1" applyFont="1" applyFill="1" applyBorder="1" applyAlignment="1">
      <alignment horizontal="center" vertical="top"/>
    </xf>
    <xf numFmtId="0" fontId="52" fillId="0" borderId="0" xfId="0" applyFont="1" applyFill="1" applyBorder="1" applyAlignment="1">
      <alignment horizontal="left" vertical="top"/>
    </xf>
    <xf numFmtId="0" fontId="43" fillId="17" borderId="41" xfId="0" applyFont="1" applyFill="1" applyBorder="1" applyAlignment="1">
      <alignment horizontal="center" vertical="center" wrapText="1"/>
    </xf>
    <xf numFmtId="0" fontId="43" fillId="17" borderId="42" xfId="0" applyFont="1" applyFill="1" applyBorder="1" applyAlignment="1">
      <alignment horizontal="center" vertical="center" wrapText="1"/>
    </xf>
    <xf numFmtId="0" fontId="43" fillId="17" borderId="43" xfId="0" applyFont="1" applyFill="1" applyBorder="1" applyAlignment="1">
      <alignment horizontal="center" vertical="center" wrapText="1"/>
    </xf>
    <xf numFmtId="0" fontId="43" fillId="17" borderId="10" xfId="0" applyFont="1" applyFill="1" applyBorder="1" applyAlignment="1">
      <alignment horizontal="center" vertical="center" wrapText="1"/>
    </xf>
    <xf numFmtId="0" fontId="43" fillId="17" borderId="11" xfId="0" applyFont="1" applyFill="1" applyBorder="1" applyAlignment="1">
      <alignment horizontal="center" vertical="center" wrapText="1"/>
    </xf>
    <xf numFmtId="0" fontId="43" fillId="17" borderId="12" xfId="0" applyFont="1" applyFill="1" applyBorder="1" applyAlignment="1">
      <alignment horizontal="center" vertical="center" wrapText="1"/>
    </xf>
    <xf numFmtId="0" fontId="49" fillId="3" borderId="40" xfId="0" applyNumberFormat="1" applyFont="1" applyFill="1" applyBorder="1" applyAlignment="1">
      <alignment horizontal="center" wrapText="1"/>
    </xf>
    <xf numFmtId="0" fontId="49" fillId="3" borderId="40" xfId="0" applyNumberFormat="1" applyFont="1" applyFill="1" applyBorder="1" applyAlignment="1">
      <alignment horizontal="center" vertical="center" wrapText="1"/>
    </xf>
    <xf numFmtId="0" fontId="49" fillId="4" borderId="40" xfId="0" applyNumberFormat="1" applyFont="1" applyFill="1" applyBorder="1" applyAlignment="1">
      <alignment horizontal="center" wrapText="1"/>
    </xf>
    <xf numFmtId="0" fontId="49" fillId="4" borderId="40" xfId="0" applyNumberFormat="1" applyFont="1" applyFill="1" applyBorder="1" applyAlignment="1">
      <alignment horizontal="center" vertical="center" wrapText="1"/>
    </xf>
    <xf numFmtId="0" fontId="49" fillId="5" borderId="40" xfId="0" applyNumberFormat="1" applyFont="1" applyFill="1" applyBorder="1" applyAlignment="1">
      <alignment horizontal="center" wrapText="1"/>
    </xf>
    <xf numFmtId="0" fontId="49" fillId="5" borderId="40" xfId="0" applyNumberFormat="1" applyFont="1" applyFill="1" applyBorder="1" applyAlignment="1">
      <alignment horizontal="center" vertical="center" wrapText="1"/>
    </xf>
    <xf numFmtId="0" fontId="49" fillId="6" borderId="40" xfId="0" applyNumberFormat="1" applyFont="1" applyFill="1" applyBorder="1" applyAlignment="1">
      <alignment horizontal="center" wrapText="1"/>
    </xf>
    <xf numFmtId="0" fontId="49" fillId="6" borderId="40" xfId="0" applyNumberFormat="1" applyFont="1" applyFill="1" applyBorder="1" applyAlignment="1">
      <alignment horizontal="center" vertical="center" wrapText="1"/>
    </xf>
    <xf numFmtId="0" fontId="52" fillId="0" borderId="0" xfId="0" applyFont="1"/>
    <xf numFmtId="0" fontId="40" fillId="0" borderId="0" xfId="0" applyFont="1" applyAlignment="1">
      <alignment wrapText="1"/>
    </xf>
    <xf numFmtId="0" fontId="40" fillId="0" borderId="0" xfId="0" applyFont="1" applyFill="1" applyBorder="1" applyAlignment="1">
      <alignment horizontal="left" vertical="top" wrapText="1"/>
    </xf>
    <xf numFmtId="0" fontId="52" fillId="0" borderId="0" xfId="0" applyFont="1" applyFill="1" applyBorder="1" applyAlignment="1">
      <alignment horizontal="center" vertical="top"/>
    </xf>
    <xf numFmtId="0" fontId="21" fillId="9" borderId="3"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1" fillId="0" borderId="1" xfId="0" applyFont="1" applyBorder="1" applyAlignment="1">
      <alignment horizontal="center" vertical="center" wrapText="1"/>
    </xf>
    <xf numFmtId="0" fontId="21" fillId="9" borderId="3"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165" fontId="28" fillId="0" borderId="8" xfId="0" applyNumberFormat="1" applyFont="1" applyFill="1" applyBorder="1" applyAlignment="1">
      <alignment horizontal="center" vertical="center" wrapText="1"/>
    </xf>
    <xf numFmtId="166" fontId="28" fillId="0" borderId="14" xfId="0" applyNumberFormat="1" applyFont="1" applyFill="1" applyBorder="1" applyAlignment="1">
      <alignment horizontal="center" vertical="center" wrapText="1"/>
    </xf>
    <xf numFmtId="166" fontId="28" fillId="0" borderId="15" xfId="0" applyNumberFormat="1" applyFont="1" applyFill="1" applyBorder="1" applyAlignment="1">
      <alignment horizontal="center" vertical="center" wrapText="1"/>
    </xf>
    <xf numFmtId="0" fontId="21" fillId="0" borderId="3" xfId="0" applyFont="1" applyBorder="1" applyAlignment="1">
      <alignment horizontal="center" vertical="center" wrapText="1"/>
    </xf>
    <xf numFmtId="0" fontId="21" fillId="0" borderId="1" xfId="0" applyFont="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165" fontId="27" fillId="10" borderId="3" xfId="0" applyNumberFormat="1" applyFont="1" applyFill="1" applyBorder="1" applyAlignment="1">
      <alignment horizontal="center" vertical="center" wrapText="1"/>
    </xf>
    <xf numFmtId="165" fontId="27" fillId="10" borderId="1" xfId="0" applyNumberFormat="1" applyFont="1" applyFill="1" applyBorder="1" applyAlignment="1">
      <alignment horizontal="center" vertical="center" wrapText="1"/>
    </xf>
    <xf numFmtId="0" fontId="21" fillId="9" borderId="3"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166" fontId="27" fillId="10" borderId="14" xfId="0" applyNumberFormat="1" applyFont="1" applyFill="1" applyBorder="1" applyAlignment="1">
      <alignment horizontal="center" vertical="center" wrapText="1"/>
    </xf>
    <xf numFmtId="166" fontId="27" fillId="10" borderId="15" xfId="0" applyNumberFormat="1"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7" fillId="9" borderId="1"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166" fontId="27" fillId="9" borderId="15" xfId="0" applyNumberFormat="1"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1" fillId="0" borderId="1" xfId="0" applyFont="1" applyBorder="1" applyAlignment="1">
      <alignment horizontal="center" vertical="center" wrapText="1"/>
    </xf>
    <xf numFmtId="0" fontId="21" fillId="0" borderId="3" xfId="0" applyFont="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7" fillId="10" borderId="3" xfId="0" applyFont="1" applyFill="1" applyBorder="1" applyAlignment="1">
      <alignment horizontal="center" vertical="center" wrapText="1"/>
    </xf>
    <xf numFmtId="0" fontId="27" fillId="10" borderId="1" xfId="0" applyFont="1" applyFill="1" applyBorder="1" applyAlignment="1">
      <alignment horizontal="center" vertical="center" wrapText="1"/>
    </xf>
    <xf numFmtId="0" fontId="21" fillId="9" borderId="19" xfId="0"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165" fontId="28" fillId="9" borderId="19" xfId="0" applyNumberFormat="1" applyFont="1" applyFill="1" applyBorder="1" applyAlignment="1">
      <alignment horizontal="center" vertical="center" wrapText="1"/>
    </xf>
    <xf numFmtId="165" fontId="28" fillId="9" borderId="8" xfId="0" applyNumberFormat="1" applyFont="1" applyFill="1" applyBorder="1" applyAlignment="1">
      <alignment horizontal="center" vertical="center" wrapText="1"/>
    </xf>
    <xf numFmtId="166" fontId="28" fillId="9" borderId="18" xfId="0" applyNumberFormat="1" applyFont="1" applyFill="1" applyBorder="1" applyAlignment="1">
      <alignment horizontal="center" vertical="center" wrapText="1"/>
    </xf>
    <xf numFmtId="165" fontId="27" fillId="10" borderId="8" xfId="0" applyNumberFormat="1" applyFont="1" applyFill="1" applyBorder="1" applyAlignment="1">
      <alignment horizontal="center" vertical="center" wrapText="1"/>
    </xf>
    <xf numFmtId="165" fontId="27" fillId="10" borderId="19" xfId="0" applyNumberFormat="1"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165" fontId="28" fillId="0" borderId="19" xfId="0" applyNumberFormat="1"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1" fillId="9" borderId="3" xfId="0" applyFont="1" applyFill="1" applyBorder="1" applyAlignment="1">
      <alignment horizontal="center" vertical="center" wrapText="1"/>
    </xf>
    <xf numFmtId="0" fontId="21" fillId="0" borderId="1" xfId="0" applyFont="1" applyBorder="1" applyAlignment="1">
      <alignment horizontal="center" vertical="center" wrapText="1"/>
    </xf>
    <xf numFmtId="0" fontId="21" fillId="9" borderId="3"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27" fillId="9" borderId="3" xfId="0" applyFont="1" applyFill="1" applyBorder="1" applyAlignment="1">
      <alignment horizontal="center" vertical="center" wrapText="1"/>
    </xf>
    <xf numFmtId="0" fontId="27" fillId="9" borderId="1" xfId="0" applyFont="1" applyFill="1" applyBorder="1" applyAlignment="1">
      <alignment horizontal="center" vertical="center" wrapText="1"/>
    </xf>
    <xf numFmtId="0" fontId="27" fillId="9" borderId="8" xfId="0" applyFont="1" applyFill="1" applyBorder="1" applyAlignment="1">
      <alignment horizontal="center" vertical="center" wrapText="1"/>
    </xf>
    <xf numFmtId="166" fontId="27" fillId="9" borderId="14" xfId="0" applyNumberFormat="1" applyFont="1" applyFill="1" applyBorder="1" applyAlignment="1">
      <alignment horizontal="center" vertical="center" wrapText="1"/>
    </xf>
    <xf numFmtId="166" fontId="27" fillId="9" borderId="18" xfId="0" applyNumberFormat="1" applyFont="1" applyFill="1" applyBorder="1" applyAlignment="1">
      <alignment horizontal="center" vertical="center" wrapText="1"/>
    </xf>
    <xf numFmtId="0" fontId="28" fillId="0" borderId="3" xfId="0" applyFont="1" applyBorder="1" applyAlignment="1">
      <alignment horizontal="center" vertical="center" wrapText="1"/>
    </xf>
    <xf numFmtId="0" fontId="28" fillId="0" borderId="1" xfId="0" applyFont="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1" fillId="9" borderId="3"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0" fillId="0" borderId="1" xfId="0" applyFont="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165" fontId="28" fillId="0" borderId="3" xfId="0" applyNumberFormat="1" applyFont="1" applyBorder="1" applyAlignment="1">
      <alignment horizontal="center" vertical="center" wrapText="1"/>
    </xf>
    <xf numFmtId="165" fontId="28" fillId="0" borderId="1" xfId="0" applyNumberFormat="1" applyFont="1" applyBorder="1" applyAlignment="1">
      <alignment horizontal="center" vertical="center" wrapText="1"/>
    </xf>
    <xf numFmtId="165" fontId="28" fillId="0" borderId="8" xfId="0" applyNumberFormat="1" applyFont="1" applyBorder="1" applyAlignment="1">
      <alignment horizontal="center" vertical="center" wrapText="1"/>
    </xf>
    <xf numFmtId="166" fontId="28" fillId="0" borderId="14" xfId="0" applyNumberFormat="1" applyFont="1" applyBorder="1" applyAlignment="1">
      <alignment horizontal="center" vertical="center" wrapText="1"/>
    </xf>
    <xf numFmtId="166" fontId="28" fillId="0" borderId="15" xfId="0" applyNumberFormat="1" applyFont="1" applyBorder="1" applyAlignment="1">
      <alignment horizontal="center" vertical="center" wrapText="1"/>
    </xf>
    <xf numFmtId="165" fontId="28" fillId="0" borderId="19" xfId="0" applyNumberFormat="1" applyFont="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21" fillId="0" borderId="1" xfId="0" applyFont="1" applyBorder="1" applyAlignment="1">
      <alignment horizontal="center" vertical="center" wrapText="1"/>
    </xf>
    <xf numFmtId="0" fontId="21" fillId="9" borderId="3"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1" fillId="0" borderId="3" xfId="0" applyFont="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1" fillId="9" borderId="3"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1" fillId="9" borderId="3"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1" fillId="0" borderId="1" xfId="0" applyFont="1" applyBorder="1" applyAlignment="1">
      <alignment horizontal="center" vertical="center" wrapText="1"/>
    </xf>
    <xf numFmtId="0" fontId="21" fillId="0" borderId="3" xfId="0" applyFont="1" applyBorder="1" applyAlignment="1">
      <alignment horizontal="center" vertical="center" wrapText="1"/>
    </xf>
    <xf numFmtId="0" fontId="21" fillId="9" borderId="3"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7" fillId="9" borderId="3" xfId="0" applyFont="1" applyFill="1" applyBorder="1" applyAlignment="1">
      <alignment horizontal="center" vertical="center" wrapText="1"/>
    </xf>
    <xf numFmtId="0" fontId="27" fillId="9" borderId="1" xfId="0"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0" borderId="3" xfId="0" applyFont="1" applyBorder="1" applyAlignment="1">
      <alignment horizontal="center" vertical="center" wrapText="1"/>
    </xf>
    <xf numFmtId="0" fontId="28" fillId="0" borderId="1" xfId="0" applyFont="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28" fillId="0" borderId="0" xfId="0" applyFont="1" applyAlignment="1">
      <alignment horizontal="center" vertical="center" wrapText="1"/>
    </xf>
    <xf numFmtId="166" fontId="27" fillId="9" borderId="4" xfId="0" applyNumberFormat="1" applyFont="1" applyFill="1" applyBorder="1" applyAlignment="1">
      <alignment horizontal="center" vertical="center" wrapText="1"/>
    </xf>
    <xf numFmtId="166" fontId="27" fillId="9" borderId="6" xfId="0" applyNumberFormat="1"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1" fillId="0" borderId="1" xfId="0" applyFont="1" applyBorder="1" applyAlignment="1">
      <alignment horizontal="center" vertical="center" wrapText="1"/>
    </xf>
    <xf numFmtId="0" fontId="21" fillId="0" borderId="3" xfId="0" applyFont="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1" fillId="0" borderId="1" xfId="0" applyFont="1" applyBorder="1" applyAlignment="1">
      <alignment horizontal="center" vertical="center" wrapText="1"/>
    </xf>
    <xf numFmtId="0" fontId="21" fillId="0" borderId="3" xfId="0" applyFont="1" applyBorder="1" applyAlignment="1">
      <alignment horizontal="center" vertical="center" wrapText="1"/>
    </xf>
    <xf numFmtId="0" fontId="21" fillId="9" borderId="3"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166" fontId="28" fillId="0" borderId="4" xfId="0" applyNumberFormat="1" applyFont="1" applyFill="1" applyBorder="1" applyAlignment="1">
      <alignment horizontal="center" vertical="center" wrapText="1"/>
    </xf>
    <xf numFmtId="166" fontId="28" fillId="0" borderId="6" xfId="0" applyNumberFormat="1" applyFont="1" applyFill="1" applyBorder="1" applyAlignment="1">
      <alignment horizontal="center" vertical="center" wrapText="1"/>
    </xf>
    <xf numFmtId="0" fontId="21" fillId="9" borderId="3"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1" fillId="0" borderId="1" xfId="0" applyFont="1" applyBorder="1" applyAlignment="1">
      <alignment horizontal="center" vertical="center" wrapText="1"/>
    </xf>
    <xf numFmtId="0" fontId="21" fillId="0" borderId="3" xfId="0" applyFont="1" applyBorder="1" applyAlignment="1">
      <alignment horizontal="center" vertical="center" wrapText="1"/>
    </xf>
    <xf numFmtId="0" fontId="21" fillId="0" borderId="3" xfId="0" applyFont="1" applyBorder="1" applyAlignment="1">
      <alignment horizontal="center" vertical="center" wrapText="1"/>
    </xf>
    <xf numFmtId="0" fontId="21" fillId="9" borderId="3"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165" fontId="27" fillId="9" borderId="31" xfId="0" applyNumberFormat="1" applyFont="1" applyFill="1" applyBorder="1" applyAlignment="1">
      <alignment horizontal="center" vertical="center" wrapText="1"/>
    </xf>
    <xf numFmtId="165" fontId="21" fillId="9" borderId="31" xfId="0" applyNumberFormat="1" applyFont="1" applyFill="1" applyBorder="1" applyAlignment="1">
      <alignment horizontal="center" vertical="center" wrapText="1"/>
    </xf>
    <xf numFmtId="0" fontId="21" fillId="9" borderId="31" xfId="0" applyFont="1" applyFill="1" applyBorder="1" applyAlignment="1">
      <alignment horizontal="center" vertical="center" wrapText="1"/>
    </xf>
    <xf numFmtId="166" fontId="21" fillId="9" borderId="47" xfId="0" applyNumberFormat="1" applyFont="1" applyFill="1" applyBorder="1" applyAlignment="1">
      <alignment horizontal="center" vertical="center" wrapText="1"/>
    </xf>
    <xf numFmtId="166" fontId="21" fillId="9" borderId="48" xfId="0" applyNumberFormat="1" applyFont="1" applyFill="1" applyBorder="1" applyAlignment="1">
      <alignment horizontal="center" vertical="center" wrapText="1"/>
    </xf>
    <xf numFmtId="0" fontId="21" fillId="9" borderId="49" xfId="0" applyFont="1" applyFill="1" applyBorder="1" applyAlignment="1">
      <alignment horizontal="center" vertical="center" wrapText="1"/>
    </xf>
    <xf numFmtId="165" fontId="21" fillId="9" borderId="49" xfId="0" applyNumberFormat="1" applyFont="1" applyFill="1" applyBorder="1" applyAlignment="1">
      <alignment horizontal="center" vertical="center" wrapText="1"/>
    </xf>
    <xf numFmtId="165" fontId="27" fillId="9" borderId="49" xfId="0" applyNumberFormat="1" applyFont="1" applyFill="1" applyBorder="1" applyAlignment="1">
      <alignment horizontal="center" vertical="center" wrapText="1"/>
    </xf>
    <xf numFmtId="166" fontId="21" fillId="0" borderId="20" xfId="0" applyNumberFormat="1"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1" fillId="9" borderId="3"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1" fillId="0" borderId="1" xfId="0" applyFont="1" applyBorder="1" applyAlignment="1">
      <alignment horizontal="center" vertical="center" wrapText="1"/>
    </xf>
    <xf numFmtId="0" fontId="21" fillId="0" borderId="3" xfId="0" applyFont="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1" fillId="9" borderId="3"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21" fillId="9" borderId="3"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1" fillId="9" borderId="3"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1" fillId="9" borderId="3"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1" fillId="9" borderId="3"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27" fillId="9" borderId="3" xfId="0" applyFont="1" applyFill="1" applyBorder="1" applyAlignment="1">
      <alignment horizontal="center" vertical="center" wrapText="1"/>
    </xf>
    <xf numFmtId="0" fontId="27" fillId="9" borderId="1" xfId="0"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170" fontId="25" fillId="2" borderId="11" xfId="0" applyNumberFormat="1" applyFont="1" applyFill="1" applyBorder="1" applyAlignment="1">
      <alignment horizontal="center" vertical="center" wrapText="1"/>
    </xf>
    <xf numFmtId="170" fontId="21" fillId="0" borderId="0" xfId="0" applyNumberFormat="1" applyFont="1" applyAlignment="1">
      <alignment wrapText="1"/>
    </xf>
    <xf numFmtId="165" fontId="28" fillId="23" borderId="3" xfId="0" applyNumberFormat="1" applyFont="1" applyFill="1" applyBorder="1" applyAlignment="1">
      <alignment horizontal="center" vertical="center" wrapText="1"/>
    </xf>
    <xf numFmtId="165" fontId="28" fillId="23" borderId="1" xfId="0" applyNumberFormat="1" applyFont="1" applyFill="1" applyBorder="1" applyAlignment="1">
      <alignment horizontal="center" vertical="center" wrapText="1"/>
    </xf>
    <xf numFmtId="165" fontId="28" fillId="23" borderId="8" xfId="0" applyNumberFormat="1" applyFont="1" applyFill="1" applyBorder="1" applyAlignment="1">
      <alignment horizontal="center" vertical="center" wrapText="1"/>
    </xf>
    <xf numFmtId="165" fontId="27" fillId="9" borderId="19" xfId="0" applyNumberFormat="1"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43" fillId="17" borderId="52" xfId="0" applyFont="1" applyFill="1" applyBorder="1" applyAlignment="1">
      <alignment horizontal="center" vertical="center" wrapText="1"/>
    </xf>
    <xf numFmtId="0" fontId="43" fillId="17" borderId="13" xfId="0" applyFont="1" applyFill="1" applyBorder="1" applyAlignment="1">
      <alignment horizontal="center" vertical="center" wrapText="1"/>
    </xf>
    <xf numFmtId="0" fontId="43" fillId="17" borderId="53" xfId="0" applyFont="1" applyFill="1" applyBorder="1" applyAlignment="1">
      <alignment horizontal="center" vertical="center" wrapText="1"/>
    </xf>
    <xf numFmtId="0" fontId="44" fillId="3" borderId="2" xfId="0" applyFont="1" applyFill="1" applyBorder="1" applyAlignment="1">
      <alignment horizontal="center" vertical="center"/>
    </xf>
    <xf numFmtId="0" fontId="44" fillId="5" borderId="3" xfId="0" applyFont="1" applyFill="1" applyBorder="1" applyAlignment="1">
      <alignment horizontal="center" vertical="center"/>
    </xf>
    <xf numFmtId="0" fontId="35" fillId="9" borderId="3" xfId="0" applyFont="1" applyFill="1" applyBorder="1" applyAlignment="1">
      <alignment horizontal="center" vertical="center"/>
    </xf>
    <xf numFmtId="0" fontId="46" fillId="9" borderId="3" xfId="0" applyFont="1" applyFill="1" applyBorder="1" applyAlignment="1">
      <alignment horizontal="center" vertical="center"/>
    </xf>
    <xf numFmtId="0" fontId="38" fillId="9" borderId="3" xfId="0" applyFont="1" applyFill="1" applyBorder="1" applyAlignment="1">
      <alignment horizontal="center" vertical="center"/>
    </xf>
    <xf numFmtId="0" fontId="35" fillId="9" borderId="4" xfId="0" applyFont="1" applyFill="1" applyBorder="1" applyAlignment="1">
      <alignment horizontal="center" vertical="center"/>
    </xf>
    <xf numFmtId="0" fontId="44" fillId="3" borderId="46" xfId="0" applyFont="1" applyFill="1" applyBorder="1" applyAlignment="1">
      <alignment horizontal="center" vertical="center"/>
    </xf>
    <xf numFmtId="0" fontId="44" fillId="3" borderId="50" xfId="0" applyFont="1" applyFill="1" applyBorder="1" applyAlignment="1">
      <alignment horizontal="center" vertical="center"/>
    </xf>
    <xf numFmtId="0" fontId="44" fillId="5" borderId="49" xfId="0" applyFont="1" applyFill="1" applyBorder="1" applyAlignment="1">
      <alignment horizontal="center" vertical="center"/>
    </xf>
    <xf numFmtId="0" fontId="35" fillId="9" borderId="49" xfId="0" applyFont="1" applyFill="1" applyBorder="1" applyAlignment="1">
      <alignment horizontal="center" vertical="center"/>
    </xf>
    <xf numFmtId="0" fontId="46" fillId="9" borderId="49" xfId="0" applyFont="1" applyFill="1" applyBorder="1" applyAlignment="1">
      <alignment horizontal="center" vertical="center"/>
    </xf>
    <xf numFmtId="0" fontId="38" fillId="9" borderId="49" xfId="0" applyFont="1" applyFill="1" applyBorder="1" applyAlignment="1">
      <alignment horizontal="center" vertical="center"/>
    </xf>
    <xf numFmtId="0" fontId="35" fillId="9" borderId="9" xfId="0" applyFont="1" applyFill="1" applyBorder="1" applyAlignment="1">
      <alignment horizontal="center" vertical="center"/>
    </xf>
    <xf numFmtId="0" fontId="44" fillId="4" borderId="3" xfId="0" applyFont="1" applyFill="1" applyBorder="1" applyAlignment="1">
      <alignment horizontal="center" vertical="center"/>
    </xf>
    <xf numFmtId="0" fontId="44" fillId="4" borderId="49" xfId="0" applyFont="1" applyFill="1" applyBorder="1" applyAlignment="1">
      <alignment horizontal="center" vertical="center"/>
    </xf>
    <xf numFmtId="0" fontId="44" fillId="2" borderId="2" xfId="0" applyFont="1" applyFill="1" applyBorder="1" applyAlignment="1">
      <alignment horizontal="center" vertical="center"/>
    </xf>
    <xf numFmtId="0" fontId="44" fillId="2" borderId="46" xfId="0" applyFont="1" applyFill="1" applyBorder="1" applyAlignment="1">
      <alignment horizontal="center" vertical="center"/>
    </xf>
    <xf numFmtId="0" fontId="44" fillId="2" borderId="50" xfId="0" applyFont="1" applyFill="1" applyBorder="1" applyAlignment="1">
      <alignment horizontal="center" vertical="center"/>
    </xf>
    <xf numFmtId="0" fontId="47" fillId="9" borderId="3" xfId="0" applyFont="1" applyFill="1" applyBorder="1" applyAlignment="1">
      <alignment horizontal="center" vertical="center"/>
    </xf>
    <xf numFmtId="0" fontId="47" fillId="9" borderId="49" xfId="0" applyFont="1" applyFill="1" applyBorder="1" applyAlignment="1">
      <alignment horizontal="center" vertical="center"/>
    </xf>
    <xf numFmtId="0" fontId="55" fillId="9" borderId="3" xfId="0" applyFont="1" applyFill="1" applyBorder="1" applyAlignment="1">
      <alignment horizontal="center" vertical="center"/>
    </xf>
    <xf numFmtId="0" fontId="55" fillId="9" borderId="40" xfId="0" applyFont="1" applyFill="1" applyBorder="1" applyAlignment="1">
      <alignment horizontal="center" vertical="center"/>
    </xf>
    <xf numFmtId="0" fontId="55" fillId="9" borderId="49" xfId="0" applyFont="1" applyFill="1" applyBorder="1" applyAlignment="1">
      <alignment horizontal="center" vertical="center"/>
    </xf>
    <xf numFmtId="0" fontId="49" fillId="3" borderId="2" xfId="0" applyNumberFormat="1" applyFont="1" applyFill="1" applyBorder="1" applyAlignment="1">
      <alignment horizontal="center" wrapText="1"/>
    </xf>
    <xf numFmtId="0" fontId="49" fillId="3" borderId="3" xfId="0" applyNumberFormat="1" applyFont="1" applyFill="1" applyBorder="1" applyAlignment="1">
      <alignment horizontal="center" wrapText="1"/>
    </xf>
    <xf numFmtId="0" fontId="49" fillId="3" borderId="3" xfId="0" applyNumberFormat="1" applyFont="1" applyFill="1" applyBorder="1" applyAlignment="1">
      <alignment horizontal="center" vertical="center" wrapText="1"/>
    </xf>
    <xf numFmtId="0" fontId="49" fillId="3" borderId="46" xfId="0" applyNumberFormat="1" applyFont="1" applyFill="1" applyBorder="1" applyAlignment="1">
      <alignment horizontal="center" wrapText="1"/>
    </xf>
    <xf numFmtId="0" fontId="49" fillId="3" borderId="50" xfId="0" applyNumberFormat="1" applyFont="1" applyFill="1" applyBorder="1" applyAlignment="1">
      <alignment horizontal="center" wrapText="1"/>
    </xf>
    <xf numFmtId="0" fontId="49" fillId="3" borderId="49" xfId="0" applyNumberFormat="1" applyFont="1" applyFill="1" applyBorder="1" applyAlignment="1">
      <alignment horizontal="center" wrapText="1"/>
    </xf>
    <xf numFmtId="0" fontId="49" fillId="3" borderId="49" xfId="0" applyNumberFormat="1" applyFont="1" applyFill="1" applyBorder="1" applyAlignment="1">
      <alignment horizontal="center" vertical="center" wrapText="1"/>
    </xf>
    <xf numFmtId="165" fontId="43" fillId="5" borderId="51" xfId="0" applyNumberFormat="1" applyFont="1" applyFill="1" applyBorder="1" applyAlignment="1">
      <alignment horizontal="center" vertical="center" wrapText="1"/>
    </xf>
    <xf numFmtId="165" fontId="43" fillId="17" borderId="54" xfId="0" applyNumberFormat="1" applyFont="1" applyFill="1" applyBorder="1" applyAlignment="1">
      <alignment horizontal="center" vertical="center" wrapText="1"/>
    </xf>
    <xf numFmtId="165" fontId="43" fillId="4" borderId="54" xfId="0" applyNumberFormat="1" applyFont="1" applyFill="1" applyBorder="1" applyAlignment="1">
      <alignment horizontal="center" vertical="center" wrapText="1"/>
    </xf>
    <xf numFmtId="165" fontId="31" fillId="0" borderId="55" xfId="0" applyNumberFormat="1" applyFont="1" applyFill="1" applyBorder="1" applyAlignment="1">
      <alignment horizontal="center" vertical="top" wrapText="1"/>
    </xf>
    <xf numFmtId="165" fontId="35" fillId="0" borderId="55" xfId="0" applyNumberFormat="1" applyFont="1" applyFill="1" applyBorder="1" applyAlignment="1">
      <alignment horizontal="center" vertical="top" wrapText="1"/>
    </xf>
    <xf numFmtId="165" fontId="31" fillId="0" borderId="56" xfId="0" applyNumberFormat="1" applyFont="1" applyFill="1" applyBorder="1" applyAlignment="1">
      <alignment horizontal="center" vertical="top" wrapText="1"/>
    </xf>
    <xf numFmtId="165" fontId="35" fillId="0" borderId="56" xfId="0" applyNumberFormat="1" applyFont="1" applyFill="1" applyBorder="1" applyAlignment="1">
      <alignment horizontal="center" vertical="top" wrapText="1"/>
    </xf>
    <xf numFmtId="165" fontId="31" fillId="0" borderId="57" xfId="0" applyNumberFormat="1" applyFont="1" applyFill="1" applyBorder="1" applyAlignment="1">
      <alignment horizontal="center" vertical="top" wrapText="1"/>
    </xf>
    <xf numFmtId="165" fontId="35" fillId="0" borderId="57" xfId="0" applyNumberFormat="1" applyFont="1" applyFill="1" applyBorder="1" applyAlignment="1">
      <alignment horizontal="center" vertical="top" wrapText="1"/>
    </xf>
    <xf numFmtId="0" fontId="43" fillId="5" borderId="54" xfId="0" applyFont="1" applyFill="1" applyBorder="1" applyAlignment="1">
      <alignment horizontal="center" vertical="center" wrapText="1"/>
    </xf>
    <xf numFmtId="0" fontId="43" fillId="17" borderId="51" xfId="0" applyFont="1" applyFill="1" applyBorder="1" applyAlignment="1">
      <alignment horizontal="center" vertical="center" wrapText="1"/>
    </xf>
    <xf numFmtId="165" fontId="35" fillId="0" borderId="55" xfId="0" applyNumberFormat="1" applyFont="1" applyFill="1" applyBorder="1" applyAlignment="1">
      <alignment horizontal="center" vertical="center" wrapText="1"/>
    </xf>
    <xf numFmtId="165" fontId="35" fillId="9" borderId="55" xfId="0" applyNumberFormat="1" applyFont="1" applyFill="1" applyBorder="1" applyAlignment="1">
      <alignment horizontal="center" vertical="center" wrapText="1"/>
    </xf>
    <xf numFmtId="165" fontId="35" fillId="0" borderId="56" xfId="0" applyNumberFormat="1" applyFont="1" applyFill="1" applyBorder="1" applyAlignment="1">
      <alignment horizontal="center" vertical="center" wrapText="1"/>
    </xf>
    <xf numFmtId="165" fontId="35" fillId="9" borderId="58" xfId="0" applyNumberFormat="1" applyFont="1" applyFill="1" applyBorder="1" applyAlignment="1">
      <alignment horizontal="center" vertical="center" wrapText="1"/>
    </xf>
    <xf numFmtId="165" fontId="35" fillId="0" borderId="57" xfId="0" applyNumberFormat="1" applyFont="1" applyFill="1" applyBorder="1" applyAlignment="1">
      <alignment horizontal="center" vertical="center" wrapText="1"/>
    </xf>
    <xf numFmtId="165" fontId="35" fillId="9" borderId="59" xfId="0" applyNumberFormat="1" applyFont="1" applyFill="1" applyBorder="1" applyAlignment="1">
      <alignment horizontal="center" vertical="center" wrapText="1"/>
    </xf>
    <xf numFmtId="165" fontId="35" fillId="9" borderId="56" xfId="0" applyNumberFormat="1" applyFont="1" applyFill="1" applyBorder="1" applyAlignment="1">
      <alignment horizontal="center" vertical="center" wrapText="1"/>
    </xf>
    <xf numFmtId="165" fontId="35" fillId="9" borderId="57" xfId="0" applyNumberFormat="1" applyFont="1" applyFill="1" applyBorder="1" applyAlignment="1">
      <alignment horizontal="center" vertical="center" wrapText="1"/>
    </xf>
    <xf numFmtId="0" fontId="49" fillId="4" borderId="46" xfId="0" applyNumberFormat="1" applyFont="1" applyFill="1" applyBorder="1" applyAlignment="1">
      <alignment horizontal="center" wrapText="1"/>
    </xf>
    <xf numFmtId="0" fontId="49" fillId="4" borderId="50" xfId="0" applyNumberFormat="1" applyFont="1" applyFill="1" applyBorder="1" applyAlignment="1">
      <alignment horizontal="center" wrapText="1"/>
    </xf>
    <xf numFmtId="0" fontId="49" fillId="4" borderId="49" xfId="0" applyNumberFormat="1" applyFont="1" applyFill="1" applyBorder="1" applyAlignment="1">
      <alignment horizontal="center" wrapText="1"/>
    </xf>
    <xf numFmtId="0" fontId="49" fillId="4" borderId="49" xfId="0" applyNumberFormat="1" applyFont="1" applyFill="1" applyBorder="1" applyAlignment="1">
      <alignment horizontal="center" vertical="center" wrapText="1"/>
    </xf>
    <xf numFmtId="0" fontId="49" fillId="4" borderId="2" xfId="0" applyNumberFormat="1" applyFont="1" applyFill="1" applyBorder="1" applyAlignment="1">
      <alignment horizontal="center" wrapText="1"/>
    </xf>
    <xf numFmtId="0" fontId="49" fillId="4" borderId="3" xfId="0" applyNumberFormat="1" applyFont="1" applyFill="1" applyBorder="1" applyAlignment="1">
      <alignment horizontal="center" wrapText="1"/>
    </xf>
    <xf numFmtId="0" fontId="49" fillId="4" borderId="3" xfId="0" applyNumberFormat="1" applyFont="1" applyFill="1" applyBorder="1" applyAlignment="1">
      <alignment horizontal="center" vertical="center" wrapText="1"/>
    </xf>
    <xf numFmtId="0" fontId="49" fillId="5" borderId="46" xfId="0" applyNumberFormat="1" applyFont="1" applyFill="1" applyBorder="1" applyAlignment="1">
      <alignment horizontal="center" wrapText="1"/>
    </xf>
    <xf numFmtId="0" fontId="49" fillId="5" borderId="50" xfId="0" applyNumberFormat="1" applyFont="1" applyFill="1" applyBorder="1" applyAlignment="1">
      <alignment horizontal="center" wrapText="1"/>
    </xf>
    <xf numFmtId="0" fontId="49" fillId="5" borderId="49" xfId="0" applyNumberFormat="1" applyFont="1" applyFill="1" applyBorder="1" applyAlignment="1">
      <alignment horizontal="center" wrapText="1"/>
    </xf>
    <xf numFmtId="0" fontId="49" fillId="5" borderId="49" xfId="0" applyNumberFormat="1" applyFont="1" applyFill="1" applyBorder="1" applyAlignment="1">
      <alignment horizontal="center" vertical="center" wrapText="1"/>
    </xf>
    <xf numFmtId="0" fontId="49" fillId="5" borderId="2" xfId="0" applyNumberFormat="1" applyFont="1" applyFill="1" applyBorder="1" applyAlignment="1">
      <alignment horizontal="center" wrapText="1"/>
    </xf>
    <xf numFmtId="0" fontId="49" fillId="5" borderId="3" xfId="0" applyNumberFormat="1" applyFont="1" applyFill="1" applyBorder="1" applyAlignment="1">
      <alignment horizontal="center" wrapText="1"/>
    </xf>
    <xf numFmtId="0" fontId="49" fillId="5" borderId="3" xfId="0" applyNumberFormat="1" applyFont="1" applyFill="1" applyBorder="1" applyAlignment="1">
      <alignment horizontal="center" vertical="center" wrapText="1"/>
    </xf>
    <xf numFmtId="0" fontId="49" fillId="6" borderId="46" xfId="0" applyNumberFormat="1" applyFont="1" applyFill="1" applyBorder="1" applyAlignment="1">
      <alignment horizontal="center" wrapText="1"/>
    </xf>
    <xf numFmtId="0" fontId="49" fillId="6" borderId="50" xfId="0" applyNumberFormat="1" applyFont="1" applyFill="1" applyBorder="1" applyAlignment="1">
      <alignment horizontal="center" wrapText="1"/>
    </xf>
    <xf numFmtId="0" fontId="49" fillId="6" borderId="49" xfId="0" applyNumberFormat="1" applyFont="1" applyFill="1" applyBorder="1" applyAlignment="1">
      <alignment horizontal="center" wrapText="1"/>
    </xf>
    <xf numFmtId="0" fontId="49" fillId="6" borderId="49" xfId="0" applyNumberFormat="1" applyFont="1" applyFill="1" applyBorder="1" applyAlignment="1">
      <alignment horizontal="center" vertical="center" wrapText="1"/>
    </xf>
    <xf numFmtId="0" fontId="49" fillId="6" borderId="2" xfId="0" applyNumberFormat="1" applyFont="1" applyFill="1" applyBorder="1" applyAlignment="1">
      <alignment horizontal="center" wrapText="1"/>
    </xf>
    <xf numFmtId="0" fontId="49" fillId="6" borderId="3" xfId="0" applyNumberFormat="1" applyFont="1" applyFill="1" applyBorder="1" applyAlignment="1">
      <alignment horizontal="center" wrapText="1"/>
    </xf>
    <xf numFmtId="0" fontId="49" fillId="6" borderId="3" xfId="0" applyNumberFormat="1" applyFont="1" applyFill="1" applyBorder="1" applyAlignment="1">
      <alignment horizontal="center" vertical="center" wrapText="1"/>
    </xf>
    <xf numFmtId="0" fontId="49" fillId="24" borderId="2" xfId="0" applyNumberFormat="1" applyFont="1" applyFill="1" applyBorder="1" applyAlignment="1">
      <alignment horizontal="center" wrapText="1"/>
    </xf>
    <xf numFmtId="0" fontId="49" fillId="24" borderId="3" xfId="0" applyNumberFormat="1" applyFont="1" applyFill="1" applyBorder="1" applyAlignment="1">
      <alignment horizontal="center" wrapText="1"/>
    </xf>
    <xf numFmtId="0" fontId="49" fillId="24" borderId="3" xfId="0" applyNumberFormat="1" applyFont="1" applyFill="1" applyBorder="1" applyAlignment="1">
      <alignment horizontal="center" vertical="center" wrapText="1"/>
    </xf>
    <xf numFmtId="0" fontId="49" fillId="24" borderId="46" xfId="0" applyNumberFormat="1" applyFont="1" applyFill="1" applyBorder="1" applyAlignment="1">
      <alignment horizontal="center" wrapText="1"/>
    </xf>
    <xf numFmtId="0" fontId="49" fillId="24" borderId="40" xfId="0" applyNumberFormat="1" applyFont="1" applyFill="1" applyBorder="1" applyAlignment="1">
      <alignment horizontal="center" wrapText="1"/>
    </xf>
    <xf numFmtId="0" fontId="49" fillId="24" borderId="40" xfId="0" applyNumberFormat="1" applyFont="1" applyFill="1" applyBorder="1" applyAlignment="1">
      <alignment horizontal="center" vertical="center" wrapText="1"/>
    </xf>
    <xf numFmtId="0" fontId="49" fillId="24" borderId="50" xfId="0" applyNumberFormat="1" applyFont="1" applyFill="1" applyBorder="1" applyAlignment="1">
      <alignment horizontal="center" wrapText="1"/>
    </xf>
    <xf numFmtId="0" fontId="49" fillId="24" borderId="49" xfId="0" applyNumberFormat="1" applyFont="1" applyFill="1" applyBorder="1" applyAlignment="1">
      <alignment horizontal="center" wrapText="1"/>
    </xf>
    <xf numFmtId="0" fontId="49" fillId="24" borderId="49" xfId="0" applyNumberFormat="1" applyFont="1" applyFill="1" applyBorder="1" applyAlignment="1">
      <alignment horizontal="center" vertical="center" wrapText="1"/>
    </xf>
    <xf numFmtId="0" fontId="49" fillId="3" borderId="47" xfId="0" applyNumberFormat="1" applyFont="1" applyFill="1" applyBorder="1" applyAlignment="1">
      <alignment horizontal="center" vertical="center" wrapText="1"/>
    </xf>
    <xf numFmtId="0" fontId="49" fillId="4" borderId="47" xfId="0" applyNumberFormat="1" applyFont="1" applyFill="1" applyBorder="1" applyAlignment="1">
      <alignment horizontal="center" vertical="center" wrapText="1"/>
    </xf>
    <xf numFmtId="0" fontId="49" fillId="5" borderId="47" xfId="0" applyNumberFormat="1" applyFont="1" applyFill="1" applyBorder="1" applyAlignment="1">
      <alignment horizontal="center" vertical="center" wrapText="1"/>
    </xf>
    <xf numFmtId="0" fontId="49" fillId="6" borderId="47" xfId="0" applyNumberFormat="1" applyFont="1" applyFill="1" applyBorder="1" applyAlignment="1">
      <alignment horizontal="center" vertical="center" wrapText="1"/>
    </xf>
    <xf numFmtId="0" fontId="43" fillId="5" borderId="51" xfId="0" applyFont="1" applyFill="1" applyBorder="1" applyAlignment="1">
      <alignment horizontal="center" vertical="center" wrapText="1"/>
    </xf>
    <xf numFmtId="0" fontId="49" fillId="3" borderId="14" xfId="0" applyNumberFormat="1" applyFont="1" applyFill="1" applyBorder="1" applyAlignment="1">
      <alignment horizontal="center" vertical="center" wrapText="1"/>
    </xf>
    <xf numFmtId="0" fontId="49" fillId="3" borderId="48" xfId="0" applyNumberFormat="1" applyFont="1" applyFill="1" applyBorder="1" applyAlignment="1">
      <alignment horizontal="center" vertical="center" wrapText="1"/>
    </xf>
    <xf numFmtId="0" fontId="49" fillId="4" borderId="14" xfId="0" applyNumberFormat="1" applyFont="1" applyFill="1" applyBorder="1" applyAlignment="1">
      <alignment horizontal="center" vertical="center" wrapText="1"/>
    </xf>
    <xf numFmtId="0" fontId="49" fillId="4" borderId="48" xfId="0" applyNumberFormat="1" applyFont="1" applyFill="1" applyBorder="1" applyAlignment="1">
      <alignment horizontal="center" vertical="center" wrapText="1"/>
    </xf>
    <xf numFmtId="0" fontId="49" fillId="6" borderId="14" xfId="0" applyNumberFormat="1" applyFont="1" applyFill="1" applyBorder="1" applyAlignment="1">
      <alignment horizontal="center" vertical="center" wrapText="1"/>
    </xf>
    <xf numFmtId="0" fontId="49" fillId="6" borderId="48" xfId="0" applyNumberFormat="1" applyFont="1" applyFill="1" applyBorder="1" applyAlignment="1">
      <alignment horizontal="center" vertical="center" wrapText="1"/>
    </xf>
    <xf numFmtId="0" fontId="49" fillId="5" borderId="14" xfId="0" applyNumberFormat="1" applyFont="1" applyFill="1" applyBorder="1" applyAlignment="1">
      <alignment horizontal="center" vertical="center" wrapText="1"/>
    </xf>
    <xf numFmtId="0" fontId="49" fillId="5" borderId="48" xfId="0" applyNumberFormat="1" applyFont="1" applyFill="1" applyBorder="1" applyAlignment="1">
      <alignment horizontal="center" vertical="center" wrapText="1"/>
    </xf>
    <xf numFmtId="0" fontId="49" fillId="24" borderId="14" xfId="0" applyNumberFormat="1" applyFont="1" applyFill="1" applyBorder="1" applyAlignment="1">
      <alignment horizontal="center" vertical="center" wrapText="1"/>
    </xf>
    <xf numFmtId="0" fontId="49" fillId="24" borderId="47" xfId="0" applyNumberFormat="1" applyFont="1" applyFill="1" applyBorder="1" applyAlignment="1">
      <alignment horizontal="center" vertical="center" wrapText="1"/>
    </xf>
    <xf numFmtId="0" fontId="49" fillId="24" borderId="48" xfId="0" applyNumberFormat="1" applyFont="1" applyFill="1" applyBorder="1" applyAlignment="1">
      <alignment horizontal="center" vertical="center" wrapText="1"/>
    </xf>
    <xf numFmtId="0" fontId="28" fillId="0" borderId="1"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7" fillId="9" borderId="3" xfId="0" applyFont="1" applyFill="1" applyBorder="1" applyAlignment="1">
      <alignment horizontal="center" vertical="center" wrapText="1"/>
    </xf>
    <xf numFmtId="0" fontId="27" fillId="9" borderId="1"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1" fillId="0" borderId="1" xfId="0" applyFont="1" applyBorder="1" applyAlignment="1">
      <alignment horizontal="center" vertical="center" wrapText="1"/>
    </xf>
    <xf numFmtId="0" fontId="0" fillId="0" borderId="3" xfId="0" applyFont="1" applyFill="1" applyBorder="1" applyAlignment="1">
      <alignment horizontal="center" vertical="center" wrapText="1"/>
    </xf>
    <xf numFmtId="0" fontId="21" fillId="0" borderId="1" xfId="0" applyFont="1" applyFill="1" applyBorder="1" applyAlignment="1">
      <alignment horizontal="center" vertical="center" wrapText="1"/>
    </xf>
    <xf numFmtId="0" fontId="21" fillId="9" borderId="3"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1" fillId="0" borderId="3" xfId="0" applyFont="1" applyBorder="1" applyAlignment="1">
      <alignment horizontal="center" vertical="center" wrapText="1"/>
    </xf>
    <xf numFmtId="0" fontId="21" fillId="0" borderId="3"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1" fillId="0" borderId="1" xfId="0" applyFont="1" applyFill="1" applyBorder="1" applyAlignment="1">
      <alignment horizontal="center" vertical="center" wrapText="1"/>
    </xf>
    <xf numFmtId="0" fontId="28" fillId="9" borderId="3" xfId="0" applyFont="1" applyFill="1" applyBorder="1" applyAlignment="1">
      <alignment horizontal="center" vertical="center" wrapText="1"/>
    </xf>
    <xf numFmtId="0" fontId="21"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1" fillId="0" borderId="19"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1" fillId="9" borderId="3"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45" fillId="25" borderId="31" xfId="0" applyFont="1" applyFill="1" applyBorder="1" applyAlignment="1">
      <alignment wrapText="1"/>
    </xf>
    <xf numFmtId="0" fontId="45" fillId="21" borderId="31" xfId="0" applyFont="1" applyFill="1" applyBorder="1" applyAlignment="1">
      <alignment wrapText="1"/>
    </xf>
    <xf numFmtId="0" fontId="45" fillId="15" borderId="31" xfId="0" applyFont="1" applyFill="1" applyBorder="1" applyAlignment="1">
      <alignment horizontal="center" vertical="center" wrapText="1"/>
    </xf>
    <xf numFmtId="0" fontId="45" fillId="26" borderId="31" xfId="0" applyFont="1" applyFill="1" applyBorder="1" applyAlignment="1">
      <alignment wrapText="1"/>
    </xf>
    <xf numFmtId="0" fontId="45" fillId="21" borderId="31" xfId="0" applyFont="1" applyFill="1" applyBorder="1" applyAlignment="1">
      <alignment vertical="center" wrapText="1"/>
    </xf>
    <xf numFmtId="0" fontId="45" fillId="0" borderId="0" xfId="0" applyFont="1" applyAlignment="1">
      <alignment wrapText="1"/>
    </xf>
    <xf numFmtId="0" fontId="56" fillId="0" borderId="31" xfId="0" applyFont="1" applyBorder="1"/>
    <xf numFmtId="171" fontId="56" fillId="0" borderId="31" xfId="0" applyNumberFormat="1" applyFont="1" applyBorder="1" applyAlignment="1">
      <alignment horizontal="center"/>
    </xf>
    <xf numFmtId="0" fontId="56" fillId="0" borderId="31" xfId="0" applyNumberFormat="1" applyFont="1" applyBorder="1" applyAlignment="1">
      <alignment horizontal="center"/>
    </xf>
    <xf numFmtId="172" fontId="56" fillId="0" borderId="31" xfId="0" applyNumberFormat="1" applyFont="1" applyBorder="1" applyAlignment="1">
      <alignment horizontal="center"/>
    </xf>
    <xf numFmtId="169" fontId="56" fillId="0" borderId="31" xfId="0" applyNumberFormat="1" applyFont="1" applyBorder="1"/>
    <xf numFmtId="0" fontId="56" fillId="0" borderId="31" xfId="0" applyFont="1" applyBorder="1" applyAlignment="1">
      <alignment horizontal="center"/>
    </xf>
    <xf numFmtId="0" fontId="35" fillId="0" borderId="31" xfId="0" applyFont="1" applyBorder="1"/>
    <xf numFmtId="169" fontId="56" fillId="0" borderId="31" xfId="0" applyNumberFormat="1" applyFont="1" applyBorder="1" applyAlignment="1">
      <alignment horizontal="center"/>
    </xf>
    <xf numFmtId="0" fontId="56" fillId="0" borderId="0" xfId="0" applyFont="1"/>
    <xf numFmtId="0" fontId="57" fillId="0" borderId="31" xfId="0" applyFont="1" applyBorder="1" applyAlignment="1">
      <alignment horizontal="center"/>
    </xf>
    <xf numFmtId="0" fontId="57" fillId="0" borderId="31" xfId="0" applyFont="1" applyBorder="1"/>
    <xf numFmtId="169" fontId="57" fillId="0" borderId="31" xfId="0" applyNumberFormat="1" applyFont="1" applyBorder="1" applyAlignment="1">
      <alignment horizontal="center"/>
    </xf>
    <xf numFmtId="0" fontId="56" fillId="13" borderId="31" xfId="0" applyFont="1" applyFill="1" applyBorder="1" applyAlignment="1">
      <alignment horizontal="center"/>
    </xf>
    <xf numFmtId="0" fontId="35" fillId="13" borderId="31" xfId="0" applyFont="1" applyFill="1" applyBorder="1"/>
    <xf numFmtId="0" fontId="56" fillId="13" borderId="31" xfId="0" applyFont="1" applyFill="1" applyBorder="1"/>
    <xf numFmtId="169" fontId="56" fillId="13" borderId="31" xfId="0" applyNumberFormat="1" applyFont="1" applyFill="1" applyBorder="1" applyAlignment="1">
      <alignment horizontal="center"/>
    </xf>
    <xf numFmtId="0" fontId="56" fillId="27" borderId="31" xfId="0" applyFont="1" applyFill="1" applyBorder="1" applyAlignment="1">
      <alignment horizontal="center"/>
    </xf>
    <xf numFmtId="0" fontId="35" fillId="27" borderId="31" xfId="0" applyFont="1" applyFill="1" applyBorder="1"/>
    <xf numFmtId="0" fontId="56" fillId="27" borderId="31" xfId="0" applyFont="1" applyFill="1" applyBorder="1"/>
    <xf numFmtId="169" fontId="56" fillId="27" borderId="31" xfId="0" applyNumberFormat="1" applyFont="1" applyFill="1" applyBorder="1" applyAlignment="1">
      <alignment horizontal="center"/>
    </xf>
    <xf numFmtId="0" fontId="57" fillId="0" borderId="31" xfId="0" applyFont="1" applyFill="1" applyBorder="1" applyAlignment="1">
      <alignment horizontal="center"/>
    </xf>
    <xf numFmtId="0" fontId="57" fillId="0" borderId="31" xfId="0" applyFont="1" applyFill="1" applyBorder="1"/>
    <xf numFmtId="169" fontId="57" fillId="0" borderId="31" xfId="0" applyNumberFormat="1" applyFont="1" applyFill="1" applyBorder="1" applyAlignment="1">
      <alignment horizontal="center"/>
    </xf>
    <xf numFmtId="0" fontId="35" fillId="13" borderId="31" xfId="0" applyFont="1" applyFill="1" applyBorder="1" applyAlignment="1">
      <alignment horizontal="center"/>
    </xf>
    <xf numFmtId="0" fontId="56" fillId="0" borderId="0" xfId="0" applyFont="1" applyAlignment="1">
      <alignment horizontal="center"/>
    </xf>
    <xf numFmtId="0" fontId="45" fillId="28" borderId="31" xfId="0" applyFont="1" applyFill="1" applyBorder="1" applyAlignment="1">
      <alignment horizontal="center" wrapText="1"/>
    </xf>
    <xf numFmtId="0" fontId="45" fillId="28" borderId="31" xfId="0" applyFont="1" applyFill="1" applyBorder="1" applyAlignment="1">
      <alignment horizontal="center" vertical="center" wrapText="1"/>
    </xf>
    <xf numFmtId="0" fontId="21" fillId="0" borderId="1" xfId="0" applyFont="1" applyBorder="1" applyAlignment="1">
      <alignment horizontal="center" vertical="center" wrapText="1"/>
    </xf>
    <xf numFmtId="0" fontId="21" fillId="9" borderId="3"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1" fillId="0" borderId="3" xfId="0" applyFont="1" applyBorder="1" applyAlignment="1">
      <alignment horizontal="center" vertical="center" wrapText="1"/>
    </xf>
    <xf numFmtId="0" fontId="39" fillId="0" borderId="69" xfId="0" applyFont="1" applyFill="1" applyBorder="1" applyAlignment="1" applyProtection="1">
      <alignment horizontal="center" vertical="center" wrapText="1"/>
    </xf>
    <xf numFmtId="0" fontId="39" fillId="0" borderId="31" xfId="0" applyFont="1" applyFill="1" applyBorder="1" applyAlignment="1" applyProtection="1">
      <alignment horizontal="center" vertical="center" wrapText="1"/>
    </xf>
    <xf numFmtId="0" fontId="39" fillId="0" borderId="31" xfId="0" applyFont="1" applyFill="1" applyBorder="1" applyAlignment="1" applyProtection="1">
      <alignment horizontal="center" vertical="center" wrapText="1"/>
    </xf>
    <xf numFmtId="0" fontId="39" fillId="0" borderId="19" xfId="0" applyFont="1" applyFill="1" applyBorder="1" applyAlignment="1" applyProtection="1">
      <alignment horizontal="center" vertical="center" wrapText="1"/>
    </xf>
    <xf numFmtId="0" fontId="38" fillId="0" borderId="31" xfId="0" applyFont="1" applyFill="1" applyBorder="1" applyAlignment="1">
      <alignment horizontal="center" vertical="center" wrapText="1"/>
    </xf>
    <xf numFmtId="0" fontId="35" fillId="0" borderId="31" xfId="0" applyFont="1" applyFill="1" applyBorder="1" applyAlignment="1">
      <alignment horizontal="center" vertical="center" wrapText="1"/>
    </xf>
    <xf numFmtId="0" fontId="35" fillId="0" borderId="31" xfId="0" applyFont="1" applyFill="1" applyBorder="1" applyAlignment="1" applyProtection="1">
      <alignment horizontal="center" vertical="center" wrapText="1"/>
    </xf>
    <xf numFmtId="0" fontId="39" fillId="0" borderId="13" xfId="0" applyFont="1" applyFill="1" applyBorder="1" applyAlignment="1" applyProtection="1">
      <alignment horizontal="center" vertical="center" wrapText="1"/>
    </xf>
    <xf numFmtId="0" fontId="39" fillId="0" borderId="53" xfId="0" applyFont="1" applyFill="1" applyBorder="1" applyAlignment="1" applyProtection="1">
      <alignment horizontal="center" vertical="center" wrapText="1"/>
    </xf>
    <xf numFmtId="0" fontId="39" fillId="0" borderId="71" xfId="0" applyFont="1" applyFill="1" applyBorder="1" applyAlignment="1" applyProtection="1">
      <alignment horizontal="center" vertical="center" wrapText="1"/>
    </xf>
    <xf numFmtId="0" fontId="39" fillId="0" borderId="49" xfId="0" applyFont="1" applyFill="1" applyBorder="1" applyAlignment="1" applyProtection="1">
      <alignment horizontal="center" vertical="center"/>
    </xf>
    <xf numFmtId="0" fontId="39" fillId="0" borderId="26" xfId="0" applyFont="1" applyFill="1" applyBorder="1" applyAlignment="1" applyProtection="1">
      <alignment horizontal="center" vertical="center" wrapText="1"/>
    </xf>
    <xf numFmtId="0" fontId="39" fillId="0" borderId="71" xfId="0" applyFont="1" applyFill="1" applyBorder="1" applyAlignment="1" applyProtection="1">
      <alignment horizontal="center" vertical="center" wrapText="1"/>
    </xf>
    <xf numFmtId="0" fontId="35" fillId="0" borderId="26" xfId="0" applyFont="1" applyFill="1" applyBorder="1" applyAlignment="1">
      <alignment horizontal="center" vertical="center" wrapText="1"/>
    </xf>
    <xf numFmtId="0" fontId="38" fillId="0" borderId="26" xfId="0" applyFont="1" applyFill="1" applyBorder="1" applyAlignment="1">
      <alignment horizontal="center" vertical="center" wrapText="1"/>
    </xf>
    <xf numFmtId="0" fontId="35" fillId="0" borderId="71" xfId="0" applyFont="1" applyFill="1" applyBorder="1" applyAlignment="1" applyProtection="1">
      <alignment horizontal="center" vertical="center" wrapText="1"/>
    </xf>
    <xf numFmtId="0" fontId="35" fillId="0" borderId="49" xfId="0" applyFont="1" applyFill="1" applyBorder="1" applyAlignment="1" applyProtection="1">
      <alignment horizontal="center" vertical="center"/>
    </xf>
    <xf numFmtId="0" fontId="39" fillId="0" borderId="72" xfId="0" applyFont="1" applyFill="1" applyBorder="1" applyAlignment="1" applyProtection="1">
      <alignment horizontal="center" vertical="center" wrapText="1"/>
    </xf>
    <xf numFmtId="0" fontId="42" fillId="0" borderId="31" xfId="0" applyFont="1" applyFill="1" applyBorder="1" applyAlignment="1" applyProtection="1">
      <alignment horizontal="center" vertical="center" wrapText="1"/>
    </xf>
    <xf numFmtId="0" fontId="39" fillId="0" borderId="49" xfId="0" applyFont="1" applyFill="1" applyBorder="1" applyAlignment="1" applyProtection="1">
      <alignment horizontal="center" vertical="center" wrapText="1"/>
    </xf>
    <xf numFmtId="0" fontId="39" fillId="0" borderId="69" xfId="0" applyFont="1" applyFill="1" applyBorder="1" applyAlignment="1" applyProtection="1">
      <alignment horizontal="center" vertical="center" wrapText="1"/>
    </xf>
    <xf numFmtId="0" fontId="64" fillId="0" borderId="31" xfId="0" applyFont="1" applyFill="1" applyBorder="1" applyAlignment="1" applyProtection="1">
      <alignment horizontal="center" vertical="center" wrapText="1"/>
    </xf>
    <xf numFmtId="0" fontId="35" fillId="0" borderId="26" xfId="0" applyFont="1" applyFill="1" applyBorder="1" applyAlignment="1" applyProtection="1">
      <alignment horizontal="center" vertical="center" wrapText="1"/>
    </xf>
    <xf numFmtId="0" fontId="35" fillId="0" borderId="70" xfId="0" applyFont="1" applyFill="1" applyBorder="1" applyAlignment="1">
      <alignment vertical="center" wrapText="1"/>
    </xf>
    <xf numFmtId="0" fontId="35" fillId="0" borderId="27" xfId="0" applyFont="1" applyFill="1" applyBorder="1" applyAlignment="1">
      <alignment horizontal="center" vertical="center"/>
    </xf>
    <xf numFmtId="0" fontId="39" fillId="0" borderId="26" xfId="0" applyFont="1" applyFill="1" applyBorder="1" applyAlignment="1" applyProtection="1">
      <alignment horizontal="center" vertical="center" wrapText="1"/>
    </xf>
    <xf numFmtId="0" fontId="35" fillId="0" borderId="71" xfId="0" applyFont="1" applyFill="1" applyBorder="1" applyAlignment="1">
      <alignment vertical="center" wrapText="1"/>
    </xf>
    <xf numFmtId="0" fontId="41" fillId="23" borderId="0" xfId="0" applyFont="1" applyFill="1" applyAlignment="1">
      <alignment horizontal="center" vertical="center" wrapText="1"/>
    </xf>
    <xf numFmtId="0" fontId="35" fillId="0" borderId="22" xfId="0" applyFont="1" applyFill="1" applyBorder="1" applyAlignment="1">
      <alignment horizontal="center" vertical="center"/>
    </xf>
    <xf numFmtId="0" fontId="35" fillId="0" borderId="48" xfId="0" applyFont="1" applyFill="1" applyBorder="1" applyAlignment="1">
      <alignment horizontal="center" vertical="center"/>
    </xf>
    <xf numFmtId="0" fontId="38" fillId="0" borderId="49" xfId="0" applyFont="1" applyFill="1" applyBorder="1" applyAlignment="1">
      <alignment horizontal="center" vertical="center" wrapText="1"/>
    </xf>
    <xf numFmtId="0" fontId="35" fillId="0" borderId="49" xfId="0" applyFont="1" applyFill="1" applyBorder="1" applyAlignment="1">
      <alignment horizontal="center" vertical="center" wrapText="1"/>
    </xf>
    <xf numFmtId="0" fontId="39" fillId="0" borderId="49" xfId="0" applyFont="1" applyFill="1" applyBorder="1" applyAlignment="1" applyProtection="1">
      <alignment horizontal="center" vertical="center" wrapText="1"/>
    </xf>
    <xf numFmtId="0" fontId="35" fillId="0" borderId="80" xfId="0" applyFont="1" applyFill="1" applyBorder="1" applyAlignment="1">
      <alignment horizontal="center" vertical="center" wrapText="1"/>
    </xf>
    <xf numFmtId="0" fontId="35" fillId="0" borderId="70" xfId="0" applyFont="1" applyFill="1" applyBorder="1" applyAlignment="1">
      <alignment horizontal="center" vertical="center" wrapText="1"/>
    </xf>
    <xf numFmtId="0" fontId="35" fillId="0" borderId="31" xfId="0" applyFont="1" applyFill="1" applyBorder="1" applyAlignment="1">
      <alignment horizontal="center" vertical="center"/>
    </xf>
    <xf numFmtId="0" fontId="35" fillId="0" borderId="71" xfId="0" applyFont="1" applyFill="1" applyBorder="1" applyAlignment="1">
      <alignment horizontal="center" vertical="center" wrapText="1"/>
    </xf>
    <xf numFmtId="0" fontId="35" fillId="0" borderId="72" xfId="0" applyFont="1" applyFill="1" applyBorder="1" applyAlignment="1">
      <alignment horizontal="center" vertical="center" wrapText="1"/>
    </xf>
    <xf numFmtId="0" fontId="35" fillId="0" borderId="49" xfId="0" applyFont="1" applyFill="1" applyBorder="1" applyAlignment="1">
      <alignment horizontal="center" vertical="center"/>
    </xf>
    <xf numFmtId="0" fontId="69" fillId="23" borderId="0" xfId="0" applyFont="1" applyFill="1" applyAlignment="1">
      <alignment horizontal="center" vertical="center" wrapText="1"/>
    </xf>
    <xf numFmtId="0" fontId="39" fillId="0" borderId="19" xfId="0" applyFont="1" applyFill="1" applyBorder="1" applyAlignment="1" applyProtection="1">
      <alignment horizontal="center" vertical="center" wrapText="1"/>
    </xf>
    <xf numFmtId="0" fontId="39" fillId="0" borderId="49" xfId="0" applyFont="1" applyBorder="1" applyAlignment="1" applyProtection="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1" fillId="9" borderId="3"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8" fillId="0" borderId="1" xfId="0" applyFont="1" applyFill="1" applyBorder="1" applyAlignment="1">
      <alignment horizontal="center" vertical="center" wrapText="1"/>
    </xf>
    <xf numFmtId="165" fontId="28" fillId="9" borderId="31" xfId="0" applyNumberFormat="1" applyFont="1" applyFill="1" applyBorder="1" applyAlignment="1">
      <alignment horizontal="center" vertical="center" wrapText="1"/>
    </xf>
    <xf numFmtId="165" fontId="28" fillId="9" borderId="49" xfId="0" applyNumberFormat="1"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1" fillId="9" borderId="3"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166" fontId="27" fillId="10" borderId="4" xfId="0" applyNumberFormat="1" applyFont="1" applyFill="1" applyBorder="1" applyAlignment="1">
      <alignment horizontal="center" vertical="center" wrapText="1"/>
    </xf>
    <xf numFmtId="166" fontId="27" fillId="10" borderId="6" xfId="0" applyNumberFormat="1"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1" fillId="0" borderId="1" xfId="0" applyFont="1" applyFill="1" applyBorder="1" applyAlignment="1">
      <alignment horizontal="center" vertical="center" wrapText="1"/>
    </xf>
    <xf numFmtId="0" fontId="21" fillId="0" borderId="3"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3" xfId="0"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166" fontId="28" fillId="0" borderId="20" xfId="0" applyNumberFormat="1" applyFont="1" applyFill="1" applyBorder="1" applyAlignment="1">
      <alignment horizontal="center" vertical="center" wrapText="1"/>
    </xf>
    <xf numFmtId="0" fontId="28" fillId="0" borderId="19"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165" fontId="0" fillId="0" borderId="3" xfId="0" applyNumberFormat="1" applyFont="1" applyFill="1" applyBorder="1" applyAlignment="1">
      <alignment horizontal="center" vertical="center" wrapText="1"/>
    </xf>
    <xf numFmtId="165" fontId="0" fillId="0" borderId="19" xfId="0" applyNumberFormat="1" applyFont="1" applyFill="1" applyBorder="1" applyAlignment="1">
      <alignment horizontal="center" vertical="center" wrapText="1"/>
    </xf>
    <xf numFmtId="0" fontId="28" fillId="9" borderId="1"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7" fillId="9" borderId="3" xfId="0" applyFont="1" applyFill="1" applyBorder="1" applyAlignment="1">
      <alignment horizontal="center" vertical="center" wrapText="1"/>
    </xf>
    <xf numFmtId="0" fontId="27" fillId="9" borderId="1" xfId="0" applyFont="1" applyFill="1" applyBorder="1" applyAlignment="1">
      <alignment horizontal="center" vertical="center" wrapText="1"/>
    </xf>
    <xf numFmtId="49" fontId="24" fillId="32" borderId="39" xfId="0" applyNumberFormat="1" applyFont="1" applyFill="1" applyBorder="1" applyAlignment="1">
      <alignment horizontal="center" wrapText="1"/>
    </xf>
    <xf numFmtId="49" fontId="18" fillId="0" borderId="0" xfId="0" applyNumberFormat="1" applyFont="1"/>
    <xf numFmtId="49" fontId="18" fillId="23" borderId="0" xfId="0" applyNumberFormat="1" applyFont="1" applyFill="1"/>
    <xf numFmtId="49" fontId="50" fillId="32" borderId="38" xfId="0" applyNumberFormat="1" applyFont="1" applyFill="1" applyBorder="1" applyAlignment="1">
      <alignment horizontal="center" wrapText="1"/>
    </xf>
    <xf numFmtId="49" fontId="50" fillId="32" borderId="19" xfId="0" applyNumberFormat="1" applyFont="1" applyFill="1" applyBorder="1" applyAlignment="1">
      <alignment horizontal="center" wrapText="1"/>
    </xf>
    <xf numFmtId="169" fontId="50" fillId="32" borderId="19" xfId="0" applyNumberFormat="1" applyFont="1" applyFill="1" applyBorder="1" applyAlignment="1">
      <alignment horizontal="center" wrapText="1"/>
    </xf>
    <xf numFmtId="49" fontId="24" fillId="32" borderId="19" xfId="0" applyNumberFormat="1" applyFont="1" applyFill="1" applyBorder="1" applyAlignment="1">
      <alignment horizontal="center" wrapText="1"/>
    </xf>
    <xf numFmtId="49" fontId="24" fillId="32" borderId="16" xfId="0" applyNumberFormat="1" applyFont="1" applyFill="1" applyBorder="1" applyAlignment="1">
      <alignment horizontal="center" wrapText="1"/>
    </xf>
    <xf numFmtId="49" fontId="18" fillId="0" borderId="0" xfId="0" applyNumberFormat="1" applyFont="1" applyAlignment="1">
      <alignment horizontal="center"/>
    </xf>
    <xf numFmtId="49" fontId="18" fillId="0" borderId="0" xfId="0" applyNumberFormat="1" applyFont="1" applyAlignment="1">
      <alignment horizontal="center" wrapText="1"/>
    </xf>
    <xf numFmtId="49" fontId="18" fillId="0" borderId="0" xfId="0" applyNumberFormat="1" applyFont="1" applyAlignment="1">
      <alignment horizontal="left" wrapText="1"/>
    </xf>
    <xf numFmtId="169" fontId="18" fillId="0" borderId="0" xfId="0" applyNumberFormat="1" applyFont="1" applyAlignment="1">
      <alignment horizontal="left" wrapText="1"/>
    </xf>
    <xf numFmtId="169" fontId="18" fillId="0" borderId="0" xfId="0" applyNumberFormat="1" applyFont="1" applyAlignment="1">
      <alignment horizontal="left"/>
    </xf>
    <xf numFmtId="49" fontId="18" fillId="0" borderId="0" xfId="0" applyNumberFormat="1" applyFont="1" applyAlignment="1">
      <alignment horizontal="left"/>
    </xf>
    <xf numFmtId="49" fontId="18" fillId="0" borderId="0" xfId="0" applyNumberFormat="1" applyFont="1" applyAlignment="1">
      <alignment wrapText="1"/>
    </xf>
    <xf numFmtId="169" fontId="18" fillId="0" borderId="0" xfId="0" applyNumberFormat="1" applyFont="1" applyAlignment="1">
      <alignment wrapText="1"/>
    </xf>
    <xf numFmtId="169" fontId="18" fillId="0" borderId="0" xfId="0" applyNumberFormat="1" applyFont="1"/>
    <xf numFmtId="0" fontId="21" fillId="9" borderId="1" xfId="0" applyFont="1" applyFill="1" applyBorder="1" applyAlignment="1">
      <alignment horizontal="center" vertical="center" wrapText="1"/>
    </xf>
    <xf numFmtId="0" fontId="17" fillId="0" borderId="0" xfId="0" applyFont="1"/>
    <xf numFmtId="0" fontId="17" fillId="0" borderId="31" xfId="0" applyFont="1" applyFill="1" applyBorder="1"/>
    <xf numFmtId="168" fontId="17" fillId="0" borderId="31" xfId="0" applyNumberFormat="1" applyFont="1" applyFill="1" applyBorder="1" applyAlignment="1">
      <alignment horizontal="center"/>
    </xf>
    <xf numFmtId="0" fontId="17" fillId="0" borderId="31" xfId="0" applyFont="1" applyFill="1" applyBorder="1" applyAlignment="1">
      <alignment horizontal="center"/>
    </xf>
    <xf numFmtId="0" fontId="17" fillId="9" borderId="31" xfId="0" applyFont="1" applyFill="1" applyBorder="1"/>
    <xf numFmtId="0" fontId="28" fillId="0" borderId="1" xfId="0" applyFont="1" applyFill="1" applyBorder="1" applyAlignment="1">
      <alignment horizontal="center" vertical="center" wrapText="1"/>
    </xf>
    <xf numFmtId="0" fontId="21" fillId="9" borderId="31" xfId="0" applyFont="1" applyFill="1" applyBorder="1" applyAlignment="1">
      <alignment horizontal="center" vertical="center" wrapText="1"/>
    </xf>
    <xf numFmtId="0" fontId="21" fillId="9" borderId="49" xfId="0" applyFont="1" applyFill="1" applyBorder="1" applyAlignment="1">
      <alignment horizontal="center" vertical="center" wrapText="1"/>
    </xf>
    <xf numFmtId="0" fontId="21" fillId="9" borderId="8" xfId="0" applyFont="1" applyFill="1" applyBorder="1" applyAlignment="1">
      <alignment horizontal="center" vertical="center" wrapText="1"/>
    </xf>
    <xf numFmtId="165" fontId="0" fillId="9" borderId="31" xfId="0" applyNumberFormat="1" applyFont="1" applyFill="1" applyBorder="1" applyAlignment="1">
      <alignment horizontal="center" vertical="center" wrapText="1"/>
    </xf>
    <xf numFmtId="165" fontId="0" fillId="9" borderId="49" xfId="0" applyNumberFormat="1"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16" fillId="0" borderId="31" xfId="0" applyFont="1" applyFill="1" applyBorder="1" applyAlignment="1">
      <alignment horizontal="center"/>
    </xf>
    <xf numFmtId="0" fontId="16" fillId="0" borderId="31" xfId="0" applyFont="1" applyFill="1" applyBorder="1"/>
    <xf numFmtId="0" fontId="22" fillId="3" borderId="31" xfId="0" applyFont="1" applyFill="1" applyBorder="1" applyAlignment="1">
      <alignment horizontal="left" vertical="center" wrapText="1"/>
    </xf>
    <xf numFmtId="0" fontId="22" fillId="3" borderId="31" xfId="0" applyFont="1" applyFill="1" applyBorder="1" applyAlignment="1">
      <alignment horizontal="center" vertical="center" wrapText="1"/>
    </xf>
    <xf numFmtId="168" fontId="22" fillId="2" borderId="31" xfId="0" applyNumberFormat="1" applyFont="1" applyFill="1" applyBorder="1" applyAlignment="1">
      <alignment horizontal="left" vertical="center" wrapText="1"/>
    </xf>
    <xf numFmtId="0" fontId="22" fillId="2" borderId="31" xfId="0" applyFont="1" applyFill="1" applyBorder="1" applyAlignment="1">
      <alignment horizontal="center" vertical="center" wrapText="1"/>
    </xf>
    <xf numFmtId="0" fontId="22" fillId="2" borderId="31" xfId="0" applyFont="1" applyFill="1" applyBorder="1" applyAlignment="1">
      <alignment horizontal="left" vertical="center" wrapText="1"/>
    </xf>
    <xf numFmtId="0" fontId="16" fillId="0" borderId="0" xfId="0" applyFont="1" applyAlignment="1">
      <alignment horizontal="left" vertical="center" wrapText="1"/>
    </xf>
    <xf numFmtId="0" fontId="16" fillId="0" borderId="31" xfId="0" applyFont="1" applyBorder="1"/>
    <xf numFmtId="0" fontId="16" fillId="0" borderId="31" xfId="0" applyFont="1" applyBorder="1" applyAlignment="1">
      <alignment horizontal="center"/>
    </xf>
    <xf numFmtId="168" fontId="16" fillId="0" borderId="31" xfId="0" applyNumberFormat="1" applyFont="1" applyBorder="1" applyAlignment="1">
      <alignment horizontal="center"/>
    </xf>
    <xf numFmtId="0" fontId="16" fillId="0" borderId="0" xfId="0" applyFont="1"/>
    <xf numFmtId="0" fontId="51" fillId="0" borderId="31" xfId="0" applyFont="1" applyBorder="1" applyAlignment="1">
      <alignment horizontal="center"/>
    </xf>
    <xf numFmtId="0" fontId="51" fillId="0" borderId="31" xfId="0" applyFont="1" applyFill="1" applyBorder="1" applyAlignment="1">
      <alignment horizontal="center"/>
    </xf>
    <xf numFmtId="0" fontId="16" fillId="0" borderId="31" xfId="0" applyFont="1" applyFill="1" applyBorder="1"/>
    <xf numFmtId="168" fontId="16" fillId="0" borderId="31" xfId="0" applyNumberFormat="1" applyFont="1" applyFill="1" applyBorder="1" applyAlignment="1">
      <alignment horizontal="center"/>
    </xf>
    <xf numFmtId="0" fontId="16" fillId="0" borderId="31" xfId="0" applyFont="1" applyFill="1" applyBorder="1" applyAlignment="1">
      <alignment horizontal="center"/>
    </xf>
    <xf numFmtId="0" fontId="16" fillId="9" borderId="31" xfId="0" applyFont="1" applyFill="1" applyBorder="1"/>
    <xf numFmtId="0" fontId="51" fillId="0" borderId="31" xfId="0" applyFont="1" applyFill="1" applyBorder="1"/>
    <xf numFmtId="0" fontId="23" fillId="0" borderId="31" xfId="0" applyFont="1" applyBorder="1"/>
    <xf numFmtId="0" fontId="51" fillId="0" borderId="31" xfId="0" applyFont="1" applyBorder="1"/>
    <xf numFmtId="0" fontId="16" fillId="0" borderId="0" xfId="0" applyFont="1" applyFill="1"/>
    <xf numFmtId="0" fontId="23" fillId="0" borderId="31" xfId="0" applyFont="1" applyFill="1" applyBorder="1"/>
    <xf numFmtId="0" fontId="23" fillId="0" borderId="31" xfId="0" applyFont="1" applyFill="1" applyBorder="1" applyAlignment="1">
      <alignment horizontal="center"/>
    </xf>
    <xf numFmtId="0" fontId="16" fillId="0" borderId="0" xfId="0" applyFont="1" applyAlignment="1">
      <alignment horizontal="center"/>
    </xf>
    <xf numFmtId="168" fontId="16" fillId="0" borderId="0" xfId="0" applyNumberFormat="1" applyFont="1" applyAlignment="1">
      <alignment horizontal="center"/>
    </xf>
    <xf numFmtId="169" fontId="16" fillId="0" borderId="0" xfId="0" applyNumberFormat="1" applyFont="1" applyAlignment="1">
      <alignment horizontal="center"/>
    </xf>
    <xf numFmtId="0" fontId="35" fillId="0" borderId="31" xfId="0" applyFont="1" applyFill="1" applyBorder="1" applyAlignment="1">
      <alignment horizontal="center" vertical="center" wrapText="1"/>
    </xf>
    <xf numFmtId="0" fontId="22" fillId="2" borderId="47" xfId="0" applyFont="1" applyFill="1" applyBorder="1" applyAlignment="1">
      <alignment horizontal="left" vertical="center" wrapText="1"/>
    </xf>
    <xf numFmtId="0" fontId="16" fillId="0" borderId="47" xfId="0" applyFont="1" applyBorder="1"/>
    <xf numFmtId="0" fontId="16" fillId="0" borderId="47" xfId="0" applyFont="1" applyFill="1" applyBorder="1"/>
    <xf numFmtId="0" fontId="17" fillId="0" borderId="47" xfId="0" applyFont="1" applyFill="1" applyBorder="1"/>
    <xf numFmtId="0" fontId="51" fillId="0" borderId="47" xfId="0" applyFont="1" applyFill="1" applyBorder="1"/>
    <xf numFmtId="168" fontId="22" fillId="28" borderId="2" xfId="0" applyNumberFormat="1" applyFont="1" applyFill="1" applyBorder="1" applyAlignment="1">
      <alignment horizontal="left" vertical="center" wrapText="1"/>
    </xf>
    <xf numFmtId="169" fontId="22" fillId="28" borderId="70" xfId="0" applyNumberFormat="1" applyFont="1" applyFill="1" applyBorder="1" applyAlignment="1">
      <alignment horizontal="left" vertical="center" wrapText="1"/>
    </xf>
    <xf numFmtId="0" fontId="16" fillId="0" borderId="46" xfId="0" applyFont="1" applyBorder="1" applyAlignment="1">
      <alignment horizontal="center"/>
    </xf>
    <xf numFmtId="169" fontId="16" fillId="0" borderId="71" xfId="0" applyNumberFormat="1" applyFont="1" applyBorder="1" applyAlignment="1">
      <alignment horizontal="center"/>
    </xf>
    <xf numFmtId="0" fontId="51" fillId="0" borderId="46" xfId="0" applyFont="1" applyFill="1" applyBorder="1" applyAlignment="1">
      <alignment horizontal="center"/>
    </xf>
    <xf numFmtId="169" fontId="16" fillId="0" borderId="71" xfId="0" applyNumberFormat="1" applyFont="1" applyFill="1" applyBorder="1" applyAlignment="1">
      <alignment horizontal="center"/>
    </xf>
    <xf numFmtId="168" fontId="51" fillId="0" borderId="46" xfId="0" applyNumberFormat="1" applyFont="1" applyFill="1" applyBorder="1" applyAlignment="1">
      <alignment horizontal="center"/>
    </xf>
    <xf numFmtId="0" fontId="16" fillId="0" borderId="46" xfId="0" applyFont="1" applyFill="1" applyBorder="1" applyAlignment="1">
      <alignment horizontal="center"/>
    </xf>
    <xf numFmtId="169" fontId="51" fillId="0" borderId="71" xfId="0" applyNumberFormat="1" applyFont="1" applyBorder="1" applyAlignment="1">
      <alignment horizontal="center"/>
    </xf>
    <xf numFmtId="168" fontId="16" fillId="0" borderId="46" xfId="0" applyNumberFormat="1" applyFont="1" applyBorder="1" applyAlignment="1">
      <alignment horizontal="center"/>
    </xf>
    <xf numFmtId="0" fontId="17" fillId="0" borderId="46" xfId="0" applyFont="1" applyFill="1" applyBorder="1" applyAlignment="1">
      <alignment horizontal="center"/>
    </xf>
    <xf numFmtId="169" fontId="17" fillId="0" borderId="71" xfId="0" applyNumberFormat="1" applyFont="1" applyFill="1" applyBorder="1" applyAlignment="1">
      <alignment horizontal="center"/>
    </xf>
    <xf numFmtId="168" fontId="51" fillId="0" borderId="46" xfId="0" applyNumberFormat="1" applyFont="1" applyFill="1" applyBorder="1" applyAlignment="1">
      <alignment horizontal="center"/>
    </xf>
    <xf numFmtId="169" fontId="51" fillId="0" borderId="71" xfId="0" applyNumberFormat="1" applyFont="1" applyFill="1" applyBorder="1" applyAlignment="1">
      <alignment horizontal="center"/>
    </xf>
    <xf numFmtId="0" fontId="51" fillId="9" borderId="46" xfId="0" applyFont="1" applyFill="1" applyBorder="1" applyAlignment="1">
      <alignment horizontal="center"/>
    </xf>
    <xf numFmtId="169" fontId="51" fillId="9" borderId="71" xfId="0" applyNumberFormat="1" applyFont="1" applyFill="1" applyBorder="1" applyAlignment="1">
      <alignment horizontal="center"/>
    </xf>
    <xf numFmtId="168" fontId="22" fillId="33" borderId="2" xfId="0" applyNumberFormat="1" applyFont="1" applyFill="1" applyBorder="1" applyAlignment="1">
      <alignment horizontal="left" vertical="center" wrapText="1"/>
    </xf>
    <xf numFmtId="169" fontId="22" fillId="33" borderId="70" xfId="0" applyNumberFormat="1" applyFont="1" applyFill="1" applyBorder="1" applyAlignment="1">
      <alignment horizontal="left" vertical="center" wrapText="1"/>
    </xf>
    <xf numFmtId="0" fontId="22" fillId="2" borderId="78" xfId="0" applyFont="1" applyFill="1" applyBorder="1" applyAlignment="1">
      <alignment horizontal="left" vertical="center" wrapText="1"/>
    </xf>
    <xf numFmtId="0" fontId="16" fillId="0" borderId="78" xfId="0" applyFont="1" applyBorder="1"/>
    <xf numFmtId="0" fontId="16" fillId="0" borderId="78" xfId="0" applyFont="1" applyFill="1" applyBorder="1"/>
    <xf numFmtId="0" fontId="23" fillId="0" borderId="78" xfId="0" applyFont="1" applyBorder="1"/>
    <xf numFmtId="0" fontId="17" fillId="0" borderId="78" xfId="0" applyFont="1" applyFill="1" applyBorder="1"/>
    <xf numFmtId="168" fontId="22" fillId="24" borderId="2" xfId="0" applyNumberFormat="1" applyFont="1" applyFill="1" applyBorder="1" applyAlignment="1">
      <alignment horizontal="left" vertical="center" wrapText="1"/>
    </xf>
    <xf numFmtId="169" fontId="22" fillId="24" borderId="70" xfId="0" applyNumberFormat="1" applyFont="1" applyFill="1" applyBorder="1" applyAlignment="1">
      <alignment horizontal="left" vertical="center" wrapText="1"/>
    </xf>
    <xf numFmtId="169" fontId="16" fillId="0" borderId="46" xfId="0" applyNumberFormat="1" applyFont="1" applyBorder="1" applyAlignment="1">
      <alignment horizontal="center"/>
    </xf>
    <xf numFmtId="169" fontId="16" fillId="9" borderId="46" xfId="0" applyNumberFormat="1" applyFont="1" applyFill="1" applyBorder="1" applyAlignment="1">
      <alignment horizontal="center"/>
    </xf>
    <xf numFmtId="169" fontId="16" fillId="9" borderId="71" xfId="0" applyNumberFormat="1" applyFont="1" applyFill="1" applyBorder="1" applyAlignment="1">
      <alignment horizontal="center"/>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83" fillId="31" borderId="31" xfId="0" applyFont="1" applyFill="1" applyBorder="1" applyAlignment="1">
      <alignment horizontal="left"/>
    </xf>
    <xf numFmtId="0" fontId="83" fillId="31" borderId="0" xfId="0" applyFont="1" applyFill="1" applyBorder="1" applyAlignment="1">
      <alignment horizontal="left"/>
    </xf>
    <xf numFmtId="0" fontId="84" fillId="0" borderId="31" xfId="0" applyFont="1" applyBorder="1" applyAlignment="1">
      <alignment horizontal="left"/>
    </xf>
    <xf numFmtId="0" fontId="85" fillId="0" borderId="31" xfId="0" applyFont="1" applyBorder="1"/>
    <xf numFmtId="0" fontId="22" fillId="33" borderId="31" xfId="0" applyFont="1" applyFill="1" applyBorder="1" applyAlignment="1">
      <alignment horizontal="left" vertical="center" wrapText="1"/>
    </xf>
    <xf numFmtId="0" fontId="84" fillId="0" borderId="31" xfId="0" applyFont="1" applyFill="1" applyBorder="1" applyAlignment="1">
      <alignment horizontal="left"/>
    </xf>
    <xf numFmtId="169" fontId="16" fillId="0" borderId="46" xfId="0" applyNumberFormat="1" applyFont="1" applyFill="1" applyBorder="1" applyAlignment="1">
      <alignment horizontal="center"/>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28" fillId="9" borderId="8" xfId="0" applyFont="1" applyFill="1" applyBorder="1" applyAlignment="1">
      <alignment horizontal="center" vertical="center" wrapText="1"/>
    </xf>
    <xf numFmtId="165" fontId="28" fillId="9" borderId="26" xfId="0" applyNumberFormat="1" applyFont="1" applyFill="1" applyBorder="1" applyAlignment="1">
      <alignment horizontal="center" vertical="center" wrapText="1"/>
    </xf>
    <xf numFmtId="0" fontId="28" fillId="9" borderId="26" xfId="0" applyFont="1" applyFill="1" applyBorder="1" applyAlignment="1">
      <alignment horizontal="center" vertical="center" wrapText="1"/>
    </xf>
    <xf numFmtId="166" fontId="28" fillId="9" borderId="27" xfId="0" applyNumberFormat="1" applyFont="1" applyFill="1" applyBorder="1" applyAlignment="1">
      <alignment horizontal="center" vertical="center" wrapText="1"/>
    </xf>
    <xf numFmtId="0" fontId="15" fillId="0" borderId="31" xfId="0" applyFont="1" applyBorder="1" applyAlignment="1">
      <alignment horizontal="left"/>
    </xf>
    <xf numFmtId="0" fontId="15" fillId="0" borderId="31" xfId="0" applyFont="1" applyBorder="1"/>
    <xf numFmtId="0" fontId="15" fillId="0" borderId="31" xfId="0" applyFont="1" applyFill="1" applyBorder="1" applyAlignment="1">
      <alignment horizontal="left"/>
    </xf>
    <xf numFmtId="0" fontId="15" fillId="34" borderId="31" xfId="0" applyFont="1" applyFill="1" applyBorder="1" applyAlignment="1">
      <alignment horizontal="left"/>
    </xf>
    <xf numFmtId="0" fontId="15" fillId="0" borderId="31" xfId="0" applyFont="1" applyFill="1" applyBorder="1"/>
    <xf numFmtId="0" fontId="15" fillId="0" borderId="0" xfId="0" applyFont="1" applyFill="1" applyBorder="1" applyAlignment="1">
      <alignment horizontal="left"/>
    </xf>
    <xf numFmtId="0" fontId="78" fillId="0" borderId="31" xfId="0" applyFont="1" applyFill="1" applyBorder="1" applyAlignment="1">
      <alignment horizontal="left"/>
    </xf>
    <xf numFmtId="0" fontId="15" fillId="34" borderId="31" xfId="0" applyFont="1" applyFill="1" applyBorder="1"/>
    <xf numFmtId="0" fontId="15" fillId="0" borderId="0" xfId="0" applyFont="1" applyFill="1" applyBorder="1"/>
    <xf numFmtId="0" fontId="15" fillId="0" borderId="22" xfId="0" applyFont="1" applyBorder="1"/>
    <xf numFmtId="0" fontId="15" fillId="0" borderId="26" xfId="0" applyFont="1" applyBorder="1"/>
    <xf numFmtId="0" fontId="15" fillId="0" borderId="46" xfId="0" applyFont="1" applyBorder="1" applyAlignment="1">
      <alignment horizontal="left"/>
    </xf>
    <xf numFmtId="0" fontId="15" fillId="0" borderId="89" xfId="0" applyFont="1" applyBorder="1" applyAlignment="1">
      <alignment horizontal="left"/>
    </xf>
    <xf numFmtId="0" fontId="15" fillId="0" borderId="29" xfId="0" applyFont="1" applyBorder="1"/>
    <xf numFmtId="0" fontId="15" fillId="0" borderId="89" xfId="0" applyFont="1" applyBorder="1"/>
    <xf numFmtId="0" fontId="15" fillId="0" borderId="31" xfId="0" applyFont="1" applyFill="1" applyBorder="1" applyAlignment="1">
      <alignment horizontal="left" vertical="center" wrapText="1"/>
    </xf>
    <xf numFmtId="0" fontId="15" fillId="34" borderId="0" xfId="0" applyFont="1" applyFill="1"/>
    <xf numFmtId="0" fontId="15" fillId="0" borderId="0" xfId="0" applyFont="1"/>
    <xf numFmtId="0" fontId="15" fillId="23" borderId="0" xfId="0" applyFont="1" applyFill="1"/>
    <xf numFmtId="0" fontId="15" fillId="0" borderId="0" xfId="0" applyFont="1" applyAlignment="1">
      <alignment horizontal="left"/>
    </xf>
    <xf numFmtId="0" fontId="15" fillId="0" borderId="0" xfId="0" applyFont="1" applyAlignment="1">
      <alignment horizontal="left"/>
    </xf>
    <xf numFmtId="0" fontId="87" fillId="0" borderId="0" xfId="0" applyFont="1" applyAlignment="1">
      <alignment horizontal="center" vertical="center"/>
    </xf>
    <xf numFmtId="49" fontId="88" fillId="0" borderId="0" xfId="0" applyNumberFormat="1" applyFont="1" applyAlignment="1">
      <alignment horizontal="center" vertical="center"/>
    </xf>
    <xf numFmtId="49" fontId="51" fillId="0" borderId="0" xfId="0" applyNumberFormat="1" applyFont="1" applyAlignment="1">
      <alignment horizontal="center" vertical="center"/>
    </xf>
    <xf numFmtId="49" fontId="51" fillId="0" borderId="0" xfId="0" applyNumberFormat="1" applyFont="1" applyAlignment="1">
      <alignment horizontal="center" vertical="center" wrapText="1"/>
    </xf>
    <xf numFmtId="0" fontId="87" fillId="0" borderId="0" xfId="0" applyFont="1" applyAlignment="1">
      <alignment horizontal="center"/>
    </xf>
    <xf numFmtId="0" fontId="27" fillId="9" borderId="3" xfId="0" applyFont="1" applyFill="1" applyBorder="1" applyAlignment="1">
      <alignment horizontal="center" vertical="center" wrapText="1"/>
    </xf>
    <xf numFmtId="0" fontId="27" fillId="9" borderId="1" xfId="0" applyFont="1" applyFill="1" applyBorder="1" applyAlignment="1">
      <alignment horizontal="center" vertical="center" wrapText="1"/>
    </xf>
    <xf numFmtId="0" fontId="27" fillId="9" borderId="8" xfId="0" applyFont="1" applyFill="1" applyBorder="1" applyAlignment="1">
      <alignment horizontal="center" vertical="center" wrapText="1"/>
    </xf>
    <xf numFmtId="0" fontId="27" fillId="0" borderId="3" xfId="0" applyFont="1" applyBorder="1" applyAlignment="1">
      <alignment horizontal="center" vertical="center" wrapText="1"/>
    </xf>
    <xf numFmtId="0" fontId="27" fillId="0" borderId="1" xfId="0" applyFont="1" applyBorder="1" applyAlignment="1">
      <alignment horizontal="center" vertical="center" wrapText="1"/>
    </xf>
    <xf numFmtId="0" fontId="30" fillId="0" borderId="88" xfId="0" applyFont="1" applyBorder="1" applyAlignment="1">
      <alignment horizontal="left" wrapText="1"/>
    </xf>
    <xf numFmtId="0" fontId="30" fillId="12" borderId="87" xfId="0" applyFont="1" applyFill="1" applyBorder="1" applyAlignment="1">
      <alignment horizontal="left" wrapText="1"/>
    </xf>
    <xf numFmtId="0" fontId="30" fillId="12" borderId="88" xfId="0" applyFont="1" applyFill="1" applyBorder="1" applyAlignment="1">
      <alignment horizontal="left" wrapText="1"/>
    </xf>
    <xf numFmtId="49" fontId="0" fillId="0" borderId="88" xfId="0" applyNumberFormat="1" applyBorder="1" applyAlignment="1">
      <alignment horizontal="left"/>
    </xf>
    <xf numFmtId="0" fontId="30" fillId="0" borderId="88" xfId="0" applyFont="1" applyFill="1" applyBorder="1" applyAlignment="1">
      <alignment horizontal="left" wrapText="1"/>
    </xf>
    <xf numFmtId="49" fontId="18" fillId="0" borderId="0" xfId="0" applyNumberFormat="1" applyFont="1" applyFill="1"/>
    <xf numFmtId="0" fontId="59" fillId="2" borderId="60" xfId="0" applyFont="1" applyFill="1" applyBorder="1" applyAlignment="1">
      <alignment horizontal="center" vertical="center" wrapText="1"/>
    </xf>
    <xf numFmtId="0" fontId="59" fillId="2" borderId="61" xfId="0" applyFont="1" applyFill="1" applyBorder="1" applyAlignment="1">
      <alignment horizontal="center" vertical="center" wrapText="1"/>
    </xf>
    <xf numFmtId="0" fontId="59" fillId="2" borderId="62" xfId="0" applyFont="1" applyFill="1" applyBorder="1" applyAlignment="1">
      <alignment horizontal="center" vertical="center" wrapText="1"/>
    </xf>
    <xf numFmtId="0" fontId="59" fillId="2" borderId="63" xfId="0" applyFont="1" applyFill="1" applyBorder="1" applyAlignment="1">
      <alignment horizontal="center" vertical="center" wrapText="1"/>
    </xf>
    <xf numFmtId="0" fontId="59" fillId="2" borderId="64" xfId="0" applyFont="1" applyFill="1" applyBorder="1" applyAlignment="1">
      <alignment horizontal="center" vertical="center" wrapText="1"/>
    </xf>
    <xf numFmtId="0" fontId="60" fillId="23" borderId="0" xfId="0" applyFont="1" applyFill="1" applyBorder="1" applyAlignment="1">
      <alignment horizontal="center" wrapText="1"/>
    </xf>
    <xf numFmtId="0" fontId="60" fillId="14" borderId="0" xfId="0" applyFont="1" applyFill="1" applyBorder="1" applyAlignment="1">
      <alignment horizontal="center" wrapText="1"/>
    </xf>
    <xf numFmtId="0" fontId="63" fillId="0" borderId="0" xfId="0" applyFont="1" applyFill="1" applyAlignment="1">
      <alignment horizontal="center" wrapText="1"/>
    </xf>
    <xf numFmtId="0" fontId="41" fillId="0" borderId="0" xfId="0" applyFont="1" applyFill="1" applyAlignment="1">
      <alignment horizontal="center" wrapText="1"/>
    </xf>
    <xf numFmtId="0" fontId="35" fillId="0" borderId="31" xfId="0" applyFont="1" applyFill="1" applyBorder="1" applyAlignment="1">
      <alignment horizontal="center" vertical="center" wrapText="1"/>
    </xf>
    <xf numFmtId="0" fontId="35" fillId="0" borderId="69" xfId="0" applyFont="1" applyFill="1" applyBorder="1" applyAlignment="1">
      <alignment horizontal="center" vertical="center" wrapText="1"/>
    </xf>
    <xf numFmtId="0" fontId="38" fillId="0" borderId="69" xfId="0" applyFont="1" applyFill="1" applyBorder="1" applyAlignment="1">
      <alignment horizontal="center" vertical="center" wrapText="1"/>
    </xf>
    <xf numFmtId="0" fontId="35" fillId="0" borderId="70" xfId="0" applyFont="1" applyFill="1" applyBorder="1" applyAlignment="1">
      <alignment horizontal="center" vertical="center" wrapText="1"/>
    </xf>
    <xf numFmtId="0" fontId="41" fillId="23" borderId="0" xfId="0" applyFont="1" applyFill="1" applyAlignment="1">
      <alignment horizontal="center" wrapText="1"/>
    </xf>
    <xf numFmtId="0" fontId="38" fillId="0" borderId="31" xfId="0" applyFont="1" applyFill="1" applyBorder="1" applyAlignment="1">
      <alignment horizontal="center" vertical="center" wrapText="1"/>
    </xf>
    <xf numFmtId="0" fontId="35" fillId="0" borderId="71" xfId="0" applyFont="1" applyFill="1" applyBorder="1" applyAlignment="1">
      <alignment horizontal="center" vertical="center" wrapText="1"/>
    </xf>
    <xf numFmtId="0" fontId="35" fillId="0" borderId="19" xfId="0" applyFont="1" applyFill="1" applyBorder="1" applyAlignment="1">
      <alignment horizontal="center" vertical="center" wrapText="1"/>
    </xf>
    <xf numFmtId="0" fontId="38" fillId="0" borderId="19" xfId="0" applyFont="1" applyFill="1" applyBorder="1" applyAlignment="1">
      <alignment horizontal="center" vertical="center" wrapText="1"/>
    </xf>
    <xf numFmtId="0" fontId="35" fillId="0" borderId="72" xfId="0" applyFont="1" applyFill="1" applyBorder="1" applyAlignment="1">
      <alignment horizontal="center" vertical="center" wrapText="1"/>
    </xf>
    <xf numFmtId="0" fontId="35" fillId="0" borderId="16" xfId="0" applyFont="1" applyFill="1" applyBorder="1" applyAlignment="1">
      <alignment horizontal="center" vertical="center" wrapText="1"/>
    </xf>
    <xf numFmtId="0" fontId="38" fillId="0" borderId="16" xfId="0" applyFont="1" applyFill="1" applyBorder="1" applyAlignment="1">
      <alignment horizontal="center" vertical="center" wrapText="1"/>
    </xf>
    <xf numFmtId="0" fontId="35" fillId="0" borderId="74" xfId="0" applyFont="1" applyFill="1" applyBorder="1" applyAlignment="1">
      <alignment horizontal="center" vertical="center" wrapText="1"/>
    </xf>
    <xf numFmtId="0" fontId="35" fillId="0" borderId="31" xfId="0" applyFont="1" applyFill="1" applyBorder="1" applyAlignment="1">
      <alignment horizontal="center" vertical="center"/>
    </xf>
    <xf numFmtId="0" fontId="35" fillId="0" borderId="13" xfId="0" applyFont="1" applyFill="1" applyBorder="1" applyAlignment="1">
      <alignment horizontal="center" vertical="center" wrapText="1"/>
    </xf>
    <xf numFmtId="0" fontId="38" fillId="0" borderId="77" xfId="0" applyFont="1" applyFill="1" applyBorder="1" applyAlignment="1">
      <alignment horizontal="center" vertical="center" wrapText="1"/>
    </xf>
    <xf numFmtId="0" fontId="38" fillId="0" borderId="78" xfId="0" applyFont="1" applyFill="1" applyBorder="1" applyAlignment="1">
      <alignment horizontal="center" vertical="center" wrapText="1"/>
    </xf>
    <xf numFmtId="0" fontId="35" fillId="0" borderId="49" xfId="0" applyFont="1" applyFill="1" applyBorder="1" applyAlignment="1">
      <alignment horizontal="center" vertical="center" wrapText="1"/>
    </xf>
    <xf numFmtId="0" fontId="38" fillId="0" borderId="49" xfId="0" applyFont="1" applyFill="1" applyBorder="1" applyAlignment="1">
      <alignment horizontal="center" vertical="center" wrapText="1"/>
    </xf>
    <xf numFmtId="0" fontId="35" fillId="0" borderId="49" xfId="0" applyFont="1" applyFill="1" applyBorder="1" applyAlignment="1">
      <alignment horizontal="center" vertical="center"/>
    </xf>
    <xf numFmtId="0" fontId="64" fillId="0" borderId="72" xfId="0" applyFont="1" applyFill="1" applyBorder="1" applyAlignment="1">
      <alignment horizontal="center" vertical="center" wrapText="1"/>
    </xf>
    <xf numFmtId="0" fontId="35" fillId="0" borderId="26" xfId="0" applyFont="1" applyFill="1" applyBorder="1" applyAlignment="1">
      <alignment horizontal="center" vertical="center" wrapText="1"/>
    </xf>
    <xf numFmtId="0" fontId="38" fillId="0" borderId="26" xfId="0" applyFont="1" applyFill="1" applyBorder="1" applyAlignment="1">
      <alignment horizontal="center" vertical="center" wrapText="1"/>
    </xf>
    <xf numFmtId="0" fontId="35" fillId="0" borderId="30" xfId="0" applyFont="1" applyFill="1" applyBorder="1" applyAlignment="1">
      <alignment horizontal="center" vertical="center" wrapText="1"/>
    </xf>
    <xf numFmtId="0" fontId="66" fillId="23" borderId="0" xfId="0" applyFont="1" applyFill="1" applyAlignment="1">
      <alignment horizontal="center" wrapText="1"/>
    </xf>
    <xf numFmtId="0" fontId="41" fillId="18" borderId="0" xfId="0" applyFont="1" applyFill="1" applyAlignment="1">
      <alignment horizontal="center" wrapText="1"/>
    </xf>
    <xf numFmtId="0" fontId="35" fillId="0" borderId="39" xfId="0" applyFont="1" applyFill="1" applyBorder="1" applyAlignment="1">
      <alignment horizontal="center" vertical="center" wrapText="1"/>
    </xf>
    <xf numFmtId="0" fontId="35" fillId="0" borderId="75" xfId="0" applyFont="1" applyFill="1" applyBorder="1" applyAlignment="1">
      <alignment horizontal="center" vertical="center" wrapText="1"/>
    </xf>
    <xf numFmtId="0" fontId="38" fillId="0" borderId="69" xfId="0" applyFont="1" applyFill="1" applyBorder="1" applyAlignment="1">
      <alignment horizontal="center" vertical="center"/>
    </xf>
    <xf numFmtId="0" fontId="35" fillId="0" borderId="53" xfId="0" applyFont="1" applyFill="1" applyBorder="1" applyAlignment="1">
      <alignment horizontal="center" vertical="center" wrapText="1"/>
    </xf>
    <xf numFmtId="0" fontId="41" fillId="0" borderId="0" xfId="0" applyFont="1" applyAlignment="1">
      <alignment horizontal="center" wrapText="1"/>
    </xf>
    <xf numFmtId="0" fontId="41" fillId="12" borderId="0" xfId="0" applyFont="1" applyFill="1" applyAlignment="1">
      <alignment horizontal="center" wrapText="1"/>
    </xf>
    <xf numFmtId="0" fontId="35" fillId="0" borderId="78" xfId="0" applyFont="1" applyFill="1" applyBorder="1" applyAlignment="1">
      <alignment horizontal="center" vertical="center" wrapText="1"/>
    </xf>
    <xf numFmtId="0" fontId="41" fillId="0" borderId="79" xfId="0" applyFont="1" applyFill="1" applyBorder="1" applyAlignment="1">
      <alignment horizontal="center" wrapText="1"/>
    </xf>
    <xf numFmtId="0" fontId="35" fillId="0" borderId="27" xfId="0" applyFont="1" applyFill="1" applyBorder="1" applyAlignment="1">
      <alignment horizontal="center" vertical="center" wrapText="1"/>
    </xf>
    <xf numFmtId="0" fontId="38" fillId="0" borderId="26" xfId="0" applyFont="1" applyFill="1" applyBorder="1" applyAlignment="1">
      <alignment horizontal="center" vertical="center"/>
    </xf>
    <xf numFmtId="0" fontId="35" fillId="0" borderId="65" xfId="0" applyFont="1" applyFill="1" applyBorder="1" applyAlignment="1">
      <alignment horizontal="center" vertical="center" wrapText="1"/>
    </xf>
    <xf numFmtId="0" fontId="41" fillId="23" borderId="0" xfId="0" applyFont="1" applyFill="1" applyAlignment="1">
      <alignment horizontal="center" vertical="center" wrapText="1"/>
    </xf>
    <xf numFmtId="0" fontId="35" fillId="0" borderId="80" xfId="0" applyFont="1" applyFill="1" applyBorder="1" applyAlignment="1">
      <alignment vertical="center" wrapText="1"/>
    </xf>
    <xf numFmtId="0" fontId="35" fillId="0" borderId="75" xfId="0" applyFont="1" applyFill="1" applyBorder="1" applyAlignment="1">
      <alignment vertical="center" wrapText="1"/>
    </xf>
    <xf numFmtId="0" fontId="41" fillId="23" borderId="0" xfId="0" applyFont="1" applyFill="1" applyBorder="1" applyAlignment="1">
      <alignment horizontal="center" wrapText="1"/>
    </xf>
    <xf numFmtId="0" fontId="63" fillId="0" borderId="0" xfId="0" applyFont="1" applyFill="1" applyBorder="1" applyAlignment="1">
      <alignment horizontal="center" wrapText="1"/>
    </xf>
    <xf numFmtId="0" fontId="41" fillId="0" borderId="0" xfId="0" applyFont="1" applyFill="1" applyBorder="1" applyAlignment="1">
      <alignment horizontal="center" wrapText="1"/>
    </xf>
    <xf numFmtId="0" fontId="35" fillId="0" borderId="21" xfId="0" applyFont="1" applyFill="1" applyBorder="1" applyAlignment="1">
      <alignment horizontal="center" vertical="center" wrapText="1"/>
    </xf>
    <xf numFmtId="0" fontId="91" fillId="0" borderId="19" xfId="0" applyFont="1" applyFill="1" applyBorder="1" applyAlignment="1">
      <alignment horizontal="center" vertical="center" wrapText="1"/>
    </xf>
    <xf numFmtId="0" fontId="35" fillId="0" borderId="0" xfId="0" applyFont="1" applyFill="1" applyAlignment="1">
      <alignment horizontal="center" wrapText="1"/>
    </xf>
    <xf numFmtId="0" fontId="70" fillId="0" borderId="0" xfId="0" applyFont="1" applyFill="1" applyBorder="1" applyAlignment="1">
      <alignment horizontal="center" vertical="center" wrapText="1"/>
    </xf>
    <xf numFmtId="0" fontId="41" fillId="0" borderId="0" xfId="0" applyFont="1" applyFill="1" applyBorder="1" applyAlignment="1">
      <alignment horizontal="center" vertical="center" wrapText="1"/>
    </xf>
    <xf numFmtId="0" fontId="35" fillId="0" borderId="0" xfId="0" applyFont="1" applyFill="1" applyBorder="1" applyAlignment="1">
      <alignment horizontal="center" vertical="center" wrapText="1"/>
    </xf>
    <xf numFmtId="0" fontId="41" fillId="0" borderId="0" xfId="0" applyFont="1" applyAlignment="1">
      <alignment horizontal="center" vertical="center" wrapText="1"/>
    </xf>
    <xf numFmtId="0" fontId="70" fillId="0" borderId="0" xfId="0" applyFont="1" applyFill="1" applyAlignment="1">
      <alignment horizontal="center" vertical="center" wrapText="1"/>
    </xf>
    <xf numFmtId="0" fontId="41" fillId="0" borderId="0" xfId="0" applyFont="1" applyFill="1" applyAlignment="1">
      <alignment horizontal="center" vertical="center" wrapText="1"/>
    </xf>
    <xf numFmtId="0" fontId="35" fillId="0" borderId="0" xfId="0" applyFont="1" applyFill="1" applyAlignment="1">
      <alignment horizontal="center" vertical="center" wrapText="1"/>
    </xf>
    <xf numFmtId="0" fontId="70" fillId="0" borderId="0" xfId="0" applyFont="1" applyAlignment="1">
      <alignment horizontal="center" vertical="center" wrapText="1"/>
    </xf>
    <xf numFmtId="0" fontId="35" fillId="0" borderId="0" xfId="0" applyFont="1" applyAlignment="1">
      <alignment horizontal="center" vertical="center" wrapText="1"/>
    </xf>
    <xf numFmtId="0" fontId="70" fillId="0" borderId="0" xfId="0" applyFont="1" applyAlignment="1">
      <alignment horizontal="center" wrapText="1"/>
    </xf>
    <xf numFmtId="0" fontId="35" fillId="0" borderId="0" xfId="0" applyFont="1" applyAlignment="1">
      <alignment horizontal="center" wrapText="1"/>
    </xf>
    <xf numFmtId="165" fontId="27" fillId="0" borderId="3" xfId="0" applyNumberFormat="1" applyFont="1" applyBorder="1" applyAlignment="1">
      <alignment horizontal="center" vertical="center" wrapText="1"/>
    </xf>
    <xf numFmtId="166" fontId="27" fillId="0" borderId="14" xfId="0" applyNumberFormat="1" applyFont="1" applyBorder="1" applyAlignment="1">
      <alignment horizontal="center" vertical="center" wrapText="1"/>
    </xf>
    <xf numFmtId="165" fontId="27" fillId="0" borderId="1" xfId="0" applyNumberFormat="1" applyFont="1" applyBorder="1" applyAlignment="1">
      <alignment horizontal="center" vertical="center" wrapText="1"/>
    </xf>
    <xf numFmtId="166" fontId="27" fillId="0" borderId="15" xfId="0" applyNumberFormat="1" applyFont="1" applyBorder="1" applyAlignment="1">
      <alignment horizontal="center" vertical="center" wrapText="1"/>
    </xf>
    <xf numFmtId="165" fontId="27" fillId="0" borderId="3" xfId="0" applyNumberFormat="1" applyFont="1" applyFill="1" applyBorder="1" applyAlignment="1">
      <alignment horizontal="center" vertical="center" wrapText="1"/>
    </xf>
    <xf numFmtId="165" fontId="27" fillId="0" borderId="19" xfId="0" applyNumberFormat="1" applyFont="1" applyBorder="1" applyAlignment="1">
      <alignment horizontal="center" vertical="center" wrapText="1"/>
    </xf>
    <xf numFmtId="165" fontId="27" fillId="0" borderId="1" xfId="0" applyNumberFormat="1" applyFont="1" applyFill="1" applyBorder="1" applyAlignment="1">
      <alignment horizontal="center" vertical="center" wrapText="1"/>
    </xf>
    <xf numFmtId="165" fontId="27" fillId="0" borderId="8" xfId="0" applyNumberFormat="1" applyFont="1" applyBorder="1" applyAlignment="1">
      <alignment horizontal="center" vertical="center" wrapText="1"/>
    </xf>
    <xf numFmtId="0" fontId="92" fillId="2" borderId="31" xfId="0" applyFont="1" applyFill="1" applyBorder="1" applyAlignment="1">
      <alignment horizontal="left"/>
    </xf>
    <xf numFmtId="0" fontId="92" fillId="2" borderId="31" xfId="0" applyFont="1" applyFill="1" applyBorder="1" applyAlignment="1">
      <alignment horizontal="center" vertical="center" wrapText="1"/>
    </xf>
    <xf numFmtId="49" fontId="92" fillId="2" borderId="31" xfId="0" applyNumberFormat="1" applyFont="1" applyFill="1" applyBorder="1" applyAlignment="1">
      <alignment horizontal="center" vertical="center" wrapText="1"/>
    </xf>
    <xf numFmtId="0" fontId="82" fillId="2" borderId="31" xfId="0" applyFont="1" applyFill="1" applyBorder="1" applyAlignment="1">
      <alignment horizontal="center" wrapText="1"/>
    </xf>
    <xf numFmtId="0" fontId="35" fillId="0" borderId="71" xfId="0" applyFont="1" applyFill="1" applyBorder="1" applyAlignment="1">
      <alignment horizontal="center" vertical="center" wrapText="1"/>
    </xf>
    <xf numFmtId="0" fontId="35" fillId="0" borderId="31" xfId="0" applyFont="1" applyFill="1" applyBorder="1" applyAlignment="1">
      <alignment horizontal="center" vertical="center" wrapText="1"/>
    </xf>
    <xf numFmtId="0" fontId="38" fillId="0" borderId="31" xfId="0" applyFont="1" applyFill="1" applyBorder="1" applyAlignment="1">
      <alignment horizontal="center" vertical="center" wrapText="1"/>
    </xf>
    <xf numFmtId="0" fontId="35" fillId="0" borderId="19" xfId="0" applyFont="1" applyFill="1" applyBorder="1" applyAlignment="1">
      <alignment horizontal="center" vertical="center" wrapText="1"/>
    </xf>
    <xf numFmtId="0" fontId="35" fillId="0" borderId="26" xfId="0" applyFont="1" applyFill="1" applyBorder="1" applyAlignment="1">
      <alignment horizontal="center" vertical="center" wrapText="1"/>
    </xf>
    <xf numFmtId="0" fontId="35" fillId="0" borderId="30" xfId="0" applyFont="1" applyFill="1" applyBorder="1" applyAlignment="1">
      <alignment horizontal="center" vertical="center" wrapText="1"/>
    </xf>
    <xf numFmtId="0" fontId="35" fillId="0" borderId="70" xfId="0" applyFont="1" applyFill="1" applyBorder="1" applyAlignment="1">
      <alignment horizontal="center" vertical="center" wrapText="1"/>
    </xf>
    <xf numFmtId="0" fontId="35" fillId="0" borderId="31" xfId="0" applyFont="1" applyFill="1" applyBorder="1" applyAlignment="1">
      <alignment horizontal="center" vertical="center" wrapText="1"/>
    </xf>
    <xf numFmtId="0" fontId="38" fillId="0" borderId="31" xfId="0" applyFont="1" applyFill="1" applyBorder="1" applyAlignment="1">
      <alignment horizontal="center" vertical="center" wrapText="1"/>
    </xf>
    <xf numFmtId="0" fontId="35" fillId="0" borderId="26" xfId="0" applyFont="1" applyFill="1" applyBorder="1" applyAlignment="1">
      <alignment horizontal="center" vertical="center" wrapText="1"/>
    </xf>
    <xf numFmtId="0" fontId="38" fillId="0" borderId="26"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8" fillId="0" borderId="31" xfId="0" applyFont="1" applyFill="1" applyBorder="1" applyAlignment="1">
      <alignment horizontal="center" vertical="center" wrapText="1"/>
    </xf>
    <xf numFmtId="0" fontId="94" fillId="0" borderId="26" xfId="0" applyFont="1" applyFill="1" applyBorder="1" applyAlignment="1" applyProtection="1">
      <alignment horizontal="center" vertical="center" wrapText="1"/>
    </xf>
    <xf numFmtId="165" fontId="28" fillId="0" borderId="31" xfId="0" applyNumberFormat="1" applyFont="1" applyFill="1" applyBorder="1" applyAlignment="1">
      <alignment horizontal="center" vertical="center" wrapText="1"/>
    </xf>
    <xf numFmtId="166" fontId="28" fillId="0" borderId="47" xfId="0" applyNumberFormat="1" applyFont="1" applyFill="1" applyBorder="1" applyAlignment="1">
      <alignment horizontal="center" vertical="center" wrapText="1"/>
    </xf>
    <xf numFmtId="0" fontId="21" fillId="9" borderId="3"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35" fillId="0" borderId="71" xfId="0" applyFont="1" applyFill="1" applyBorder="1" applyAlignment="1">
      <alignment horizontal="center" vertical="center" wrapText="1"/>
    </xf>
    <xf numFmtId="0" fontId="35" fillId="0" borderId="40" xfId="0" applyFont="1" applyFill="1" applyBorder="1" applyAlignment="1">
      <alignment horizontal="center" vertical="center" wrapText="1"/>
    </xf>
    <xf numFmtId="0" fontId="38" fillId="0" borderId="40" xfId="0" applyFont="1" applyFill="1" applyBorder="1" applyAlignment="1">
      <alignment horizontal="center" vertical="center" wrapText="1"/>
    </xf>
    <xf numFmtId="0" fontId="94" fillId="0" borderId="26" xfId="0" applyFont="1" applyFill="1" applyBorder="1" applyAlignment="1" applyProtection="1">
      <alignment horizontal="center" vertical="center" wrapText="1"/>
    </xf>
    <xf numFmtId="3" fontId="21" fillId="0" borderId="0" xfId="0" applyNumberFormat="1" applyFont="1" applyFill="1" applyAlignment="1">
      <alignment wrapText="1"/>
    </xf>
    <xf numFmtId="0" fontId="35" fillId="0" borderId="30" xfId="0" applyFont="1" applyFill="1" applyBorder="1" applyAlignment="1">
      <alignment horizontal="center" vertical="center" wrapText="1"/>
    </xf>
    <xf numFmtId="0" fontId="35" fillId="0" borderId="31" xfId="0" applyFont="1" applyFill="1" applyBorder="1" applyAlignment="1">
      <alignment horizontal="center" vertical="center" wrapText="1"/>
    </xf>
    <xf numFmtId="0" fontId="38" fillId="0" borderId="31" xfId="0" applyFont="1" applyFill="1" applyBorder="1" applyAlignment="1">
      <alignment horizontal="center" vertical="center" wrapText="1"/>
    </xf>
    <xf numFmtId="0" fontId="35" fillId="0" borderId="92" xfId="0" applyFont="1" applyFill="1" applyBorder="1" applyAlignment="1">
      <alignment horizontal="center" vertical="center" wrapText="1"/>
    </xf>
    <xf numFmtId="0" fontId="39" fillId="0" borderId="90" xfId="0" applyFont="1" applyFill="1" applyBorder="1" applyAlignment="1" applyProtection="1">
      <alignment horizontal="center" vertical="center" wrapText="1"/>
    </xf>
    <xf numFmtId="0" fontId="39" fillId="0" borderId="91" xfId="0" applyFont="1" applyFill="1" applyBorder="1" applyAlignment="1" applyProtection="1">
      <alignment horizontal="center" vertical="center" wrapText="1"/>
    </xf>
    <xf numFmtId="0" fontId="35" fillId="0" borderId="90" xfId="0" applyFont="1" applyFill="1" applyBorder="1" applyAlignment="1">
      <alignment horizontal="center" vertical="center" wrapText="1"/>
    </xf>
    <xf numFmtId="0" fontId="38" fillId="0" borderId="90" xfId="0" applyFont="1" applyFill="1" applyBorder="1" applyAlignment="1">
      <alignment horizontal="center" vertical="center" wrapText="1"/>
    </xf>
    <xf numFmtId="0" fontId="39" fillId="0" borderId="30" xfId="0" applyFont="1" applyFill="1" applyBorder="1" applyAlignment="1" applyProtection="1">
      <alignment horizontal="center" vertical="center" wrapText="1"/>
    </xf>
    <xf numFmtId="0" fontId="35" fillId="0" borderId="31" xfId="0" applyFont="1" applyFill="1" applyBorder="1" applyAlignment="1">
      <alignment horizontal="center" vertical="center" wrapText="1"/>
    </xf>
    <xf numFmtId="0" fontId="35" fillId="0" borderId="93" xfId="0" applyFont="1" applyFill="1" applyBorder="1" applyAlignment="1">
      <alignment horizontal="center" vertical="center" wrapText="1"/>
    </xf>
    <xf numFmtId="0" fontId="38" fillId="0" borderId="93" xfId="0" applyFont="1" applyFill="1" applyBorder="1" applyAlignment="1">
      <alignment horizontal="center" vertical="center" wrapText="1"/>
    </xf>
    <xf numFmtId="0" fontId="35" fillId="0" borderId="31" xfId="0" applyFont="1" applyFill="1" applyBorder="1" applyAlignment="1">
      <alignment horizontal="center" vertical="center" wrapText="1"/>
    </xf>
    <xf numFmtId="0" fontId="38" fillId="0" borderId="31"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14" fillId="0" borderId="31" xfId="0" applyFont="1" applyBorder="1"/>
    <xf numFmtId="0" fontId="30" fillId="0" borderId="90" xfId="0" applyFont="1" applyBorder="1" applyAlignment="1">
      <alignment horizontal="left" wrapText="1"/>
    </xf>
    <xf numFmtId="0" fontId="23" fillId="0" borderId="78" xfId="0" applyFont="1" applyFill="1" applyBorder="1"/>
    <xf numFmtId="0" fontId="23" fillId="9" borderId="31" xfId="0" applyFont="1" applyFill="1" applyBorder="1"/>
    <xf numFmtId="0" fontId="23" fillId="0" borderId="0" xfId="0" applyFont="1"/>
    <xf numFmtId="0" fontId="21" fillId="9" borderId="3"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51" fillId="0" borderId="47" xfId="0" applyFont="1" applyBorder="1"/>
    <xf numFmtId="169" fontId="51" fillId="0" borderId="46" xfId="0" applyNumberFormat="1" applyFont="1" applyBorder="1" applyAlignment="1">
      <alignment horizontal="center"/>
    </xf>
    <xf numFmtId="0" fontId="21" fillId="9" borderId="8" xfId="0"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51" fillId="0" borderId="31" xfId="0" applyFont="1" applyBorder="1" applyAlignment="1">
      <alignment horizontal="left"/>
    </xf>
    <xf numFmtId="0" fontId="51" fillId="9" borderId="31" xfId="0" applyFont="1" applyFill="1" applyBorder="1" applyAlignment="1">
      <alignment horizontal="left"/>
    </xf>
    <xf numFmtId="0" fontId="51" fillId="9" borderId="31" xfId="0" applyFont="1" applyFill="1" applyBorder="1"/>
    <xf numFmtId="0" fontId="95" fillId="0" borderId="31" xfId="0" applyFont="1" applyBorder="1"/>
    <xf numFmtId="0" fontId="95" fillId="0" borderId="31" xfId="0" applyFont="1" applyBorder="1" applyAlignment="1">
      <alignment horizontal="center"/>
    </xf>
    <xf numFmtId="168" fontId="96" fillId="0" borderId="31" xfId="0" applyNumberFormat="1" applyFont="1" applyBorder="1" applyAlignment="1">
      <alignment horizontal="center"/>
    </xf>
    <xf numFmtId="0" fontId="96" fillId="0" borderId="31" xfId="0" applyFont="1" applyBorder="1" applyAlignment="1">
      <alignment horizontal="center"/>
    </xf>
    <xf numFmtId="0" fontId="96" fillId="0" borderId="31" xfId="0" applyFont="1" applyBorder="1"/>
    <xf numFmtId="0" fontId="96" fillId="0" borderId="47" xfId="0" applyFont="1" applyBorder="1"/>
    <xf numFmtId="0" fontId="96" fillId="0" borderId="46" xfId="0" applyFont="1" applyBorder="1" applyAlignment="1">
      <alignment horizontal="center"/>
    </xf>
    <xf numFmtId="169" fontId="96" fillId="0" borderId="71" xfId="0" applyNumberFormat="1" applyFont="1" applyBorder="1" applyAlignment="1">
      <alignment horizontal="center"/>
    </xf>
    <xf numFmtId="169" fontId="96" fillId="0" borderId="46" xfId="0" applyNumberFormat="1" applyFont="1" applyBorder="1" applyAlignment="1">
      <alignment horizontal="center"/>
    </xf>
    <xf numFmtId="0" fontId="96" fillId="0" borderId="78" xfId="0" applyFont="1" applyBorder="1"/>
    <xf numFmtId="0" fontId="97" fillId="0" borderId="0" xfId="0" applyFont="1"/>
    <xf numFmtId="166" fontId="28" fillId="9" borderId="4" xfId="0" applyNumberFormat="1" applyFont="1" applyFill="1" applyBorder="1" applyAlignment="1">
      <alignment horizontal="center" vertical="center" wrapText="1"/>
    </xf>
    <xf numFmtId="166" fontId="28" fillId="9" borderId="6" xfId="0" applyNumberFormat="1" applyFont="1" applyFill="1" applyBorder="1" applyAlignment="1">
      <alignment horizontal="center" vertical="center" wrapText="1"/>
    </xf>
    <xf numFmtId="0" fontId="35" fillId="0" borderId="19" xfId="0" applyFont="1" applyFill="1" applyBorder="1" applyAlignment="1">
      <alignment horizontal="center" vertical="center" wrapText="1"/>
    </xf>
    <xf numFmtId="0" fontId="35" fillId="0" borderId="31" xfId="0" applyFont="1" applyFill="1" applyBorder="1" applyAlignment="1">
      <alignment horizontal="center" vertical="center" wrapText="1"/>
    </xf>
    <xf numFmtId="0" fontId="77" fillId="0" borderId="90" xfId="0" applyFont="1" applyBorder="1" applyAlignment="1">
      <alignment vertical="center" wrapText="1"/>
    </xf>
    <xf numFmtId="49" fontId="0" fillId="0" borderId="90" xfId="0" applyNumberFormat="1" applyBorder="1" applyAlignment="1">
      <alignment horizontal="left" wrapText="1"/>
    </xf>
    <xf numFmtId="0" fontId="78" fillId="0" borderId="90" xfId="0" applyFont="1" applyBorder="1" applyAlignment="1">
      <alignment horizontal="left"/>
    </xf>
    <xf numFmtId="169" fontId="77" fillId="0" borderId="90" xfId="0" applyNumberFormat="1" applyFont="1" applyBorder="1" applyAlignment="1">
      <alignment horizontal="left" wrapText="1"/>
    </xf>
    <xf numFmtId="0" fontId="30" fillId="0" borderId="90" xfId="0" applyFont="1" applyBorder="1" applyAlignment="1">
      <alignment vertical="center" wrapText="1"/>
    </xf>
    <xf numFmtId="14" fontId="30" fillId="0" borderId="90" xfId="0" applyNumberFormat="1" applyFont="1" applyBorder="1" applyAlignment="1">
      <alignment horizontal="left" wrapText="1"/>
    </xf>
    <xf numFmtId="0" fontId="77" fillId="12" borderId="90" xfId="0" applyFont="1" applyFill="1" applyBorder="1" applyAlignment="1">
      <alignment vertical="center" wrapText="1"/>
    </xf>
    <xf numFmtId="49" fontId="0" fillId="12" borderId="90" xfId="0" applyNumberFormat="1" applyFill="1" applyBorder="1" applyAlignment="1">
      <alignment horizontal="left" wrapText="1"/>
    </xf>
    <xf numFmtId="0" fontId="78" fillId="12" borderId="90" xfId="0" applyFont="1" applyFill="1" applyBorder="1" applyAlignment="1">
      <alignment horizontal="left"/>
    </xf>
    <xf numFmtId="169" fontId="77" fillId="12" borderId="90" xfId="0" applyNumberFormat="1" applyFont="1" applyFill="1" applyBorder="1" applyAlignment="1">
      <alignment horizontal="left" wrapText="1"/>
    </xf>
    <xf numFmtId="0" fontId="30" fillId="12" borderId="90" xfId="0" applyFont="1" applyFill="1" applyBorder="1" applyAlignment="1">
      <alignment horizontal="left" wrapText="1"/>
    </xf>
    <xf numFmtId="0" fontId="30" fillId="12" borderId="90" xfId="0" applyFont="1" applyFill="1" applyBorder="1" applyAlignment="1">
      <alignment vertical="center" wrapText="1"/>
    </xf>
    <xf numFmtId="14" fontId="30" fillId="12" borderId="90" xfId="0" applyNumberFormat="1" applyFont="1" applyFill="1" applyBorder="1" applyAlignment="1">
      <alignment horizontal="left" wrapText="1"/>
    </xf>
    <xf numFmtId="49" fontId="0" fillId="12" borderId="90" xfId="0" applyNumberFormat="1" applyFill="1" applyBorder="1" applyAlignment="1">
      <alignment horizontal="left"/>
    </xf>
    <xf numFmtId="169" fontId="0" fillId="0" borderId="90" xfId="0" applyNumberFormat="1" applyBorder="1" applyAlignment="1">
      <alignment horizontal="left" wrapText="1"/>
    </xf>
    <xf numFmtId="169" fontId="0" fillId="0" borderId="90" xfId="0" applyNumberFormat="1" applyBorder="1" applyAlignment="1">
      <alignment horizontal="left"/>
    </xf>
    <xf numFmtId="14" fontId="30" fillId="0" borderId="90" xfId="0" applyNumberFormat="1" applyFont="1" applyBorder="1" applyAlignment="1">
      <alignment horizontal="left"/>
    </xf>
    <xf numFmtId="0" fontId="0" fillId="0" borderId="90" xfId="0" applyNumberFormat="1" applyBorder="1" applyAlignment="1">
      <alignment horizontal="left" wrapText="1"/>
    </xf>
    <xf numFmtId="49" fontId="0" fillId="0" borderId="90" xfId="0" applyNumberFormat="1" applyBorder="1" applyAlignment="1">
      <alignment horizontal="left"/>
    </xf>
    <xf numFmtId="49" fontId="0" fillId="23" borderId="90" xfId="0" applyNumberFormat="1" applyFill="1" applyBorder="1" applyAlignment="1">
      <alignment horizontal="left" wrapText="1"/>
    </xf>
    <xf numFmtId="0" fontId="78" fillId="23" borderId="90" xfId="0" applyFont="1" applyFill="1" applyBorder="1" applyAlignment="1">
      <alignment horizontal="left"/>
    </xf>
    <xf numFmtId="169" fontId="77" fillId="23" borderId="90" xfId="0" applyNumberFormat="1" applyFont="1" applyFill="1" applyBorder="1" applyAlignment="1">
      <alignment horizontal="left" wrapText="1"/>
    </xf>
    <xf numFmtId="0" fontId="30" fillId="23" borderId="90" xfId="0" applyFont="1" applyFill="1" applyBorder="1" applyAlignment="1">
      <alignment horizontal="left" wrapText="1"/>
    </xf>
    <xf numFmtId="14" fontId="30" fillId="23" borderId="90" xfId="0" applyNumberFormat="1" applyFont="1" applyFill="1" applyBorder="1" applyAlignment="1">
      <alignment horizontal="left" wrapText="1"/>
    </xf>
    <xf numFmtId="49" fontId="0" fillId="0" borderId="90" xfId="0" applyNumberFormat="1" applyFill="1" applyBorder="1" applyAlignment="1">
      <alignment horizontal="left" wrapText="1"/>
    </xf>
    <xf numFmtId="0" fontId="77" fillId="23" borderId="90" xfId="0" applyFont="1" applyFill="1" applyBorder="1" applyAlignment="1">
      <alignment vertical="center" wrapText="1"/>
    </xf>
    <xf numFmtId="0" fontId="30" fillId="23" borderId="88" xfId="0" applyFont="1" applyFill="1" applyBorder="1" applyAlignment="1">
      <alignment horizontal="left" wrapText="1"/>
    </xf>
    <xf numFmtId="0" fontId="30" fillId="23" borderId="90" xfId="0" applyFont="1" applyFill="1" applyBorder="1" applyAlignment="1">
      <alignment vertical="center" wrapText="1"/>
    </xf>
    <xf numFmtId="169" fontId="0" fillId="12" borderId="90" xfId="0" applyNumberFormat="1" applyFill="1" applyBorder="1" applyAlignment="1">
      <alignment horizontal="left"/>
    </xf>
    <xf numFmtId="0" fontId="77" fillId="0" borderId="90" xfId="0" applyFont="1" applyFill="1" applyBorder="1" applyAlignment="1">
      <alignment vertical="center" wrapText="1"/>
    </xf>
    <xf numFmtId="0" fontId="78" fillId="0" borderId="90" xfId="0" applyFont="1" applyFill="1" applyBorder="1" applyAlignment="1">
      <alignment horizontal="left"/>
    </xf>
    <xf numFmtId="169" fontId="77" fillId="0" borderId="90" xfId="0" applyNumberFormat="1" applyFont="1" applyFill="1" applyBorder="1" applyAlignment="1">
      <alignment horizontal="left" wrapText="1"/>
    </xf>
    <xf numFmtId="0" fontId="30" fillId="0" borderId="90" xfId="0" applyFont="1" applyFill="1" applyBorder="1" applyAlignment="1">
      <alignment horizontal="left" wrapText="1"/>
    </xf>
    <xf numFmtId="0" fontId="30" fillId="0" borderId="90" xfId="0" applyFont="1" applyFill="1" applyBorder="1" applyAlignment="1">
      <alignment vertical="center" wrapText="1"/>
    </xf>
    <xf numFmtId="14" fontId="30" fillId="0" borderId="90" xfId="0" applyNumberFormat="1" applyFont="1" applyFill="1" applyBorder="1" applyAlignment="1">
      <alignment horizontal="left" wrapText="1"/>
    </xf>
    <xf numFmtId="169" fontId="0" fillId="0" borderId="90" xfId="0" applyNumberFormat="1" applyFill="1" applyBorder="1" applyAlignment="1">
      <alignment horizontal="left"/>
    </xf>
    <xf numFmtId="49" fontId="13" fillId="0" borderId="31" xfId="0" applyNumberFormat="1" applyFont="1" applyBorder="1" applyAlignment="1">
      <alignment horizontal="center"/>
    </xf>
    <xf numFmtId="0" fontId="30" fillId="23" borderId="87" xfId="0" applyFont="1" applyFill="1" applyBorder="1" applyAlignment="1">
      <alignment horizontal="left" wrapText="1"/>
    </xf>
    <xf numFmtId="169" fontId="0" fillId="23" borderId="90" xfId="0" applyNumberFormat="1" applyFill="1" applyBorder="1" applyAlignment="1">
      <alignment horizontal="left"/>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7" fillId="9" borderId="13" xfId="0" applyFont="1" applyFill="1" applyBorder="1" applyAlignment="1">
      <alignment horizontal="center" vertical="center" wrapText="1"/>
    </xf>
    <xf numFmtId="0" fontId="27" fillId="9" borderId="16" xfId="0" applyFont="1" applyFill="1" applyBorder="1" applyAlignment="1">
      <alignment horizontal="center" vertical="center" wrapText="1"/>
    </xf>
    <xf numFmtId="0" fontId="27" fillId="9" borderId="17" xfId="0"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49" fontId="23" fillId="10" borderId="31" xfId="0" applyNumberFormat="1" applyFont="1" applyFill="1" applyBorder="1" applyAlignment="1">
      <alignment horizontal="center"/>
    </xf>
    <xf numFmtId="0" fontId="86" fillId="23" borderId="90" xfId="0" applyFont="1" applyFill="1" applyBorder="1" applyAlignment="1">
      <alignment horizontal="left" wrapText="1"/>
    </xf>
    <xf numFmtId="0" fontId="80" fillId="23" borderId="90" xfId="0" applyFont="1" applyFill="1" applyBorder="1" applyAlignment="1">
      <alignment horizontal="left" wrapText="1"/>
    </xf>
    <xf numFmtId="174" fontId="87" fillId="23" borderId="90" xfId="0" applyNumberFormat="1" applyFont="1" applyFill="1" applyBorder="1" applyAlignment="1">
      <alignment horizontal="left" wrapText="1"/>
    </xf>
    <xf numFmtId="0" fontId="87" fillId="23" borderId="90" xfId="0" applyFont="1" applyFill="1" applyBorder="1" applyAlignment="1">
      <alignment horizontal="center" vertical="center"/>
    </xf>
    <xf numFmtId="49" fontId="88" fillId="23" borderId="90" xfId="0" applyNumberFormat="1" applyFont="1" applyFill="1" applyBorder="1" applyAlignment="1">
      <alignment horizontal="center" vertical="center"/>
    </xf>
    <xf numFmtId="49" fontId="88" fillId="23" borderId="90" xfId="0" applyNumberFormat="1" applyFont="1" applyFill="1" applyBorder="1" applyAlignment="1">
      <alignment horizontal="center" vertical="center" wrapText="1"/>
    </xf>
    <xf numFmtId="0" fontId="87" fillId="23" borderId="90" xfId="0" applyFont="1" applyFill="1" applyBorder="1" applyAlignment="1">
      <alignment horizontal="center" wrapText="1"/>
    </xf>
    <xf numFmtId="0" fontId="88" fillId="23" borderId="90" xfId="0" applyFont="1" applyFill="1" applyBorder="1" applyAlignment="1">
      <alignment horizontal="center" wrapText="1"/>
    </xf>
    <xf numFmtId="0" fontId="80" fillId="23" borderId="90" xfId="0" applyFont="1" applyFill="1" applyBorder="1" applyAlignment="1">
      <alignment horizontal="left"/>
    </xf>
    <xf numFmtId="174" fontId="87" fillId="23" borderId="90" xfId="0" applyNumberFormat="1" applyFont="1" applyFill="1" applyBorder="1" applyAlignment="1">
      <alignment horizontal="left"/>
    </xf>
    <xf numFmtId="0" fontId="87" fillId="23" borderId="90" xfId="0" applyFont="1" applyFill="1" applyBorder="1" applyAlignment="1">
      <alignment horizontal="center"/>
    </xf>
    <xf numFmtId="0" fontId="88" fillId="23" borderId="90" xfId="0" applyFont="1" applyFill="1" applyBorder="1" applyAlignment="1">
      <alignment horizontal="center" vertical="center" wrapText="1"/>
    </xf>
    <xf numFmtId="0" fontId="89" fillId="23" borderId="90" xfId="0" applyFont="1" applyFill="1" applyBorder="1" applyAlignment="1">
      <alignment horizontal="left" wrapText="1"/>
    </xf>
    <xf numFmtId="0" fontId="81" fillId="23" borderId="90" xfId="0" applyFont="1" applyFill="1" applyBorder="1" applyAlignment="1">
      <alignment horizontal="left" wrapText="1"/>
    </xf>
    <xf numFmtId="174" fontId="88" fillId="23" borderId="90" xfId="0" applyNumberFormat="1" applyFont="1" applyFill="1" applyBorder="1" applyAlignment="1">
      <alignment horizontal="left" wrapText="1"/>
    </xf>
    <xf numFmtId="0" fontId="88" fillId="23" borderId="90" xfId="0" applyFont="1" applyFill="1" applyBorder="1" applyAlignment="1">
      <alignment horizontal="center" vertical="center"/>
    </xf>
    <xf numFmtId="0" fontId="79" fillId="23" borderId="90" xfId="0" applyFont="1" applyFill="1" applyBorder="1" applyAlignment="1">
      <alignment horizontal="left"/>
    </xf>
    <xf numFmtId="0" fontId="86" fillId="23" borderId="90" xfId="0" applyFont="1" applyFill="1" applyBorder="1" applyAlignment="1">
      <alignment horizontal="left" vertical="center"/>
    </xf>
    <xf numFmtId="0" fontId="80" fillId="23" borderId="90" xfId="0" applyFont="1" applyFill="1" applyBorder="1" applyAlignment="1">
      <alignment horizontal="left" vertical="center"/>
    </xf>
    <xf numFmtId="174" fontId="87" fillId="23" borderId="90" xfId="0" applyNumberFormat="1" applyFont="1" applyFill="1" applyBorder="1" applyAlignment="1">
      <alignment horizontal="left" vertical="center"/>
    </xf>
    <xf numFmtId="0" fontId="87" fillId="0" borderId="90" xfId="0" applyFont="1" applyBorder="1" applyAlignment="1">
      <alignment horizontal="center" vertical="center"/>
    </xf>
    <xf numFmtId="0" fontId="87" fillId="0" borderId="90" xfId="0" applyFont="1" applyBorder="1" applyAlignment="1">
      <alignment horizontal="center"/>
    </xf>
    <xf numFmtId="0" fontId="16" fillId="0" borderId="90" xfId="0" applyFont="1" applyBorder="1"/>
    <xf numFmtId="0" fontId="16" fillId="9" borderId="90" xfId="0" applyFont="1" applyFill="1" applyBorder="1"/>
    <xf numFmtId="0" fontId="22" fillId="5" borderId="90" xfId="0" applyFont="1" applyFill="1" applyBorder="1" applyAlignment="1">
      <alignment horizontal="left" vertical="center" wrapText="1"/>
    </xf>
    <xf numFmtId="170" fontId="22" fillId="5" borderId="90" xfId="0" applyNumberFormat="1" applyFont="1" applyFill="1" applyBorder="1" applyAlignment="1">
      <alignment horizontal="center" vertical="center" wrapText="1"/>
    </xf>
    <xf numFmtId="170" fontId="16" fillId="0" borderId="90" xfId="0" applyNumberFormat="1" applyFont="1" applyBorder="1" applyAlignment="1">
      <alignment horizontal="center"/>
    </xf>
    <xf numFmtId="170" fontId="16" fillId="0" borderId="0" xfId="0" applyNumberFormat="1" applyFont="1" applyAlignment="1">
      <alignment horizontal="center"/>
    </xf>
    <xf numFmtId="0" fontId="22" fillId="5" borderId="90" xfId="0" applyFont="1" applyFill="1" applyBorder="1" applyAlignment="1">
      <alignment horizontal="center" vertical="center" wrapText="1"/>
    </xf>
    <xf numFmtId="0" fontId="16" fillId="0" borderId="90" xfId="0" applyFont="1" applyBorder="1" applyAlignment="1">
      <alignment horizontal="center"/>
    </xf>
    <xf numFmtId="0" fontId="16" fillId="9" borderId="90" xfId="0" applyFont="1" applyFill="1" applyBorder="1" applyAlignment="1">
      <alignment horizontal="center"/>
    </xf>
    <xf numFmtId="0" fontId="12" fillId="0" borderId="31" xfId="0" applyFont="1" applyBorder="1"/>
    <xf numFmtId="0" fontId="22" fillId="5" borderId="31" xfId="0" applyFont="1" applyFill="1" applyBorder="1" applyAlignment="1">
      <alignment horizontal="left" vertical="center" wrapText="1"/>
    </xf>
    <xf numFmtId="164" fontId="22" fillId="5" borderId="90" xfId="0" applyNumberFormat="1" applyFont="1" applyFill="1" applyBorder="1" applyAlignment="1">
      <alignment horizontal="center" vertical="center" wrapText="1"/>
    </xf>
    <xf numFmtId="164" fontId="16" fillId="0" borderId="90" xfId="0" applyNumberFormat="1" applyFont="1" applyBorder="1" applyAlignment="1">
      <alignment horizontal="center"/>
    </xf>
    <xf numFmtId="164" fontId="16" fillId="0" borderId="0" xfId="0" applyNumberFormat="1" applyFont="1" applyAlignment="1">
      <alignment horizontal="center"/>
    </xf>
    <xf numFmtId="170" fontId="16" fillId="9" borderId="90" xfId="0" applyNumberFormat="1" applyFont="1" applyFill="1" applyBorder="1" applyAlignment="1">
      <alignment horizontal="center"/>
    </xf>
    <xf numFmtId="164" fontId="16" fillId="9" borderId="90" xfId="0" applyNumberFormat="1" applyFont="1" applyFill="1" applyBorder="1" applyAlignment="1">
      <alignment horizontal="center"/>
    </xf>
    <xf numFmtId="0" fontId="51" fillId="9" borderId="31" xfId="0" applyFont="1" applyFill="1" applyBorder="1" applyAlignment="1">
      <alignment horizontal="center"/>
    </xf>
    <xf numFmtId="168" fontId="51" fillId="9" borderId="31" xfId="0" applyNumberFormat="1" applyFont="1" applyFill="1" applyBorder="1" applyAlignment="1">
      <alignment horizontal="center"/>
    </xf>
    <xf numFmtId="175" fontId="51" fillId="9" borderId="31" xfId="0" applyNumberFormat="1" applyFont="1" applyFill="1" applyBorder="1" applyAlignment="1">
      <alignment horizontal="center"/>
    </xf>
    <xf numFmtId="0" fontId="16" fillId="9" borderId="31" xfId="0" applyFont="1" applyFill="1" applyBorder="1" applyAlignment="1">
      <alignment horizontal="center"/>
    </xf>
    <xf numFmtId="0" fontId="51" fillId="9" borderId="47" xfId="0" applyFont="1" applyFill="1" applyBorder="1"/>
    <xf numFmtId="0" fontId="51" fillId="9" borderId="78" xfId="0" applyFont="1" applyFill="1" applyBorder="1"/>
    <xf numFmtId="0" fontId="16" fillId="9" borderId="0" xfId="0" applyFont="1" applyFill="1"/>
    <xf numFmtId="168" fontId="16" fillId="9" borderId="31" xfId="0" applyNumberFormat="1" applyFont="1" applyFill="1" applyBorder="1" applyAlignment="1">
      <alignment horizontal="center"/>
    </xf>
    <xf numFmtId="0" fontId="16" fillId="9" borderId="47" xfId="0" applyFont="1" applyFill="1" applyBorder="1"/>
    <xf numFmtId="0" fontId="16" fillId="9" borderId="78" xfId="0" applyFont="1" applyFill="1" applyBorder="1"/>
    <xf numFmtId="0" fontId="16" fillId="9" borderId="46" xfId="0" applyFont="1" applyFill="1" applyBorder="1" applyAlignment="1">
      <alignment horizontal="center"/>
    </xf>
    <xf numFmtId="168" fontId="51" fillId="9" borderId="46" xfId="0" applyNumberFormat="1" applyFont="1" applyFill="1" applyBorder="1" applyAlignment="1">
      <alignment horizontal="center"/>
    </xf>
    <xf numFmtId="0" fontId="23" fillId="9" borderId="31" xfId="0" applyFont="1" applyFill="1" applyBorder="1" applyAlignment="1">
      <alignment horizontal="center"/>
    </xf>
    <xf numFmtId="0" fontId="12" fillId="9" borderId="31" xfId="0" applyFont="1" applyFill="1" applyBorder="1"/>
    <xf numFmtId="168" fontId="51" fillId="9" borderId="50" xfId="0" applyNumberFormat="1" applyFont="1" applyFill="1" applyBorder="1" applyAlignment="1">
      <alignment horizontal="center"/>
    </xf>
    <xf numFmtId="169" fontId="16" fillId="9" borderId="72" xfId="0" applyNumberFormat="1" applyFont="1" applyFill="1" applyBorder="1" applyAlignment="1">
      <alignment horizontal="center"/>
    </xf>
    <xf numFmtId="0" fontId="51" fillId="9" borderId="50" xfId="0" applyFont="1" applyFill="1" applyBorder="1" applyAlignment="1">
      <alignment horizontal="center"/>
    </xf>
    <xf numFmtId="169" fontId="16" fillId="9" borderId="50" xfId="0" applyNumberFormat="1" applyFont="1" applyFill="1" applyBorder="1" applyAlignment="1">
      <alignment horizontal="center"/>
    </xf>
    <xf numFmtId="0" fontId="51" fillId="10" borderId="31" xfId="0" applyFont="1" applyFill="1" applyBorder="1"/>
    <xf numFmtId="170" fontId="23" fillId="0" borderId="90" xfId="0" applyNumberFormat="1" applyFont="1" applyBorder="1" applyAlignment="1">
      <alignment horizontal="center"/>
    </xf>
    <xf numFmtId="0" fontId="23" fillId="0" borderId="90" xfId="0" applyFont="1" applyBorder="1"/>
    <xf numFmtId="0" fontId="23" fillId="0" borderId="90" xfId="0" applyFont="1" applyBorder="1" applyAlignment="1">
      <alignment horizontal="center"/>
    </xf>
    <xf numFmtId="164" fontId="23" fillId="0" borderId="90" xfId="0" applyNumberFormat="1" applyFont="1" applyBorder="1" applyAlignment="1">
      <alignment horizontal="center"/>
    </xf>
    <xf numFmtId="0" fontId="23" fillId="0" borderId="31" xfId="0" applyFont="1" applyBorder="1" applyAlignment="1">
      <alignment horizontal="center"/>
    </xf>
    <xf numFmtId="168" fontId="23" fillId="0" borderId="31" xfId="0" applyNumberFormat="1" applyFont="1" applyBorder="1" applyAlignment="1">
      <alignment horizontal="center"/>
    </xf>
    <xf numFmtId="0" fontId="23" fillId="0" borderId="47" xfId="0" applyFont="1" applyBorder="1"/>
    <xf numFmtId="0" fontId="23" fillId="0" borderId="46" xfId="0" applyFont="1" applyBorder="1" applyAlignment="1">
      <alignment horizontal="center"/>
    </xf>
    <xf numFmtId="169" fontId="23" fillId="0" borderId="71" xfId="0" applyNumberFormat="1" applyFont="1" applyBorder="1" applyAlignment="1">
      <alignment horizontal="center"/>
    </xf>
    <xf numFmtId="169" fontId="23" fillId="0" borderId="46" xfId="0" applyNumberFormat="1" applyFont="1" applyBorder="1" applyAlignment="1">
      <alignment horizontal="center"/>
    </xf>
    <xf numFmtId="0" fontId="23" fillId="0" borderId="46" xfId="0" applyFont="1" applyFill="1" applyBorder="1" applyAlignment="1">
      <alignment horizontal="center"/>
    </xf>
    <xf numFmtId="168" fontId="23" fillId="0" borderId="31" xfId="0" applyNumberFormat="1" applyFont="1" applyFill="1" applyBorder="1" applyAlignment="1">
      <alignment horizontal="center"/>
    </xf>
    <xf numFmtId="0" fontId="23" fillId="0" borderId="47" xfId="0" applyFont="1" applyFill="1" applyBorder="1"/>
    <xf numFmtId="169" fontId="23" fillId="0" borderId="71" xfId="0" applyNumberFormat="1" applyFont="1" applyFill="1" applyBorder="1" applyAlignment="1">
      <alignment horizontal="center"/>
    </xf>
    <xf numFmtId="0" fontId="99" fillId="0" borderId="0" xfId="0" applyFont="1" applyAlignment="1">
      <alignment vertical="center"/>
    </xf>
    <xf numFmtId="0" fontId="100" fillId="0" borderId="0" xfId="0" applyFont="1"/>
    <xf numFmtId="0" fontId="101" fillId="0" borderId="0" xfId="0" applyFont="1"/>
    <xf numFmtId="0" fontId="99" fillId="35" borderId="0" xfId="0" applyFont="1" applyFill="1" applyAlignment="1">
      <alignment horizontal="left" vertical="center"/>
    </xf>
    <xf numFmtId="0" fontId="100" fillId="35" borderId="0" xfId="0" applyFont="1" applyFill="1"/>
    <xf numFmtId="0" fontId="101" fillId="35" borderId="0" xfId="0" applyFont="1" applyFill="1"/>
    <xf numFmtId="0" fontId="99" fillId="0" borderId="0" xfId="0" applyFont="1" applyAlignment="1">
      <alignment horizontal="right" vertical="center"/>
    </xf>
    <xf numFmtId="0" fontId="93" fillId="0" borderId="0" xfId="0" applyFont="1" applyAlignment="1">
      <alignment horizontal="center" vertical="center"/>
    </xf>
    <xf numFmtId="0" fontId="93" fillId="0" borderId="0" xfId="0" applyFont="1" applyAlignment="1">
      <alignment horizontal="center" vertical="center" wrapText="1"/>
    </xf>
    <xf numFmtId="0" fontId="38" fillId="0" borderId="0" xfId="0" applyFont="1" applyAlignment="1">
      <alignment horizontal="center" vertical="center"/>
    </xf>
    <xf numFmtId="0" fontId="100" fillId="0" borderId="0" xfId="0" applyFont="1" applyAlignment="1">
      <alignment horizontal="right" vertical="center"/>
    </xf>
    <xf numFmtId="0" fontId="35" fillId="36" borderId="95" xfId="0" applyFont="1" applyFill="1" applyBorder="1" applyAlignment="1">
      <alignment horizontal="left" wrapText="1"/>
    </xf>
    <xf numFmtId="0" fontId="35" fillId="36" borderId="95" xfId="0" applyFont="1" applyFill="1" applyBorder="1" applyAlignment="1">
      <alignment horizontal="left" vertical="center" wrapText="1"/>
    </xf>
    <xf numFmtId="0" fontId="38" fillId="36" borderId="95" xfId="0" applyFont="1" applyFill="1" applyBorder="1" applyAlignment="1">
      <alignment horizontal="center" vertical="center" wrapText="1"/>
    </xf>
    <xf numFmtId="0" fontId="35" fillId="36" borderId="95" xfId="0" applyFont="1" applyFill="1" applyBorder="1" applyAlignment="1">
      <alignment horizontal="center" vertical="center" wrapText="1"/>
    </xf>
    <xf numFmtId="0" fontId="68" fillId="36" borderId="95" xfId="0" applyFont="1" applyFill="1" applyBorder="1" applyAlignment="1">
      <alignment horizontal="center" vertical="center" wrapText="1"/>
    </xf>
    <xf numFmtId="0" fontId="30" fillId="36" borderId="95" xfId="0" applyFont="1" applyFill="1" applyBorder="1" applyAlignment="1">
      <alignment horizontal="center" vertical="center" wrapText="1"/>
    </xf>
    <xf numFmtId="164" fontId="30" fillId="36" borderId="95" xfId="0" applyNumberFormat="1" applyFont="1" applyFill="1" applyBorder="1" applyAlignment="1">
      <alignment horizontal="center" vertical="center" wrapText="1"/>
    </xf>
    <xf numFmtId="0" fontId="30" fillId="36" borderId="95" xfId="0" applyFont="1" applyFill="1" applyBorder="1" applyAlignment="1">
      <alignment horizontal="left" vertical="center" wrapText="1"/>
    </xf>
    <xf numFmtId="0" fontId="100" fillId="0" borderId="0" xfId="0" applyFont="1" applyFill="1" applyAlignment="1">
      <alignment wrapText="1"/>
    </xf>
    <xf numFmtId="0" fontId="100" fillId="0" borderId="0" xfId="0" applyFont="1" applyFill="1"/>
    <xf numFmtId="0" fontId="102" fillId="36" borderId="96" xfId="0" applyFont="1" applyFill="1" applyBorder="1" applyAlignment="1">
      <alignment horizontal="center" vertical="center" wrapText="1"/>
    </xf>
    <xf numFmtId="0" fontId="100" fillId="0" borderId="0" xfId="0" applyFont="1" applyAlignment="1">
      <alignment vertical="center"/>
    </xf>
    <xf numFmtId="0" fontId="68" fillId="36" borderId="97" xfId="0" applyFont="1" applyFill="1" applyBorder="1" applyAlignment="1">
      <alignment horizontal="center" vertical="center" wrapText="1"/>
    </xf>
    <xf numFmtId="0" fontId="68" fillId="36" borderId="96" xfId="0" applyFont="1" applyFill="1" applyBorder="1" applyAlignment="1">
      <alignment horizontal="center" vertical="center" wrapText="1"/>
    </xf>
    <xf numFmtId="0" fontId="93" fillId="36" borderId="95"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3" xfId="0"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51" fillId="0" borderId="98" xfId="0" applyFont="1" applyFill="1" applyBorder="1"/>
    <xf numFmtId="170" fontId="16" fillId="0" borderId="98" xfId="0" applyNumberFormat="1" applyFont="1" applyBorder="1" applyAlignment="1">
      <alignment horizontal="center"/>
    </xf>
    <xf numFmtId="0" fontId="16" fillId="0" borderId="98" xfId="0" applyFont="1" applyBorder="1"/>
    <xf numFmtId="0" fontId="16" fillId="0" borderId="98" xfId="0" applyFont="1" applyBorder="1" applyAlignment="1">
      <alignment horizontal="center"/>
    </xf>
    <xf numFmtId="164" fontId="16" fillId="0" borderId="98" xfId="0" applyNumberFormat="1" applyFont="1" applyBorder="1" applyAlignment="1">
      <alignment horizontal="center"/>
    </xf>
    <xf numFmtId="168" fontId="16" fillId="0" borderId="98" xfId="0" applyNumberFormat="1" applyFont="1" applyFill="1" applyBorder="1" applyAlignment="1">
      <alignment horizontal="center"/>
    </xf>
    <xf numFmtId="0" fontId="16" fillId="0" borderId="98" xfId="0" applyFont="1" applyFill="1" applyBorder="1" applyAlignment="1">
      <alignment horizontal="center"/>
    </xf>
    <xf numFmtId="0" fontId="16" fillId="0" borderId="98" xfId="0" applyFont="1" applyFill="1" applyBorder="1"/>
    <xf numFmtId="0" fontId="16" fillId="0" borderId="99" xfId="0" applyFont="1" applyFill="1" applyBorder="1"/>
    <xf numFmtId="169" fontId="16" fillId="0" borderId="101" xfId="0" applyNumberFormat="1" applyFont="1" applyFill="1" applyBorder="1" applyAlignment="1">
      <alignment horizontal="center"/>
    </xf>
    <xf numFmtId="169" fontId="16" fillId="0" borderId="101" xfId="0" applyNumberFormat="1" applyFont="1" applyBorder="1" applyAlignment="1">
      <alignment horizontal="center"/>
    </xf>
    <xf numFmtId="169" fontId="16" fillId="0" borderId="100" xfId="0" applyNumberFormat="1" applyFont="1" applyBorder="1" applyAlignment="1">
      <alignment horizontal="center"/>
    </xf>
    <xf numFmtId="0" fontId="16" fillId="0" borderId="102" xfId="0" applyFont="1" applyFill="1" applyBorder="1"/>
    <xf numFmtId="0" fontId="51" fillId="0" borderId="98" xfId="0" applyFont="1" applyBorder="1"/>
    <xf numFmtId="0" fontId="51" fillId="0" borderId="98" xfId="0" applyFont="1" applyFill="1" applyBorder="1" applyAlignment="1">
      <alignment horizontal="center"/>
    </xf>
    <xf numFmtId="168" fontId="51" fillId="0" borderId="100" xfId="0" applyNumberFormat="1" applyFont="1" applyFill="1" applyBorder="1" applyAlignment="1">
      <alignment horizontal="center"/>
    </xf>
    <xf numFmtId="0" fontId="51" fillId="0" borderId="100" xfId="0" applyFont="1" applyFill="1" applyBorder="1" applyAlignment="1">
      <alignment horizontal="center"/>
    </xf>
    <xf numFmtId="0" fontId="16" fillId="9" borderId="98" xfId="0" applyFont="1" applyFill="1" applyBorder="1"/>
    <xf numFmtId="6" fontId="38" fillId="36" borderId="95" xfId="0" applyNumberFormat="1" applyFont="1" applyFill="1" applyBorder="1" applyAlignment="1">
      <alignment horizontal="center" vertical="center" wrapText="1"/>
    </xf>
    <xf numFmtId="0" fontId="102" fillId="36" borderId="0" xfId="0" applyFont="1" applyFill="1" applyBorder="1" applyAlignment="1">
      <alignment horizontal="center" vertical="center" wrapText="1"/>
    </xf>
    <xf numFmtId="0" fontId="68" fillId="36" borderId="0" xfId="0" applyFont="1" applyFill="1" applyBorder="1" applyAlignment="1">
      <alignment horizontal="center" vertical="center" wrapText="1"/>
    </xf>
    <xf numFmtId="0" fontId="38" fillId="30" borderId="95" xfId="0" applyFont="1" applyFill="1" applyBorder="1" applyAlignment="1">
      <alignment horizontal="center" vertical="center" wrapText="1"/>
    </xf>
    <xf numFmtId="0" fontId="100" fillId="30" borderId="0" xfId="0" applyFont="1" applyFill="1"/>
    <xf numFmtId="0" fontId="43" fillId="2" borderId="0" xfId="0" applyFont="1" applyFill="1" applyAlignment="1">
      <alignment horizontal="center" vertical="center" wrapText="1"/>
    </xf>
    <xf numFmtId="170" fontId="51" fillId="0" borderId="90" xfId="0" applyNumberFormat="1" applyFont="1" applyFill="1" applyBorder="1" applyAlignment="1">
      <alignment horizontal="center"/>
    </xf>
    <xf numFmtId="0" fontId="51" fillId="0" borderId="90" xfId="0" applyFont="1" applyFill="1" applyBorder="1"/>
    <xf numFmtId="0" fontId="51" fillId="0" borderId="90" xfId="0" applyFont="1" applyFill="1" applyBorder="1" applyAlignment="1">
      <alignment horizontal="center"/>
    </xf>
    <xf numFmtId="164" fontId="51" fillId="0" borderId="90" xfId="0" applyNumberFormat="1" applyFont="1" applyFill="1" applyBorder="1" applyAlignment="1">
      <alignment horizontal="center"/>
    </xf>
    <xf numFmtId="49" fontId="51" fillId="0" borderId="31" xfId="0" applyNumberFormat="1" applyFont="1" applyFill="1" applyBorder="1" applyAlignment="1">
      <alignment horizontal="center"/>
    </xf>
    <xf numFmtId="169" fontId="51" fillId="0" borderId="46" xfId="0" applyNumberFormat="1" applyFont="1" applyFill="1" applyBorder="1" applyAlignment="1">
      <alignment horizontal="center"/>
    </xf>
    <xf numFmtId="0" fontId="51" fillId="0" borderId="78" xfId="0" applyFont="1" applyFill="1" applyBorder="1"/>
    <xf numFmtId="0" fontId="51" fillId="0" borderId="0" xfId="0" applyFont="1" applyFill="1"/>
    <xf numFmtId="49" fontId="11" fillId="0" borderId="31" xfId="0" applyNumberFormat="1" applyFont="1" applyBorder="1" applyAlignment="1">
      <alignment horizontal="center"/>
    </xf>
    <xf numFmtId="49" fontId="11" fillId="0" borderId="31" xfId="0" applyNumberFormat="1" applyFont="1" applyFill="1" applyBorder="1" applyAlignment="1">
      <alignment horizontal="center"/>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1" fillId="9" borderId="3"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168" fontId="23" fillId="10" borderId="31" xfId="0" applyNumberFormat="1" applyFont="1" applyFill="1" applyBorder="1" applyAlignment="1">
      <alignment horizontal="center"/>
    </xf>
    <xf numFmtId="0" fontId="10" fillId="0" borderId="31" xfId="0" applyFont="1" applyBorder="1"/>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1" fillId="9" borderId="3" xfId="0"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1" fillId="9" borderId="49" xfId="0" applyFont="1" applyFill="1" applyBorder="1" applyAlignment="1">
      <alignment horizontal="center" vertical="center" wrapText="1"/>
    </xf>
    <xf numFmtId="0" fontId="28" fillId="0" borderId="69" xfId="0" applyFont="1" applyFill="1" applyBorder="1" applyAlignment="1">
      <alignment horizontal="center" vertical="center" wrapText="1"/>
    </xf>
    <xf numFmtId="0" fontId="28" fillId="0" borderId="98" xfId="0" applyFont="1" applyFill="1" applyBorder="1" applyAlignment="1">
      <alignment horizontal="center" vertical="center" wrapText="1"/>
    </xf>
    <xf numFmtId="166" fontId="28" fillId="23" borderId="4" xfId="0" applyNumberFormat="1" applyFont="1" applyFill="1" applyBorder="1" applyAlignment="1">
      <alignment horizontal="center" vertical="center" wrapText="1"/>
    </xf>
    <xf numFmtId="166" fontId="28" fillId="23" borderId="6" xfId="0" applyNumberFormat="1" applyFont="1" applyFill="1" applyBorder="1" applyAlignment="1">
      <alignment horizontal="center" vertical="center" wrapText="1"/>
    </xf>
    <xf numFmtId="166" fontId="28" fillId="23" borderId="15" xfId="0" applyNumberFormat="1" applyFont="1" applyFill="1" applyBorder="1" applyAlignment="1">
      <alignment horizontal="center" vertical="center" wrapText="1"/>
    </xf>
    <xf numFmtId="166" fontId="27" fillId="0" borderId="4" xfId="0" applyNumberFormat="1" applyFont="1" applyBorder="1" applyAlignment="1">
      <alignment horizontal="center" vertical="center" wrapText="1"/>
    </xf>
    <xf numFmtId="166" fontId="27" fillId="0" borderId="6" xfId="0" applyNumberFormat="1" applyFont="1" applyBorder="1" applyAlignment="1">
      <alignment horizontal="center" vertical="center" wrapText="1"/>
    </xf>
    <xf numFmtId="165" fontId="21" fillId="9" borderId="69" xfId="0" applyNumberFormat="1" applyFont="1" applyFill="1" applyBorder="1" applyAlignment="1">
      <alignment horizontal="center" vertical="center" wrapText="1"/>
    </xf>
    <xf numFmtId="0" fontId="21" fillId="9" borderId="69" xfId="0" applyFont="1" applyFill="1" applyBorder="1" applyAlignment="1">
      <alignment horizontal="center" vertical="center" wrapText="1"/>
    </xf>
    <xf numFmtId="165" fontId="21" fillId="9" borderId="98" xfId="0" applyNumberFormat="1" applyFont="1" applyFill="1" applyBorder="1" applyAlignment="1">
      <alignment horizontal="center" vertical="center" wrapText="1"/>
    </xf>
    <xf numFmtId="0" fontId="21" fillId="9" borderId="98" xfId="0" applyFont="1" applyFill="1" applyBorder="1" applyAlignment="1">
      <alignment horizontal="center" vertical="center" wrapText="1"/>
    </xf>
    <xf numFmtId="166" fontId="21" fillId="9" borderId="99" xfId="0" applyNumberFormat="1" applyFont="1" applyFill="1" applyBorder="1" applyAlignment="1">
      <alignment horizontal="center" vertical="center" wrapText="1"/>
    </xf>
    <xf numFmtId="0" fontId="9" fillId="0" borderId="47" xfId="0" applyFont="1" applyFill="1" applyBorder="1"/>
    <xf numFmtId="0" fontId="9" fillId="0" borderId="31" xfId="0" applyFont="1" applyFill="1" applyBorder="1" applyAlignment="1">
      <alignment horizontal="center"/>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94" fillId="0" borderId="19" xfId="2" applyFill="1" applyBorder="1" applyAlignment="1" applyProtection="1">
      <alignment horizontal="center" vertical="center" wrapText="1"/>
    </xf>
    <xf numFmtId="0" fontId="21" fillId="9" borderId="3" xfId="0" applyFont="1" applyFill="1" applyBorder="1" applyAlignment="1">
      <alignment horizontal="center" vertical="center" wrapText="1"/>
    </xf>
    <xf numFmtId="0" fontId="21" fillId="0" borderId="1" xfId="0" applyFont="1" applyBorder="1" applyAlignment="1">
      <alignment horizontal="center" vertical="center" wrapText="1"/>
    </xf>
    <xf numFmtId="0" fontId="21" fillId="0" borderId="3" xfId="0" applyFont="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4" fillId="0" borderId="31" xfId="0" applyFont="1" applyFill="1" applyBorder="1"/>
    <xf numFmtId="0" fontId="30" fillId="0" borderId="0" xfId="8" applyFont="1"/>
    <xf numFmtId="164" fontId="30" fillId="0" borderId="0" xfId="9" applyNumberFormat="1" applyFont="1" applyAlignment="1">
      <alignment horizontal="center" vertical="center"/>
    </xf>
    <xf numFmtId="14" fontId="30" fillId="0" borderId="0" xfId="8" applyNumberFormat="1" applyFont="1" applyAlignment="1">
      <alignment horizontal="center"/>
    </xf>
    <xf numFmtId="0" fontId="30" fillId="0" borderId="0" xfId="9" applyFont="1" applyAlignment="1">
      <alignment horizontal="center" vertical="center"/>
    </xf>
    <xf numFmtId="0" fontId="30" fillId="0" borderId="98" xfId="8" applyFont="1" applyBorder="1"/>
    <xf numFmtId="164" fontId="30" fillId="0" borderId="98" xfId="8" applyNumberFormat="1" applyFont="1" applyBorder="1" applyAlignment="1">
      <alignment horizontal="center"/>
    </xf>
    <xf numFmtId="14" fontId="30" fillId="0" borderId="98" xfId="8" applyNumberFormat="1" applyFont="1" applyBorder="1" applyAlignment="1">
      <alignment horizontal="center"/>
    </xf>
    <xf numFmtId="0" fontId="30" fillId="0" borderId="98" xfId="8" applyFont="1" applyBorder="1" applyAlignment="1">
      <alignment horizontal="center"/>
    </xf>
    <xf numFmtId="0" fontId="93" fillId="0" borderId="0" xfId="8" applyFont="1"/>
    <xf numFmtId="0" fontId="43" fillId="2" borderId="98" xfId="9" applyFont="1" applyFill="1" applyBorder="1" applyAlignment="1">
      <alignment horizontal="center" vertical="center" wrapText="1"/>
    </xf>
    <xf numFmtId="0" fontId="43" fillId="24" borderId="98" xfId="9" applyFont="1" applyFill="1" applyBorder="1" applyAlignment="1">
      <alignment horizontal="center" vertical="center" wrapText="1"/>
    </xf>
    <xf numFmtId="0" fontId="43" fillId="5" borderId="98" xfId="9" applyFont="1" applyFill="1" applyBorder="1" applyAlignment="1">
      <alignment horizontal="center" vertical="center" wrapText="1"/>
    </xf>
    <xf numFmtId="0" fontId="43" fillId="4" borderId="98" xfId="9" applyFont="1" applyFill="1" applyBorder="1" applyAlignment="1">
      <alignment horizontal="center" vertical="center" wrapText="1"/>
    </xf>
    <xf numFmtId="0" fontId="43" fillId="3" borderId="98" xfId="9" applyFont="1" applyFill="1" applyBorder="1" applyAlignment="1">
      <alignment horizontal="center" vertical="center" wrapText="1"/>
    </xf>
    <xf numFmtId="0" fontId="43" fillId="28" borderId="98" xfId="9" applyFont="1" applyFill="1" applyBorder="1" applyAlignment="1">
      <alignment horizontal="center" vertical="center" wrapText="1"/>
    </xf>
    <xf numFmtId="0" fontId="43" fillId="2" borderId="102" xfId="9" applyFont="1" applyFill="1" applyBorder="1" applyAlignment="1">
      <alignment horizontal="center" vertical="center" wrapText="1"/>
    </xf>
    <xf numFmtId="0" fontId="43" fillId="37" borderId="98" xfId="9" applyFont="1" applyFill="1" applyBorder="1" applyAlignment="1">
      <alignment horizontal="center" vertical="center" wrapText="1"/>
    </xf>
    <xf numFmtId="0" fontId="2" fillId="10" borderId="0" xfId="10" applyFill="1"/>
    <xf numFmtId="0" fontId="2" fillId="0" borderId="0" xfId="10"/>
    <xf numFmtId="0" fontId="22" fillId="2" borderId="0" xfId="10" applyFont="1" applyFill="1"/>
    <xf numFmtId="169" fontId="30" fillId="0" borderId="0" xfId="8" applyNumberFormat="1" applyFont="1" applyAlignment="1">
      <alignment horizontal="center"/>
    </xf>
    <xf numFmtId="0" fontId="30" fillId="0" borderId="0" xfId="8" applyFont="1" applyAlignment="1">
      <alignment horizontal="center"/>
    </xf>
    <xf numFmtId="0" fontId="86" fillId="23" borderId="98" xfId="0" applyFont="1" applyFill="1" applyBorder="1" applyAlignment="1">
      <alignment horizontal="left" wrapText="1"/>
    </xf>
    <xf numFmtId="0" fontId="86" fillId="23" borderId="90" xfId="4" applyFont="1" applyFill="1" applyBorder="1" applyAlignment="1">
      <alignment horizontal="left" wrapText="1"/>
    </xf>
    <xf numFmtId="0" fontId="80" fillId="23" borderId="90" xfId="4" applyFont="1" applyFill="1" applyBorder="1" applyAlignment="1">
      <alignment horizontal="left"/>
    </xf>
    <xf numFmtId="0" fontId="80" fillId="23" borderId="98" xfId="0" applyFont="1" applyFill="1" applyBorder="1" applyAlignment="1">
      <alignment horizontal="left"/>
    </xf>
    <xf numFmtId="0" fontId="80" fillId="23" borderId="98" xfId="0" applyFont="1" applyFill="1" applyBorder="1" applyAlignment="1">
      <alignment horizontal="left" wrapText="1"/>
    </xf>
    <xf numFmtId="174" fontId="87" fillId="23" borderId="90" xfId="4" applyNumberFormat="1" applyFont="1" applyFill="1" applyBorder="1" applyAlignment="1">
      <alignment horizontal="left" wrapText="1"/>
    </xf>
    <xf numFmtId="174" fontId="87" fillId="23" borderId="98" xfId="0" applyNumberFormat="1" applyFont="1" applyFill="1" applyBorder="1" applyAlignment="1">
      <alignment horizontal="left" wrapText="1"/>
    </xf>
    <xf numFmtId="0" fontId="87" fillId="0" borderId="90" xfId="4" applyFont="1" applyBorder="1" applyAlignment="1">
      <alignment horizontal="center" vertical="center"/>
    </xf>
    <xf numFmtId="0" fontId="87" fillId="0" borderId="98" xfId="0" applyFont="1" applyBorder="1" applyAlignment="1">
      <alignment horizontal="center" vertical="center"/>
    </xf>
    <xf numFmtId="0" fontId="87" fillId="23" borderId="98" xfId="0" applyFont="1" applyFill="1" applyBorder="1" applyAlignment="1">
      <alignment horizontal="center" vertical="center"/>
    </xf>
    <xf numFmtId="49" fontId="88" fillId="23" borderId="90" xfId="4" applyNumberFormat="1" applyFont="1" applyFill="1" applyBorder="1" applyAlignment="1">
      <alignment horizontal="center" vertical="center" wrapText="1"/>
    </xf>
    <xf numFmtId="49" fontId="88" fillId="23" borderId="98" xfId="0" applyNumberFormat="1" applyFont="1" applyFill="1" applyBorder="1" applyAlignment="1">
      <alignment horizontal="center" vertical="center" wrapText="1"/>
    </xf>
    <xf numFmtId="49" fontId="88" fillId="10" borderId="90" xfId="4" applyNumberFormat="1" applyFont="1" applyFill="1" applyBorder="1" applyAlignment="1">
      <alignment horizontal="center" vertical="center"/>
    </xf>
    <xf numFmtId="49" fontId="88" fillId="23" borderId="98" xfId="0" applyNumberFormat="1" applyFont="1" applyFill="1" applyBorder="1" applyAlignment="1">
      <alignment horizontal="center" vertical="center"/>
    </xf>
    <xf numFmtId="49" fontId="88" fillId="23" borderId="90" xfId="4" applyNumberFormat="1" applyFont="1" applyFill="1" applyBorder="1" applyAlignment="1">
      <alignment horizontal="center" vertical="center"/>
    </xf>
    <xf numFmtId="0" fontId="88" fillId="23" borderId="90" xfId="4" applyFont="1" applyFill="1" applyBorder="1" applyAlignment="1">
      <alignment horizontal="center" wrapText="1"/>
    </xf>
    <xf numFmtId="0" fontId="88" fillId="23" borderId="98" xfId="0" applyFont="1" applyFill="1" applyBorder="1" applyAlignment="1">
      <alignment horizontal="center" wrapText="1"/>
    </xf>
    <xf numFmtId="0" fontId="87" fillId="0" borderId="90" xfId="4" applyFont="1" applyBorder="1" applyAlignment="1">
      <alignment horizontal="center"/>
    </xf>
    <xf numFmtId="0" fontId="87" fillId="0" borderId="98" xfId="0" applyFont="1" applyBorder="1" applyAlignment="1">
      <alignment horizontal="center"/>
    </xf>
    <xf numFmtId="0" fontId="87" fillId="10" borderId="90" xfId="4" applyFont="1" applyFill="1" applyBorder="1" applyAlignment="1">
      <alignment horizontal="center"/>
    </xf>
    <xf numFmtId="0" fontId="87" fillId="23" borderId="98" xfId="0" applyFont="1" applyFill="1" applyBorder="1" applyAlignment="1">
      <alignment horizontal="center" wrapText="1"/>
    </xf>
    <xf numFmtId="0" fontId="87" fillId="23" borderId="98" xfId="0" applyFont="1" applyFill="1" applyBorder="1" applyAlignment="1">
      <alignment horizontal="center"/>
    </xf>
    <xf numFmtId="0" fontId="87" fillId="23" borderId="90" xfId="4" applyFont="1" applyFill="1" applyBorder="1" applyAlignment="1">
      <alignment horizontal="center"/>
    </xf>
    <xf numFmtId="0" fontId="30" fillId="10" borderId="98" xfId="8" applyFont="1" applyFill="1" applyBorder="1"/>
    <xf numFmtId="168" fontId="30" fillId="0" borderId="0" xfId="8" applyNumberFormat="1" applyFont="1" applyAlignment="1">
      <alignment horizontal="center"/>
    </xf>
    <xf numFmtId="168" fontId="43" fillId="5" borderId="98" xfId="9" applyNumberFormat="1" applyFont="1" applyFill="1" applyBorder="1" applyAlignment="1">
      <alignment horizontal="center" vertical="center" wrapText="1"/>
    </xf>
    <xf numFmtId="168" fontId="30" fillId="0" borderId="98" xfId="8" applyNumberFormat="1" applyFont="1" applyBorder="1" applyAlignment="1">
      <alignment horizontal="center"/>
    </xf>
    <xf numFmtId="169" fontId="30" fillId="0" borderId="98" xfId="8" applyNumberFormat="1" applyFont="1" applyBorder="1" applyAlignment="1">
      <alignment horizontal="center"/>
    </xf>
    <xf numFmtId="0" fontId="35" fillId="0" borderId="0" xfId="11" applyFont="1" applyAlignment="1">
      <alignment horizontal="center" vertical="center" wrapText="1"/>
    </xf>
    <xf numFmtId="165" fontId="35" fillId="0" borderId="0" xfId="11" applyNumberFormat="1" applyFont="1" applyAlignment="1">
      <alignment horizontal="center" vertical="center" wrapText="1"/>
    </xf>
    <xf numFmtId="44" fontId="35" fillId="0" borderId="0" xfId="11" applyNumberFormat="1" applyFont="1" applyAlignment="1">
      <alignment horizontal="center" vertical="center" wrapText="1"/>
    </xf>
    <xf numFmtId="0" fontId="43" fillId="0" borderId="0" xfId="11" applyFont="1" applyAlignment="1">
      <alignment horizontal="center" vertical="center" wrapText="1"/>
    </xf>
    <xf numFmtId="0" fontId="44" fillId="0" borderId="0" xfId="11" applyNumberFormat="1" applyFont="1" applyAlignment="1">
      <alignment horizontal="center" vertical="center" wrapText="1"/>
    </xf>
    <xf numFmtId="176" fontId="35" fillId="0" borderId="0" xfId="11" applyNumberFormat="1" applyFont="1" applyAlignment="1">
      <alignment horizontal="center" vertical="center" wrapText="1"/>
    </xf>
    <xf numFmtId="3" fontId="35" fillId="0" borderId="0" xfId="11" applyNumberFormat="1" applyFont="1" applyAlignment="1">
      <alignment horizontal="center" vertical="center" wrapText="1"/>
    </xf>
    <xf numFmtId="177" fontId="35" fillId="0" borderId="0" xfId="11" applyNumberFormat="1" applyFont="1" applyAlignment="1">
      <alignment horizontal="center" vertical="center" wrapText="1"/>
    </xf>
    <xf numFmtId="178" fontId="35" fillId="0" borderId="0" xfId="11" applyNumberFormat="1" applyFont="1" applyAlignment="1">
      <alignment horizontal="center" vertical="center" wrapText="1"/>
    </xf>
    <xf numFmtId="9" fontId="45" fillId="37" borderId="104" xfId="11" applyNumberFormat="1" applyFont="1" applyFill="1" applyBorder="1" applyAlignment="1">
      <alignment horizontal="center" vertical="center" wrapText="1"/>
    </xf>
    <xf numFmtId="170" fontId="43" fillId="5" borderId="0" xfId="11" applyNumberFormat="1" applyFont="1" applyFill="1" applyAlignment="1">
      <alignment horizontal="center" vertical="center" wrapText="1"/>
    </xf>
    <xf numFmtId="0" fontId="43" fillId="4" borderId="98" xfId="11" applyFont="1" applyFill="1" applyBorder="1" applyAlignment="1">
      <alignment horizontal="center" vertical="center" wrapText="1"/>
    </xf>
    <xf numFmtId="0" fontId="43" fillId="5" borderId="98" xfId="11" applyFont="1" applyFill="1" applyBorder="1" applyAlignment="1">
      <alignment horizontal="center" vertical="center" wrapText="1"/>
    </xf>
    <xf numFmtId="0" fontId="43" fillId="2" borderId="98" xfId="11" applyFont="1" applyFill="1" applyBorder="1" applyAlignment="1">
      <alignment horizontal="center" vertical="center" wrapText="1"/>
    </xf>
    <xf numFmtId="0" fontId="43" fillId="3" borderId="98" xfId="11" applyFont="1" applyFill="1" applyBorder="1" applyAlignment="1">
      <alignment horizontal="center" vertical="center" wrapText="1"/>
    </xf>
    <xf numFmtId="0" fontId="43" fillId="24" borderId="98" xfId="11" applyFont="1" applyFill="1" applyBorder="1" applyAlignment="1">
      <alignment horizontal="center" vertical="center" wrapText="1"/>
    </xf>
    <xf numFmtId="0" fontId="43" fillId="2" borderId="93" xfId="11" applyFont="1" applyFill="1" applyBorder="1" applyAlignment="1">
      <alignment horizontal="center" vertical="center" wrapText="1"/>
    </xf>
    <xf numFmtId="0" fontId="43" fillId="2" borderId="93" xfId="11" applyNumberFormat="1" applyFont="1" applyFill="1" applyBorder="1" applyAlignment="1">
      <alignment horizontal="center" vertical="center" wrapText="1"/>
    </xf>
    <xf numFmtId="0" fontId="45" fillId="21" borderId="98" xfId="11" applyFont="1" applyFill="1" applyBorder="1" applyAlignment="1">
      <alignment horizontal="center" vertical="center" wrapText="1"/>
    </xf>
    <xf numFmtId="176" fontId="45" fillId="2" borderId="93" xfId="11" applyNumberFormat="1" applyFont="1" applyFill="1" applyBorder="1" applyAlignment="1">
      <alignment horizontal="center" vertical="center" wrapText="1"/>
    </xf>
    <xf numFmtId="3" fontId="45" fillId="2" borderId="98" xfId="11" applyNumberFormat="1" applyFont="1" applyFill="1" applyBorder="1" applyAlignment="1">
      <alignment horizontal="center" vertical="center" wrapText="1"/>
    </xf>
    <xf numFmtId="177" fontId="45" fillId="24" borderId="93" xfId="11" applyNumberFormat="1" applyFont="1" applyFill="1" applyBorder="1" applyAlignment="1">
      <alignment horizontal="center" vertical="center" wrapText="1"/>
    </xf>
    <xf numFmtId="177" fontId="45" fillId="8" borderId="93" xfId="11" applyNumberFormat="1" applyFont="1" applyFill="1" applyBorder="1" applyAlignment="1">
      <alignment horizontal="center" vertical="center" wrapText="1"/>
    </xf>
    <xf numFmtId="178" fontId="45" fillId="8" borderId="93" xfId="11" applyNumberFormat="1" applyFont="1" applyFill="1" applyBorder="1" applyAlignment="1">
      <alignment horizontal="center" vertical="center" wrapText="1"/>
    </xf>
    <xf numFmtId="165" fontId="45" fillId="24" borderId="93" xfId="11" applyNumberFormat="1" applyFont="1" applyFill="1" applyBorder="1" applyAlignment="1">
      <alignment horizontal="center" vertical="center" wrapText="1"/>
    </xf>
    <xf numFmtId="165" fontId="45" fillId="4" borderId="93" xfId="11" applyNumberFormat="1" applyFont="1" applyFill="1" applyBorder="1" applyAlignment="1">
      <alignment horizontal="center" vertical="center" wrapText="1"/>
    </xf>
    <xf numFmtId="10" fontId="45" fillId="2" borderId="93" xfId="11" applyNumberFormat="1" applyFont="1" applyFill="1" applyBorder="1" applyAlignment="1">
      <alignment horizontal="center" vertical="center" wrapText="1"/>
    </xf>
    <xf numFmtId="44" fontId="45" fillId="24" borderId="20" xfId="11" applyNumberFormat="1" applyFont="1" applyFill="1" applyBorder="1" applyAlignment="1">
      <alignment horizontal="center" vertical="center" wrapText="1"/>
    </xf>
    <xf numFmtId="44" fontId="45" fillId="2" borderId="20" xfId="11" applyNumberFormat="1" applyFont="1" applyFill="1" applyBorder="1" applyAlignment="1">
      <alignment horizontal="center" vertical="center" wrapText="1"/>
    </xf>
    <xf numFmtId="178" fontId="45" fillId="3" borderId="38" xfId="11" applyNumberFormat="1" applyFont="1" applyFill="1" applyBorder="1" applyAlignment="1">
      <alignment horizontal="center" vertical="center" wrapText="1"/>
    </xf>
    <xf numFmtId="177" fontId="45" fillId="3" borderId="94" xfId="11" applyNumberFormat="1" applyFont="1" applyFill="1" applyBorder="1" applyAlignment="1">
      <alignment horizontal="center" vertical="center" wrapText="1"/>
    </xf>
    <xf numFmtId="10" fontId="45" fillId="24" borderId="38" xfId="11" applyNumberFormat="1" applyFont="1" applyFill="1" applyBorder="1" applyAlignment="1">
      <alignment horizontal="center" vertical="center" wrapText="1"/>
    </xf>
    <xf numFmtId="177" fontId="45" fillId="24" borderId="94" xfId="11" applyNumberFormat="1" applyFont="1" applyFill="1" applyBorder="1" applyAlignment="1">
      <alignment horizontal="center" vertical="center" wrapText="1"/>
    </xf>
    <xf numFmtId="10" fontId="45" fillId="37" borderId="38" xfId="11" applyNumberFormat="1" applyFont="1" applyFill="1" applyBorder="1" applyAlignment="1">
      <alignment horizontal="center" vertical="center" wrapText="1"/>
    </xf>
    <xf numFmtId="177" fontId="45" fillId="37" borderId="94" xfId="11" applyNumberFormat="1" applyFont="1" applyFill="1" applyBorder="1" applyAlignment="1">
      <alignment horizontal="center" vertical="center" wrapText="1"/>
    </xf>
    <xf numFmtId="10" fontId="45" fillId="6" borderId="38" xfId="11" applyNumberFormat="1" applyFont="1" applyFill="1" applyBorder="1" applyAlignment="1">
      <alignment horizontal="center" vertical="center" wrapText="1"/>
    </xf>
    <xf numFmtId="177" fontId="45" fillId="6" borderId="93" xfId="11" applyNumberFormat="1" applyFont="1" applyFill="1" applyBorder="1" applyAlignment="1">
      <alignment horizontal="center" vertical="center" wrapText="1"/>
    </xf>
    <xf numFmtId="10" fontId="45" fillId="3" borderId="93" xfId="11" applyNumberFormat="1" applyFont="1" applyFill="1" applyBorder="1" applyAlignment="1">
      <alignment horizontal="center" vertical="center" wrapText="1"/>
    </xf>
    <xf numFmtId="177" fontId="45" fillId="3" borderId="93" xfId="11" applyNumberFormat="1" applyFont="1" applyFill="1" applyBorder="1" applyAlignment="1">
      <alignment horizontal="center" vertical="center" wrapText="1"/>
    </xf>
    <xf numFmtId="10" fontId="45" fillId="5" borderId="93" xfId="11" applyNumberFormat="1" applyFont="1" applyFill="1" applyBorder="1" applyAlignment="1">
      <alignment horizontal="center" vertical="center" wrapText="1"/>
    </xf>
    <xf numFmtId="177" fontId="45" fillId="5" borderId="94" xfId="11" applyNumberFormat="1" applyFont="1" applyFill="1" applyBorder="1" applyAlignment="1">
      <alignment horizontal="center" vertical="center" wrapText="1"/>
    </xf>
    <xf numFmtId="10" fontId="45" fillId="4" borderId="38" xfId="11" applyNumberFormat="1" applyFont="1" applyFill="1" applyBorder="1" applyAlignment="1">
      <alignment horizontal="center" vertical="center" wrapText="1"/>
    </xf>
    <xf numFmtId="177" fontId="45" fillId="4" borderId="94" xfId="11" applyNumberFormat="1" applyFont="1" applyFill="1" applyBorder="1" applyAlignment="1">
      <alignment horizontal="center" vertical="center" wrapText="1"/>
    </xf>
    <xf numFmtId="10" fontId="45" fillId="8" borderId="38" xfId="11" applyNumberFormat="1" applyFont="1" applyFill="1" applyBorder="1" applyAlignment="1">
      <alignment horizontal="center" vertical="center" wrapText="1"/>
    </xf>
    <xf numFmtId="177" fontId="45" fillId="8" borderId="94" xfId="11" applyNumberFormat="1" applyFont="1" applyFill="1" applyBorder="1" applyAlignment="1">
      <alignment horizontal="center" vertical="center" wrapText="1"/>
    </xf>
    <xf numFmtId="9" fontId="45" fillId="37" borderId="105" xfId="11" applyNumberFormat="1" applyFont="1" applyFill="1" applyBorder="1" applyAlignment="1">
      <alignment horizontal="center" vertical="center" wrapText="1"/>
    </xf>
    <xf numFmtId="3" fontId="45" fillId="2" borderId="100" xfId="11" applyNumberFormat="1" applyFont="1" applyFill="1" applyBorder="1" applyAlignment="1">
      <alignment horizontal="center" vertical="center" wrapText="1"/>
    </xf>
    <xf numFmtId="3" fontId="45" fillId="2" borderId="99" xfId="11" applyNumberFormat="1" applyFont="1" applyFill="1" applyBorder="1" applyAlignment="1">
      <alignment horizontal="center" vertical="center" wrapText="1"/>
    </xf>
    <xf numFmtId="3" fontId="45" fillId="2" borderId="101" xfId="11" applyNumberFormat="1" applyFont="1" applyFill="1" applyBorder="1" applyAlignment="1">
      <alignment horizontal="center" vertical="center" wrapText="1"/>
    </xf>
    <xf numFmtId="170" fontId="45" fillId="2" borderId="101" xfId="11" applyNumberFormat="1" applyFont="1" applyFill="1" applyBorder="1" applyAlignment="1">
      <alignment horizontal="center" vertical="center" wrapText="1"/>
    </xf>
    <xf numFmtId="0" fontId="38" fillId="0" borderId="0" xfId="11" applyFont="1" applyAlignment="1">
      <alignment horizontal="center" vertical="center" wrapText="1"/>
    </xf>
    <xf numFmtId="3" fontId="43" fillId="5" borderId="98" xfId="11" applyNumberFormat="1" applyFont="1" applyFill="1" applyBorder="1" applyAlignment="1">
      <alignment horizontal="center" vertical="center" wrapText="1"/>
    </xf>
    <xf numFmtId="176" fontId="43" fillId="5" borderId="98" xfId="11" applyNumberFormat="1" applyFont="1" applyFill="1" applyBorder="1" applyAlignment="1">
      <alignment horizontal="center" vertical="center" wrapText="1"/>
    </xf>
    <xf numFmtId="0" fontId="43" fillId="5" borderId="98" xfId="11" applyFont="1" applyFill="1" applyBorder="1" applyAlignment="1">
      <alignment horizontal="left" vertical="center" wrapText="1"/>
    </xf>
    <xf numFmtId="0" fontId="43" fillId="5" borderId="102" xfId="11" applyFont="1" applyFill="1" applyBorder="1" applyAlignment="1">
      <alignment horizontal="left" vertical="center" wrapText="1"/>
    </xf>
    <xf numFmtId="0" fontId="43" fillId="6" borderId="93" xfId="11" applyFont="1" applyFill="1" applyBorder="1" applyAlignment="1">
      <alignment horizontal="center" vertical="center" wrapText="1"/>
    </xf>
    <xf numFmtId="0" fontId="43" fillId="6" borderId="98" xfId="11" applyNumberFormat="1" applyFont="1" applyFill="1" applyBorder="1" applyAlignment="1">
      <alignment horizontal="center" vertical="center" wrapText="1"/>
    </xf>
    <xf numFmtId="176" fontId="35" fillId="5" borderId="98" xfId="11" applyNumberFormat="1" applyFont="1" applyFill="1" applyBorder="1" applyAlignment="1">
      <alignment horizontal="center" vertical="center" wrapText="1"/>
    </xf>
    <xf numFmtId="177" fontId="43" fillId="5" borderId="98" xfId="11" applyNumberFormat="1" applyFont="1" applyFill="1" applyBorder="1" applyAlignment="1">
      <alignment horizontal="center" vertical="center" wrapText="1"/>
    </xf>
    <xf numFmtId="177" fontId="44" fillId="8" borderId="98" xfId="11" applyNumberFormat="1" applyFont="1" applyFill="1" applyBorder="1" applyAlignment="1">
      <alignment horizontal="center" vertical="center" wrapText="1"/>
    </xf>
    <xf numFmtId="178" fontId="44" fillId="8" borderId="98" xfId="11" applyNumberFormat="1" applyFont="1" applyFill="1" applyBorder="1" applyAlignment="1">
      <alignment horizontal="center" vertical="center" wrapText="1"/>
    </xf>
    <xf numFmtId="165" fontId="43" fillId="5" borderId="98" xfId="11" applyNumberFormat="1" applyFont="1" applyFill="1" applyBorder="1" applyAlignment="1">
      <alignment horizontal="center" vertical="center" wrapText="1"/>
    </xf>
    <xf numFmtId="10" fontId="38" fillId="5" borderId="98" xfId="11" applyNumberFormat="1" applyFont="1" applyFill="1" applyBorder="1" applyAlignment="1">
      <alignment horizontal="center" vertical="center" wrapText="1"/>
    </xf>
    <xf numFmtId="44" fontId="43" fillId="5" borderId="20" xfId="11" applyNumberFormat="1" applyFont="1" applyFill="1" applyBorder="1" applyAlignment="1">
      <alignment horizontal="center" vertical="center" wrapText="1"/>
    </xf>
    <xf numFmtId="178" fontId="43" fillId="3" borderId="38" xfId="11" applyNumberFormat="1" applyFont="1" applyFill="1" applyBorder="1" applyAlignment="1">
      <alignment horizontal="center" vertical="center" wrapText="1"/>
    </xf>
    <xf numFmtId="177" fontId="43" fillId="3" borderId="94" xfId="11" applyNumberFormat="1" applyFont="1" applyFill="1" applyBorder="1" applyAlignment="1">
      <alignment horizontal="center" vertical="center" wrapText="1"/>
    </xf>
    <xf numFmtId="10" fontId="43" fillId="24" borderId="100" xfId="11" applyNumberFormat="1" applyFont="1" applyFill="1" applyBorder="1" applyAlignment="1">
      <alignment horizontal="center" vertical="center" wrapText="1"/>
    </xf>
    <xf numFmtId="177" fontId="43" fillId="24" borderId="94" xfId="11" applyNumberFormat="1" applyFont="1" applyFill="1" applyBorder="1" applyAlignment="1">
      <alignment horizontal="center" vertical="center" wrapText="1"/>
    </xf>
    <xf numFmtId="10" fontId="43" fillId="37" borderId="100" xfId="11" applyNumberFormat="1" applyFont="1" applyFill="1" applyBorder="1" applyAlignment="1">
      <alignment horizontal="center" vertical="center" wrapText="1"/>
    </xf>
    <xf numFmtId="177" fontId="43" fillId="37" borderId="94" xfId="11" applyNumberFormat="1" applyFont="1" applyFill="1" applyBorder="1" applyAlignment="1">
      <alignment horizontal="center" vertical="center" wrapText="1"/>
    </xf>
    <xf numFmtId="10" fontId="43" fillId="6" borderId="100" xfId="11" applyNumberFormat="1" applyFont="1" applyFill="1" applyBorder="1" applyAlignment="1">
      <alignment horizontal="center" vertical="center" wrapText="1"/>
    </xf>
    <xf numFmtId="177" fontId="43" fillId="6" borderId="93" xfId="11" applyNumberFormat="1" applyFont="1" applyFill="1" applyBorder="1" applyAlignment="1">
      <alignment horizontal="center" vertical="center" wrapText="1"/>
    </xf>
    <xf numFmtId="10" fontId="43" fillId="3" borderId="98" xfId="11" applyNumberFormat="1" applyFont="1" applyFill="1" applyBorder="1" applyAlignment="1">
      <alignment horizontal="center" vertical="center" wrapText="1"/>
    </xf>
    <xf numFmtId="177" fontId="43" fillId="3" borderId="93" xfId="11" applyNumberFormat="1" applyFont="1" applyFill="1" applyBorder="1" applyAlignment="1">
      <alignment horizontal="center" vertical="center" wrapText="1"/>
    </xf>
    <xf numFmtId="10" fontId="43" fillId="5" borderId="98" xfId="11" applyNumberFormat="1" applyFont="1" applyFill="1" applyBorder="1" applyAlignment="1">
      <alignment horizontal="center" vertical="center" wrapText="1"/>
    </xf>
    <xf numFmtId="177" fontId="43" fillId="5" borderId="94" xfId="11" applyNumberFormat="1" applyFont="1" applyFill="1" applyBorder="1" applyAlignment="1">
      <alignment horizontal="center" vertical="center" wrapText="1"/>
    </xf>
    <xf numFmtId="10" fontId="43" fillId="8" borderId="100" xfId="11" applyNumberFormat="1" applyFont="1" applyFill="1" applyBorder="1" applyAlignment="1">
      <alignment horizontal="center" vertical="center" wrapText="1"/>
    </xf>
    <xf numFmtId="9" fontId="43" fillId="37" borderId="83" xfId="11" applyNumberFormat="1" applyFont="1" applyFill="1" applyBorder="1" applyAlignment="1">
      <alignment horizontal="center" vertical="center" wrapText="1"/>
    </xf>
    <xf numFmtId="3" fontId="43" fillId="5" borderId="100" xfId="11" applyNumberFormat="1" applyFont="1" applyFill="1" applyBorder="1" applyAlignment="1">
      <alignment horizontal="center" vertical="center" wrapText="1"/>
    </xf>
    <xf numFmtId="3" fontId="43" fillId="5" borderId="99" xfId="11" applyNumberFormat="1" applyFont="1" applyFill="1" applyBorder="1" applyAlignment="1">
      <alignment horizontal="center" vertical="center" wrapText="1"/>
    </xf>
    <xf numFmtId="0" fontId="43" fillId="6" borderId="101" xfId="11" applyFont="1" applyFill="1" applyBorder="1" applyAlignment="1">
      <alignment horizontal="center" vertical="center" wrapText="1"/>
    </xf>
    <xf numFmtId="170" fontId="43" fillId="5" borderId="101" xfId="11" applyNumberFormat="1" applyFont="1" applyFill="1" applyBorder="1" applyAlignment="1">
      <alignment horizontal="center" vertical="center" wrapText="1"/>
    </xf>
    <xf numFmtId="0" fontId="35" fillId="0" borderId="98" xfId="11" applyFont="1" applyBorder="1" applyAlignment="1">
      <alignment horizontal="center" vertical="center" wrapText="1"/>
    </xf>
    <xf numFmtId="3" fontId="35" fillId="0" borderId="98" xfId="11" applyNumberFormat="1" applyFont="1" applyBorder="1" applyAlignment="1">
      <alignment horizontal="center" vertical="center" wrapText="1"/>
    </xf>
    <xf numFmtId="176" fontId="35" fillId="0" borderId="98" xfId="11" applyNumberFormat="1" applyFont="1" applyBorder="1" applyAlignment="1">
      <alignment horizontal="center" vertical="center" wrapText="1"/>
    </xf>
    <xf numFmtId="0" fontId="38" fillId="9" borderId="98" xfId="11" applyFont="1" applyFill="1" applyBorder="1" applyAlignment="1">
      <alignment horizontal="left" vertical="center" wrapText="1" indent="1"/>
    </xf>
    <xf numFmtId="0" fontId="38" fillId="9" borderId="98" xfId="11" applyFont="1" applyFill="1" applyBorder="1" applyAlignment="1">
      <alignment vertical="center" wrapText="1"/>
    </xf>
    <xf numFmtId="0" fontId="35" fillId="9" borderId="98" xfId="11" applyNumberFormat="1" applyFont="1" applyFill="1" applyBorder="1" applyAlignment="1">
      <alignment horizontal="center" vertical="center" wrapText="1"/>
    </xf>
    <xf numFmtId="176" fontId="35" fillId="9" borderId="98" xfId="11" applyNumberFormat="1" applyFont="1" applyFill="1" applyBorder="1" applyAlignment="1">
      <alignment horizontal="center" vertical="center" wrapText="1"/>
    </xf>
    <xf numFmtId="176" fontId="35" fillId="22" borderId="98" xfId="11" applyNumberFormat="1" applyFont="1" applyFill="1" applyBorder="1" applyAlignment="1">
      <alignment horizontal="center" vertical="center" wrapText="1"/>
    </xf>
    <xf numFmtId="3" fontId="35" fillId="9" borderId="98" xfId="11" applyNumberFormat="1" applyFont="1" applyFill="1" applyBorder="1" applyAlignment="1">
      <alignment horizontal="center" vertical="center" wrapText="1"/>
    </xf>
    <xf numFmtId="177" fontId="35" fillId="22" borderId="98" xfId="11" applyNumberFormat="1" applyFont="1" applyFill="1" applyBorder="1" applyAlignment="1">
      <alignment horizontal="center" vertical="center" wrapText="1"/>
    </xf>
    <xf numFmtId="178" fontId="35" fillId="22" borderId="98" xfId="11" applyNumberFormat="1" applyFont="1" applyFill="1" applyBorder="1" applyAlignment="1">
      <alignment horizontal="center" vertical="center" wrapText="1"/>
    </xf>
    <xf numFmtId="165" fontId="35" fillId="9" borderId="98" xfId="11" applyNumberFormat="1" applyFont="1" applyFill="1" applyBorder="1" applyAlignment="1">
      <alignment horizontal="center" vertical="center" wrapText="1"/>
    </xf>
    <xf numFmtId="10" fontId="35" fillId="9" borderId="98" xfId="11" applyNumberFormat="1" applyFont="1" applyFill="1" applyBorder="1" applyAlignment="1">
      <alignment horizontal="center" vertical="center" wrapText="1"/>
    </xf>
    <xf numFmtId="165" fontId="35" fillId="9" borderId="99" xfId="11" applyNumberFormat="1" applyFont="1" applyFill="1" applyBorder="1" applyAlignment="1">
      <alignment horizontal="center" vertical="center" wrapText="1"/>
    </xf>
    <xf numFmtId="44" fontId="35" fillId="9" borderId="99" xfId="11" applyNumberFormat="1" applyFont="1" applyFill="1" applyBorder="1" applyAlignment="1">
      <alignment horizontal="center" vertical="center" wrapText="1"/>
    </xf>
    <xf numFmtId="178" fontId="35" fillId="38" borderId="100" xfId="11" applyNumberFormat="1" applyFont="1" applyFill="1" applyBorder="1" applyAlignment="1">
      <alignment horizontal="center" vertical="center" wrapText="1"/>
    </xf>
    <xf numFmtId="177" fontId="35" fillId="38" borderId="101" xfId="11" applyNumberFormat="1" applyFont="1" applyFill="1" applyBorder="1" applyAlignment="1">
      <alignment horizontal="center" vertical="center" wrapText="1"/>
    </xf>
    <xf numFmtId="10" fontId="35" fillId="39" borderId="100" xfId="11" applyNumberFormat="1" applyFont="1" applyFill="1" applyBorder="1" applyAlignment="1">
      <alignment horizontal="center" vertical="center" wrapText="1"/>
    </xf>
    <xf numFmtId="177" fontId="35" fillId="39" borderId="101" xfId="11" applyNumberFormat="1" applyFont="1" applyFill="1" applyBorder="1" applyAlignment="1">
      <alignment horizontal="center" vertical="center" wrapText="1"/>
    </xf>
    <xf numFmtId="10" fontId="35" fillId="40" borderId="100" xfId="11" applyNumberFormat="1" applyFont="1" applyFill="1" applyBorder="1" applyAlignment="1">
      <alignment horizontal="center" vertical="center" wrapText="1"/>
    </xf>
    <xf numFmtId="177" fontId="35" fillId="40" borderId="101" xfId="11" applyNumberFormat="1" applyFont="1" applyFill="1" applyBorder="1" applyAlignment="1">
      <alignment horizontal="center" vertical="center" wrapText="1"/>
    </xf>
    <xf numFmtId="10" fontId="35" fillId="30" borderId="100" xfId="11" applyNumberFormat="1" applyFont="1" applyFill="1" applyBorder="1" applyAlignment="1">
      <alignment horizontal="center" vertical="center" wrapText="1"/>
    </xf>
    <xf numFmtId="177" fontId="35" fillId="30" borderId="98" xfId="11" applyNumberFormat="1" applyFont="1" applyFill="1" applyBorder="1" applyAlignment="1">
      <alignment horizontal="center" vertical="center" wrapText="1"/>
    </xf>
    <xf numFmtId="10" fontId="35" fillId="38" borderId="98" xfId="11" applyNumberFormat="1" applyFont="1" applyFill="1" applyBorder="1" applyAlignment="1">
      <alignment horizontal="center" vertical="center" wrapText="1"/>
    </xf>
    <xf numFmtId="177" fontId="35" fillId="38" borderId="98" xfId="11" applyNumberFormat="1" applyFont="1" applyFill="1" applyBorder="1" applyAlignment="1">
      <alignment horizontal="center" vertical="center" wrapText="1"/>
    </xf>
    <xf numFmtId="177" fontId="35" fillId="9" borderId="101" xfId="11" applyNumberFormat="1" applyFont="1" applyFill="1" applyBorder="1" applyAlignment="1">
      <alignment horizontal="center" vertical="center" wrapText="1"/>
    </xf>
    <xf numFmtId="10" fontId="35" fillId="16" borderId="100" xfId="11" applyNumberFormat="1" applyFont="1" applyFill="1" applyBorder="1" applyAlignment="1">
      <alignment horizontal="center" vertical="center" wrapText="1"/>
    </xf>
    <xf numFmtId="177" fontId="35" fillId="16" borderId="101" xfId="11" applyNumberFormat="1" applyFont="1" applyFill="1" applyBorder="1" applyAlignment="1">
      <alignment horizontal="center" vertical="center" wrapText="1"/>
    </xf>
    <xf numFmtId="10" fontId="35" fillId="41" borderId="100" xfId="11" applyNumberFormat="1" applyFont="1" applyFill="1" applyBorder="1" applyAlignment="1">
      <alignment horizontal="center" vertical="center" wrapText="1"/>
    </xf>
    <xf numFmtId="177" fontId="35" fillId="41" borderId="101" xfId="11" applyNumberFormat="1" applyFont="1" applyFill="1" applyBorder="1" applyAlignment="1">
      <alignment horizontal="center" vertical="center" wrapText="1"/>
    </xf>
    <xf numFmtId="9" fontId="35" fillId="40" borderId="83" xfId="11" applyNumberFormat="1" applyFont="1" applyFill="1" applyBorder="1" applyAlignment="1">
      <alignment horizontal="center" vertical="center" wrapText="1"/>
    </xf>
    <xf numFmtId="0" fontId="35" fillId="9" borderId="0" xfId="11" applyFont="1" applyFill="1" applyAlignment="1">
      <alignment horizontal="center" vertical="center" wrapText="1"/>
    </xf>
    <xf numFmtId="3" fontId="38" fillId="9" borderId="98" xfId="11" applyNumberFormat="1" applyFont="1" applyFill="1" applyBorder="1" applyAlignment="1">
      <alignment horizontal="left" vertical="center" wrapText="1"/>
    </xf>
    <xf numFmtId="165" fontId="35" fillId="22" borderId="98" xfId="11" applyNumberFormat="1" applyFont="1" applyFill="1" applyBorder="1" applyAlignment="1">
      <alignment horizontal="center" vertical="center" wrapText="1"/>
    </xf>
    <xf numFmtId="10" fontId="35" fillId="22" borderId="98" xfId="11" applyNumberFormat="1" applyFont="1" applyFill="1" applyBorder="1" applyAlignment="1">
      <alignment horizontal="center" vertical="center" wrapText="1"/>
    </xf>
    <xf numFmtId="165" fontId="35" fillId="22" borderId="99" xfId="11" applyNumberFormat="1" applyFont="1" applyFill="1" applyBorder="1" applyAlignment="1">
      <alignment horizontal="center" vertical="center" wrapText="1"/>
    </xf>
    <xf numFmtId="44" fontId="35" fillId="22" borderId="99" xfId="11" applyNumberFormat="1" applyFont="1" applyFill="1" applyBorder="1" applyAlignment="1">
      <alignment horizontal="center" vertical="center" wrapText="1"/>
    </xf>
    <xf numFmtId="10" fontId="35" fillId="38" borderId="100" xfId="11" applyNumberFormat="1" applyFont="1" applyFill="1" applyBorder="1" applyAlignment="1">
      <alignment horizontal="center" vertical="center" wrapText="1"/>
    </xf>
    <xf numFmtId="0" fontId="35" fillId="9" borderId="98" xfId="11" applyFont="1" applyFill="1" applyBorder="1" applyAlignment="1">
      <alignment vertical="center" wrapText="1"/>
    </xf>
    <xf numFmtId="0" fontId="38" fillId="9" borderId="98" xfId="11" applyFont="1" applyFill="1" applyBorder="1" applyAlignment="1">
      <alignment vertical="top" wrapText="1"/>
    </xf>
    <xf numFmtId="0" fontId="35" fillId="9" borderId="98" xfId="11" applyNumberFormat="1" applyFont="1" applyFill="1" applyBorder="1" applyAlignment="1">
      <alignment horizontal="center" vertical="top" wrapText="1"/>
    </xf>
    <xf numFmtId="0" fontId="68" fillId="9" borderId="98" xfId="11" applyNumberFormat="1" applyFont="1" applyFill="1" applyBorder="1" applyAlignment="1">
      <alignment horizontal="center" vertical="center" wrapText="1"/>
    </xf>
    <xf numFmtId="0" fontId="35" fillId="9" borderId="98" xfId="11" applyFont="1" applyFill="1" applyBorder="1" applyAlignment="1">
      <alignment horizontal="left" vertical="center" wrapText="1"/>
    </xf>
    <xf numFmtId="0" fontId="38" fillId="9" borderId="98" xfId="11" applyFont="1" applyFill="1" applyBorder="1" applyAlignment="1">
      <alignment horizontal="left" vertical="center" wrapText="1"/>
    </xf>
    <xf numFmtId="9" fontId="35" fillId="41" borderId="24" xfId="11" applyNumberFormat="1" applyFont="1" applyFill="1" applyBorder="1" applyAlignment="1">
      <alignment horizontal="center" vertical="center" wrapText="1"/>
    </xf>
    <xf numFmtId="0" fontId="43" fillId="2" borderId="98" xfId="11" applyNumberFormat="1" applyFont="1" applyFill="1" applyBorder="1" applyAlignment="1">
      <alignment horizontal="center" vertical="center" wrapText="1"/>
    </xf>
    <xf numFmtId="0" fontId="43" fillId="2" borderId="101" xfId="11" applyFont="1" applyFill="1" applyBorder="1" applyAlignment="1">
      <alignment horizontal="center" vertical="center" wrapText="1"/>
    </xf>
    <xf numFmtId="177" fontId="108" fillId="22" borderId="98" xfId="11" applyNumberFormat="1" applyFont="1" applyFill="1" applyBorder="1" applyAlignment="1">
      <alignment horizontal="center" vertical="center" wrapText="1"/>
    </xf>
    <xf numFmtId="178" fontId="108" fillId="22" borderId="98" xfId="11" applyNumberFormat="1" applyFont="1" applyFill="1" applyBorder="1" applyAlignment="1">
      <alignment horizontal="center" vertical="center" wrapText="1"/>
    </xf>
    <xf numFmtId="0" fontId="108" fillId="9" borderId="0" xfId="11" applyFont="1" applyFill="1" applyAlignment="1">
      <alignment horizontal="center" vertical="center" wrapText="1"/>
    </xf>
    <xf numFmtId="0" fontId="38" fillId="30" borderId="98" xfId="11" applyFont="1" applyFill="1" applyBorder="1" applyAlignment="1">
      <alignment horizontal="left" vertical="center" wrapText="1" indent="1"/>
    </xf>
    <xf numFmtId="0" fontId="38" fillId="30" borderId="98" xfId="11" applyFont="1" applyFill="1" applyBorder="1" applyAlignment="1">
      <alignment vertical="center" wrapText="1"/>
    </xf>
    <xf numFmtId="0" fontId="35" fillId="30" borderId="98" xfId="11" applyNumberFormat="1" applyFont="1" applyFill="1" applyBorder="1" applyAlignment="1">
      <alignment horizontal="center" vertical="center" wrapText="1"/>
    </xf>
    <xf numFmtId="176" fontId="35" fillId="30" borderId="98" xfId="11" applyNumberFormat="1" applyFont="1" applyFill="1" applyBorder="1" applyAlignment="1">
      <alignment horizontal="center" vertical="center" wrapText="1"/>
    </xf>
    <xf numFmtId="3" fontId="35" fillId="30" borderId="98" xfId="11" applyNumberFormat="1" applyFont="1" applyFill="1" applyBorder="1" applyAlignment="1">
      <alignment horizontal="center" vertical="center" wrapText="1"/>
    </xf>
    <xf numFmtId="177" fontId="108" fillId="30" borderId="98" xfId="11" applyNumberFormat="1" applyFont="1" applyFill="1" applyBorder="1" applyAlignment="1">
      <alignment horizontal="center" vertical="center" wrapText="1"/>
    </xf>
    <xf numFmtId="178" fontId="35" fillId="30" borderId="98" xfId="11" applyNumberFormat="1" applyFont="1" applyFill="1" applyBorder="1" applyAlignment="1">
      <alignment horizontal="center" vertical="center" wrapText="1"/>
    </xf>
    <xf numFmtId="165" fontId="35" fillId="30" borderId="98" xfId="11" applyNumberFormat="1" applyFont="1" applyFill="1" applyBorder="1" applyAlignment="1">
      <alignment horizontal="center" vertical="center" wrapText="1"/>
    </xf>
    <xf numFmtId="10" fontId="35" fillId="30" borderId="98" xfId="11" applyNumberFormat="1" applyFont="1" applyFill="1" applyBorder="1" applyAlignment="1">
      <alignment horizontal="center" vertical="center" wrapText="1"/>
    </xf>
    <xf numFmtId="44" fontId="35" fillId="30" borderId="99" xfId="11" applyNumberFormat="1" applyFont="1" applyFill="1" applyBorder="1" applyAlignment="1">
      <alignment horizontal="center" vertical="center" wrapText="1"/>
    </xf>
    <xf numFmtId="10" fontId="68" fillId="38" borderId="98" xfId="11" applyNumberFormat="1" applyFont="1" applyFill="1" applyBorder="1" applyAlignment="1">
      <alignment horizontal="center" vertical="center" wrapText="1"/>
    </xf>
    <xf numFmtId="10" fontId="68" fillId="9" borderId="98" xfId="11" applyNumberFormat="1" applyFont="1" applyFill="1" applyBorder="1" applyAlignment="1">
      <alignment horizontal="center" vertical="center" wrapText="1"/>
    </xf>
    <xf numFmtId="10" fontId="68" fillId="16" borderId="100" xfId="11" applyNumberFormat="1" applyFont="1" applyFill="1" applyBorder="1" applyAlignment="1">
      <alignment horizontal="center" vertical="center" wrapText="1"/>
    </xf>
    <xf numFmtId="3" fontId="38" fillId="30" borderId="98" xfId="11" applyNumberFormat="1" applyFont="1" applyFill="1" applyBorder="1" applyAlignment="1">
      <alignment horizontal="left" vertical="center" wrapText="1"/>
    </xf>
    <xf numFmtId="165" fontId="35" fillId="30" borderId="99" xfId="11" applyNumberFormat="1" applyFont="1" applyFill="1" applyBorder="1" applyAlignment="1">
      <alignment horizontal="center" vertical="center" wrapText="1"/>
    </xf>
    <xf numFmtId="0" fontId="38" fillId="30" borderId="98" xfId="11" applyFont="1" applyFill="1" applyBorder="1" applyAlignment="1">
      <alignment horizontal="left" vertical="center" wrapText="1"/>
    </xf>
    <xf numFmtId="3" fontId="35" fillId="9" borderId="68" xfId="11" applyNumberFormat="1" applyFont="1" applyFill="1" applyBorder="1" applyAlignment="1">
      <alignment horizontal="center" vertical="center" wrapText="1"/>
    </xf>
    <xf numFmtId="3" fontId="35" fillId="9" borderId="21" xfId="11" applyNumberFormat="1" applyFont="1" applyFill="1" applyBorder="1" applyAlignment="1">
      <alignment horizontal="center" vertical="center" wrapText="1"/>
    </xf>
    <xf numFmtId="3" fontId="35" fillId="9" borderId="75" xfId="11" applyNumberFormat="1" applyFont="1" applyFill="1" applyBorder="1" applyAlignment="1">
      <alignment horizontal="center" vertical="center" wrapText="1"/>
    </xf>
    <xf numFmtId="170" fontId="35" fillId="9" borderId="75" xfId="11" applyNumberFormat="1" applyFont="1" applyFill="1" applyBorder="1" applyAlignment="1">
      <alignment horizontal="center" vertical="center" wrapText="1"/>
    </xf>
    <xf numFmtId="0" fontId="43" fillId="24" borderId="93" xfId="11" applyFont="1" applyFill="1" applyBorder="1" applyAlignment="1">
      <alignment horizontal="center" vertical="center" wrapText="1"/>
    </xf>
    <xf numFmtId="0" fontId="43" fillId="24" borderId="98" xfId="11" applyNumberFormat="1" applyFont="1" applyFill="1" applyBorder="1" applyAlignment="1">
      <alignment horizontal="center" vertical="center" wrapText="1"/>
    </xf>
    <xf numFmtId="0" fontId="43" fillId="5" borderId="98" xfId="11" applyNumberFormat="1" applyFont="1" applyFill="1" applyBorder="1" applyAlignment="1">
      <alignment horizontal="center" vertical="center" wrapText="1"/>
    </xf>
    <xf numFmtId="0" fontId="43" fillId="24" borderId="101" xfId="11" applyFont="1" applyFill="1" applyBorder="1" applyAlignment="1">
      <alignment horizontal="center" vertical="center" wrapText="1"/>
    </xf>
    <xf numFmtId="0" fontId="68" fillId="9" borderId="98" xfId="11" applyNumberFormat="1" applyFont="1" applyFill="1" applyBorder="1" applyAlignment="1">
      <alignment horizontal="center" vertical="top" wrapText="1"/>
    </xf>
    <xf numFmtId="177" fontId="35" fillId="9" borderId="98" xfId="11" applyNumberFormat="1" applyFont="1" applyFill="1" applyBorder="1" applyAlignment="1">
      <alignment horizontal="center" vertical="center" wrapText="1"/>
    </xf>
    <xf numFmtId="178" fontId="35" fillId="9" borderId="98" xfId="11" applyNumberFormat="1" applyFont="1" applyFill="1" applyBorder="1" applyAlignment="1">
      <alignment horizontal="center" vertical="center" wrapText="1"/>
    </xf>
    <xf numFmtId="0" fontId="68" fillId="30" borderId="98" xfId="11" applyNumberFormat="1" applyFont="1" applyFill="1" applyBorder="1" applyAlignment="1">
      <alignment horizontal="center" vertical="center" wrapText="1"/>
    </xf>
    <xf numFmtId="3" fontId="108" fillId="9" borderId="98" xfId="11" applyNumberFormat="1" applyFont="1" applyFill="1" applyBorder="1" applyAlignment="1">
      <alignment horizontal="center" vertical="center" wrapText="1"/>
    </xf>
    <xf numFmtId="165" fontId="35" fillId="10" borderId="98" xfId="11" applyNumberFormat="1" applyFont="1" applyFill="1" applyBorder="1" applyAlignment="1">
      <alignment horizontal="center" vertical="center" wrapText="1"/>
    </xf>
    <xf numFmtId="0" fontId="43" fillId="5" borderId="93" xfId="11" applyFont="1" applyFill="1" applyBorder="1" applyAlignment="1">
      <alignment horizontal="center" vertical="center" wrapText="1"/>
    </xf>
    <xf numFmtId="0" fontId="43" fillId="5" borderId="101" xfId="11" applyFont="1" applyFill="1" applyBorder="1" applyAlignment="1">
      <alignment horizontal="center" vertical="center" wrapText="1"/>
    </xf>
    <xf numFmtId="165" fontId="35" fillId="42" borderId="98" xfId="11" applyNumberFormat="1" applyFont="1" applyFill="1" applyBorder="1" applyAlignment="1">
      <alignment horizontal="center" vertical="center" wrapText="1"/>
    </xf>
    <xf numFmtId="10" fontId="68" fillId="38" borderId="100" xfId="11" applyNumberFormat="1" applyFont="1" applyFill="1" applyBorder="1" applyAlignment="1">
      <alignment horizontal="center" vertical="center" wrapText="1"/>
    </xf>
    <xf numFmtId="177" fontId="68" fillId="38" borderId="101" xfId="11" applyNumberFormat="1" applyFont="1" applyFill="1" applyBorder="1" applyAlignment="1">
      <alignment horizontal="center" vertical="center" wrapText="1"/>
    </xf>
    <xf numFmtId="10" fontId="68" fillId="39" borderId="100" xfId="11" applyNumberFormat="1" applyFont="1" applyFill="1" applyBorder="1" applyAlignment="1">
      <alignment horizontal="center" vertical="center" wrapText="1"/>
    </xf>
    <xf numFmtId="177" fontId="68" fillId="39" borderId="101" xfId="11" applyNumberFormat="1" applyFont="1" applyFill="1" applyBorder="1" applyAlignment="1">
      <alignment horizontal="center" vertical="center" wrapText="1"/>
    </xf>
    <xf numFmtId="10" fontId="68" fillId="40" borderId="100" xfId="11" applyNumberFormat="1" applyFont="1" applyFill="1" applyBorder="1" applyAlignment="1">
      <alignment horizontal="center" vertical="center" wrapText="1"/>
    </xf>
    <xf numFmtId="177" fontId="68" fillId="40" borderId="101" xfId="11" applyNumberFormat="1" applyFont="1" applyFill="1" applyBorder="1" applyAlignment="1">
      <alignment horizontal="center" vertical="center" wrapText="1"/>
    </xf>
    <xf numFmtId="10" fontId="68" fillId="30" borderId="100" xfId="11" applyNumberFormat="1" applyFont="1" applyFill="1" applyBorder="1" applyAlignment="1">
      <alignment horizontal="center" vertical="center" wrapText="1"/>
    </xf>
    <xf numFmtId="177" fontId="68" fillId="30" borderId="98" xfId="11" applyNumberFormat="1" applyFont="1" applyFill="1" applyBorder="1" applyAlignment="1">
      <alignment horizontal="center" vertical="center" wrapText="1"/>
    </xf>
    <xf numFmtId="177" fontId="68" fillId="38" borderId="98" xfId="11" applyNumberFormat="1" applyFont="1" applyFill="1" applyBorder="1" applyAlignment="1">
      <alignment horizontal="center" vertical="center" wrapText="1"/>
    </xf>
    <xf numFmtId="177" fontId="68" fillId="9" borderId="101" xfId="11" applyNumberFormat="1" applyFont="1" applyFill="1" applyBorder="1" applyAlignment="1">
      <alignment horizontal="center" vertical="center" wrapText="1"/>
    </xf>
    <xf numFmtId="177" fontId="68" fillId="16" borderId="101" xfId="11" applyNumberFormat="1" applyFont="1" applyFill="1" applyBorder="1" applyAlignment="1">
      <alignment horizontal="center" vertical="center" wrapText="1"/>
    </xf>
    <xf numFmtId="10" fontId="68" fillId="41" borderId="100" xfId="11" applyNumberFormat="1" applyFont="1" applyFill="1" applyBorder="1" applyAlignment="1">
      <alignment horizontal="center" vertical="center" wrapText="1"/>
    </xf>
    <xf numFmtId="177" fontId="68" fillId="41" borderId="101" xfId="11" applyNumberFormat="1" applyFont="1" applyFill="1" applyBorder="1" applyAlignment="1">
      <alignment horizontal="center" vertical="center" wrapText="1"/>
    </xf>
    <xf numFmtId="9" fontId="68" fillId="40" borderId="83" xfId="11" applyNumberFormat="1" applyFont="1" applyFill="1" applyBorder="1" applyAlignment="1">
      <alignment horizontal="center" vertical="center" wrapText="1"/>
    </xf>
    <xf numFmtId="0" fontId="68" fillId="9" borderId="0" xfId="11" applyFont="1" applyFill="1" applyAlignment="1">
      <alignment horizontal="center" vertical="center" wrapText="1"/>
    </xf>
    <xf numFmtId="176" fontId="108" fillId="22" borderId="98" xfId="11" applyNumberFormat="1" applyFont="1" applyFill="1" applyBorder="1" applyAlignment="1">
      <alignment horizontal="center" vertical="center" wrapText="1"/>
    </xf>
    <xf numFmtId="0" fontId="108" fillId="9" borderId="98" xfId="11" applyNumberFormat="1" applyFont="1" applyFill="1" applyBorder="1" applyAlignment="1">
      <alignment horizontal="center" vertical="top" wrapText="1"/>
    </xf>
    <xf numFmtId="176" fontId="108" fillId="0" borderId="98" xfId="11" applyNumberFormat="1" applyFont="1" applyBorder="1" applyAlignment="1">
      <alignment horizontal="center" vertical="center" wrapText="1"/>
    </xf>
    <xf numFmtId="178" fontId="108" fillId="30" borderId="98" xfId="11" applyNumberFormat="1" applyFont="1" applyFill="1" applyBorder="1" applyAlignment="1">
      <alignment horizontal="center" vertical="center" wrapText="1"/>
    </xf>
    <xf numFmtId="0" fontId="108" fillId="9" borderId="98" xfId="11" applyNumberFormat="1" applyFont="1" applyFill="1" applyBorder="1" applyAlignment="1">
      <alignment horizontal="center" vertical="center" wrapText="1"/>
    </xf>
    <xf numFmtId="176" fontId="35" fillId="10" borderId="98" xfId="11" applyNumberFormat="1" applyFont="1" applyFill="1" applyBorder="1" applyAlignment="1">
      <alignment horizontal="center" vertical="center" wrapText="1"/>
    </xf>
    <xf numFmtId="0" fontId="46" fillId="9" borderId="98" xfId="11" applyFont="1" applyFill="1" applyBorder="1" applyAlignment="1">
      <alignment vertical="center" wrapText="1"/>
    </xf>
    <xf numFmtId="0" fontId="43" fillId="5" borderId="98" xfId="11" applyFont="1" applyFill="1" applyBorder="1" applyAlignment="1">
      <alignment vertical="center" wrapText="1"/>
    </xf>
    <xf numFmtId="0" fontId="43" fillId="5" borderId="102" xfId="11" applyFont="1" applyFill="1" applyBorder="1" applyAlignment="1">
      <alignment vertical="center" wrapText="1"/>
    </xf>
    <xf numFmtId="177" fontId="43" fillId="5" borderId="93" xfId="11" applyNumberFormat="1" applyFont="1" applyFill="1" applyBorder="1" applyAlignment="1">
      <alignment horizontal="center" vertical="center" wrapText="1"/>
    </xf>
    <xf numFmtId="165" fontId="43" fillId="5" borderId="93" xfId="11" applyNumberFormat="1" applyFont="1" applyFill="1" applyBorder="1" applyAlignment="1">
      <alignment horizontal="center" vertical="center" wrapText="1"/>
    </xf>
    <xf numFmtId="0" fontId="38" fillId="42" borderId="98" xfId="11" applyFont="1" applyFill="1" applyBorder="1" applyAlignment="1">
      <alignment horizontal="left" vertical="center" wrapText="1" indent="1"/>
    </xf>
    <xf numFmtId="0" fontId="38" fillId="9" borderId="98" xfId="11" applyNumberFormat="1" applyFont="1" applyFill="1" applyBorder="1" applyAlignment="1">
      <alignment horizontal="center" vertical="center" wrapText="1"/>
    </xf>
    <xf numFmtId="177" fontId="43" fillId="37" borderId="101" xfId="11" applyNumberFormat="1" applyFont="1" applyFill="1" applyBorder="1" applyAlignment="1">
      <alignment horizontal="center" vertical="center" wrapText="1"/>
    </xf>
    <xf numFmtId="177" fontId="43" fillId="6" borderId="98" xfId="11" applyNumberFormat="1" applyFont="1" applyFill="1" applyBorder="1" applyAlignment="1">
      <alignment horizontal="center" vertical="center" wrapText="1"/>
    </xf>
    <xf numFmtId="3" fontId="108" fillId="30" borderId="98" xfId="11" applyNumberFormat="1" applyFont="1" applyFill="1" applyBorder="1" applyAlignment="1">
      <alignment horizontal="center" vertical="center" wrapText="1"/>
    </xf>
    <xf numFmtId="0" fontId="38" fillId="30" borderId="98" xfId="11" applyFont="1" applyFill="1" applyBorder="1" applyAlignment="1">
      <alignment vertical="top" wrapText="1"/>
    </xf>
    <xf numFmtId="10" fontId="108" fillId="38" borderId="100" xfId="11" applyNumberFormat="1" applyFont="1" applyFill="1" applyBorder="1" applyAlignment="1">
      <alignment horizontal="center" vertical="center" wrapText="1"/>
    </xf>
    <xf numFmtId="177" fontId="108" fillId="38" borderId="101" xfId="11" applyNumberFormat="1" applyFont="1" applyFill="1" applyBorder="1" applyAlignment="1">
      <alignment horizontal="center" vertical="center" wrapText="1"/>
    </xf>
    <xf numFmtId="10" fontId="108" fillId="39" borderId="100" xfId="11" applyNumberFormat="1" applyFont="1" applyFill="1" applyBorder="1" applyAlignment="1">
      <alignment horizontal="center" vertical="center" wrapText="1"/>
    </xf>
    <xf numFmtId="177" fontId="108" fillId="39" borderId="101" xfId="11" applyNumberFormat="1" applyFont="1" applyFill="1" applyBorder="1" applyAlignment="1">
      <alignment horizontal="center" vertical="center" wrapText="1"/>
    </xf>
    <xf numFmtId="10" fontId="108" fillId="40" borderId="100" xfId="11" applyNumberFormat="1" applyFont="1" applyFill="1" applyBorder="1" applyAlignment="1">
      <alignment horizontal="center" vertical="center" wrapText="1"/>
    </xf>
    <xf numFmtId="177" fontId="108" fillId="40" borderId="101" xfId="11" applyNumberFormat="1" applyFont="1" applyFill="1" applyBorder="1" applyAlignment="1">
      <alignment horizontal="center" vertical="center" wrapText="1"/>
    </xf>
    <xf numFmtId="10" fontId="108" fillId="30" borderId="100" xfId="11" applyNumberFormat="1" applyFont="1" applyFill="1" applyBorder="1" applyAlignment="1">
      <alignment horizontal="center" vertical="center" wrapText="1"/>
    </xf>
    <xf numFmtId="10" fontId="108" fillId="38" borderId="98" xfId="11" applyNumberFormat="1" applyFont="1" applyFill="1" applyBorder="1" applyAlignment="1">
      <alignment horizontal="center" vertical="center" wrapText="1"/>
    </xf>
    <xf numFmtId="177" fontId="108" fillId="38" borderId="98" xfId="11" applyNumberFormat="1" applyFont="1" applyFill="1" applyBorder="1" applyAlignment="1">
      <alignment horizontal="center" vertical="center" wrapText="1"/>
    </xf>
    <xf numFmtId="10" fontId="108" fillId="9" borderId="98" xfId="11" applyNumberFormat="1" applyFont="1" applyFill="1" applyBorder="1" applyAlignment="1">
      <alignment horizontal="center" vertical="center" wrapText="1"/>
    </xf>
    <xf numFmtId="177" fontId="108" fillId="9" borderId="101" xfId="11" applyNumberFormat="1" applyFont="1" applyFill="1" applyBorder="1" applyAlignment="1">
      <alignment horizontal="center" vertical="center" wrapText="1"/>
    </xf>
    <xf numFmtId="10" fontId="108" fillId="16" borderId="100" xfId="11" applyNumberFormat="1" applyFont="1" applyFill="1" applyBorder="1" applyAlignment="1">
      <alignment horizontal="center" vertical="center" wrapText="1"/>
    </xf>
    <xf numFmtId="177" fontId="108" fillId="16" borderId="101" xfId="11" applyNumberFormat="1" applyFont="1" applyFill="1" applyBorder="1" applyAlignment="1">
      <alignment horizontal="center" vertical="center" wrapText="1"/>
    </xf>
    <xf numFmtId="10" fontId="108" fillId="41" borderId="100" xfId="11" applyNumberFormat="1" applyFont="1" applyFill="1" applyBorder="1" applyAlignment="1">
      <alignment horizontal="center" vertical="center" wrapText="1"/>
    </xf>
    <xf numFmtId="177" fontId="108" fillId="41" borderId="101" xfId="11" applyNumberFormat="1" applyFont="1" applyFill="1" applyBorder="1" applyAlignment="1">
      <alignment horizontal="center" vertical="center" wrapText="1"/>
    </xf>
    <xf numFmtId="9" fontId="108" fillId="40" borderId="83" xfId="11" applyNumberFormat="1" applyFont="1" applyFill="1" applyBorder="1" applyAlignment="1">
      <alignment horizontal="center" vertical="center" wrapText="1"/>
    </xf>
    <xf numFmtId="0" fontId="43" fillId="37" borderId="101" xfId="11" applyFont="1" applyFill="1" applyBorder="1" applyAlignment="1">
      <alignment horizontal="center" vertical="center" wrapText="1"/>
    </xf>
    <xf numFmtId="176" fontId="108" fillId="9" borderId="98" xfId="11" applyNumberFormat="1" applyFont="1" applyFill="1" applyBorder="1" applyAlignment="1">
      <alignment horizontal="center" vertical="center" wrapText="1"/>
    </xf>
    <xf numFmtId="176" fontId="68" fillId="30" borderId="98" xfId="11" applyNumberFormat="1" applyFont="1" applyFill="1" applyBorder="1" applyAlignment="1">
      <alignment horizontal="center" vertical="center" wrapText="1"/>
    </xf>
    <xf numFmtId="10" fontId="36" fillId="5" borderId="98" xfId="11" applyNumberFormat="1" applyFont="1" applyFill="1" applyBorder="1" applyAlignment="1">
      <alignment horizontal="center" vertical="center" wrapText="1"/>
    </xf>
    <xf numFmtId="176" fontId="38" fillId="30" borderId="98" xfId="11" applyNumberFormat="1" applyFont="1" applyFill="1" applyBorder="1" applyAlignment="1">
      <alignment horizontal="center" vertical="center" wrapText="1"/>
    </xf>
    <xf numFmtId="176" fontId="46" fillId="10" borderId="98" xfId="11" applyNumberFormat="1" applyFont="1" applyFill="1" applyBorder="1" applyAlignment="1">
      <alignment horizontal="center" vertical="center" wrapText="1"/>
    </xf>
    <xf numFmtId="176" fontId="68" fillId="10" borderId="98" xfId="11" applyNumberFormat="1" applyFont="1" applyFill="1" applyBorder="1" applyAlignment="1">
      <alignment horizontal="center" vertical="center" wrapText="1"/>
    </xf>
    <xf numFmtId="0" fontId="35" fillId="30" borderId="98" xfId="11" applyNumberFormat="1" applyFont="1" applyFill="1" applyBorder="1" applyAlignment="1">
      <alignment horizontal="center" vertical="top" wrapText="1"/>
    </xf>
    <xf numFmtId="176" fontId="108" fillId="30" borderId="98" xfId="11" applyNumberFormat="1" applyFont="1" applyFill="1" applyBorder="1" applyAlignment="1">
      <alignment horizontal="center" vertical="center" wrapText="1"/>
    </xf>
    <xf numFmtId="0" fontId="35" fillId="0" borderId="98" xfId="11" applyFont="1" applyFill="1" applyBorder="1" applyAlignment="1">
      <alignment horizontal="center" vertical="center" wrapText="1"/>
    </xf>
    <xf numFmtId="3" fontId="35" fillId="0" borderId="98" xfId="11" applyNumberFormat="1" applyFont="1" applyFill="1" applyBorder="1" applyAlignment="1">
      <alignment horizontal="center" vertical="center" wrapText="1"/>
    </xf>
    <xf numFmtId="176" fontId="35" fillId="0" borderId="98" xfId="11" applyNumberFormat="1" applyFont="1" applyFill="1" applyBorder="1" applyAlignment="1">
      <alignment horizontal="center" vertical="center" wrapText="1"/>
    </xf>
    <xf numFmtId="0" fontId="38" fillId="22" borderId="98" xfId="11" applyFont="1" applyFill="1" applyBorder="1" applyAlignment="1">
      <alignment horizontal="left" vertical="center" wrapText="1" indent="1"/>
    </xf>
    <xf numFmtId="0" fontId="38" fillId="22" borderId="98" xfId="11" applyFont="1" applyFill="1" applyBorder="1" applyAlignment="1">
      <alignment vertical="top" wrapText="1"/>
    </xf>
    <xf numFmtId="0" fontId="35" fillId="22" borderId="98" xfId="11" applyNumberFormat="1" applyFont="1" applyFill="1" applyBorder="1" applyAlignment="1">
      <alignment horizontal="center" vertical="center" wrapText="1"/>
    </xf>
    <xf numFmtId="0" fontId="35" fillId="22" borderId="98" xfId="11" applyNumberFormat="1" applyFont="1" applyFill="1" applyBorder="1" applyAlignment="1">
      <alignment horizontal="center" vertical="top" wrapText="1"/>
    </xf>
    <xf numFmtId="3" fontId="108" fillId="22" borderId="98" xfId="11" applyNumberFormat="1" applyFont="1" applyFill="1" applyBorder="1" applyAlignment="1">
      <alignment horizontal="center" vertical="center" wrapText="1"/>
    </xf>
    <xf numFmtId="3" fontId="35" fillId="22" borderId="98" xfId="11" applyNumberFormat="1" applyFont="1" applyFill="1" applyBorder="1" applyAlignment="1">
      <alignment horizontal="center" vertical="center" wrapText="1"/>
    </xf>
    <xf numFmtId="0" fontId="38" fillId="22" borderId="98" xfId="11" applyFont="1" applyFill="1" applyBorder="1" applyAlignment="1">
      <alignment horizontal="left" wrapText="1"/>
    </xf>
    <xf numFmtId="0" fontId="35" fillId="22" borderId="98" xfId="11" applyNumberFormat="1" applyFont="1" applyFill="1" applyBorder="1" applyAlignment="1">
      <alignment horizontal="center" wrapText="1"/>
    </xf>
    <xf numFmtId="0" fontId="38" fillId="22" borderId="98" xfId="11" applyFont="1" applyFill="1" applyBorder="1" applyAlignment="1">
      <alignment vertical="center" wrapText="1"/>
    </xf>
    <xf numFmtId="0" fontId="68" fillId="22" borderId="98" xfId="11" applyNumberFormat="1" applyFont="1" applyFill="1" applyBorder="1" applyAlignment="1">
      <alignment horizontal="center" vertical="center" wrapText="1"/>
    </xf>
    <xf numFmtId="165" fontId="68" fillId="22" borderId="98" xfId="11" applyNumberFormat="1" applyFont="1" applyFill="1" applyBorder="1" applyAlignment="1">
      <alignment horizontal="center" vertical="center" wrapText="1"/>
    </xf>
    <xf numFmtId="176" fontId="46" fillId="9" borderId="98" xfId="11" applyNumberFormat="1" applyFont="1" applyFill="1" applyBorder="1" applyAlignment="1">
      <alignment horizontal="center" vertical="center" wrapText="1"/>
    </xf>
    <xf numFmtId="176" fontId="68" fillId="9" borderId="98" xfId="11" applyNumberFormat="1" applyFont="1" applyFill="1" applyBorder="1" applyAlignment="1">
      <alignment horizontal="center" vertical="center" wrapText="1"/>
    </xf>
    <xf numFmtId="176" fontId="68" fillId="22" borderId="98" xfId="11" applyNumberFormat="1" applyFont="1" applyFill="1" applyBorder="1" applyAlignment="1">
      <alignment horizontal="center" vertical="center" wrapText="1"/>
    </xf>
    <xf numFmtId="10" fontId="68" fillId="30" borderId="98" xfId="11" applyNumberFormat="1" applyFont="1" applyFill="1" applyBorder="1" applyAlignment="1">
      <alignment horizontal="center" vertical="center" wrapText="1"/>
    </xf>
    <xf numFmtId="0" fontId="44" fillId="4" borderId="98" xfId="11" applyNumberFormat="1" applyFont="1" applyFill="1" applyBorder="1" applyAlignment="1">
      <alignment horizontal="center" vertical="center" wrapText="1"/>
    </xf>
    <xf numFmtId="0" fontId="35" fillId="4" borderId="98" xfId="11" applyFont="1" applyFill="1" applyBorder="1" applyAlignment="1">
      <alignment horizontal="center" vertical="center" wrapText="1"/>
    </xf>
    <xf numFmtId="176" fontId="43" fillId="4" borderId="98" xfId="11" applyNumberFormat="1" applyFont="1" applyFill="1" applyBorder="1" applyAlignment="1">
      <alignment horizontal="center" vertical="center" wrapText="1"/>
    </xf>
    <xf numFmtId="3" fontId="43" fillId="4" borderId="99" xfId="11" applyNumberFormat="1" applyFont="1" applyFill="1" applyBorder="1" applyAlignment="1">
      <alignment horizontal="center" vertical="center" wrapText="1"/>
    </xf>
    <xf numFmtId="165" fontId="43" fillId="4" borderId="99" xfId="11" applyNumberFormat="1" applyFont="1" applyFill="1" applyBorder="1" applyAlignment="1">
      <alignment horizontal="center" vertical="center" wrapText="1"/>
    </xf>
    <xf numFmtId="165" fontId="43" fillId="4" borderId="24" xfId="11" applyNumberFormat="1" applyFont="1" applyFill="1" applyBorder="1" applyAlignment="1">
      <alignment horizontal="center" vertical="center" wrapText="1"/>
    </xf>
    <xf numFmtId="165" fontId="43" fillId="4" borderId="100" xfId="11" applyNumberFormat="1" applyFont="1" applyFill="1" applyBorder="1" applyAlignment="1">
      <alignment horizontal="center" vertical="center" wrapText="1"/>
    </xf>
    <xf numFmtId="165" fontId="43" fillId="4" borderId="101" xfId="11" applyNumberFormat="1" applyFont="1" applyFill="1" applyBorder="1" applyAlignment="1">
      <alignment horizontal="center" vertical="center" wrapText="1"/>
    </xf>
    <xf numFmtId="10" fontId="35" fillId="0" borderId="0" xfId="11" applyNumberFormat="1" applyFont="1" applyAlignment="1">
      <alignment horizontal="center" vertical="center" wrapText="1"/>
    </xf>
    <xf numFmtId="9" fontId="35" fillId="0" borderId="0" xfId="11" applyNumberFormat="1" applyFont="1" applyAlignment="1">
      <alignment horizontal="center" vertical="center" wrapText="1"/>
    </xf>
    <xf numFmtId="3" fontId="35" fillId="0" borderId="108" xfId="11" applyNumberFormat="1" applyFont="1" applyBorder="1" applyAlignment="1">
      <alignment horizontal="center" vertical="center" wrapText="1"/>
    </xf>
    <xf numFmtId="3" fontId="35" fillId="0" borderId="21" xfId="11" applyNumberFormat="1" applyFont="1" applyBorder="1" applyAlignment="1">
      <alignment horizontal="center" vertical="center" wrapText="1"/>
    </xf>
    <xf numFmtId="170" fontId="35" fillId="0" borderId="0" xfId="11" applyNumberFormat="1" applyFont="1" applyAlignment="1">
      <alignment horizontal="center" vertical="center" wrapText="1"/>
    </xf>
    <xf numFmtId="0" fontId="46" fillId="9" borderId="98" xfId="11" applyFont="1" applyFill="1" applyBorder="1" applyAlignment="1">
      <alignment horizontal="left" vertical="center" wrapText="1" indent="1"/>
    </xf>
    <xf numFmtId="3" fontId="46" fillId="9" borderId="98" xfId="11" applyNumberFormat="1" applyFont="1" applyFill="1" applyBorder="1" applyAlignment="1">
      <alignment horizontal="left" vertical="center" wrapText="1"/>
    </xf>
    <xf numFmtId="0" fontId="68" fillId="9" borderId="98" xfId="11" applyFont="1" applyFill="1" applyBorder="1" applyAlignment="1">
      <alignment vertical="center" wrapText="1"/>
    </xf>
    <xf numFmtId="0" fontId="46" fillId="9" borderId="98" xfId="11" applyFont="1" applyFill="1" applyBorder="1" applyAlignment="1">
      <alignment vertical="top" wrapText="1"/>
    </xf>
    <xf numFmtId="0" fontId="68" fillId="9" borderId="98" xfId="11" applyFont="1" applyFill="1" applyBorder="1" applyAlignment="1">
      <alignment horizontal="left" vertical="center" wrapText="1"/>
    </xf>
    <xf numFmtId="0" fontId="46" fillId="9" borderId="98" xfId="11" applyFont="1" applyFill="1" applyBorder="1" applyAlignment="1">
      <alignment horizontal="left" vertical="center" wrapText="1"/>
    </xf>
    <xf numFmtId="0" fontId="46" fillId="30" borderId="98" xfId="11" applyFont="1" applyFill="1" applyBorder="1" applyAlignment="1">
      <alignment horizontal="left" vertical="center" wrapText="1" indent="1"/>
    </xf>
    <xf numFmtId="0" fontId="46" fillId="30" borderId="98" xfId="11" applyFont="1" applyFill="1" applyBorder="1" applyAlignment="1">
      <alignment vertical="center" wrapText="1"/>
    </xf>
    <xf numFmtId="0" fontId="43" fillId="0" borderId="22" xfId="11" applyFont="1" applyBorder="1" applyAlignment="1">
      <alignment horizontal="center" vertical="center" wrapText="1"/>
    </xf>
    <xf numFmtId="0" fontId="44" fillId="0" borderId="22" xfId="11" applyNumberFormat="1" applyFont="1" applyBorder="1" applyAlignment="1">
      <alignment horizontal="center" vertical="center" wrapText="1"/>
    </xf>
    <xf numFmtId="0" fontId="44" fillId="0" borderId="0" xfId="11" applyNumberFormat="1" applyFont="1" applyBorder="1" applyAlignment="1">
      <alignment horizontal="center" vertical="center" wrapText="1"/>
    </xf>
    <xf numFmtId="176" fontId="35" fillId="0" borderId="22" xfId="11" applyNumberFormat="1" applyFont="1" applyBorder="1" applyAlignment="1">
      <alignment horizontal="center" vertical="center" wrapText="1"/>
    </xf>
    <xf numFmtId="3" fontId="35" fillId="0" borderId="22" xfId="11" applyNumberFormat="1" applyFont="1" applyBorder="1" applyAlignment="1">
      <alignment horizontal="center" vertical="center" wrapText="1"/>
    </xf>
    <xf numFmtId="177" fontId="35" fillId="0" borderId="22" xfId="11" applyNumberFormat="1" applyFont="1" applyBorder="1" applyAlignment="1">
      <alignment horizontal="center" vertical="center" wrapText="1"/>
    </xf>
    <xf numFmtId="178" fontId="35" fillId="0" borderId="22" xfId="11" applyNumberFormat="1" applyFont="1" applyBorder="1" applyAlignment="1">
      <alignment horizontal="center" vertical="center" wrapText="1"/>
    </xf>
    <xf numFmtId="165" fontId="35" fillId="0" borderId="22" xfId="11" applyNumberFormat="1" applyFont="1" applyBorder="1" applyAlignment="1">
      <alignment horizontal="center" vertical="center" wrapText="1"/>
    </xf>
    <xf numFmtId="10" fontId="35" fillId="0" borderId="22" xfId="11" applyNumberFormat="1" applyFont="1" applyBorder="1" applyAlignment="1">
      <alignment horizontal="center" vertical="center" wrapText="1"/>
    </xf>
    <xf numFmtId="44" fontId="35" fillId="0" borderId="22" xfId="11" applyNumberFormat="1" applyFont="1" applyBorder="1" applyAlignment="1">
      <alignment horizontal="center" vertical="center" wrapText="1"/>
    </xf>
    <xf numFmtId="9" fontId="35" fillId="0" borderId="22" xfId="11" applyNumberFormat="1" applyFont="1" applyBorder="1" applyAlignment="1">
      <alignment horizontal="center" vertical="center" wrapText="1"/>
    </xf>
    <xf numFmtId="170" fontId="35" fillId="0" borderId="22" xfId="11" applyNumberFormat="1" applyFont="1" applyBorder="1" applyAlignment="1">
      <alignment horizontal="center" vertical="center" wrapText="1"/>
    </xf>
    <xf numFmtId="0" fontId="35" fillId="0" borderId="0" xfId="11" applyFont="1" applyBorder="1" applyAlignment="1">
      <alignment horizontal="center" vertical="center" wrapText="1"/>
    </xf>
    <xf numFmtId="165" fontId="68" fillId="9" borderId="98" xfId="11" applyNumberFormat="1" applyFont="1" applyFill="1" applyBorder="1" applyAlignment="1">
      <alignment horizontal="center" vertical="center" wrapText="1"/>
    </xf>
    <xf numFmtId="0" fontId="35" fillId="0" borderId="99" xfId="11" applyFont="1" applyBorder="1" applyAlignment="1">
      <alignment horizontal="center" vertical="center" wrapText="1"/>
    </xf>
    <xf numFmtId="3" fontId="35" fillId="0" borderId="24" xfId="11" applyNumberFormat="1" applyFont="1" applyBorder="1" applyAlignment="1">
      <alignment horizontal="center" vertical="center" wrapText="1"/>
    </xf>
    <xf numFmtId="176" fontId="35" fillId="0" borderId="24" xfId="11" applyNumberFormat="1" applyFont="1" applyBorder="1" applyAlignment="1">
      <alignment horizontal="center" vertical="center" wrapText="1"/>
    </xf>
    <xf numFmtId="0" fontId="35" fillId="0" borderId="24" xfId="11" applyFont="1" applyBorder="1" applyAlignment="1">
      <alignment horizontal="center" vertical="center" wrapText="1"/>
    </xf>
    <xf numFmtId="0" fontId="38" fillId="9" borderId="24" xfId="11" applyFont="1" applyFill="1" applyBorder="1" applyAlignment="1">
      <alignment horizontal="left" vertical="center" wrapText="1" indent="1"/>
    </xf>
    <xf numFmtId="0" fontId="38" fillId="9" borderId="109" xfId="11" applyFont="1" applyFill="1" applyBorder="1" applyAlignment="1">
      <alignment horizontal="left" vertical="center" wrapText="1"/>
    </xf>
    <xf numFmtId="0" fontId="35" fillId="9" borderId="24" xfId="11" applyNumberFormat="1" applyFont="1" applyFill="1" applyBorder="1" applyAlignment="1">
      <alignment horizontal="center" vertical="center" wrapText="1"/>
    </xf>
    <xf numFmtId="0" fontId="68" fillId="9" borderId="24" xfId="11" applyNumberFormat="1" applyFont="1" applyFill="1" applyBorder="1" applyAlignment="1">
      <alignment horizontal="center" vertical="center" wrapText="1"/>
    </xf>
    <xf numFmtId="176" fontId="35" fillId="22" borderId="24" xfId="11" applyNumberFormat="1" applyFont="1" applyFill="1" applyBorder="1" applyAlignment="1">
      <alignment horizontal="center" vertical="center" wrapText="1"/>
    </xf>
    <xf numFmtId="176" fontId="68" fillId="10" borderId="24" xfId="11" applyNumberFormat="1" applyFont="1" applyFill="1" applyBorder="1" applyAlignment="1">
      <alignment horizontal="center" vertical="center" wrapText="1"/>
    </xf>
    <xf numFmtId="176" fontId="35" fillId="9" borderId="24" xfId="11" applyNumberFormat="1" applyFont="1" applyFill="1" applyBorder="1" applyAlignment="1">
      <alignment horizontal="center" vertical="center" wrapText="1"/>
    </xf>
    <xf numFmtId="3" fontId="35" fillId="9" borderId="24" xfId="11" applyNumberFormat="1" applyFont="1" applyFill="1" applyBorder="1" applyAlignment="1">
      <alignment horizontal="center" vertical="center" wrapText="1"/>
    </xf>
    <xf numFmtId="177" fontId="35" fillId="22" borderId="24" xfId="11" applyNumberFormat="1" applyFont="1" applyFill="1" applyBorder="1" applyAlignment="1">
      <alignment horizontal="center" vertical="center" wrapText="1"/>
    </xf>
    <xf numFmtId="177" fontId="35" fillId="9" borderId="24" xfId="11" applyNumberFormat="1" applyFont="1" applyFill="1" applyBorder="1" applyAlignment="1">
      <alignment horizontal="center" vertical="center" wrapText="1"/>
    </xf>
    <xf numFmtId="178" fontId="35" fillId="9" borderId="24" xfId="11" applyNumberFormat="1" applyFont="1" applyFill="1" applyBorder="1" applyAlignment="1">
      <alignment horizontal="center" vertical="center" wrapText="1"/>
    </xf>
    <xf numFmtId="165" fontId="35" fillId="22" borderId="24" xfId="11" applyNumberFormat="1" applyFont="1" applyFill="1" applyBorder="1" applyAlignment="1">
      <alignment horizontal="center" vertical="center" wrapText="1"/>
    </xf>
    <xf numFmtId="10" fontId="35" fillId="22" borderId="24" xfId="11" applyNumberFormat="1" applyFont="1" applyFill="1" applyBorder="1" applyAlignment="1">
      <alignment horizontal="center" vertical="center" wrapText="1"/>
    </xf>
    <xf numFmtId="44" fontId="35" fillId="22" borderId="109" xfId="11" applyNumberFormat="1" applyFont="1" applyFill="1" applyBorder="1" applyAlignment="1">
      <alignment horizontal="center" vertical="center" wrapText="1"/>
    </xf>
    <xf numFmtId="10" fontId="35" fillId="38" borderId="109" xfId="11" applyNumberFormat="1" applyFont="1" applyFill="1" applyBorder="1" applyAlignment="1">
      <alignment horizontal="center" vertical="center" wrapText="1"/>
    </xf>
    <xf numFmtId="177" fontId="35" fillId="38" borderId="109" xfId="11" applyNumberFormat="1" applyFont="1" applyFill="1" applyBorder="1" applyAlignment="1">
      <alignment horizontal="center" vertical="center" wrapText="1"/>
    </xf>
    <xf numFmtId="10" fontId="35" fillId="39" borderId="24" xfId="11" applyNumberFormat="1" applyFont="1" applyFill="1" applyBorder="1" applyAlignment="1">
      <alignment horizontal="center" vertical="center" wrapText="1"/>
    </xf>
    <xf numFmtId="177" fontId="35" fillId="39" borderId="109" xfId="11" applyNumberFormat="1" applyFont="1" applyFill="1" applyBorder="1" applyAlignment="1">
      <alignment horizontal="center" vertical="center" wrapText="1"/>
    </xf>
    <xf numFmtId="10" fontId="35" fillId="40" borderId="24" xfId="11" applyNumberFormat="1" applyFont="1" applyFill="1" applyBorder="1" applyAlignment="1">
      <alignment horizontal="center" vertical="center" wrapText="1"/>
    </xf>
    <xf numFmtId="177" fontId="35" fillId="40" borderId="109" xfId="11" applyNumberFormat="1" applyFont="1" applyFill="1" applyBorder="1" applyAlignment="1">
      <alignment horizontal="center" vertical="center" wrapText="1"/>
    </xf>
    <xf numFmtId="10" fontId="35" fillId="30" borderId="24" xfId="11" applyNumberFormat="1" applyFont="1" applyFill="1" applyBorder="1" applyAlignment="1">
      <alignment horizontal="center" vertical="center" wrapText="1"/>
    </xf>
    <xf numFmtId="177" fontId="35" fillId="30" borderId="109" xfId="11" applyNumberFormat="1" applyFont="1" applyFill="1" applyBorder="1" applyAlignment="1">
      <alignment horizontal="center" vertical="center" wrapText="1"/>
    </xf>
    <xf numFmtId="10" fontId="35" fillId="38" borderId="24" xfId="11" applyNumberFormat="1" applyFont="1" applyFill="1" applyBorder="1" applyAlignment="1">
      <alignment horizontal="center" vertical="center" wrapText="1"/>
    </xf>
    <xf numFmtId="10" fontId="35" fillId="9" borderId="24" xfId="11" applyNumberFormat="1" applyFont="1" applyFill="1" applyBorder="1" applyAlignment="1">
      <alignment horizontal="center" vertical="center" wrapText="1"/>
    </xf>
    <xf numFmtId="177" fontId="35" fillId="9" borderId="109" xfId="11" applyNumberFormat="1" applyFont="1" applyFill="1" applyBorder="1" applyAlignment="1">
      <alignment horizontal="center" vertical="center" wrapText="1"/>
    </xf>
    <xf numFmtId="10" fontId="35" fillId="16" borderId="109" xfId="11" applyNumberFormat="1" applyFont="1" applyFill="1" applyBorder="1" applyAlignment="1">
      <alignment horizontal="center" vertical="center" wrapText="1"/>
    </xf>
    <xf numFmtId="177" fontId="35" fillId="16" borderId="109" xfId="11" applyNumberFormat="1" applyFont="1" applyFill="1" applyBorder="1" applyAlignment="1">
      <alignment horizontal="center" vertical="center" wrapText="1"/>
    </xf>
    <xf numFmtId="10" fontId="35" fillId="41" borderId="24" xfId="11" applyNumberFormat="1" applyFont="1" applyFill="1" applyBorder="1" applyAlignment="1">
      <alignment horizontal="center" vertical="center" wrapText="1"/>
    </xf>
    <xf numFmtId="177" fontId="35" fillId="41" borderId="109" xfId="11" applyNumberFormat="1" applyFont="1" applyFill="1" applyBorder="1" applyAlignment="1">
      <alignment horizontal="center" vertical="center" wrapText="1"/>
    </xf>
    <xf numFmtId="3" fontId="35" fillId="9" borderId="22" xfId="11" applyNumberFormat="1" applyFont="1" applyFill="1" applyBorder="1" applyAlignment="1">
      <alignment horizontal="center" vertical="center" wrapText="1"/>
    </xf>
    <xf numFmtId="170" fontId="35" fillId="9" borderId="22" xfId="11" applyNumberFormat="1" applyFont="1" applyFill="1" applyBorder="1" applyAlignment="1">
      <alignment horizontal="center" vertical="center" wrapText="1"/>
    </xf>
    <xf numFmtId="0" fontId="35" fillId="9" borderId="0" xfId="11" applyFont="1" applyFill="1" applyBorder="1" applyAlignment="1">
      <alignment horizontal="center" vertical="center" wrapText="1"/>
    </xf>
    <xf numFmtId="165" fontId="35" fillId="31" borderId="98" xfId="11" applyNumberFormat="1" applyFont="1" applyFill="1" applyBorder="1" applyAlignment="1">
      <alignment horizontal="center" vertical="center" wrapText="1"/>
    </xf>
    <xf numFmtId="176" fontId="43" fillId="5" borderId="102" xfId="11" applyNumberFormat="1" applyFont="1" applyFill="1" applyBorder="1" applyAlignment="1">
      <alignment horizontal="center" vertical="center" wrapText="1"/>
    </xf>
    <xf numFmtId="3" fontId="43" fillId="2" borderId="102" xfId="11" applyNumberFormat="1" applyFont="1" applyFill="1" applyBorder="1" applyAlignment="1">
      <alignment horizontal="center" vertical="center" wrapText="1"/>
    </xf>
    <xf numFmtId="0" fontId="108" fillId="0" borderId="98" xfId="11" applyFont="1" applyBorder="1" applyAlignment="1">
      <alignment horizontal="center" vertical="center" wrapText="1"/>
    </xf>
    <xf numFmtId="3" fontId="108" fillId="0" borderId="98" xfId="11" applyNumberFormat="1" applyFont="1" applyBorder="1" applyAlignment="1">
      <alignment horizontal="center" vertical="center" wrapText="1"/>
    </xf>
    <xf numFmtId="176" fontId="108" fillId="0" borderId="102" xfId="11" applyNumberFormat="1" applyFont="1" applyBorder="1" applyAlignment="1">
      <alignment horizontal="center" vertical="center" wrapText="1"/>
    </xf>
    <xf numFmtId="0" fontId="55" fillId="9" borderId="102" xfId="11" applyFont="1" applyFill="1" applyBorder="1" applyAlignment="1">
      <alignment horizontal="left" vertical="center" wrapText="1" indent="1"/>
    </xf>
    <xf numFmtId="0" fontId="55" fillId="9" borderId="98" xfId="11" applyFont="1" applyFill="1" applyBorder="1" applyAlignment="1">
      <alignment horizontal="left" vertical="center" wrapText="1" indent="1"/>
    </xf>
    <xf numFmtId="0" fontId="55" fillId="9" borderId="98" xfId="11" applyFont="1" applyFill="1" applyBorder="1" applyAlignment="1">
      <alignment vertical="center" wrapText="1"/>
    </xf>
    <xf numFmtId="177" fontId="108" fillId="9" borderId="98" xfId="11" applyNumberFormat="1" applyFont="1" applyFill="1" applyBorder="1" applyAlignment="1">
      <alignment horizontal="center" vertical="center" wrapText="1"/>
    </xf>
    <xf numFmtId="178" fontId="108" fillId="9" borderId="98" xfId="11" applyNumberFormat="1" applyFont="1" applyFill="1" applyBorder="1" applyAlignment="1">
      <alignment horizontal="center" vertical="center" wrapText="1"/>
    </xf>
    <xf numFmtId="165" fontId="108" fillId="9" borderId="98" xfId="11" applyNumberFormat="1" applyFont="1" applyFill="1" applyBorder="1" applyAlignment="1">
      <alignment horizontal="center" vertical="center" wrapText="1"/>
    </xf>
    <xf numFmtId="3" fontId="55" fillId="9" borderId="98" xfId="11" applyNumberFormat="1" applyFont="1" applyFill="1" applyBorder="1" applyAlignment="1">
      <alignment horizontal="left" vertical="center" wrapText="1"/>
    </xf>
    <xf numFmtId="0" fontId="108" fillId="9" borderId="98" xfId="11" applyFont="1" applyFill="1" applyBorder="1" applyAlignment="1">
      <alignment vertical="center" wrapText="1"/>
    </xf>
    <xf numFmtId="0" fontId="55" fillId="9" borderId="98" xfId="11" applyFont="1" applyFill="1" applyBorder="1" applyAlignment="1">
      <alignment vertical="top" wrapText="1"/>
    </xf>
    <xf numFmtId="0" fontId="55" fillId="30" borderId="102" xfId="11" applyFont="1" applyFill="1" applyBorder="1" applyAlignment="1">
      <alignment horizontal="left" vertical="center" wrapText="1" indent="1"/>
    </xf>
    <xf numFmtId="0" fontId="55" fillId="30" borderId="98" xfId="11" applyFont="1" applyFill="1" applyBorder="1" applyAlignment="1">
      <alignment horizontal="left" vertical="center" wrapText="1" indent="1"/>
    </xf>
    <xf numFmtId="0" fontId="55" fillId="30" borderId="98" xfId="11" applyFont="1" applyFill="1" applyBorder="1" applyAlignment="1">
      <alignment horizontal="left" vertical="center" wrapText="1"/>
    </xf>
    <xf numFmtId="0" fontId="108" fillId="30" borderId="98" xfId="11" applyNumberFormat="1" applyFont="1" applyFill="1" applyBorder="1" applyAlignment="1">
      <alignment horizontal="center" vertical="center" wrapText="1"/>
    </xf>
    <xf numFmtId="165" fontId="108" fillId="30" borderId="98" xfId="11" applyNumberFormat="1" applyFont="1" applyFill="1" applyBorder="1" applyAlignment="1">
      <alignment horizontal="center" vertical="center" wrapText="1"/>
    </xf>
    <xf numFmtId="10" fontId="108" fillId="30" borderId="98" xfId="11" applyNumberFormat="1" applyFont="1" applyFill="1" applyBorder="1" applyAlignment="1">
      <alignment horizontal="center" vertical="center" wrapText="1"/>
    </xf>
    <xf numFmtId="0" fontId="43" fillId="0" borderId="0" xfId="11" applyFont="1" applyBorder="1" applyAlignment="1">
      <alignment horizontal="center" vertical="center" wrapText="1"/>
    </xf>
    <xf numFmtId="176" fontId="35" fillId="0" borderId="0" xfId="11" applyNumberFormat="1" applyFont="1" applyBorder="1" applyAlignment="1">
      <alignment horizontal="center" vertical="center" wrapText="1"/>
    </xf>
    <xf numFmtId="3" fontId="35" fillId="0" borderId="0" xfId="11" applyNumberFormat="1" applyFont="1" applyBorder="1" applyAlignment="1">
      <alignment horizontal="center" vertical="center" wrapText="1"/>
    </xf>
    <xf numFmtId="177" fontId="35" fillId="0" borderId="0" xfId="11" applyNumberFormat="1" applyFont="1" applyBorder="1" applyAlignment="1">
      <alignment horizontal="center" vertical="center" wrapText="1"/>
    </xf>
    <xf numFmtId="178" fontId="35" fillId="0" borderId="0" xfId="11" applyNumberFormat="1" applyFont="1" applyBorder="1" applyAlignment="1">
      <alignment horizontal="center" vertical="center" wrapText="1"/>
    </xf>
    <xf numFmtId="165" fontId="35" fillId="0" borderId="0" xfId="11" applyNumberFormat="1" applyFont="1" applyBorder="1" applyAlignment="1">
      <alignment horizontal="center" vertical="center" wrapText="1"/>
    </xf>
    <xf numFmtId="10" fontId="35" fillId="0" borderId="0" xfId="11" applyNumberFormat="1" applyFont="1" applyBorder="1" applyAlignment="1">
      <alignment horizontal="center" vertical="center" wrapText="1"/>
    </xf>
    <xf numFmtId="44" fontId="35" fillId="0" borderId="0" xfId="11" applyNumberFormat="1" applyFont="1" applyBorder="1" applyAlignment="1">
      <alignment horizontal="center" vertical="center" wrapText="1"/>
    </xf>
    <xf numFmtId="9" fontId="35" fillId="0" borderId="0" xfId="11" applyNumberFormat="1" applyFont="1" applyBorder="1" applyAlignment="1">
      <alignment horizontal="center" vertical="center" wrapText="1"/>
    </xf>
    <xf numFmtId="170" fontId="35" fillId="0" borderId="0" xfId="11" applyNumberFormat="1" applyFont="1" applyBorder="1" applyAlignment="1">
      <alignment horizontal="center" vertical="center" wrapText="1"/>
    </xf>
    <xf numFmtId="176" fontId="35" fillId="0" borderId="102" xfId="11" applyNumberFormat="1" applyFont="1" applyBorder="1" applyAlignment="1">
      <alignment horizontal="center" vertical="center" wrapText="1"/>
    </xf>
    <xf numFmtId="0" fontId="38" fillId="30" borderId="102" xfId="11" applyFont="1" applyFill="1" applyBorder="1" applyAlignment="1">
      <alignment horizontal="left" vertical="center" wrapText="1" indent="1"/>
    </xf>
    <xf numFmtId="0" fontId="55" fillId="9" borderId="98" xfId="11" applyFont="1" applyFill="1" applyBorder="1" applyAlignment="1">
      <alignment horizontal="left" vertical="center" wrapText="1"/>
    </xf>
    <xf numFmtId="0" fontId="55" fillId="30" borderId="98" xfId="11" applyFont="1" applyFill="1" applyBorder="1" applyAlignment="1">
      <alignment vertical="top" wrapText="1"/>
    </xf>
    <xf numFmtId="0" fontId="55" fillId="30" borderId="98" xfId="11" applyFont="1" applyFill="1" applyBorder="1" applyAlignment="1">
      <alignment vertical="center" wrapText="1"/>
    </xf>
    <xf numFmtId="0" fontId="46" fillId="9" borderId="102" xfId="11" applyFont="1" applyFill="1" applyBorder="1" applyAlignment="1">
      <alignment horizontal="left" vertical="center" wrapText="1" indent="1"/>
    </xf>
    <xf numFmtId="0" fontId="51" fillId="0" borderId="31" xfId="0" applyFont="1" applyFill="1" applyBorder="1" applyAlignment="1">
      <alignment wrapText="1"/>
    </xf>
    <xf numFmtId="0" fontId="51" fillId="0" borderId="31" xfId="0" applyFont="1" applyFill="1" applyBorder="1" applyAlignment="1"/>
    <xf numFmtId="165" fontId="43" fillId="5" borderId="0" xfId="0" applyNumberFormat="1" applyFont="1" applyFill="1" applyBorder="1" applyAlignment="1">
      <alignment horizontal="center" vertical="center" wrapText="1"/>
    </xf>
    <xf numFmtId="165" fontId="43" fillId="17" borderId="0" xfId="0" applyNumberFormat="1" applyFont="1" applyFill="1" applyBorder="1" applyAlignment="1">
      <alignment horizontal="center" vertical="center" wrapText="1"/>
    </xf>
    <xf numFmtId="165" fontId="43" fillId="2" borderId="54" xfId="0" applyNumberFormat="1" applyFont="1" applyFill="1" applyBorder="1" applyAlignment="1">
      <alignment horizontal="center" vertical="center" wrapText="1"/>
    </xf>
    <xf numFmtId="2" fontId="31" fillId="0" borderId="55" xfId="0" applyNumberFormat="1" applyFont="1" applyFill="1" applyBorder="1" applyAlignment="1">
      <alignment horizontal="center" vertical="top" wrapText="1"/>
    </xf>
    <xf numFmtId="167" fontId="31" fillId="0" borderId="55" xfId="0" applyNumberFormat="1" applyFont="1" applyFill="1" applyBorder="1" applyAlignment="1">
      <alignment horizontal="center" vertical="top" wrapText="1"/>
    </xf>
    <xf numFmtId="0" fontId="32" fillId="0" borderId="22" xfId="0" applyFont="1" applyBorder="1" applyAlignment="1">
      <alignment horizontal="center" vertical="center" wrapText="1"/>
    </xf>
    <xf numFmtId="0" fontId="32" fillId="0" borderId="22" xfId="0" applyFont="1" applyBorder="1" applyAlignment="1">
      <alignment vertical="center" wrapText="1"/>
    </xf>
    <xf numFmtId="0" fontId="43" fillId="17" borderId="0" xfId="0" applyFont="1" applyFill="1" applyBorder="1" applyAlignment="1">
      <alignment horizontal="center" vertical="center" wrapText="1"/>
    </xf>
    <xf numFmtId="0" fontId="43" fillId="5" borderId="0" xfId="0" applyFont="1" applyFill="1" applyBorder="1" applyAlignment="1">
      <alignment horizontal="center" vertical="center" wrapText="1"/>
    </xf>
    <xf numFmtId="165" fontId="35" fillId="9" borderId="0" xfId="0" applyNumberFormat="1" applyFont="1" applyFill="1" applyBorder="1" applyAlignment="1">
      <alignment horizontal="center" vertical="center" wrapText="1"/>
    </xf>
    <xf numFmtId="165" fontId="35" fillId="0" borderId="0" xfId="0" applyNumberFormat="1" applyFont="1" applyFill="1" applyBorder="1" applyAlignment="1">
      <alignment horizontal="center" vertical="center" wrapText="1"/>
    </xf>
    <xf numFmtId="0" fontId="118" fillId="2" borderId="0" xfId="0" applyFont="1" applyFill="1" applyBorder="1" applyAlignment="1">
      <alignment horizontal="center"/>
    </xf>
    <xf numFmtId="0" fontId="43" fillId="17" borderId="33" xfId="0" applyFont="1" applyFill="1" applyBorder="1" applyAlignment="1">
      <alignment horizontal="center" vertical="center" wrapText="1"/>
    </xf>
    <xf numFmtId="0" fontId="43" fillId="17" borderId="28" xfId="0" applyFont="1" applyFill="1" applyBorder="1" applyAlignment="1">
      <alignment horizontal="center" vertical="center" wrapText="1"/>
    </xf>
    <xf numFmtId="0" fontId="43" fillId="17" borderId="73" xfId="0" applyFont="1" applyFill="1" applyBorder="1" applyAlignment="1">
      <alignment horizontal="center" vertical="center" wrapText="1"/>
    </xf>
    <xf numFmtId="0" fontId="49" fillId="3" borderId="69" xfId="0" applyNumberFormat="1" applyFont="1" applyFill="1" applyBorder="1" applyAlignment="1">
      <alignment horizontal="center" wrapText="1"/>
    </xf>
    <xf numFmtId="0" fontId="49" fillId="3" borderId="65" xfId="0" applyNumberFormat="1" applyFont="1" applyFill="1" applyBorder="1" applyAlignment="1">
      <alignment horizont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28" fillId="9" borderId="8" xfId="0" applyFont="1" applyFill="1" applyBorder="1" applyAlignment="1">
      <alignment horizontal="center" vertical="center" wrapText="1"/>
    </xf>
    <xf numFmtId="0" fontId="27" fillId="10" borderId="13" xfId="0" applyFont="1" applyFill="1" applyBorder="1" applyAlignment="1">
      <alignment horizontal="center" vertical="center" wrapText="1"/>
    </xf>
    <xf numFmtId="0" fontId="27" fillId="10" borderId="16" xfId="0" applyFont="1" applyFill="1" applyBorder="1" applyAlignment="1">
      <alignment horizontal="center" vertical="center" wrapText="1"/>
    </xf>
    <xf numFmtId="0" fontId="27" fillId="10" borderId="17"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8" fillId="0" borderId="8" xfId="0" applyFont="1" applyFill="1" applyBorder="1" applyAlignment="1">
      <alignment horizontal="center" vertical="center" wrapText="1"/>
    </xf>
    <xf numFmtId="0" fontId="28" fillId="0" borderId="3" xfId="0" applyFont="1" applyBorder="1" applyAlignment="1">
      <alignment horizontal="center" vertical="center" wrapText="1"/>
    </xf>
    <xf numFmtId="0" fontId="28" fillId="0" borderId="1" xfId="0" applyFont="1" applyBorder="1" applyAlignment="1">
      <alignment horizontal="center" vertical="center" wrapText="1"/>
    </xf>
    <xf numFmtId="0" fontId="28" fillId="0" borderId="8" xfId="0" applyFont="1" applyBorder="1" applyAlignment="1">
      <alignment horizontal="center" vertical="center" wrapText="1"/>
    </xf>
    <xf numFmtId="0" fontId="21" fillId="9" borderId="3"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7" fillId="9" borderId="13" xfId="0" applyFont="1" applyFill="1" applyBorder="1" applyAlignment="1">
      <alignment horizontal="center" vertical="center" wrapText="1"/>
    </xf>
    <xf numFmtId="0" fontId="27" fillId="9" borderId="16" xfId="0" applyFont="1" applyFill="1" applyBorder="1" applyAlignment="1">
      <alignment horizontal="center" vertical="center" wrapText="1"/>
    </xf>
    <xf numFmtId="0" fontId="27" fillId="9" borderId="17" xfId="0" applyFont="1" applyFill="1" applyBorder="1" applyAlignment="1">
      <alignment horizontal="center" vertical="center" wrapText="1"/>
    </xf>
    <xf numFmtId="165" fontId="27" fillId="9" borderId="13" xfId="0" applyNumberFormat="1" applyFont="1" applyFill="1" applyBorder="1" applyAlignment="1">
      <alignment horizontal="center" vertical="center" wrapText="1"/>
    </xf>
    <xf numFmtId="165" fontId="27" fillId="9" borderId="16" xfId="0" applyNumberFormat="1" applyFont="1" applyFill="1" applyBorder="1" applyAlignment="1">
      <alignment horizontal="center" vertical="center" wrapText="1"/>
    </xf>
    <xf numFmtId="165" fontId="27" fillId="9" borderId="17" xfId="0" applyNumberFormat="1" applyFont="1" applyFill="1" applyBorder="1" applyAlignment="1">
      <alignment horizontal="center" vertical="center" wrapText="1"/>
    </xf>
    <xf numFmtId="0" fontId="0" fillId="29" borderId="2" xfId="0" applyFont="1" applyFill="1" applyBorder="1" applyAlignment="1">
      <alignment horizontal="center" vertical="center" wrapText="1"/>
    </xf>
    <xf numFmtId="0" fontId="21" fillId="29" borderId="5" xfId="0" applyFont="1" applyFill="1" applyBorder="1" applyAlignment="1">
      <alignment horizontal="center" vertical="center" wrapText="1"/>
    </xf>
    <xf numFmtId="0" fontId="21" fillId="29" borderId="7" xfId="0" applyFont="1" applyFill="1" applyBorder="1" applyAlignment="1">
      <alignment horizontal="center" vertical="center" wrapText="1"/>
    </xf>
    <xf numFmtId="0" fontId="21" fillId="0" borderId="13" xfId="0" applyFont="1" applyBorder="1" applyAlignment="1">
      <alignment horizontal="center" vertical="center" wrapText="1"/>
    </xf>
    <xf numFmtId="0" fontId="21" fillId="0" borderId="16" xfId="0" applyFont="1" applyBorder="1" applyAlignment="1">
      <alignment horizontal="center" vertical="center" wrapText="1"/>
    </xf>
    <xf numFmtId="0" fontId="21" fillId="0" borderId="44" xfId="0" applyFont="1" applyBorder="1" applyAlignment="1">
      <alignment horizontal="center" vertical="center" wrapText="1"/>
    </xf>
    <xf numFmtId="170" fontId="0" fillId="0" borderId="3" xfId="0" applyNumberFormat="1" applyFont="1" applyFill="1" applyBorder="1" applyAlignment="1">
      <alignment horizontal="center" vertical="center" wrapText="1"/>
    </xf>
    <xf numFmtId="170" fontId="21" fillId="0" borderId="31" xfId="0" applyNumberFormat="1" applyFont="1" applyFill="1" applyBorder="1" applyAlignment="1">
      <alignment horizontal="center" vertical="center" wrapText="1"/>
    </xf>
    <xf numFmtId="170" fontId="21" fillId="0" borderId="45" xfId="0" applyNumberFormat="1" applyFont="1" applyFill="1" applyBorder="1" applyAlignment="1">
      <alignment horizontal="center" vertical="center" wrapText="1"/>
    </xf>
    <xf numFmtId="0" fontId="0" fillId="0" borderId="3" xfId="0" applyFont="1" applyFill="1" applyBorder="1" applyAlignment="1">
      <alignment horizontal="center" vertical="center" wrapText="1"/>
    </xf>
    <xf numFmtId="0" fontId="21" fillId="0" borderId="31" xfId="0" applyFont="1" applyFill="1" applyBorder="1" applyAlignment="1">
      <alignment horizontal="center" vertical="center" wrapText="1"/>
    </xf>
    <xf numFmtId="0" fontId="21" fillId="0" borderId="45" xfId="0" applyFont="1" applyFill="1" applyBorder="1" applyAlignment="1">
      <alignment horizontal="center" vertical="center" wrapText="1"/>
    </xf>
    <xf numFmtId="0" fontId="0" fillId="0" borderId="3" xfId="0" applyFont="1" applyBorder="1" applyAlignment="1">
      <alignment horizontal="center" vertical="center" wrapText="1"/>
    </xf>
    <xf numFmtId="0" fontId="21" fillId="0" borderId="1" xfId="0" applyFont="1" applyBorder="1" applyAlignment="1">
      <alignment horizontal="center" vertical="center" wrapText="1"/>
    </xf>
    <xf numFmtId="0" fontId="21" fillId="0" borderId="8" xfId="0" applyFont="1" applyBorder="1" applyAlignment="1">
      <alignment horizontal="center" vertical="center" wrapText="1"/>
    </xf>
    <xf numFmtId="164" fontId="0" fillId="0" borderId="3" xfId="0" applyNumberFormat="1" applyFont="1" applyBorder="1" applyAlignment="1">
      <alignment horizontal="center" vertical="center" wrapText="1"/>
    </xf>
    <xf numFmtId="164" fontId="21" fillId="0" borderId="1" xfId="0" applyNumberFormat="1" applyFont="1" applyBorder="1" applyAlignment="1">
      <alignment horizontal="center" vertical="center" wrapText="1"/>
    </xf>
    <xf numFmtId="164" fontId="21" fillId="0" borderId="8" xfId="0" applyNumberFormat="1" applyFont="1" applyBorder="1" applyAlignment="1">
      <alignment horizontal="center" vertical="center" wrapText="1"/>
    </xf>
    <xf numFmtId="164" fontId="21" fillId="0" borderId="3" xfId="0" applyNumberFormat="1" applyFont="1" applyFill="1" applyBorder="1" applyAlignment="1">
      <alignment horizontal="center" vertical="center" wrapText="1"/>
    </xf>
    <xf numFmtId="164" fontId="21" fillId="0" borderId="1" xfId="0" applyNumberFormat="1" applyFont="1" applyFill="1" applyBorder="1" applyAlignment="1">
      <alignment horizontal="center" vertical="center" wrapText="1"/>
    </xf>
    <xf numFmtId="164" fontId="21" fillId="0" borderId="8" xfId="0" applyNumberFormat="1" applyFont="1" applyFill="1" applyBorder="1" applyAlignment="1">
      <alignment horizontal="center" vertical="center" wrapText="1"/>
    </xf>
    <xf numFmtId="164" fontId="21" fillId="0" borderId="3" xfId="0" applyNumberFormat="1" applyFont="1" applyBorder="1" applyAlignment="1">
      <alignment horizontal="center" vertical="center" wrapText="1"/>
    </xf>
    <xf numFmtId="3" fontId="0" fillId="0" borderId="3" xfId="0" applyNumberFormat="1" applyFont="1" applyFill="1" applyBorder="1" applyAlignment="1">
      <alignment horizontal="center" vertical="center" wrapText="1"/>
    </xf>
    <xf numFmtId="3" fontId="21" fillId="0" borderId="1" xfId="0" applyNumberFormat="1" applyFont="1" applyFill="1" applyBorder="1" applyAlignment="1">
      <alignment horizontal="center" vertical="center" wrapText="1"/>
    </xf>
    <xf numFmtId="3" fontId="21" fillId="0" borderId="8" xfId="0" applyNumberFormat="1" applyFont="1" applyFill="1" applyBorder="1" applyAlignment="1">
      <alignment horizontal="center" vertical="center" wrapText="1"/>
    </xf>
    <xf numFmtId="0" fontId="21" fillId="0" borderId="17" xfId="0" applyFont="1" applyBorder="1" applyAlignment="1">
      <alignment horizontal="center" vertical="center" wrapText="1"/>
    </xf>
    <xf numFmtId="0" fontId="21" fillId="9" borderId="13" xfId="0" applyFont="1" applyFill="1" applyBorder="1" applyAlignment="1">
      <alignment horizontal="center" vertical="center" wrapText="1"/>
    </xf>
    <xf numFmtId="0" fontId="21" fillId="9" borderId="16" xfId="0" applyFont="1" applyFill="1" applyBorder="1" applyAlignment="1">
      <alignment horizontal="center" vertical="center" wrapText="1"/>
    </xf>
    <xf numFmtId="0" fontId="21" fillId="9" borderId="17" xfId="0" applyFont="1" applyFill="1" applyBorder="1" applyAlignment="1">
      <alignment horizontal="center" vertical="center" wrapText="1"/>
    </xf>
    <xf numFmtId="0" fontId="0" fillId="0" borderId="2" xfId="0" applyFont="1" applyFill="1" applyBorder="1" applyAlignment="1">
      <alignment horizontal="center" vertical="center" wrapText="1"/>
    </xf>
    <xf numFmtId="0" fontId="21" fillId="0" borderId="5" xfId="0" applyFont="1" applyFill="1" applyBorder="1" applyAlignment="1">
      <alignment horizontal="center" vertical="center" wrapText="1"/>
    </xf>
    <xf numFmtId="0" fontId="21" fillId="0" borderId="7" xfId="0" applyFont="1" applyFill="1" applyBorder="1" applyAlignment="1">
      <alignment horizontal="center" vertical="center" wrapText="1"/>
    </xf>
    <xf numFmtId="170" fontId="28" fillId="0" borderId="3" xfId="0" applyNumberFormat="1" applyFont="1" applyFill="1" applyBorder="1" applyAlignment="1">
      <alignment horizontal="center" vertical="center" wrapText="1"/>
    </xf>
    <xf numFmtId="170" fontId="28" fillId="0" borderId="31" xfId="0" applyNumberFormat="1" applyFont="1" applyFill="1" applyBorder="1" applyAlignment="1">
      <alignment horizontal="center" vertical="center" wrapText="1"/>
    </xf>
    <xf numFmtId="170" fontId="28" fillId="0" borderId="45" xfId="0" applyNumberFormat="1" applyFont="1" applyFill="1" applyBorder="1" applyAlignment="1">
      <alignment horizontal="center" vertical="center" wrapText="1"/>
    </xf>
    <xf numFmtId="164" fontId="28" fillId="0" borderId="3" xfId="0" applyNumberFormat="1" applyFont="1" applyFill="1" applyBorder="1" applyAlignment="1">
      <alignment horizontal="center" vertical="center" wrapText="1"/>
    </xf>
    <xf numFmtId="164" fontId="28" fillId="0" borderId="1" xfId="0" applyNumberFormat="1" applyFont="1" applyFill="1" applyBorder="1" applyAlignment="1">
      <alignment horizontal="center" vertical="center" wrapText="1"/>
    </xf>
    <xf numFmtId="164" fontId="28" fillId="0" borderId="8" xfId="0" applyNumberFormat="1" applyFont="1" applyFill="1" applyBorder="1" applyAlignment="1">
      <alignment horizontal="center" vertical="center" wrapText="1"/>
    </xf>
    <xf numFmtId="3" fontId="28" fillId="0" borderId="3" xfId="0" applyNumberFormat="1" applyFont="1" applyFill="1" applyBorder="1" applyAlignment="1">
      <alignment horizontal="center" vertical="center" wrapText="1"/>
    </xf>
    <xf numFmtId="3" fontId="28" fillId="0" borderId="1" xfId="0" applyNumberFormat="1" applyFont="1" applyFill="1" applyBorder="1" applyAlignment="1">
      <alignment horizontal="center" vertical="center" wrapText="1"/>
    </xf>
    <xf numFmtId="3" fontId="28" fillId="0" borderId="8" xfId="0" applyNumberFormat="1" applyFont="1" applyFill="1" applyBorder="1" applyAlignment="1">
      <alignment horizontal="center" vertical="center" wrapText="1"/>
    </xf>
    <xf numFmtId="0" fontId="28" fillId="0" borderId="13" xfId="0" applyFont="1" applyFill="1" applyBorder="1" applyAlignment="1">
      <alignment horizontal="center" vertical="center" wrapText="1"/>
    </xf>
    <xf numFmtId="0" fontId="28" fillId="0" borderId="16" xfId="0" applyFont="1" applyFill="1" applyBorder="1" applyAlignment="1">
      <alignment horizontal="center" vertical="center" wrapText="1"/>
    </xf>
    <xf numFmtId="0" fontId="28" fillId="0" borderId="17" xfId="0" applyFont="1" applyFill="1" applyBorder="1" applyAlignment="1">
      <alignment horizontal="center" vertical="center" wrapText="1"/>
    </xf>
    <xf numFmtId="0" fontId="0" fillId="0" borderId="13" xfId="0" applyFont="1" applyBorder="1" applyAlignment="1">
      <alignment horizontal="center" vertical="center" wrapText="1"/>
    </xf>
    <xf numFmtId="0" fontId="28" fillId="0" borderId="31" xfId="0" applyFont="1" applyFill="1" applyBorder="1" applyAlignment="1">
      <alignment horizontal="center" vertical="center" wrapText="1"/>
    </xf>
    <xf numFmtId="0" fontId="28" fillId="0" borderId="45" xfId="0" applyFont="1" applyFill="1" applyBorder="1" applyAlignment="1">
      <alignment horizontal="center" vertical="center" wrapText="1"/>
    </xf>
    <xf numFmtId="0" fontId="21" fillId="0" borderId="1" xfId="0" applyFont="1" applyFill="1" applyBorder="1" applyAlignment="1">
      <alignment horizontal="center" vertical="center" wrapText="1"/>
    </xf>
    <xf numFmtId="0" fontId="21" fillId="0" borderId="8" xfId="0" applyFont="1" applyFill="1" applyBorder="1" applyAlignment="1">
      <alignment horizontal="center" vertical="center" wrapText="1"/>
    </xf>
    <xf numFmtId="0" fontId="28" fillId="0" borderId="13" xfId="0" applyFont="1" applyBorder="1" applyAlignment="1">
      <alignment horizontal="center" vertical="center" wrapText="1"/>
    </xf>
    <xf numFmtId="0" fontId="28" fillId="0" borderId="16" xfId="0" applyFont="1" applyBorder="1" applyAlignment="1">
      <alignment horizontal="center" vertical="center" wrapText="1"/>
    </xf>
    <xf numFmtId="0" fontId="28" fillId="0" borderId="17" xfId="0" applyFont="1" applyBorder="1" applyAlignment="1">
      <alignment horizontal="center" vertical="center" wrapText="1"/>
    </xf>
    <xf numFmtId="0" fontId="21" fillId="0" borderId="2" xfId="0" applyFont="1" applyFill="1" applyBorder="1" applyAlignment="1">
      <alignment horizontal="center" vertical="center" wrapText="1"/>
    </xf>
    <xf numFmtId="0" fontId="21" fillId="0" borderId="3" xfId="0" applyFont="1" applyBorder="1" applyAlignment="1">
      <alignment horizontal="center" vertical="center" wrapText="1"/>
    </xf>
    <xf numFmtId="0" fontId="21" fillId="0" borderId="3" xfId="0" applyFont="1" applyFill="1" applyBorder="1" applyAlignment="1">
      <alignment horizontal="center" vertical="center" wrapText="1"/>
    </xf>
    <xf numFmtId="3" fontId="21" fillId="0" borderId="3" xfId="0" applyNumberFormat="1" applyFont="1" applyFill="1" applyBorder="1" applyAlignment="1">
      <alignment horizontal="center" vertical="center" wrapText="1"/>
    </xf>
    <xf numFmtId="165" fontId="28" fillId="9" borderId="13" xfId="0" applyNumberFormat="1" applyFont="1" applyFill="1" applyBorder="1" applyAlignment="1">
      <alignment horizontal="center" vertical="center" wrapText="1"/>
    </xf>
    <xf numFmtId="165" fontId="28" fillId="9" borderId="16" xfId="0" applyNumberFormat="1" applyFont="1" applyFill="1" applyBorder="1" applyAlignment="1">
      <alignment horizontal="center" vertical="center" wrapText="1"/>
    </xf>
    <xf numFmtId="165" fontId="28" fillId="9" borderId="17" xfId="0" applyNumberFormat="1" applyFont="1" applyFill="1" applyBorder="1" applyAlignment="1">
      <alignment horizontal="center" vertical="center" wrapText="1"/>
    </xf>
    <xf numFmtId="0" fontId="28" fillId="9" borderId="13" xfId="0" applyFont="1" applyFill="1" applyBorder="1" applyAlignment="1">
      <alignment horizontal="center" vertical="center" wrapText="1"/>
    </xf>
    <xf numFmtId="0" fontId="28" fillId="9" borderId="16" xfId="0" applyFont="1" applyFill="1" applyBorder="1" applyAlignment="1">
      <alignment horizontal="center" vertical="center" wrapText="1"/>
    </xf>
    <xf numFmtId="0" fontId="28" fillId="9" borderId="17" xfId="0" applyFont="1" applyFill="1" applyBorder="1" applyAlignment="1">
      <alignment horizontal="center" vertical="center" wrapText="1"/>
    </xf>
    <xf numFmtId="0" fontId="0" fillId="0" borderId="16" xfId="0" applyFont="1" applyBorder="1" applyAlignment="1">
      <alignment horizontal="center" vertical="center" wrapText="1"/>
    </xf>
    <xf numFmtId="0" fontId="0" fillId="0" borderId="17" xfId="0" applyFont="1" applyBorder="1" applyAlignment="1">
      <alignment horizontal="center" vertical="center" wrapText="1"/>
    </xf>
    <xf numFmtId="170" fontId="21" fillId="0" borderId="3" xfId="0" applyNumberFormat="1" applyFont="1" applyBorder="1" applyAlignment="1">
      <alignment horizontal="center" vertical="center" wrapText="1"/>
    </xf>
    <xf numFmtId="170" fontId="21" fillId="0" borderId="1" xfId="0" applyNumberFormat="1" applyFont="1" applyBorder="1" applyAlignment="1">
      <alignment horizontal="center" vertical="center" wrapText="1"/>
    </xf>
    <xf numFmtId="170" fontId="21" fillId="0" borderId="8" xfId="0" applyNumberFormat="1" applyFont="1" applyBorder="1" applyAlignment="1">
      <alignment horizontal="center" vertical="center" wrapText="1"/>
    </xf>
    <xf numFmtId="170" fontId="21" fillId="0" borderId="3" xfId="0" applyNumberFormat="1" applyFont="1" applyFill="1" applyBorder="1" applyAlignment="1">
      <alignment horizontal="center" vertical="center" wrapText="1"/>
    </xf>
    <xf numFmtId="0" fontId="27" fillId="9" borderId="3" xfId="0" applyFont="1" applyFill="1" applyBorder="1" applyAlignment="1">
      <alignment horizontal="center" vertical="center" wrapText="1"/>
    </xf>
    <xf numFmtId="0" fontId="27" fillId="9" borderId="1" xfId="0" applyFont="1" applyFill="1" applyBorder="1" applyAlignment="1">
      <alignment horizontal="center" vertical="center" wrapText="1"/>
    </xf>
    <xf numFmtId="0" fontId="27" fillId="9" borderId="8" xfId="0" applyFont="1" applyFill="1" applyBorder="1" applyAlignment="1">
      <alignment horizontal="center" vertical="center" wrapText="1"/>
    </xf>
    <xf numFmtId="0" fontId="28" fillId="9" borderId="31" xfId="0" applyFont="1" applyFill="1" applyBorder="1" applyAlignment="1">
      <alignment horizontal="center" vertical="center" wrapText="1"/>
    </xf>
    <xf numFmtId="0" fontId="28" fillId="9" borderId="49" xfId="0" applyFont="1" applyFill="1" applyBorder="1" applyAlignment="1">
      <alignment horizontal="center" vertical="center" wrapText="1"/>
    </xf>
    <xf numFmtId="0" fontId="28" fillId="0" borderId="2" xfId="0" applyFont="1" applyFill="1" applyBorder="1" applyAlignment="1">
      <alignment horizontal="center" vertical="center" wrapText="1"/>
    </xf>
    <xf numFmtId="0" fontId="28" fillId="0" borderId="5" xfId="0" applyFont="1" applyFill="1" applyBorder="1" applyAlignment="1">
      <alignment horizontal="center" vertical="center" wrapText="1"/>
    </xf>
    <xf numFmtId="0" fontId="28" fillId="0" borderId="7" xfId="0" applyFont="1" applyFill="1" applyBorder="1" applyAlignment="1">
      <alignment horizontal="center" vertical="center" wrapText="1"/>
    </xf>
    <xf numFmtId="170" fontId="21" fillId="0" borderId="1" xfId="0" applyNumberFormat="1" applyFont="1" applyFill="1" applyBorder="1" applyAlignment="1">
      <alignment horizontal="center" vertical="center" wrapText="1"/>
    </xf>
    <xf numFmtId="170" fontId="21" fillId="0" borderId="8" xfId="0" applyNumberFormat="1" applyFont="1" applyFill="1" applyBorder="1" applyAlignment="1">
      <alignment horizontal="center" vertical="center" wrapText="1"/>
    </xf>
    <xf numFmtId="0" fontId="27" fillId="10" borderId="31" xfId="0" applyFont="1" applyFill="1" applyBorder="1" applyAlignment="1">
      <alignment horizontal="center" vertical="center" wrapText="1"/>
    </xf>
    <xf numFmtId="0" fontId="27" fillId="10" borderId="45" xfId="0" applyFont="1" applyFill="1" applyBorder="1" applyAlignment="1">
      <alignment horizontal="center" vertical="center" wrapText="1"/>
    </xf>
    <xf numFmtId="0" fontId="0" fillId="0" borderId="2" xfId="0" applyFont="1" applyBorder="1" applyAlignment="1">
      <alignment horizontal="center" vertical="center" wrapText="1"/>
    </xf>
    <xf numFmtId="0" fontId="21" fillId="0" borderId="5" xfId="0" applyFont="1" applyBorder="1" applyAlignment="1">
      <alignment horizontal="center" vertical="center" wrapText="1"/>
    </xf>
    <xf numFmtId="0" fontId="21" fillId="0" borderId="7" xfId="0" applyFont="1" applyBorder="1" applyAlignment="1">
      <alignment horizontal="center" vertical="center" wrapText="1"/>
    </xf>
    <xf numFmtId="164" fontId="0" fillId="0" borderId="3" xfId="0" applyNumberFormat="1" applyFont="1" applyFill="1" applyBorder="1" applyAlignment="1">
      <alignment horizontal="center" vertical="center" wrapText="1"/>
    </xf>
    <xf numFmtId="0" fontId="0" fillId="0" borderId="13" xfId="0" applyFont="1" applyFill="1" applyBorder="1" applyAlignment="1">
      <alignment horizontal="center" vertical="center" wrapText="1"/>
    </xf>
    <xf numFmtId="0" fontId="0" fillId="0" borderId="16" xfId="0" applyFont="1" applyFill="1" applyBorder="1" applyAlignment="1">
      <alignment horizontal="center" vertical="center" wrapText="1"/>
    </xf>
    <xf numFmtId="0" fontId="0" fillId="0" borderId="17" xfId="0" applyFont="1" applyFill="1" applyBorder="1" applyAlignment="1">
      <alignment horizontal="center" vertical="center" wrapText="1"/>
    </xf>
    <xf numFmtId="0" fontId="28" fillId="9" borderId="44" xfId="0" applyFont="1" applyFill="1" applyBorder="1" applyAlignment="1">
      <alignment horizontal="center" vertical="center" wrapText="1"/>
    </xf>
    <xf numFmtId="0" fontId="27" fillId="10" borderId="3" xfId="0" applyFont="1" applyFill="1" applyBorder="1" applyAlignment="1">
      <alignment horizontal="center" vertical="center" wrapText="1"/>
    </xf>
    <xf numFmtId="0" fontId="27" fillId="10" borderId="1" xfId="0" applyFont="1" applyFill="1" applyBorder="1" applyAlignment="1">
      <alignment horizontal="center" vertical="center" wrapText="1"/>
    </xf>
    <xf numFmtId="0" fontId="27" fillId="10" borderId="8" xfId="0" applyFont="1" applyFill="1" applyBorder="1" applyAlignment="1">
      <alignment horizontal="center" vertical="center" wrapText="1"/>
    </xf>
    <xf numFmtId="0" fontId="27" fillId="0" borderId="3" xfId="0" applyFont="1" applyBorder="1" applyAlignment="1">
      <alignment horizontal="center" vertical="center" wrapText="1"/>
    </xf>
    <xf numFmtId="0" fontId="27" fillId="0" borderId="1" xfId="0" applyFont="1" applyBorder="1" applyAlignment="1">
      <alignment horizontal="center" vertical="center" wrapText="1"/>
    </xf>
    <xf numFmtId="0" fontId="27" fillId="0" borderId="8" xfId="0" applyFont="1" applyBorder="1" applyAlignment="1">
      <alignment horizontal="center" vertical="center" wrapText="1"/>
    </xf>
    <xf numFmtId="0" fontId="0" fillId="9" borderId="3" xfId="0" applyFont="1" applyFill="1" applyBorder="1" applyAlignment="1">
      <alignment horizontal="center" vertical="center" wrapText="1"/>
    </xf>
    <xf numFmtId="0" fontId="21" fillId="10" borderId="3" xfId="0" applyFont="1" applyFill="1" applyBorder="1" applyAlignment="1">
      <alignment horizontal="center" vertical="center" wrapText="1"/>
    </xf>
    <xf numFmtId="0" fontId="21" fillId="10" borderId="31" xfId="0" applyFont="1" applyFill="1" applyBorder="1" applyAlignment="1">
      <alignment horizontal="center" vertical="center" wrapText="1"/>
    </xf>
    <xf numFmtId="0" fontId="21" fillId="10" borderId="45" xfId="0" applyFont="1" applyFill="1" applyBorder="1" applyAlignment="1">
      <alignment horizontal="center" vertical="center" wrapText="1"/>
    </xf>
    <xf numFmtId="170" fontId="21" fillId="10" borderId="31" xfId="0" applyNumberFormat="1" applyFont="1" applyFill="1" applyBorder="1" applyAlignment="1">
      <alignment horizontal="center" vertical="center" wrapText="1"/>
    </xf>
    <xf numFmtId="170" fontId="21" fillId="10" borderId="45" xfId="0" applyNumberFormat="1" applyFont="1" applyFill="1" applyBorder="1" applyAlignment="1">
      <alignment horizontal="center" vertical="center" wrapText="1"/>
    </xf>
    <xf numFmtId="164" fontId="21" fillId="10" borderId="3" xfId="0" applyNumberFormat="1" applyFont="1" applyFill="1" applyBorder="1" applyAlignment="1">
      <alignment horizontal="center" vertical="center" wrapText="1"/>
    </xf>
    <xf numFmtId="164" fontId="21" fillId="10" borderId="1" xfId="0" applyNumberFormat="1" applyFont="1" applyFill="1" applyBorder="1" applyAlignment="1">
      <alignment horizontal="center" vertical="center" wrapText="1"/>
    </xf>
    <xf numFmtId="164" fontId="21" fillId="10" borderId="8" xfId="0" applyNumberFormat="1" applyFont="1" applyFill="1" applyBorder="1" applyAlignment="1">
      <alignment horizontal="center" vertical="center" wrapText="1"/>
    </xf>
    <xf numFmtId="3" fontId="0" fillId="10" borderId="3" xfId="0" applyNumberFormat="1" applyFont="1" applyFill="1" applyBorder="1" applyAlignment="1">
      <alignment horizontal="center" vertical="center" wrapText="1"/>
    </xf>
    <xf numFmtId="3" fontId="21" fillId="10" borderId="1" xfId="0" applyNumberFormat="1" applyFont="1" applyFill="1" applyBorder="1" applyAlignment="1">
      <alignment horizontal="center" vertical="center" wrapText="1"/>
    </xf>
    <xf numFmtId="3" fontId="21" fillId="10" borderId="8" xfId="0" applyNumberFormat="1" applyFont="1" applyFill="1" applyBorder="1" applyAlignment="1">
      <alignment horizontal="center" vertical="center" wrapText="1"/>
    </xf>
    <xf numFmtId="0" fontId="0" fillId="9" borderId="13" xfId="0" applyFont="1" applyFill="1" applyBorder="1" applyAlignment="1">
      <alignment horizontal="center" vertical="center" wrapText="1"/>
    </xf>
    <xf numFmtId="0" fontId="21" fillId="9" borderId="44" xfId="0" applyFont="1" applyFill="1" applyBorder="1" applyAlignment="1">
      <alignment horizontal="center" vertical="center" wrapText="1"/>
    </xf>
    <xf numFmtId="170" fontId="21" fillId="10" borderId="3" xfId="0" applyNumberFormat="1" applyFont="1" applyFill="1" applyBorder="1" applyAlignment="1">
      <alignment horizontal="center" vertical="center" wrapText="1"/>
    </xf>
    <xf numFmtId="164" fontId="27" fillId="0" borderId="3" xfId="0" applyNumberFormat="1" applyFont="1" applyBorder="1" applyAlignment="1">
      <alignment horizontal="center" vertical="center" wrapText="1"/>
    </xf>
    <xf numFmtId="164" fontId="27" fillId="0" borderId="1" xfId="0" applyNumberFormat="1" applyFont="1" applyBorder="1" applyAlignment="1">
      <alignment horizontal="center" vertical="center" wrapText="1"/>
    </xf>
    <xf numFmtId="164" fontId="27" fillId="0" borderId="8" xfId="0" applyNumberFormat="1" applyFont="1" applyBorder="1" applyAlignment="1">
      <alignment horizontal="center" vertical="center" wrapText="1"/>
    </xf>
    <xf numFmtId="0" fontId="27" fillId="0" borderId="13" xfId="0" applyFont="1" applyBorder="1" applyAlignment="1">
      <alignment horizontal="center" vertical="center" wrapText="1"/>
    </xf>
    <xf numFmtId="0" fontId="27" fillId="0" borderId="16" xfId="0" applyFont="1" applyBorder="1" applyAlignment="1">
      <alignment horizontal="center" vertical="center" wrapText="1"/>
    </xf>
    <xf numFmtId="0" fontId="27" fillId="0" borderId="17" xfId="0" applyFont="1" applyBorder="1" applyAlignment="1">
      <alignment horizontal="center" vertical="center" wrapText="1"/>
    </xf>
    <xf numFmtId="0" fontId="27" fillId="0" borderId="44" xfId="0" applyFont="1" applyBorder="1" applyAlignment="1">
      <alignment horizontal="center" vertical="center" wrapText="1"/>
    </xf>
    <xf numFmtId="0" fontId="21" fillId="0" borderId="16" xfId="0" applyFont="1" applyFill="1" applyBorder="1" applyAlignment="1">
      <alignment horizontal="center" vertical="center" wrapText="1"/>
    </xf>
    <xf numFmtId="0" fontId="21" fillId="0" borderId="17" xfId="0" applyFont="1" applyFill="1" applyBorder="1" applyAlignment="1">
      <alignment horizontal="center" vertical="center" wrapText="1"/>
    </xf>
    <xf numFmtId="3" fontId="27" fillId="0" borderId="3" xfId="0" applyNumberFormat="1" applyFont="1" applyFill="1" applyBorder="1" applyAlignment="1">
      <alignment horizontal="center" vertical="center" wrapText="1"/>
    </xf>
    <xf numFmtId="3" fontId="27" fillId="0" borderId="1" xfId="0" applyNumberFormat="1" applyFont="1" applyFill="1" applyBorder="1" applyAlignment="1">
      <alignment horizontal="center" vertical="center" wrapText="1"/>
    </xf>
    <xf numFmtId="3" fontId="27" fillId="0" borderId="8" xfId="0" applyNumberFormat="1" applyFont="1" applyFill="1" applyBorder="1" applyAlignment="1">
      <alignment horizontal="center" vertical="center" wrapText="1"/>
    </xf>
    <xf numFmtId="0" fontId="27" fillId="0" borderId="3" xfId="0" applyFont="1" applyFill="1" applyBorder="1" applyAlignment="1">
      <alignment horizontal="center" vertical="center" wrapText="1"/>
    </xf>
    <xf numFmtId="0" fontId="27" fillId="0" borderId="1" xfId="0" applyFont="1" applyFill="1" applyBorder="1" applyAlignment="1">
      <alignment horizontal="center" vertical="center" wrapText="1"/>
    </xf>
    <xf numFmtId="0" fontId="27" fillId="0" borderId="8" xfId="0" applyFont="1" applyFill="1" applyBorder="1" applyAlignment="1">
      <alignment horizontal="center" vertical="center" wrapText="1"/>
    </xf>
    <xf numFmtId="0" fontId="53" fillId="33" borderId="2" xfId="0" applyFont="1" applyFill="1" applyBorder="1" applyAlignment="1">
      <alignment horizontal="center" vertical="center" wrapText="1"/>
    </xf>
    <xf numFmtId="0" fontId="53" fillId="33" borderId="5" xfId="0" applyFont="1" applyFill="1" applyBorder="1" applyAlignment="1">
      <alignment horizontal="center" vertical="center" wrapText="1"/>
    </xf>
    <xf numFmtId="0" fontId="53" fillId="33" borderId="7" xfId="0" applyFont="1" applyFill="1" applyBorder="1" applyAlignment="1">
      <alignment horizontal="center" vertical="center" wrapText="1"/>
    </xf>
    <xf numFmtId="170" fontId="27" fillId="0" borderId="3" xfId="0" applyNumberFormat="1" applyFont="1" applyBorder="1" applyAlignment="1">
      <alignment horizontal="center" vertical="center" wrapText="1"/>
    </xf>
    <xf numFmtId="170" fontId="27" fillId="0" borderId="1" xfId="0" applyNumberFormat="1" applyFont="1" applyBorder="1" applyAlignment="1">
      <alignment horizontal="center" vertical="center" wrapText="1"/>
    </xf>
    <xf numFmtId="170" fontId="27" fillId="0" borderId="8" xfId="0" applyNumberFormat="1" applyFont="1" applyBorder="1" applyAlignment="1">
      <alignment horizontal="center" vertical="center" wrapText="1"/>
    </xf>
    <xf numFmtId="164" fontId="28" fillId="0" borderId="3" xfId="0" applyNumberFormat="1" applyFont="1" applyBorder="1" applyAlignment="1">
      <alignment horizontal="center" vertical="center" wrapText="1"/>
    </xf>
    <xf numFmtId="164" fontId="28" fillId="0" borderId="1" xfId="0" applyNumberFormat="1" applyFont="1" applyBorder="1" applyAlignment="1">
      <alignment horizontal="center" vertical="center" wrapText="1"/>
    </xf>
    <xf numFmtId="164" fontId="28" fillId="0" borderId="8" xfId="0" applyNumberFormat="1" applyFont="1" applyBorder="1" applyAlignment="1">
      <alignment horizontal="center" vertical="center" wrapText="1"/>
    </xf>
    <xf numFmtId="170" fontId="28" fillId="0" borderId="1" xfId="0" applyNumberFormat="1" applyFont="1" applyFill="1" applyBorder="1" applyAlignment="1">
      <alignment horizontal="center" vertical="center" wrapText="1"/>
    </xf>
    <xf numFmtId="170" fontId="28" fillId="0" borderId="8" xfId="0" applyNumberFormat="1" applyFont="1" applyFill="1" applyBorder="1" applyAlignment="1">
      <alignment horizontal="center" vertical="center" wrapText="1"/>
    </xf>
    <xf numFmtId="170" fontId="28" fillId="0" borderId="3" xfId="0" applyNumberFormat="1" applyFont="1" applyBorder="1" applyAlignment="1">
      <alignment horizontal="center" vertical="center" wrapText="1"/>
    </xf>
    <xf numFmtId="170" fontId="28" fillId="0" borderId="1" xfId="0" applyNumberFormat="1" applyFont="1" applyBorder="1" applyAlignment="1">
      <alignment horizontal="center" vertical="center" wrapText="1"/>
    </xf>
    <xf numFmtId="170" fontId="28" fillId="0" borderId="8" xfId="0" applyNumberFormat="1" applyFont="1" applyBorder="1" applyAlignment="1">
      <alignment horizontal="center" vertical="center" wrapText="1"/>
    </xf>
    <xf numFmtId="0" fontId="21" fillId="0" borderId="2" xfId="0" applyFont="1" applyBorder="1" applyAlignment="1">
      <alignment horizontal="center" vertical="center" wrapText="1"/>
    </xf>
    <xf numFmtId="0" fontId="21" fillId="0" borderId="13" xfId="0" applyFont="1" applyFill="1" applyBorder="1" applyAlignment="1">
      <alignment horizontal="center" vertical="center" wrapText="1"/>
    </xf>
    <xf numFmtId="0" fontId="28" fillId="0" borderId="44" xfId="0" applyFont="1" applyFill="1" applyBorder="1" applyAlignment="1">
      <alignment horizontal="center" vertical="center" wrapText="1"/>
    </xf>
    <xf numFmtId="0" fontId="27" fillId="9" borderId="44" xfId="0" applyFont="1" applyFill="1" applyBorder="1" applyAlignment="1">
      <alignment horizontal="center" vertical="center" wrapText="1"/>
    </xf>
    <xf numFmtId="164" fontId="27" fillId="10" borderId="3" xfId="0" applyNumberFormat="1" applyFont="1" applyFill="1" applyBorder="1" applyAlignment="1">
      <alignment horizontal="center" vertical="center" wrapText="1"/>
    </xf>
    <xf numFmtId="164" fontId="27" fillId="10" borderId="1" xfId="0" applyNumberFormat="1" applyFont="1" applyFill="1" applyBorder="1" applyAlignment="1">
      <alignment horizontal="center" vertical="center" wrapText="1"/>
    </xf>
    <xf numFmtId="164" fontId="27" fillId="10" borderId="8" xfId="0" applyNumberFormat="1" applyFont="1" applyFill="1" applyBorder="1" applyAlignment="1">
      <alignment horizontal="center" vertical="center" wrapText="1"/>
    </xf>
    <xf numFmtId="0" fontId="0" fillId="22" borderId="13" xfId="0" applyFont="1" applyFill="1" applyBorder="1" applyAlignment="1">
      <alignment horizontal="center" vertical="center" wrapText="1"/>
    </xf>
    <xf numFmtId="0" fontId="21" fillId="22" borderId="16" xfId="0" applyFont="1" applyFill="1" applyBorder="1" applyAlignment="1">
      <alignment horizontal="center" vertical="center" wrapText="1"/>
    </xf>
    <xf numFmtId="0" fontId="21" fillId="22" borderId="17" xfId="0" applyFont="1" applyFill="1" applyBorder="1" applyAlignment="1">
      <alignment horizontal="center" vertical="center" wrapText="1"/>
    </xf>
    <xf numFmtId="0" fontId="28" fillId="0" borderId="2" xfId="0" applyFont="1" applyBorder="1" applyAlignment="1">
      <alignment horizontal="center" vertical="center" wrapText="1"/>
    </xf>
    <xf numFmtId="0" fontId="28" fillId="0" borderId="5" xfId="0" applyFont="1" applyBorder="1" applyAlignment="1">
      <alignment horizontal="center" vertical="center" wrapText="1"/>
    </xf>
    <xf numFmtId="0" fontId="28" fillId="0" borderId="7" xfId="0" applyFont="1" applyBorder="1" applyAlignment="1">
      <alignment horizontal="center" vertical="center" wrapText="1"/>
    </xf>
    <xf numFmtId="0" fontId="28" fillId="0" borderId="46" xfId="0" applyFont="1" applyBorder="1" applyAlignment="1">
      <alignment horizontal="center" vertical="center" wrapText="1"/>
    </xf>
    <xf numFmtId="0" fontId="28" fillId="0" borderId="50" xfId="0" applyFont="1" applyBorder="1" applyAlignment="1">
      <alignment horizontal="center" vertical="center" wrapText="1"/>
    </xf>
    <xf numFmtId="0" fontId="21" fillId="0" borderId="31" xfId="0" applyFont="1" applyBorder="1" applyAlignment="1">
      <alignment horizontal="center" vertical="center" wrapText="1"/>
    </xf>
    <xf numFmtId="0" fontId="21" fillId="0" borderId="49" xfId="0" applyFont="1" applyBorder="1" applyAlignment="1">
      <alignment horizontal="center" vertical="center" wrapText="1"/>
    </xf>
    <xf numFmtId="164" fontId="21" fillId="0" borderId="31" xfId="0" applyNumberFormat="1" applyFont="1" applyBorder="1" applyAlignment="1">
      <alignment horizontal="center" vertical="center" wrapText="1"/>
    </xf>
    <xf numFmtId="164" fontId="21" fillId="0" borderId="49" xfId="0" applyNumberFormat="1" applyFont="1" applyBorder="1" applyAlignment="1">
      <alignment horizontal="center" vertical="center" wrapText="1"/>
    </xf>
    <xf numFmtId="0" fontId="28" fillId="0" borderId="44" xfId="0" applyFont="1" applyBorder="1" applyAlignment="1">
      <alignment horizontal="center" vertical="center" wrapText="1"/>
    </xf>
    <xf numFmtId="3" fontId="21" fillId="0" borderId="31" xfId="0" applyNumberFormat="1" applyFont="1" applyFill="1" applyBorder="1" applyAlignment="1">
      <alignment horizontal="center" vertical="center" wrapText="1"/>
    </xf>
    <xf numFmtId="3" fontId="21" fillId="0" borderId="49" xfId="0" applyNumberFormat="1" applyFont="1" applyFill="1" applyBorder="1" applyAlignment="1">
      <alignment horizontal="center" vertical="center" wrapText="1"/>
    </xf>
    <xf numFmtId="170" fontId="21" fillId="0" borderId="31" xfId="0" applyNumberFormat="1" applyFont="1" applyBorder="1" applyAlignment="1">
      <alignment horizontal="center" vertical="center" wrapText="1"/>
    </xf>
    <xf numFmtId="170" fontId="21" fillId="0" borderId="49" xfId="0" applyNumberFormat="1" applyFont="1" applyBorder="1" applyAlignment="1">
      <alignment horizontal="center" vertical="center" wrapText="1"/>
    </xf>
    <xf numFmtId="0" fontId="21" fillId="9" borderId="31" xfId="0" applyFont="1" applyFill="1" applyBorder="1" applyAlignment="1">
      <alignment horizontal="center" vertical="center" wrapText="1"/>
    </xf>
    <xf numFmtId="0" fontId="21" fillId="9" borderId="49" xfId="0" applyFont="1" applyFill="1" applyBorder="1" applyAlignment="1">
      <alignment horizontal="center" vertical="center" wrapText="1"/>
    </xf>
    <xf numFmtId="0" fontId="0" fillId="0" borderId="44" xfId="0" applyFont="1" applyBorder="1" applyAlignment="1">
      <alignment horizontal="center" vertical="center" wrapText="1"/>
    </xf>
    <xf numFmtId="165" fontId="28" fillId="9" borderId="44" xfId="0" applyNumberFormat="1" applyFont="1" applyFill="1" applyBorder="1" applyAlignment="1">
      <alignment horizontal="center" vertical="center" wrapText="1"/>
    </xf>
    <xf numFmtId="3" fontId="35" fillId="9" borderId="38" xfId="11" applyNumberFormat="1" applyFont="1" applyFill="1" applyBorder="1" applyAlignment="1">
      <alignment horizontal="center" vertical="center" wrapText="1"/>
    </xf>
    <xf numFmtId="3" fontId="35" fillId="9" borderId="68" xfId="11" applyNumberFormat="1" applyFont="1" applyFill="1" applyBorder="1" applyAlignment="1">
      <alignment horizontal="center" vertical="center" wrapText="1"/>
    </xf>
    <xf numFmtId="3" fontId="35" fillId="9" borderId="29" xfId="11" applyNumberFormat="1" applyFont="1" applyFill="1" applyBorder="1" applyAlignment="1">
      <alignment horizontal="center" vertical="center" wrapText="1"/>
    </xf>
    <xf numFmtId="3" fontId="35" fillId="9" borderId="20" xfId="11" applyNumberFormat="1" applyFont="1" applyFill="1" applyBorder="1" applyAlignment="1">
      <alignment horizontal="center" vertical="center" wrapText="1"/>
    </xf>
    <xf numFmtId="3" fontId="35" fillId="9" borderId="21" xfId="11" applyNumberFormat="1" applyFont="1" applyFill="1" applyBorder="1" applyAlignment="1">
      <alignment horizontal="center" vertical="center" wrapText="1"/>
    </xf>
    <xf numFmtId="3" fontId="35" fillId="9" borderId="27" xfId="11" applyNumberFormat="1" applyFont="1" applyFill="1" applyBorder="1" applyAlignment="1">
      <alignment horizontal="center" vertical="center" wrapText="1"/>
    </xf>
    <xf numFmtId="3" fontId="35" fillId="9" borderId="94" xfId="11" applyNumberFormat="1" applyFont="1" applyFill="1" applyBorder="1" applyAlignment="1">
      <alignment horizontal="center" vertical="center" wrapText="1"/>
    </xf>
    <xf numFmtId="3" fontId="35" fillId="9" borderId="75" xfId="11" applyNumberFormat="1" applyFont="1" applyFill="1" applyBorder="1" applyAlignment="1">
      <alignment horizontal="center" vertical="center" wrapText="1"/>
    </xf>
    <xf numFmtId="3" fontId="35" fillId="9" borderId="30" xfId="11" applyNumberFormat="1" applyFont="1" applyFill="1" applyBorder="1" applyAlignment="1">
      <alignment horizontal="center" vertical="center" wrapText="1"/>
    </xf>
    <xf numFmtId="170" fontId="35" fillId="9" borderId="94" xfId="11" applyNumberFormat="1" applyFont="1" applyFill="1" applyBorder="1" applyAlignment="1">
      <alignment horizontal="center" vertical="center" wrapText="1"/>
    </xf>
    <xf numFmtId="170" fontId="35" fillId="9" borderId="75" xfId="11" applyNumberFormat="1" applyFont="1" applyFill="1" applyBorder="1" applyAlignment="1">
      <alignment horizontal="center" vertical="center" wrapText="1"/>
    </xf>
    <xf numFmtId="170" fontId="35" fillId="9" borderId="30" xfId="11" applyNumberFormat="1" applyFont="1" applyFill="1" applyBorder="1" applyAlignment="1">
      <alignment horizontal="center" vertical="center" wrapText="1"/>
    </xf>
    <xf numFmtId="3" fontId="35" fillId="9" borderId="93" xfId="11" applyNumberFormat="1" applyFont="1" applyFill="1" applyBorder="1" applyAlignment="1">
      <alignment horizontal="center" vertical="center" wrapText="1"/>
    </xf>
    <xf numFmtId="3" fontId="35" fillId="9" borderId="16" xfId="11" applyNumberFormat="1" applyFont="1" applyFill="1" applyBorder="1" applyAlignment="1">
      <alignment horizontal="center" vertical="center" wrapText="1"/>
    </xf>
    <xf numFmtId="3" fontId="35" fillId="9" borderId="26" xfId="11" applyNumberFormat="1" applyFont="1" applyFill="1" applyBorder="1" applyAlignment="1">
      <alignment horizontal="center" vertical="center" wrapText="1"/>
    </xf>
    <xf numFmtId="3" fontId="35" fillId="9" borderId="101" xfId="11" applyNumberFormat="1" applyFont="1" applyFill="1" applyBorder="1" applyAlignment="1">
      <alignment horizontal="center" vertical="center" wrapText="1"/>
    </xf>
    <xf numFmtId="3" fontId="68" fillId="9" borderId="38" xfId="11" applyNumberFormat="1" applyFont="1" applyFill="1" applyBorder="1" applyAlignment="1">
      <alignment horizontal="center" vertical="center" wrapText="1"/>
    </xf>
    <xf numFmtId="3" fontId="68" fillId="9" borderId="68" xfId="11" applyNumberFormat="1" applyFont="1" applyFill="1" applyBorder="1" applyAlignment="1">
      <alignment horizontal="center" vertical="center" wrapText="1"/>
    </xf>
    <xf numFmtId="3" fontId="68" fillId="9" borderId="29" xfId="11" applyNumberFormat="1" applyFont="1" applyFill="1" applyBorder="1" applyAlignment="1">
      <alignment horizontal="center" vertical="center" wrapText="1"/>
    </xf>
    <xf numFmtId="3" fontId="68" fillId="9" borderId="20" xfId="11" applyNumberFormat="1" applyFont="1" applyFill="1" applyBorder="1" applyAlignment="1">
      <alignment horizontal="center" vertical="center" wrapText="1"/>
    </xf>
    <xf numFmtId="3" fontId="68" fillId="9" borderId="21" xfId="11" applyNumberFormat="1" applyFont="1" applyFill="1" applyBorder="1" applyAlignment="1">
      <alignment horizontal="center" vertical="center" wrapText="1"/>
    </xf>
    <xf numFmtId="3" fontId="68" fillId="9" borderId="27" xfId="11" applyNumberFormat="1" applyFont="1" applyFill="1" applyBorder="1" applyAlignment="1">
      <alignment horizontal="center" vertical="center" wrapText="1"/>
    </xf>
    <xf numFmtId="170" fontId="68" fillId="9" borderId="94" xfId="11" applyNumberFormat="1" applyFont="1" applyFill="1" applyBorder="1" applyAlignment="1">
      <alignment horizontal="center" vertical="center" wrapText="1"/>
    </xf>
    <xf numFmtId="170" fontId="68" fillId="9" borderId="75" xfId="11" applyNumberFormat="1" applyFont="1" applyFill="1" applyBorder="1" applyAlignment="1">
      <alignment horizontal="center" vertical="center" wrapText="1"/>
    </xf>
    <xf numFmtId="170" fontId="68" fillId="9" borderId="30" xfId="11" applyNumberFormat="1" applyFont="1" applyFill="1" applyBorder="1" applyAlignment="1">
      <alignment horizontal="center" vertical="center" wrapText="1"/>
    </xf>
    <xf numFmtId="3" fontId="68" fillId="9" borderId="94" xfId="11" applyNumberFormat="1" applyFont="1" applyFill="1" applyBorder="1" applyAlignment="1">
      <alignment horizontal="center" vertical="center" wrapText="1"/>
    </xf>
    <xf numFmtId="3" fontId="68" fillId="9" borderId="75" xfId="11" applyNumberFormat="1" applyFont="1" applyFill="1" applyBorder="1" applyAlignment="1">
      <alignment horizontal="center" vertical="center" wrapText="1"/>
    </xf>
    <xf numFmtId="3" fontId="68" fillId="9" borderId="30" xfId="11" applyNumberFormat="1" applyFont="1" applyFill="1" applyBorder="1" applyAlignment="1">
      <alignment horizontal="center" vertical="center" wrapText="1"/>
    </xf>
    <xf numFmtId="3" fontId="35" fillId="9" borderId="104" xfId="11" applyNumberFormat="1" applyFont="1" applyFill="1" applyBorder="1" applyAlignment="1">
      <alignment horizontal="center" vertical="center" wrapText="1"/>
    </xf>
    <xf numFmtId="3" fontId="35" fillId="9" borderId="106" xfId="11" applyNumberFormat="1" applyFont="1" applyFill="1" applyBorder="1" applyAlignment="1">
      <alignment horizontal="center" vertical="center" wrapText="1"/>
    </xf>
    <xf numFmtId="3" fontId="35" fillId="9" borderId="58" xfId="11" applyNumberFormat="1" applyFont="1" applyFill="1" applyBorder="1" applyAlignment="1">
      <alignment horizontal="center" vertical="center" wrapText="1"/>
    </xf>
    <xf numFmtId="170" fontId="35" fillId="9" borderId="104" xfId="11" applyNumberFormat="1" applyFont="1" applyFill="1" applyBorder="1" applyAlignment="1">
      <alignment horizontal="center" vertical="center" wrapText="1"/>
    </xf>
    <xf numFmtId="170" fontId="35" fillId="9" borderId="106" xfId="11" applyNumberFormat="1" applyFont="1" applyFill="1" applyBorder="1" applyAlignment="1">
      <alignment horizontal="center" vertical="center" wrapText="1"/>
    </xf>
    <xf numFmtId="170" fontId="35" fillId="9" borderId="58" xfId="11" applyNumberFormat="1" applyFont="1" applyFill="1" applyBorder="1" applyAlignment="1">
      <alignment horizontal="center" vertical="center" wrapText="1"/>
    </xf>
    <xf numFmtId="0" fontId="35" fillId="9" borderId="94" xfId="11" applyFont="1" applyFill="1" applyBorder="1" applyAlignment="1">
      <alignment horizontal="center" vertical="center" wrapText="1"/>
    </xf>
    <xf numFmtId="0" fontId="35" fillId="9" borderId="75" xfId="11" applyFont="1" applyFill="1" applyBorder="1" applyAlignment="1">
      <alignment horizontal="center" vertical="center" wrapText="1"/>
    </xf>
    <xf numFmtId="0" fontId="35" fillId="9" borderId="30" xfId="11" applyFont="1" applyFill="1" applyBorder="1" applyAlignment="1">
      <alignment horizontal="center" vertical="center" wrapText="1"/>
    </xf>
    <xf numFmtId="3" fontId="35" fillId="9" borderId="105" xfId="11" applyNumberFormat="1" applyFont="1" applyFill="1" applyBorder="1" applyAlignment="1">
      <alignment horizontal="center" vertical="center" wrapText="1"/>
    </xf>
    <xf numFmtId="3" fontId="35" fillId="9" borderId="107" xfId="11" applyNumberFormat="1" applyFont="1" applyFill="1" applyBorder="1" applyAlignment="1">
      <alignment horizontal="center" vertical="center" wrapText="1"/>
    </xf>
    <xf numFmtId="3" fontId="30" fillId="9" borderId="107" xfId="11" applyNumberFormat="1" applyFont="1" applyFill="1" applyBorder="1" applyAlignment="1">
      <alignment horizontal="center" vertical="center" wrapText="1"/>
    </xf>
    <xf numFmtId="3" fontId="30" fillId="9" borderId="68" xfId="11" applyNumberFormat="1" applyFont="1" applyFill="1" applyBorder="1" applyAlignment="1">
      <alignment horizontal="center" vertical="center" wrapText="1"/>
    </xf>
    <xf numFmtId="3" fontId="30" fillId="9" borderId="21" xfId="11" applyNumberFormat="1" applyFont="1" applyFill="1" applyBorder="1" applyAlignment="1">
      <alignment horizontal="center" vertical="center" wrapText="1"/>
    </xf>
    <xf numFmtId="3" fontId="30" fillId="9" borderId="75" xfId="11" applyNumberFormat="1" applyFont="1" applyFill="1" applyBorder="1" applyAlignment="1">
      <alignment horizontal="center" vertical="center" wrapText="1"/>
    </xf>
    <xf numFmtId="170" fontId="30" fillId="9" borderId="75" xfId="11" applyNumberFormat="1" applyFont="1" applyFill="1" applyBorder="1" applyAlignment="1">
      <alignment horizontal="center" vertical="center" wrapText="1"/>
    </xf>
    <xf numFmtId="10" fontId="43" fillId="3" borderId="22" xfId="11" applyNumberFormat="1" applyFont="1" applyFill="1" applyBorder="1" applyAlignment="1">
      <alignment horizontal="center" vertical="center" wrapText="1"/>
    </xf>
    <xf numFmtId="178" fontId="43" fillId="3" borderId="103" xfId="11" applyNumberFormat="1" applyFont="1" applyFill="1" applyBorder="1" applyAlignment="1">
      <alignment horizontal="center" vertical="center" wrapText="1"/>
    </xf>
    <xf numFmtId="178" fontId="43" fillId="3" borderId="74" xfId="11" applyNumberFormat="1" applyFont="1" applyFill="1" applyBorder="1" applyAlignment="1">
      <alignment horizontal="center" vertical="center" wrapText="1"/>
    </xf>
    <xf numFmtId="10" fontId="43" fillId="24" borderId="103" xfId="11" applyNumberFormat="1" applyFont="1" applyFill="1" applyBorder="1" applyAlignment="1">
      <alignment horizontal="center" vertical="center" wrapText="1"/>
    </xf>
    <xf numFmtId="10" fontId="43" fillId="24" borderId="74" xfId="11" applyNumberFormat="1" applyFont="1" applyFill="1" applyBorder="1" applyAlignment="1">
      <alignment horizontal="center" vertical="center" wrapText="1"/>
    </xf>
    <xf numFmtId="10" fontId="43" fillId="2" borderId="103" xfId="11" applyNumberFormat="1" applyFont="1" applyFill="1" applyBorder="1" applyAlignment="1">
      <alignment horizontal="center" vertical="center" wrapText="1"/>
    </xf>
    <xf numFmtId="10" fontId="43" fillId="2" borderId="74" xfId="11" applyNumberFormat="1" applyFont="1" applyFill="1" applyBorder="1" applyAlignment="1">
      <alignment horizontal="center" vertical="center" wrapText="1"/>
    </xf>
    <xf numFmtId="10" fontId="43" fillId="6" borderId="103" xfId="11" applyNumberFormat="1" applyFont="1" applyFill="1" applyBorder="1" applyAlignment="1">
      <alignment horizontal="center" vertical="center" wrapText="1"/>
    </xf>
    <xf numFmtId="10" fontId="43" fillId="6" borderId="22" xfId="11" applyNumberFormat="1" applyFont="1" applyFill="1" applyBorder="1" applyAlignment="1">
      <alignment horizontal="center" vertical="center" wrapText="1"/>
    </xf>
    <xf numFmtId="10" fontId="43" fillId="6" borderId="74" xfId="11" applyNumberFormat="1" applyFont="1" applyFill="1" applyBorder="1" applyAlignment="1">
      <alignment horizontal="center" vertical="center" wrapText="1"/>
    </xf>
    <xf numFmtId="10" fontId="43" fillId="4" borderId="103" xfId="11" applyNumberFormat="1" applyFont="1" applyFill="1" applyBorder="1" applyAlignment="1">
      <alignment horizontal="center" vertical="center" wrapText="1"/>
    </xf>
    <xf numFmtId="10" fontId="43" fillId="4" borderId="74" xfId="11" applyNumberFormat="1" applyFont="1" applyFill="1" applyBorder="1" applyAlignment="1">
      <alignment horizontal="center" vertical="center" wrapText="1"/>
    </xf>
    <xf numFmtId="10" fontId="43" fillId="8" borderId="103" xfId="11" applyNumberFormat="1" applyFont="1" applyFill="1" applyBorder="1" applyAlignment="1">
      <alignment horizontal="center" vertical="center" wrapText="1"/>
    </xf>
    <xf numFmtId="10" fontId="43" fillId="8" borderId="74" xfId="11" applyNumberFormat="1" applyFont="1" applyFill="1" applyBorder="1" applyAlignment="1">
      <alignment horizontal="center" vertical="center" wrapText="1"/>
    </xf>
    <xf numFmtId="3" fontId="43" fillId="4" borderId="103" xfId="11" applyNumberFormat="1" applyFont="1" applyFill="1" applyBorder="1" applyAlignment="1">
      <alignment horizontal="center" vertical="center" wrapText="1"/>
    </xf>
    <xf numFmtId="3" fontId="43" fillId="4" borderId="22" xfId="11" applyNumberFormat="1" applyFont="1" applyFill="1" applyBorder="1" applyAlignment="1">
      <alignment horizontal="center" vertical="center" wrapText="1"/>
    </xf>
    <xf numFmtId="0" fontId="43" fillId="17" borderId="33" xfId="0" applyFont="1" applyFill="1" applyBorder="1" applyAlignment="1">
      <alignment horizontal="center" vertical="center" wrapText="1"/>
    </xf>
    <xf numFmtId="0" fontId="43" fillId="17" borderId="28" xfId="0" applyFont="1" applyFill="1" applyBorder="1" applyAlignment="1">
      <alignment horizontal="center" vertical="center" wrapText="1"/>
    </xf>
    <xf numFmtId="0" fontId="43" fillId="17" borderId="34" xfId="0" applyFont="1" applyFill="1" applyBorder="1" applyAlignment="1">
      <alignment horizontal="center" vertical="center" wrapText="1"/>
    </xf>
    <xf numFmtId="0" fontId="48" fillId="8" borderId="51" xfId="0" applyFont="1" applyFill="1" applyBorder="1" applyAlignment="1">
      <alignment horizontal="center" vertical="center"/>
    </xf>
    <xf numFmtId="0" fontId="48" fillId="4" borderId="51" xfId="0" applyFont="1" applyFill="1" applyBorder="1" applyAlignment="1">
      <alignment horizontal="center"/>
    </xf>
    <xf numFmtId="0" fontId="29" fillId="11" borderId="15" xfId="0" applyFont="1" applyFill="1" applyBorder="1" applyAlignment="1">
      <alignment horizontal="center" vertical="center" wrapText="1"/>
    </xf>
    <xf numFmtId="0" fontId="29" fillId="11" borderId="23" xfId="0" applyFont="1" applyFill="1" applyBorder="1" applyAlignment="1">
      <alignment horizontal="center" vertical="center" wrapText="1"/>
    </xf>
    <xf numFmtId="0" fontId="29" fillId="11" borderId="0" xfId="0" applyFont="1" applyFill="1" applyBorder="1" applyAlignment="1">
      <alignment horizontal="center" vertical="center" wrapText="1"/>
    </xf>
    <xf numFmtId="0" fontId="36" fillId="8" borderId="15" xfId="0" applyFont="1" applyFill="1" applyBorder="1" applyAlignment="1">
      <alignment horizontal="center" vertical="center" wrapText="1"/>
    </xf>
    <xf numFmtId="0" fontId="36" fillId="8" borderId="24" xfId="0" applyFont="1" applyFill="1" applyBorder="1" applyAlignment="1">
      <alignment horizontal="center" vertical="center" wrapText="1"/>
    </xf>
    <xf numFmtId="0" fontId="36" fillId="8" borderId="25" xfId="0" applyFont="1" applyFill="1" applyBorder="1" applyAlignment="1">
      <alignment horizontal="center" vertical="center" wrapText="1"/>
    </xf>
    <xf numFmtId="0" fontId="36" fillId="4" borderId="24" xfId="0" applyFont="1" applyFill="1" applyBorder="1" applyAlignment="1">
      <alignment horizontal="center" vertical="center" wrapText="1"/>
    </xf>
    <xf numFmtId="0" fontId="36" fillId="4" borderId="23" xfId="0" applyFont="1" applyFill="1" applyBorder="1" applyAlignment="1">
      <alignment horizontal="center" vertical="center" wrapText="1"/>
    </xf>
    <xf numFmtId="0" fontId="43" fillId="3" borderId="0" xfId="0" applyFont="1" applyFill="1" applyBorder="1" applyAlignment="1">
      <alignment horizontal="center" vertical="center" wrapText="1"/>
    </xf>
    <xf numFmtId="0" fontId="100" fillId="0" borderId="0" xfId="0" applyFont="1" applyAlignment="1">
      <alignment horizontal="left" vertical="center"/>
    </xf>
    <xf numFmtId="0" fontId="43" fillId="4" borderId="52" xfId="0" applyFont="1" applyFill="1" applyBorder="1" applyAlignment="1">
      <alignment horizontal="center" vertical="center" wrapText="1"/>
    </xf>
    <xf numFmtId="0" fontId="43" fillId="4" borderId="68" xfId="0" applyFont="1" applyFill="1" applyBorder="1" applyAlignment="1">
      <alignment horizontal="center" vertical="center" wrapText="1"/>
    </xf>
    <xf numFmtId="0" fontId="43" fillId="4" borderId="76" xfId="0" applyFont="1" applyFill="1" applyBorder="1" applyAlignment="1">
      <alignment horizontal="center" vertical="center" wrapText="1"/>
    </xf>
    <xf numFmtId="0" fontId="43" fillId="4" borderId="13" xfId="0" applyFont="1" applyFill="1" applyBorder="1" applyAlignment="1" applyProtection="1">
      <alignment horizontal="center" vertical="center" wrapText="1"/>
    </xf>
    <xf numFmtId="0" fontId="43" fillId="4" borderId="16" xfId="0" applyFont="1" applyFill="1" applyBorder="1" applyAlignment="1" applyProtection="1">
      <alignment horizontal="center" vertical="center" wrapText="1"/>
    </xf>
    <xf numFmtId="0" fontId="43" fillId="4" borderId="44" xfId="0" applyFont="1" applyFill="1" applyBorder="1" applyAlignment="1" applyProtection="1">
      <alignment horizontal="center" vertical="center" wrapText="1"/>
    </xf>
    <xf numFmtId="0" fontId="43" fillId="5" borderId="73" xfId="0" applyFont="1" applyFill="1" applyBorder="1" applyAlignment="1">
      <alignment horizontal="center" vertical="center" wrapText="1"/>
    </xf>
    <xf numFmtId="0" fontId="43" fillId="5" borderId="28" xfId="0" applyFont="1" applyFill="1" applyBorder="1" applyAlignment="1">
      <alignment horizontal="center" vertical="center" wrapText="1"/>
    </xf>
    <xf numFmtId="0" fontId="44" fillId="5" borderId="28" xfId="0" applyFont="1" applyFill="1" applyBorder="1" applyAlignment="1">
      <alignment horizontal="center" vertical="center" wrapText="1"/>
    </xf>
    <xf numFmtId="0" fontId="44" fillId="5" borderId="34" xfId="0" applyFont="1" applyFill="1" applyBorder="1" applyAlignment="1">
      <alignment horizontal="center" vertical="center" wrapText="1"/>
    </xf>
    <xf numFmtId="0" fontId="43" fillId="5" borderId="52" xfId="0" applyFont="1" applyFill="1" applyBorder="1" applyAlignment="1">
      <alignment horizontal="center" vertical="center" wrapText="1"/>
    </xf>
    <xf numFmtId="0" fontId="43" fillId="5" borderId="68" xfId="0" applyFont="1" applyFill="1" applyBorder="1" applyAlignment="1">
      <alignment horizontal="center" vertical="center" wrapText="1"/>
    </xf>
    <xf numFmtId="0" fontId="43" fillId="5" borderId="76" xfId="0" applyFont="1" applyFill="1" applyBorder="1" applyAlignment="1">
      <alignment horizontal="center" vertical="center" wrapText="1"/>
    </xf>
    <xf numFmtId="0" fontId="43" fillId="5" borderId="13" xfId="0" applyFont="1" applyFill="1" applyBorder="1" applyAlignment="1" applyProtection="1">
      <alignment horizontal="center" vertical="center" wrapText="1"/>
    </xf>
    <xf numFmtId="0" fontId="43" fillId="5" borderId="16" xfId="0" applyFont="1" applyFill="1" applyBorder="1" applyAlignment="1" applyProtection="1">
      <alignment horizontal="center" vertical="center" wrapText="1"/>
    </xf>
    <xf numFmtId="0" fontId="43" fillId="5" borderId="44" xfId="0" applyFont="1" applyFill="1" applyBorder="1" applyAlignment="1" applyProtection="1">
      <alignment horizontal="center" vertical="center" wrapText="1"/>
    </xf>
    <xf numFmtId="0" fontId="35" fillId="0" borderId="53" xfId="0" applyFont="1" applyFill="1" applyBorder="1" applyAlignment="1">
      <alignment horizontal="center" vertical="center" wrapText="1"/>
    </xf>
    <xf numFmtId="0" fontId="35" fillId="0" borderId="75" xfId="0" applyFont="1" applyFill="1" applyBorder="1" applyAlignment="1">
      <alignment horizontal="center" vertical="center" wrapText="1"/>
    </xf>
    <xf numFmtId="0" fontId="35" fillId="0" borderId="39" xfId="0" applyFont="1" applyFill="1" applyBorder="1" applyAlignment="1">
      <alignment horizontal="center" vertical="center" wrapText="1"/>
    </xf>
    <xf numFmtId="0" fontId="35" fillId="0" borderId="30" xfId="0" applyFont="1" applyFill="1" applyBorder="1" applyAlignment="1">
      <alignment horizontal="center" vertical="center" wrapText="1"/>
    </xf>
    <xf numFmtId="0" fontId="35" fillId="0" borderId="80" xfId="0" applyFont="1" applyFill="1" applyBorder="1" applyAlignment="1">
      <alignment horizontal="center" vertical="center" wrapText="1"/>
    </xf>
    <xf numFmtId="0" fontId="43" fillId="3" borderId="73" xfId="0" applyFont="1" applyFill="1" applyBorder="1" applyAlignment="1">
      <alignment horizontal="center" vertical="center" wrapText="1"/>
    </xf>
    <xf numFmtId="0" fontId="43" fillId="3" borderId="28" xfId="0" applyFont="1" applyFill="1" applyBorder="1" applyAlignment="1">
      <alignment horizontal="center" vertical="center" wrapText="1"/>
    </xf>
    <xf numFmtId="0" fontId="44" fillId="3" borderId="28" xfId="0" applyFont="1" applyFill="1" applyBorder="1" applyAlignment="1">
      <alignment horizontal="center" vertical="center" wrapText="1"/>
    </xf>
    <xf numFmtId="0" fontId="44" fillId="3" borderId="34" xfId="0" applyFont="1" applyFill="1" applyBorder="1" applyAlignment="1">
      <alignment horizontal="center" vertical="center" wrapText="1"/>
    </xf>
    <xf numFmtId="0" fontId="35" fillId="0" borderId="71" xfId="0" applyFont="1" applyFill="1" applyBorder="1" applyAlignment="1">
      <alignment horizontal="center" vertical="center" wrapText="1"/>
    </xf>
    <xf numFmtId="0" fontId="43" fillId="5" borderId="31" xfId="0" applyFont="1" applyFill="1" applyBorder="1" applyAlignment="1">
      <alignment horizontal="center" vertical="center" wrapText="1"/>
    </xf>
    <xf numFmtId="0" fontId="44" fillId="5" borderId="31" xfId="0" applyFont="1" applyFill="1" applyBorder="1" applyAlignment="1">
      <alignment horizontal="center" vertical="center" wrapText="1"/>
    </xf>
    <xf numFmtId="0" fontId="44" fillId="5" borderId="71" xfId="0" applyFont="1" applyFill="1" applyBorder="1" applyAlignment="1">
      <alignment horizontal="center" vertical="center" wrapText="1"/>
    </xf>
    <xf numFmtId="0" fontId="35" fillId="0" borderId="91" xfId="0" applyFont="1" applyFill="1" applyBorder="1" applyAlignment="1">
      <alignment horizontal="center" vertical="center" wrapText="1"/>
    </xf>
    <xf numFmtId="0" fontId="43" fillId="3" borderId="31" xfId="0" applyFont="1" applyFill="1" applyBorder="1" applyAlignment="1">
      <alignment horizontal="center" vertical="center" wrapText="1"/>
    </xf>
    <xf numFmtId="0" fontId="44" fillId="3" borderId="31" xfId="0" applyFont="1" applyFill="1" applyBorder="1" applyAlignment="1">
      <alignment horizontal="center" vertical="center" wrapText="1"/>
    </xf>
    <xf numFmtId="0" fontId="44" fillId="3" borderId="71" xfId="0" applyFont="1" applyFill="1" applyBorder="1" applyAlignment="1">
      <alignment horizontal="center" vertical="center" wrapText="1"/>
    </xf>
    <xf numFmtId="0" fontId="43" fillId="24" borderId="31" xfId="0" applyFont="1" applyFill="1" applyBorder="1" applyAlignment="1">
      <alignment horizontal="center" vertical="center" wrapText="1"/>
    </xf>
    <xf numFmtId="0" fontId="43" fillId="24" borderId="47" xfId="0" applyFont="1" applyFill="1" applyBorder="1" applyAlignment="1">
      <alignment horizontal="center" vertical="center" wrapText="1"/>
    </xf>
    <xf numFmtId="0" fontId="43" fillId="24" borderId="73" xfId="0" applyFont="1" applyFill="1" applyBorder="1" applyAlignment="1">
      <alignment horizontal="center" vertical="center" wrapText="1"/>
    </xf>
    <xf numFmtId="0" fontId="43" fillId="24" borderId="28" xfId="0" applyFont="1" applyFill="1" applyBorder="1" applyAlignment="1">
      <alignment horizontal="center" vertical="center" wrapText="1"/>
    </xf>
    <xf numFmtId="0" fontId="35" fillId="0" borderId="70" xfId="0" applyFont="1" applyFill="1" applyBorder="1" applyAlignment="1">
      <alignment horizontal="center" vertical="center" wrapText="1"/>
    </xf>
    <xf numFmtId="0" fontId="35" fillId="0" borderId="94" xfId="0" applyFont="1" applyFill="1" applyBorder="1" applyAlignment="1">
      <alignment horizontal="center" vertical="center" wrapText="1"/>
    </xf>
    <xf numFmtId="0" fontId="43" fillId="5" borderId="65" xfId="0" applyFont="1" applyFill="1" applyBorder="1" applyAlignment="1">
      <alignment horizontal="center" vertical="center" wrapText="1"/>
    </xf>
    <xf numFmtId="0" fontId="43" fillId="5" borderId="66" xfId="0" applyFont="1" applyFill="1" applyBorder="1" applyAlignment="1">
      <alignment horizontal="center" vertical="center" wrapText="1"/>
    </xf>
    <xf numFmtId="0" fontId="44" fillId="5" borderId="66" xfId="0" applyFont="1" applyFill="1" applyBorder="1" applyAlignment="1">
      <alignment horizontal="center" vertical="center" wrapText="1"/>
    </xf>
    <xf numFmtId="0" fontId="44" fillId="5" borderId="67" xfId="0" applyFont="1" applyFill="1" applyBorder="1" applyAlignment="1">
      <alignment horizontal="center" vertical="center" wrapText="1"/>
    </xf>
    <xf numFmtId="0" fontId="35" fillId="0" borderId="81" xfId="0" applyFont="1" applyFill="1" applyBorder="1" applyAlignment="1">
      <alignment horizontal="center" vertical="center" wrapText="1"/>
    </xf>
    <xf numFmtId="0" fontId="35" fillId="0" borderId="82" xfId="0" applyFont="1" applyFill="1" applyBorder="1" applyAlignment="1">
      <alignment horizontal="center" vertical="center" wrapText="1"/>
    </xf>
    <xf numFmtId="0" fontId="35" fillId="0" borderId="43" xfId="0" applyFont="1" applyFill="1" applyBorder="1" applyAlignment="1">
      <alignment horizontal="center" vertical="center" wrapText="1"/>
    </xf>
    <xf numFmtId="173" fontId="43" fillId="4" borderId="13" xfId="0" applyNumberFormat="1" applyFont="1" applyFill="1" applyBorder="1" applyAlignment="1">
      <alignment horizontal="center" vertical="center" wrapText="1"/>
    </xf>
    <xf numFmtId="173" fontId="43" fillId="4" borderId="16" xfId="0" applyNumberFormat="1" applyFont="1" applyFill="1" applyBorder="1" applyAlignment="1">
      <alignment horizontal="center" vertical="center" wrapText="1"/>
    </xf>
    <xf numFmtId="0" fontId="43" fillId="4" borderId="13" xfId="0" applyFont="1" applyFill="1" applyBorder="1" applyAlignment="1">
      <alignment horizontal="center" vertical="center" wrapText="1"/>
    </xf>
    <xf numFmtId="0" fontId="43" fillId="4" borderId="16" xfId="0" applyFont="1" applyFill="1" applyBorder="1" applyAlignment="1">
      <alignment horizontal="center" vertical="center" wrapText="1"/>
    </xf>
    <xf numFmtId="0" fontId="43" fillId="4" borderId="44" xfId="0" applyFont="1" applyFill="1" applyBorder="1" applyAlignment="1">
      <alignment horizontal="center" vertical="center" wrapText="1"/>
    </xf>
    <xf numFmtId="173" fontId="43" fillId="5" borderId="13" xfId="0" applyNumberFormat="1" applyFont="1" applyFill="1" applyBorder="1" applyAlignment="1">
      <alignment horizontal="center" vertical="center" wrapText="1"/>
    </xf>
    <xf numFmtId="173" fontId="43" fillId="5" borderId="16" xfId="0" applyNumberFormat="1" applyFont="1" applyFill="1" applyBorder="1" applyAlignment="1">
      <alignment horizontal="center" vertical="center" wrapText="1"/>
    </xf>
    <xf numFmtId="173" fontId="43" fillId="5" borderId="44" xfId="0" applyNumberFormat="1" applyFont="1" applyFill="1" applyBorder="1" applyAlignment="1">
      <alignment horizontal="center" vertical="center" wrapText="1"/>
    </xf>
    <xf numFmtId="0" fontId="35" fillId="0" borderId="31" xfId="0" applyFont="1" applyFill="1" applyBorder="1" applyAlignment="1">
      <alignment horizontal="center" vertical="center" wrapText="1"/>
    </xf>
    <xf numFmtId="0" fontId="38" fillId="0" borderId="31" xfId="0" applyFont="1" applyFill="1" applyBorder="1" applyAlignment="1">
      <alignment horizontal="center" vertical="center" wrapText="1"/>
    </xf>
    <xf numFmtId="0" fontId="35" fillId="0" borderId="19" xfId="0" applyFont="1" applyFill="1" applyBorder="1" applyAlignment="1">
      <alignment horizontal="center" vertical="center" wrapText="1"/>
    </xf>
    <xf numFmtId="0" fontId="35" fillId="0" borderId="16" xfId="0" applyFont="1" applyFill="1" applyBorder="1" applyAlignment="1">
      <alignment horizontal="center" vertical="center" wrapText="1"/>
    </xf>
    <xf numFmtId="0" fontId="38" fillId="0" borderId="19" xfId="0" applyFont="1" applyFill="1" applyBorder="1" applyAlignment="1">
      <alignment horizontal="center" vertical="center" wrapText="1"/>
    </xf>
    <xf numFmtId="0" fontId="38" fillId="0" borderId="16" xfId="0" applyFont="1" applyFill="1" applyBorder="1" applyAlignment="1">
      <alignment horizontal="center" vertical="center" wrapText="1"/>
    </xf>
    <xf numFmtId="0" fontId="35" fillId="0" borderId="39" xfId="0" applyFont="1" applyFill="1" applyBorder="1" applyAlignment="1" applyProtection="1">
      <alignment horizontal="center" vertical="center" wrapText="1"/>
    </xf>
    <xf numFmtId="0" fontId="35" fillId="0" borderId="75" xfId="0" applyFont="1" applyFill="1" applyBorder="1" applyAlignment="1" applyProtection="1">
      <alignment horizontal="center" vertical="center" wrapText="1"/>
    </xf>
    <xf numFmtId="0" fontId="64" fillId="0" borderId="19" xfId="0" applyFont="1" applyFill="1" applyBorder="1" applyAlignment="1" applyProtection="1">
      <alignment horizontal="center" vertical="center" wrapText="1"/>
    </xf>
    <xf numFmtId="0" fontId="64" fillId="0" borderId="26" xfId="0" applyFont="1" applyFill="1" applyBorder="1" applyAlignment="1" applyProtection="1">
      <alignment horizontal="center" vertical="center" wrapText="1"/>
    </xf>
    <xf numFmtId="0" fontId="43" fillId="5" borderId="13" xfId="0" applyFont="1" applyFill="1" applyBorder="1" applyAlignment="1">
      <alignment horizontal="center" vertical="center" wrapText="1"/>
    </xf>
    <xf numFmtId="0" fontId="43" fillId="5" borderId="16" xfId="0" applyFont="1" applyFill="1" applyBorder="1" applyAlignment="1">
      <alignment horizontal="center" vertical="center" wrapText="1"/>
    </xf>
    <xf numFmtId="0" fontId="43" fillId="5" borderId="44" xfId="0" applyFont="1" applyFill="1" applyBorder="1" applyAlignment="1">
      <alignment horizontal="center" vertical="center" wrapText="1"/>
    </xf>
    <xf numFmtId="0" fontId="35" fillId="0" borderId="26" xfId="0" applyFont="1" applyFill="1" applyBorder="1" applyAlignment="1">
      <alignment horizontal="center" vertical="center" wrapText="1"/>
    </xf>
    <xf numFmtId="0" fontId="38" fillId="0" borderId="26" xfId="0" applyFont="1" applyFill="1" applyBorder="1" applyAlignment="1">
      <alignment horizontal="center" vertical="center" wrapText="1"/>
    </xf>
    <xf numFmtId="0" fontId="44" fillId="24" borderId="28" xfId="0" applyFont="1" applyFill="1" applyBorder="1" applyAlignment="1">
      <alignment horizontal="center" vertical="center" wrapText="1"/>
    </xf>
    <xf numFmtId="0" fontId="44" fillId="24" borderId="34" xfId="0" applyFont="1" applyFill="1" applyBorder="1" applyAlignment="1">
      <alignment horizontal="center" vertical="center" wrapText="1"/>
    </xf>
    <xf numFmtId="49" fontId="73" fillId="32" borderId="84" xfId="0" applyNumberFormat="1" applyFont="1" applyFill="1" applyBorder="1" applyAlignment="1">
      <alignment horizontal="center" vertical="center" wrapText="1"/>
    </xf>
    <xf numFmtId="49" fontId="73" fillId="32" borderId="85" xfId="0" applyNumberFormat="1" applyFont="1" applyFill="1" applyBorder="1" applyAlignment="1">
      <alignment horizontal="center" vertical="center" wrapText="1"/>
    </xf>
    <xf numFmtId="49" fontId="73" fillId="32" borderId="81" xfId="0" applyNumberFormat="1" applyFont="1" applyFill="1" applyBorder="1" applyAlignment="1">
      <alignment horizontal="center" vertical="center" wrapText="1"/>
    </xf>
    <xf numFmtId="49" fontId="76" fillId="32" borderId="46" xfId="0" applyNumberFormat="1" applyFont="1" applyFill="1" applyBorder="1" applyAlignment="1">
      <alignment horizontal="center" wrapText="1"/>
    </xf>
    <xf numFmtId="49" fontId="76" fillId="32" borderId="31" xfId="0" applyNumberFormat="1" applyFont="1" applyFill="1" applyBorder="1" applyAlignment="1">
      <alignment horizontal="center" wrapText="1"/>
    </xf>
    <xf numFmtId="49" fontId="76" fillId="32" borderId="71" xfId="0" applyNumberFormat="1" applyFont="1" applyFill="1" applyBorder="1" applyAlignment="1">
      <alignment horizontal="center" wrapText="1"/>
    </xf>
    <xf numFmtId="49" fontId="24" fillId="32" borderId="83" xfId="0" applyNumberFormat="1" applyFont="1" applyFill="1" applyBorder="1" applyAlignment="1">
      <alignment horizontal="center"/>
    </xf>
    <xf numFmtId="49" fontId="24" fillId="32" borderId="24" xfId="0" applyNumberFormat="1" applyFont="1" applyFill="1" applyBorder="1" applyAlignment="1">
      <alignment horizontal="center"/>
    </xf>
    <xf numFmtId="49" fontId="24" fillId="32" borderId="86" xfId="0" applyNumberFormat="1" applyFont="1" applyFill="1" applyBorder="1" applyAlignment="1">
      <alignment horizontal="center"/>
    </xf>
  </cellXfs>
  <cellStyles count="12">
    <cellStyle name="Hyperlink" xfId="2" builtinId="8"/>
    <cellStyle name="Hyperlink 2" xfId="5" xr:uid="{00000000-0005-0000-0000-000001000000}"/>
    <cellStyle name="Normal" xfId="0" builtinId="0"/>
    <cellStyle name="Normal 2" xfId="1" xr:uid="{00000000-0005-0000-0000-000003000000}"/>
    <cellStyle name="Normal 2 2" xfId="8" xr:uid="{00000000-0005-0000-0000-000004000000}"/>
    <cellStyle name="Normal 3" xfId="3" xr:uid="{00000000-0005-0000-0000-000005000000}"/>
    <cellStyle name="Normal 4" xfId="4" xr:uid="{00000000-0005-0000-0000-000006000000}"/>
    <cellStyle name="Normal 5" xfId="6" xr:uid="{00000000-0005-0000-0000-000007000000}"/>
    <cellStyle name="Normal 6" xfId="7" xr:uid="{00000000-0005-0000-0000-000008000000}"/>
    <cellStyle name="Normal 6 2" xfId="9" xr:uid="{00000000-0005-0000-0000-000009000000}"/>
    <cellStyle name="Normal 7" xfId="10" xr:uid="{00000000-0005-0000-0000-00000A000000}"/>
    <cellStyle name="Normal 8" xfId="11" xr:uid="{00000000-0005-0000-0000-00000B000000}"/>
  </cellStyles>
  <dxfs count="1722">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6" tint="-0.499984740745262"/>
      </font>
    </dxf>
    <dxf>
      <font>
        <b/>
        <i val="0"/>
        <color rgb="FF7030A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6" tint="-0.499984740745262"/>
      </font>
    </dxf>
    <dxf>
      <font>
        <b/>
        <i val="0"/>
        <color rgb="FF7030A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6" tint="-0.499984740745262"/>
      </font>
    </dxf>
    <dxf>
      <font>
        <b/>
        <i val="0"/>
        <color rgb="FF7030A0"/>
      </font>
    </dxf>
    <dxf>
      <font>
        <b/>
        <i val="0"/>
        <color rgb="FF00B050"/>
      </font>
    </dxf>
    <dxf>
      <font>
        <b/>
        <i val="0"/>
        <color rgb="FFFF0000"/>
      </font>
    </dxf>
    <dxf>
      <font>
        <b/>
        <i val="0"/>
        <color theme="6" tint="-0.499984740745262"/>
      </font>
    </dxf>
    <dxf>
      <font>
        <b/>
        <i val="0"/>
        <color rgb="FF7030A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6" tint="-0.499984740745262"/>
      </font>
    </dxf>
    <dxf>
      <font>
        <b/>
        <i val="0"/>
        <color rgb="FF7030A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6" tint="-0.499984740745262"/>
      </font>
    </dxf>
    <dxf>
      <font>
        <b/>
        <i val="0"/>
        <color rgb="FF7030A0"/>
      </font>
    </dxf>
    <dxf>
      <font>
        <b/>
        <i val="0"/>
        <color rgb="FF00B050"/>
      </font>
    </dxf>
    <dxf>
      <font>
        <b/>
        <i val="0"/>
        <color rgb="FFFF0000"/>
      </font>
    </dxf>
    <dxf>
      <font>
        <b/>
        <i val="0"/>
        <color theme="6" tint="-0.499984740745262"/>
      </font>
    </dxf>
    <dxf>
      <font>
        <b/>
        <i val="0"/>
        <color rgb="FF7030A0"/>
      </font>
    </dxf>
    <dxf>
      <font>
        <b/>
        <i val="0"/>
        <color rgb="FF00B050"/>
      </font>
    </dxf>
    <dxf>
      <font>
        <b/>
        <i val="0"/>
        <color rgb="FFFF0000"/>
      </font>
    </dxf>
    <dxf>
      <font>
        <b/>
        <i val="0"/>
        <color theme="6" tint="-0.499984740745262"/>
      </font>
    </dxf>
    <dxf>
      <font>
        <b/>
        <i val="0"/>
        <color rgb="FF7030A0"/>
      </font>
    </dxf>
    <dxf>
      <font>
        <b/>
        <i val="0"/>
        <color rgb="FF00B050"/>
      </font>
    </dxf>
    <dxf>
      <font>
        <b/>
        <i val="0"/>
        <color rgb="FFFF0000"/>
      </font>
    </dxf>
    <dxf>
      <font>
        <b/>
        <i val="0"/>
        <color theme="6" tint="-0.499984740745262"/>
      </font>
    </dxf>
    <dxf>
      <font>
        <b/>
        <i val="0"/>
        <color rgb="FF7030A0"/>
      </font>
    </dxf>
    <dxf>
      <font>
        <b/>
        <i val="0"/>
        <color rgb="FF00B050"/>
      </font>
    </dxf>
    <dxf>
      <font>
        <b/>
        <i val="0"/>
        <color rgb="FFFF0000"/>
      </font>
    </dxf>
    <dxf>
      <font>
        <b/>
        <i val="0"/>
        <color theme="6" tint="-0.499984740745262"/>
      </font>
    </dxf>
    <dxf>
      <font>
        <b/>
        <i val="0"/>
        <color rgb="FF7030A0"/>
      </font>
    </dxf>
    <dxf>
      <font>
        <b/>
        <i val="0"/>
        <color rgb="FF00B050"/>
      </font>
    </dxf>
    <dxf>
      <font>
        <b/>
        <i val="0"/>
        <color rgb="FFFF0000"/>
      </font>
    </dxf>
    <dxf>
      <font>
        <b/>
        <i val="0"/>
        <color theme="6" tint="-0.499984740745262"/>
      </font>
    </dxf>
    <dxf>
      <font>
        <b/>
        <i val="0"/>
        <color rgb="FF7030A0"/>
      </font>
    </dxf>
    <dxf>
      <font>
        <b/>
        <i val="0"/>
        <color rgb="FF00B050"/>
      </font>
    </dxf>
    <dxf>
      <font>
        <b/>
        <i val="0"/>
        <color rgb="FFFF0000"/>
      </font>
    </dxf>
    <dxf>
      <font>
        <b/>
        <i val="0"/>
        <color theme="6" tint="-0.499984740745262"/>
      </font>
    </dxf>
    <dxf>
      <font>
        <b/>
        <i val="0"/>
        <color rgb="FF7030A0"/>
      </font>
    </dxf>
    <dxf>
      <font>
        <b/>
        <i val="0"/>
        <color rgb="FF00B050"/>
      </font>
    </dxf>
    <dxf>
      <font>
        <b/>
        <i val="0"/>
        <color rgb="FFFF0000"/>
      </font>
    </dxf>
    <dxf>
      <font>
        <b/>
        <i val="0"/>
        <color rgb="FF7030A0"/>
      </font>
    </dxf>
    <dxf>
      <font>
        <b/>
        <i val="0"/>
        <color rgb="FF00B050"/>
      </font>
    </dxf>
    <dxf>
      <font>
        <b/>
        <i val="0"/>
        <color rgb="FFFF0000"/>
      </font>
    </dxf>
    <dxf>
      <font>
        <b/>
        <i val="0"/>
        <color theme="6" tint="-0.499984740745262"/>
      </font>
    </dxf>
    <dxf>
      <font>
        <b/>
        <i val="0"/>
        <color theme="6" tint="-0.499984740745262"/>
      </font>
    </dxf>
    <dxf>
      <font>
        <b/>
        <i val="0"/>
        <color rgb="FF7030A0"/>
      </font>
    </dxf>
    <dxf>
      <font>
        <b/>
        <i val="0"/>
        <color rgb="FF00B050"/>
      </font>
    </dxf>
    <dxf>
      <font>
        <b/>
        <i val="0"/>
        <color rgb="FFFF0000"/>
      </font>
    </dxf>
    <dxf>
      <font>
        <b/>
        <i val="0"/>
        <color theme="6" tint="-0.499984740745262"/>
      </font>
    </dxf>
    <dxf>
      <font>
        <b/>
        <i val="0"/>
        <color rgb="FF7030A0"/>
      </font>
    </dxf>
    <dxf>
      <font>
        <b/>
        <i val="0"/>
        <color rgb="FF00B050"/>
      </font>
    </dxf>
    <dxf>
      <font>
        <b/>
        <i val="0"/>
        <color rgb="FFFF0000"/>
      </font>
    </dxf>
    <dxf>
      <font>
        <b/>
        <i val="0"/>
        <color theme="6" tint="-0.499984740745262"/>
      </font>
    </dxf>
    <dxf>
      <font>
        <b/>
        <i val="0"/>
        <color rgb="FF7030A0"/>
      </font>
    </dxf>
    <dxf>
      <font>
        <b/>
        <i val="0"/>
        <color rgb="FF00B050"/>
      </font>
    </dxf>
    <dxf>
      <font>
        <b/>
        <i val="0"/>
        <color rgb="FFFF0000"/>
      </font>
    </dxf>
    <dxf>
      <font>
        <b/>
        <i val="0"/>
        <color theme="6" tint="-0.499984740745262"/>
      </font>
    </dxf>
    <dxf>
      <font>
        <b/>
        <i val="0"/>
        <color rgb="FF7030A0"/>
      </font>
    </dxf>
    <dxf>
      <font>
        <b/>
        <i val="0"/>
        <color rgb="FF00B050"/>
      </font>
    </dxf>
    <dxf>
      <font>
        <b/>
        <i val="0"/>
        <color rgb="FFFF0000"/>
      </font>
    </dxf>
    <dxf>
      <font>
        <b/>
        <i val="0"/>
        <color theme="6" tint="-0.499984740745262"/>
      </font>
    </dxf>
    <dxf>
      <font>
        <b/>
        <i val="0"/>
        <color rgb="FF7030A0"/>
      </font>
    </dxf>
    <dxf>
      <font>
        <b/>
        <i val="0"/>
        <color rgb="FF00B050"/>
      </font>
    </dxf>
    <dxf>
      <font>
        <b/>
        <i val="0"/>
        <color rgb="FFFF0000"/>
      </font>
    </dxf>
    <dxf>
      <font>
        <b/>
        <i val="0"/>
        <color rgb="FF7030A0"/>
      </font>
    </dxf>
    <dxf>
      <font>
        <b/>
        <i val="0"/>
        <color rgb="FF00B050"/>
      </font>
    </dxf>
    <dxf>
      <font>
        <b/>
        <i val="0"/>
        <color rgb="FFFF0000"/>
      </font>
    </dxf>
    <dxf>
      <font>
        <b/>
        <i val="0"/>
        <color theme="6" tint="-0.499984740745262"/>
      </font>
    </dxf>
    <dxf>
      <font>
        <b/>
        <i val="0"/>
        <color theme="6" tint="-0.499984740745262"/>
      </font>
    </dxf>
    <dxf>
      <font>
        <b/>
        <i val="0"/>
        <color rgb="FF7030A0"/>
      </font>
    </dxf>
    <dxf>
      <font>
        <b/>
        <i val="0"/>
        <color rgb="FF00B050"/>
      </font>
    </dxf>
    <dxf>
      <font>
        <b/>
        <i val="0"/>
        <color rgb="FFFF0000"/>
      </font>
    </dxf>
    <dxf>
      <font>
        <b/>
        <i val="0"/>
        <color theme="6" tint="-0.499984740745262"/>
      </font>
    </dxf>
    <dxf>
      <font>
        <b/>
        <i val="0"/>
        <color rgb="FF7030A0"/>
      </font>
    </dxf>
    <dxf>
      <font>
        <b/>
        <i val="0"/>
        <color rgb="FF00B050"/>
      </font>
    </dxf>
    <dxf>
      <font>
        <b/>
        <i val="0"/>
        <color rgb="FFFF0000"/>
      </font>
    </dxf>
    <dxf>
      <font>
        <b/>
        <i val="0"/>
        <color theme="6" tint="-0.499984740745262"/>
      </font>
    </dxf>
    <dxf>
      <font>
        <b/>
        <i val="0"/>
        <color rgb="FF7030A0"/>
      </font>
    </dxf>
    <dxf>
      <font>
        <b/>
        <i val="0"/>
        <color rgb="FF00B050"/>
      </font>
    </dxf>
    <dxf>
      <font>
        <b/>
        <i val="0"/>
        <color rgb="FFFF0000"/>
      </font>
    </dxf>
    <dxf>
      <font>
        <b/>
        <i val="0"/>
        <color theme="6" tint="-0.499984740745262"/>
      </font>
    </dxf>
    <dxf>
      <font>
        <b/>
        <i val="0"/>
        <color rgb="FF7030A0"/>
      </font>
    </dxf>
    <dxf>
      <font>
        <b/>
        <i val="0"/>
        <color rgb="FF00B050"/>
      </font>
    </dxf>
    <dxf>
      <font>
        <b/>
        <i val="0"/>
        <color rgb="FFFF0000"/>
      </font>
    </dxf>
    <dxf>
      <font>
        <b/>
        <i val="0"/>
        <color theme="6" tint="-0.499984740745262"/>
      </font>
    </dxf>
    <dxf>
      <font>
        <b/>
        <i val="0"/>
        <color rgb="FF7030A0"/>
      </font>
    </dxf>
    <dxf>
      <font>
        <b/>
        <i val="0"/>
        <color rgb="FF00B050"/>
      </font>
    </dxf>
    <dxf>
      <font>
        <b/>
        <i val="0"/>
        <color rgb="FFFF0000"/>
      </font>
    </dxf>
    <dxf>
      <font>
        <b/>
        <i val="0"/>
        <color theme="6" tint="-0.499984740745262"/>
      </font>
    </dxf>
    <dxf>
      <font>
        <b/>
        <i val="0"/>
        <color rgb="FF7030A0"/>
      </font>
    </dxf>
    <dxf>
      <font>
        <b/>
        <i val="0"/>
        <color rgb="FF00B050"/>
      </font>
    </dxf>
    <dxf>
      <font>
        <b/>
        <i val="0"/>
        <color rgb="FFFF0000"/>
      </font>
    </dxf>
    <dxf>
      <font>
        <b/>
        <i val="0"/>
        <color theme="6" tint="-0.499984740745262"/>
      </font>
    </dxf>
    <dxf>
      <font>
        <b/>
        <i val="0"/>
        <color rgb="FF7030A0"/>
      </font>
    </dxf>
    <dxf>
      <font>
        <b/>
        <i val="0"/>
        <color rgb="FF00B050"/>
      </font>
    </dxf>
    <dxf>
      <font>
        <b/>
        <i val="0"/>
        <color rgb="FFFF0000"/>
      </font>
    </dxf>
    <dxf>
      <font>
        <b/>
        <i val="0"/>
        <color theme="6" tint="-0.499984740745262"/>
      </font>
    </dxf>
    <dxf>
      <font>
        <b/>
        <i val="0"/>
        <color rgb="FF7030A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6" tint="-0.499984740745262"/>
      </font>
    </dxf>
    <dxf>
      <font>
        <b/>
        <i val="0"/>
        <color rgb="FF7030A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6" tint="-0.499984740745262"/>
      </font>
    </dxf>
    <dxf>
      <font>
        <b/>
        <i val="0"/>
        <color rgb="FF7030A0"/>
      </font>
    </dxf>
    <dxf>
      <font>
        <b/>
        <i val="0"/>
        <color rgb="FF00B050"/>
      </font>
    </dxf>
    <dxf>
      <font>
        <b/>
        <i val="0"/>
        <color rgb="FFFF0000"/>
      </font>
    </dxf>
    <dxf>
      <font>
        <b/>
        <i val="0"/>
        <color theme="6" tint="-0.499984740745262"/>
      </font>
    </dxf>
    <dxf>
      <font>
        <b/>
        <i val="0"/>
        <color rgb="FF7030A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7030A0"/>
      </font>
    </dxf>
    <dxf>
      <font>
        <b/>
        <i val="0"/>
        <color rgb="FF00B050"/>
      </font>
    </dxf>
    <dxf>
      <font>
        <b/>
        <i val="0"/>
        <color rgb="FF7030A0"/>
      </font>
    </dxf>
    <dxf>
      <font>
        <b/>
        <i val="0"/>
        <color rgb="FF00B050"/>
      </font>
    </dxf>
    <dxf>
      <font>
        <b/>
        <i val="0"/>
        <color rgb="FF7030A0"/>
      </font>
    </dxf>
    <dxf>
      <font>
        <b/>
        <i val="0"/>
        <color rgb="FF00B050"/>
      </font>
    </dxf>
    <dxf>
      <font>
        <b/>
        <i val="0"/>
        <color rgb="FF7030A0"/>
      </font>
    </dxf>
    <dxf>
      <font>
        <b/>
        <i val="0"/>
        <color rgb="FF00B050"/>
      </font>
    </dxf>
    <dxf>
      <font>
        <b/>
        <i val="0"/>
        <color rgb="FF7030A0"/>
      </font>
    </dxf>
    <dxf>
      <font>
        <b/>
        <i val="0"/>
        <color rgb="FF00B050"/>
      </font>
    </dxf>
    <dxf>
      <font>
        <b/>
        <i val="0"/>
        <color rgb="FF7030A0"/>
      </font>
    </dxf>
    <dxf>
      <font>
        <b/>
        <i val="0"/>
        <color rgb="FF00B050"/>
      </font>
    </dxf>
    <dxf>
      <font>
        <b/>
        <i val="0"/>
        <color rgb="FF7030A0"/>
      </font>
    </dxf>
    <dxf>
      <font>
        <b/>
        <i val="0"/>
        <color rgb="FF00B050"/>
      </font>
    </dxf>
    <dxf>
      <font>
        <b/>
        <i val="0"/>
        <color rgb="FF7030A0"/>
      </font>
    </dxf>
    <dxf>
      <font>
        <b/>
        <i val="0"/>
        <color rgb="FF00B050"/>
      </font>
    </dxf>
    <dxf>
      <font>
        <b/>
        <i val="0"/>
        <color rgb="FF7030A0"/>
      </font>
    </dxf>
    <dxf>
      <font>
        <b/>
        <i val="0"/>
        <color rgb="FF00B050"/>
      </font>
    </dxf>
    <dxf>
      <font>
        <b/>
        <i val="0"/>
        <color rgb="FF7030A0"/>
      </font>
    </dxf>
    <dxf>
      <font>
        <b/>
        <i val="0"/>
        <color rgb="FF00B050"/>
      </font>
    </dxf>
    <dxf>
      <font>
        <b/>
        <i val="0"/>
        <color rgb="FF7030A0"/>
      </font>
    </dxf>
    <dxf>
      <font>
        <b/>
        <i val="0"/>
        <color rgb="FF00B050"/>
      </font>
    </dxf>
    <dxf>
      <font>
        <b/>
        <i val="0"/>
        <color rgb="FF7030A0"/>
      </font>
    </dxf>
    <dxf>
      <font>
        <b/>
        <i val="0"/>
        <color rgb="FF00B050"/>
      </font>
    </dxf>
    <dxf>
      <font>
        <b/>
        <i val="0"/>
        <color rgb="FF7030A0"/>
      </font>
    </dxf>
    <dxf>
      <font>
        <b/>
        <i val="0"/>
        <color rgb="FF00B050"/>
      </font>
    </dxf>
    <dxf>
      <font>
        <b/>
        <i val="0"/>
        <color rgb="FF7030A0"/>
      </font>
    </dxf>
    <dxf>
      <font>
        <b/>
        <i val="0"/>
        <color rgb="FF00B050"/>
      </font>
    </dxf>
    <dxf>
      <font>
        <b/>
        <i val="0"/>
        <color rgb="FF7030A0"/>
      </font>
    </dxf>
    <dxf>
      <font>
        <b/>
        <i val="0"/>
        <color rgb="FF00B050"/>
      </font>
    </dxf>
    <dxf>
      <font>
        <b/>
        <i val="0"/>
        <color rgb="FF7030A0"/>
      </font>
    </dxf>
    <dxf>
      <font>
        <b/>
        <i val="0"/>
        <color rgb="FF00B050"/>
      </font>
    </dxf>
    <dxf>
      <font>
        <b/>
        <i val="0"/>
        <color rgb="FF7030A0"/>
      </font>
    </dxf>
    <dxf>
      <font>
        <b/>
        <i val="0"/>
        <color rgb="FF00B050"/>
      </font>
    </dxf>
    <dxf>
      <font>
        <b/>
        <i val="0"/>
        <color rgb="FF7030A0"/>
      </font>
    </dxf>
    <dxf>
      <font>
        <b/>
        <i val="0"/>
        <color rgb="FF00B050"/>
      </font>
    </dxf>
    <dxf>
      <font>
        <b/>
        <i val="0"/>
        <color rgb="FF7030A0"/>
      </font>
    </dxf>
    <dxf>
      <font>
        <b/>
        <i val="0"/>
        <color rgb="FF00B050"/>
      </font>
    </dxf>
    <dxf>
      <font>
        <b/>
        <i val="0"/>
        <color rgb="FF7030A0"/>
      </font>
    </dxf>
    <dxf>
      <font>
        <b/>
        <i val="0"/>
        <color rgb="FF00B050"/>
      </font>
    </dxf>
    <dxf>
      <font>
        <b/>
        <i val="0"/>
        <color rgb="FF7030A0"/>
      </font>
    </dxf>
    <dxf>
      <font>
        <b/>
        <i val="0"/>
        <color rgb="FF00B050"/>
      </font>
    </dxf>
    <dxf>
      <font>
        <b/>
        <i val="0"/>
        <color rgb="FF7030A0"/>
      </font>
    </dxf>
  </dxfs>
  <tableStyles count="0" defaultTableStyle="TableStyleMedium9" defaultPivotStyle="PivotStyleMedium7"/>
  <colors>
    <mruColors>
      <color rgb="FFF4FAA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Office Theme">
  <a:themeElements>
    <a:clrScheme name="CLSA">
      <a:dk1>
        <a:sysClr val="windowText" lastClr="000000"/>
      </a:dk1>
      <a:lt1>
        <a:srgbClr val="FFFFFF"/>
      </a:lt1>
      <a:dk2>
        <a:srgbClr val="000000"/>
      </a:dk2>
      <a:lt2>
        <a:srgbClr val="FFFFFF"/>
      </a:lt2>
      <a:accent1>
        <a:srgbClr val="007298"/>
      </a:accent1>
      <a:accent2>
        <a:srgbClr val="00BFD6"/>
      </a:accent2>
      <a:accent3>
        <a:srgbClr val="72D54A"/>
      </a:accent3>
      <a:accent4>
        <a:srgbClr val="55565A"/>
      </a:accent4>
      <a:accent5>
        <a:srgbClr val="4BACC6"/>
      </a:accent5>
      <a:accent6>
        <a:srgbClr val="007298"/>
      </a:accent6>
      <a:hlink>
        <a:srgbClr val="00BFD6"/>
      </a:hlink>
      <a:folHlink>
        <a:srgbClr val="72D54A"/>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vmlDrawing" Target="../drawings/vmlDrawing1.v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printerSettings" Target="../printerSettings/printerSettings15.bin"/></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 Id="rId4" Type="http://schemas.openxmlformats.org/officeDocument/2006/relationships/comments" Target="../comments2.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21.bin"/></Relationships>
</file>

<file path=xl/worksheets/_rels/sheet17.xml.rels><?xml version="1.0" encoding="UTF-8" standalone="yes"?>
<Relationships xmlns="http://schemas.openxmlformats.org/package/2006/relationships"><Relationship Id="rId26" Type="http://schemas.openxmlformats.org/officeDocument/2006/relationships/hyperlink" Target="http://www.cignawillcenter.com/" TargetMode="External"/><Relationship Id="rId117" Type="http://schemas.openxmlformats.org/officeDocument/2006/relationships/hyperlink" Target="mailto:ccouture@wsandco.com" TargetMode="External"/><Relationship Id="rId21" Type="http://schemas.openxmlformats.org/officeDocument/2006/relationships/hyperlink" Target="mailto:Amy.Crites@blueshieldca.com" TargetMode="External"/><Relationship Id="rId42" Type="http://schemas.openxmlformats.org/officeDocument/2006/relationships/hyperlink" Target="mailto:tandrews@maestrohealth.com" TargetMode="External"/><Relationship Id="rId47" Type="http://schemas.openxmlformats.org/officeDocument/2006/relationships/hyperlink" Target="http://www.myuhc.com/" TargetMode="External"/><Relationship Id="rId63" Type="http://schemas.openxmlformats.org/officeDocument/2006/relationships/hyperlink" Target="mailto:mgreer@metlifeservice.com" TargetMode="External"/><Relationship Id="rId68" Type="http://schemas.openxmlformats.org/officeDocument/2006/relationships/hyperlink" Target="mailto:SPorath@metlife.com" TargetMode="External"/><Relationship Id="rId84" Type="http://schemas.openxmlformats.org/officeDocument/2006/relationships/hyperlink" Target="mailto:jbarden@goigoe.com" TargetMode="External"/><Relationship Id="rId89" Type="http://schemas.openxmlformats.org/officeDocument/2006/relationships/hyperlink" Target="mailto:Steve.carlson@zuman.com" TargetMode="External"/><Relationship Id="rId112" Type="http://schemas.openxmlformats.org/officeDocument/2006/relationships/hyperlink" Target="mailto:info@fortyseveninc.com" TargetMode="External"/><Relationship Id="rId133" Type="http://schemas.openxmlformats.org/officeDocument/2006/relationships/hyperlink" Target="mailto:gabrielle.anderson@theabdteam.com" TargetMode="External"/><Relationship Id="rId138" Type="http://schemas.openxmlformats.org/officeDocument/2006/relationships/hyperlink" Target="mailto:agnes.aguas@hubinternational.com" TargetMode="External"/><Relationship Id="rId154" Type="http://schemas.openxmlformats.org/officeDocument/2006/relationships/hyperlink" Target="mailto:Laura.Weiman@theABDteam.com" TargetMode="External"/><Relationship Id="rId159" Type="http://schemas.openxmlformats.org/officeDocument/2006/relationships/hyperlink" Target="http://www.unitedhealthcaremotion.com/" TargetMode="External"/><Relationship Id="rId175" Type="http://schemas.openxmlformats.org/officeDocument/2006/relationships/hyperlink" Target="mailto:ljordan@califesciences.org" TargetMode="External"/><Relationship Id="rId170" Type="http://schemas.openxmlformats.org/officeDocument/2006/relationships/hyperlink" Target="mailto:Jeffrey_p_dooley@uhc.com" TargetMode="External"/><Relationship Id="rId16" Type="http://schemas.openxmlformats.org/officeDocument/2006/relationships/hyperlink" Target="mailto:RMckown@goigoe.com" TargetMode="External"/><Relationship Id="rId107" Type="http://schemas.openxmlformats.org/officeDocument/2006/relationships/hyperlink" Target="mailto:Marielle.Clemo@Cigna.com" TargetMode="External"/><Relationship Id="rId11" Type="http://schemas.openxmlformats.org/officeDocument/2006/relationships/hyperlink" Target="mailto:Aleon@goigoe.com" TargetMode="External"/><Relationship Id="rId32" Type="http://schemas.openxmlformats.org/officeDocument/2006/relationships/hyperlink" Target="mailto:christopher.lang@metlife.com" TargetMode="External"/><Relationship Id="rId37" Type="http://schemas.openxmlformats.org/officeDocument/2006/relationships/hyperlink" Target="http://www.kp.org/" TargetMode="External"/><Relationship Id="rId53" Type="http://schemas.openxmlformats.org/officeDocument/2006/relationships/hyperlink" Target="mailto:Yumi.gormley@uhc.com" TargetMode="External"/><Relationship Id="rId58" Type="http://schemas.openxmlformats.org/officeDocument/2006/relationships/hyperlink" Target="mailto:pamela_d_arisman@uhc.com" TargetMode="External"/><Relationship Id="rId74" Type="http://schemas.openxmlformats.org/officeDocument/2006/relationships/hyperlink" Target="mailto:larry.crawford@cigna.com" TargetMode="External"/><Relationship Id="rId79" Type="http://schemas.openxmlformats.org/officeDocument/2006/relationships/hyperlink" Target="http://www.cigna.com/rewards" TargetMode="External"/><Relationship Id="rId102" Type="http://schemas.openxmlformats.org/officeDocument/2006/relationships/hyperlink" Target="mailto:arobinson@wsandco.com" TargetMode="External"/><Relationship Id="rId123" Type="http://schemas.openxmlformats.org/officeDocument/2006/relationships/hyperlink" Target="mailto:megan.delgado@theabdteam.com" TargetMode="External"/><Relationship Id="rId128" Type="http://schemas.openxmlformats.org/officeDocument/2006/relationships/hyperlink" Target="mailto:meredith.delia@theabdteam.com" TargetMode="External"/><Relationship Id="rId144" Type="http://schemas.openxmlformats.org/officeDocument/2006/relationships/hyperlink" Target="mailto:nicole.wivart@hubinternational.com" TargetMode="External"/><Relationship Id="rId149" Type="http://schemas.openxmlformats.org/officeDocument/2006/relationships/hyperlink" Target="mailto:dino.palavicino@hubinternational.com" TargetMode="External"/><Relationship Id="rId5" Type="http://schemas.openxmlformats.org/officeDocument/2006/relationships/hyperlink" Target="mailto:LargeGroup.MemberEligibility@blueshieldca.com" TargetMode="External"/><Relationship Id="rId90" Type="http://schemas.openxmlformats.org/officeDocument/2006/relationships/hyperlink" Target="mailto:jonathan.waterbury@zuman.com" TargetMode="External"/><Relationship Id="rId95" Type="http://schemas.openxmlformats.org/officeDocument/2006/relationships/hyperlink" Target="mailto:Carol.Seagreaves@cigna.com" TargetMode="External"/><Relationship Id="rId160" Type="http://schemas.openxmlformats.org/officeDocument/2006/relationships/hyperlink" Target="mailto:EDI@goigoe.com" TargetMode="External"/><Relationship Id="rId165" Type="http://schemas.openxmlformats.org/officeDocument/2006/relationships/hyperlink" Target="mailto:Karen.Hulsizer@cigna.com" TargetMode="External"/><Relationship Id="rId181" Type="http://schemas.openxmlformats.org/officeDocument/2006/relationships/hyperlink" Target="mailto:lyndsay.errington@theabdteam.com" TargetMode="External"/><Relationship Id="rId186" Type="http://schemas.openxmlformats.org/officeDocument/2006/relationships/comments" Target="../comments4.xml"/><Relationship Id="rId22" Type="http://schemas.openxmlformats.org/officeDocument/2006/relationships/hyperlink" Target="mailto:JLambertus@goigoe.com" TargetMode="External"/><Relationship Id="rId27" Type="http://schemas.openxmlformats.org/officeDocument/2006/relationships/hyperlink" Target="http://www.cigna.com/" TargetMode="External"/><Relationship Id="rId43" Type="http://schemas.openxmlformats.org/officeDocument/2006/relationships/hyperlink" Target="mailto:rvandenboogaard@maestrohealth.com" TargetMode="External"/><Relationship Id="rId48" Type="http://schemas.openxmlformats.org/officeDocument/2006/relationships/hyperlink" Target="http://www.optumbank.com/" TargetMode="External"/><Relationship Id="rId64" Type="http://schemas.openxmlformats.org/officeDocument/2006/relationships/hyperlink" Target="mailto:clemke@metlife.com" TargetMode="External"/><Relationship Id="rId69" Type="http://schemas.openxmlformats.org/officeDocument/2006/relationships/hyperlink" Target="mailto:michelle.y.trout@metlife.com" TargetMode="External"/><Relationship Id="rId113" Type="http://schemas.openxmlformats.org/officeDocument/2006/relationships/hyperlink" Target="mailto:cathy.walker@theabdteam.com" TargetMode="External"/><Relationship Id="rId118" Type="http://schemas.openxmlformats.org/officeDocument/2006/relationships/hyperlink" Target="mailto:people.ops@zuman.com" TargetMode="External"/><Relationship Id="rId134" Type="http://schemas.openxmlformats.org/officeDocument/2006/relationships/hyperlink" Target="mailto:Zechariah.Lumpkin@Cigna.com" TargetMode="External"/><Relationship Id="rId139" Type="http://schemas.openxmlformats.org/officeDocument/2006/relationships/hyperlink" Target="mailto:amy.decker@hubinternational.com" TargetMode="External"/><Relationship Id="rId80" Type="http://schemas.openxmlformats.org/officeDocument/2006/relationships/hyperlink" Target="http://www.cignabehavioral.com/cgi" TargetMode="External"/><Relationship Id="rId85" Type="http://schemas.openxmlformats.org/officeDocument/2006/relationships/hyperlink" Target="mailto:jennyfer.larkin@hubinternational.com" TargetMode="External"/><Relationship Id="rId150" Type="http://schemas.openxmlformats.org/officeDocument/2006/relationships/hyperlink" Target="mailto:michelle.trudeau@theabdteam.com" TargetMode="External"/><Relationship Id="rId155" Type="http://schemas.openxmlformats.org/officeDocument/2006/relationships/hyperlink" Target="mailto:Sara.Barba@hubinternational.com" TargetMode="External"/><Relationship Id="rId171" Type="http://schemas.openxmlformats.org/officeDocument/2006/relationships/hyperlink" Target="mailto:mark.anderson@theabdteam.com" TargetMode="External"/><Relationship Id="rId176" Type="http://schemas.openxmlformats.org/officeDocument/2006/relationships/hyperlink" Target="mailto:daniel.roth@optum.com" TargetMode="External"/><Relationship Id="rId12" Type="http://schemas.openxmlformats.org/officeDocument/2006/relationships/hyperlink" Target="mailto:Cobra@goigoe.com" TargetMode="External"/><Relationship Id="rId17" Type="http://schemas.openxmlformats.org/officeDocument/2006/relationships/hyperlink" Target="mailto:SPorath@metlife.com" TargetMode="External"/><Relationship Id="rId33" Type="http://schemas.openxmlformats.org/officeDocument/2006/relationships/hyperlink" Target="http://www.metlife.com/dental" TargetMode="External"/><Relationship Id="rId38" Type="http://schemas.openxmlformats.org/officeDocument/2006/relationships/hyperlink" Target="mailto:Brian.Tiller@blueshieldca.com" TargetMode="External"/><Relationship Id="rId59" Type="http://schemas.openxmlformats.org/officeDocument/2006/relationships/hyperlink" Target="mailto:Joanne_M_Martin@uhc.com" TargetMode="External"/><Relationship Id="rId103" Type="http://schemas.openxmlformats.org/officeDocument/2006/relationships/hyperlink" Target="mailto:kprosser@wsandco.com" TargetMode="External"/><Relationship Id="rId108" Type="http://schemas.openxmlformats.org/officeDocument/2006/relationships/hyperlink" Target="mailto:CGIClientService@Cigna.com" TargetMode="External"/><Relationship Id="rId124" Type="http://schemas.openxmlformats.org/officeDocument/2006/relationships/hyperlink" Target="mailto:BethlehemMail@Cigna.com" TargetMode="External"/><Relationship Id="rId129" Type="http://schemas.openxmlformats.org/officeDocument/2006/relationships/hyperlink" Target="mailto:mryan@wsandco.com" TargetMode="External"/><Relationship Id="rId54" Type="http://schemas.openxmlformats.org/officeDocument/2006/relationships/hyperlink" Target="mailto:anthony_ocampo@uhc.com" TargetMode="External"/><Relationship Id="rId70" Type="http://schemas.openxmlformats.org/officeDocument/2006/relationships/hyperlink" Target="mailto:adam.frederick@cigna.com" TargetMode="External"/><Relationship Id="rId75" Type="http://schemas.openxmlformats.org/officeDocument/2006/relationships/hyperlink" Target="mailto:jennifel.paik@cigna.com" TargetMode="External"/><Relationship Id="rId91" Type="http://schemas.openxmlformats.org/officeDocument/2006/relationships/hyperlink" Target="mailto:gary.bryson@zuman.com" TargetMode="External"/><Relationship Id="rId96" Type="http://schemas.openxmlformats.org/officeDocument/2006/relationships/hyperlink" Target="http://www.businessnet.kp.org/" TargetMode="External"/><Relationship Id="rId140" Type="http://schemas.openxmlformats.org/officeDocument/2006/relationships/hyperlink" Target="mailto:kevin.lewisgrenz@hubinternational.com" TargetMode="External"/><Relationship Id="rId145" Type="http://schemas.openxmlformats.org/officeDocument/2006/relationships/hyperlink" Target="mailto:debbie.mangels@theabdteam.com" TargetMode="External"/><Relationship Id="rId161" Type="http://schemas.openxmlformats.org/officeDocument/2006/relationships/hyperlink" Target="mailto:EDI@goigoe.com" TargetMode="External"/><Relationship Id="rId166" Type="http://schemas.openxmlformats.org/officeDocument/2006/relationships/hyperlink" Target="mailto:LFarrer@goigoe.com" TargetMode="External"/><Relationship Id="rId182" Type="http://schemas.openxmlformats.org/officeDocument/2006/relationships/hyperlink" Target="mailto:fkonrad@wsandco.com" TargetMode="External"/><Relationship Id="rId1" Type="http://schemas.openxmlformats.org/officeDocument/2006/relationships/printerSettings" Target="../printerSettings/printerSettings22.bin"/><Relationship Id="rId6" Type="http://schemas.openxmlformats.org/officeDocument/2006/relationships/hyperlink" Target="mailto:champion@hubinternational.com" TargetMode="External"/><Relationship Id="rId23" Type="http://schemas.openxmlformats.org/officeDocument/2006/relationships/hyperlink" Target="mailto:Lance.Petit@cigna.com" TargetMode="External"/><Relationship Id="rId28" Type="http://schemas.openxmlformats.org/officeDocument/2006/relationships/hyperlink" Target="http://www.cigna.com/" TargetMode="External"/><Relationship Id="rId49" Type="http://schemas.openxmlformats.org/officeDocument/2006/relationships/hyperlink" Target="http://www.optumbank.com/" TargetMode="External"/><Relationship Id="rId114" Type="http://schemas.openxmlformats.org/officeDocument/2006/relationships/hyperlink" Target="mailto:ABDanswers@theabdteam.com" TargetMode="External"/><Relationship Id="rId119" Type="http://schemas.openxmlformats.org/officeDocument/2006/relationships/hyperlink" Target="mailto:Pamela.Garnett@Cigna.com" TargetMode="External"/><Relationship Id="rId44" Type="http://schemas.openxmlformats.org/officeDocument/2006/relationships/hyperlink" Target="mailto:sbutler@maestrohealth.com" TargetMode="External"/><Relationship Id="rId60" Type="http://schemas.openxmlformats.org/officeDocument/2006/relationships/hyperlink" Target="mailto:Caroline.Caruso@optum.com" TargetMode="External"/><Relationship Id="rId65" Type="http://schemas.openxmlformats.org/officeDocument/2006/relationships/hyperlink" Target="mailto:SPorath@metlife.com" TargetMode="External"/><Relationship Id="rId81" Type="http://schemas.openxmlformats.org/officeDocument/2006/relationships/hyperlink" Target="mailto:rjohnson@maestrohealth.com" TargetMode="External"/><Relationship Id="rId86" Type="http://schemas.openxmlformats.org/officeDocument/2006/relationships/hyperlink" Target="mailto:lisa.crosby@zuman.com" TargetMode="External"/><Relationship Id="rId130" Type="http://schemas.openxmlformats.org/officeDocument/2006/relationships/hyperlink" Target="mailto:svillaroman@wsandco.com" TargetMode="External"/><Relationship Id="rId135" Type="http://schemas.openxmlformats.org/officeDocument/2006/relationships/hyperlink" Target="mailto:Felicia.Rivera@Cigna.com" TargetMode="External"/><Relationship Id="rId151" Type="http://schemas.openxmlformats.org/officeDocument/2006/relationships/hyperlink" Target="mailto:Maggie.Osburn@hubinternational.com" TargetMode="External"/><Relationship Id="rId156" Type="http://schemas.openxmlformats.org/officeDocument/2006/relationships/hyperlink" Target="mailto:jlopez@goigoe.com" TargetMode="External"/><Relationship Id="rId177" Type="http://schemas.openxmlformats.org/officeDocument/2006/relationships/hyperlink" Target="mailto:cary@zuman.com" TargetMode="External"/><Relationship Id="rId4" Type="http://schemas.openxmlformats.org/officeDocument/2006/relationships/hyperlink" Target="mailto:Group.Billing@blueshieldca.com" TargetMode="External"/><Relationship Id="rId9" Type="http://schemas.openxmlformats.org/officeDocument/2006/relationships/hyperlink" Target="mailto:lisa.ness@hubinternational.com" TargetMode="External"/><Relationship Id="rId172" Type="http://schemas.openxmlformats.org/officeDocument/2006/relationships/hyperlink" Target="mailto:darren.brown@theabdteam.com" TargetMode="External"/><Relationship Id="rId180" Type="http://schemas.openxmlformats.org/officeDocument/2006/relationships/hyperlink" Target="mailto:Courtney.Stanley@hubinternational.com" TargetMode="External"/><Relationship Id="rId13" Type="http://schemas.openxmlformats.org/officeDocument/2006/relationships/hyperlink" Target="mailto:CorePriority@blueshieldca.com" TargetMode="External"/><Relationship Id="rId18" Type="http://schemas.openxmlformats.org/officeDocument/2006/relationships/hyperlink" Target="mailto:Flex@goigoe.com" TargetMode="External"/><Relationship Id="rId39" Type="http://schemas.openxmlformats.org/officeDocument/2006/relationships/hyperlink" Target="mailto:Matthew.Leming@blueshieldca.com" TargetMode="External"/><Relationship Id="rId109" Type="http://schemas.openxmlformats.org/officeDocument/2006/relationships/hyperlink" Target="mailto:MGrey@goigoe.com" TargetMode="External"/><Relationship Id="rId34" Type="http://schemas.openxmlformats.org/officeDocument/2006/relationships/hyperlink" Target="http://www.metlife.com/" TargetMode="External"/><Relationship Id="rId50" Type="http://schemas.openxmlformats.org/officeDocument/2006/relationships/hyperlink" Target="http://www.liveandworkwell.com/" TargetMode="External"/><Relationship Id="rId55" Type="http://schemas.openxmlformats.org/officeDocument/2006/relationships/hyperlink" Target="mailto:JulieAnn.Zablan@uhc.com" TargetMode="External"/><Relationship Id="rId76" Type="http://schemas.openxmlformats.org/officeDocument/2006/relationships/hyperlink" Target="mailto:william.miller@cigna.com" TargetMode="External"/><Relationship Id="rId97" Type="http://schemas.openxmlformats.org/officeDocument/2006/relationships/hyperlink" Target="http://www.brokernet.kp.org/" TargetMode="External"/><Relationship Id="rId104" Type="http://schemas.openxmlformats.org/officeDocument/2006/relationships/hyperlink" Target="mailto:sri.tennety@zuman.com" TargetMode="External"/><Relationship Id="rId120" Type="http://schemas.openxmlformats.org/officeDocument/2006/relationships/hyperlink" Target="mailto:danielle.romero@theabdteam.com" TargetMode="External"/><Relationship Id="rId125" Type="http://schemas.openxmlformats.org/officeDocument/2006/relationships/hyperlink" Target="mailto:michelle.parker@theabdteam.com" TargetMode="External"/><Relationship Id="rId141" Type="http://schemas.openxmlformats.org/officeDocument/2006/relationships/hyperlink" Target="mailto:jennifer.newberry@hubinternational.com" TargetMode="External"/><Relationship Id="rId146" Type="http://schemas.openxmlformats.org/officeDocument/2006/relationships/hyperlink" Target="mailto:sam@califesciences.org" TargetMode="External"/><Relationship Id="rId167" Type="http://schemas.openxmlformats.org/officeDocument/2006/relationships/hyperlink" Target="mailto:Abeatima@goigoe.com" TargetMode="External"/><Relationship Id="rId7" Type="http://schemas.openxmlformats.org/officeDocument/2006/relationships/hyperlink" Target="mailto:david.duenas@hubinternational.com" TargetMode="External"/><Relationship Id="rId71" Type="http://schemas.openxmlformats.org/officeDocument/2006/relationships/hyperlink" Target="mailto:gideon.brady@cigna.com" TargetMode="External"/><Relationship Id="rId92" Type="http://schemas.openxmlformats.org/officeDocument/2006/relationships/hyperlink" Target="mailto:janaki.guduru@zuman.com" TargetMode="External"/><Relationship Id="rId162" Type="http://schemas.openxmlformats.org/officeDocument/2006/relationships/hyperlink" Target="mailto:jmasangcay@goigoe.com" TargetMode="External"/><Relationship Id="rId183" Type="http://schemas.openxmlformats.org/officeDocument/2006/relationships/printerSettings" Target="../printerSettings/printerSettings23.bin"/><Relationship Id="rId2" Type="http://schemas.openxmlformats.org/officeDocument/2006/relationships/hyperlink" Target="mailto:Lauren.Tyler@blueshieldca.com" TargetMode="External"/><Relationship Id="rId29" Type="http://schemas.openxmlformats.org/officeDocument/2006/relationships/hyperlink" Target="mailto:Stacy.A.Moskowitz@kp.org" TargetMode="External"/><Relationship Id="rId24" Type="http://schemas.openxmlformats.org/officeDocument/2006/relationships/hyperlink" Target="mailto:Andres.x.Rodriguez@kp.org" TargetMode="External"/><Relationship Id="rId40" Type="http://schemas.openxmlformats.org/officeDocument/2006/relationships/hyperlink" Target="mailto:mike.saipe@blueshieldca.com" TargetMode="External"/><Relationship Id="rId45" Type="http://schemas.openxmlformats.org/officeDocument/2006/relationships/hyperlink" Target="mailto:econdron@maestrohealth.com" TargetMode="External"/><Relationship Id="rId66" Type="http://schemas.openxmlformats.org/officeDocument/2006/relationships/hyperlink" Target="mailto:lisa.palomares@metlife.com" TargetMode="External"/><Relationship Id="rId87" Type="http://schemas.openxmlformats.org/officeDocument/2006/relationships/hyperlink" Target="mailto:brent.simmons@hubinternational.com" TargetMode="External"/><Relationship Id="rId110" Type="http://schemas.openxmlformats.org/officeDocument/2006/relationships/hyperlink" Target="mailto:hoang.tran@theabdteam.com" TargetMode="External"/><Relationship Id="rId115" Type="http://schemas.openxmlformats.org/officeDocument/2006/relationships/hyperlink" Target="mailto:cnussbaum@wsandco.com" TargetMode="External"/><Relationship Id="rId131" Type="http://schemas.openxmlformats.org/officeDocument/2006/relationships/hyperlink" Target="mailto:aarnone@wsandco.com" TargetMode="External"/><Relationship Id="rId136" Type="http://schemas.openxmlformats.org/officeDocument/2006/relationships/hyperlink" Target="mailto:christina.ly@hubinternational.com" TargetMode="External"/><Relationship Id="rId157" Type="http://schemas.openxmlformats.org/officeDocument/2006/relationships/hyperlink" Target="mailto:lslay@wsandco.com" TargetMode="External"/><Relationship Id="rId178" Type="http://schemas.openxmlformats.org/officeDocument/2006/relationships/hyperlink" Target="mailto:shelleen.rivera@theabdteam.com" TargetMode="External"/><Relationship Id="rId61" Type="http://schemas.openxmlformats.org/officeDocument/2006/relationships/hyperlink" Target="mailto:hsagroup@optumbank.com" TargetMode="External"/><Relationship Id="rId82" Type="http://schemas.openxmlformats.org/officeDocument/2006/relationships/hyperlink" Target="mailto:servicesupport@maestrohealth.com" TargetMode="External"/><Relationship Id="rId152" Type="http://schemas.openxmlformats.org/officeDocument/2006/relationships/hyperlink" Target="mailto:chi.dinh@theabdteam.com" TargetMode="External"/><Relationship Id="rId173" Type="http://schemas.openxmlformats.org/officeDocument/2006/relationships/hyperlink" Target="mailto:cstcyr@califesciences.org" TargetMode="External"/><Relationship Id="rId19" Type="http://schemas.openxmlformats.org/officeDocument/2006/relationships/hyperlink" Target="mailto:LaKeshia.M.Kimble@kp.org" TargetMode="External"/><Relationship Id="rId14" Type="http://schemas.openxmlformats.org/officeDocument/2006/relationships/hyperlink" Target="mailto:csc-sd-sba@kp.org" TargetMode="External"/><Relationship Id="rId30" Type="http://schemas.openxmlformats.org/officeDocument/2006/relationships/hyperlink" Target="http://www.myprimemail.com/" TargetMode="External"/><Relationship Id="rId35" Type="http://schemas.openxmlformats.org/officeDocument/2006/relationships/hyperlink" Target="mailto:employerservices@healthequity.com" TargetMode="External"/><Relationship Id="rId56" Type="http://schemas.openxmlformats.org/officeDocument/2006/relationships/hyperlink" Target="mailto:Cynnia.chavez@uhc.com" TargetMode="External"/><Relationship Id="rId77" Type="http://schemas.openxmlformats.org/officeDocument/2006/relationships/hyperlink" Target="mailto:MedicalUW@amwins.com(When%20you%20email%20to%20this%20address,%20please%20be%20sure%20to%20use%20your%20company's%20secure%20email%20process)" TargetMode="External"/><Relationship Id="rId100" Type="http://schemas.openxmlformats.org/officeDocument/2006/relationships/hyperlink" Target="mailto:angie.lopez@theabdteam.com" TargetMode="External"/><Relationship Id="rId105" Type="http://schemas.openxmlformats.org/officeDocument/2006/relationships/hyperlink" Target="mailto:Delores.Krishna@zuman.com" TargetMode="External"/><Relationship Id="rId126" Type="http://schemas.openxmlformats.org/officeDocument/2006/relationships/hyperlink" Target="mailto:shaslam@wsandco.com" TargetMode="External"/><Relationship Id="rId147" Type="http://schemas.openxmlformats.org/officeDocument/2006/relationships/hyperlink" Target="http://califesciences.org/member-resources/join-renew-today/" TargetMode="External"/><Relationship Id="rId168" Type="http://schemas.openxmlformats.org/officeDocument/2006/relationships/hyperlink" Target="mailto:michelle_g_vollrath@uhc.com" TargetMode="External"/><Relationship Id="rId8" Type="http://schemas.openxmlformats.org/officeDocument/2006/relationships/hyperlink" Target="mailto:ashley.ball@hubinternational.com" TargetMode="External"/><Relationship Id="rId51" Type="http://schemas.openxmlformats.org/officeDocument/2006/relationships/hyperlink" Target="http://www.myuhc.com/" TargetMode="External"/><Relationship Id="rId72" Type="http://schemas.openxmlformats.org/officeDocument/2006/relationships/hyperlink" Target="mailto:jennifer.cherry@cigna.com" TargetMode="External"/><Relationship Id="rId93" Type="http://schemas.openxmlformats.org/officeDocument/2006/relationships/hyperlink" Target="http://www.employereservices.com/" TargetMode="External"/><Relationship Id="rId98" Type="http://schemas.openxmlformats.org/officeDocument/2006/relationships/hyperlink" Target="mailto:STanner@MaestroHealth.com" TargetMode="External"/><Relationship Id="rId121" Type="http://schemas.openxmlformats.org/officeDocument/2006/relationships/hyperlink" Target="http://www.cigna.com/" TargetMode="External"/><Relationship Id="rId142" Type="http://schemas.openxmlformats.org/officeDocument/2006/relationships/hyperlink" Target="mailto:mary.rose@hubinternational.com" TargetMode="External"/><Relationship Id="rId163" Type="http://schemas.openxmlformats.org/officeDocument/2006/relationships/hyperlink" Target="mailto:clsatechsupport@zuman.com" TargetMode="External"/><Relationship Id="rId184" Type="http://schemas.openxmlformats.org/officeDocument/2006/relationships/vmlDrawing" Target="../drawings/vmlDrawing5.vml"/><Relationship Id="rId3" Type="http://schemas.openxmlformats.org/officeDocument/2006/relationships/hyperlink" Target="mailto:Judy.Shea@blueshieldca.com" TargetMode="External"/><Relationship Id="rId25" Type="http://schemas.openxmlformats.org/officeDocument/2006/relationships/hyperlink" Target="mailto:irvine_service@metlifeservice.com" TargetMode="External"/><Relationship Id="rId46" Type="http://schemas.openxmlformats.org/officeDocument/2006/relationships/hyperlink" Target="mailto:blittle@healthequity.com" TargetMode="External"/><Relationship Id="rId67" Type="http://schemas.openxmlformats.org/officeDocument/2006/relationships/hyperlink" Target="mailto:Phoenix_Service@metlifeservice.com" TargetMode="External"/><Relationship Id="rId116" Type="http://schemas.openxmlformats.org/officeDocument/2006/relationships/hyperlink" Target="mailto:faye.lewis@theabdteam.com" TargetMode="External"/><Relationship Id="rId137" Type="http://schemas.openxmlformats.org/officeDocument/2006/relationships/hyperlink" Target="mailto:nancy.howitt@hubinternational.com" TargetMode="External"/><Relationship Id="rId158" Type="http://schemas.openxmlformats.org/officeDocument/2006/relationships/hyperlink" Target="mailto:dfike@wsandco.com" TargetMode="External"/><Relationship Id="rId20" Type="http://schemas.openxmlformats.org/officeDocument/2006/relationships/hyperlink" Target="mailto:Christina.U.Garcia@kp.org" TargetMode="External"/><Relationship Id="rId41" Type="http://schemas.openxmlformats.org/officeDocument/2006/relationships/hyperlink" Target="mailto:heather.garbers@hubinternational.com" TargetMode="External"/><Relationship Id="rId62" Type="http://schemas.openxmlformats.org/officeDocument/2006/relationships/hyperlink" Target="mailto:natang@metlife.com" TargetMode="External"/><Relationship Id="rId83" Type="http://schemas.openxmlformats.org/officeDocument/2006/relationships/hyperlink" Target="mailto:FMontalvo@goigoe.com" TargetMode="External"/><Relationship Id="rId88" Type="http://schemas.openxmlformats.org/officeDocument/2006/relationships/hyperlink" Target="mailto:doug.devlin@zuman.com" TargetMode="External"/><Relationship Id="rId111" Type="http://schemas.openxmlformats.org/officeDocument/2006/relationships/hyperlink" Target="mailto:andrea.trudeau@theabdteam.com" TargetMode="External"/><Relationship Id="rId132" Type="http://schemas.openxmlformats.org/officeDocument/2006/relationships/hyperlink" Target="mailto:kfung@wsandco.com" TargetMode="External"/><Relationship Id="rId153" Type="http://schemas.openxmlformats.org/officeDocument/2006/relationships/hyperlink" Target="mailto:Nicole.Willingham@TheABDTeam.com" TargetMode="External"/><Relationship Id="rId174" Type="http://schemas.openxmlformats.org/officeDocument/2006/relationships/hyperlink" Target="mailto:joe@califesciences.org" TargetMode="External"/><Relationship Id="rId179" Type="http://schemas.openxmlformats.org/officeDocument/2006/relationships/hyperlink" Target="mailto:renee.polk@theabdteam.com" TargetMode="External"/><Relationship Id="rId15" Type="http://schemas.openxmlformats.org/officeDocument/2006/relationships/hyperlink" Target="mailto:amt@kp.org" TargetMode="External"/><Relationship Id="rId36" Type="http://schemas.openxmlformats.org/officeDocument/2006/relationships/hyperlink" Target="mailto:csu.ca@kp.org" TargetMode="External"/><Relationship Id="rId57" Type="http://schemas.openxmlformats.org/officeDocument/2006/relationships/hyperlink" Target="mailto:kathy_l_smith@uhc.com" TargetMode="External"/><Relationship Id="rId106" Type="http://schemas.openxmlformats.org/officeDocument/2006/relationships/hyperlink" Target="mailto:people.ops@zuman.com" TargetMode="External"/><Relationship Id="rId127" Type="http://schemas.openxmlformats.org/officeDocument/2006/relationships/hyperlink" Target="mailto:vstuckey@wsandco.com" TargetMode="External"/><Relationship Id="rId10" Type="http://schemas.openxmlformats.org/officeDocument/2006/relationships/hyperlink" Target="mailto:memberservices@healthequity.com" TargetMode="External"/><Relationship Id="rId31" Type="http://schemas.openxmlformats.org/officeDocument/2006/relationships/hyperlink" Target="http://www.bcbs.com/healthtravel/finder.html" TargetMode="External"/><Relationship Id="rId52" Type="http://schemas.openxmlformats.org/officeDocument/2006/relationships/hyperlink" Target="mailto:Nick.schubert@uhc.com" TargetMode="External"/><Relationship Id="rId73" Type="http://schemas.openxmlformats.org/officeDocument/2006/relationships/hyperlink" Target="mailto:amanda.lekse@cigna.com" TargetMode="External"/><Relationship Id="rId78" Type="http://schemas.openxmlformats.org/officeDocument/2006/relationships/hyperlink" Target="mailto:MedicalUW@amwins.com(When%20you%20email%20to%20this%20address,%20please%20be%20sure%20to%20use%20your%20company's%20secure%20email%20process)" TargetMode="External"/><Relationship Id="rId94" Type="http://schemas.openxmlformats.org/officeDocument/2006/relationships/hyperlink" Target="mailto:Steven.Macias@Cigna.com" TargetMode="External"/><Relationship Id="rId99" Type="http://schemas.openxmlformats.org/officeDocument/2006/relationships/hyperlink" Target="mailto:implementationsupport@maestrohealth.com" TargetMode="External"/><Relationship Id="rId101" Type="http://schemas.openxmlformats.org/officeDocument/2006/relationships/hyperlink" Target="http://portal.clsatrust.com/" TargetMode="External"/><Relationship Id="rId122" Type="http://schemas.openxmlformats.org/officeDocument/2006/relationships/hyperlink" Target="mailto:tommy.hendrickson@theabdteam.com" TargetMode="External"/><Relationship Id="rId143" Type="http://schemas.openxmlformats.org/officeDocument/2006/relationships/hyperlink" Target="mailto:Andrew.Littlefair@hubinternational.com" TargetMode="External"/><Relationship Id="rId148" Type="http://schemas.openxmlformats.org/officeDocument/2006/relationships/hyperlink" Target="http://www.clsatrust.com/" TargetMode="External"/><Relationship Id="rId164" Type="http://schemas.openxmlformats.org/officeDocument/2006/relationships/hyperlink" Target="mailto:Megan.Wallace@hubinternational.com" TargetMode="External"/><Relationship Id="rId169" Type="http://schemas.openxmlformats.org/officeDocument/2006/relationships/hyperlink" Target="mailto:maurice.couser@uhc.com" TargetMode="External"/><Relationship Id="rId185" Type="http://schemas.openxmlformats.org/officeDocument/2006/relationships/vmlDrawing" Target="../drawings/vmlDrawing6.v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28.bin"/><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sheetPr>
  <dimension ref="A1:BL1066"/>
  <sheetViews>
    <sheetView view="pageBreakPreview" zoomScale="72" zoomScaleNormal="80" zoomScaleSheetLayoutView="72" workbookViewId="0">
      <pane xSplit="1" ySplit="1" topLeftCell="B54" activePane="bottomRight" state="frozen"/>
      <selection activeCell="H1" sqref="H1:K1048576"/>
      <selection pane="topRight" activeCell="H1" sqref="H1:K1048576"/>
      <selection pane="bottomLeft" activeCell="H1" sqref="H1:K1048576"/>
      <selection pane="bottomRight" activeCell="B54" sqref="B54:B57"/>
    </sheetView>
  </sheetViews>
  <sheetFormatPr defaultColWidth="11" defaultRowHeight="15.75"/>
  <cols>
    <col min="1" max="1" width="29.375" style="31" customWidth="1"/>
    <col min="2" max="2" width="7.625" style="31" customWidth="1"/>
    <col min="3" max="3" width="14.875" style="393" customWidth="1"/>
    <col min="4" max="4" width="16.625" style="31" customWidth="1"/>
    <col min="5" max="5" width="24.125" style="31" customWidth="1"/>
    <col min="6" max="6" width="23.875" style="31" customWidth="1"/>
    <col min="7" max="8" width="16.625" style="31" customWidth="1"/>
    <col min="9" max="9" width="9.625" style="32" customWidth="1"/>
    <col min="10" max="10" width="10.125" style="32" customWidth="1"/>
    <col min="11" max="11" width="9.625" style="32" customWidth="1"/>
    <col min="12" max="12" width="11.5" style="33" customWidth="1"/>
    <col min="13" max="13" width="8.125" style="31" customWidth="1"/>
    <col min="14" max="14" width="8.875" style="31" customWidth="1"/>
    <col min="15" max="15" width="16.625" style="31" customWidth="1"/>
    <col min="16" max="16" width="8.125" style="31" customWidth="1"/>
    <col min="17" max="17" width="9.625" style="31" customWidth="1"/>
    <col min="18" max="18" width="10.375" style="31" customWidth="1"/>
    <col min="19" max="19" width="11.625" style="31" customWidth="1"/>
    <col min="20" max="20" width="8.625" style="31" customWidth="1"/>
    <col min="21" max="21" width="9" style="31" customWidth="1"/>
    <col min="22" max="22" width="14.5" style="31" customWidth="1"/>
    <col min="23" max="23" width="11.125" style="31" customWidth="1"/>
    <col min="24" max="24" width="10.875" style="31" customWidth="1"/>
    <col min="25" max="25" width="16.625" style="31" customWidth="1"/>
    <col min="26" max="26" width="16.625" style="34" customWidth="1"/>
    <col min="27" max="27" width="16.625" style="31" customWidth="1"/>
    <col min="28" max="28" width="16.625" style="34" customWidth="1"/>
    <col min="29" max="29" width="16.625" style="31" customWidth="1"/>
    <col min="30" max="30" width="16.625" style="34" customWidth="1"/>
    <col min="31" max="31" width="16.625" style="31" customWidth="1"/>
    <col min="32" max="32" width="16.625" style="34" customWidth="1"/>
    <col min="33" max="33" width="16.625" style="31" customWidth="1"/>
    <col min="34" max="34" width="16.625" style="34" customWidth="1"/>
    <col min="35" max="35" width="16.625" style="31" customWidth="1"/>
    <col min="36" max="36" width="16.625" style="34" customWidth="1"/>
    <col min="37" max="37" width="12.5" style="31" customWidth="1"/>
    <col min="38" max="38" width="11.875" style="31" customWidth="1"/>
    <col min="39" max="39" width="12.625" style="31" customWidth="1"/>
    <col min="40" max="40" width="15.875" style="31" customWidth="1"/>
    <col min="41" max="41" width="11.5" style="31" customWidth="1"/>
    <col min="42" max="42" width="11.125" style="31" customWidth="1"/>
    <col min="43" max="43" width="12.875" style="31" customWidth="1"/>
    <col min="44" max="44" width="13.125" style="34" customWidth="1"/>
    <col min="45" max="45" width="13.125" style="31" customWidth="1"/>
    <col min="46" max="46" width="12.625" style="31" customWidth="1"/>
    <col min="47" max="47" width="13.125" style="34" customWidth="1"/>
    <col min="48" max="48" width="16.625" style="34" customWidth="1"/>
    <col min="49" max="49" width="16.625" style="31" customWidth="1"/>
    <col min="50" max="50" width="16.625" style="35" customWidth="1"/>
    <col min="51" max="51" width="16.625" style="36" customWidth="1"/>
    <col min="52" max="52" width="16.625" style="34" customWidth="1"/>
    <col min="53" max="53" width="16.625" style="31" customWidth="1"/>
    <col min="54" max="54" width="16.625" style="35" customWidth="1"/>
    <col min="55" max="55" width="16.625" style="36" customWidth="1"/>
    <col min="56" max="56" width="16.625" style="34" customWidth="1"/>
    <col min="57" max="57" width="16.625" style="31" customWidth="1"/>
    <col min="58" max="58" width="16.625" style="35" customWidth="1"/>
    <col min="59" max="59" width="16.625" style="36" customWidth="1"/>
    <col min="60" max="60" width="16.625" style="34" customWidth="1"/>
    <col min="61" max="61" width="16.625" style="31" customWidth="1"/>
    <col min="62" max="62" width="16.625" style="35" customWidth="1"/>
    <col min="63" max="63" width="16.625" style="36" customWidth="1"/>
    <col min="64" max="64" width="11" style="31" customWidth="1"/>
    <col min="65" max="16384" width="11" style="31"/>
  </cols>
  <sheetData>
    <row r="1" spans="1:63" s="79" customFormat="1" ht="75.75" customHeight="1" thickBot="1">
      <c r="A1" s="60" t="s">
        <v>0</v>
      </c>
      <c r="B1" s="61" t="s">
        <v>19</v>
      </c>
      <c r="C1" s="392" t="s">
        <v>17</v>
      </c>
      <c r="D1" s="61" t="s">
        <v>1</v>
      </c>
      <c r="E1" s="61" t="s">
        <v>20</v>
      </c>
      <c r="F1" s="61" t="s">
        <v>21</v>
      </c>
      <c r="G1" s="61" t="s">
        <v>3663</v>
      </c>
      <c r="H1" s="61" t="s">
        <v>22</v>
      </c>
      <c r="I1" s="62" t="s">
        <v>2472</v>
      </c>
      <c r="J1" s="62" t="s">
        <v>4381</v>
      </c>
      <c r="K1" s="62" t="s">
        <v>225</v>
      </c>
      <c r="L1" s="63" t="s">
        <v>8</v>
      </c>
      <c r="M1" s="61" t="s">
        <v>13</v>
      </c>
      <c r="N1" s="61" t="s">
        <v>14</v>
      </c>
      <c r="O1" s="61" t="s">
        <v>18</v>
      </c>
      <c r="P1" s="61" t="s">
        <v>23</v>
      </c>
      <c r="Q1" s="61" t="s">
        <v>24</v>
      </c>
      <c r="R1" s="61" t="s">
        <v>15</v>
      </c>
      <c r="S1" s="61" t="s">
        <v>16</v>
      </c>
      <c r="T1" s="61" t="s">
        <v>2475</v>
      </c>
      <c r="U1" s="61" t="s">
        <v>2476</v>
      </c>
      <c r="V1" s="61" t="s">
        <v>251</v>
      </c>
      <c r="W1" s="61" t="s">
        <v>5505</v>
      </c>
      <c r="X1" s="61" t="s">
        <v>5506</v>
      </c>
      <c r="Y1" s="64" t="s">
        <v>2</v>
      </c>
      <c r="Z1" s="65" t="s">
        <v>3</v>
      </c>
      <c r="AA1" s="66" t="s">
        <v>4</v>
      </c>
      <c r="AB1" s="67" t="s">
        <v>5</v>
      </c>
      <c r="AC1" s="68" t="s">
        <v>7</v>
      </c>
      <c r="AD1" s="69" t="s">
        <v>6</v>
      </c>
      <c r="AE1" s="70" t="s">
        <v>26</v>
      </c>
      <c r="AF1" s="71" t="s">
        <v>27</v>
      </c>
      <c r="AG1" s="72" t="s">
        <v>28</v>
      </c>
      <c r="AH1" s="73" t="s">
        <v>29</v>
      </c>
      <c r="AI1" s="74" t="s">
        <v>30</v>
      </c>
      <c r="AJ1" s="75" t="s">
        <v>31</v>
      </c>
      <c r="AK1" s="68" t="s">
        <v>224</v>
      </c>
      <c r="AL1" s="68" t="s">
        <v>243</v>
      </c>
      <c r="AM1" s="68" t="s">
        <v>244</v>
      </c>
      <c r="AN1" s="68" t="s">
        <v>25</v>
      </c>
      <c r="AO1" s="68" t="s">
        <v>2478</v>
      </c>
      <c r="AP1" s="68" t="s">
        <v>2479</v>
      </c>
      <c r="AQ1" s="64" t="s">
        <v>9</v>
      </c>
      <c r="AR1" s="65" t="s">
        <v>10</v>
      </c>
      <c r="AS1" s="68" t="s">
        <v>271</v>
      </c>
      <c r="AT1" s="66" t="s">
        <v>11</v>
      </c>
      <c r="AU1" s="67" t="s">
        <v>12</v>
      </c>
      <c r="AV1" s="74" t="s">
        <v>32</v>
      </c>
      <c r="AW1" s="74" t="s">
        <v>33</v>
      </c>
      <c r="AX1" s="76" t="s">
        <v>34</v>
      </c>
      <c r="AY1" s="74" t="s">
        <v>35</v>
      </c>
      <c r="AZ1" s="70" t="s">
        <v>36</v>
      </c>
      <c r="BA1" s="70" t="s">
        <v>37</v>
      </c>
      <c r="BB1" s="77" t="s">
        <v>38</v>
      </c>
      <c r="BC1" s="70" t="s">
        <v>39</v>
      </c>
      <c r="BD1" s="68" t="s">
        <v>40</v>
      </c>
      <c r="BE1" s="68" t="s">
        <v>41</v>
      </c>
      <c r="BF1" s="78" t="s">
        <v>42</v>
      </c>
      <c r="BG1" s="68" t="s">
        <v>43</v>
      </c>
      <c r="BH1" s="70" t="s">
        <v>44</v>
      </c>
      <c r="BI1" s="70" t="s">
        <v>45</v>
      </c>
      <c r="BJ1" s="77" t="s">
        <v>46</v>
      </c>
      <c r="BK1" s="70" t="s">
        <v>47</v>
      </c>
    </row>
    <row r="2" spans="1:63" s="8" customFormat="1" ht="71.25" hidden="1" customHeight="1">
      <c r="A2" s="1653" t="s">
        <v>391</v>
      </c>
      <c r="B2" s="1656"/>
      <c r="C2" s="1761"/>
      <c r="D2" s="1748"/>
      <c r="E2" s="1748"/>
      <c r="F2" s="1748"/>
      <c r="G2" s="1748"/>
      <c r="H2" s="1748"/>
      <c r="I2" s="1668" t="s">
        <v>2473</v>
      </c>
      <c r="J2" s="1753"/>
      <c r="K2" s="1674">
        <v>43466</v>
      </c>
      <c r="L2" s="1756" t="s">
        <v>254</v>
      </c>
      <c r="M2" s="1741" t="s">
        <v>50</v>
      </c>
      <c r="N2" s="1741" t="s">
        <v>354</v>
      </c>
      <c r="O2" s="1656"/>
      <c r="P2" s="1741" t="s">
        <v>50</v>
      </c>
      <c r="Q2" s="1741" t="s">
        <v>73</v>
      </c>
      <c r="R2" s="1635" t="s">
        <v>4243</v>
      </c>
      <c r="S2" s="1635" t="s">
        <v>4243</v>
      </c>
      <c r="T2" s="1741" t="s">
        <v>317</v>
      </c>
      <c r="U2" s="1741" t="s">
        <v>2477</v>
      </c>
      <c r="V2" s="1665" t="s">
        <v>252</v>
      </c>
      <c r="W2" s="1741" t="s">
        <v>307</v>
      </c>
      <c r="X2" s="1741" t="s">
        <v>113</v>
      </c>
      <c r="Y2" s="1635" t="s">
        <v>2661</v>
      </c>
      <c r="Z2" s="187"/>
      <c r="AA2" s="1635" t="s">
        <v>2661</v>
      </c>
      <c r="AB2" s="187"/>
      <c r="AC2" s="1635" t="s">
        <v>2661</v>
      </c>
      <c r="AD2" s="187"/>
      <c r="AE2" s="1647"/>
      <c r="AF2" s="1650"/>
      <c r="AG2" s="1644"/>
      <c r="AH2" s="2"/>
      <c r="AI2" s="1644"/>
      <c r="AJ2" s="2"/>
      <c r="AK2" s="1662" t="s">
        <v>85</v>
      </c>
      <c r="AL2" s="1662" t="s">
        <v>245</v>
      </c>
      <c r="AM2" s="1662" t="s">
        <v>246</v>
      </c>
      <c r="AN2" s="1741" t="s">
        <v>3616</v>
      </c>
      <c r="AO2" s="1741" t="s">
        <v>2494</v>
      </c>
      <c r="AP2" s="1741" t="s">
        <v>2481</v>
      </c>
      <c r="AQ2" s="1741" t="s">
        <v>3618</v>
      </c>
      <c r="AR2" s="187"/>
      <c r="AS2" s="1741" t="s">
        <v>2483</v>
      </c>
      <c r="AT2" s="1741" t="s">
        <v>3617</v>
      </c>
      <c r="AU2" s="187"/>
      <c r="AV2" s="187" t="s">
        <v>56</v>
      </c>
      <c r="AW2" s="206" t="s">
        <v>1249</v>
      </c>
      <c r="AX2" s="192">
        <v>9.4E-2</v>
      </c>
      <c r="AY2" s="206" t="s">
        <v>58</v>
      </c>
      <c r="AZ2" s="188" t="s">
        <v>59</v>
      </c>
      <c r="BA2" s="207" t="s">
        <v>60</v>
      </c>
      <c r="BB2" s="193" t="s">
        <v>61</v>
      </c>
      <c r="BC2" s="207" t="s">
        <v>58</v>
      </c>
      <c r="BD2" s="187" t="s">
        <v>62</v>
      </c>
      <c r="BE2" s="206" t="s">
        <v>81</v>
      </c>
      <c r="BF2" s="192">
        <v>9.4E-2</v>
      </c>
      <c r="BG2" s="206" t="s">
        <v>64</v>
      </c>
      <c r="BH2" s="187" t="s">
        <v>94</v>
      </c>
      <c r="BI2" s="193" t="s">
        <v>95</v>
      </c>
      <c r="BJ2" s="193" t="s">
        <v>61</v>
      </c>
      <c r="BK2" s="656" t="s">
        <v>96</v>
      </c>
    </row>
    <row r="3" spans="1:63" s="8" customFormat="1" ht="71.25" hidden="1" customHeight="1">
      <c r="A3" s="1654"/>
      <c r="B3" s="1657"/>
      <c r="C3" s="1751"/>
      <c r="D3" s="1749"/>
      <c r="E3" s="1749"/>
      <c r="F3" s="1749"/>
      <c r="G3" s="1749"/>
      <c r="H3" s="1749"/>
      <c r="I3" s="1669"/>
      <c r="J3" s="1754"/>
      <c r="K3" s="1669"/>
      <c r="L3" s="1757"/>
      <c r="M3" s="1742"/>
      <c r="N3" s="1742"/>
      <c r="O3" s="1657"/>
      <c r="P3" s="1742"/>
      <c r="Q3" s="1742"/>
      <c r="R3" s="1636"/>
      <c r="S3" s="1636"/>
      <c r="T3" s="1742"/>
      <c r="U3" s="1742"/>
      <c r="V3" s="1666"/>
      <c r="W3" s="1742"/>
      <c r="X3" s="1742"/>
      <c r="Y3" s="1636"/>
      <c r="Z3" s="188"/>
      <c r="AA3" s="1636"/>
      <c r="AB3" s="188"/>
      <c r="AC3" s="1636"/>
      <c r="AD3" s="188"/>
      <c r="AE3" s="1648"/>
      <c r="AF3" s="1651"/>
      <c r="AG3" s="1645"/>
      <c r="AH3" s="10"/>
      <c r="AI3" s="1645"/>
      <c r="AJ3" s="10"/>
      <c r="AK3" s="1700"/>
      <c r="AL3" s="1700"/>
      <c r="AM3" s="1700"/>
      <c r="AN3" s="1742"/>
      <c r="AO3" s="1742"/>
      <c r="AP3" s="1742"/>
      <c r="AQ3" s="1742"/>
      <c r="AR3" s="188"/>
      <c r="AS3" s="1742"/>
      <c r="AT3" s="1742"/>
      <c r="AU3" s="188"/>
      <c r="AV3" s="188" t="s">
        <v>65</v>
      </c>
      <c r="AW3" s="207" t="s">
        <v>1249</v>
      </c>
      <c r="AX3" s="193">
        <v>0.02</v>
      </c>
      <c r="AY3" s="207" t="s">
        <v>58</v>
      </c>
      <c r="AZ3" s="215" t="s">
        <v>66</v>
      </c>
      <c r="BA3" s="207" t="s">
        <v>60</v>
      </c>
      <c r="BB3" s="193" t="s">
        <v>61</v>
      </c>
      <c r="BC3" s="207" t="s">
        <v>58</v>
      </c>
      <c r="BD3" s="188" t="s">
        <v>67</v>
      </c>
      <c r="BE3" s="207" t="s">
        <v>82</v>
      </c>
      <c r="BF3" s="193">
        <v>0.25</v>
      </c>
      <c r="BG3" s="207" t="s">
        <v>69</v>
      </c>
      <c r="BH3" s="188" t="s">
        <v>97</v>
      </c>
      <c r="BI3" s="193" t="s">
        <v>95</v>
      </c>
      <c r="BJ3" s="193" t="s">
        <v>61</v>
      </c>
      <c r="BK3" s="657" t="s">
        <v>96</v>
      </c>
    </row>
    <row r="4" spans="1:63" s="8" customFormat="1" ht="71.25" hidden="1" customHeight="1">
      <c r="A4" s="1654"/>
      <c r="B4" s="1657"/>
      <c r="C4" s="1751"/>
      <c r="D4" s="1749"/>
      <c r="E4" s="1749"/>
      <c r="F4" s="1749"/>
      <c r="G4" s="1749"/>
      <c r="H4" s="1749"/>
      <c r="I4" s="1669"/>
      <c r="J4" s="1754"/>
      <c r="K4" s="1669"/>
      <c r="L4" s="1757"/>
      <c r="M4" s="1742"/>
      <c r="N4" s="1742"/>
      <c r="O4" s="1657"/>
      <c r="P4" s="1742"/>
      <c r="Q4" s="1742"/>
      <c r="R4" s="1636"/>
      <c r="S4" s="1636"/>
      <c r="T4" s="1742"/>
      <c r="U4" s="1742"/>
      <c r="V4" s="1666"/>
      <c r="W4" s="1742"/>
      <c r="X4" s="1742"/>
      <c r="Y4" s="1636"/>
      <c r="Z4" s="188"/>
      <c r="AA4" s="1636"/>
      <c r="AB4" s="188"/>
      <c r="AC4" s="1636"/>
      <c r="AD4" s="188"/>
      <c r="AE4" s="1648"/>
      <c r="AF4" s="1651"/>
      <c r="AG4" s="1645"/>
      <c r="AH4" s="10"/>
      <c r="AI4" s="1645"/>
      <c r="AJ4" s="10"/>
      <c r="AK4" s="1700"/>
      <c r="AL4" s="1700"/>
      <c r="AM4" s="1700"/>
      <c r="AN4" s="1742"/>
      <c r="AO4" s="1742"/>
      <c r="AP4" s="1742"/>
      <c r="AQ4" s="1742"/>
      <c r="AR4" s="188"/>
      <c r="AS4" s="1742"/>
      <c r="AT4" s="1742"/>
      <c r="AU4" s="188"/>
      <c r="AV4" s="10"/>
      <c r="AW4" s="204"/>
      <c r="AX4" s="11"/>
      <c r="AY4" s="204"/>
      <c r="AZ4" s="10"/>
      <c r="BA4" s="204"/>
      <c r="BB4" s="11"/>
      <c r="BC4" s="204"/>
      <c r="BD4" s="10"/>
      <c r="BE4" s="204"/>
      <c r="BF4" s="11"/>
      <c r="BG4" s="204"/>
      <c r="BH4" s="188" t="s">
        <v>98</v>
      </c>
      <c r="BI4" s="193" t="s">
        <v>95</v>
      </c>
      <c r="BJ4" s="193" t="s">
        <v>61</v>
      </c>
      <c r="BK4" s="657" t="s">
        <v>79</v>
      </c>
    </row>
    <row r="5" spans="1:63" s="8" customFormat="1" ht="71.25" hidden="1" customHeight="1" thickBot="1">
      <c r="A5" s="1655"/>
      <c r="B5" s="1658"/>
      <c r="C5" s="1752"/>
      <c r="D5" s="1750"/>
      <c r="E5" s="1750"/>
      <c r="F5" s="1750"/>
      <c r="G5" s="1750"/>
      <c r="H5" s="1750"/>
      <c r="I5" s="1670"/>
      <c r="J5" s="1755"/>
      <c r="K5" s="1670"/>
      <c r="L5" s="1758"/>
      <c r="M5" s="1743"/>
      <c r="N5" s="1743"/>
      <c r="O5" s="1678"/>
      <c r="P5" s="1743"/>
      <c r="Q5" s="1743"/>
      <c r="R5" s="1637"/>
      <c r="S5" s="1637"/>
      <c r="T5" s="1743"/>
      <c r="U5" s="1743"/>
      <c r="V5" s="1667"/>
      <c r="W5" s="1743"/>
      <c r="X5" s="1743"/>
      <c r="Y5" s="1637"/>
      <c r="Z5" s="214"/>
      <c r="AA5" s="1637"/>
      <c r="AB5" s="214"/>
      <c r="AC5" s="1637"/>
      <c r="AD5" s="214"/>
      <c r="AE5" s="1649"/>
      <c r="AF5" s="1652"/>
      <c r="AG5" s="1646"/>
      <c r="AH5" s="13"/>
      <c r="AI5" s="1646"/>
      <c r="AJ5" s="13"/>
      <c r="AK5" s="1701"/>
      <c r="AL5" s="1701"/>
      <c r="AM5" s="1701"/>
      <c r="AN5" s="1743"/>
      <c r="AO5" s="1743"/>
      <c r="AP5" s="1743"/>
      <c r="AQ5" s="1743"/>
      <c r="AR5" s="214"/>
      <c r="AS5" s="1743"/>
      <c r="AT5" s="1743"/>
      <c r="AU5" s="214"/>
      <c r="AV5" s="13"/>
      <c r="AW5" s="205"/>
      <c r="AX5" s="15"/>
      <c r="AY5" s="205"/>
      <c r="AZ5" s="13"/>
      <c r="BA5" s="205"/>
      <c r="BB5" s="15"/>
      <c r="BC5" s="205"/>
      <c r="BD5" s="13"/>
      <c r="BE5" s="205"/>
      <c r="BF5" s="15"/>
      <c r="BG5" s="205"/>
      <c r="BH5" s="13"/>
      <c r="BI5" s="205"/>
      <c r="BJ5" s="15"/>
      <c r="BK5" s="205"/>
    </row>
    <row r="6" spans="1:63" s="8" customFormat="1" ht="71.25" customHeight="1">
      <c r="A6" s="1733" t="s">
        <v>3608</v>
      </c>
      <c r="B6" s="1706"/>
      <c r="C6" s="1717">
        <v>330831285</v>
      </c>
      <c r="D6" s="1665" t="s">
        <v>1315</v>
      </c>
      <c r="E6" s="1665" t="s">
        <v>232</v>
      </c>
      <c r="F6" s="1665" t="s">
        <v>232</v>
      </c>
      <c r="G6" s="1665" t="s">
        <v>3665</v>
      </c>
      <c r="H6" s="1665" t="s">
        <v>3948</v>
      </c>
      <c r="I6" s="1668" t="s">
        <v>2474</v>
      </c>
      <c r="J6" s="1674">
        <v>42736</v>
      </c>
      <c r="K6" s="1674">
        <v>43466</v>
      </c>
      <c r="L6" s="1708">
        <v>31</v>
      </c>
      <c r="M6" s="1706" t="s">
        <v>48</v>
      </c>
      <c r="N6" s="1706" t="s">
        <v>49</v>
      </c>
      <c r="O6" s="1706"/>
      <c r="P6" s="1656" t="s">
        <v>50</v>
      </c>
      <c r="Q6" s="1694" t="s">
        <v>73</v>
      </c>
      <c r="R6" s="1694" t="s">
        <v>4244</v>
      </c>
      <c r="S6" s="1694" t="s">
        <v>4244</v>
      </c>
      <c r="T6" s="1638" t="s">
        <v>317</v>
      </c>
      <c r="U6" s="1638" t="s">
        <v>2477</v>
      </c>
      <c r="V6" s="1665" t="s">
        <v>252</v>
      </c>
      <c r="W6" s="1638" t="s">
        <v>307</v>
      </c>
      <c r="X6" s="1638" t="s">
        <v>113</v>
      </c>
      <c r="Y6" s="1665" t="s">
        <v>124</v>
      </c>
      <c r="Z6" s="23">
        <v>554.71</v>
      </c>
      <c r="AA6" s="1638" t="s">
        <v>402</v>
      </c>
      <c r="AB6" s="23">
        <v>495.35</v>
      </c>
      <c r="AC6" s="1638" t="s">
        <v>430</v>
      </c>
      <c r="AD6" s="23">
        <v>620.5</v>
      </c>
      <c r="AE6" s="1638" t="s">
        <v>403</v>
      </c>
      <c r="AF6" s="23">
        <v>410.5</v>
      </c>
      <c r="AG6" s="1644"/>
      <c r="AH6" s="2"/>
      <c r="AI6" s="1644"/>
      <c r="AJ6" s="2"/>
      <c r="AK6" s="1665" t="s">
        <v>85</v>
      </c>
      <c r="AL6" s="1665" t="s">
        <v>245</v>
      </c>
      <c r="AM6" s="1665" t="s">
        <v>246</v>
      </c>
      <c r="AN6" s="1665" t="s">
        <v>249</v>
      </c>
      <c r="AO6" s="1665" t="s">
        <v>2489</v>
      </c>
      <c r="AP6" s="1665" t="s">
        <v>2481</v>
      </c>
      <c r="AQ6" s="1665" t="s">
        <v>382</v>
      </c>
      <c r="AR6" s="3">
        <v>49.01</v>
      </c>
      <c r="AS6" s="1665" t="s">
        <v>2482</v>
      </c>
      <c r="AT6" s="1665" t="s">
        <v>2484</v>
      </c>
      <c r="AU6" s="3">
        <v>7.87</v>
      </c>
      <c r="AV6" s="3" t="s">
        <v>56</v>
      </c>
      <c r="AW6" s="270" t="s">
        <v>57</v>
      </c>
      <c r="AX6" s="4">
        <v>9.0999999999999998E-2</v>
      </c>
      <c r="AY6" s="270" t="s">
        <v>58</v>
      </c>
      <c r="AZ6" s="5" t="s">
        <v>59</v>
      </c>
      <c r="BA6" s="266" t="s">
        <v>60</v>
      </c>
      <c r="BB6" s="6" t="s">
        <v>61</v>
      </c>
      <c r="BC6" s="266" t="s">
        <v>58</v>
      </c>
      <c r="BD6" s="3" t="s">
        <v>62</v>
      </c>
      <c r="BE6" s="270" t="s">
        <v>63</v>
      </c>
      <c r="BF6" s="4">
        <v>0.11899999999999999</v>
      </c>
      <c r="BG6" s="270" t="s">
        <v>64</v>
      </c>
      <c r="BH6" s="23" t="s">
        <v>94</v>
      </c>
      <c r="BI6" s="182" t="s">
        <v>95</v>
      </c>
      <c r="BJ6" s="182" t="s">
        <v>61</v>
      </c>
      <c r="BK6" s="313" t="s">
        <v>96</v>
      </c>
    </row>
    <row r="7" spans="1:63" s="8" customFormat="1" ht="71.25" customHeight="1">
      <c r="A7" s="1734"/>
      <c r="B7" s="1666"/>
      <c r="C7" s="1718"/>
      <c r="D7" s="1666"/>
      <c r="E7" s="1666"/>
      <c r="F7" s="1666"/>
      <c r="G7" s="1666"/>
      <c r="H7" s="1666"/>
      <c r="I7" s="1669"/>
      <c r="J7" s="1669"/>
      <c r="K7" s="1669"/>
      <c r="L7" s="1676"/>
      <c r="M7" s="1666"/>
      <c r="N7" s="1666"/>
      <c r="O7" s="1666"/>
      <c r="P7" s="1657"/>
      <c r="Q7" s="1695"/>
      <c r="R7" s="1695"/>
      <c r="S7" s="1695"/>
      <c r="T7" s="1639"/>
      <c r="U7" s="1639"/>
      <c r="V7" s="1666"/>
      <c r="W7" s="1639"/>
      <c r="X7" s="1639"/>
      <c r="Y7" s="1666"/>
      <c r="Z7" s="25">
        <v>1214.81</v>
      </c>
      <c r="AA7" s="1639"/>
      <c r="AB7" s="25">
        <v>1084.8</v>
      </c>
      <c r="AC7" s="1639"/>
      <c r="AD7" s="25">
        <v>1358.89</v>
      </c>
      <c r="AE7" s="1639"/>
      <c r="AF7" s="25">
        <v>899.01</v>
      </c>
      <c r="AG7" s="1645"/>
      <c r="AH7" s="10"/>
      <c r="AI7" s="1645"/>
      <c r="AJ7" s="10"/>
      <c r="AK7" s="1666"/>
      <c r="AL7" s="1666"/>
      <c r="AM7" s="1666"/>
      <c r="AN7" s="1666"/>
      <c r="AO7" s="1666"/>
      <c r="AP7" s="1666"/>
      <c r="AQ7" s="1666"/>
      <c r="AR7" s="5">
        <v>99.97</v>
      </c>
      <c r="AS7" s="1666"/>
      <c r="AT7" s="1666"/>
      <c r="AU7" s="5">
        <v>15.77</v>
      </c>
      <c r="AV7" s="5" t="s">
        <v>65</v>
      </c>
      <c r="AW7" s="266" t="s">
        <v>57</v>
      </c>
      <c r="AX7" s="6">
        <v>0.02</v>
      </c>
      <c r="AY7" s="266" t="s">
        <v>58</v>
      </c>
      <c r="AZ7" s="5" t="s">
        <v>66</v>
      </c>
      <c r="BA7" s="266" t="s">
        <v>60</v>
      </c>
      <c r="BB7" s="6" t="s">
        <v>61</v>
      </c>
      <c r="BC7" s="266" t="s">
        <v>58</v>
      </c>
      <c r="BD7" s="5" t="s">
        <v>67</v>
      </c>
      <c r="BE7" s="266" t="s">
        <v>68</v>
      </c>
      <c r="BF7" s="6">
        <v>0.35</v>
      </c>
      <c r="BG7" s="266" t="s">
        <v>69</v>
      </c>
      <c r="BH7" s="25" t="s">
        <v>97</v>
      </c>
      <c r="BI7" s="182" t="s">
        <v>95</v>
      </c>
      <c r="BJ7" s="182" t="s">
        <v>61</v>
      </c>
      <c r="BK7" s="314" t="s">
        <v>96</v>
      </c>
    </row>
    <row r="8" spans="1:63" s="8" customFormat="1" ht="71.25" customHeight="1">
      <c r="A8" s="1734"/>
      <c r="B8" s="1666"/>
      <c r="C8" s="1718"/>
      <c r="D8" s="1666"/>
      <c r="E8" s="1666"/>
      <c r="F8" s="1666"/>
      <c r="G8" s="1666"/>
      <c r="H8" s="1666"/>
      <c r="I8" s="1669"/>
      <c r="J8" s="1669"/>
      <c r="K8" s="1669"/>
      <c r="L8" s="1676"/>
      <c r="M8" s="1666"/>
      <c r="N8" s="1666"/>
      <c r="O8" s="1666"/>
      <c r="P8" s="1657"/>
      <c r="Q8" s="1695"/>
      <c r="R8" s="1695"/>
      <c r="S8" s="1695"/>
      <c r="T8" s="1639"/>
      <c r="U8" s="1639"/>
      <c r="V8" s="1666"/>
      <c r="W8" s="1639"/>
      <c r="X8" s="1639"/>
      <c r="Y8" s="1666"/>
      <c r="Z8" s="25">
        <v>1053.94</v>
      </c>
      <c r="AA8" s="1639"/>
      <c r="AB8" s="25">
        <v>941.16</v>
      </c>
      <c r="AC8" s="1639"/>
      <c r="AD8" s="25">
        <v>1178.95</v>
      </c>
      <c r="AE8" s="1639"/>
      <c r="AF8" s="25">
        <v>779.95</v>
      </c>
      <c r="AG8" s="1645"/>
      <c r="AH8" s="10"/>
      <c r="AI8" s="1645"/>
      <c r="AJ8" s="10"/>
      <c r="AK8" s="1666"/>
      <c r="AL8" s="1666"/>
      <c r="AM8" s="1666"/>
      <c r="AN8" s="1666"/>
      <c r="AO8" s="1666"/>
      <c r="AP8" s="1666"/>
      <c r="AQ8" s="1666"/>
      <c r="AR8" s="5">
        <v>115.79</v>
      </c>
      <c r="AS8" s="1666"/>
      <c r="AT8" s="1666"/>
      <c r="AU8" s="5">
        <v>13.34</v>
      </c>
      <c r="AV8" s="10"/>
      <c r="AW8" s="268"/>
      <c r="AX8" s="11"/>
      <c r="AY8" s="268"/>
      <c r="AZ8" s="268"/>
      <c r="BA8" s="11"/>
      <c r="BB8" s="11"/>
      <c r="BC8" s="268"/>
      <c r="BD8" s="10"/>
      <c r="BE8" s="268"/>
      <c r="BF8" s="11"/>
      <c r="BG8" s="268"/>
      <c r="BH8" s="25" t="s">
        <v>98</v>
      </c>
      <c r="BI8" s="182" t="s">
        <v>95</v>
      </c>
      <c r="BJ8" s="182" t="s">
        <v>61</v>
      </c>
      <c r="BK8" s="314" t="s">
        <v>79</v>
      </c>
    </row>
    <row r="9" spans="1:63" s="8" customFormat="1" ht="71.25" customHeight="1" thickBot="1">
      <c r="A9" s="1735"/>
      <c r="B9" s="1667"/>
      <c r="C9" s="1719"/>
      <c r="D9" s="1667"/>
      <c r="E9" s="1667"/>
      <c r="F9" s="1667"/>
      <c r="G9" s="1667"/>
      <c r="H9" s="1667"/>
      <c r="I9" s="1670"/>
      <c r="J9" s="1670"/>
      <c r="K9" s="1670"/>
      <c r="L9" s="1677"/>
      <c r="M9" s="1667"/>
      <c r="N9" s="1667"/>
      <c r="O9" s="1667"/>
      <c r="P9" s="1678"/>
      <c r="Q9" s="1696"/>
      <c r="R9" s="1696"/>
      <c r="S9" s="1696"/>
      <c r="T9" s="1640"/>
      <c r="U9" s="1640"/>
      <c r="V9" s="1667"/>
      <c r="W9" s="1640"/>
      <c r="X9" s="1640"/>
      <c r="Y9" s="1667"/>
      <c r="Z9" s="180">
        <v>1686.31</v>
      </c>
      <c r="AA9" s="1640"/>
      <c r="AB9" s="180">
        <v>1505.85</v>
      </c>
      <c r="AC9" s="1640"/>
      <c r="AD9" s="180">
        <v>1886.32</v>
      </c>
      <c r="AE9" s="1640"/>
      <c r="AF9" s="180">
        <v>1247.93</v>
      </c>
      <c r="AG9" s="1646"/>
      <c r="AH9" s="13"/>
      <c r="AI9" s="1646"/>
      <c r="AJ9" s="13"/>
      <c r="AK9" s="1667"/>
      <c r="AL9" s="1667"/>
      <c r="AM9" s="1667"/>
      <c r="AN9" s="1667"/>
      <c r="AO9" s="1667"/>
      <c r="AP9" s="1667"/>
      <c r="AQ9" s="1667"/>
      <c r="AR9" s="14">
        <v>178.69</v>
      </c>
      <c r="AS9" s="1667"/>
      <c r="AT9" s="1667"/>
      <c r="AU9" s="14">
        <v>22.01</v>
      </c>
      <c r="AV9" s="13"/>
      <c r="AW9" s="269"/>
      <c r="AX9" s="15"/>
      <c r="AY9" s="269"/>
      <c r="AZ9" s="269"/>
      <c r="BA9" s="15"/>
      <c r="BB9" s="15"/>
      <c r="BC9" s="269"/>
      <c r="BD9" s="13"/>
      <c r="BE9" s="269"/>
      <c r="BF9" s="15"/>
      <c r="BG9" s="269"/>
      <c r="BH9" s="13"/>
      <c r="BI9" s="269"/>
      <c r="BJ9" s="15"/>
      <c r="BK9" s="269"/>
    </row>
    <row r="10" spans="1:63" s="8" customFormat="1" ht="71.25" customHeight="1">
      <c r="A10" s="1705" t="s">
        <v>70</v>
      </c>
      <c r="B10" s="1706"/>
      <c r="C10" s="1717">
        <v>330886301</v>
      </c>
      <c r="D10" s="1706" t="s">
        <v>71</v>
      </c>
      <c r="E10" s="1665" t="s">
        <v>226</v>
      </c>
      <c r="F10" s="1665" t="s">
        <v>226</v>
      </c>
      <c r="G10" s="1665" t="s">
        <v>3653</v>
      </c>
      <c r="H10" s="1665" t="s">
        <v>3597</v>
      </c>
      <c r="I10" s="1668" t="s">
        <v>2474</v>
      </c>
      <c r="J10" s="1674">
        <v>42705</v>
      </c>
      <c r="K10" s="1674">
        <v>43466</v>
      </c>
      <c r="L10" s="1708">
        <v>25</v>
      </c>
      <c r="M10" s="1706" t="s">
        <v>48</v>
      </c>
      <c r="N10" s="1706" t="s">
        <v>49</v>
      </c>
      <c r="O10" s="1706"/>
      <c r="P10" s="1679" t="s">
        <v>72</v>
      </c>
      <c r="Q10" s="1656" t="s">
        <v>73</v>
      </c>
      <c r="R10" s="1694" t="s">
        <v>4244</v>
      </c>
      <c r="S10" s="1694" t="s">
        <v>4244</v>
      </c>
      <c r="T10" s="1638" t="s">
        <v>317</v>
      </c>
      <c r="U10" s="1638" t="s">
        <v>2477</v>
      </c>
      <c r="V10" s="1665" t="s">
        <v>252</v>
      </c>
      <c r="W10" s="1638" t="s">
        <v>307</v>
      </c>
      <c r="X10" s="1638" t="s">
        <v>113</v>
      </c>
      <c r="Y10" s="1706" t="s">
        <v>74</v>
      </c>
      <c r="Z10" s="3">
        <v>284.62</v>
      </c>
      <c r="AA10" s="1665" t="s">
        <v>403</v>
      </c>
      <c r="AB10" s="3">
        <v>410.5</v>
      </c>
      <c r="AC10" s="1644"/>
      <c r="AD10" s="2"/>
      <c r="AE10" s="1679"/>
      <c r="AF10" s="2"/>
      <c r="AG10" s="1679"/>
      <c r="AH10" s="2"/>
      <c r="AI10" s="1679"/>
      <c r="AJ10" s="2"/>
      <c r="AK10" s="1665" t="s">
        <v>85</v>
      </c>
      <c r="AL10" s="1665" t="s">
        <v>245</v>
      </c>
      <c r="AM10" s="1665" t="s">
        <v>246</v>
      </c>
      <c r="AN10" s="1665" t="s">
        <v>248</v>
      </c>
      <c r="AO10" s="1665" t="s">
        <v>2490</v>
      </c>
      <c r="AP10" s="1665" t="s">
        <v>2491</v>
      </c>
      <c r="AQ10" s="1665" t="s">
        <v>383</v>
      </c>
      <c r="AR10" s="3">
        <v>55.56</v>
      </c>
      <c r="AS10" s="1665" t="s">
        <v>2483</v>
      </c>
      <c r="AT10" s="1665" t="s">
        <v>2485</v>
      </c>
      <c r="AU10" s="3">
        <v>8.85</v>
      </c>
      <c r="AV10" s="2"/>
      <c r="AW10" s="359"/>
      <c r="AX10" s="7"/>
      <c r="AY10" s="359"/>
      <c r="AZ10" s="2"/>
      <c r="BA10" s="359"/>
      <c r="BB10" s="7"/>
      <c r="BC10" s="359"/>
      <c r="BD10" s="2"/>
      <c r="BE10" s="359"/>
      <c r="BF10" s="7"/>
      <c r="BG10" s="359"/>
      <c r="BH10" s="2"/>
      <c r="BI10" s="359"/>
      <c r="BJ10" s="7"/>
      <c r="BK10" s="359"/>
    </row>
    <row r="11" spans="1:63" s="8" customFormat="1" ht="71.25" customHeight="1">
      <c r="A11" s="1683"/>
      <c r="B11" s="1666"/>
      <c r="C11" s="1718"/>
      <c r="D11" s="1666"/>
      <c r="E11" s="1666"/>
      <c r="F11" s="1666"/>
      <c r="G11" s="1666"/>
      <c r="H11" s="1666"/>
      <c r="I11" s="1669"/>
      <c r="J11" s="1669"/>
      <c r="K11" s="1669"/>
      <c r="L11" s="1676"/>
      <c r="M11" s="1666"/>
      <c r="N11" s="1666"/>
      <c r="O11" s="1666"/>
      <c r="P11" s="1680"/>
      <c r="Q11" s="1657"/>
      <c r="R11" s="1695"/>
      <c r="S11" s="1695"/>
      <c r="T11" s="1639"/>
      <c r="U11" s="1639"/>
      <c r="V11" s="1666"/>
      <c r="W11" s="1639"/>
      <c r="X11" s="1639"/>
      <c r="Y11" s="1666"/>
      <c r="Z11" s="5">
        <v>623.32000000000005</v>
      </c>
      <c r="AA11" s="1666"/>
      <c r="AB11" s="5">
        <v>899.01</v>
      </c>
      <c r="AC11" s="1645"/>
      <c r="AD11" s="10"/>
      <c r="AE11" s="1680"/>
      <c r="AF11" s="10"/>
      <c r="AG11" s="1680"/>
      <c r="AH11" s="10"/>
      <c r="AI11" s="1680"/>
      <c r="AJ11" s="10"/>
      <c r="AK11" s="1666"/>
      <c r="AL11" s="1666"/>
      <c r="AM11" s="1666"/>
      <c r="AN11" s="1666"/>
      <c r="AO11" s="1666"/>
      <c r="AP11" s="1666"/>
      <c r="AQ11" s="1666"/>
      <c r="AR11" s="5">
        <v>113.27</v>
      </c>
      <c r="AS11" s="1666"/>
      <c r="AT11" s="1666"/>
      <c r="AU11" s="5">
        <v>17.739999999999998</v>
      </c>
      <c r="AV11" s="10"/>
      <c r="AW11" s="360"/>
      <c r="AX11" s="11"/>
      <c r="AY11" s="360"/>
      <c r="AZ11" s="10"/>
      <c r="BA11" s="360"/>
      <c r="BB11" s="11"/>
      <c r="BC11" s="360"/>
      <c r="BD11" s="10"/>
      <c r="BE11" s="360"/>
      <c r="BF11" s="11"/>
      <c r="BG11" s="360"/>
      <c r="BH11" s="10"/>
      <c r="BI11" s="360"/>
      <c r="BJ11" s="11"/>
      <c r="BK11" s="360"/>
    </row>
    <row r="12" spans="1:63" s="8" customFormat="1" ht="71.25" customHeight="1">
      <c r="A12" s="1683"/>
      <c r="B12" s="1666"/>
      <c r="C12" s="1718"/>
      <c r="D12" s="1666"/>
      <c r="E12" s="1666"/>
      <c r="F12" s="1666"/>
      <c r="G12" s="1666"/>
      <c r="H12" s="1666"/>
      <c r="I12" s="1669"/>
      <c r="J12" s="1669"/>
      <c r="K12" s="1669"/>
      <c r="L12" s="1676"/>
      <c r="M12" s="1666"/>
      <c r="N12" s="1666"/>
      <c r="O12" s="1666"/>
      <c r="P12" s="1680"/>
      <c r="Q12" s="1657"/>
      <c r="R12" s="1695"/>
      <c r="S12" s="1695"/>
      <c r="T12" s="1639"/>
      <c r="U12" s="1639"/>
      <c r="V12" s="1666"/>
      <c r="W12" s="1639"/>
      <c r="X12" s="1639"/>
      <c r="Y12" s="1666"/>
      <c r="Z12" s="5">
        <v>540.78</v>
      </c>
      <c r="AA12" s="1666"/>
      <c r="AB12" s="5">
        <v>779.95</v>
      </c>
      <c r="AC12" s="1645"/>
      <c r="AD12" s="10"/>
      <c r="AE12" s="1680"/>
      <c r="AF12" s="10"/>
      <c r="AG12" s="1680"/>
      <c r="AH12" s="10"/>
      <c r="AI12" s="1680"/>
      <c r="AJ12" s="10"/>
      <c r="AK12" s="1666"/>
      <c r="AL12" s="1666"/>
      <c r="AM12" s="1666"/>
      <c r="AN12" s="1666"/>
      <c r="AO12" s="1666"/>
      <c r="AP12" s="1666"/>
      <c r="AQ12" s="1666"/>
      <c r="AR12" s="5">
        <v>128.62</v>
      </c>
      <c r="AS12" s="1666"/>
      <c r="AT12" s="1666"/>
      <c r="AU12" s="5">
        <v>15.01</v>
      </c>
      <c r="AV12" s="10"/>
      <c r="AW12" s="360"/>
      <c r="AX12" s="11"/>
      <c r="AY12" s="360"/>
      <c r="AZ12" s="10"/>
      <c r="BA12" s="360"/>
      <c r="BB12" s="11"/>
      <c r="BC12" s="360"/>
      <c r="BD12" s="10"/>
      <c r="BE12" s="360"/>
      <c r="BF12" s="11"/>
      <c r="BG12" s="360"/>
      <c r="BH12" s="10"/>
      <c r="BI12" s="360"/>
      <c r="BJ12" s="11"/>
      <c r="BK12" s="360"/>
    </row>
    <row r="13" spans="1:63" s="8" customFormat="1" ht="71.25" customHeight="1" thickBot="1">
      <c r="A13" s="1684"/>
      <c r="B13" s="1667"/>
      <c r="C13" s="1719"/>
      <c r="D13" s="1667"/>
      <c r="E13" s="1667"/>
      <c r="F13" s="1667"/>
      <c r="G13" s="1667"/>
      <c r="H13" s="1667"/>
      <c r="I13" s="1670"/>
      <c r="J13" s="1670"/>
      <c r="K13" s="1670"/>
      <c r="L13" s="1677"/>
      <c r="M13" s="1667"/>
      <c r="N13" s="1667"/>
      <c r="O13" s="1667"/>
      <c r="P13" s="1681"/>
      <c r="Q13" s="1678"/>
      <c r="R13" s="1696"/>
      <c r="S13" s="1696"/>
      <c r="T13" s="1640"/>
      <c r="U13" s="1640"/>
      <c r="V13" s="1667"/>
      <c r="W13" s="1640"/>
      <c r="X13" s="1640"/>
      <c r="Y13" s="1667"/>
      <c r="Z13" s="14">
        <v>865.24</v>
      </c>
      <c r="AA13" s="1667"/>
      <c r="AB13" s="14">
        <v>1247.93</v>
      </c>
      <c r="AC13" s="1646"/>
      <c r="AD13" s="13"/>
      <c r="AE13" s="1681"/>
      <c r="AF13" s="13"/>
      <c r="AG13" s="1681"/>
      <c r="AH13" s="13"/>
      <c r="AI13" s="1681"/>
      <c r="AJ13" s="13"/>
      <c r="AK13" s="1667"/>
      <c r="AL13" s="1667"/>
      <c r="AM13" s="1667"/>
      <c r="AN13" s="1667"/>
      <c r="AO13" s="1667"/>
      <c r="AP13" s="1667"/>
      <c r="AQ13" s="1667"/>
      <c r="AR13" s="14">
        <v>199.72</v>
      </c>
      <c r="AS13" s="1667"/>
      <c r="AT13" s="1667"/>
      <c r="AU13" s="14">
        <v>24.76</v>
      </c>
      <c r="AV13" s="13"/>
      <c r="AW13" s="361"/>
      <c r="AX13" s="15"/>
      <c r="AY13" s="361"/>
      <c r="AZ13" s="13"/>
      <c r="BA13" s="361"/>
      <c r="BB13" s="15"/>
      <c r="BC13" s="361"/>
      <c r="BD13" s="13"/>
      <c r="BE13" s="361"/>
      <c r="BF13" s="15"/>
      <c r="BG13" s="361"/>
      <c r="BH13" s="13"/>
      <c r="BI13" s="361"/>
      <c r="BJ13" s="15"/>
      <c r="BK13" s="361"/>
    </row>
    <row r="14" spans="1:63" s="8" customFormat="1" ht="71.25" customHeight="1">
      <c r="A14" s="1705" t="s">
        <v>75</v>
      </c>
      <c r="B14" s="1706"/>
      <c r="C14" s="1717">
        <v>202555438</v>
      </c>
      <c r="D14" s="1706" t="s">
        <v>1262</v>
      </c>
      <c r="E14" s="1665" t="s">
        <v>5504</v>
      </c>
      <c r="F14" s="1665" t="s">
        <v>5504</v>
      </c>
      <c r="G14" s="1665" t="s">
        <v>3653</v>
      </c>
      <c r="H14" s="1665" t="s">
        <v>4143</v>
      </c>
      <c r="I14" s="1668" t="s">
        <v>2474</v>
      </c>
      <c r="J14" s="1674">
        <v>42736</v>
      </c>
      <c r="K14" s="1674">
        <v>43466</v>
      </c>
      <c r="L14" s="1708">
        <v>105</v>
      </c>
      <c r="M14" s="1706" t="s">
        <v>48</v>
      </c>
      <c r="N14" s="1706" t="s">
        <v>77</v>
      </c>
      <c r="O14" s="1706"/>
      <c r="P14" s="1656" t="s">
        <v>50</v>
      </c>
      <c r="Q14" s="1656" t="s">
        <v>51</v>
      </c>
      <c r="R14" s="1694" t="s">
        <v>4244</v>
      </c>
      <c r="S14" s="1694" t="s">
        <v>4244</v>
      </c>
      <c r="T14" s="1632" t="s">
        <v>72</v>
      </c>
      <c r="U14" s="1632" t="s">
        <v>72</v>
      </c>
      <c r="V14" s="1712" t="s">
        <v>72</v>
      </c>
      <c r="W14" s="1632" t="s">
        <v>72</v>
      </c>
      <c r="X14" s="1632" t="s">
        <v>72</v>
      </c>
      <c r="Y14" s="1632" t="s">
        <v>52</v>
      </c>
      <c r="Z14" s="16">
        <v>973.67</v>
      </c>
      <c r="AA14" s="1632" t="s">
        <v>53</v>
      </c>
      <c r="AB14" s="16">
        <v>747.76</v>
      </c>
      <c r="AC14" s="1632" t="s">
        <v>54</v>
      </c>
      <c r="AD14" s="16">
        <v>655.02</v>
      </c>
      <c r="AE14" s="1632" t="s">
        <v>55</v>
      </c>
      <c r="AF14" s="16">
        <v>655.02</v>
      </c>
      <c r="AG14" s="1632" t="s">
        <v>78</v>
      </c>
      <c r="AH14" s="1709" t="s">
        <v>79</v>
      </c>
      <c r="AI14" s="1632" t="s">
        <v>80</v>
      </c>
      <c r="AJ14" s="1709" t="s">
        <v>79</v>
      </c>
      <c r="AK14" s="1665" t="s">
        <v>85</v>
      </c>
      <c r="AL14" s="1665" t="s">
        <v>245</v>
      </c>
      <c r="AM14" s="1665" t="s">
        <v>246</v>
      </c>
      <c r="AN14" s="1662" t="s">
        <v>1242</v>
      </c>
      <c r="AO14" s="1662" t="s">
        <v>2490</v>
      </c>
      <c r="AP14" s="1662" t="s">
        <v>2481</v>
      </c>
      <c r="AQ14" s="1662" t="s">
        <v>384</v>
      </c>
      <c r="AR14" s="81">
        <v>66.94</v>
      </c>
      <c r="AS14" s="1662" t="s">
        <v>2493</v>
      </c>
      <c r="AT14" s="1662" t="s">
        <v>2484</v>
      </c>
      <c r="AU14" s="81">
        <v>7.87</v>
      </c>
      <c r="AV14" s="3" t="s">
        <v>56</v>
      </c>
      <c r="AW14" s="351" t="s">
        <v>1249</v>
      </c>
      <c r="AX14" s="4">
        <v>9.4E-2</v>
      </c>
      <c r="AY14" s="351" t="s">
        <v>58</v>
      </c>
      <c r="AZ14" s="5" t="s">
        <v>59</v>
      </c>
      <c r="BA14" s="350" t="s">
        <v>60</v>
      </c>
      <c r="BB14" s="6" t="s">
        <v>61</v>
      </c>
      <c r="BC14" s="350" t="s">
        <v>58</v>
      </c>
      <c r="BD14" s="3" t="s">
        <v>62</v>
      </c>
      <c r="BE14" s="351" t="s">
        <v>81</v>
      </c>
      <c r="BF14" s="4">
        <v>9.4E-2</v>
      </c>
      <c r="BG14" s="351" t="s">
        <v>64</v>
      </c>
      <c r="BH14" s="16"/>
      <c r="BI14" s="352"/>
      <c r="BJ14" s="18"/>
      <c r="BK14" s="352"/>
    </row>
    <row r="15" spans="1:63" s="8" customFormat="1" ht="71.25" customHeight="1">
      <c r="A15" s="1683"/>
      <c r="B15" s="1666"/>
      <c r="C15" s="1718"/>
      <c r="D15" s="1666"/>
      <c r="E15" s="1666"/>
      <c r="F15" s="1666"/>
      <c r="G15" s="1666"/>
      <c r="H15" s="1666"/>
      <c r="I15" s="1669"/>
      <c r="J15" s="1669"/>
      <c r="K15" s="1669"/>
      <c r="L15" s="1676"/>
      <c r="M15" s="1666"/>
      <c r="N15" s="1666"/>
      <c r="O15" s="1666"/>
      <c r="P15" s="1657"/>
      <c r="Q15" s="1657"/>
      <c r="R15" s="1695"/>
      <c r="S15" s="1695"/>
      <c r="T15" s="1642"/>
      <c r="U15" s="1642"/>
      <c r="V15" s="1703"/>
      <c r="W15" s="1642"/>
      <c r="X15" s="1642"/>
      <c r="Y15" s="1633"/>
      <c r="Z15" s="20">
        <v>2239.44</v>
      </c>
      <c r="AA15" s="1633"/>
      <c r="AB15" s="20">
        <v>1719.83</v>
      </c>
      <c r="AC15" s="1633"/>
      <c r="AD15" s="20">
        <v>1506.54</v>
      </c>
      <c r="AE15" s="1633"/>
      <c r="AF15" s="20">
        <v>1506.54</v>
      </c>
      <c r="AG15" s="1633"/>
      <c r="AH15" s="1710"/>
      <c r="AI15" s="1633"/>
      <c r="AJ15" s="1710"/>
      <c r="AK15" s="1666"/>
      <c r="AL15" s="1666"/>
      <c r="AM15" s="1666"/>
      <c r="AN15" s="1700"/>
      <c r="AO15" s="1700"/>
      <c r="AP15" s="1700"/>
      <c r="AQ15" s="1700"/>
      <c r="AR15" s="27">
        <v>136.47999999999999</v>
      </c>
      <c r="AS15" s="1700"/>
      <c r="AT15" s="1700"/>
      <c r="AU15" s="27">
        <v>15.77</v>
      </c>
      <c r="AV15" s="5" t="s">
        <v>65</v>
      </c>
      <c r="AW15" s="350" t="s">
        <v>1249</v>
      </c>
      <c r="AX15" s="6">
        <v>0.02</v>
      </c>
      <c r="AY15" s="350" t="s">
        <v>58</v>
      </c>
      <c r="AZ15" s="19" t="s">
        <v>66</v>
      </c>
      <c r="BA15" s="350" t="s">
        <v>60</v>
      </c>
      <c r="BB15" s="6" t="s">
        <v>61</v>
      </c>
      <c r="BC15" s="350" t="s">
        <v>58</v>
      </c>
      <c r="BD15" s="5" t="s">
        <v>67</v>
      </c>
      <c r="BE15" s="350" t="s">
        <v>82</v>
      </c>
      <c r="BF15" s="6">
        <v>0.25</v>
      </c>
      <c r="BG15" s="350" t="s">
        <v>69</v>
      </c>
      <c r="BH15" s="20"/>
      <c r="BI15" s="353"/>
      <c r="BJ15" s="22"/>
      <c r="BK15" s="353"/>
    </row>
    <row r="16" spans="1:63" s="8" customFormat="1" ht="71.25" customHeight="1">
      <c r="A16" s="1683"/>
      <c r="B16" s="1666"/>
      <c r="C16" s="1718"/>
      <c r="D16" s="1666"/>
      <c r="E16" s="1666"/>
      <c r="F16" s="1666"/>
      <c r="G16" s="1666"/>
      <c r="H16" s="1666"/>
      <c r="I16" s="1669"/>
      <c r="J16" s="1669"/>
      <c r="K16" s="1669"/>
      <c r="L16" s="1676"/>
      <c r="M16" s="1666"/>
      <c r="N16" s="1666"/>
      <c r="O16" s="1666"/>
      <c r="P16" s="1657"/>
      <c r="Q16" s="1657"/>
      <c r="R16" s="1695"/>
      <c r="S16" s="1695"/>
      <c r="T16" s="1642"/>
      <c r="U16" s="1642"/>
      <c r="V16" s="1703"/>
      <c r="W16" s="1642"/>
      <c r="X16" s="1642"/>
      <c r="Y16" s="1633"/>
      <c r="Z16" s="20">
        <v>1655.25</v>
      </c>
      <c r="AA16" s="1633"/>
      <c r="AB16" s="20">
        <v>1271.19</v>
      </c>
      <c r="AC16" s="1633"/>
      <c r="AD16" s="20">
        <v>1113.53</v>
      </c>
      <c r="AE16" s="1633"/>
      <c r="AF16" s="20">
        <v>1113.53</v>
      </c>
      <c r="AG16" s="1633"/>
      <c r="AH16" s="1710"/>
      <c r="AI16" s="1633"/>
      <c r="AJ16" s="1710"/>
      <c r="AK16" s="1666"/>
      <c r="AL16" s="1666"/>
      <c r="AM16" s="1666"/>
      <c r="AN16" s="1700"/>
      <c r="AO16" s="1700"/>
      <c r="AP16" s="1700"/>
      <c r="AQ16" s="1700"/>
      <c r="AR16" s="27">
        <v>154.38999999999999</v>
      </c>
      <c r="AS16" s="1700"/>
      <c r="AT16" s="1700"/>
      <c r="AU16" s="27">
        <v>13.34</v>
      </c>
      <c r="AV16" s="10"/>
      <c r="AW16" s="348"/>
      <c r="AX16" s="11"/>
      <c r="AY16" s="348"/>
      <c r="AZ16" s="10"/>
      <c r="BA16" s="348"/>
      <c r="BB16" s="11"/>
      <c r="BC16" s="348"/>
      <c r="BD16" s="25" t="s">
        <v>433</v>
      </c>
      <c r="BE16" s="547" t="s">
        <v>434</v>
      </c>
      <c r="BF16" s="182" t="s">
        <v>435</v>
      </c>
      <c r="BG16" s="547" t="s">
        <v>436</v>
      </c>
      <c r="BH16" s="10"/>
      <c r="BI16" s="348"/>
      <c r="BJ16" s="11"/>
      <c r="BK16" s="348"/>
    </row>
    <row r="17" spans="1:63" s="8" customFormat="1" ht="71.25" customHeight="1" thickBot="1">
      <c r="A17" s="1684"/>
      <c r="B17" s="1667"/>
      <c r="C17" s="1719"/>
      <c r="D17" s="1667"/>
      <c r="E17" s="1667"/>
      <c r="F17" s="1667"/>
      <c r="G17" s="1667"/>
      <c r="H17" s="1667"/>
      <c r="I17" s="1670"/>
      <c r="J17" s="1670"/>
      <c r="K17" s="1670"/>
      <c r="L17" s="1677"/>
      <c r="M17" s="1667"/>
      <c r="N17" s="1667"/>
      <c r="O17" s="1667"/>
      <c r="P17" s="1678"/>
      <c r="Q17" s="1678"/>
      <c r="R17" s="1696"/>
      <c r="S17" s="1696"/>
      <c r="T17" s="1643"/>
      <c r="U17" s="1643"/>
      <c r="V17" s="1704"/>
      <c r="W17" s="1643"/>
      <c r="X17" s="1643"/>
      <c r="Y17" s="1634"/>
      <c r="Z17" s="212">
        <v>2823.65</v>
      </c>
      <c r="AA17" s="1634"/>
      <c r="AB17" s="212">
        <v>2168.4899999999998</v>
      </c>
      <c r="AC17" s="1634"/>
      <c r="AD17" s="212">
        <v>1899.55</v>
      </c>
      <c r="AE17" s="1634"/>
      <c r="AF17" s="212">
        <v>1899.55</v>
      </c>
      <c r="AG17" s="1634"/>
      <c r="AH17" s="1711"/>
      <c r="AI17" s="1634"/>
      <c r="AJ17" s="1711"/>
      <c r="AK17" s="1667"/>
      <c r="AL17" s="1667"/>
      <c r="AM17" s="1667"/>
      <c r="AN17" s="1701"/>
      <c r="AO17" s="1701"/>
      <c r="AP17" s="1701"/>
      <c r="AQ17" s="1701"/>
      <c r="AR17" s="27">
        <v>239.89</v>
      </c>
      <c r="AS17" s="1701"/>
      <c r="AT17" s="1701"/>
      <c r="AU17" s="82">
        <v>22.01</v>
      </c>
      <c r="AV17" s="13"/>
      <c r="AW17" s="349"/>
      <c r="AX17" s="15"/>
      <c r="AY17" s="349"/>
      <c r="AZ17" s="13"/>
      <c r="BA17" s="349"/>
      <c r="BB17" s="15"/>
      <c r="BC17" s="349"/>
      <c r="BD17" s="13"/>
      <c r="BE17" s="349"/>
      <c r="BF17" s="15"/>
      <c r="BG17" s="349"/>
      <c r="BH17" s="13"/>
      <c r="BI17" s="349"/>
      <c r="BJ17" s="15"/>
      <c r="BK17" s="349"/>
    </row>
    <row r="18" spans="1:63" s="8" customFormat="1" ht="71.25" customHeight="1">
      <c r="A18" s="1682" t="s">
        <v>1271</v>
      </c>
      <c r="B18" s="1656"/>
      <c r="C18" s="1685">
        <v>412179246</v>
      </c>
      <c r="D18" s="1638" t="s">
        <v>1272</v>
      </c>
      <c r="E18" s="1662" t="s">
        <v>1273</v>
      </c>
      <c r="F18" s="1638" t="s">
        <v>1291</v>
      </c>
      <c r="G18" s="1665" t="s">
        <v>3654</v>
      </c>
      <c r="H18" s="1665" t="s">
        <v>432</v>
      </c>
      <c r="I18" s="1668" t="s">
        <v>2473</v>
      </c>
      <c r="J18" s="1674">
        <v>43101</v>
      </c>
      <c r="K18" s="1674">
        <v>43466</v>
      </c>
      <c r="L18" s="1675">
        <v>57</v>
      </c>
      <c r="M18" s="1632" t="s">
        <v>1328</v>
      </c>
      <c r="N18" s="1632" t="s">
        <v>1329</v>
      </c>
      <c r="O18" s="1656"/>
      <c r="P18" s="1679" t="s">
        <v>72</v>
      </c>
      <c r="Q18" s="1759" t="s">
        <v>1328</v>
      </c>
      <c r="R18" s="1694" t="s">
        <v>4244</v>
      </c>
      <c r="S18" s="1694" t="s">
        <v>4244</v>
      </c>
      <c r="T18" s="1638" t="s">
        <v>303</v>
      </c>
      <c r="U18" s="1638" t="s">
        <v>2502</v>
      </c>
      <c r="V18" s="1665" t="s">
        <v>252</v>
      </c>
      <c r="W18" s="1638" t="s">
        <v>307</v>
      </c>
      <c r="X18" s="1638" t="s">
        <v>113</v>
      </c>
      <c r="Y18" s="1694" t="s">
        <v>93</v>
      </c>
      <c r="Z18" s="23">
        <v>642.11</v>
      </c>
      <c r="AA18" s="1697" t="s">
        <v>403</v>
      </c>
      <c r="AB18" s="23">
        <v>411.07</v>
      </c>
      <c r="AC18" s="1644"/>
      <c r="AD18" s="2"/>
      <c r="AE18" s="1647"/>
      <c r="AF18" s="1650"/>
      <c r="AG18" s="1644"/>
      <c r="AH18" s="2"/>
      <c r="AI18" s="1644"/>
      <c r="AJ18" s="2"/>
      <c r="AK18" s="1632" t="s">
        <v>113</v>
      </c>
      <c r="AL18" s="1632" t="s">
        <v>72</v>
      </c>
      <c r="AM18" s="1632" t="s">
        <v>72</v>
      </c>
      <c r="AN18" s="1632" t="s">
        <v>113</v>
      </c>
      <c r="AO18" s="1632" t="s">
        <v>72</v>
      </c>
      <c r="AP18" s="1632" t="s">
        <v>72</v>
      </c>
      <c r="AQ18" s="1721"/>
      <c r="AR18" s="1"/>
      <c r="AS18" s="1747" t="s">
        <v>72</v>
      </c>
      <c r="AT18" s="1721"/>
      <c r="AU18" s="1"/>
      <c r="AV18" s="23" t="s">
        <v>56</v>
      </c>
      <c r="AW18" s="552" t="s">
        <v>1249</v>
      </c>
      <c r="AX18" s="181">
        <v>9.4E-2</v>
      </c>
      <c r="AY18" s="552" t="s">
        <v>58</v>
      </c>
      <c r="AZ18" s="25" t="s">
        <v>59</v>
      </c>
      <c r="BA18" s="553" t="s">
        <v>60</v>
      </c>
      <c r="BB18" s="182" t="s">
        <v>61</v>
      </c>
      <c r="BC18" s="553" t="s">
        <v>58</v>
      </c>
      <c r="BD18" s="23" t="s">
        <v>62</v>
      </c>
      <c r="BE18" s="552" t="s">
        <v>81</v>
      </c>
      <c r="BF18" s="181">
        <v>9.4E-2</v>
      </c>
      <c r="BG18" s="552" t="s">
        <v>64</v>
      </c>
      <c r="BH18" s="16"/>
      <c r="BI18" s="388"/>
      <c r="BJ18" s="18"/>
      <c r="BK18" s="388"/>
    </row>
    <row r="19" spans="1:63" s="8" customFormat="1" ht="71.25" customHeight="1">
      <c r="A19" s="1683"/>
      <c r="B19" s="1657"/>
      <c r="C19" s="1751"/>
      <c r="D19" s="1749"/>
      <c r="E19" s="1749"/>
      <c r="F19" s="1749"/>
      <c r="G19" s="1666"/>
      <c r="H19" s="1666"/>
      <c r="I19" s="1669"/>
      <c r="J19" s="1669"/>
      <c r="K19" s="1669"/>
      <c r="L19" s="1676"/>
      <c r="M19" s="1633"/>
      <c r="N19" s="1633"/>
      <c r="O19" s="1657"/>
      <c r="P19" s="1680"/>
      <c r="Q19" s="1680"/>
      <c r="R19" s="1695"/>
      <c r="S19" s="1695"/>
      <c r="T19" s="1639"/>
      <c r="U19" s="1639"/>
      <c r="V19" s="1666"/>
      <c r="W19" s="1639"/>
      <c r="X19" s="1639"/>
      <c r="Y19" s="1695"/>
      <c r="Z19" s="25">
        <v>1406.22</v>
      </c>
      <c r="AA19" s="1657"/>
      <c r="AB19" s="25">
        <v>900.25</v>
      </c>
      <c r="AC19" s="1645"/>
      <c r="AD19" s="10"/>
      <c r="AE19" s="1648"/>
      <c r="AF19" s="1651"/>
      <c r="AG19" s="1645"/>
      <c r="AH19" s="10"/>
      <c r="AI19" s="1645"/>
      <c r="AJ19" s="10"/>
      <c r="AK19" s="1633"/>
      <c r="AL19" s="1633"/>
      <c r="AM19" s="1633"/>
      <c r="AN19" s="1633"/>
      <c r="AO19" s="1633"/>
      <c r="AP19" s="1633"/>
      <c r="AQ19" s="1722"/>
      <c r="AR19" s="9"/>
      <c r="AS19" s="1645"/>
      <c r="AT19" s="1722"/>
      <c r="AU19" s="9"/>
      <c r="AV19" s="25" t="s">
        <v>65</v>
      </c>
      <c r="AW19" s="553" t="s">
        <v>1249</v>
      </c>
      <c r="AX19" s="182">
        <v>0.02</v>
      </c>
      <c r="AY19" s="553" t="s">
        <v>58</v>
      </c>
      <c r="AZ19" s="220" t="s">
        <v>66</v>
      </c>
      <c r="BA19" s="553" t="s">
        <v>60</v>
      </c>
      <c r="BB19" s="182" t="s">
        <v>61</v>
      </c>
      <c r="BC19" s="553" t="s">
        <v>58</v>
      </c>
      <c r="BD19" s="25" t="s">
        <v>67</v>
      </c>
      <c r="BE19" s="553" t="s">
        <v>82</v>
      </c>
      <c r="BF19" s="182">
        <v>0.25</v>
      </c>
      <c r="BG19" s="553" t="s">
        <v>69</v>
      </c>
      <c r="BH19" s="20"/>
      <c r="BI19" s="389"/>
      <c r="BJ19" s="22"/>
      <c r="BK19" s="389"/>
    </row>
    <row r="20" spans="1:63" s="8" customFormat="1" ht="71.25" customHeight="1">
      <c r="A20" s="1683"/>
      <c r="B20" s="1657"/>
      <c r="C20" s="1751"/>
      <c r="D20" s="1749"/>
      <c r="E20" s="1749"/>
      <c r="F20" s="1749"/>
      <c r="G20" s="1666"/>
      <c r="H20" s="1666"/>
      <c r="I20" s="1669"/>
      <c r="J20" s="1669"/>
      <c r="K20" s="1669"/>
      <c r="L20" s="1676"/>
      <c r="M20" s="1633"/>
      <c r="N20" s="1633"/>
      <c r="O20" s="1657"/>
      <c r="P20" s="1680"/>
      <c r="Q20" s="1680"/>
      <c r="R20" s="1695"/>
      <c r="S20" s="1695"/>
      <c r="T20" s="1639"/>
      <c r="U20" s="1639"/>
      <c r="V20" s="1666"/>
      <c r="W20" s="1639"/>
      <c r="X20" s="1639"/>
      <c r="Y20" s="1695"/>
      <c r="Z20" s="25">
        <v>1220.01</v>
      </c>
      <c r="AA20" s="1657"/>
      <c r="AB20" s="25">
        <v>781.03</v>
      </c>
      <c r="AC20" s="1645"/>
      <c r="AD20" s="10"/>
      <c r="AE20" s="1648"/>
      <c r="AF20" s="1651"/>
      <c r="AG20" s="1645"/>
      <c r="AH20" s="10"/>
      <c r="AI20" s="1645"/>
      <c r="AJ20" s="10"/>
      <c r="AK20" s="1633"/>
      <c r="AL20" s="1633"/>
      <c r="AM20" s="1633"/>
      <c r="AN20" s="1633"/>
      <c r="AO20" s="1633"/>
      <c r="AP20" s="1633"/>
      <c r="AQ20" s="1722"/>
      <c r="AR20" s="9"/>
      <c r="AS20" s="1645"/>
      <c r="AT20" s="1722"/>
      <c r="AU20" s="9"/>
      <c r="AV20" s="10"/>
      <c r="AW20" s="371"/>
      <c r="AX20" s="11"/>
      <c r="AY20" s="371"/>
      <c r="AZ20" s="10"/>
      <c r="BA20" s="371"/>
      <c r="BB20" s="11"/>
      <c r="BC20" s="371"/>
      <c r="BD20" s="25" t="s">
        <v>433</v>
      </c>
      <c r="BE20" s="553" t="s">
        <v>434</v>
      </c>
      <c r="BF20" s="182" t="s">
        <v>435</v>
      </c>
      <c r="BG20" s="553" t="s">
        <v>436</v>
      </c>
      <c r="BH20" s="10"/>
      <c r="BI20" s="371"/>
      <c r="BJ20" s="11"/>
      <c r="BK20" s="371"/>
    </row>
    <row r="21" spans="1:63" s="8" customFormat="1" ht="71.25" customHeight="1" thickBot="1">
      <c r="A21" s="1684"/>
      <c r="B21" s="1658"/>
      <c r="C21" s="1752"/>
      <c r="D21" s="1750"/>
      <c r="E21" s="1750"/>
      <c r="F21" s="1750"/>
      <c r="G21" s="1667"/>
      <c r="H21" s="1667"/>
      <c r="I21" s="1670"/>
      <c r="J21" s="1670"/>
      <c r="K21" s="1670"/>
      <c r="L21" s="1677"/>
      <c r="M21" s="1634"/>
      <c r="N21" s="1634"/>
      <c r="O21" s="1678"/>
      <c r="P21" s="1760"/>
      <c r="Q21" s="1760"/>
      <c r="R21" s="1696"/>
      <c r="S21" s="1696"/>
      <c r="T21" s="1640"/>
      <c r="U21" s="1640"/>
      <c r="V21" s="1667"/>
      <c r="W21" s="1640"/>
      <c r="X21" s="1640"/>
      <c r="Y21" s="1696"/>
      <c r="Z21" s="180">
        <v>1952.01</v>
      </c>
      <c r="AA21" s="1658"/>
      <c r="AB21" s="180">
        <v>1249.6600000000001</v>
      </c>
      <c r="AC21" s="1646"/>
      <c r="AD21" s="13"/>
      <c r="AE21" s="1649"/>
      <c r="AF21" s="1652"/>
      <c r="AG21" s="1646"/>
      <c r="AH21" s="13"/>
      <c r="AI21" s="1646"/>
      <c r="AJ21" s="13"/>
      <c r="AK21" s="1634"/>
      <c r="AL21" s="1634"/>
      <c r="AM21" s="1634"/>
      <c r="AN21" s="1634"/>
      <c r="AO21" s="1634"/>
      <c r="AP21" s="1634"/>
      <c r="AQ21" s="1723"/>
      <c r="AR21" s="12"/>
      <c r="AS21" s="1646"/>
      <c r="AT21" s="1723"/>
      <c r="AU21" s="12"/>
      <c r="AV21" s="13"/>
      <c r="AW21" s="372"/>
      <c r="AX21" s="15"/>
      <c r="AY21" s="372"/>
      <c r="AZ21" s="13"/>
      <c r="BA21" s="372"/>
      <c r="BB21" s="15"/>
      <c r="BC21" s="372"/>
      <c r="BD21" s="13"/>
      <c r="BE21" s="372"/>
      <c r="BF21" s="15"/>
      <c r="BG21" s="372"/>
      <c r="BH21" s="13"/>
      <c r="BI21" s="372"/>
      <c r="BJ21" s="15"/>
      <c r="BK21" s="372"/>
    </row>
    <row r="22" spans="1:63" s="8" customFormat="1" ht="71.25" customHeight="1">
      <c r="A22" s="1682" t="s">
        <v>4321</v>
      </c>
      <c r="B22" s="1656"/>
      <c r="C22" s="1720">
        <v>824724808</v>
      </c>
      <c r="D22" s="1662" t="s">
        <v>4322</v>
      </c>
      <c r="E22" s="1662" t="s">
        <v>4323</v>
      </c>
      <c r="F22" s="1662" t="s">
        <v>4323</v>
      </c>
      <c r="G22" s="1665" t="s">
        <v>3654</v>
      </c>
      <c r="H22" s="1665" t="s">
        <v>432</v>
      </c>
      <c r="I22" s="1668" t="s">
        <v>2473</v>
      </c>
      <c r="J22" s="1671">
        <v>43191</v>
      </c>
      <c r="K22" s="1674">
        <v>43466</v>
      </c>
      <c r="L22" s="1675">
        <v>5</v>
      </c>
      <c r="M22" s="1638" t="s">
        <v>48</v>
      </c>
      <c r="N22" s="1638" t="s">
        <v>354</v>
      </c>
      <c r="O22" s="1656"/>
      <c r="P22" s="1679" t="s">
        <v>72</v>
      </c>
      <c r="Q22" s="1694" t="s">
        <v>73</v>
      </c>
      <c r="R22" s="1694" t="s">
        <v>4244</v>
      </c>
      <c r="S22" s="1694" t="s">
        <v>4244</v>
      </c>
      <c r="T22" s="1638" t="s">
        <v>303</v>
      </c>
      <c r="U22" s="1665" t="s">
        <v>2503</v>
      </c>
      <c r="V22" s="1665" t="s">
        <v>252</v>
      </c>
      <c r="W22" s="1665" t="s">
        <v>307</v>
      </c>
      <c r="X22" s="1665" t="s">
        <v>113</v>
      </c>
      <c r="Y22" s="1706" t="s">
        <v>87</v>
      </c>
      <c r="Z22" s="23">
        <v>786.13</v>
      </c>
      <c r="AA22" s="1697" t="s">
        <v>403</v>
      </c>
      <c r="AB22" s="23">
        <v>475.5</v>
      </c>
      <c r="AC22" s="1644"/>
      <c r="AD22" s="2"/>
      <c r="AE22" s="1647"/>
      <c r="AF22" s="1650"/>
      <c r="AG22" s="1644"/>
      <c r="AH22" s="2"/>
      <c r="AI22" s="1644"/>
      <c r="AJ22" s="2"/>
      <c r="AK22" s="1662" t="s">
        <v>85</v>
      </c>
      <c r="AL22" s="1662" t="s">
        <v>245</v>
      </c>
      <c r="AM22" s="1662" t="s">
        <v>246</v>
      </c>
      <c r="AN22" s="1638" t="s">
        <v>250</v>
      </c>
      <c r="AO22" s="1638" t="s">
        <v>2490</v>
      </c>
      <c r="AP22" s="1638" t="s">
        <v>2495</v>
      </c>
      <c r="AQ22" s="1665" t="s">
        <v>385</v>
      </c>
      <c r="AR22" s="23">
        <v>70.88</v>
      </c>
      <c r="AS22" s="1638" t="s">
        <v>2492</v>
      </c>
      <c r="AT22" s="1665" t="s">
        <v>2488</v>
      </c>
      <c r="AU22" s="23">
        <v>9.8000000000000007</v>
      </c>
      <c r="AV22" s="23" t="s">
        <v>56</v>
      </c>
      <c r="AW22" s="957" t="s">
        <v>126</v>
      </c>
      <c r="AX22" s="181">
        <v>0.09</v>
      </c>
      <c r="AY22" s="957" t="s">
        <v>58</v>
      </c>
      <c r="AZ22" s="2"/>
      <c r="BA22" s="954"/>
      <c r="BB22" s="954"/>
      <c r="BC22" s="954"/>
      <c r="BD22" s="23" t="s">
        <v>62</v>
      </c>
      <c r="BE22" s="957" t="s">
        <v>63</v>
      </c>
      <c r="BF22" s="181">
        <v>0.11899999999999999</v>
      </c>
      <c r="BG22" s="957" t="s">
        <v>64</v>
      </c>
      <c r="BH22" s="2"/>
      <c r="BI22" s="954"/>
      <c r="BJ22" s="7"/>
      <c r="BK22" s="954"/>
    </row>
    <row r="23" spans="1:63" s="8" customFormat="1" ht="71.25" customHeight="1">
      <c r="A23" s="1683"/>
      <c r="B23" s="1657"/>
      <c r="C23" s="1660"/>
      <c r="D23" s="1663"/>
      <c r="E23" s="1663"/>
      <c r="F23" s="1663"/>
      <c r="G23" s="1666"/>
      <c r="H23" s="1666"/>
      <c r="I23" s="1669"/>
      <c r="J23" s="1672"/>
      <c r="K23" s="1669"/>
      <c r="L23" s="1676"/>
      <c r="M23" s="1639"/>
      <c r="N23" s="1639"/>
      <c r="O23" s="1657"/>
      <c r="P23" s="1680"/>
      <c r="Q23" s="1695"/>
      <c r="R23" s="1695"/>
      <c r="S23" s="1695"/>
      <c r="T23" s="1639"/>
      <c r="U23" s="1666"/>
      <c r="V23" s="1666"/>
      <c r="W23" s="1666"/>
      <c r="X23" s="1666"/>
      <c r="Y23" s="1666"/>
      <c r="Z23" s="25">
        <v>1721.63</v>
      </c>
      <c r="AA23" s="1657"/>
      <c r="AB23" s="25">
        <v>1041.3499999999999</v>
      </c>
      <c r="AC23" s="1645"/>
      <c r="AD23" s="10"/>
      <c r="AE23" s="1648"/>
      <c r="AF23" s="1651"/>
      <c r="AG23" s="1645"/>
      <c r="AH23" s="10"/>
      <c r="AI23" s="1645"/>
      <c r="AJ23" s="10"/>
      <c r="AK23" s="1700"/>
      <c r="AL23" s="1700"/>
      <c r="AM23" s="1700"/>
      <c r="AN23" s="1639" t="s">
        <v>248</v>
      </c>
      <c r="AO23" s="1639"/>
      <c r="AP23" s="1639"/>
      <c r="AQ23" s="1666"/>
      <c r="AR23" s="25">
        <v>144.54</v>
      </c>
      <c r="AS23" s="1639"/>
      <c r="AT23" s="1666"/>
      <c r="AU23" s="25">
        <v>19.63</v>
      </c>
      <c r="AV23" s="25" t="s">
        <v>65</v>
      </c>
      <c r="AW23" s="958" t="s">
        <v>126</v>
      </c>
      <c r="AX23" s="182">
        <v>0.02</v>
      </c>
      <c r="AY23" s="958" t="s">
        <v>58</v>
      </c>
      <c r="AZ23" s="10"/>
      <c r="BA23" s="955"/>
      <c r="BB23" s="955"/>
      <c r="BC23" s="955"/>
      <c r="BD23" s="25" t="s">
        <v>67</v>
      </c>
      <c r="BE23" s="958" t="s">
        <v>68</v>
      </c>
      <c r="BF23" s="182">
        <v>0.35</v>
      </c>
      <c r="BG23" s="958" t="s">
        <v>69</v>
      </c>
      <c r="BH23" s="10"/>
      <c r="BI23" s="955"/>
      <c r="BJ23" s="11"/>
      <c r="BK23" s="955"/>
    </row>
    <row r="24" spans="1:63" s="8" customFormat="1" ht="71.25" customHeight="1">
      <c r="A24" s="1683"/>
      <c r="B24" s="1657"/>
      <c r="C24" s="1660"/>
      <c r="D24" s="1663"/>
      <c r="E24" s="1663"/>
      <c r="F24" s="1663"/>
      <c r="G24" s="1666"/>
      <c r="H24" s="1666"/>
      <c r="I24" s="1669"/>
      <c r="J24" s="1672"/>
      <c r="K24" s="1669"/>
      <c r="L24" s="1676"/>
      <c r="M24" s="1639"/>
      <c r="N24" s="1639"/>
      <c r="O24" s="1657"/>
      <c r="P24" s="1680"/>
      <c r="Q24" s="1695"/>
      <c r="R24" s="1695"/>
      <c r="S24" s="1695"/>
      <c r="T24" s="1639"/>
      <c r="U24" s="1666"/>
      <c r="V24" s="1666"/>
      <c r="W24" s="1666"/>
      <c r="X24" s="1666"/>
      <c r="Y24" s="1666"/>
      <c r="Z24" s="25">
        <v>1493.66</v>
      </c>
      <c r="AA24" s="1657"/>
      <c r="AB24" s="25">
        <v>903.45</v>
      </c>
      <c r="AC24" s="1645"/>
      <c r="AD24" s="10"/>
      <c r="AE24" s="1648"/>
      <c r="AF24" s="1651"/>
      <c r="AG24" s="1645"/>
      <c r="AH24" s="10"/>
      <c r="AI24" s="1645"/>
      <c r="AJ24" s="10"/>
      <c r="AK24" s="1700"/>
      <c r="AL24" s="1700"/>
      <c r="AM24" s="1700"/>
      <c r="AN24" s="1639" t="s">
        <v>248</v>
      </c>
      <c r="AO24" s="1639"/>
      <c r="AP24" s="1639"/>
      <c r="AQ24" s="1666"/>
      <c r="AR24" s="25">
        <v>167.21</v>
      </c>
      <c r="AS24" s="1639"/>
      <c r="AT24" s="1666"/>
      <c r="AU24" s="25">
        <v>16.62</v>
      </c>
      <c r="AV24" s="10"/>
      <c r="AW24" s="955"/>
      <c r="AX24" s="11"/>
      <c r="AY24" s="955"/>
      <c r="AZ24" s="10"/>
      <c r="BA24" s="955"/>
      <c r="BB24" s="11"/>
      <c r="BC24" s="955"/>
      <c r="BD24" s="10"/>
      <c r="BE24" s="955"/>
      <c r="BF24" s="11"/>
      <c r="BG24" s="955"/>
      <c r="BH24" s="10"/>
      <c r="BI24" s="955"/>
      <c r="BJ24" s="11"/>
      <c r="BK24" s="955"/>
    </row>
    <row r="25" spans="1:63" s="8" customFormat="1" ht="71.25" customHeight="1" thickBot="1">
      <c r="A25" s="1684"/>
      <c r="B25" s="1658"/>
      <c r="C25" s="1661"/>
      <c r="D25" s="1664"/>
      <c r="E25" s="1664"/>
      <c r="F25" s="1664"/>
      <c r="G25" s="1667"/>
      <c r="H25" s="1667"/>
      <c r="I25" s="1670"/>
      <c r="J25" s="1673"/>
      <c r="K25" s="1670"/>
      <c r="L25" s="1677"/>
      <c r="M25" s="1640"/>
      <c r="N25" s="1640"/>
      <c r="O25" s="1678"/>
      <c r="P25" s="1681"/>
      <c r="Q25" s="1696"/>
      <c r="R25" s="1696"/>
      <c r="S25" s="1696"/>
      <c r="T25" s="1640"/>
      <c r="U25" s="1667"/>
      <c r="V25" s="1667"/>
      <c r="W25" s="1667"/>
      <c r="X25" s="1667"/>
      <c r="Y25" s="1667"/>
      <c r="Z25" s="180">
        <v>2389.85</v>
      </c>
      <c r="AA25" s="1658"/>
      <c r="AB25" s="180">
        <v>1445.53</v>
      </c>
      <c r="AC25" s="1646"/>
      <c r="AD25" s="13"/>
      <c r="AE25" s="1649"/>
      <c r="AF25" s="1652"/>
      <c r="AG25" s="1646"/>
      <c r="AH25" s="13"/>
      <c r="AI25" s="1646"/>
      <c r="AJ25" s="13"/>
      <c r="AK25" s="1701"/>
      <c r="AL25" s="1701"/>
      <c r="AM25" s="1701"/>
      <c r="AN25" s="1640" t="s">
        <v>248</v>
      </c>
      <c r="AO25" s="1640"/>
      <c r="AP25" s="1640"/>
      <c r="AQ25" s="1667"/>
      <c r="AR25" s="180">
        <v>258.43</v>
      </c>
      <c r="AS25" s="1640"/>
      <c r="AT25" s="1667"/>
      <c r="AU25" s="180">
        <v>27.4</v>
      </c>
      <c r="AV25" s="13"/>
      <c r="AW25" s="956"/>
      <c r="AX25" s="15"/>
      <c r="AY25" s="956"/>
      <c r="AZ25" s="13"/>
      <c r="BA25" s="956"/>
      <c r="BB25" s="15"/>
      <c r="BC25" s="956"/>
      <c r="BD25" s="13"/>
      <c r="BE25" s="956"/>
      <c r="BF25" s="15"/>
      <c r="BG25" s="956"/>
      <c r="BH25" s="13"/>
      <c r="BI25" s="956"/>
      <c r="BJ25" s="15"/>
      <c r="BK25" s="956"/>
    </row>
    <row r="26" spans="1:63" s="8" customFormat="1" ht="71.25" customHeight="1">
      <c r="A26" s="1682" t="s">
        <v>83</v>
      </c>
      <c r="B26" s="1706"/>
      <c r="C26" s="1717">
        <v>571147346</v>
      </c>
      <c r="D26" s="1706" t="s">
        <v>84</v>
      </c>
      <c r="E26" s="1665" t="s">
        <v>233</v>
      </c>
      <c r="F26" s="1665" t="s">
        <v>233</v>
      </c>
      <c r="G26" s="1665" t="s">
        <v>3667</v>
      </c>
      <c r="H26" s="1665" t="s">
        <v>4145</v>
      </c>
      <c r="I26" s="1668" t="s">
        <v>2474</v>
      </c>
      <c r="J26" s="1674">
        <v>42795</v>
      </c>
      <c r="K26" s="1674">
        <v>43466</v>
      </c>
      <c r="L26" s="1708">
        <v>50</v>
      </c>
      <c r="M26" s="1638" t="s">
        <v>50</v>
      </c>
      <c r="N26" s="1706" t="s">
        <v>49</v>
      </c>
      <c r="O26" s="1706"/>
      <c r="P26" s="1679" t="s">
        <v>4150</v>
      </c>
      <c r="Q26" s="1679" t="s">
        <v>72</v>
      </c>
      <c r="R26" s="1697" t="s">
        <v>4293</v>
      </c>
      <c r="S26" s="1632" t="s">
        <v>72</v>
      </c>
      <c r="T26" s="1638" t="s">
        <v>317</v>
      </c>
      <c r="U26" s="1638" t="s">
        <v>2477</v>
      </c>
      <c r="V26" s="1665" t="s">
        <v>252</v>
      </c>
      <c r="W26" s="1665" t="s">
        <v>307</v>
      </c>
      <c r="X26" s="1665" t="s">
        <v>113</v>
      </c>
      <c r="Y26" s="1706" t="s">
        <v>86</v>
      </c>
      <c r="Z26" s="3">
        <v>567.39</v>
      </c>
      <c r="AA26" s="1706" t="s">
        <v>87</v>
      </c>
      <c r="AB26" s="3">
        <v>691.69</v>
      </c>
      <c r="AC26" s="1644"/>
      <c r="AD26" s="2"/>
      <c r="AE26" s="1644"/>
      <c r="AF26" s="2"/>
      <c r="AG26" s="1644"/>
      <c r="AH26" s="2"/>
      <c r="AI26" s="1644"/>
      <c r="AJ26" s="2"/>
      <c r="AK26" s="1632" t="s">
        <v>113</v>
      </c>
      <c r="AL26" s="1632" t="s">
        <v>72</v>
      </c>
      <c r="AM26" s="1632" t="s">
        <v>72</v>
      </c>
      <c r="AN26" s="1632" t="s">
        <v>113</v>
      </c>
      <c r="AO26" s="1632" t="s">
        <v>72</v>
      </c>
      <c r="AP26" s="1632" t="s">
        <v>72</v>
      </c>
      <c r="AQ26" s="1632" t="s">
        <v>88</v>
      </c>
      <c r="AR26" s="16"/>
      <c r="AS26" s="1632" t="s">
        <v>72</v>
      </c>
      <c r="AT26" s="1632" t="s">
        <v>89</v>
      </c>
      <c r="AU26" s="16"/>
      <c r="AV26" s="2"/>
      <c r="AW26" s="273"/>
      <c r="AX26" s="7"/>
      <c r="AY26" s="273"/>
      <c r="AZ26" s="2"/>
      <c r="BA26" s="273"/>
      <c r="BB26" s="7"/>
      <c r="BC26" s="273"/>
      <c r="BD26" s="2"/>
      <c r="BE26" s="273"/>
      <c r="BF26" s="7"/>
      <c r="BG26" s="273"/>
      <c r="BH26" s="2"/>
      <c r="BI26" s="273"/>
      <c r="BJ26" s="7"/>
      <c r="BK26" s="273"/>
    </row>
    <row r="27" spans="1:63" s="8" customFormat="1" ht="71.25" customHeight="1">
      <c r="A27" s="1683"/>
      <c r="B27" s="1666"/>
      <c r="C27" s="1718"/>
      <c r="D27" s="1666"/>
      <c r="E27" s="1666"/>
      <c r="F27" s="1666"/>
      <c r="G27" s="1666"/>
      <c r="H27" s="1666"/>
      <c r="I27" s="1669"/>
      <c r="J27" s="1669"/>
      <c r="K27" s="1669"/>
      <c r="L27" s="1676"/>
      <c r="M27" s="1639"/>
      <c r="N27" s="1666"/>
      <c r="O27" s="1666"/>
      <c r="P27" s="1680"/>
      <c r="Q27" s="1680"/>
      <c r="R27" s="1657"/>
      <c r="S27" s="1724"/>
      <c r="T27" s="1639"/>
      <c r="U27" s="1639"/>
      <c r="V27" s="1666"/>
      <c r="W27" s="1666"/>
      <c r="X27" s="1666"/>
      <c r="Y27" s="1666"/>
      <c r="Z27" s="5">
        <v>1242.5899999999999</v>
      </c>
      <c r="AA27" s="1666"/>
      <c r="AB27" s="5">
        <v>1514.81</v>
      </c>
      <c r="AC27" s="1645"/>
      <c r="AD27" s="10"/>
      <c r="AE27" s="1645"/>
      <c r="AF27" s="10"/>
      <c r="AG27" s="1645"/>
      <c r="AH27" s="10"/>
      <c r="AI27" s="1645"/>
      <c r="AJ27" s="10"/>
      <c r="AK27" s="1633"/>
      <c r="AL27" s="1633"/>
      <c r="AM27" s="1633"/>
      <c r="AN27" s="1633"/>
      <c r="AO27" s="1633"/>
      <c r="AP27" s="1633"/>
      <c r="AQ27" s="1633"/>
      <c r="AR27" s="20"/>
      <c r="AS27" s="1633"/>
      <c r="AT27" s="1633"/>
      <c r="AU27" s="20"/>
      <c r="AV27" s="10"/>
      <c r="AW27" s="274"/>
      <c r="AX27" s="11"/>
      <c r="AY27" s="274"/>
      <c r="AZ27" s="10"/>
      <c r="BA27" s="274"/>
      <c r="BB27" s="11"/>
      <c r="BC27" s="274"/>
      <c r="BD27" s="10"/>
      <c r="BE27" s="274"/>
      <c r="BF27" s="11"/>
      <c r="BG27" s="274"/>
      <c r="BH27" s="10"/>
      <c r="BI27" s="274"/>
      <c r="BJ27" s="11"/>
      <c r="BK27" s="274"/>
    </row>
    <row r="28" spans="1:63" s="8" customFormat="1" ht="71.25" customHeight="1">
      <c r="A28" s="1683"/>
      <c r="B28" s="1666"/>
      <c r="C28" s="1718"/>
      <c r="D28" s="1666"/>
      <c r="E28" s="1666"/>
      <c r="F28" s="1666"/>
      <c r="G28" s="1666"/>
      <c r="H28" s="1666"/>
      <c r="I28" s="1669"/>
      <c r="J28" s="1669"/>
      <c r="K28" s="1669"/>
      <c r="L28" s="1676"/>
      <c r="M28" s="1639"/>
      <c r="N28" s="1666"/>
      <c r="O28" s="1666"/>
      <c r="P28" s="1680"/>
      <c r="Q28" s="1680"/>
      <c r="R28" s="1657"/>
      <c r="S28" s="1724"/>
      <c r="T28" s="1639"/>
      <c r="U28" s="1639"/>
      <c r="V28" s="1666"/>
      <c r="W28" s="1666"/>
      <c r="X28" s="1666"/>
      <c r="Y28" s="1666"/>
      <c r="Z28" s="5">
        <v>1078.05</v>
      </c>
      <c r="AA28" s="1666"/>
      <c r="AB28" s="5">
        <v>1314.22</v>
      </c>
      <c r="AC28" s="1645"/>
      <c r="AD28" s="10"/>
      <c r="AE28" s="1645"/>
      <c r="AF28" s="10"/>
      <c r="AG28" s="1645"/>
      <c r="AH28" s="10"/>
      <c r="AI28" s="1645"/>
      <c r="AJ28" s="10"/>
      <c r="AK28" s="1633"/>
      <c r="AL28" s="1633"/>
      <c r="AM28" s="1633"/>
      <c r="AN28" s="1633"/>
      <c r="AO28" s="1633"/>
      <c r="AP28" s="1633"/>
      <c r="AQ28" s="1633"/>
      <c r="AR28" s="20"/>
      <c r="AS28" s="1633"/>
      <c r="AT28" s="1633"/>
      <c r="AU28" s="20"/>
      <c r="AV28" s="10"/>
      <c r="AW28" s="274"/>
      <c r="AX28" s="11"/>
      <c r="AY28" s="274"/>
      <c r="AZ28" s="10"/>
      <c r="BA28" s="274"/>
      <c r="BB28" s="11"/>
      <c r="BC28" s="274"/>
      <c r="BD28" s="10"/>
      <c r="BE28" s="274"/>
      <c r="BF28" s="11"/>
      <c r="BG28" s="274"/>
      <c r="BH28" s="10"/>
      <c r="BI28" s="274"/>
      <c r="BJ28" s="11"/>
      <c r="BK28" s="274"/>
    </row>
    <row r="29" spans="1:63" s="8" customFormat="1" ht="71.25" customHeight="1" thickBot="1">
      <c r="A29" s="1684"/>
      <c r="B29" s="1667"/>
      <c r="C29" s="1719"/>
      <c r="D29" s="1667"/>
      <c r="E29" s="1667"/>
      <c r="F29" s="1667"/>
      <c r="G29" s="1667"/>
      <c r="H29" s="1667"/>
      <c r="I29" s="1670"/>
      <c r="J29" s="1670"/>
      <c r="K29" s="1670"/>
      <c r="L29" s="1677"/>
      <c r="M29" s="1640"/>
      <c r="N29" s="1667"/>
      <c r="O29" s="1667"/>
      <c r="P29" s="1681"/>
      <c r="Q29" s="1681"/>
      <c r="R29" s="1658"/>
      <c r="S29" s="1725"/>
      <c r="T29" s="1640"/>
      <c r="U29" s="1640"/>
      <c r="V29" s="1667"/>
      <c r="W29" s="1667"/>
      <c r="X29" s="1667"/>
      <c r="Y29" s="1667"/>
      <c r="Z29" s="14">
        <v>1724.87</v>
      </c>
      <c r="AA29" s="1667"/>
      <c r="AB29" s="14">
        <v>2102.75</v>
      </c>
      <c r="AC29" s="1646"/>
      <c r="AD29" s="13"/>
      <c r="AE29" s="1646"/>
      <c r="AF29" s="13"/>
      <c r="AG29" s="1646"/>
      <c r="AH29" s="13"/>
      <c r="AI29" s="1646"/>
      <c r="AJ29" s="13"/>
      <c r="AK29" s="1634"/>
      <c r="AL29" s="1634"/>
      <c r="AM29" s="1634"/>
      <c r="AN29" s="1634"/>
      <c r="AO29" s="1634"/>
      <c r="AP29" s="1634"/>
      <c r="AQ29" s="1634"/>
      <c r="AR29" s="212"/>
      <c r="AS29" s="1634"/>
      <c r="AT29" s="1634"/>
      <c r="AU29" s="212"/>
      <c r="AV29" s="13"/>
      <c r="AW29" s="275"/>
      <c r="AX29" s="15"/>
      <c r="AY29" s="275"/>
      <c r="AZ29" s="13"/>
      <c r="BA29" s="275"/>
      <c r="BB29" s="15"/>
      <c r="BC29" s="275"/>
      <c r="BD29" s="13"/>
      <c r="BE29" s="275"/>
      <c r="BF29" s="15"/>
      <c r="BG29" s="275"/>
      <c r="BH29" s="13"/>
      <c r="BI29" s="275"/>
      <c r="BJ29" s="15"/>
      <c r="BK29" s="275"/>
    </row>
    <row r="30" spans="1:63" s="8" customFormat="1" ht="71.25" customHeight="1">
      <c r="A30" s="1733" t="s">
        <v>319</v>
      </c>
      <c r="B30" s="1706"/>
      <c r="C30" s="1720">
        <v>262120522</v>
      </c>
      <c r="D30" s="1665" t="s">
        <v>320</v>
      </c>
      <c r="E30" s="1662" t="s">
        <v>352</v>
      </c>
      <c r="F30" s="1662" t="s">
        <v>352</v>
      </c>
      <c r="G30" s="1665" t="s">
        <v>3654</v>
      </c>
      <c r="H30" s="1665" t="s">
        <v>432</v>
      </c>
      <c r="I30" s="1668" t="s">
        <v>2473</v>
      </c>
      <c r="J30" s="1674">
        <v>43009</v>
      </c>
      <c r="K30" s="1674">
        <v>43466</v>
      </c>
      <c r="L30" s="1708">
        <v>54</v>
      </c>
      <c r="M30" s="1638" t="s">
        <v>50</v>
      </c>
      <c r="N30" s="1737" t="s">
        <v>318</v>
      </c>
      <c r="O30" s="1706"/>
      <c r="P30" s="1679" t="s">
        <v>72</v>
      </c>
      <c r="Q30" s="1759" t="s">
        <v>3741</v>
      </c>
      <c r="R30" s="1694" t="s">
        <v>4244</v>
      </c>
      <c r="S30" s="1694" t="s">
        <v>4244</v>
      </c>
      <c r="T30" s="1665" t="s">
        <v>303</v>
      </c>
      <c r="U30" s="1638" t="s">
        <v>2477</v>
      </c>
      <c r="V30" s="1665" t="s">
        <v>252</v>
      </c>
      <c r="W30" s="1665" t="s">
        <v>307</v>
      </c>
      <c r="X30" s="1665" t="s">
        <v>113</v>
      </c>
      <c r="Y30" s="1665" t="s">
        <v>403</v>
      </c>
      <c r="Z30" s="23">
        <v>451.73</v>
      </c>
      <c r="AA30" s="1644"/>
      <c r="AB30" s="2"/>
      <c r="AC30" s="1644"/>
      <c r="AD30" s="2"/>
      <c r="AE30" s="1644"/>
      <c r="AF30" s="2"/>
      <c r="AG30" s="1644"/>
      <c r="AH30" s="2"/>
      <c r="AI30" s="1644"/>
      <c r="AJ30" s="2"/>
      <c r="AK30" s="1721"/>
      <c r="AL30" s="1721"/>
      <c r="AM30" s="1721"/>
      <c r="AN30" s="1721"/>
      <c r="AO30" s="1721"/>
      <c r="AP30" s="1721"/>
      <c r="AQ30" s="1721"/>
      <c r="AR30" s="1"/>
      <c r="AS30" s="1721"/>
      <c r="AT30" s="1721"/>
      <c r="AU30" s="1"/>
      <c r="AV30" s="2"/>
      <c r="AW30" s="86"/>
      <c r="AX30" s="7"/>
      <c r="AY30" s="86"/>
      <c r="AZ30" s="2"/>
      <c r="BA30" s="86"/>
      <c r="BB30" s="7"/>
      <c r="BC30" s="86"/>
      <c r="BD30" s="2"/>
      <c r="BE30" s="86"/>
      <c r="BF30" s="7"/>
      <c r="BG30" s="86"/>
      <c r="BH30" s="2"/>
      <c r="BI30" s="86"/>
      <c r="BJ30" s="7"/>
      <c r="BK30" s="86"/>
    </row>
    <row r="31" spans="1:63" s="8" customFormat="1" ht="71.25" customHeight="1">
      <c r="A31" s="1734"/>
      <c r="B31" s="1666"/>
      <c r="C31" s="1729"/>
      <c r="D31" s="1666"/>
      <c r="E31" s="1700"/>
      <c r="F31" s="1700"/>
      <c r="G31" s="1666"/>
      <c r="H31" s="1666"/>
      <c r="I31" s="1669"/>
      <c r="J31" s="1669"/>
      <c r="K31" s="1669"/>
      <c r="L31" s="1676"/>
      <c r="M31" s="1639"/>
      <c r="N31" s="1769"/>
      <c r="O31" s="1666"/>
      <c r="P31" s="1680"/>
      <c r="Q31" s="1680"/>
      <c r="R31" s="1695"/>
      <c r="S31" s="1695"/>
      <c r="T31" s="1666"/>
      <c r="U31" s="1639"/>
      <c r="V31" s="1666"/>
      <c r="W31" s="1666"/>
      <c r="X31" s="1666"/>
      <c r="Y31" s="1666"/>
      <c r="Z31" s="25">
        <v>989.28</v>
      </c>
      <c r="AA31" s="1645"/>
      <c r="AB31" s="10"/>
      <c r="AC31" s="1645"/>
      <c r="AD31" s="10"/>
      <c r="AE31" s="1645"/>
      <c r="AF31" s="10"/>
      <c r="AG31" s="1645"/>
      <c r="AH31" s="10"/>
      <c r="AI31" s="1645"/>
      <c r="AJ31" s="10"/>
      <c r="AK31" s="1722"/>
      <c r="AL31" s="1722"/>
      <c r="AM31" s="1722"/>
      <c r="AN31" s="1722"/>
      <c r="AO31" s="1722"/>
      <c r="AP31" s="1722"/>
      <c r="AQ31" s="1722"/>
      <c r="AR31" s="9"/>
      <c r="AS31" s="1722"/>
      <c r="AT31" s="1722"/>
      <c r="AU31" s="9"/>
      <c r="AV31" s="10"/>
      <c r="AW31" s="87"/>
      <c r="AX31" s="11"/>
      <c r="AY31" s="87"/>
      <c r="AZ31" s="10"/>
      <c r="BA31" s="87"/>
      <c r="BB31" s="11"/>
      <c r="BC31" s="87"/>
      <c r="BD31" s="10"/>
      <c r="BE31" s="87"/>
      <c r="BF31" s="11"/>
      <c r="BG31" s="87"/>
      <c r="BH31" s="10"/>
      <c r="BI31" s="87"/>
      <c r="BJ31" s="11"/>
      <c r="BK31" s="87"/>
    </row>
    <row r="32" spans="1:63" s="8" customFormat="1" ht="71.25" customHeight="1">
      <c r="A32" s="1734"/>
      <c r="B32" s="1666"/>
      <c r="C32" s="1729"/>
      <c r="D32" s="1666"/>
      <c r="E32" s="1700"/>
      <c r="F32" s="1700"/>
      <c r="G32" s="1666"/>
      <c r="H32" s="1666"/>
      <c r="I32" s="1669"/>
      <c r="J32" s="1669"/>
      <c r="K32" s="1669"/>
      <c r="L32" s="1676"/>
      <c r="M32" s="1639"/>
      <c r="N32" s="1769"/>
      <c r="O32" s="1666"/>
      <c r="P32" s="1680"/>
      <c r="Q32" s="1680"/>
      <c r="R32" s="1695"/>
      <c r="S32" s="1695"/>
      <c r="T32" s="1666"/>
      <c r="U32" s="1639"/>
      <c r="V32" s="1666"/>
      <c r="W32" s="1666"/>
      <c r="X32" s="1666"/>
      <c r="Y32" s="1666"/>
      <c r="Z32" s="25">
        <v>858.28</v>
      </c>
      <c r="AA32" s="1645"/>
      <c r="AB32" s="10"/>
      <c r="AC32" s="1645"/>
      <c r="AD32" s="10"/>
      <c r="AE32" s="1645"/>
      <c r="AF32" s="10"/>
      <c r="AG32" s="1645"/>
      <c r="AH32" s="10"/>
      <c r="AI32" s="1645"/>
      <c r="AJ32" s="10"/>
      <c r="AK32" s="1722"/>
      <c r="AL32" s="1722"/>
      <c r="AM32" s="1722"/>
      <c r="AN32" s="1722"/>
      <c r="AO32" s="1722"/>
      <c r="AP32" s="1722"/>
      <c r="AQ32" s="1722"/>
      <c r="AR32" s="9"/>
      <c r="AS32" s="1722"/>
      <c r="AT32" s="1722"/>
      <c r="AU32" s="9"/>
      <c r="AV32" s="10"/>
      <c r="AW32" s="87"/>
      <c r="AX32" s="11"/>
      <c r="AY32" s="87"/>
      <c r="AZ32" s="10"/>
      <c r="BA32" s="87"/>
      <c r="BB32" s="11"/>
      <c r="BC32" s="87"/>
      <c r="BD32" s="10"/>
      <c r="BE32" s="87"/>
      <c r="BF32" s="11"/>
      <c r="BG32" s="87"/>
      <c r="BH32" s="10"/>
      <c r="BI32" s="87"/>
      <c r="BJ32" s="11"/>
      <c r="BK32" s="87"/>
    </row>
    <row r="33" spans="1:63" s="8" customFormat="1" ht="71.25" customHeight="1" thickBot="1">
      <c r="A33" s="1735"/>
      <c r="B33" s="1667"/>
      <c r="C33" s="1730"/>
      <c r="D33" s="1667"/>
      <c r="E33" s="1701"/>
      <c r="F33" s="1701"/>
      <c r="G33" s="1667"/>
      <c r="H33" s="1667"/>
      <c r="I33" s="1670"/>
      <c r="J33" s="1670"/>
      <c r="K33" s="1670"/>
      <c r="L33" s="1677"/>
      <c r="M33" s="1640"/>
      <c r="N33" s="1770"/>
      <c r="O33" s="1667"/>
      <c r="P33" s="1681"/>
      <c r="Q33" s="1681"/>
      <c r="R33" s="1696"/>
      <c r="S33" s="1696"/>
      <c r="T33" s="1667"/>
      <c r="U33" s="1640"/>
      <c r="V33" s="1667"/>
      <c r="W33" s="1667"/>
      <c r="X33" s="1667"/>
      <c r="Y33" s="1667"/>
      <c r="Z33" s="180">
        <v>1373.26</v>
      </c>
      <c r="AA33" s="1646"/>
      <c r="AB33" s="13"/>
      <c r="AC33" s="1646"/>
      <c r="AD33" s="13"/>
      <c r="AE33" s="1646"/>
      <c r="AF33" s="13"/>
      <c r="AG33" s="1646"/>
      <c r="AH33" s="13"/>
      <c r="AI33" s="1646"/>
      <c r="AJ33" s="13"/>
      <c r="AK33" s="1723"/>
      <c r="AL33" s="1723"/>
      <c r="AM33" s="1723"/>
      <c r="AN33" s="1723"/>
      <c r="AO33" s="1723"/>
      <c r="AP33" s="1723"/>
      <c r="AQ33" s="1723"/>
      <c r="AR33" s="12"/>
      <c r="AS33" s="1723"/>
      <c r="AT33" s="1723"/>
      <c r="AU33" s="12"/>
      <c r="AV33" s="13"/>
      <c r="AW33" s="88"/>
      <c r="AX33" s="15"/>
      <c r="AY33" s="88"/>
      <c r="AZ33" s="13"/>
      <c r="BA33" s="88"/>
      <c r="BB33" s="15"/>
      <c r="BC33" s="88"/>
      <c r="BD33" s="13"/>
      <c r="BE33" s="88"/>
      <c r="BF33" s="15"/>
      <c r="BG33" s="88"/>
      <c r="BH33" s="13"/>
      <c r="BI33" s="88"/>
      <c r="BJ33" s="15"/>
      <c r="BK33" s="88"/>
    </row>
    <row r="34" spans="1:63" s="8" customFormat="1" ht="71.25" customHeight="1">
      <c r="A34" s="1777" t="s">
        <v>90</v>
      </c>
      <c r="B34" s="1744"/>
      <c r="C34" s="1780">
        <v>208116497</v>
      </c>
      <c r="D34" s="1744" t="s">
        <v>91</v>
      </c>
      <c r="E34" s="1744" t="s">
        <v>92</v>
      </c>
      <c r="F34" s="1744" t="s">
        <v>92</v>
      </c>
      <c r="G34" s="1744" t="s">
        <v>3665</v>
      </c>
      <c r="H34" s="1744" t="s">
        <v>3598</v>
      </c>
      <c r="I34" s="1762" t="s">
        <v>2474</v>
      </c>
      <c r="J34" s="1762">
        <v>42736</v>
      </c>
      <c r="K34" s="1762">
        <v>43466</v>
      </c>
      <c r="L34" s="1771">
        <v>17</v>
      </c>
      <c r="M34" s="1744" t="s">
        <v>48</v>
      </c>
      <c r="N34" s="1744" t="s">
        <v>49</v>
      </c>
      <c r="O34" s="1744"/>
      <c r="P34" s="1765" t="s">
        <v>50</v>
      </c>
      <c r="Q34" s="1765" t="s">
        <v>73</v>
      </c>
      <c r="R34" s="1647" t="s">
        <v>4246</v>
      </c>
      <c r="S34" s="1647" t="s">
        <v>4246</v>
      </c>
      <c r="T34" s="1744" t="s">
        <v>317</v>
      </c>
      <c r="U34" s="1774" t="s">
        <v>2477</v>
      </c>
      <c r="V34" s="1744" t="s">
        <v>252</v>
      </c>
      <c r="W34" s="1744" t="s">
        <v>307</v>
      </c>
      <c r="X34" s="1744" t="s">
        <v>113</v>
      </c>
      <c r="Y34" s="1744" t="s">
        <v>86</v>
      </c>
      <c r="Z34" s="897">
        <v>567.39</v>
      </c>
      <c r="AA34" s="1765" t="s">
        <v>93</v>
      </c>
      <c r="AB34" s="897">
        <v>653.54</v>
      </c>
      <c r="AC34" s="1765" t="s">
        <v>403</v>
      </c>
      <c r="AD34" s="897">
        <v>410.5</v>
      </c>
      <c r="AE34" s="1647"/>
      <c r="AF34" s="1"/>
      <c r="AG34" s="1721"/>
      <c r="AH34" s="1"/>
      <c r="AI34" s="1721"/>
      <c r="AJ34" s="1"/>
      <c r="AK34" s="1744" t="s">
        <v>85</v>
      </c>
      <c r="AL34" s="1744" t="s">
        <v>245</v>
      </c>
      <c r="AM34" s="1744" t="s">
        <v>246</v>
      </c>
      <c r="AN34" s="1744" t="s">
        <v>249</v>
      </c>
      <c r="AO34" s="1744" t="s">
        <v>2501</v>
      </c>
      <c r="AP34" s="1744" t="s">
        <v>2482</v>
      </c>
      <c r="AQ34" s="1744" t="s">
        <v>382</v>
      </c>
      <c r="AR34" s="897">
        <v>57.78</v>
      </c>
      <c r="AS34" s="1744" t="s">
        <v>2483</v>
      </c>
      <c r="AT34" s="1744" t="s">
        <v>2484</v>
      </c>
      <c r="AU34" s="897">
        <v>8.85</v>
      </c>
      <c r="AV34" s="897" t="s">
        <v>56</v>
      </c>
      <c r="AW34" s="823" t="s">
        <v>1249</v>
      </c>
      <c r="AX34" s="898">
        <v>9.4E-2</v>
      </c>
      <c r="AY34" s="823" t="s">
        <v>58</v>
      </c>
      <c r="AZ34" s="899" t="s">
        <v>59</v>
      </c>
      <c r="BA34" s="824" t="s">
        <v>60</v>
      </c>
      <c r="BB34" s="900" t="s">
        <v>61</v>
      </c>
      <c r="BC34" s="824" t="s">
        <v>58</v>
      </c>
      <c r="BD34" s="1"/>
      <c r="BE34" s="820"/>
      <c r="BF34" s="239"/>
      <c r="BG34" s="820"/>
      <c r="BH34" s="901" t="s">
        <v>94</v>
      </c>
      <c r="BI34" s="900" t="s">
        <v>95</v>
      </c>
      <c r="BJ34" s="900" t="s">
        <v>61</v>
      </c>
      <c r="BK34" s="1194" t="s">
        <v>96</v>
      </c>
    </row>
    <row r="35" spans="1:63" s="8" customFormat="1" ht="71.25" customHeight="1">
      <c r="A35" s="1778"/>
      <c r="B35" s="1745"/>
      <c r="C35" s="1781"/>
      <c r="D35" s="1745"/>
      <c r="E35" s="1745"/>
      <c r="F35" s="1745"/>
      <c r="G35" s="1745"/>
      <c r="H35" s="1745"/>
      <c r="I35" s="1763"/>
      <c r="J35" s="1763"/>
      <c r="K35" s="1763"/>
      <c r="L35" s="1772"/>
      <c r="M35" s="1745"/>
      <c r="N35" s="1745"/>
      <c r="O35" s="1745"/>
      <c r="P35" s="1766"/>
      <c r="Q35" s="1766"/>
      <c r="R35" s="1636"/>
      <c r="S35" s="1636"/>
      <c r="T35" s="1745"/>
      <c r="U35" s="1775"/>
      <c r="V35" s="1745"/>
      <c r="W35" s="1745"/>
      <c r="X35" s="1745"/>
      <c r="Y35" s="1745"/>
      <c r="Z35" s="899">
        <v>1242.5899999999999</v>
      </c>
      <c r="AA35" s="1766"/>
      <c r="AB35" s="899">
        <v>1431.25</v>
      </c>
      <c r="AC35" s="1766"/>
      <c r="AD35" s="899">
        <v>899.01</v>
      </c>
      <c r="AE35" s="1648"/>
      <c r="AF35" s="9"/>
      <c r="AG35" s="1722"/>
      <c r="AH35" s="9"/>
      <c r="AI35" s="1722"/>
      <c r="AJ35" s="9"/>
      <c r="AK35" s="1745"/>
      <c r="AL35" s="1745"/>
      <c r="AM35" s="1745"/>
      <c r="AN35" s="1745"/>
      <c r="AO35" s="1745"/>
      <c r="AP35" s="1745"/>
      <c r="AQ35" s="1745"/>
      <c r="AR35" s="899">
        <v>117.88</v>
      </c>
      <c r="AS35" s="1745"/>
      <c r="AT35" s="1745"/>
      <c r="AU35" s="899">
        <v>17.739999999999998</v>
      </c>
      <c r="AV35" s="899" t="s">
        <v>65</v>
      </c>
      <c r="AW35" s="824" t="s">
        <v>1249</v>
      </c>
      <c r="AX35" s="900">
        <v>0.02</v>
      </c>
      <c r="AY35" s="824" t="s">
        <v>58</v>
      </c>
      <c r="AZ35" s="902" t="s">
        <v>66</v>
      </c>
      <c r="BA35" s="824" t="s">
        <v>60</v>
      </c>
      <c r="BB35" s="900" t="s">
        <v>61</v>
      </c>
      <c r="BC35" s="824" t="s">
        <v>58</v>
      </c>
      <c r="BD35" s="899" t="s">
        <v>67</v>
      </c>
      <c r="BE35" s="824" t="s">
        <v>82</v>
      </c>
      <c r="BF35" s="900">
        <v>0.25</v>
      </c>
      <c r="BG35" s="824" t="s">
        <v>69</v>
      </c>
      <c r="BH35" s="903" t="s">
        <v>97</v>
      </c>
      <c r="BI35" s="900" t="s">
        <v>95</v>
      </c>
      <c r="BJ35" s="900" t="s">
        <v>61</v>
      </c>
      <c r="BK35" s="1195" t="s">
        <v>96</v>
      </c>
    </row>
    <row r="36" spans="1:63" s="8" customFormat="1" ht="71.25" customHeight="1">
      <c r="A36" s="1778"/>
      <c r="B36" s="1745"/>
      <c r="C36" s="1781"/>
      <c r="D36" s="1745"/>
      <c r="E36" s="1745"/>
      <c r="F36" s="1745"/>
      <c r="G36" s="1745"/>
      <c r="H36" s="1745"/>
      <c r="I36" s="1763"/>
      <c r="J36" s="1763"/>
      <c r="K36" s="1763"/>
      <c r="L36" s="1772"/>
      <c r="M36" s="1745"/>
      <c r="N36" s="1745"/>
      <c r="O36" s="1745"/>
      <c r="P36" s="1766"/>
      <c r="Q36" s="1766"/>
      <c r="R36" s="1636"/>
      <c r="S36" s="1636"/>
      <c r="T36" s="1745"/>
      <c r="U36" s="1775"/>
      <c r="V36" s="1745"/>
      <c r="W36" s="1745"/>
      <c r="X36" s="1745"/>
      <c r="Y36" s="1745"/>
      <c r="Z36" s="899">
        <v>1078.05</v>
      </c>
      <c r="AA36" s="1766"/>
      <c r="AB36" s="899">
        <v>1241.73</v>
      </c>
      <c r="AC36" s="1766"/>
      <c r="AD36" s="899">
        <v>779.95</v>
      </c>
      <c r="AE36" s="1648"/>
      <c r="AF36" s="9"/>
      <c r="AG36" s="1722"/>
      <c r="AH36" s="9"/>
      <c r="AI36" s="1722"/>
      <c r="AJ36" s="9"/>
      <c r="AK36" s="1745"/>
      <c r="AL36" s="1745"/>
      <c r="AM36" s="1745"/>
      <c r="AN36" s="1745"/>
      <c r="AO36" s="1745"/>
      <c r="AP36" s="1745"/>
      <c r="AQ36" s="1745"/>
      <c r="AR36" s="899">
        <v>136.74</v>
      </c>
      <c r="AS36" s="1745"/>
      <c r="AT36" s="1745"/>
      <c r="AU36" s="899">
        <v>15.01</v>
      </c>
      <c r="AV36" s="9"/>
      <c r="AW36" s="821"/>
      <c r="AX36" s="199"/>
      <c r="AY36" s="821"/>
      <c r="AZ36" s="9"/>
      <c r="BA36" s="821"/>
      <c r="BB36" s="199"/>
      <c r="BC36" s="821"/>
      <c r="BD36" s="9"/>
      <c r="BE36" s="821"/>
      <c r="BF36" s="199"/>
      <c r="BG36" s="821"/>
      <c r="BH36" s="903" t="s">
        <v>98</v>
      </c>
      <c r="BI36" s="900" t="s">
        <v>95</v>
      </c>
      <c r="BJ36" s="900" t="s">
        <v>61</v>
      </c>
      <c r="BK36" s="1195" t="s">
        <v>79</v>
      </c>
    </row>
    <row r="37" spans="1:63" s="8" customFormat="1" ht="71.25" customHeight="1" thickBot="1">
      <c r="A37" s="1779"/>
      <c r="B37" s="1746"/>
      <c r="C37" s="1782"/>
      <c r="D37" s="1746"/>
      <c r="E37" s="1746"/>
      <c r="F37" s="1746"/>
      <c r="G37" s="1746"/>
      <c r="H37" s="1746"/>
      <c r="I37" s="1764"/>
      <c r="J37" s="1764"/>
      <c r="K37" s="1764"/>
      <c r="L37" s="1773"/>
      <c r="M37" s="1746"/>
      <c r="N37" s="1746"/>
      <c r="O37" s="1746"/>
      <c r="P37" s="1767"/>
      <c r="Q37" s="1767"/>
      <c r="R37" s="1637"/>
      <c r="S37" s="1637"/>
      <c r="T37" s="1746"/>
      <c r="U37" s="1776"/>
      <c r="V37" s="1746"/>
      <c r="W37" s="1746"/>
      <c r="X37" s="1746"/>
      <c r="Y37" s="1746"/>
      <c r="Z37" s="904">
        <v>1724.87</v>
      </c>
      <c r="AA37" s="1768"/>
      <c r="AB37" s="904">
        <v>1986.75</v>
      </c>
      <c r="AC37" s="1768"/>
      <c r="AD37" s="904">
        <v>1247.93</v>
      </c>
      <c r="AE37" s="1794"/>
      <c r="AF37" s="12"/>
      <c r="AG37" s="1723"/>
      <c r="AH37" s="12"/>
      <c r="AI37" s="1723"/>
      <c r="AJ37" s="12"/>
      <c r="AK37" s="1746"/>
      <c r="AL37" s="1746"/>
      <c r="AM37" s="1746"/>
      <c r="AN37" s="1746"/>
      <c r="AO37" s="1746"/>
      <c r="AP37" s="1746"/>
      <c r="AQ37" s="1746"/>
      <c r="AR37" s="904">
        <v>211.2</v>
      </c>
      <c r="AS37" s="1746"/>
      <c r="AT37" s="1746"/>
      <c r="AU37" s="904">
        <v>24.76</v>
      </c>
      <c r="AV37" s="12"/>
      <c r="AW37" s="822"/>
      <c r="AX37" s="240"/>
      <c r="AY37" s="822"/>
      <c r="AZ37" s="12"/>
      <c r="BA37" s="822"/>
      <c r="BB37" s="240"/>
      <c r="BC37" s="822"/>
      <c r="BD37" s="12"/>
      <c r="BE37" s="822"/>
      <c r="BF37" s="240"/>
      <c r="BG37" s="822"/>
      <c r="BH37" s="12"/>
      <c r="BI37" s="822"/>
      <c r="BJ37" s="15"/>
      <c r="BK37" s="28"/>
    </row>
    <row r="38" spans="1:63" s="8" customFormat="1" ht="71.25" customHeight="1">
      <c r="A38" s="1682" t="s">
        <v>4378</v>
      </c>
      <c r="B38" s="1706"/>
      <c r="C38" s="1717">
        <v>232908305</v>
      </c>
      <c r="D38" s="1665" t="s">
        <v>99</v>
      </c>
      <c r="E38" s="1665" t="s">
        <v>100</v>
      </c>
      <c r="F38" s="1706" t="s">
        <v>100</v>
      </c>
      <c r="G38" s="1665" t="s">
        <v>3665</v>
      </c>
      <c r="H38" s="1665" t="s">
        <v>4350</v>
      </c>
      <c r="I38" s="1668" t="s">
        <v>2474</v>
      </c>
      <c r="J38" s="1674">
        <v>42736</v>
      </c>
      <c r="K38" s="1674">
        <v>43466</v>
      </c>
      <c r="L38" s="1708">
        <v>79</v>
      </c>
      <c r="M38" s="1706" t="s">
        <v>48</v>
      </c>
      <c r="N38" s="1706" t="s">
        <v>77</v>
      </c>
      <c r="O38" s="1706"/>
      <c r="P38" s="1656" t="s">
        <v>50</v>
      </c>
      <c r="Q38" s="1656" t="s">
        <v>73</v>
      </c>
      <c r="R38" s="1694" t="s">
        <v>4244</v>
      </c>
      <c r="S38" s="1694" t="s">
        <v>4244</v>
      </c>
      <c r="T38" s="1665" t="s">
        <v>317</v>
      </c>
      <c r="U38" s="1665" t="s">
        <v>2503</v>
      </c>
      <c r="V38" s="1665" t="s">
        <v>252</v>
      </c>
      <c r="W38" s="1665" t="s">
        <v>307</v>
      </c>
      <c r="X38" s="1665" t="s">
        <v>113</v>
      </c>
      <c r="Y38" s="1665" t="s">
        <v>1240</v>
      </c>
      <c r="Z38" s="3">
        <v>597.25</v>
      </c>
      <c r="AA38" s="1665" t="s">
        <v>1241</v>
      </c>
      <c r="AB38" s="3">
        <v>533.30999999999995</v>
      </c>
      <c r="AC38" s="1706" t="s">
        <v>93</v>
      </c>
      <c r="AD38" s="3">
        <v>687.93</v>
      </c>
      <c r="AE38" s="1697" t="s">
        <v>403</v>
      </c>
      <c r="AF38" s="81">
        <v>432.11</v>
      </c>
      <c r="AG38" s="1644"/>
      <c r="AH38" s="2"/>
      <c r="AI38" s="1644"/>
      <c r="AJ38" s="2"/>
      <c r="AK38" s="1665" t="s">
        <v>85</v>
      </c>
      <c r="AL38" s="1665" t="s">
        <v>245</v>
      </c>
      <c r="AM38" s="1665" t="s">
        <v>246</v>
      </c>
      <c r="AN38" s="1665" t="s">
        <v>1242</v>
      </c>
      <c r="AO38" s="1665" t="s">
        <v>2494</v>
      </c>
      <c r="AP38" s="1665" t="s">
        <v>2481</v>
      </c>
      <c r="AQ38" s="1665" t="s">
        <v>384</v>
      </c>
      <c r="AR38" s="3">
        <v>58.69</v>
      </c>
      <c r="AS38" s="1665" t="s">
        <v>2493</v>
      </c>
      <c r="AT38" s="1665" t="s">
        <v>2486</v>
      </c>
      <c r="AU38" s="3">
        <v>8.56</v>
      </c>
      <c r="AV38" s="3" t="s">
        <v>56</v>
      </c>
      <c r="AW38" s="283" t="s">
        <v>57</v>
      </c>
      <c r="AX38" s="4">
        <v>9.0999999999999998E-2</v>
      </c>
      <c r="AY38" s="283" t="s">
        <v>58</v>
      </c>
      <c r="AZ38" s="5" t="s">
        <v>59</v>
      </c>
      <c r="BA38" s="282" t="s">
        <v>60</v>
      </c>
      <c r="BB38" s="6" t="s">
        <v>61</v>
      </c>
      <c r="BC38" s="282" t="s">
        <v>58</v>
      </c>
      <c r="BD38" s="3" t="s">
        <v>62</v>
      </c>
      <c r="BE38" s="283" t="s">
        <v>101</v>
      </c>
      <c r="BF38" s="4">
        <v>9.7000000000000003E-2</v>
      </c>
      <c r="BG38" s="283" t="s">
        <v>64</v>
      </c>
      <c r="BH38" s="2"/>
      <c r="BI38" s="284"/>
      <c r="BJ38" s="7"/>
      <c r="BK38" s="284"/>
    </row>
    <row r="39" spans="1:63" s="8" customFormat="1" ht="71.25" customHeight="1">
      <c r="A39" s="1683"/>
      <c r="B39" s="1666"/>
      <c r="C39" s="1718"/>
      <c r="D39" s="1666"/>
      <c r="E39" s="1666"/>
      <c r="F39" s="1666"/>
      <c r="G39" s="1666"/>
      <c r="H39" s="1666"/>
      <c r="I39" s="1669"/>
      <c r="J39" s="1669"/>
      <c r="K39" s="1669"/>
      <c r="L39" s="1676"/>
      <c r="M39" s="1666"/>
      <c r="N39" s="1666"/>
      <c r="O39" s="1666"/>
      <c r="P39" s="1657"/>
      <c r="Q39" s="1657"/>
      <c r="R39" s="1695"/>
      <c r="S39" s="1695"/>
      <c r="T39" s="1666"/>
      <c r="U39" s="1666"/>
      <c r="V39" s="1666"/>
      <c r="W39" s="1666"/>
      <c r="X39" s="1666"/>
      <c r="Y39" s="1666"/>
      <c r="Z39" s="5">
        <v>1307.99</v>
      </c>
      <c r="AA39" s="1666"/>
      <c r="AB39" s="5">
        <v>1167.96</v>
      </c>
      <c r="AC39" s="1666"/>
      <c r="AD39" s="5">
        <v>1506.58</v>
      </c>
      <c r="AE39" s="1657"/>
      <c r="AF39" s="27">
        <v>946.32</v>
      </c>
      <c r="AG39" s="1645"/>
      <c r="AH39" s="10"/>
      <c r="AI39" s="1645"/>
      <c r="AJ39" s="10"/>
      <c r="AK39" s="1666"/>
      <c r="AL39" s="1666"/>
      <c r="AM39" s="1666"/>
      <c r="AN39" s="1666"/>
      <c r="AO39" s="1666"/>
      <c r="AP39" s="1666"/>
      <c r="AQ39" s="1666"/>
      <c r="AR39" s="5">
        <v>119.67</v>
      </c>
      <c r="AS39" s="1666"/>
      <c r="AT39" s="1666"/>
      <c r="AU39" s="5">
        <v>17.149999999999999</v>
      </c>
      <c r="AV39" s="5" t="s">
        <v>65</v>
      </c>
      <c r="AW39" s="282" t="s">
        <v>57</v>
      </c>
      <c r="AX39" s="6">
        <v>0.02</v>
      </c>
      <c r="AY39" s="282" t="s">
        <v>58</v>
      </c>
      <c r="AZ39" s="19" t="s">
        <v>66</v>
      </c>
      <c r="BA39" s="282" t="s">
        <v>60</v>
      </c>
      <c r="BB39" s="6" t="s">
        <v>61</v>
      </c>
      <c r="BC39" s="282" t="s">
        <v>58</v>
      </c>
      <c r="BD39" s="5" t="s">
        <v>67</v>
      </c>
      <c r="BE39" s="249" t="s">
        <v>1243</v>
      </c>
      <c r="BF39" s="6">
        <v>0.36</v>
      </c>
      <c r="BG39" s="282" t="s">
        <v>69</v>
      </c>
      <c r="BH39" s="10"/>
      <c r="BI39" s="285"/>
      <c r="BJ39" s="11"/>
      <c r="BK39" s="285"/>
    </row>
    <row r="40" spans="1:63" s="8" customFormat="1" ht="71.25" customHeight="1">
      <c r="A40" s="1683"/>
      <c r="B40" s="1666"/>
      <c r="C40" s="1718"/>
      <c r="D40" s="1666"/>
      <c r="E40" s="1666"/>
      <c r="F40" s="1666"/>
      <c r="G40" s="1666"/>
      <c r="H40" s="1666"/>
      <c r="I40" s="1669"/>
      <c r="J40" s="1669"/>
      <c r="K40" s="1669"/>
      <c r="L40" s="1676"/>
      <c r="M40" s="1666"/>
      <c r="N40" s="1666"/>
      <c r="O40" s="1666"/>
      <c r="P40" s="1657"/>
      <c r="Q40" s="1657"/>
      <c r="R40" s="1695"/>
      <c r="S40" s="1695"/>
      <c r="T40" s="1666"/>
      <c r="U40" s="1666"/>
      <c r="V40" s="1666"/>
      <c r="W40" s="1666"/>
      <c r="X40" s="1666"/>
      <c r="Y40" s="1666"/>
      <c r="Z40" s="5">
        <v>1134.79</v>
      </c>
      <c r="AA40" s="1666"/>
      <c r="AB40" s="5">
        <v>1013.29</v>
      </c>
      <c r="AC40" s="1666"/>
      <c r="AD40" s="5">
        <v>1307.08</v>
      </c>
      <c r="AE40" s="1657"/>
      <c r="AF40" s="27">
        <v>821</v>
      </c>
      <c r="AG40" s="1645"/>
      <c r="AH40" s="10"/>
      <c r="AI40" s="1645"/>
      <c r="AJ40" s="10"/>
      <c r="AK40" s="1666"/>
      <c r="AL40" s="1666"/>
      <c r="AM40" s="1666"/>
      <c r="AN40" s="1666"/>
      <c r="AO40" s="1666"/>
      <c r="AP40" s="1666"/>
      <c r="AQ40" s="1666"/>
      <c r="AR40" s="5">
        <v>137.72999999999999</v>
      </c>
      <c r="AS40" s="1666"/>
      <c r="AT40" s="1666"/>
      <c r="AU40" s="5">
        <v>14.53</v>
      </c>
      <c r="AV40" s="10"/>
      <c r="AW40" s="285"/>
      <c r="AX40" s="11"/>
      <c r="AY40" s="285"/>
      <c r="AZ40" s="10"/>
      <c r="BA40" s="285"/>
      <c r="BB40" s="11"/>
      <c r="BC40" s="285"/>
      <c r="BD40" s="10"/>
      <c r="BE40" s="532"/>
      <c r="BF40" s="11"/>
      <c r="BG40" s="532"/>
      <c r="BH40" s="10"/>
      <c r="BI40" s="285"/>
      <c r="BJ40" s="11"/>
      <c r="BK40" s="285"/>
    </row>
    <row r="41" spans="1:63" s="8" customFormat="1" ht="71.25" customHeight="1" thickBot="1">
      <c r="A41" s="1684"/>
      <c r="B41" s="1667"/>
      <c r="C41" s="1719"/>
      <c r="D41" s="1667"/>
      <c r="E41" s="1667"/>
      <c r="F41" s="1667"/>
      <c r="G41" s="1667"/>
      <c r="H41" s="1667"/>
      <c r="I41" s="1670"/>
      <c r="J41" s="1670"/>
      <c r="K41" s="1670"/>
      <c r="L41" s="1677"/>
      <c r="M41" s="1667"/>
      <c r="N41" s="1667"/>
      <c r="O41" s="1667"/>
      <c r="P41" s="1678"/>
      <c r="Q41" s="1678"/>
      <c r="R41" s="1696"/>
      <c r="S41" s="1696"/>
      <c r="T41" s="1667"/>
      <c r="U41" s="1667"/>
      <c r="V41" s="1667"/>
      <c r="W41" s="1667"/>
      <c r="X41" s="1667"/>
      <c r="Y41" s="1667"/>
      <c r="Z41" s="14">
        <v>1815.66</v>
      </c>
      <c r="AA41" s="1667"/>
      <c r="AB41" s="14">
        <v>1621.27</v>
      </c>
      <c r="AC41" s="1667"/>
      <c r="AD41" s="14">
        <v>2091.3200000000002</v>
      </c>
      <c r="AE41" s="1678"/>
      <c r="AF41" s="82">
        <v>1313.61</v>
      </c>
      <c r="AG41" s="1646"/>
      <c r="AH41" s="13"/>
      <c r="AI41" s="1646"/>
      <c r="AJ41" s="13"/>
      <c r="AK41" s="1667"/>
      <c r="AL41" s="1667"/>
      <c r="AM41" s="1667"/>
      <c r="AN41" s="1667"/>
      <c r="AO41" s="1667"/>
      <c r="AP41" s="1667"/>
      <c r="AQ41" s="1667"/>
      <c r="AR41" s="14">
        <v>213.09</v>
      </c>
      <c r="AS41" s="1667"/>
      <c r="AT41" s="1667"/>
      <c r="AU41" s="14">
        <v>23.96</v>
      </c>
      <c r="AV41" s="13"/>
      <c r="AW41" s="286"/>
      <c r="AX41" s="15"/>
      <c r="AY41" s="286"/>
      <c r="AZ41" s="13"/>
      <c r="BA41" s="286"/>
      <c r="BB41" s="15"/>
      <c r="BC41" s="286"/>
      <c r="BD41" s="13"/>
      <c r="BE41" s="286"/>
      <c r="BF41" s="15"/>
      <c r="BG41" s="286"/>
      <c r="BH41" s="13"/>
      <c r="BI41" s="286"/>
      <c r="BJ41" s="15"/>
      <c r="BK41" s="286"/>
    </row>
    <row r="42" spans="1:63" s="8" customFormat="1" ht="71.25" customHeight="1">
      <c r="A42" s="1705" t="s">
        <v>103</v>
      </c>
      <c r="B42" s="1641" t="s">
        <v>104</v>
      </c>
      <c r="C42" s="1788">
        <v>743076460</v>
      </c>
      <c r="D42" s="1641" t="s">
        <v>105</v>
      </c>
      <c r="E42" s="1641" t="s">
        <v>228</v>
      </c>
      <c r="F42" s="1641" t="s">
        <v>228</v>
      </c>
      <c r="G42" s="1665" t="s">
        <v>3654</v>
      </c>
      <c r="H42" s="1665" t="s">
        <v>1280</v>
      </c>
      <c r="I42" s="1783" t="s">
        <v>2474</v>
      </c>
      <c r="J42" s="1783">
        <v>42736</v>
      </c>
      <c r="K42" s="1783">
        <v>43466</v>
      </c>
      <c r="L42" s="1691">
        <v>50</v>
      </c>
      <c r="M42" s="1641" t="s">
        <v>106</v>
      </c>
      <c r="N42" s="1641" t="s">
        <v>107</v>
      </c>
      <c r="O42" s="1744"/>
      <c r="P42" s="1679" t="s">
        <v>72</v>
      </c>
      <c r="Q42" s="1679" t="s">
        <v>72</v>
      </c>
      <c r="R42" s="1697" t="s">
        <v>4293</v>
      </c>
      <c r="S42" s="1632" t="s">
        <v>72</v>
      </c>
      <c r="T42" s="1641" t="s">
        <v>303</v>
      </c>
      <c r="U42" s="1638" t="s">
        <v>2477</v>
      </c>
      <c r="V42" s="1638" t="s">
        <v>252</v>
      </c>
      <c r="W42" s="1638" t="s">
        <v>307</v>
      </c>
      <c r="X42" s="1638" t="s">
        <v>113</v>
      </c>
      <c r="Y42" s="1638" t="s">
        <v>108</v>
      </c>
      <c r="Z42" s="23">
        <v>647.66999999999996</v>
      </c>
      <c r="AA42" s="1641" t="s">
        <v>93</v>
      </c>
      <c r="AB42" s="256">
        <v>705.61</v>
      </c>
      <c r="AC42" s="1644"/>
      <c r="AD42" s="2"/>
      <c r="AE42" s="1644"/>
      <c r="AF42" s="2"/>
      <c r="AG42" s="1644"/>
      <c r="AH42" s="2"/>
      <c r="AI42" s="1644"/>
      <c r="AJ42" s="2"/>
      <c r="AK42" s="1632" t="s">
        <v>113</v>
      </c>
      <c r="AL42" s="1632" t="s">
        <v>72</v>
      </c>
      <c r="AM42" s="1632" t="s">
        <v>72</v>
      </c>
      <c r="AN42" s="1632" t="s">
        <v>113</v>
      </c>
      <c r="AO42" s="1632" t="s">
        <v>72</v>
      </c>
      <c r="AP42" s="1632" t="s">
        <v>72</v>
      </c>
      <c r="AQ42" s="1632" t="s">
        <v>72</v>
      </c>
      <c r="AR42" s="16"/>
      <c r="AS42" s="1632" t="s">
        <v>72</v>
      </c>
      <c r="AT42" s="1632" t="s">
        <v>72</v>
      </c>
      <c r="AU42" s="16"/>
      <c r="AV42" s="2"/>
      <c r="AW42" s="245"/>
      <c r="AX42" s="7"/>
      <c r="AY42" s="245"/>
      <c r="AZ42" s="2"/>
      <c r="BA42" s="245"/>
      <c r="BB42" s="7"/>
      <c r="BC42" s="245"/>
      <c r="BD42" s="2"/>
      <c r="BE42" s="245"/>
      <c r="BF42" s="7"/>
      <c r="BG42" s="245"/>
      <c r="BH42" s="2"/>
      <c r="BI42" s="245"/>
      <c r="BJ42" s="7"/>
      <c r="BK42" s="245"/>
    </row>
    <row r="43" spans="1:63" s="8" customFormat="1" ht="71.25" customHeight="1">
      <c r="A43" s="1683"/>
      <c r="B43" s="1642"/>
      <c r="C43" s="1789"/>
      <c r="D43" s="1642"/>
      <c r="E43" s="1642"/>
      <c r="F43" s="1642"/>
      <c r="G43" s="1666"/>
      <c r="H43" s="1666"/>
      <c r="I43" s="1784"/>
      <c r="J43" s="1784"/>
      <c r="K43" s="1784"/>
      <c r="L43" s="1692"/>
      <c r="M43" s="1642"/>
      <c r="N43" s="1642"/>
      <c r="O43" s="1745"/>
      <c r="P43" s="1680"/>
      <c r="Q43" s="1680"/>
      <c r="R43" s="1657"/>
      <c r="S43" s="1724"/>
      <c r="T43" s="1642"/>
      <c r="U43" s="1639"/>
      <c r="V43" s="1639"/>
      <c r="W43" s="1639"/>
      <c r="X43" s="1639"/>
      <c r="Y43" s="1639"/>
      <c r="Z43" s="25">
        <v>1418.41</v>
      </c>
      <c r="AA43" s="1642"/>
      <c r="AB43" s="257">
        <v>1545.3</v>
      </c>
      <c r="AC43" s="1645"/>
      <c r="AD43" s="10"/>
      <c r="AE43" s="1645"/>
      <c r="AF43" s="10"/>
      <c r="AG43" s="1645"/>
      <c r="AH43" s="10"/>
      <c r="AI43" s="1645"/>
      <c r="AJ43" s="10"/>
      <c r="AK43" s="1633"/>
      <c r="AL43" s="1633"/>
      <c r="AM43" s="1633"/>
      <c r="AN43" s="1633"/>
      <c r="AO43" s="1633"/>
      <c r="AP43" s="1633"/>
      <c r="AQ43" s="1633"/>
      <c r="AR43" s="20"/>
      <c r="AS43" s="1633"/>
      <c r="AT43" s="1633"/>
      <c r="AU43" s="20"/>
      <c r="AV43" s="10"/>
      <c r="AW43" s="246"/>
      <c r="AX43" s="11"/>
      <c r="AY43" s="246"/>
      <c r="AZ43" s="10"/>
      <c r="BA43" s="246"/>
      <c r="BB43" s="11"/>
      <c r="BC43" s="246"/>
      <c r="BD43" s="10"/>
      <c r="BE43" s="246"/>
      <c r="BF43" s="11"/>
      <c r="BG43" s="246"/>
      <c r="BH43" s="10"/>
      <c r="BI43" s="246"/>
      <c r="BJ43" s="11"/>
      <c r="BK43" s="246"/>
    </row>
    <row r="44" spans="1:63" s="8" customFormat="1" ht="71.25" customHeight="1">
      <c r="A44" s="1683"/>
      <c r="B44" s="1642"/>
      <c r="C44" s="1789"/>
      <c r="D44" s="1642"/>
      <c r="E44" s="1642"/>
      <c r="F44" s="1642"/>
      <c r="G44" s="1666"/>
      <c r="H44" s="1666"/>
      <c r="I44" s="1784"/>
      <c r="J44" s="1784"/>
      <c r="K44" s="1784"/>
      <c r="L44" s="1692"/>
      <c r="M44" s="1642"/>
      <c r="N44" s="1642"/>
      <c r="O44" s="1745"/>
      <c r="P44" s="1680"/>
      <c r="Q44" s="1680"/>
      <c r="R44" s="1657"/>
      <c r="S44" s="1724"/>
      <c r="T44" s="1642"/>
      <c r="U44" s="1639"/>
      <c r="V44" s="1639"/>
      <c r="W44" s="1639"/>
      <c r="X44" s="1639"/>
      <c r="Y44" s="1639"/>
      <c r="Z44" s="25">
        <v>1230.58</v>
      </c>
      <c r="AA44" s="1642"/>
      <c r="AB44" s="257">
        <v>1340.67</v>
      </c>
      <c r="AC44" s="1645"/>
      <c r="AD44" s="10"/>
      <c r="AE44" s="1645"/>
      <c r="AF44" s="10"/>
      <c r="AG44" s="1645"/>
      <c r="AH44" s="10"/>
      <c r="AI44" s="1645"/>
      <c r="AJ44" s="10"/>
      <c r="AK44" s="1633"/>
      <c r="AL44" s="1633"/>
      <c r="AM44" s="1633"/>
      <c r="AN44" s="1633"/>
      <c r="AO44" s="1633"/>
      <c r="AP44" s="1633"/>
      <c r="AQ44" s="1633"/>
      <c r="AR44" s="20"/>
      <c r="AS44" s="1633"/>
      <c r="AT44" s="1633"/>
      <c r="AU44" s="20"/>
      <c r="AV44" s="10"/>
      <c r="AW44" s="246"/>
      <c r="AX44" s="11"/>
      <c r="AY44" s="246"/>
      <c r="AZ44" s="10"/>
      <c r="BA44" s="246"/>
      <c r="BB44" s="11"/>
      <c r="BC44" s="246"/>
      <c r="BD44" s="10"/>
      <c r="BE44" s="246"/>
      <c r="BF44" s="11"/>
      <c r="BG44" s="246"/>
      <c r="BH44" s="10"/>
      <c r="BI44" s="246"/>
      <c r="BJ44" s="11"/>
      <c r="BK44" s="246"/>
    </row>
    <row r="45" spans="1:63" s="8" customFormat="1" ht="71.25" customHeight="1" thickBot="1">
      <c r="A45" s="1684"/>
      <c r="B45" s="1643"/>
      <c r="C45" s="1790"/>
      <c r="D45" s="1643"/>
      <c r="E45" s="1643"/>
      <c r="F45" s="1643"/>
      <c r="G45" s="1667"/>
      <c r="H45" s="1667"/>
      <c r="I45" s="1785"/>
      <c r="J45" s="1785"/>
      <c r="K45" s="1785"/>
      <c r="L45" s="1693"/>
      <c r="M45" s="1643"/>
      <c r="N45" s="1643"/>
      <c r="O45" s="1746"/>
      <c r="P45" s="1681"/>
      <c r="Q45" s="1681"/>
      <c r="R45" s="1658"/>
      <c r="S45" s="1725"/>
      <c r="T45" s="1643"/>
      <c r="U45" s="1640"/>
      <c r="V45" s="1640"/>
      <c r="W45" s="1640"/>
      <c r="X45" s="1640"/>
      <c r="Y45" s="1640"/>
      <c r="Z45" s="180">
        <v>1968.93</v>
      </c>
      <c r="AA45" s="1643"/>
      <c r="AB45" s="258">
        <v>2145.0700000000002</v>
      </c>
      <c r="AC45" s="1646"/>
      <c r="AD45" s="13"/>
      <c r="AE45" s="1646"/>
      <c r="AF45" s="13"/>
      <c r="AG45" s="1646"/>
      <c r="AH45" s="13"/>
      <c r="AI45" s="1646"/>
      <c r="AJ45" s="13"/>
      <c r="AK45" s="1634"/>
      <c r="AL45" s="1634"/>
      <c r="AM45" s="1634"/>
      <c r="AN45" s="1634"/>
      <c r="AO45" s="1634"/>
      <c r="AP45" s="1634"/>
      <c r="AQ45" s="1634"/>
      <c r="AR45" s="212"/>
      <c r="AS45" s="1634"/>
      <c r="AT45" s="1634"/>
      <c r="AU45" s="212"/>
      <c r="AV45" s="13"/>
      <c r="AW45" s="247"/>
      <c r="AX45" s="15"/>
      <c r="AY45" s="247"/>
      <c r="AZ45" s="13"/>
      <c r="BA45" s="247"/>
      <c r="BB45" s="15"/>
      <c r="BC45" s="247"/>
      <c r="BD45" s="13"/>
      <c r="BE45" s="247"/>
      <c r="BF45" s="15"/>
      <c r="BG45" s="247"/>
      <c r="BH45" s="13"/>
      <c r="BI45" s="247"/>
      <c r="BJ45" s="15"/>
      <c r="BK45" s="247"/>
    </row>
    <row r="46" spans="1:63" s="8" customFormat="1" ht="71.25" customHeight="1">
      <c r="A46" s="1682" t="s">
        <v>359</v>
      </c>
      <c r="B46" s="1706"/>
      <c r="C46" s="1720">
        <v>203435077</v>
      </c>
      <c r="D46" s="1638" t="s">
        <v>360</v>
      </c>
      <c r="E46" s="1638" t="s">
        <v>373</v>
      </c>
      <c r="F46" s="1638" t="s">
        <v>374</v>
      </c>
      <c r="G46" s="1665" t="s">
        <v>3665</v>
      </c>
      <c r="H46" s="1665" t="s">
        <v>3591</v>
      </c>
      <c r="I46" s="1668" t="s">
        <v>2473</v>
      </c>
      <c r="J46" s="1674">
        <v>43101</v>
      </c>
      <c r="K46" s="1674">
        <v>43466</v>
      </c>
      <c r="L46" s="1708">
        <v>61</v>
      </c>
      <c r="M46" s="1638" t="s">
        <v>48</v>
      </c>
      <c r="N46" s="1638" t="s">
        <v>354</v>
      </c>
      <c r="O46" s="1706"/>
      <c r="P46" s="1656" t="s">
        <v>50</v>
      </c>
      <c r="Q46" s="1759" t="s">
        <v>3607</v>
      </c>
      <c r="R46" s="1697" t="s">
        <v>4293</v>
      </c>
      <c r="S46" s="1632" t="s">
        <v>72</v>
      </c>
      <c r="T46" s="1638" t="s">
        <v>317</v>
      </c>
      <c r="U46" s="1638" t="s">
        <v>2503</v>
      </c>
      <c r="V46" s="1638" t="s">
        <v>252</v>
      </c>
      <c r="W46" s="1638" t="s">
        <v>307</v>
      </c>
      <c r="X46" s="1638" t="s">
        <v>113</v>
      </c>
      <c r="Y46" s="1638" t="s">
        <v>86</v>
      </c>
      <c r="Z46" s="23">
        <v>597.25</v>
      </c>
      <c r="AA46" s="1638" t="s">
        <v>87</v>
      </c>
      <c r="AB46" s="23">
        <v>728.1</v>
      </c>
      <c r="AC46" s="1638" t="s">
        <v>403</v>
      </c>
      <c r="AD46" s="23">
        <v>432.11</v>
      </c>
      <c r="AE46" s="1644"/>
      <c r="AF46" s="2"/>
      <c r="AG46" s="1644"/>
      <c r="AH46" s="2"/>
      <c r="AI46" s="1644"/>
      <c r="AJ46" s="2"/>
      <c r="AK46" s="1638" t="s">
        <v>85</v>
      </c>
      <c r="AL46" s="1638" t="s">
        <v>245</v>
      </c>
      <c r="AM46" s="1638" t="s">
        <v>246</v>
      </c>
      <c r="AN46" s="1638" t="s">
        <v>250</v>
      </c>
      <c r="AO46" s="1638" t="s">
        <v>2494</v>
      </c>
      <c r="AP46" s="1638" t="s">
        <v>2482</v>
      </c>
      <c r="AQ46" s="1665" t="s">
        <v>385</v>
      </c>
      <c r="AR46" s="23">
        <v>51.09</v>
      </c>
      <c r="AS46" s="1638" t="s">
        <v>2482</v>
      </c>
      <c r="AT46" s="1665" t="s">
        <v>2488</v>
      </c>
      <c r="AU46" s="81">
        <v>8.7100000000000009</v>
      </c>
      <c r="AV46" s="23" t="s">
        <v>56</v>
      </c>
      <c r="AW46" s="302" t="s">
        <v>57</v>
      </c>
      <c r="AX46" s="181">
        <v>9.0999999999999998E-2</v>
      </c>
      <c r="AY46" s="194" t="s">
        <v>58</v>
      </c>
      <c r="AZ46" s="25" t="s">
        <v>59</v>
      </c>
      <c r="BA46" s="406" t="s">
        <v>60</v>
      </c>
      <c r="BB46" s="182" t="s">
        <v>61</v>
      </c>
      <c r="BC46" s="406" t="s">
        <v>58</v>
      </c>
      <c r="BD46" s="23" t="s">
        <v>62</v>
      </c>
      <c r="BE46" s="194" t="s">
        <v>256</v>
      </c>
      <c r="BF46" s="181">
        <v>0.12</v>
      </c>
      <c r="BG46" s="194" t="s">
        <v>64</v>
      </c>
      <c r="BH46" s="23" t="s">
        <v>94</v>
      </c>
      <c r="BI46" s="182" t="s">
        <v>95</v>
      </c>
      <c r="BJ46" s="182" t="s">
        <v>61</v>
      </c>
      <c r="BK46" s="313" t="s">
        <v>96</v>
      </c>
    </row>
    <row r="47" spans="1:63" s="8" customFormat="1" ht="71.25" customHeight="1">
      <c r="A47" s="1683"/>
      <c r="B47" s="1666"/>
      <c r="C47" s="1729"/>
      <c r="D47" s="1639"/>
      <c r="E47" s="1639"/>
      <c r="F47" s="1639"/>
      <c r="G47" s="1666"/>
      <c r="H47" s="1666"/>
      <c r="I47" s="1669"/>
      <c r="J47" s="1669"/>
      <c r="K47" s="1669"/>
      <c r="L47" s="1676"/>
      <c r="M47" s="1639"/>
      <c r="N47" s="1639"/>
      <c r="O47" s="1666"/>
      <c r="P47" s="1657"/>
      <c r="Q47" s="1680"/>
      <c r="R47" s="1657"/>
      <c r="S47" s="1724"/>
      <c r="T47" s="1639"/>
      <c r="U47" s="1639"/>
      <c r="V47" s="1639"/>
      <c r="W47" s="1639"/>
      <c r="X47" s="1639"/>
      <c r="Y47" s="1639"/>
      <c r="Z47" s="25">
        <v>1307.99</v>
      </c>
      <c r="AA47" s="1639"/>
      <c r="AB47" s="25">
        <v>1594.54</v>
      </c>
      <c r="AC47" s="1639"/>
      <c r="AD47" s="25">
        <v>946.32</v>
      </c>
      <c r="AE47" s="1645"/>
      <c r="AF47" s="10"/>
      <c r="AG47" s="1645"/>
      <c r="AH47" s="10"/>
      <c r="AI47" s="1645"/>
      <c r="AJ47" s="10"/>
      <c r="AK47" s="1639"/>
      <c r="AL47" s="1639"/>
      <c r="AM47" s="1639"/>
      <c r="AN47" s="1639" t="s">
        <v>248</v>
      </c>
      <c r="AO47" s="1639"/>
      <c r="AP47" s="1639"/>
      <c r="AQ47" s="1666"/>
      <c r="AR47" s="25">
        <v>104.21</v>
      </c>
      <c r="AS47" s="1639"/>
      <c r="AT47" s="1666"/>
      <c r="AU47" s="27">
        <v>17.45</v>
      </c>
      <c r="AV47" s="25" t="s">
        <v>65</v>
      </c>
      <c r="AW47" s="301" t="s">
        <v>57</v>
      </c>
      <c r="AX47" s="182">
        <v>0.02</v>
      </c>
      <c r="AY47" s="195" t="s">
        <v>58</v>
      </c>
      <c r="AZ47" s="220" t="s">
        <v>66</v>
      </c>
      <c r="BA47" s="406" t="s">
        <v>60</v>
      </c>
      <c r="BB47" s="182" t="s">
        <v>61</v>
      </c>
      <c r="BC47" s="406" t="s">
        <v>58</v>
      </c>
      <c r="BD47" s="25" t="s">
        <v>67</v>
      </c>
      <c r="BE47" s="195" t="s">
        <v>68</v>
      </c>
      <c r="BF47" s="182">
        <v>0.35</v>
      </c>
      <c r="BG47" s="195" t="s">
        <v>69</v>
      </c>
      <c r="BH47" s="25" t="s">
        <v>98</v>
      </c>
      <c r="BI47" s="182" t="s">
        <v>95</v>
      </c>
      <c r="BJ47" s="182" t="s">
        <v>61</v>
      </c>
      <c r="BK47" s="314" t="s">
        <v>79</v>
      </c>
    </row>
    <row r="48" spans="1:63" s="8" customFormat="1" ht="71.25" customHeight="1">
      <c r="A48" s="1683"/>
      <c r="B48" s="1666"/>
      <c r="C48" s="1729"/>
      <c r="D48" s="1639"/>
      <c r="E48" s="1639"/>
      <c r="F48" s="1639"/>
      <c r="G48" s="1666"/>
      <c r="H48" s="1666"/>
      <c r="I48" s="1669"/>
      <c r="J48" s="1669"/>
      <c r="K48" s="1669"/>
      <c r="L48" s="1676"/>
      <c r="M48" s="1639"/>
      <c r="N48" s="1639"/>
      <c r="O48" s="1666"/>
      <c r="P48" s="1657"/>
      <c r="Q48" s="1680"/>
      <c r="R48" s="1657"/>
      <c r="S48" s="1724"/>
      <c r="T48" s="1639"/>
      <c r="U48" s="1639"/>
      <c r="V48" s="1639"/>
      <c r="W48" s="1639"/>
      <c r="X48" s="1639"/>
      <c r="Y48" s="1639"/>
      <c r="Z48" s="25">
        <v>1134.79</v>
      </c>
      <c r="AA48" s="1639"/>
      <c r="AB48" s="25">
        <v>1383.39</v>
      </c>
      <c r="AC48" s="1639"/>
      <c r="AD48" s="25">
        <v>821</v>
      </c>
      <c r="AE48" s="1645"/>
      <c r="AF48" s="10"/>
      <c r="AG48" s="1645"/>
      <c r="AH48" s="10"/>
      <c r="AI48" s="1645"/>
      <c r="AJ48" s="10"/>
      <c r="AK48" s="1639"/>
      <c r="AL48" s="1639"/>
      <c r="AM48" s="1639"/>
      <c r="AN48" s="1639" t="s">
        <v>248</v>
      </c>
      <c r="AO48" s="1639"/>
      <c r="AP48" s="1639"/>
      <c r="AQ48" s="1666"/>
      <c r="AR48" s="25">
        <v>124.25</v>
      </c>
      <c r="AS48" s="1639"/>
      <c r="AT48" s="1666"/>
      <c r="AU48" s="27">
        <v>14.78</v>
      </c>
      <c r="AV48" s="10"/>
      <c r="AW48" s="190"/>
      <c r="AX48" s="11"/>
      <c r="AY48" s="190"/>
      <c r="AZ48" s="10"/>
      <c r="BA48" s="190"/>
      <c r="BB48" s="11"/>
      <c r="BC48" s="190"/>
      <c r="BD48" s="10"/>
      <c r="BE48" s="190"/>
      <c r="BF48" s="11"/>
      <c r="BG48" s="190"/>
      <c r="BH48" s="9"/>
      <c r="BI48" s="199"/>
      <c r="BJ48" s="199"/>
      <c r="BK48" s="298"/>
    </row>
    <row r="49" spans="1:63" s="8" customFormat="1" ht="71.25" customHeight="1" thickBot="1">
      <c r="A49" s="1684"/>
      <c r="B49" s="1667"/>
      <c r="C49" s="1730"/>
      <c r="D49" s="1640"/>
      <c r="E49" s="1640"/>
      <c r="F49" s="1640"/>
      <c r="G49" s="1667"/>
      <c r="H49" s="1667"/>
      <c r="I49" s="1670"/>
      <c r="J49" s="1670"/>
      <c r="K49" s="1670"/>
      <c r="L49" s="1677"/>
      <c r="M49" s="1640"/>
      <c r="N49" s="1640"/>
      <c r="O49" s="1667"/>
      <c r="P49" s="1678"/>
      <c r="Q49" s="1681"/>
      <c r="R49" s="1658"/>
      <c r="S49" s="1725"/>
      <c r="T49" s="1640"/>
      <c r="U49" s="1640"/>
      <c r="V49" s="1640"/>
      <c r="W49" s="1640"/>
      <c r="X49" s="1640"/>
      <c r="Y49" s="1640"/>
      <c r="Z49" s="180">
        <v>1815.66</v>
      </c>
      <c r="AA49" s="1640"/>
      <c r="AB49" s="180">
        <v>2213.42</v>
      </c>
      <c r="AC49" s="1640"/>
      <c r="AD49" s="180">
        <v>1313.61</v>
      </c>
      <c r="AE49" s="1646"/>
      <c r="AF49" s="13"/>
      <c r="AG49" s="1646"/>
      <c r="AH49" s="13"/>
      <c r="AI49" s="1646"/>
      <c r="AJ49" s="13"/>
      <c r="AK49" s="1640"/>
      <c r="AL49" s="1640"/>
      <c r="AM49" s="1640"/>
      <c r="AN49" s="1640" t="s">
        <v>248</v>
      </c>
      <c r="AO49" s="1640"/>
      <c r="AP49" s="1640"/>
      <c r="AQ49" s="1667"/>
      <c r="AR49" s="180">
        <v>190.68</v>
      </c>
      <c r="AS49" s="1640"/>
      <c r="AT49" s="1667"/>
      <c r="AU49" s="82">
        <v>24.36</v>
      </c>
      <c r="AV49" s="13"/>
      <c r="AW49" s="191"/>
      <c r="AX49" s="15"/>
      <c r="AY49" s="191"/>
      <c r="AZ49" s="13"/>
      <c r="BA49" s="191"/>
      <c r="BB49" s="15"/>
      <c r="BC49" s="191"/>
      <c r="BD49" s="13"/>
      <c r="BE49" s="191"/>
      <c r="BF49" s="15"/>
      <c r="BG49" s="191"/>
      <c r="BH49" s="13"/>
      <c r="BI49" s="191"/>
      <c r="BJ49" s="15"/>
      <c r="BK49" s="191"/>
    </row>
    <row r="50" spans="1:63" s="8" customFormat="1" ht="71.25" customHeight="1">
      <c r="A50" s="1653" t="s">
        <v>4573</v>
      </c>
      <c r="B50" s="1656"/>
      <c r="C50" s="1685" t="s">
        <v>4601</v>
      </c>
      <c r="D50" s="1638" t="s">
        <v>4572</v>
      </c>
      <c r="E50" s="1638" t="s">
        <v>4574</v>
      </c>
      <c r="F50" s="1638" t="s">
        <v>4574</v>
      </c>
      <c r="G50" s="1665" t="s">
        <v>3665</v>
      </c>
      <c r="H50" s="1662" t="s">
        <v>4242</v>
      </c>
      <c r="I50" s="1668" t="s">
        <v>2473</v>
      </c>
      <c r="J50" s="1671">
        <v>43282</v>
      </c>
      <c r="K50" s="1674">
        <v>43466</v>
      </c>
      <c r="L50" s="1675">
        <v>25</v>
      </c>
      <c r="M50" s="1638" t="s">
        <v>50</v>
      </c>
      <c r="N50" s="1638" t="s">
        <v>354</v>
      </c>
      <c r="O50" s="1656"/>
      <c r="P50" s="1638" t="s">
        <v>50</v>
      </c>
      <c r="Q50" s="1638" t="s">
        <v>73</v>
      </c>
      <c r="R50" s="1635" t="s">
        <v>4243</v>
      </c>
      <c r="S50" s="1635" t="s">
        <v>4243</v>
      </c>
      <c r="T50" s="1638" t="s">
        <v>317</v>
      </c>
      <c r="U50" s="1638" t="s">
        <v>2503</v>
      </c>
      <c r="V50" s="1665" t="s">
        <v>252</v>
      </c>
      <c r="W50" s="1638" t="s">
        <v>307</v>
      </c>
      <c r="X50" s="1638" t="s">
        <v>113</v>
      </c>
      <c r="Y50" s="1665" t="s">
        <v>124</v>
      </c>
      <c r="Z50" s="23">
        <v>583.9</v>
      </c>
      <c r="AA50" s="1638" t="s">
        <v>403</v>
      </c>
      <c r="AB50" s="23">
        <v>432.11</v>
      </c>
      <c r="AC50" s="1712" t="s">
        <v>4602</v>
      </c>
      <c r="AD50" s="1709" t="s">
        <v>79</v>
      </c>
      <c r="AE50" s="1647"/>
      <c r="AF50" s="1650"/>
      <c r="AG50" s="1644"/>
      <c r="AH50" s="2"/>
      <c r="AI50" s="1644"/>
      <c r="AJ50" s="2"/>
      <c r="AK50" s="1662" t="s">
        <v>85</v>
      </c>
      <c r="AL50" s="1662" t="s">
        <v>245</v>
      </c>
      <c r="AM50" s="1662" t="s">
        <v>246</v>
      </c>
      <c r="AN50" s="1638" t="s">
        <v>250</v>
      </c>
      <c r="AO50" s="1638" t="s">
        <v>2494</v>
      </c>
      <c r="AP50" s="1638" t="s">
        <v>2481</v>
      </c>
      <c r="AQ50" s="1665" t="s">
        <v>385</v>
      </c>
      <c r="AR50" s="23">
        <v>54.42</v>
      </c>
      <c r="AS50" s="1638" t="s">
        <v>2483</v>
      </c>
      <c r="AT50" s="1662" t="s">
        <v>2486</v>
      </c>
      <c r="AU50" s="23">
        <v>9.6300000000000008</v>
      </c>
      <c r="AV50" s="23" t="s">
        <v>56</v>
      </c>
      <c r="AW50" s="1208" t="s">
        <v>57</v>
      </c>
      <c r="AX50" s="181">
        <v>9.0999999999999998E-2</v>
      </c>
      <c r="AY50" s="1209" t="s">
        <v>58</v>
      </c>
      <c r="AZ50" s="25" t="s">
        <v>59</v>
      </c>
      <c r="BA50" s="1210" t="s">
        <v>60</v>
      </c>
      <c r="BB50" s="182" t="s">
        <v>61</v>
      </c>
      <c r="BC50" s="1210" t="s">
        <v>58</v>
      </c>
      <c r="BD50" s="2"/>
      <c r="BE50" s="1206"/>
      <c r="BF50" s="7"/>
      <c r="BG50" s="1206"/>
      <c r="BH50" s="23" t="s">
        <v>94</v>
      </c>
      <c r="BI50" s="182" t="s">
        <v>95</v>
      </c>
      <c r="BJ50" s="182" t="s">
        <v>61</v>
      </c>
      <c r="BK50" s="313" t="s">
        <v>96</v>
      </c>
    </row>
    <row r="51" spans="1:63" s="8" customFormat="1" ht="71.25" customHeight="1">
      <c r="A51" s="1654"/>
      <c r="B51" s="1657"/>
      <c r="C51" s="1686"/>
      <c r="D51" s="1698"/>
      <c r="E51" s="1698"/>
      <c r="F51" s="1698"/>
      <c r="G51" s="1666"/>
      <c r="H51" s="1663"/>
      <c r="I51" s="1669"/>
      <c r="J51" s="1672"/>
      <c r="K51" s="1669"/>
      <c r="L51" s="1676"/>
      <c r="M51" s="1639"/>
      <c r="N51" s="1639"/>
      <c r="O51" s="1657"/>
      <c r="P51" s="1639"/>
      <c r="Q51" s="1639"/>
      <c r="R51" s="1636"/>
      <c r="S51" s="1636"/>
      <c r="T51" s="1639"/>
      <c r="U51" s="1639"/>
      <c r="V51" s="1666"/>
      <c r="W51" s="1639"/>
      <c r="X51" s="1639"/>
      <c r="Y51" s="1666"/>
      <c r="Z51" s="25">
        <v>1278.74</v>
      </c>
      <c r="AA51" s="1639"/>
      <c r="AB51" s="25">
        <v>946.32</v>
      </c>
      <c r="AC51" s="1713"/>
      <c r="AD51" s="1710"/>
      <c r="AE51" s="1648"/>
      <c r="AF51" s="1651"/>
      <c r="AG51" s="1645"/>
      <c r="AH51" s="10"/>
      <c r="AI51" s="1645"/>
      <c r="AJ51" s="10"/>
      <c r="AK51" s="1700"/>
      <c r="AL51" s="1700"/>
      <c r="AM51" s="1700"/>
      <c r="AN51" s="1639" t="s">
        <v>248</v>
      </c>
      <c r="AO51" s="1639"/>
      <c r="AP51" s="1639"/>
      <c r="AQ51" s="1666"/>
      <c r="AR51" s="25">
        <v>111</v>
      </c>
      <c r="AS51" s="1639"/>
      <c r="AT51" s="1700"/>
      <c r="AU51" s="25">
        <v>19.3</v>
      </c>
      <c r="AV51" s="25" t="s">
        <v>65</v>
      </c>
      <c r="AW51" s="1207" t="s">
        <v>57</v>
      </c>
      <c r="AX51" s="182">
        <v>0.02</v>
      </c>
      <c r="AY51" s="1210" t="s">
        <v>58</v>
      </c>
      <c r="AZ51" s="220" t="s">
        <v>66</v>
      </c>
      <c r="BA51" s="1210" t="s">
        <v>60</v>
      </c>
      <c r="BB51" s="182" t="s">
        <v>61</v>
      </c>
      <c r="BC51" s="1210" t="s">
        <v>58</v>
      </c>
      <c r="BD51" s="25" t="s">
        <v>67</v>
      </c>
      <c r="BE51" s="1210" t="s">
        <v>82</v>
      </c>
      <c r="BF51" s="182">
        <v>0.25</v>
      </c>
      <c r="BG51" s="1210" t="s">
        <v>69</v>
      </c>
      <c r="BH51" s="25" t="s">
        <v>97</v>
      </c>
      <c r="BI51" s="182" t="s">
        <v>95</v>
      </c>
      <c r="BJ51" s="182" t="s">
        <v>61</v>
      </c>
      <c r="BK51" s="314" t="s">
        <v>96</v>
      </c>
    </row>
    <row r="52" spans="1:63" s="8" customFormat="1" ht="71.25" customHeight="1">
      <c r="A52" s="1654"/>
      <c r="B52" s="1657"/>
      <c r="C52" s="1686"/>
      <c r="D52" s="1698"/>
      <c r="E52" s="1698"/>
      <c r="F52" s="1698"/>
      <c r="G52" s="1666"/>
      <c r="H52" s="1663"/>
      <c r="I52" s="1669"/>
      <c r="J52" s="1672"/>
      <c r="K52" s="1669"/>
      <c r="L52" s="1676"/>
      <c r="M52" s="1639"/>
      <c r="N52" s="1639"/>
      <c r="O52" s="1657"/>
      <c r="P52" s="1639"/>
      <c r="Q52" s="1639"/>
      <c r="R52" s="1636"/>
      <c r="S52" s="1636"/>
      <c r="T52" s="1639"/>
      <c r="U52" s="1639"/>
      <c r="V52" s="1666"/>
      <c r="W52" s="1639"/>
      <c r="X52" s="1639"/>
      <c r="Y52" s="1666"/>
      <c r="Z52" s="25">
        <v>1109.4100000000001</v>
      </c>
      <c r="AA52" s="1639"/>
      <c r="AB52" s="25">
        <v>821</v>
      </c>
      <c r="AC52" s="1713"/>
      <c r="AD52" s="1710"/>
      <c r="AE52" s="1648"/>
      <c r="AF52" s="1651"/>
      <c r="AG52" s="1645"/>
      <c r="AH52" s="10"/>
      <c r="AI52" s="1645"/>
      <c r="AJ52" s="10"/>
      <c r="AK52" s="1700"/>
      <c r="AL52" s="1700"/>
      <c r="AM52" s="1700"/>
      <c r="AN52" s="1639" t="s">
        <v>248</v>
      </c>
      <c r="AO52" s="1639"/>
      <c r="AP52" s="1639"/>
      <c r="AQ52" s="1666"/>
      <c r="AR52" s="25">
        <v>131.24</v>
      </c>
      <c r="AS52" s="1639"/>
      <c r="AT52" s="1700"/>
      <c r="AU52" s="25">
        <v>16.34</v>
      </c>
      <c r="AV52" s="10"/>
      <c r="AW52" s="1186"/>
      <c r="AX52" s="11"/>
      <c r="AY52" s="1186"/>
      <c r="AZ52" s="10"/>
      <c r="BA52" s="1186"/>
      <c r="BB52" s="11"/>
      <c r="BC52" s="1186"/>
      <c r="BD52" s="10"/>
      <c r="BE52" s="1186"/>
      <c r="BF52" s="11"/>
      <c r="BG52" s="1186"/>
      <c r="BH52" s="25" t="s">
        <v>98</v>
      </c>
      <c r="BI52" s="182" t="s">
        <v>95</v>
      </c>
      <c r="BJ52" s="182" t="s">
        <v>61</v>
      </c>
      <c r="BK52" s="314" t="s">
        <v>79</v>
      </c>
    </row>
    <row r="53" spans="1:63" s="8" customFormat="1" ht="71.25" customHeight="1" thickBot="1">
      <c r="A53" s="1655"/>
      <c r="B53" s="1658"/>
      <c r="C53" s="1687"/>
      <c r="D53" s="1699"/>
      <c r="E53" s="1699"/>
      <c r="F53" s="1699"/>
      <c r="G53" s="1667"/>
      <c r="H53" s="1664"/>
      <c r="I53" s="1670"/>
      <c r="J53" s="1673"/>
      <c r="K53" s="1670"/>
      <c r="L53" s="1677"/>
      <c r="M53" s="1640"/>
      <c r="N53" s="1640"/>
      <c r="O53" s="1678"/>
      <c r="P53" s="1640"/>
      <c r="Q53" s="1640"/>
      <c r="R53" s="1637"/>
      <c r="S53" s="1637"/>
      <c r="T53" s="1640"/>
      <c r="U53" s="1640"/>
      <c r="V53" s="1667"/>
      <c r="W53" s="1640"/>
      <c r="X53" s="1640"/>
      <c r="Y53" s="1667"/>
      <c r="Z53" s="180">
        <v>1775.07</v>
      </c>
      <c r="AA53" s="1640"/>
      <c r="AB53" s="180">
        <v>1313.61</v>
      </c>
      <c r="AC53" s="1714"/>
      <c r="AD53" s="1818"/>
      <c r="AE53" s="1649"/>
      <c r="AF53" s="1652"/>
      <c r="AG53" s="1646"/>
      <c r="AH53" s="13"/>
      <c r="AI53" s="1646"/>
      <c r="AJ53" s="13"/>
      <c r="AK53" s="1701"/>
      <c r="AL53" s="1701"/>
      <c r="AM53" s="1701"/>
      <c r="AN53" s="1640" t="s">
        <v>248</v>
      </c>
      <c r="AO53" s="1640"/>
      <c r="AP53" s="1640"/>
      <c r="AQ53" s="1667"/>
      <c r="AR53" s="180">
        <v>201.8</v>
      </c>
      <c r="AS53" s="1640"/>
      <c r="AT53" s="1701"/>
      <c r="AU53" s="180">
        <v>26.95</v>
      </c>
      <c r="AV53" s="13"/>
      <c r="AW53" s="1187"/>
      <c r="AX53" s="15"/>
      <c r="AY53" s="1187"/>
      <c r="AZ53" s="13"/>
      <c r="BA53" s="1187"/>
      <c r="BB53" s="15"/>
      <c r="BC53" s="1187"/>
      <c r="BD53" s="13"/>
      <c r="BE53" s="1187"/>
      <c r="BF53" s="15"/>
      <c r="BG53" s="1187"/>
      <c r="BH53" s="13"/>
      <c r="BI53" s="1187"/>
      <c r="BJ53" s="15"/>
      <c r="BK53" s="1187"/>
    </row>
    <row r="54" spans="1:63" s="8" customFormat="1" ht="71.25" customHeight="1">
      <c r="A54" s="1653" t="s">
        <v>5500</v>
      </c>
      <c r="B54" s="1656"/>
      <c r="C54" s="1659" t="s">
        <v>6163</v>
      </c>
      <c r="D54" s="1662" t="s">
        <v>5502</v>
      </c>
      <c r="E54" s="1662" t="s">
        <v>5503</v>
      </c>
      <c r="F54" s="1662" t="s">
        <v>5503</v>
      </c>
      <c r="G54" s="1665" t="s">
        <v>3665</v>
      </c>
      <c r="H54" s="1662" t="s">
        <v>5501</v>
      </c>
      <c r="I54" s="1668" t="s">
        <v>2473</v>
      </c>
      <c r="J54" s="1671">
        <v>43282</v>
      </c>
      <c r="K54" s="1674">
        <v>43466</v>
      </c>
      <c r="L54" s="1675">
        <v>7</v>
      </c>
      <c r="M54" s="1638" t="s">
        <v>50</v>
      </c>
      <c r="N54" s="1638" t="s">
        <v>354</v>
      </c>
      <c r="O54" s="1656"/>
      <c r="P54" s="1679" t="s">
        <v>72</v>
      </c>
      <c r="Q54" s="1638" t="s">
        <v>73</v>
      </c>
      <c r="R54" s="1635" t="s">
        <v>4243</v>
      </c>
      <c r="S54" s="1635" t="s">
        <v>4243</v>
      </c>
      <c r="T54" s="1638" t="s">
        <v>317</v>
      </c>
      <c r="U54" s="1638" t="s">
        <v>2477</v>
      </c>
      <c r="V54" s="1638" t="s">
        <v>252</v>
      </c>
      <c r="W54" s="1638" t="s">
        <v>307</v>
      </c>
      <c r="X54" s="1638" t="s">
        <v>113</v>
      </c>
      <c r="Y54" s="1641" t="s">
        <v>93</v>
      </c>
      <c r="Z54" s="81">
        <v>653.54</v>
      </c>
      <c r="AA54" s="1638" t="s">
        <v>403</v>
      </c>
      <c r="AB54" s="3">
        <v>410.5</v>
      </c>
      <c r="AC54" s="1644"/>
      <c r="AD54" s="16"/>
      <c r="AE54" s="1647"/>
      <c r="AF54" s="1650"/>
      <c r="AG54" s="1644"/>
      <c r="AH54" s="2"/>
      <c r="AI54" s="1644"/>
      <c r="AJ54" s="2"/>
      <c r="AK54" s="1632" t="s">
        <v>72</v>
      </c>
      <c r="AL54" s="1632" t="s">
        <v>72</v>
      </c>
      <c r="AM54" s="1632" t="s">
        <v>72</v>
      </c>
      <c r="AN54" s="1632" t="s">
        <v>72</v>
      </c>
      <c r="AO54" s="1632" t="s">
        <v>72</v>
      </c>
      <c r="AP54" s="1632" t="s">
        <v>72</v>
      </c>
      <c r="AQ54" s="1632" t="s">
        <v>72</v>
      </c>
      <c r="AR54" s="16"/>
      <c r="AS54" s="1632" t="s">
        <v>72</v>
      </c>
      <c r="AT54" s="1632" t="s">
        <v>72</v>
      </c>
      <c r="AU54" s="16"/>
      <c r="AV54" s="16"/>
      <c r="AW54" s="1212"/>
      <c r="AX54" s="18"/>
      <c r="AY54" s="1212"/>
      <c r="AZ54" s="20"/>
      <c r="BA54" s="1213"/>
      <c r="BB54" s="22"/>
      <c r="BC54" s="1213"/>
      <c r="BD54" s="16"/>
      <c r="BE54" s="1212"/>
      <c r="BF54" s="18"/>
      <c r="BG54" s="1212"/>
      <c r="BH54" s="16"/>
      <c r="BI54" s="22"/>
      <c r="BJ54" s="22"/>
      <c r="BK54" s="980"/>
    </row>
    <row r="55" spans="1:63" s="8" customFormat="1" ht="71.25" customHeight="1">
      <c r="A55" s="1654"/>
      <c r="B55" s="1657"/>
      <c r="C55" s="1660"/>
      <c r="D55" s="1663"/>
      <c r="E55" s="1663"/>
      <c r="F55" s="1663"/>
      <c r="G55" s="1666"/>
      <c r="H55" s="1663"/>
      <c r="I55" s="1669"/>
      <c r="J55" s="1672"/>
      <c r="K55" s="1669"/>
      <c r="L55" s="1676"/>
      <c r="M55" s="1639"/>
      <c r="N55" s="1639"/>
      <c r="O55" s="1657"/>
      <c r="P55" s="1680"/>
      <c r="Q55" s="1639"/>
      <c r="R55" s="1636"/>
      <c r="S55" s="1636"/>
      <c r="T55" s="1639"/>
      <c r="U55" s="1639"/>
      <c r="V55" s="1639"/>
      <c r="W55" s="1639"/>
      <c r="X55" s="1639"/>
      <c r="Y55" s="1642"/>
      <c r="Z55" s="27">
        <v>1431.25</v>
      </c>
      <c r="AA55" s="1639"/>
      <c r="AB55" s="5">
        <v>899.01</v>
      </c>
      <c r="AC55" s="1645"/>
      <c r="AD55" s="20"/>
      <c r="AE55" s="1648"/>
      <c r="AF55" s="1651"/>
      <c r="AG55" s="1645"/>
      <c r="AH55" s="10"/>
      <c r="AI55" s="1645"/>
      <c r="AJ55" s="10"/>
      <c r="AK55" s="1633"/>
      <c r="AL55" s="1633"/>
      <c r="AM55" s="1633"/>
      <c r="AN55" s="1633"/>
      <c r="AO55" s="1633"/>
      <c r="AP55" s="1633"/>
      <c r="AQ55" s="1633"/>
      <c r="AR55" s="20"/>
      <c r="AS55" s="1633"/>
      <c r="AT55" s="1633"/>
      <c r="AU55" s="20"/>
      <c r="AV55" s="20"/>
      <c r="AW55" s="1213"/>
      <c r="AX55" s="22"/>
      <c r="AY55" s="1213"/>
      <c r="AZ55" s="211"/>
      <c r="BA55" s="1213"/>
      <c r="BB55" s="22"/>
      <c r="BC55" s="1213"/>
      <c r="BD55" s="20"/>
      <c r="BE55" s="1213"/>
      <c r="BF55" s="22"/>
      <c r="BG55" s="1213"/>
      <c r="BH55" s="20"/>
      <c r="BI55" s="22"/>
      <c r="BJ55" s="22"/>
      <c r="BK55" s="981"/>
    </row>
    <row r="56" spans="1:63" s="8" customFormat="1" ht="71.25" customHeight="1">
      <c r="A56" s="1654"/>
      <c r="B56" s="1657"/>
      <c r="C56" s="1660"/>
      <c r="D56" s="1663"/>
      <c r="E56" s="1663"/>
      <c r="F56" s="1663"/>
      <c r="G56" s="1666"/>
      <c r="H56" s="1663"/>
      <c r="I56" s="1669"/>
      <c r="J56" s="1672"/>
      <c r="K56" s="1669"/>
      <c r="L56" s="1676"/>
      <c r="M56" s="1639"/>
      <c r="N56" s="1639"/>
      <c r="O56" s="1657"/>
      <c r="P56" s="1680"/>
      <c r="Q56" s="1639"/>
      <c r="R56" s="1636"/>
      <c r="S56" s="1636"/>
      <c r="T56" s="1639"/>
      <c r="U56" s="1639"/>
      <c r="V56" s="1639"/>
      <c r="W56" s="1639"/>
      <c r="X56" s="1639"/>
      <c r="Y56" s="1642"/>
      <c r="Z56" s="27">
        <v>1241.73</v>
      </c>
      <c r="AA56" s="1639"/>
      <c r="AB56" s="5">
        <v>779.95</v>
      </c>
      <c r="AC56" s="1645"/>
      <c r="AD56" s="20"/>
      <c r="AE56" s="1648"/>
      <c r="AF56" s="1651"/>
      <c r="AG56" s="1645"/>
      <c r="AH56" s="10"/>
      <c r="AI56" s="1645"/>
      <c r="AJ56" s="10"/>
      <c r="AK56" s="1633"/>
      <c r="AL56" s="1633"/>
      <c r="AM56" s="1633"/>
      <c r="AN56" s="1633"/>
      <c r="AO56" s="1633"/>
      <c r="AP56" s="1633"/>
      <c r="AQ56" s="1633"/>
      <c r="AR56" s="20"/>
      <c r="AS56" s="1633"/>
      <c r="AT56" s="1633"/>
      <c r="AU56" s="20"/>
      <c r="AV56" s="20"/>
      <c r="AW56" s="1213"/>
      <c r="AX56" s="22"/>
      <c r="AY56" s="1213"/>
      <c r="AZ56" s="20"/>
      <c r="BA56" s="1213"/>
      <c r="BB56" s="22"/>
      <c r="BC56" s="1213"/>
      <c r="BD56" s="20"/>
      <c r="BE56" s="1213"/>
      <c r="BF56" s="22"/>
      <c r="BG56" s="1213"/>
      <c r="BH56" s="20"/>
      <c r="BI56" s="22"/>
      <c r="BJ56" s="22"/>
      <c r="BK56" s="981"/>
    </row>
    <row r="57" spans="1:63" s="8" customFormat="1" ht="71.25" customHeight="1" thickBot="1">
      <c r="A57" s="1655"/>
      <c r="B57" s="1658"/>
      <c r="C57" s="1661"/>
      <c r="D57" s="1664"/>
      <c r="E57" s="1664"/>
      <c r="F57" s="1664"/>
      <c r="G57" s="1667"/>
      <c r="H57" s="1664"/>
      <c r="I57" s="1670"/>
      <c r="J57" s="1673"/>
      <c r="K57" s="1670"/>
      <c r="L57" s="1677"/>
      <c r="M57" s="1640"/>
      <c r="N57" s="1640"/>
      <c r="O57" s="1678"/>
      <c r="P57" s="1681"/>
      <c r="Q57" s="1640"/>
      <c r="R57" s="1637"/>
      <c r="S57" s="1637"/>
      <c r="T57" s="1640"/>
      <c r="U57" s="1640"/>
      <c r="V57" s="1640"/>
      <c r="W57" s="1640"/>
      <c r="X57" s="1640"/>
      <c r="Y57" s="1643"/>
      <c r="Z57" s="82">
        <v>1986.75</v>
      </c>
      <c r="AA57" s="1640"/>
      <c r="AB57" s="14">
        <v>1247.93</v>
      </c>
      <c r="AC57" s="1646"/>
      <c r="AD57" s="212"/>
      <c r="AE57" s="1649"/>
      <c r="AF57" s="1652"/>
      <c r="AG57" s="1646"/>
      <c r="AH57" s="13"/>
      <c r="AI57" s="1646"/>
      <c r="AJ57" s="13"/>
      <c r="AK57" s="1634"/>
      <c r="AL57" s="1634"/>
      <c r="AM57" s="1634"/>
      <c r="AN57" s="1634"/>
      <c r="AO57" s="1634"/>
      <c r="AP57" s="1634"/>
      <c r="AQ57" s="1634"/>
      <c r="AR57" s="212"/>
      <c r="AS57" s="1634"/>
      <c r="AT57" s="1634"/>
      <c r="AU57" s="212"/>
      <c r="AV57" s="13"/>
      <c r="AW57" s="1211"/>
      <c r="AX57" s="15"/>
      <c r="AY57" s="1211"/>
      <c r="AZ57" s="13"/>
      <c r="BA57" s="1211"/>
      <c r="BB57" s="15"/>
      <c r="BC57" s="1211"/>
      <c r="BD57" s="13"/>
      <c r="BE57" s="1211"/>
      <c r="BF57" s="15"/>
      <c r="BG57" s="1211"/>
      <c r="BH57" s="13"/>
      <c r="BI57" s="1211"/>
      <c r="BJ57" s="15"/>
      <c r="BK57" s="1211"/>
    </row>
    <row r="58" spans="1:63" s="8" customFormat="1" ht="71.25" customHeight="1">
      <c r="A58" s="1726" t="s">
        <v>355</v>
      </c>
      <c r="B58" s="1706"/>
      <c r="C58" s="1685">
        <v>261756290</v>
      </c>
      <c r="D58" s="1662" t="s">
        <v>361</v>
      </c>
      <c r="E58" s="1638" t="s">
        <v>3580</v>
      </c>
      <c r="F58" s="1638" t="s">
        <v>3581</v>
      </c>
      <c r="G58" s="1665" t="s">
        <v>3665</v>
      </c>
      <c r="H58" s="1665" t="s">
        <v>4331</v>
      </c>
      <c r="I58" s="1668" t="s">
        <v>2473</v>
      </c>
      <c r="J58" s="1674">
        <v>43101</v>
      </c>
      <c r="K58" s="1674">
        <v>43466</v>
      </c>
      <c r="L58" s="1708">
        <v>85</v>
      </c>
      <c r="M58" s="1638" t="s">
        <v>48</v>
      </c>
      <c r="N58" s="1632" t="s">
        <v>77</v>
      </c>
      <c r="O58" s="1706"/>
      <c r="P58" s="1638" t="s">
        <v>48</v>
      </c>
      <c r="Q58" s="1694" t="s">
        <v>73</v>
      </c>
      <c r="R58" s="1694" t="s">
        <v>4244</v>
      </c>
      <c r="S58" s="1694" t="s">
        <v>4244</v>
      </c>
      <c r="T58" s="1638" t="s">
        <v>317</v>
      </c>
      <c r="U58" s="1638" t="s">
        <v>2502</v>
      </c>
      <c r="V58" s="1665" t="s">
        <v>252</v>
      </c>
      <c r="W58" s="1665" t="s">
        <v>307</v>
      </c>
      <c r="X58" s="1665" t="s">
        <v>113</v>
      </c>
      <c r="Y58" s="1641" t="s">
        <v>93</v>
      </c>
      <c r="Z58" s="23">
        <v>594.72</v>
      </c>
      <c r="AA58" s="1638" t="s">
        <v>403</v>
      </c>
      <c r="AB58" s="23">
        <v>373.56</v>
      </c>
      <c r="AC58" s="1644"/>
      <c r="AD58" s="16"/>
      <c r="AE58" s="1644"/>
      <c r="AF58" s="2"/>
      <c r="AG58" s="1644"/>
      <c r="AH58" s="2"/>
      <c r="AI58" s="1644"/>
      <c r="AJ58" s="2"/>
      <c r="AK58" s="1662" t="s">
        <v>85</v>
      </c>
      <c r="AL58" s="1662" t="s">
        <v>245</v>
      </c>
      <c r="AM58" s="1662" t="s">
        <v>246</v>
      </c>
      <c r="AN58" s="1638" t="s">
        <v>381</v>
      </c>
      <c r="AO58" s="1638" t="s">
        <v>2489</v>
      </c>
      <c r="AP58" s="1638" t="s">
        <v>2482</v>
      </c>
      <c r="AQ58" s="1638" t="s">
        <v>387</v>
      </c>
      <c r="AR58" s="23">
        <v>48.66</v>
      </c>
      <c r="AS58" s="1638" t="s">
        <v>2482</v>
      </c>
      <c r="AT58" s="1665" t="s">
        <v>2488</v>
      </c>
      <c r="AU58" s="81">
        <v>8.7100000000000009</v>
      </c>
      <c r="AV58" s="1"/>
      <c r="AW58" s="287"/>
      <c r="AX58" s="239"/>
      <c r="AY58" s="287"/>
      <c r="AZ58" s="9"/>
      <c r="BA58" s="288"/>
      <c r="BB58" s="199"/>
      <c r="BC58" s="288"/>
      <c r="BD58" s="1"/>
      <c r="BE58" s="287"/>
      <c r="BF58" s="239"/>
      <c r="BG58" s="287"/>
      <c r="BH58" s="1"/>
      <c r="BI58" s="199"/>
      <c r="BJ58" s="199"/>
      <c r="BK58" s="297"/>
    </row>
    <row r="59" spans="1:63" s="8" customFormat="1" ht="71.25" customHeight="1">
      <c r="A59" s="1727"/>
      <c r="B59" s="1666"/>
      <c r="C59" s="1786"/>
      <c r="D59" s="1700"/>
      <c r="E59" s="1639"/>
      <c r="F59" s="1639"/>
      <c r="G59" s="1666"/>
      <c r="H59" s="1666"/>
      <c r="I59" s="1669"/>
      <c r="J59" s="1669"/>
      <c r="K59" s="1669"/>
      <c r="L59" s="1676"/>
      <c r="M59" s="1639"/>
      <c r="N59" s="1633"/>
      <c r="O59" s="1666"/>
      <c r="P59" s="1639"/>
      <c r="Q59" s="1695"/>
      <c r="R59" s="1695"/>
      <c r="S59" s="1695"/>
      <c r="T59" s="1639"/>
      <c r="U59" s="1639"/>
      <c r="V59" s="1666"/>
      <c r="W59" s="1666"/>
      <c r="X59" s="1666"/>
      <c r="Y59" s="1642"/>
      <c r="Z59" s="25">
        <v>1302.44</v>
      </c>
      <c r="AA59" s="1639"/>
      <c r="AB59" s="25">
        <v>818.1</v>
      </c>
      <c r="AC59" s="1645"/>
      <c r="AD59" s="20"/>
      <c r="AE59" s="1645"/>
      <c r="AF59" s="10"/>
      <c r="AG59" s="1645"/>
      <c r="AH59" s="10"/>
      <c r="AI59" s="1645"/>
      <c r="AJ59" s="10"/>
      <c r="AK59" s="1700"/>
      <c r="AL59" s="1700"/>
      <c r="AM59" s="1700"/>
      <c r="AN59" s="1639" t="s">
        <v>248</v>
      </c>
      <c r="AO59" s="1639"/>
      <c r="AP59" s="1639"/>
      <c r="AQ59" s="1639"/>
      <c r="AR59" s="25">
        <v>99.460000000000008</v>
      </c>
      <c r="AS59" s="1639"/>
      <c r="AT59" s="1666"/>
      <c r="AU59" s="27">
        <v>17.45</v>
      </c>
      <c r="AV59" s="9"/>
      <c r="AW59" s="288"/>
      <c r="AX59" s="199"/>
      <c r="AY59" s="288"/>
      <c r="AZ59" s="9"/>
      <c r="BA59" s="288"/>
      <c r="BB59" s="199"/>
      <c r="BC59" s="288"/>
      <c r="BD59" s="9"/>
      <c r="BE59" s="288"/>
      <c r="BF59" s="199"/>
      <c r="BG59" s="288"/>
      <c r="BH59" s="9"/>
      <c r="BI59" s="199"/>
      <c r="BJ59" s="199"/>
      <c r="BK59" s="298"/>
    </row>
    <row r="60" spans="1:63" s="8" customFormat="1" ht="71.25" customHeight="1">
      <c r="A60" s="1727"/>
      <c r="B60" s="1666"/>
      <c r="C60" s="1786"/>
      <c r="D60" s="1700"/>
      <c r="E60" s="1639"/>
      <c r="F60" s="1639"/>
      <c r="G60" s="1666"/>
      <c r="H60" s="1666"/>
      <c r="I60" s="1669"/>
      <c r="J60" s="1669"/>
      <c r="K60" s="1669"/>
      <c r="L60" s="1676"/>
      <c r="M60" s="1639"/>
      <c r="N60" s="1633"/>
      <c r="O60" s="1666"/>
      <c r="P60" s="1639"/>
      <c r="Q60" s="1695"/>
      <c r="R60" s="1695"/>
      <c r="S60" s="1695"/>
      <c r="T60" s="1639"/>
      <c r="U60" s="1639"/>
      <c r="V60" s="1666"/>
      <c r="W60" s="1666"/>
      <c r="X60" s="1666"/>
      <c r="Y60" s="1642"/>
      <c r="Z60" s="25">
        <v>1129.97</v>
      </c>
      <c r="AA60" s="1639"/>
      <c r="AB60" s="25">
        <v>709.76</v>
      </c>
      <c r="AC60" s="1645"/>
      <c r="AD60" s="20"/>
      <c r="AE60" s="1645"/>
      <c r="AF60" s="10"/>
      <c r="AG60" s="1645"/>
      <c r="AH60" s="10"/>
      <c r="AI60" s="1645"/>
      <c r="AJ60" s="10"/>
      <c r="AK60" s="1700"/>
      <c r="AL60" s="1700"/>
      <c r="AM60" s="1700"/>
      <c r="AN60" s="1639" t="s">
        <v>248</v>
      </c>
      <c r="AO60" s="1639"/>
      <c r="AP60" s="1639"/>
      <c r="AQ60" s="1639"/>
      <c r="AR60" s="25">
        <v>100.66</v>
      </c>
      <c r="AS60" s="1639"/>
      <c r="AT60" s="1666"/>
      <c r="AU60" s="27">
        <v>14.78</v>
      </c>
      <c r="AV60" s="10"/>
      <c r="AW60" s="190"/>
      <c r="AX60" s="11"/>
      <c r="AY60" s="190"/>
      <c r="AZ60" s="10"/>
      <c r="BA60" s="190"/>
      <c r="BB60" s="11"/>
      <c r="BC60" s="190"/>
      <c r="BD60" s="10"/>
      <c r="BE60" s="190"/>
      <c r="BF60" s="11"/>
      <c r="BG60" s="190"/>
      <c r="BH60" s="9"/>
      <c r="BI60" s="199"/>
      <c r="BJ60" s="199"/>
      <c r="BK60" s="298"/>
    </row>
    <row r="61" spans="1:63" s="8" customFormat="1" ht="71.25" customHeight="1" thickBot="1">
      <c r="A61" s="1728"/>
      <c r="B61" s="1667"/>
      <c r="C61" s="1787"/>
      <c r="D61" s="1701"/>
      <c r="E61" s="1640"/>
      <c r="F61" s="1640"/>
      <c r="G61" s="1667"/>
      <c r="H61" s="1667"/>
      <c r="I61" s="1670"/>
      <c r="J61" s="1670"/>
      <c r="K61" s="1670"/>
      <c r="L61" s="1677"/>
      <c r="M61" s="1640"/>
      <c r="N61" s="1634"/>
      <c r="O61" s="1667"/>
      <c r="P61" s="1640"/>
      <c r="Q61" s="1696"/>
      <c r="R61" s="1696"/>
      <c r="S61" s="1696"/>
      <c r="T61" s="1640"/>
      <c r="U61" s="1640"/>
      <c r="V61" s="1667"/>
      <c r="W61" s="1667"/>
      <c r="X61" s="1667"/>
      <c r="Y61" s="1643"/>
      <c r="Z61" s="180">
        <v>1807.94</v>
      </c>
      <c r="AA61" s="1640"/>
      <c r="AB61" s="180">
        <v>1135.6099999999999</v>
      </c>
      <c r="AC61" s="1646"/>
      <c r="AD61" s="212"/>
      <c r="AE61" s="1646"/>
      <c r="AF61" s="13"/>
      <c r="AG61" s="1646"/>
      <c r="AH61" s="13"/>
      <c r="AI61" s="1646"/>
      <c r="AJ61" s="13"/>
      <c r="AK61" s="1701"/>
      <c r="AL61" s="1701"/>
      <c r="AM61" s="1701"/>
      <c r="AN61" s="1640" t="s">
        <v>248</v>
      </c>
      <c r="AO61" s="1640"/>
      <c r="AP61" s="1640"/>
      <c r="AQ61" s="1640"/>
      <c r="AR61" s="180">
        <v>161.44999999999999</v>
      </c>
      <c r="AS61" s="1640"/>
      <c r="AT61" s="1667"/>
      <c r="AU61" s="82">
        <v>24.36</v>
      </c>
      <c r="AV61" s="13"/>
      <c r="AW61" s="191"/>
      <c r="AX61" s="15"/>
      <c r="AY61" s="191"/>
      <c r="AZ61" s="13"/>
      <c r="BA61" s="191"/>
      <c r="BB61" s="15"/>
      <c r="BC61" s="191"/>
      <c r="BD61" s="13"/>
      <c r="BE61" s="191"/>
      <c r="BF61" s="15"/>
      <c r="BG61" s="191"/>
      <c r="BH61" s="13"/>
      <c r="BI61" s="191"/>
      <c r="BJ61" s="15"/>
      <c r="BK61" s="191"/>
    </row>
    <row r="62" spans="1:63" s="8" customFormat="1" ht="71.25" customHeight="1">
      <c r="A62" s="1682" t="s">
        <v>1257</v>
      </c>
      <c r="B62" s="1656"/>
      <c r="C62" s="1720">
        <v>454306815</v>
      </c>
      <c r="D62" s="1638" t="s">
        <v>1258</v>
      </c>
      <c r="E62" s="1638" t="s">
        <v>3565</v>
      </c>
      <c r="F62" s="1638" t="s">
        <v>3565</v>
      </c>
      <c r="G62" s="1665" t="s">
        <v>3667</v>
      </c>
      <c r="H62" s="1638" t="s">
        <v>3599</v>
      </c>
      <c r="I62" s="1668" t="s">
        <v>2473</v>
      </c>
      <c r="J62" s="1674">
        <v>43101</v>
      </c>
      <c r="K62" s="1674">
        <v>43466</v>
      </c>
      <c r="L62" s="1675">
        <v>20</v>
      </c>
      <c r="M62" s="1638" t="s">
        <v>48</v>
      </c>
      <c r="N62" s="1638" t="s">
        <v>354</v>
      </c>
      <c r="O62" s="1656"/>
      <c r="P62" s="1679" t="s">
        <v>72</v>
      </c>
      <c r="Q62" s="1679" t="s">
        <v>72</v>
      </c>
      <c r="R62" s="1694" t="s">
        <v>4244</v>
      </c>
      <c r="S62" s="1694" t="s">
        <v>4244</v>
      </c>
      <c r="T62" s="1638" t="s">
        <v>317</v>
      </c>
      <c r="U62" s="1638" t="s">
        <v>2477</v>
      </c>
      <c r="V62" s="1665" t="s">
        <v>252</v>
      </c>
      <c r="W62" s="1638" t="s">
        <v>307</v>
      </c>
      <c r="X62" s="1638" t="s">
        <v>113</v>
      </c>
      <c r="Y62" s="1656" t="s">
        <v>124</v>
      </c>
      <c r="Z62" s="23">
        <v>554.71</v>
      </c>
      <c r="AA62" s="1641" t="s">
        <v>93</v>
      </c>
      <c r="AB62" s="23">
        <v>653.54</v>
      </c>
      <c r="AC62" s="1647"/>
      <c r="AD62" s="1"/>
      <c r="AE62" s="1647"/>
      <c r="AF62" s="1650"/>
      <c r="AG62" s="1644"/>
      <c r="AH62" s="2"/>
      <c r="AI62" s="1644"/>
      <c r="AJ62" s="2"/>
      <c r="AK62" s="1662" t="s">
        <v>85</v>
      </c>
      <c r="AL62" s="1662" t="s">
        <v>245</v>
      </c>
      <c r="AM62" s="1662" t="s">
        <v>246</v>
      </c>
      <c r="AN62" s="1638" t="s">
        <v>420</v>
      </c>
      <c r="AO62" s="1638" t="s">
        <v>2489</v>
      </c>
      <c r="AP62" s="1638" t="s">
        <v>2481</v>
      </c>
      <c r="AQ62" s="1638" t="s">
        <v>421</v>
      </c>
      <c r="AR62" s="23">
        <v>48.12</v>
      </c>
      <c r="AS62" s="1665" t="s">
        <v>2483</v>
      </c>
      <c r="AT62" s="1665" t="s">
        <v>2484</v>
      </c>
      <c r="AU62" s="81">
        <v>8.85</v>
      </c>
      <c r="AV62" s="23" t="s">
        <v>56</v>
      </c>
      <c r="AW62" s="390" t="s">
        <v>148</v>
      </c>
      <c r="AX62" s="181">
        <v>0.09</v>
      </c>
      <c r="AY62" s="390" t="s">
        <v>58</v>
      </c>
      <c r="AZ62" s="25" t="s">
        <v>59</v>
      </c>
      <c r="BA62" s="391" t="s">
        <v>60</v>
      </c>
      <c r="BB62" s="182" t="s">
        <v>61</v>
      </c>
      <c r="BC62" s="391" t="s">
        <v>58</v>
      </c>
      <c r="BD62" s="1"/>
      <c r="BE62" s="386"/>
      <c r="BF62" s="239"/>
      <c r="BG62" s="386"/>
      <c r="BH62" s="23" t="s">
        <v>94</v>
      </c>
      <c r="BI62" s="182" t="s">
        <v>95</v>
      </c>
      <c r="BJ62" s="182" t="s">
        <v>61</v>
      </c>
      <c r="BK62" s="313" t="s">
        <v>96</v>
      </c>
    </row>
    <row r="63" spans="1:63" s="8" customFormat="1" ht="71.25" customHeight="1">
      <c r="A63" s="1683"/>
      <c r="B63" s="1657"/>
      <c r="C63" s="1751"/>
      <c r="D63" s="1731"/>
      <c r="E63" s="1749"/>
      <c r="F63" s="1749"/>
      <c r="G63" s="1666"/>
      <c r="H63" s="1731"/>
      <c r="I63" s="1669"/>
      <c r="J63" s="1669"/>
      <c r="K63" s="1669"/>
      <c r="L63" s="1676"/>
      <c r="M63" s="1639"/>
      <c r="N63" s="1639"/>
      <c r="O63" s="1657"/>
      <c r="P63" s="1680"/>
      <c r="Q63" s="1680"/>
      <c r="R63" s="1695"/>
      <c r="S63" s="1695"/>
      <c r="T63" s="1639"/>
      <c r="U63" s="1639"/>
      <c r="V63" s="1666"/>
      <c r="W63" s="1639"/>
      <c r="X63" s="1639"/>
      <c r="Y63" s="1657"/>
      <c r="Z63" s="25">
        <v>1214.81</v>
      </c>
      <c r="AA63" s="1642"/>
      <c r="AB63" s="25">
        <v>1431.25</v>
      </c>
      <c r="AC63" s="1648"/>
      <c r="AD63" s="9"/>
      <c r="AE63" s="1648"/>
      <c r="AF63" s="1651"/>
      <c r="AG63" s="1645"/>
      <c r="AH63" s="10"/>
      <c r="AI63" s="1645"/>
      <c r="AJ63" s="10"/>
      <c r="AK63" s="1700"/>
      <c r="AL63" s="1700"/>
      <c r="AM63" s="1700"/>
      <c r="AN63" s="1639"/>
      <c r="AO63" s="1639"/>
      <c r="AP63" s="1639"/>
      <c r="AQ63" s="1639"/>
      <c r="AR63" s="25">
        <v>98.4</v>
      </c>
      <c r="AS63" s="1666"/>
      <c r="AT63" s="1666"/>
      <c r="AU63" s="27">
        <v>17.739999999999998</v>
      </c>
      <c r="AV63" s="25" t="s">
        <v>65</v>
      </c>
      <c r="AW63" s="391" t="s">
        <v>148</v>
      </c>
      <c r="AX63" s="182">
        <v>2.3E-2</v>
      </c>
      <c r="AY63" s="391" t="s">
        <v>58</v>
      </c>
      <c r="AZ63" s="220" t="s">
        <v>66</v>
      </c>
      <c r="BA63" s="391" t="s">
        <v>60</v>
      </c>
      <c r="BB63" s="182" t="s">
        <v>61</v>
      </c>
      <c r="BC63" s="391" t="s">
        <v>58</v>
      </c>
      <c r="BD63" s="9"/>
      <c r="BE63" s="387"/>
      <c r="BF63" s="199"/>
      <c r="BG63" s="387"/>
      <c r="BH63" s="25" t="s">
        <v>97</v>
      </c>
      <c r="BI63" s="182" t="s">
        <v>95</v>
      </c>
      <c r="BJ63" s="182" t="s">
        <v>61</v>
      </c>
      <c r="BK63" s="314" t="s">
        <v>96</v>
      </c>
    </row>
    <row r="64" spans="1:63" s="8" customFormat="1" ht="71.25" customHeight="1">
      <c r="A64" s="1683"/>
      <c r="B64" s="1657"/>
      <c r="C64" s="1751"/>
      <c r="D64" s="1731"/>
      <c r="E64" s="1749"/>
      <c r="F64" s="1749"/>
      <c r="G64" s="1666"/>
      <c r="H64" s="1731"/>
      <c r="I64" s="1669"/>
      <c r="J64" s="1669"/>
      <c r="K64" s="1669"/>
      <c r="L64" s="1676"/>
      <c r="M64" s="1639"/>
      <c r="N64" s="1639"/>
      <c r="O64" s="1657"/>
      <c r="P64" s="1680"/>
      <c r="Q64" s="1680"/>
      <c r="R64" s="1695"/>
      <c r="S64" s="1695"/>
      <c r="T64" s="1639"/>
      <c r="U64" s="1639"/>
      <c r="V64" s="1666"/>
      <c r="W64" s="1639"/>
      <c r="X64" s="1639"/>
      <c r="Y64" s="1657"/>
      <c r="Z64" s="25">
        <v>1053.94</v>
      </c>
      <c r="AA64" s="1642"/>
      <c r="AB64" s="25">
        <v>1241.73</v>
      </c>
      <c r="AC64" s="1648"/>
      <c r="AD64" s="9"/>
      <c r="AE64" s="1648"/>
      <c r="AF64" s="1651"/>
      <c r="AG64" s="1645"/>
      <c r="AH64" s="10"/>
      <c r="AI64" s="1645"/>
      <c r="AJ64" s="10"/>
      <c r="AK64" s="1700"/>
      <c r="AL64" s="1700"/>
      <c r="AM64" s="1700"/>
      <c r="AN64" s="1639"/>
      <c r="AO64" s="1639"/>
      <c r="AP64" s="1639"/>
      <c r="AQ64" s="1639"/>
      <c r="AR64" s="25">
        <v>101.66</v>
      </c>
      <c r="AS64" s="1666"/>
      <c r="AT64" s="1666"/>
      <c r="AU64" s="27">
        <v>15.01</v>
      </c>
      <c r="AV64" s="10"/>
      <c r="AW64" s="339"/>
      <c r="AX64" s="11"/>
      <c r="AY64" s="339"/>
      <c r="AZ64" s="10"/>
      <c r="BA64" s="339"/>
      <c r="BB64" s="11"/>
      <c r="BC64" s="339"/>
      <c r="BD64" s="10"/>
      <c r="BE64" s="339"/>
      <c r="BF64" s="11"/>
      <c r="BG64" s="339"/>
      <c r="BH64" s="25" t="s">
        <v>98</v>
      </c>
      <c r="BI64" s="182" t="s">
        <v>95</v>
      </c>
      <c r="BJ64" s="182" t="s">
        <v>61</v>
      </c>
      <c r="BK64" s="314" t="s">
        <v>79</v>
      </c>
    </row>
    <row r="65" spans="1:63" s="8" customFormat="1" ht="71.25" customHeight="1" thickBot="1">
      <c r="A65" s="1684"/>
      <c r="B65" s="1658"/>
      <c r="C65" s="1752"/>
      <c r="D65" s="1732"/>
      <c r="E65" s="1750"/>
      <c r="F65" s="1750"/>
      <c r="G65" s="1667"/>
      <c r="H65" s="1732"/>
      <c r="I65" s="1670"/>
      <c r="J65" s="1670"/>
      <c r="K65" s="1670"/>
      <c r="L65" s="1677"/>
      <c r="M65" s="1640"/>
      <c r="N65" s="1640"/>
      <c r="O65" s="1678"/>
      <c r="P65" s="1681"/>
      <c r="Q65" s="1681"/>
      <c r="R65" s="1696"/>
      <c r="S65" s="1696"/>
      <c r="T65" s="1640"/>
      <c r="U65" s="1640"/>
      <c r="V65" s="1667"/>
      <c r="W65" s="1640"/>
      <c r="X65" s="1640"/>
      <c r="Y65" s="1678"/>
      <c r="Z65" s="180">
        <v>1686.31</v>
      </c>
      <c r="AA65" s="1643"/>
      <c r="AB65" s="180">
        <v>1986.75</v>
      </c>
      <c r="AC65" s="1649"/>
      <c r="AD65" s="12"/>
      <c r="AE65" s="1649"/>
      <c r="AF65" s="1652"/>
      <c r="AG65" s="1646"/>
      <c r="AH65" s="13"/>
      <c r="AI65" s="1646"/>
      <c r="AJ65" s="13"/>
      <c r="AK65" s="1701"/>
      <c r="AL65" s="1701"/>
      <c r="AM65" s="1701"/>
      <c r="AN65" s="1640"/>
      <c r="AO65" s="1640"/>
      <c r="AP65" s="1640"/>
      <c r="AQ65" s="1640"/>
      <c r="AR65" s="180">
        <v>162.21</v>
      </c>
      <c r="AS65" s="1667"/>
      <c r="AT65" s="1667"/>
      <c r="AU65" s="82">
        <v>24.76</v>
      </c>
      <c r="AV65" s="13"/>
      <c r="AW65" s="340"/>
      <c r="AX65" s="15"/>
      <c r="AY65" s="340"/>
      <c r="AZ65" s="13"/>
      <c r="BA65" s="340"/>
      <c r="BB65" s="15"/>
      <c r="BC65" s="340"/>
      <c r="BD65" s="13"/>
      <c r="BE65" s="340"/>
      <c r="BF65" s="15"/>
      <c r="BG65" s="340"/>
      <c r="BH65" s="13"/>
      <c r="BI65" s="340"/>
      <c r="BJ65" s="15"/>
      <c r="BK65" s="340"/>
    </row>
    <row r="66" spans="1:63" s="8" customFormat="1" ht="71.25" customHeight="1">
      <c r="A66" s="1726" t="s">
        <v>1320</v>
      </c>
      <c r="B66" s="1656"/>
      <c r="C66" s="1720">
        <v>261133046</v>
      </c>
      <c r="D66" s="1638" t="s">
        <v>1321</v>
      </c>
      <c r="E66" s="1638" t="s">
        <v>1324</v>
      </c>
      <c r="F66" s="1638" t="s">
        <v>1325</v>
      </c>
      <c r="G66" s="1665" t="s">
        <v>3665</v>
      </c>
      <c r="H66" s="1662" t="s">
        <v>1322</v>
      </c>
      <c r="I66" s="1668" t="s">
        <v>2473</v>
      </c>
      <c r="J66" s="1674">
        <v>43101</v>
      </c>
      <c r="K66" s="1674">
        <v>43466</v>
      </c>
      <c r="L66" s="1691">
        <v>10</v>
      </c>
      <c r="M66" s="1638" t="s">
        <v>48</v>
      </c>
      <c r="N66" s="1638" t="s">
        <v>354</v>
      </c>
      <c r="O66" s="1656"/>
      <c r="P66" s="1679" t="s">
        <v>72</v>
      </c>
      <c r="Q66" s="1694" t="s">
        <v>73</v>
      </c>
      <c r="R66" s="1694" t="s">
        <v>4244</v>
      </c>
      <c r="S66" s="1694" t="s">
        <v>4244</v>
      </c>
      <c r="T66" s="1638" t="s">
        <v>317</v>
      </c>
      <c r="U66" s="1638" t="s">
        <v>2477</v>
      </c>
      <c r="V66" s="1665" t="s">
        <v>252</v>
      </c>
      <c r="W66" s="1638" t="s">
        <v>307</v>
      </c>
      <c r="X66" s="1638" t="s">
        <v>113</v>
      </c>
      <c r="Y66" s="1656" t="s">
        <v>124</v>
      </c>
      <c r="Z66" s="23">
        <v>554.71</v>
      </c>
      <c r="AA66" s="1638" t="s">
        <v>87</v>
      </c>
      <c r="AB66" s="23">
        <v>691.69</v>
      </c>
      <c r="AC66" s="1638" t="s">
        <v>403</v>
      </c>
      <c r="AD66" s="23">
        <v>410.5</v>
      </c>
      <c r="AE66" s="1647"/>
      <c r="AF66" s="1650"/>
      <c r="AG66" s="1644"/>
      <c r="AH66" s="2"/>
      <c r="AI66" s="1644"/>
      <c r="AJ66" s="2"/>
      <c r="AK66" s="1662" t="s">
        <v>85</v>
      </c>
      <c r="AL66" s="1662" t="s">
        <v>245</v>
      </c>
      <c r="AM66" s="1662" t="s">
        <v>246</v>
      </c>
      <c r="AN66" s="1638" t="s">
        <v>250</v>
      </c>
      <c r="AO66" s="1638" t="s">
        <v>2494</v>
      </c>
      <c r="AP66" s="1638" t="s">
        <v>2497</v>
      </c>
      <c r="AQ66" s="1665" t="s">
        <v>388</v>
      </c>
      <c r="AR66" s="23">
        <v>57.97</v>
      </c>
      <c r="AS66" s="1665" t="s">
        <v>2483</v>
      </c>
      <c r="AT66" s="1665" t="s">
        <v>2484</v>
      </c>
      <c r="AU66" s="23">
        <v>8.85</v>
      </c>
      <c r="AV66" s="23" t="s">
        <v>56</v>
      </c>
      <c r="AW66" s="537" t="s">
        <v>57</v>
      </c>
      <c r="AX66" s="181">
        <v>9.0999999999999998E-2</v>
      </c>
      <c r="AY66" s="537" t="s">
        <v>58</v>
      </c>
      <c r="AZ66" s="25" t="s">
        <v>59</v>
      </c>
      <c r="BA66" s="538" t="s">
        <v>60</v>
      </c>
      <c r="BB66" s="182" t="s">
        <v>61</v>
      </c>
      <c r="BC66" s="538" t="s">
        <v>58</v>
      </c>
      <c r="BD66" s="23" t="s">
        <v>62</v>
      </c>
      <c r="BE66" s="537" t="s">
        <v>81</v>
      </c>
      <c r="BF66" s="181">
        <v>9.4E-2</v>
      </c>
      <c r="BG66" s="537" t="s">
        <v>64</v>
      </c>
      <c r="BH66" s="16"/>
      <c r="BI66" s="539"/>
      <c r="BJ66" s="18"/>
      <c r="BK66" s="539"/>
    </row>
    <row r="67" spans="1:63" s="8" customFormat="1" ht="71.25" customHeight="1">
      <c r="A67" s="1727"/>
      <c r="B67" s="1657"/>
      <c r="C67" s="1660"/>
      <c r="D67" s="1698"/>
      <c r="E67" s="1698"/>
      <c r="F67" s="1698"/>
      <c r="G67" s="1666"/>
      <c r="H67" s="1663"/>
      <c r="I67" s="1669"/>
      <c r="J67" s="1669"/>
      <c r="K67" s="1669"/>
      <c r="L67" s="1692"/>
      <c r="M67" s="1639"/>
      <c r="N67" s="1639"/>
      <c r="O67" s="1657"/>
      <c r="P67" s="1680"/>
      <c r="Q67" s="1695"/>
      <c r="R67" s="1695"/>
      <c r="S67" s="1695"/>
      <c r="T67" s="1639"/>
      <c r="U67" s="1639"/>
      <c r="V67" s="1666"/>
      <c r="W67" s="1639"/>
      <c r="X67" s="1639"/>
      <c r="Y67" s="1657"/>
      <c r="Z67" s="25">
        <v>1214.81</v>
      </c>
      <c r="AA67" s="1639"/>
      <c r="AB67" s="25">
        <v>1514.81</v>
      </c>
      <c r="AC67" s="1639"/>
      <c r="AD67" s="25">
        <v>899.01</v>
      </c>
      <c r="AE67" s="1648"/>
      <c r="AF67" s="1651"/>
      <c r="AG67" s="1645"/>
      <c r="AH67" s="10"/>
      <c r="AI67" s="1645"/>
      <c r="AJ67" s="10"/>
      <c r="AK67" s="1700"/>
      <c r="AL67" s="1700"/>
      <c r="AM67" s="1700"/>
      <c r="AN67" s="1639"/>
      <c r="AO67" s="1639"/>
      <c r="AP67" s="1639"/>
      <c r="AQ67" s="1666"/>
      <c r="AR67" s="25">
        <v>118.22</v>
      </c>
      <c r="AS67" s="1666"/>
      <c r="AT67" s="1666"/>
      <c r="AU67" s="25">
        <v>17.739999999999998</v>
      </c>
      <c r="AV67" s="25" t="s">
        <v>65</v>
      </c>
      <c r="AW67" s="538" t="s">
        <v>57</v>
      </c>
      <c r="AX67" s="182">
        <v>0.02</v>
      </c>
      <c r="AY67" s="538" t="s">
        <v>58</v>
      </c>
      <c r="AZ67" s="220" t="s">
        <v>66</v>
      </c>
      <c r="BA67" s="538" t="s">
        <v>60</v>
      </c>
      <c r="BB67" s="182" t="s">
        <v>61</v>
      </c>
      <c r="BC67" s="538" t="s">
        <v>58</v>
      </c>
      <c r="BD67" s="25" t="s">
        <v>67</v>
      </c>
      <c r="BE67" s="538" t="s">
        <v>102</v>
      </c>
      <c r="BF67" s="182">
        <v>0.26</v>
      </c>
      <c r="BG67" s="538" t="s">
        <v>69</v>
      </c>
      <c r="BH67" s="20"/>
      <c r="BI67" s="540"/>
      <c r="BJ67" s="22"/>
      <c r="BK67" s="540"/>
    </row>
    <row r="68" spans="1:63" s="8" customFormat="1" ht="71.25" customHeight="1">
      <c r="A68" s="1727"/>
      <c r="B68" s="1657"/>
      <c r="C68" s="1660"/>
      <c r="D68" s="1698"/>
      <c r="E68" s="1698"/>
      <c r="F68" s="1698"/>
      <c r="G68" s="1666"/>
      <c r="H68" s="1663"/>
      <c r="I68" s="1669"/>
      <c r="J68" s="1669"/>
      <c r="K68" s="1669"/>
      <c r="L68" s="1692"/>
      <c r="M68" s="1639"/>
      <c r="N68" s="1639"/>
      <c r="O68" s="1657"/>
      <c r="P68" s="1680"/>
      <c r="Q68" s="1695"/>
      <c r="R68" s="1695"/>
      <c r="S68" s="1695"/>
      <c r="T68" s="1639"/>
      <c r="U68" s="1639"/>
      <c r="V68" s="1666"/>
      <c r="W68" s="1639"/>
      <c r="X68" s="1639"/>
      <c r="Y68" s="1657"/>
      <c r="Z68" s="25">
        <v>1053.94</v>
      </c>
      <c r="AA68" s="1639"/>
      <c r="AB68" s="25">
        <v>1314.22</v>
      </c>
      <c r="AC68" s="1639"/>
      <c r="AD68" s="25">
        <v>779.95</v>
      </c>
      <c r="AE68" s="1648"/>
      <c r="AF68" s="1651"/>
      <c r="AG68" s="1645"/>
      <c r="AH68" s="10"/>
      <c r="AI68" s="1645"/>
      <c r="AJ68" s="10"/>
      <c r="AK68" s="1700"/>
      <c r="AL68" s="1700"/>
      <c r="AM68" s="1700"/>
      <c r="AN68" s="1639"/>
      <c r="AO68" s="1639"/>
      <c r="AP68" s="1639"/>
      <c r="AQ68" s="1666"/>
      <c r="AR68" s="25">
        <v>139.56</v>
      </c>
      <c r="AS68" s="1666"/>
      <c r="AT68" s="1666"/>
      <c r="AU68" s="25">
        <v>15.01</v>
      </c>
      <c r="AV68" s="10"/>
      <c r="AW68" s="541"/>
      <c r="AX68" s="11"/>
      <c r="AY68" s="541"/>
      <c r="AZ68" s="10"/>
      <c r="BA68" s="541"/>
      <c r="BB68" s="11"/>
      <c r="BC68" s="541"/>
      <c r="BD68" s="10"/>
      <c r="BE68" s="541"/>
      <c r="BF68" s="11"/>
      <c r="BG68" s="541"/>
      <c r="BH68" s="10"/>
      <c r="BI68" s="541"/>
      <c r="BJ68" s="11"/>
      <c r="BK68" s="541"/>
    </row>
    <row r="69" spans="1:63" s="8" customFormat="1" ht="71.25" customHeight="1" thickBot="1">
      <c r="A69" s="1728"/>
      <c r="B69" s="1658"/>
      <c r="C69" s="1661"/>
      <c r="D69" s="1699"/>
      <c r="E69" s="1699"/>
      <c r="F69" s="1699"/>
      <c r="G69" s="1667"/>
      <c r="H69" s="1664"/>
      <c r="I69" s="1670"/>
      <c r="J69" s="1670"/>
      <c r="K69" s="1670"/>
      <c r="L69" s="1693"/>
      <c r="M69" s="1640"/>
      <c r="N69" s="1640"/>
      <c r="O69" s="1678"/>
      <c r="P69" s="1681"/>
      <c r="Q69" s="1696"/>
      <c r="R69" s="1696"/>
      <c r="S69" s="1696"/>
      <c r="T69" s="1640"/>
      <c r="U69" s="1640"/>
      <c r="V69" s="1667"/>
      <c r="W69" s="1640"/>
      <c r="X69" s="1640"/>
      <c r="Y69" s="1678"/>
      <c r="Z69" s="180">
        <v>1686.31</v>
      </c>
      <c r="AA69" s="1640"/>
      <c r="AB69" s="180">
        <v>2102.75</v>
      </c>
      <c r="AC69" s="1640"/>
      <c r="AD69" s="180">
        <v>1247.93</v>
      </c>
      <c r="AE69" s="1649"/>
      <c r="AF69" s="1652"/>
      <c r="AG69" s="1646"/>
      <c r="AH69" s="13"/>
      <c r="AI69" s="1646"/>
      <c r="AJ69" s="13"/>
      <c r="AK69" s="1701"/>
      <c r="AL69" s="1701"/>
      <c r="AM69" s="1701"/>
      <c r="AN69" s="1640"/>
      <c r="AO69" s="1640"/>
      <c r="AP69" s="1640"/>
      <c r="AQ69" s="1667"/>
      <c r="AR69" s="180">
        <v>214.67</v>
      </c>
      <c r="AS69" s="1667"/>
      <c r="AT69" s="1667"/>
      <c r="AU69" s="180">
        <v>24.76</v>
      </c>
      <c r="AV69" s="13"/>
      <c r="AW69" s="542"/>
      <c r="AX69" s="15"/>
      <c r="AY69" s="542"/>
      <c r="AZ69" s="13"/>
      <c r="BA69" s="542"/>
      <c r="BB69" s="15"/>
      <c r="BC69" s="542"/>
      <c r="BD69" s="13"/>
      <c r="BE69" s="542"/>
      <c r="BF69" s="15"/>
      <c r="BG69" s="542"/>
      <c r="BH69" s="13"/>
      <c r="BI69" s="542"/>
      <c r="BJ69" s="15"/>
      <c r="BK69" s="542"/>
    </row>
    <row r="70" spans="1:63" s="8" customFormat="1" ht="71.25" customHeight="1">
      <c r="A70" s="1682" t="s">
        <v>3568</v>
      </c>
      <c r="B70" s="1665" t="s">
        <v>364</v>
      </c>
      <c r="C70" s="1720">
        <v>822704000</v>
      </c>
      <c r="D70" s="1662" t="s">
        <v>362</v>
      </c>
      <c r="E70" s="1638" t="s">
        <v>1298</v>
      </c>
      <c r="F70" s="1638" t="s">
        <v>4348</v>
      </c>
      <c r="G70" s="1665" t="s">
        <v>3665</v>
      </c>
      <c r="H70" s="1665" t="s">
        <v>3600</v>
      </c>
      <c r="I70" s="1668" t="s">
        <v>2473</v>
      </c>
      <c r="J70" s="1674">
        <v>43101</v>
      </c>
      <c r="K70" s="1674">
        <v>43466</v>
      </c>
      <c r="L70" s="1708">
        <v>29</v>
      </c>
      <c r="M70" s="1638" t="s">
        <v>48</v>
      </c>
      <c r="N70" s="1638" t="s">
        <v>354</v>
      </c>
      <c r="O70" s="1706"/>
      <c r="P70" s="1638" t="s">
        <v>48</v>
      </c>
      <c r="Q70" s="1679" t="s">
        <v>72</v>
      </c>
      <c r="R70" s="1694" t="s">
        <v>4244</v>
      </c>
      <c r="S70" s="1694" t="s">
        <v>4244</v>
      </c>
      <c r="T70" s="1638" t="s">
        <v>317</v>
      </c>
      <c r="U70" s="1638" t="s">
        <v>2503</v>
      </c>
      <c r="V70" s="1638" t="s">
        <v>252</v>
      </c>
      <c r="W70" s="1638" t="s">
        <v>307</v>
      </c>
      <c r="X70" s="1638" t="s">
        <v>113</v>
      </c>
      <c r="Y70" s="1638" t="s">
        <v>86</v>
      </c>
      <c r="Z70" s="23">
        <v>597.25</v>
      </c>
      <c r="AA70" s="1638" t="s">
        <v>87</v>
      </c>
      <c r="AB70" s="23">
        <v>728.1</v>
      </c>
      <c r="AC70" s="1644"/>
      <c r="AD70" s="2"/>
      <c r="AE70" s="1644"/>
      <c r="AF70" s="2"/>
      <c r="AG70" s="1644"/>
      <c r="AH70" s="2"/>
      <c r="AI70" s="1644"/>
      <c r="AJ70" s="2"/>
      <c r="AK70" s="1638" t="s">
        <v>85</v>
      </c>
      <c r="AL70" s="1638" t="s">
        <v>245</v>
      </c>
      <c r="AM70" s="1638" t="s">
        <v>246</v>
      </c>
      <c r="AN70" s="1638" t="s">
        <v>376</v>
      </c>
      <c r="AO70" s="1638" t="s">
        <v>2494</v>
      </c>
      <c r="AP70" s="1638" t="s">
        <v>2481</v>
      </c>
      <c r="AQ70" s="1697" t="s">
        <v>384</v>
      </c>
      <c r="AR70" s="23">
        <v>58.69</v>
      </c>
      <c r="AS70" s="1665" t="s">
        <v>2483</v>
      </c>
      <c r="AT70" s="1665" t="s">
        <v>2484</v>
      </c>
      <c r="AU70" s="81">
        <v>8.85</v>
      </c>
      <c r="AV70" s="23" t="s">
        <v>56</v>
      </c>
      <c r="AW70" s="197" t="s">
        <v>1249</v>
      </c>
      <c r="AX70" s="181">
        <v>9.4E-2</v>
      </c>
      <c r="AY70" s="197" t="s">
        <v>58</v>
      </c>
      <c r="AZ70" s="25" t="s">
        <v>59</v>
      </c>
      <c r="BA70" s="198" t="s">
        <v>60</v>
      </c>
      <c r="BB70" s="182" t="s">
        <v>61</v>
      </c>
      <c r="BC70" s="198" t="s">
        <v>58</v>
      </c>
      <c r="BD70" s="23" t="s">
        <v>62</v>
      </c>
      <c r="BE70" s="197" t="s">
        <v>81</v>
      </c>
      <c r="BF70" s="181">
        <v>9.4E-2</v>
      </c>
      <c r="BG70" s="197" t="s">
        <v>64</v>
      </c>
      <c r="BH70" s="23" t="s">
        <v>94</v>
      </c>
      <c r="BI70" s="6" t="s">
        <v>95</v>
      </c>
      <c r="BJ70" s="6" t="s">
        <v>61</v>
      </c>
      <c r="BK70" s="24" t="s">
        <v>96</v>
      </c>
    </row>
    <row r="71" spans="1:63" s="8" customFormat="1" ht="71.25" customHeight="1">
      <c r="A71" s="1683"/>
      <c r="B71" s="1666"/>
      <c r="C71" s="1729"/>
      <c r="D71" s="1700"/>
      <c r="E71" s="1639"/>
      <c r="F71" s="1639"/>
      <c r="G71" s="1666"/>
      <c r="H71" s="1666"/>
      <c r="I71" s="1669"/>
      <c r="J71" s="1669"/>
      <c r="K71" s="1669"/>
      <c r="L71" s="1676"/>
      <c r="M71" s="1639"/>
      <c r="N71" s="1639"/>
      <c r="O71" s="1666"/>
      <c r="P71" s="1639"/>
      <c r="Q71" s="1680"/>
      <c r="R71" s="1695"/>
      <c r="S71" s="1695"/>
      <c r="T71" s="1639"/>
      <c r="U71" s="1639"/>
      <c r="V71" s="1639"/>
      <c r="W71" s="1639"/>
      <c r="X71" s="1639"/>
      <c r="Y71" s="1639"/>
      <c r="Z71" s="25">
        <v>1307.99</v>
      </c>
      <c r="AA71" s="1639"/>
      <c r="AB71" s="25">
        <v>1594.54</v>
      </c>
      <c r="AC71" s="1645"/>
      <c r="AD71" s="10"/>
      <c r="AE71" s="1645"/>
      <c r="AF71" s="10"/>
      <c r="AG71" s="1645"/>
      <c r="AH71" s="10"/>
      <c r="AI71" s="1645"/>
      <c r="AJ71" s="10"/>
      <c r="AK71" s="1639"/>
      <c r="AL71" s="1639"/>
      <c r="AM71" s="1639"/>
      <c r="AN71" s="1639" t="s">
        <v>248</v>
      </c>
      <c r="AO71" s="1639"/>
      <c r="AP71" s="1639"/>
      <c r="AQ71" s="1657"/>
      <c r="AR71" s="25">
        <v>119.67</v>
      </c>
      <c r="AS71" s="1666"/>
      <c r="AT71" s="1666"/>
      <c r="AU71" s="27">
        <v>17.739999999999998</v>
      </c>
      <c r="AV71" s="25" t="s">
        <v>65</v>
      </c>
      <c r="AW71" s="198" t="s">
        <v>1249</v>
      </c>
      <c r="AX71" s="182">
        <v>0.02</v>
      </c>
      <c r="AY71" s="198" t="s">
        <v>58</v>
      </c>
      <c r="AZ71" s="25" t="s">
        <v>66</v>
      </c>
      <c r="BA71" s="198" t="s">
        <v>60</v>
      </c>
      <c r="BB71" s="182" t="s">
        <v>61</v>
      </c>
      <c r="BC71" s="198" t="s">
        <v>58</v>
      </c>
      <c r="BD71" s="25" t="s">
        <v>67</v>
      </c>
      <c r="BE71" s="198" t="s">
        <v>82</v>
      </c>
      <c r="BF71" s="182">
        <v>0.25</v>
      </c>
      <c r="BG71" s="198" t="s">
        <v>69</v>
      </c>
      <c r="BH71" s="25" t="s">
        <v>97</v>
      </c>
      <c r="BI71" s="6" t="s">
        <v>95</v>
      </c>
      <c r="BJ71" s="6" t="s">
        <v>61</v>
      </c>
      <c r="BK71" s="26" t="s">
        <v>96</v>
      </c>
    </row>
    <row r="72" spans="1:63" s="8" customFormat="1" ht="71.25" customHeight="1">
      <c r="A72" s="1683"/>
      <c r="B72" s="1666"/>
      <c r="C72" s="1729"/>
      <c r="D72" s="1700"/>
      <c r="E72" s="1639"/>
      <c r="F72" s="1639"/>
      <c r="G72" s="1666"/>
      <c r="H72" s="1666"/>
      <c r="I72" s="1669"/>
      <c r="J72" s="1669"/>
      <c r="K72" s="1669"/>
      <c r="L72" s="1676"/>
      <c r="M72" s="1639"/>
      <c r="N72" s="1639"/>
      <c r="O72" s="1666"/>
      <c r="P72" s="1639"/>
      <c r="Q72" s="1680"/>
      <c r="R72" s="1695"/>
      <c r="S72" s="1695"/>
      <c r="T72" s="1639"/>
      <c r="U72" s="1639"/>
      <c r="V72" s="1639"/>
      <c r="W72" s="1639"/>
      <c r="X72" s="1639"/>
      <c r="Y72" s="1639"/>
      <c r="Z72" s="25">
        <v>1134.79</v>
      </c>
      <c r="AA72" s="1639"/>
      <c r="AB72" s="25">
        <v>1383.39</v>
      </c>
      <c r="AC72" s="1645"/>
      <c r="AD72" s="10"/>
      <c r="AE72" s="1645"/>
      <c r="AF72" s="10"/>
      <c r="AG72" s="1645"/>
      <c r="AH72" s="10"/>
      <c r="AI72" s="1645"/>
      <c r="AJ72" s="10"/>
      <c r="AK72" s="1639"/>
      <c r="AL72" s="1639"/>
      <c r="AM72" s="1639"/>
      <c r="AN72" s="1639" t="s">
        <v>248</v>
      </c>
      <c r="AO72" s="1639"/>
      <c r="AP72" s="1639"/>
      <c r="AQ72" s="1657"/>
      <c r="AR72" s="25">
        <v>137.72999999999999</v>
      </c>
      <c r="AS72" s="1666"/>
      <c r="AT72" s="1666"/>
      <c r="AU72" s="27">
        <v>15.01</v>
      </c>
      <c r="AV72" s="10"/>
      <c r="AW72" s="190"/>
      <c r="AX72" s="11"/>
      <c r="AY72" s="190"/>
      <c r="AZ72" s="10"/>
      <c r="BA72" s="190"/>
      <c r="BB72" s="11"/>
      <c r="BC72" s="190"/>
      <c r="BD72" s="10"/>
      <c r="BE72" s="190"/>
      <c r="BF72" s="11"/>
      <c r="BG72" s="190"/>
      <c r="BH72" s="27" t="s">
        <v>98</v>
      </c>
      <c r="BI72" s="6" t="s">
        <v>95</v>
      </c>
      <c r="BJ72" s="6" t="s">
        <v>61</v>
      </c>
      <c r="BK72" s="26" t="s">
        <v>79</v>
      </c>
    </row>
    <row r="73" spans="1:63" s="8" customFormat="1" ht="71.25" customHeight="1" thickBot="1">
      <c r="A73" s="1684"/>
      <c r="B73" s="1667"/>
      <c r="C73" s="1730"/>
      <c r="D73" s="1701"/>
      <c r="E73" s="1640"/>
      <c r="F73" s="1640"/>
      <c r="G73" s="1667"/>
      <c r="H73" s="1667"/>
      <c r="I73" s="1670"/>
      <c r="J73" s="1670"/>
      <c r="K73" s="1670"/>
      <c r="L73" s="1677"/>
      <c r="M73" s="1640"/>
      <c r="N73" s="1640"/>
      <c r="O73" s="1667"/>
      <c r="P73" s="1640"/>
      <c r="Q73" s="1681"/>
      <c r="R73" s="1696"/>
      <c r="S73" s="1696"/>
      <c r="T73" s="1640"/>
      <c r="U73" s="1640"/>
      <c r="V73" s="1640"/>
      <c r="W73" s="1640"/>
      <c r="X73" s="1640"/>
      <c r="Y73" s="1640"/>
      <c r="Z73" s="180">
        <v>1815.66</v>
      </c>
      <c r="AA73" s="1640"/>
      <c r="AB73" s="180">
        <v>2213.42</v>
      </c>
      <c r="AC73" s="1646"/>
      <c r="AD73" s="13"/>
      <c r="AE73" s="1646"/>
      <c r="AF73" s="13"/>
      <c r="AG73" s="1646"/>
      <c r="AH73" s="13"/>
      <c r="AI73" s="1646"/>
      <c r="AJ73" s="13"/>
      <c r="AK73" s="1640"/>
      <c r="AL73" s="1640"/>
      <c r="AM73" s="1640"/>
      <c r="AN73" s="1640" t="s">
        <v>248</v>
      </c>
      <c r="AO73" s="1640"/>
      <c r="AP73" s="1640"/>
      <c r="AQ73" s="1678"/>
      <c r="AR73" s="180">
        <v>213.09</v>
      </c>
      <c r="AS73" s="1667"/>
      <c r="AT73" s="1667"/>
      <c r="AU73" s="82">
        <v>24.76</v>
      </c>
      <c r="AV73" s="13"/>
      <c r="AW73" s="191"/>
      <c r="AX73" s="15"/>
      <c r="AY73" s="191"/>
      <c r="AZ73" s="13"/>
      <c r="BA73" s="191"/>
      <c r="BB73" s="15"/>
      <c r="BC73" s="191"/>
      <c r="BD73" s="13"/>
      <c r="BE73" s="191"/>
      <c r="BF73" s="15"/>
      <c r="BG73" s="191"/>
      <c r="BH73" s="13"/>
      <c r="BI73" s="191"/>
      <c r="BJ73" s="15"/>
      <c r="BK73" s="191"/>
    </row>
    <row r="74" spans="1:63" s="80" customFormat="1" ht="71.25" customHeight="1">
      <c r="A74" s="1682" t="s">
        <v>259</v>
      </c>
      <c r="B74" s="1707"/>
      <c r="C74" s="1659">
        <v>330441961</v>
      </c>
      <c r="D74" s="1662" t="s">
        <v>260</v>
      </c>
      <c r="E74" s="1662" t="s">
        <v>261</v>
      </c>
      <c r="F74" s="1662" t="s">
        <v>261</v>
      </c>
      <c r="G74" s="1665" t="s">
        <v>3665</v>
      </c>
      <c r="H74" s="1662" t="s">
        <v>4332</v>
      </c>
      <c r="I74" s="1736" t="s">
        <v>2474</v>
      </c>
      <c r="J74" s="1671">
        <v>42979</v>
      </c>
      <c r="K74" s="1671">
        <v>43466</v>
      </c>
      <c r="L74" s="1691">
        <v>85</v>
      </c>
      <c r="M74" s="1662" t="s">
        <v>48</v>
      </c>
      <c r="N74" s="1662" t="s">
        <v>49</v>
      </c>
      <c r="O74" s="1707"/>
      <c r="P74" s="1679" t="s">
        <v>72</v>
      </c>
      <c r="Q74" s="1679" t="s">
        <v>72</v>
      </c>
      <c r="R74" s="1694" t="s">
        <v>4244</v>
      </c>
      <c r="S74" s="1694" t="s">
        <v>4244</v>
      </c>
      <c r="T74" s="1662" t="s">
        <v>317</v>
      </c>
      <c r="U74" s="1662" t="s">
        <v>2477</v>
      </c>
      <c r="V74" s="1665" t="s">
        <v>252</v>
      </c>
      <c r="W74" s="1665" t="s">
        <v>307</v>
      </c>
      <c r="X74" s="1665" t="s">
        <v>113</v>
      </c>
      <c r="Y74" s="1656" t="s">
        <v>124</v>
      </c>
      <c r="Z74" s="81">
        <v>554.71</v>
      </c>
      <c r="AA74" s="1707" t="s">
        <v>93</v>
      </c>
      <c r="AB74" s="81">
        <v>653.54</v>
      </c>
      <c r="AC74" s="1644"/>
      <c r="AD74" s="2"/>
      <c r="AE74" s="1644"/>
      <c r="AF74" s="2"/>
      <c r="AG74" s="1644"/>
      <c r="AH74" s="2"/>
      <c r="AI74" s="1644"/>
      <c r="AJ74" s="2"/>
      <c r="AK74" s="1662" t="s">
        <v>85</v>
      </c>
      <c r="AL74" s="1662" t="s">
        <v>245</v>
      </c>
      <c r="AM74" s="1662" t="s">
        <v>246</v>
      </c>
      <c r="AN74" s="1662" t="s">
        <v>248</v>
      </c>
      <c r="AO74" s="1662" t="s">
        <v>2489</v>
      </c>
      <c r="AP74" s="1662" t="s">
        <v>2482</v>
      </c>
      <c r="AQ74" s="1665" t="s">
        <v>386</v>
      </c>
      <c r="AR74" s="81">
        <v>41.58</v>
      </c>
      <c r="AS74" s="1662" t="s">
        <v>2482</v>
      </c>
      <c r="AT74" s="1662" t="s">
        <v>2486</v>
      </c>
      <c r="AU74" s="81">
        <v>8.56</v>
      </c>
      <c r="AV74" s="3" t="s">
        <v>56</v>
      </c>
      <c r="AW74" s="597" t="s">
        <v>1249</v>
      </c>
      <c r="AX74" s="181">
        <v>9.4E-2</v>
      </c>
      <c r="AY74" s="597" t="s">
        <v>58</v>
      </c>
      <c r="AZ74" s="2"/>
      <c r="BA74" s="594"/>
      <c r="BB74" s="7"/>
      <c r="BC74" s="594"/>
      <c r="BD74" s="2"/>
      <c r="BE74" s="594"/>
      <c r="BF74" s="7"/>
      <c r="BG74" s="594"/>
      <c r="BH74" s="10"/>
      <c r="BI74" s="643"/>
      <c r="BJ74" s="11"/>
      <c r="BK74" s="643"/>
    </row>
    <row r="75" spans="1:63" s="80" customFormat="1" ht="71.25" customHeight="1">
      <c r="A75" s="1683"/>
      <c r="B75" s="1700"/>
      <c r="C75" s="1729"/>
      <c r="D75" s="1700"/>
      <c r="E75" s="1700"/>
      <c r="F75" s="1700"/>
      <c r="G75" s="1666"/>
      <c r="H75" s="1700"/>
      <c r="I75" s="1672"/>
      <c r="J75" s="1672"/>
      <c r="K75" s="1672"/>
      <c r="L75" s="1692"/>
      <c r="M75" s="1700"/>
      <c r="N75" s="1700"/>
      <c r="O75" s="1700"/>
      <c r="P75" s="1680"/>
      <c r="Q75" s="1680"/>
      <c r="R75" s="1695"/>
      <c r="S75" s="1695"/>
      <c r="T75" s="1700"/>
      <c r="U75" s="1700"/>
      <c r="V75" s="1666"/>
      <c r="W75" s="1666"/>
      <c r="X75" s="1666"/>
      <c r="Y75" s="1657"/>
      <c r="Z75" s="27">
        <v>1214.81</v>
      </c>
      <c r="AA75" s="1700"/>
      <c r="AB75" s="27">
        <v>1431.25</v>
      </c>
      <c r="AC75" s="1645"/>
      <c r="AD75" s="10"/>
      <c r="AE75" s="1645"/>
      <c r="AF75" s="10"/>
      <c r="AG75" s="1645"/>
      <c r="AH75" s="10"/>
      <c r="AI75" s="1645"/>
      <c r="AJ75" s="10"/>
      <c r="AK75" s="1700"/>
      <c r="AL75" s="1700"/>
      <c r="AM75" s="1700"/>
      <c r="AN75" s="1700" t="s">
        <v>248</v>
      </c>
      <c r="AO75" s="1700"/>
      <c r="AP75" s="1700"/>
      <c r="AQ75" s="1666"/>
      <c r="AR75" s="27">
        <v>84.77</v>
      </c>
      <c r="AS75" s="1700"/>
      <c r="AT75" s="1700"/>
      <c r="AU75" s="27">
        <v>17.149999999999999</v>
      </c>
      <c r="AV75" s="5" t="s">
        <v>65</v>
      </c>
      <c r="AW75" s="593" t="s">
        <v>1249</v>
      </c>
      <c r="AX75" s="83">
        <v>0.02</v>
      </c>
      <c r="AY75" s="593" t="s">
        <v>58</v>
      </c>
      <c r="AZ75" s="10"/>
      <c r="BA75" s="595"/>
      <c r="BB75" s="11"/>
      <c r="BC75" s="595"/>
      <c r="BD75" s="10"/>
      <c r="BE75" s="595"/>
      <c r="BF75" s="11"/>
      <c r="BG75" s="595"/>
      <c r="BH75" s="10"/>
      <c r="BI75" s="595"/>
      <c r="BJ75" s="11"/>
      <c r="BK75" s="595"/>
    </row>
    <row r="76" spans="1:63" s="80" customFormat="1" ht="71.25" customHeight="1">
      <c r="A76" s="1683"/>
      <c r="B76" s="1700"/>
      <c r="C76" s="1729"/>
      <c r="D76" s="1700"/>
      <c r="E76" s="1700"/>
      <c r="F76" s="1700"/>
      <c r="G76" s="1666"/>
      <c r="H76" s="1700"/>
      <c r="I76" s="1672"/>
      <c r="J76" s="1672"/>
      <c r="K76" s="1672"/>
      <c r="L76" s="1692"/>
      <c r="M76" s="1700"/>
      <c r="N76" s="1700"/>
      <c r="O76" s="1700"/>
      <c r="P76" s="1680"/>
      <c r="Q76" s="1680"/>
      <c r="R76" s="1695"/>
      <c r="S76" s="1695"/>
      <c r="T76" s="1700"/>
      <c r="U76" s="1700"/>
      <c r="V76" s="1666"/>
      <c r="W76" s="1666"/>
      <c r="X76" s="1666"/>
      <c r="Y76" s="1657"/>
      <c r="Z76" s="27">
        <v>1053.94</v>
      </c>
      <c r="AA76" s="1700"/>
      <c r="AB76" s="27">
        <v>1241.73</v>
      </c>
      <c r="AC76" s="1645"/>
      <c r="AD76" s="10"/>
      <c r="AE76" s="1645"/>
      <c r="AF76" s="10"/>
      <c r="AG76" s="1645"/>
      <c r="AH76" s="10"/>
      <c r="AI76" s="1645"/>
      <c r="AJ76" s="10"/>
      <c r="AK76" s="1700"/>
      <c r="AL76" s="1700"/>
      <c r="AM76" s="1700"/>
      <c r="AN76" s="1700" t="s">
        <v>248</v>
      </c>
      <c r="AO76" s="1700"/>
      <c r="AP76" s="1700"/>
      <c r="AQ76" s="1666"/>
      <c r="AR76" s="27">
        <v>97.32</v>
      </c>
      <c r="AS76" s="1700"/>
      <c r="AT76" s="1700"/>
      <c r="AU76" s="27">
        <v>14.53</v>
      </c>
      <c r="AV76" s="10"/>
      <c r="AW76" s="595"/>
      <c r="AX76" s="11"/>
      <c r="AY76" s="595"/>
      <c r="AZ76" s="10"/>
      <c r="BA76" s="595"/>
      <c r="BB76" s="11"/>
      <c r="BC76" s="595"/>
      <c r="BD76" s="10"/>
      <c r="BE76" s="595"/>
      <c r="BF76" s="11"/>
      <c r="BG76" s="595"/>
      <c r="BH76" s="10"/>
      <c r="BI76" s="595"/>
      <c r="BJ76" s="11"/>
      <c r="BK76" s="595"/>
    </row>
    <row r="77" spans="1:63" s="80" customFormat="1" ht="71.25" customHeight="1" thickBot="1">
      <c r="A77" s="1684"/>
      <c r="B77" s="1701"/>
      <c r="C77" s="1730"/>
      <c r="D77" s="1701"/>
      <c r="E77" s="1701"/>
      <c r="F77" s="1701"/>
      <c r="G77" s="1667"/>
      <c r="H77" s="1701"/>
      <c r="I77" s="1673"/>
      <c r="J77" s="1673"/>
      <c r="K77" s="1673"/>
      <c r="L77" s="1693"/>
      <c r="M77" s="1701"/>
      <c r="N77" s="1701"/>
      <c r="O77" s="1701"/>
      <c r="P77" s="1681"/>
      <c r="Q77" s="1681"/>
      <c r="R77" s="1696"/>
      <c r="S77" s="1696"/>
      <c r="T77" s="1701"/>
      <c r="U77" s="1701"/>
      <c r="V77" s="1667"/>
      <c r="W77" s="1667"/>
      <c r="X77" s="1667"/>
      <c r="Y77" s="1678"/>
      <c r="Z77" s="82">
        <v>1686.31</v>
      </c>
      <c r="AA77" s="1701"/>
      <c r="AB77" s="82">
        <v>1986.75</v>
      </c>
      <c r="AC77" s="1646"/>
      <c r="AD77" s="13"/>
      <c r="AE77" s="1646"/>
      <c r="AF77" s="13"/>
      <c r="AG77" s="1646"/>
      <c r="AH77" s="13"/>
      <c r="AI77" s="1646"/>
      <c r="AJ77" s="13"/>
      <c r="AK77" s="1701"/>
      <c r="AL77" s="1701"/>
      <c r="AM77" s="1701"/>
      <c r="AN77" s="1701" t="s">
        <v>248</v>
      </c>
      <c r="AO77" s="1701"/>
      <c r="AP77" s="1701"/>
      <c r="AQ77" s="1667"/>
      <c r="AR77" s="82">
        <v>150.54</v>
      </c>
      <c r="AS77" s="1701"/>
      <c r="AT77" s="1701"/>
      <c r="AU77" s="82">
        <v>23.96</v>
      </c>
      <c r="AV77" s="13"/>
      <c r="AW77" s="596"/>
      <c r="AX77" s="15"/>
      <c r="AY77" s="596"/>
      <c r="AZ77" s="13"/>
      <c r="BA77" s="596"/>
      <c r="BB77" s="15"/>
      <c r="BC77" s="596"/>
      <c r="BD77" s="13"/>
      <c r="BE77" s="596"/>
      <c r="BF77" s="15"/>
      <c r="BG77" s="596"/>
      <c r="BH77" s="13"/>
      <c r="BI77" s="596"/>
      <c r="BJ77" s="15"/>
      <c r="BK77" s="596"/>
    </row>
    <row r="78" spans="1:63" s="8" customFormat="1" ht="71.25" customHeight="1">
      <c r="A78" s="1682" t="s">
        <v>408</v>
      </c>
      <c r="B78" s="1656"/>
      <c r="C78" s="1717">
        <v>61673385</v>
      </c>
      <c r="D78" s="1706" t="s">
        <v>114</v>
      </c>
      <c r="E78" s="1706" t="s">
        <v>115</v>
      </c>
      <c r="F78" s="1706" t="s">
        <v>115</v>
      </c>
      <c r="G78" s="1665" t="s">
        <v>3654</v>
      </c>
      <c r="H78" s="1665" t="s">
        <v>116</v>
      </c>
      <c r="I78" s="1668" t="s">
        <v>2474</v>
      </c>
      <c r="J78" s="1674">
        <v>42887</v>
      </c>
      <c r="K78" s="1674">
        <v>43466</v>
      </c>
      <c r="L78" s="1691">
        <v>34</v>
      </c>
      <c r="M78" s="1665" t="s">
        <v>48</v>
      </c>
      <c r="N78" s="1706" t="s">
        <v>49</v>
      </c>
      <c r="O78" s="1656"/>
      <c r="P78" s="1665" t="s">
        <v>50</v>
      </c>
      <c r="Q78" s="1656" t="s">
        <v>73</v>
      </c>
      <c r="R78" s="1694" t="s">
        <v>4244</v>
      </c>
      <c r="S78" s="1694" t="s">
        <v>4244</v>
      </c>
      <c r="T78" s="1702" t="s">
        <v>303</v>
      </c>
      <c r="U78" s="1665" t="s">
        <v>2503</v>
      </c>
      <c r="V78" s="1641" t="s">
        <v>252</v>
      </c>
      <c r="W78" s="1665" t="s">
        <v>307</v>
      </c>
      <c r="X78" s="1665" t="s">
        <v>113</v>
      </c>
      <c r="Y78" s="1641" t="s">
        <v>86</v>
      </c>
      <c r="Z78" s="256">
        <v>716.3</v>
      </c>
      <c r="AA78" s="1641" t="s">
        <v>87</v>
      </c>
      <c r="AB78" s="256">
        <v>786.13</v>
      </c>
      <c r="AC78" s="1702" t="s">
        <v>403</v>
      </c>
      <c r="AD78" s="256">
        <v>475.5</v>
      </c>
      <c r="AE78" s="1712" t="s">
        <v>117</v>
      </c>
      <c r="AF78" s="1709" t="s">
        <v>79</v>
      </c>
      <c r="AG78" s="1721"/>
      <c r="AH78" s="1"/>
      <c r="AI78" s="1721"/>
      <c r="AJ78" s="1"/>
      <c r="AK78" s="1641" t="s">
        <v>85</v>
      </c>
      <c r="AL78" s="1641" t="s">
        <v>245</v>
      </c>
      <c r="AM78" s="1641" t="s">
        <v>246</v>
      </c>
      <c r="AN78" s="1641" t="s">
        <v>249</v>
      </c>
      <c r="AO78" s="1641" t="s">
        <v>2501</v>
      </c>
      <c r="AP78" s="1641" t="s">
        <v>2481</v>
      </c>
      <c r="AQ78" s="1641" t="s">
        <v>382</v>
      </c>
      <c r="AR78" s="256">
        <v>65.22</v>
      </c>
      <c r="AS78" s="1665" t="s">
        <v>2483</v>
      </c>
      <c r="AT78" s="1641" t="s">
        <v>2486</v>
      </c>
      <c r="AU78" s="256">
        <v>8.3800000000000008</v>
      </c>
      <c r="AV78" s="256" t="s">
        <v>56</v>
      </c>
      <c r="AW78" s="241" t="s">
        <v>57</v>
      </c>
      <c r="AX78" s="259">
        <v>9.0999999999999998E-2</v>
      </c>
      <c r="AY78" s="241" t="s">
        <v>58</v>
      </c>
      <c r="AZ78" s="257" t="s">
        <v>59</v>
      </c>
      <c r="BA78" s="242" t="s">
        <v>60</v>
      </c>
      <c r="BB78" s="260" t="s">
        <v>61</v>
      </c>
      <c r="BC78" s="242" t="s">
        <v>58</v>
      </c>
      <c r="BD78" s="20"/>
      <c r="BE78" s="248"/>
      <c r="BF78" s="22"/>
      <c r="BG78" s="248"/>
      <c r="BH78" s="1"/>
      <c r="BI78" s="236"/>
      <c r="BJ78" s="239"/>
      <c r="BK78" s="234"/>
    </row>
    <row r="79" spans="1:63" s="8" customFormat="1" ht="71.25" customHeight="1">
      <c r="A79" s="1683"/>
      <c r="B79" s="1657"/>
      <c r="C79" s="1718"/>
      <c r="D79" s="1666"/>
      <c r="E79" s="1666"/>
      <c r="F79" s="1666"/>
      <c r="G79" s="1666"/>
      <c r="H79" s="1666"/>
      <c r="I79" s="1669"/>
      <c r="J79" s="1669"/>
      <c r="K79" s="1669"/>
      <c r="L79" s="1692"/>
      <c r="M79" s="1666"/>
      <c r="N79" s="1666"/>
      <c r="O79" s="1657"/>
      <c r="P79" s="1666"/>
      <c r="Q79" s="1657"/>
      <c r="R79" s="1695"/>
      <c r="S79" s="1695"/>
      <c r="T79" s="1703"/>
      <c r="U79" s="1666"/>
      <c r="V79" s="1642"/>
      <c r="W79" s="1666"/>
      <c r="X79" s="1666"/>
      <c r="Y79" s="1642"/>
      <c r="Z79" s="257">
        <v>1568.71</v>
      </c>
      <c r="AA79" s="1642"/>
      <c r="AB79" s="257">
        <v>1721.63</v>
      </c>
      <c r="AC79" s="1703"/>
      <c r="AD79" s="257">
        <v>1041.3499999999999</v>
      </c>
      <c r="AE79" s="1713"/>
      <c r="AF79" s="1710"/>
      <c r="AG79" s="1722"/>
      <c r="AH79" s="9"/>
      <c r="AI79" s="1722"/>
      <c r="AJ79" s="9"/>
      <c r="AK79" s="1642"/>
      <c r="AL79" s="1642"/>
      <c r="AM79" s="1642"/>
      <c r="AN79" s="1642"/>
      <c r="AO79" s="1642"/>
      <c r="AP79" s="1642"/>
      <c r="AQ79" s="1642"/>
      <c r="AR79" s="257">
        <v>133.01</v>
      </c>
      <c r="AS79" s="1666"/>
      <c r="AT79" s="1642"/>
      <c r="AU79" s="257">
        <v>16.79</v>
      </c>
      <c r="AV79" s="257" t="s">
        <v>65</v>
      </c>
      <c r="AW79" s="242" t="s">
        <v>57</v>
      </c>
      <c r="AX79" s="260">
        <v>0.02</v>
      </c>
      <c r="AY79" s="242" t="s">
        <v>58</v>
      </c>
      <c r="AZ79" s="261" t="s">
        <v>66</v>
      </c>
      <c r="BA79" s="242" t="s">
        <v>60</v>
      </c>
      <c r="BB79" s="260" t="s">
        <v>61</v>
      </c>
      <c r="BC79" s="242" t="s">
        <v>58</v>
      </c>
      <c r="BD79" s="257" t="s">
        <v>67</v>
      </c>
      <c r="BE79" s="242" t="s">
        <v>82</v>
      </c>
      <c r="BF79" s="260">
        <v>0.25</v>
      </c>
      <c r="BG79" s="242" t="s">
        <v>69</v>
      </c>
      <c r="BH79" s="9"/>
      <c r="BI79" s="237"/>
      <c r="BJ79" s="199"/>
      <c r="BK79" s="235"/>
    </row>
    <row r="80" spans="1:63" s="8" customFormat="1" ht="71.25" customHeight="1">
      <c r="A80" s="1683"/>
      <c r="B80" s="1657"/>
      <c r="C80" s="1718"/>
      <c r="D80" s="1666"/>
      <c r="E80" s="1666"/>
      <c r="F80" s="1666"/>
      <c r="G80" s="1666"/>
      <c r="H80" s="1666"/>
      <c r="I80" s="1669"/>
      <c r="J80" s="1669"/>
      <c r="K80" s="1669"/>
      <c r="L80" s="1692"/>
      <c r="M80" s="1666"/>
      <c r="N80" s="1666"/>
      <c r="O80" s="1657"/>
      <c r="P80" s="1666"/>
      <c r="Q80" s="1657"/>
      <c r="R80" s="1695"/>
      <c r="S80" s="1695"/>
      <c r="T80" s="1703"/>
      <c r="U80" s="1666"/>
      <c r="V80" s="1642"/>
      <c r="W80" s="1666"/>
      <c r="X80" s="1666"/>
      <c r="Y80" s="1642"/>
      <c r="Z80" s="257">
        <v>1360.97</v>
      </c>
      <c r="AA80" s="1642"/>
      <c r="AB80" s="257">
        <v>1493.66</v>
      </c>
      <c r="AC80" s="1703"/>
      <c r="AD80" s="257">
        <v>903.45</v>
      </c>
      <c r="AE80" s="1713"/>
      <c r="AF80" s="1710"/>
      <c r="AG80" s="1722"/>
      <c r="AH80" s="9"/>
      <c r="AI80" s="1722"/>
      <c r="AJ80" s="9"/>
      <c r="AK80" s="1642"/>
      <c r="AL80" s="1642"/>
      <c r="AM80" s="1642"/>
      <c r="AN80" s="1642"/>
      <c r="AO80" s="1642"/>
      <c r="AP80" s="1642"/>
      <c r="AQ80" s="1642"/>
      <c r="AR80" s="257">
        <v>152.68</v>
      </c>
      <c r="AS80" s="1666"/>
      <c r="AT80" s="1642"/>
      <c r="AU80" s="257">
        <v>14.22</v>
      </c>
      <c r="AV80" s="9"/>
      <c r="AW80" s="237"/>
      <c r="AX80" s="199"/>
      <c r="AY80" s="237"/>
      <c r="AZ80" s="9"/>
      <c r="BA80" s="237"/>
      <c r="BB80" s="199"/>
      <c r="BC80" s="237"/>
      <c r="BD80" s="9"/>
      <c r="BE80" s="237"/>
      <c r="BF80" s="199"/>
      <c r="BG80" s="237"/>
      <c r="BH80" s="9"/>
      <c r="BI80" s="237"/>
      <c r="BJ80" s="199"/>
      <c r="BK80" s="232"/>
    </row>
    <row r="81" spans="1:63" s="8" customFormat="1" ht="71.25" customHeight="1" thickBot="1">
      <c r="A81" s="1684"/>
      <c r="B81" s="1678"/>
      <c r="C81" s="1719"/>
      <c r="D81" s="1667"/>
      <c r="E81" s="1667"/>
      <c r="F81" s="1667"/>
      <c r="G81" s="1667"/>
      <c r="H81" s="1667"/>
      <c r="I81" s="1670"/>
      <c r="J81" s="1670"/>
      <c r="K81" s="1670"/>
      <c r="L81" s="1693"/>
      <c r="M81" s="1667"/>
      <c r="N81" s="1667"/>
      <c r="O81" s="1678"/>
      <c r="P81" s="1667"/>
      <c r="Q81" s="1678"/>
      <c r="R81" s="1696"/>
      <c r="S81" s="1696"/>
      <c r="T81" s="1810"/>
      <c r="U81" s="1667"/>
      <c r="V81" s="1643"/>
      <c r="W81" s="1667"/>
      <c r="X81" s="1667"/>
      <c r="Y81" s="1643"/>
      <c r="Z81" s="258">
        <v>2177.5700000000002</v>
      </c>
      <c r="AA81" s="1643"/>
      <c r="AB81" s="258">
        <v>2389.85</v>
      </c>
      <c r="AC81" s="1704"/>
      <c r="AD81" s="258">
        <v>1445.53</v>
      </c>
      <c r="AE81" s="1714"/>
      <c r="AF81" s="1711"/>
      <c r="AG81" s="1723"/>
      <c r="AH81" s="12"/>
      <c r="AI81" s="1723"/>
      <c r="AJ81" s="12"/>
      <c r="AK81" s="1643"/>
      <c r="AL81" s="1643"/>
      <c r="AM81" s="1643"/>
      <c r="AN81" s="1643"/>
      <c r="AO81" s="1643"/>
      <c r="AP81" s="1643"/>
      <c r="AQ81" s="1643"/>
      <c r="AR81" s="258">
        <v>236.43</v>
      </c>
      <c r="AS81" s="1667"/>
      <c r="AT81" s="1643"/>
      <c r="AU81" s="258">
        <v>23.45</v>
      </c>
      <c r="AV81" s="12"/>
      <c r="AW81" s="238"/>
      <c r="AX81" s="240"/>
      <c r="AY81" s="238"/>
      <c r="AZ81" s="12"/>
      <c r="BA81" s="238"/>
      <c r="BB81" s="240"/>
      <c r="BC81" s="238"/>
      <c r="BD81" s="12"/>
      <c r="BE81" s="238"/>
      <c r="BF81" s="240"/>
      <c r="BG81" s="238"/>
      <c r="BH81" s="12"/>
      <c r="BI81" s="238"/>
      <c r="BJ81" s="240"/>
      <c r="BK81" s="233"/>
    </row>
    <row r="82" spans="1:63" s="8" customFormat="1" ht="71.25" customHeight="1">
      <c r="A82" s="1733" t="s">
        <v>353</v>
      </c>
      <c r="B82" s="1656"/>
      <c r="C82" s="1717">
        <v>391834508</v>
      </c>
      <c r="D82" s="1665" t="s">
        <v>4543</v>
      </c>
      <c r="E82" s="1665" t="s">
        <v>378</v>
      </c>
      <c r="F82" s="1665" t="s">
        <v>377</v>
      </c>
      <c r="G82" s="1665" t="s">
        <v>3664</v>
      </c>
      <c r="H82" s="1665" t="s">
        <v>3601</v>
      </c>
      <c r="I82" s="1668" t="s">
        <v>2473</v>
      </c>
      <c r="J82" s="1674">
        <v>43040</v>
      </c>
      <c r="K82" s="1674">
        <v>43466</v>
      </c>
      <c r="L82" s="1708">
        <v>17</v>
      </c>
      <c r="M82" s="1638" t="s">
        <v>48</v>
      </c>
      <c r="N82" s="1638" t="s">
        <v>49</v>
      </c>
      <c r="O82" s="1656"/>
      <c r="P82" s="1647" t="s">
        <v>375</v>
      </c>
      <c r="Q82" s="1694" t="s">
        <v>73</v>
      </c>
      <c r="R82" s="1694" t="s">
        <v>4244</v>
      </c>
      <c r="S82" s="1694" t="s">
        <v>4244</v>
      </c>
      <c r="T82" s="1665" t="s">
        <v>317</v>
      </c>
      <c r="U82" s="1665" t="s">
        <v>2503</v>
      </c>
      <c r="V82" s="1665" t="s">
        <v>252</v>
      </c>
      <c r="W82" s="1665" t="s">
        <v>307</v>
      </c>
      <c r="X82" s="1665" t="s">
        <v>113</v>
      </c>
      <c r="Y82" s="1697" t="s">
        <v>403</v>
      </c>
      <c r="Z82" s="3">
        <v>432.11</v>
      </c>
      <c r="AA82" s="1644"/>
      <c r="AB82" s="2"/>
      <c r="AC82" s="1644"/>
      <c r="AD82" s="2"/>
      <c r="AE82" s="1647"/>
      <c r="AF82" s="1650"/>
      <c r="AG82" s="1644"/>
      <c r="AH82" s="2"/>
      <c r="AI82" s="1644"/>
      <c r="AJ82" s="2"/>
      <c r="AK82" s="1632" t="s">
        <v>113</v>
      </c>
      <c r="AL82" s="1632" t="s">
        <v>72</v>
      </c>
      <c r="AM82" s="1632" t="s">
        <v>72</v>
      </c>
      <c r="AN82" s="1632" t="s">
        <v>113</v>
      </c>
      <c r="AO82" s="1632" t="s">
        <v>72</v>
      </c>
      <c r="AP82" s="1632" t="s">
        <v>72</v>
      </c>
      <c r="AQ82" s="1712" t="s">
        <v>130</v>
      </c>
      <c r="AR82" s="16"/>
      <c r="AS82" s="1632" t="s">
        <v>72</v>
      </c>
      <c r="AT82" s="1712" t="s">
        <v>182</v>
      </c>
      <c r="AU82" s="1"/>
      <c r="AV82" s="3" t="s">
        <v>56</v>
      </c>
      <c r="AW82" s="183" t="s">
        <v>1249</v>
      </c>
      <c r="AX82" s="4">
        <v>9.4E-2</v>
      </c>
      <c r="AY82" s="183" t="s">
        <v>58</v>
      </c>
      <c r="AZ82" s="5" t="s">
        <v>59</v>
      </c>
      <c r="BA82" s="184" t="s">
        <v>60</v>
      </c>
      <c r="BB82" s="6" t="s">
        <v>61</v>
      </c>
      <c r="BC82" s="184" t="s">
        <v>58</v>
      </c>
      <c r="BD82" s="10"/>
      <c r="BE82" s="185"/>
      <c r="BF82" s="11"/>
      <c r="BG82" s="185"/>
      <c r="BH82" s="16"/>
      <c r="BI82" s="17"/>
      <c r="BJ82" s="18"/>
      <c r="BK82" s="17"/>
    </row>
    <row r="83" spans="1:63" s="8" customFormat="1" ht="71.25" customHeight="1">
      <c r="A83" s="1734"/>
      <c r="B83" s="1657"/>
      <c r="C83" s="1718"/>
      <c r="D83" s="1666"/>
      <c r="E83" s="1666"/>
      <c r="F83" s="1666"/>
      <c r="G83" s="1666"/>
      <c r="H83" s="1666"/>
      <c r="I83" s="1669"/>
      <c r="J83" s="1669"/>
      <c r="K83" s="1669"/>
      <c r="L83" s="1676"/>
      <c r="M83" s="1639"/>
      <c r="N83" s="1639"/>
      <c r="O83" s="1657"/>
      <c r="P83" s="1648"/>
      <c r="Q83" s="1695"/>
      <c r="R83" s="1695"/>
      <c r="S83" s="1695"/>
      <c r="T83" s="1666"/>
      <c r="U83" s="1666"/>
      <c r="V83" s="1666"/>
      <c r="W83" s="1666"/>
      <c r="X83" s="1666"/>
      <c r="Y83" s="1657"/>
      <c r="Z83" s="5">
        <v>946.32</v>
      </c>
      <c r="AA83" s="1645"/>
      <c r="AB83" s="10"/>
      <c r="AC83" s="1645"/>
      <c r="AD83" s="10"/>
      <c r="AE83" s="1648"/>
      <c r="AF83" s="1651"/>
      <c r="AG83" s="1645"/>
      <c r="AH83" s="10"/>
      <c r="AI83" s="1645"/>
      <c r="AJ83" s="10"/>
      <c r="AK83" s="1633"/>
      <c r="AL83" s="1633"/>
      <c r="AM83" s="1633"/>
      <c r="AN83" s="1633"/>
      <c r="AO83" s="1633"/>
      <c r="AP83" s="1633"/>
      <c r="AQ83" s="1713"/>
      <c r="AR83" s="20"/>
      <c r="AS83" s="1633"/>
      <c r="AT83" s="1713"/>
      <c r="AU83" s="9"/>
      <c r="AV83" s="5" t="s">
        <v>65</v>
      </c>
      <c r="AW83" s="184" t="s">
        <v>1249</v>
      </c>
      <c r="AX83" s="6">
        <v>0.02</v>
      </c>
      <c r="AY83" s="184" t="s">
        <v>58</v>
      </c>
      <c r="AZ83" s="19" t="s">
        <v>66</v>
      </c>
      <c r="BA83" s="184" t="s">
        <v>60</v>
      </c>
      <c r="BB83" s="6" t="s">
        <v>61</v>
      </c>
      <c r="BC83" s="184" t="s">
        <v>58</v>
      </c>
      <c r="BD83" s="9"/>
      <c r="BE83" s="196"/>
      <c r="BF83" s="199"/>
      <c r="BG83" s="196"/>
      <c r="BH83" s="20"/>
      <c r="BI83" s="21"/>
      <c r="BJ83" s="22"/>
      <c r="BK83" s="21"/>
    </row>
    <row r="84" spans="1:63" s="8" customFormat="1" ht="71.25" customHeight="1">
      <c r="A84" s="1734"/>
      <c r="B84" s="1657"/>
      <c r="C84" s="1718"/>
      <c r="D84" s="1666"/>
      <c r="E84" s="1666"/>
      <c r="F84" s="1666"/>
      <c r="G84" s="1666"/>
      <c r="H84" s="1666"/>
      <c r="I84" s="1669"/>
      <c r="J84" s="1669"/>
      <c r="K84" s="1669"/>
      <c r="L84" s="1676"/>
      <c r="M84" s="1639"/>
      <c r="N84" s="1639"/>
      <c r="O84" s="1657"/>
      <c r="P84" s="1648"/>
      <c r="Q84" s="1695"/>
      <c r="R84" s="1695"/>
      <c r="S84" s="1695"/>
      <c r="T84" s="1666"/>
      <c r="U84" s="1666"/>
      <c r="V84" s="1666"/>
      <c r="W84" s="1666"/>
      <c r="X84" s="1666"/>
      <c r="Y84" s="1657"/>
      <c r="Z84" s="5">
        <v>821</v>
      </c>
      <c r="AA84" s="1645"/>
      <c r="AB84" s="10"/>
      <c r="AC84" s="1645"/>
      <c r="AD84" s="10"/>
      <c r="AE84" s="1648"/>
      <c r="AF84" s="1651"/>
      <c r="AG84" s="1645"/>
      <c r="AH84" s="10"/>
      <c r="AI84" s="1645"/>
      <c r="AJ84" s="10"/>
      <c r="AK84" s="1633"/>
      <c r="AL84" s="1633"/>
      <c r="AM84" s="1633"/>
      <c r="AN84" s="1633"/>
      <c r="AO84" s="1633"/>
      <c r="AP84" s="1633"/>
      <c r="AQ84" s="1713"/>
      <c r="AR84" s="20"/>
      <c r="AS84" s="1633"/>
      <c r="AT84" s="1713"/>
      <c r="AU84" s="9"/>
      <c r="AV84" s="10"/>
      <c r="AW84" s="185"/>
      <c r="AX84" s="11"/>
      <c r="AY84" s="185"/>
      <c r="AZ84" s="10"/>
      <c r="BA84" s="185"/>
      <c r="BB84" s="11"/>
      <c r="BC84" s="185"/>
      <c r="BD84" s="10"/>
      <c r="BE84" s="185"/>
      <c r="BF84" s="11"/>
      <c r="BG84" s="185"/>
      <c r="BH84" s="10"/>
      <c r="BI84" s="185"/>
      <c r="BJ84" s="11"/>
      <c r="BK84" s="185"/>
    </row>
    <row r="85" spans="1:63" s="8" customFormat="1" ht="71.25" customHeight="1" thickBot="1">
      <c r="A85" s="1735"/>
      <c r="B85" s="1678"/>
      <c r="C85" s="1719"/>
      <c r="D85" s="1667"/>
      <c r="E85" s="1667"/>
      <c r="F85" s="1667"/>
      <c r="G85" s="1667"/>
      <c r="H85" s="1667"/>
      <c r="I85" s="1670"/>
      <c r="J85" s="1670"/>
      <c r="K85" s="1670"/>
      <c r="L85" s="1677"/>
      <c r="M85" s="1640"/>
      <c r="N85" s="1640"/>
      <c r="O85" s="1678"/>
      <c r="P85" s="1649"/>
      <c r="Q85" s="1696"/>
      <c r="R85" s="1696"/>
      <c r="S85" s="1696"/>
      <c r="T85" s="1667"/>
      <c r="U85" s="1667"/>
      <c r="V85" s="1667"/>
      <c r="W85" s="1667"/>
      <c r="X85" s="1667"/>
      <c r="Y85" s="1678"/>
      <c r="Z85" s="14">
        <v>1313.61</v>
      </c>
      <c r="AA85" s="1646"/>
      <c r="AB85" s="13"/>
      <c r="AC85" s="1646"/>
      <c r="AD85" s="13"/>
      <c r="AE85" s="1649"/>
      <c r="AF85" s="1652"/>
      <c r="AG85" s="1646"/>
      <c r="AH85" s="13"/>
      <c r="AI85" s="1646"/>
      <c r="AJ85" s="13"/>
      <c r="AK85" s="1634"/>
      <c r="AL85" s="1634"/>
      <c r="AM85" s="1634"/>
      <c r="AN85" s="1634"/>
      <c r="AO85" s="1634"/>
      <c r="AP85" s="1634"/>
      <c r="AQ85" s="1714"/>
      <c r="AR85" s="212"/>
      <c r="AS85" s="1634"/>
      <c r="AT85" s="1714"/>
      <c r="AU85" s="12"/>
      <c r="AV85" s="13"/>
      <c r="AW85" s="186"/>
      <c r="AX85" s="15"/>
      <c r="AY85" s="186"/>
      <c r="AZ85" s="13"/>
      <c r="BA85" s="186"/>
      <c r="BB85" s="15"/>
      <c r="BC85" s="186"/>
      <c r="BD85" s="13"/>
      <c r="BE85" s="186"/>
      <c r="BF85" s="15"/>
      <c r="BG85" s="186"/>
      <c r="BH85" s="13"/>
      <c r="BI85" s="186"/>
      <c r="BJ85" s="15"/>
      <c r="BK85" s="186"/>
    </row>
    <row r="86" spans="1:63" s="8" customFormat="1" ht="71.25" customHeight="1">
      <c r="A86" s="1682" t="s">
        <v>356</v>
      </c>
      <c r="B86" s="1706"/>
      <c r="C86" s="1685">
        <v>461537286</v>
      </c>
      <c r="D86" s="1662" t="s">
        <v>365</v>
      </c>
      <c r="E86" s="1638" t="s">
        <v>366</v>
      </c>
      <c r="F86" s="1638" t="s">
        <v>1318</v>
      </c>
      <c r="G86" s="1665" t="s">
        <v>3665</v>
      </c>
      <c r="H86" s="1665" t="s">
        <v>3602</v>
      </c>
      <c r="I86" s="1668" t="s">
        <v>2473</v>
      </c>
      <c r="J86" s="1674">
        <v>43101</v>
      </c>
      <c r="K86" s="1674">
        <v>43466</v>
      </c>
      <c r="L86" s="1708">
        <v>64</v>
      </c>
      <c r="M86" s="1638" t="s">
        <v>48</v>
      </c>
      <c r="N86" s="1638" t="s">
        <v>354</v>
      </c>
      <c r="O86" s="1706"/>
      <c r="P86" s="1694" t="s">
        <v>50</v>
      </c>
      <c r="Q86" s="1694" t="s">
        <v>73</v>
      </c>
      <c r="R86" s="1694" t="s">
        <v>4244</v>
      </c>
      <c r="S86" s="1694" t="s">
        <v>4244</v>
      </c>
      <c r="T86" s="1638" t="s">
        <v>317</v>
      </c>
      <c r="U86" s="1638" t="s">
        <v>2502</v>
      </c>
      <c r="V86" s="1665" t="s">
        <v>252</v>
      </c>
      <c r="W86" s="1665" t="s">
        <v>307</v>
      </c>
      <c r="X86" s="1665" t="s">
        <v>113</v>
      </c>
      <c r="Y86" s="1706" t="s">
        <v>86</v>
      </c>
      <c r="Z86" s="23">
        <v>516.33000000000004</v>
      </c>
      <c r="AA86" s="1665" t="s">
        <v>412</v>
      </c>
      <c r="AB86" s="23">
        <v>461.05</v>
      </c>
      <c r="AC86" s="1706" t="s">
        <v>87</v>
      </c>
      <c r="AD86" s="23">
        <v>629.44000000000005</v>
      </c>
      <c r="AE86" s="1697" t="s">
        <v>403</v>
      </c>
      <c r="AF86" s="81">
        <v>373.56</v>
      </c>
      <c r="AG86" s="1644"/>
      <c r="AH86" s="2"/>
      <c r="AI86" s="1644"/>
      <c r="AJ86" s="2"/>
      <c r="AK86" s="1662" t="s">
        <v>85</v>
      </c>
      <c r="AL86" s="1662" t="s">
        <v>245</v>
      </c>
      <c r="AM86" s="1662" t="s">
        <v>246</v>
      </c>
      <c r="AN86" s="1638" t="s">
        <v>250</v>
      </c>
      <c r="AO86" s="1638" t="s">
        <v>2494</v>
      </c>
      <c r="AP86" s="1638" t="s">
        <v>2482</v>
      </c>
      <c r="AQ86" s="1665" t="s">
        <v>388</v>
      </c>
      <c r="AR86" s="81">
        <v>51.09</v>
      </c>
      <c r="AS86" s="1638" t="s">
        <v>2482</v>
      </c>
      <c r="AT86" s="1665" t="s">
        <v>2488</v>
      </c>
      <c r="AU86" s="81">
        <v>8.7100000000000009</v>
      </c>
      <c r="AV86" s="23" t="s">
        <v>56</v>
      </c>
      <c r="AW86" s="302" t="s">
        <v>57</v>
      </c>
      <c r="AX86" s="181">
        <v>9.0999999999999998E-2</v>
      </c>
      <c r="AY86" s="221" t="s">
        <v>58</v>
      </c>
      <c r="AZ86" s="25" t="s">
        <v>59</v>
      </c>
      <c r="BA86" s="222" t="s">
        <v>60</v>
      </c>
      <c r="BB86" s="182" t="s">
        <v>61</v>
      </c>
      <c r="BC86" s="222" t="s">
        <v>58</v>
      </c>
      <c r="BD86" s="23" t="s">
        <v>62</v>
      </c>
      <c r="BE86" s="221" t="s">
        <v>101</v>
      </c>
      <c r="BF86" s="181">
        <v>9.7000000000000003E-2</v>
      </c>
      <c r="BG86" s="221" t="s">
        <v>64</v>
      </c>
      <c r="BH86" s="2"/>
      <c r="BI86" s="189"/>
      <c r="BJ86" s="7"/>
      <c r="BK86" s="189"/>
    </row>
    <row r="87" spans="1:63" s="8" customFormat="1" ht="71.25" customHeight="1">
      <c r="A87" s="1683"/>
      <c r="B87" s="1666"/>
      <c r="C87" s="1786"/>
      <c r="D87" s="1700"/>
      <c r="E87" s="1639"/>
      <c r="F87" s="1639"/>
      <c r="G87" s="1666"/>
      <c r="H87" s="1666"/>
      <c r="I87" s="1669"/>
      <c r="J87" s="1669"/>
      <c r="K87" s="1669"/>
      <c r="L87" s="1676"/>
      <c r="M87" s="1639"/>
      <c r="N87" s="1639"/>
      <c r="O87" s="1666"/>
      <c r="P87" s="1695"/>
      <c r="Q87" s="1695"/>
      <c r="R87" s="1695"/>
      <c r="S87" s="1695"/>
      <c r="T87" s="1639"/>
      <c r="U87" s="1639"/>
      <c r="V87" s="1666"/>
      <c r="W87" s="1666"/>
      <c r="X87" s="1666"/>
      <c r="Y87" s="1666"/>
      <c r="Z87" s="25">
        <v>1130.76</v>
      </c>
      <c r="AA87" s="1666"/>
      <c r="AB87" s="25">
        <v>1009.7</v>
      </c>
      <c r="AC87" s="1666"/>
      <c r="AD87" s="25">
        <v>1378.48</v>
      </c>
      <c r="AE87" s="1657"/>
      <c r="AF87" s="27">
        <v>818.1</v>
      </c>
      <c r="AG87" s="1645"/>
      <c r="AH87" s="10"/>
      <c r="AI87" s="1645"/>
      <c r="AJ87" s="10"/>
      <c r="AK87" s="1700"/>
      <c r="AL87" s="1700"/>
      <c r="AM87" s="1700"/>
      <c r="AN87" s="1639" t="s">
        <v>248</v>
      </c>
      <c r="AO87" s="1639"/>
      <c r="AP87" s="1639"/>
      <c r="AQ87" s="1666"/>
      <c r="AR87" s="27">
        <v>104.21</v>
      </c>
      <c r="AS87" s="1639"/>
      <c r="AT87" s="1666"/>
      <c r="AU87" s="27">
        <v>17.45</v>
      </c>
      <c r="AV87" s="25" t="s">
        <v>65</v>
      </c>
      <c r="AW87" s="301" t="s">
        <v>57</v>
      </c>
      <c r="AX87" s="182">
        <v>0.02</v>
      </c>
      <c r="AY87" s="222" t="s">
        <v>58</v>
      </c>
      <c r="AZ87" s="25" t="s">
        <v>66</v>
      </c>
      <c r="BA87" s="222" t="s">
        <v>60</v>
      </c>
      <c r="BB87" s="182" t="s">
        <v>61</v>
      </c>
      <c r="BC87" s="222" t="s">
        <v>58</v>
      </c>
      <c r="BD87" s="25" t="s">
        <v>67</v>
      </c>
      <c r="BE87" s="222" t="s">
        <v>413</v>
      </c>
      <c r="BF87" s="182">
        <v>0.33</v>
      </c>
      <c r="BG87" s="222" t="s">
        <v>69</v>
      </c>
      <c r="BH87" s="10"/>
      <c r="BI87" s="190"/>
      <c r="BJ87" s="11"/>
      <c r="BK87" s="190"/>
    </row>
    <row r="88" spans="1:63" s="8" customFormat="1" ht="71.25" customHeight="1">
      <c r="A88" s="1683"/>
      <c r="B88" s="1666"/>
      <c r="C88" s="1786"/>
      <c r="D88" s="1700"/>
      <c r="E88" s="1639"/>
      <c r="F88" s="1639"/>
      <c r="G88" s="1666"/>
      <c r="H88" s="1666"/>
      <c r="I88" s="1669"/>
      <c r="J88" s="1669"/>
      <c r="K88" s="1669"/>
      <c r="L88" s="1676"/>
      <c r="M88" s="1639"/>
      <c r="N88" s="1639"/>
      <c r="O88" s="1666"/>
      <c r="P88" s="1695"/>
      <c r="Q88" s="1695"/>
      <c r="R88" s="1695"/>
      <c r="S88" s="1695"/>
      <c r="T88" s="1639"/>
      <c r="U88" s="1639"/>
      <c r="V88" s="1666"/>
      <c r="W88" s="1666"/>
      <c r="X88" s="1666"/>
      <c r="Y88" s="1666"/>
      <c r="Z88" s="25">
        <v>981.02</v>
      </c>
      <c r="AA88" s="1666"/>
      <c r="AB88" s="25">
        <v>875.99</v>
      </c>
      <c r="AC88" s="1666"/>
      <c r="AD88" s="25">
        <v>1195.94</v>
      </c>
      <c r="AE88" s="1657"/>
      <c r="AF88" s="27">
        <v>709.76</v>
      </c>
      <c r="AG88" s="1645"/>
      <c r="AH88" s="10"/>
      <c r="AI88" s="1645"/>
      <c r="AJ88" s="10"/>
      <c r="AK88" s="1700"/>
      <c r="AL88" s="1700"/>
      <c r="AM88" s="1700"/>
      <c r="AN88" s="1639" t="s">
        <v>248</v>
      </c>
      <c r="AO88" s="1639"/>
      <c r="AP88" s="1639"/>
      <c r="AQ88" s="1666"/>
      <c r="AR88" s="27">
        <v>124.25</v>
      </c>
      <c r="AS88" s="1639"/>
      <c r="AT88" s="1666"/>
      <c r="AU88" s="27">
        <v>14.78</v>
      </c>
      <c r="AV88" s="10"/>
      <c r="AW88" s="190"/>
      <c r="AX88" s="11"/>
      <c r="AY88" s="190"/>
      <c r="AZ88" s="10"/>
      <c r="BA88" s="190"/>
      <c r="BB88" s="11"/>
      <c r="BC88" s="190"/>
      <c r="BD88" s="10"/>
      <c r="BE88" s="190"/>
      <c r="BF88" s="11"/>
      <c r="BG88" s="190"/>
      <c r="BH88" s="10"/>
      <c r="BI88" s="190"/>
      <c r="BJ88" s="11"/>
      <c r="BK88" s="190"/>
    </row>
    <row r="89" spans="1:63" s="8" customFormat="1" ht="71.25" customHeight="1" thickBot="1">
      <c r="A89" s="1684"/>
      <c r="B89" s="1667"/>
      <c r="C89" s="1787"/>
      <c r="D89" s="1701"/>
      <c r="E89" s="1640"/>
      <c r="F89" s="1640"/>
      <c r="G89" s="1667"/>
      <c r="H89" s="1667"/>
      <c r="I89" s="1670"/>
      <c r="J89" s="1670"/>
      <c r="K89" s="1670"/>
      <c r="L89" s="1677"/>
      <c r="M89" s="1640"/>
      <c r="N89" s="1640"/>
      <c r="O89" s="1667"/>
      <c r="P89" s="1696"/>
      <c r="Q89" s="1696"/>
      <c r="R89" s="1696"/>
      <c r="S89" s="1696"/>
      <c r="T89" s="1640"/>
      <c r="U89" s="1640"/>
      <c r="V89" s="1667"/>
      <c r="W89" s="1667"/>
      <c r="X89" s="1667"/>
      <c r="Y89" s="1667"/>
      <c r="Z89" s="180">
        <v>1569.64</v>
      </c>
      <c r="AA89" s="1667"/>
      <c r="AB89" s="180">
        <v>1401.59</v>
      </c>
      <c r="AC89" s="1667"/>
      <c r="AD89" s="180">
        <v>1913.5</v>
      </c>
      <c r="AE89" s="1678"/>
      <c r="AF89" s="82">
        <v>1135.6099999999999</v>
      </c>
      <c r="AG89" s="1646"/>
      <c r="AH89" s="13"/>
      <c r="AI89" s="1646"/>
      <c r="AJ89" s="13"/>
      <c r="AK89" s="1701"/>
      <c r="AL89" s="1701"/>
      <c r="AM89" s="1701"/>
      <c r="AN89" s="1640" t="s">
        <v>248</v>
      </c>
      <c r="AO89" s="1640"/>
      <c r="AP89" s="1640"/>
      <c r="AQ89" s="1667"/>
      <c r="AR89" s="82">
        <v>190.68</v>
      </c>
      <c r="AS89" s="1640"/>
      <c r="AT89" s="1667"/>
      <c r="AU89" s="82">
        <v>24.36</v>
      </c>
      <c r="AV89" s="13"/>
      <c r="AW89" s="191"/>
      <c r="AX89" s="15"/>
      <c r="AY89" s="191"/>
      <c r="AZ89" s="13"/>
      <c r="BA89" s="191"/>
      <c r="BB89" s="15"/>
      <c r="BC89" s="191"/>
      <c r="BD89" s="13"/>
      <c r="BE89" s="208"/>
      <c r="BF89" s="15"/>
      <c r="BG89" s="191"/>
      <c r="BH89" s="13"/>
      <c r="BI89" s="191"/>
      <c r="BJ89" s="15"/>
      <c r="BK89" s="191"/>
    </row>
    <row r="90" spans="1:63" s="8" customFormat="1" ht="71.25" customHeight="1">
      <c r="A90" s="1791" t="s">
        <v>118</v>
      </c>
      <c r="B90" s="1656"/>
      <c r="C90" s="1717">
        <v>473226523</v>
      </c>
      <c r="D90" s="1706" t="s">
        <v>119</v>
      </c>
      <c r="E90" s="1706" t="s">
        <v>120</v>
      </c>
      <c r="F90" s="1665" t="s">
        <v>236</v>
      </c>
      <c r="G90" s="1665" t="s">
        <v>3665</v>
      </c>
      <c r="H90" s="1665" t="s">
        <v>3668</v>
      </c>
      <c r="I90" s="1668" t="s">
        <v>2474</v>
      </c>
      <c r="J90" s="1674">
        <v>42370</v>
      </c>
      <c r="K90" s="1674">
        <v>43466</v>
      </c>
      <c r="L90" s="1708">
        <v>32</v>
      </c>
      <c r="M90" s="1706" t="s">
        <v>48</v>
      </c>
      <c r="N90" s="1665" t="s">
        <v>354</v>
      </c>
      <c r="O90" s="1656"/>
      <c r="P90" s="1656" t="s">
        <v>50</v>
      </c>
      <c r="Q90" s="1656" t="s">
        <v>73</v>
      </c>
      <c r="R90" s="1694" t="s">
        <v>4244</v>
      </c>
      <c r="S90" s="1694" t="s">
        <v>4244</v>
      </c>
      <c r="T90" s="1665" t="s">
        <v>317</v>
      </c>
      <c r="U90" s="1665" t="s">
        <v>2477</v>
      </c>
      <c r="V90" s="1665" t="s">
        <v>252</v>
      </c>
      <c r="W90" s="1665" t="s">
        <v>315</v>
      </c>
      <c r="X90" s="1665" t="s">
        <v>113</v>
      </c>
      <c r="Y90" s="1656" t="s">
        <v>124</v>
      </c>
      <c r="Z90" s="3">
        <v>554.71</v>
      </c>
      <c r="AA90" s="1706" t="s">
        <v>87</v>
      </c>
      <c r="AB90" s="3">
        <v>715.9</v>
      </c>
      <c r="AC90" s="1697" t="s">
        <v>403</v>
      </c>
      <c r="AD90" s="3">
        <v>424.87</v>
      </c>
      <c r="AE90" s="1712" t="s">
        <v>121</v>
      </c>
      <c r="AF90" s="1709" t="s">
        <v>79</v>
      </c>
      <c r="AG90" s="1644"/>
      <c r="AH90" s="2"/>
      <c r="AI90" s="1644"/>
      <c r="AJ90" s="2"/>
      <c r="AK90" s="1662" t="s">
        <v>85</v>
      </c>
      <c r="AL90" s="1662" t="s">
        <v>245</v>
      </c>
      <c r="AM90" s="1662" t="s">
        <v>246</v>
      </c>
      <c r="AN90" s="1665" t="s">
        <v>381</v>
      </c>
      <c r="AO90" s="1665" t="s">
        <v>2480</v>
      </c>
      <c r="AP90" s="1665" t="s">
        <v>2481</v>
      </c>
      <c r="AQ90" s="1665" t="s">
        <v>387</v>
      </c>
      <c r="AR90" s="3">
        <v>57.44</v>
      </c>
      <c r="AS90" s="1665" t="s">
        <v>2483</v>
      </c>
      <c r="AT90" s="1665" t="s">
        <v>2484</v>
      </c>
      <c r="AU90" s="3">
        <v>8.85</v>
      </c>
      <c r="AV90" s="3" t="s">
        <v>56</v>
      </c>
      <c r="AW90" s="203" t="s">
        <v>1249</v>
      </c>
      <c r="AX90" s="4">
        <v>9.4E-2</v>
      </c>
      <c r="AY90" s="203" t="s">
        <v>58</v>
      </c>
      <c r="AZ90" s="5" t="s">
        <v>59</v>
      </c>
      <c r="BA90" s="202" t="s">
        <v>60</v>
      </c>
      <c r="BB90" s="6" t="s">
        <v>61</v>
      </c>
      <c r="BC90" s="202" t="s">
        <v>58</v>
      </c>
      <c r="BD90" s="3" t="s">
        <v>62</v>
      </c>
      <c r="BE90" s="203" t="s">
        <v>81</v>
      </c>
      <c r="BF90" s="4">
        <v>9.4E-2</v>
      </c>
      <c r="BG90" s="203" t="s">
        <v>64</v>
      </c>
      <c r="BH90" s="16"/>
      <c r="BI90" s="17"/>
      <c r="BJ90" s="18"/>
      <c r="BK90" s="17"/>
    </row>
    <row r="91" spans="1:63" s="8" customFormat="1" ht="71.25" customHeight="1">
      <c r="A91" s="1734"/>
      <c r="B91" s="1657"/>
      <c r="C91" s="1718"/>
      <c r="D91" s="1666"/>
      <c r="E91" s="1666"/>
      <c r="F91" s="1666"/>
      <c r="G91" s="1666"/>
      <c r="H91" s="1666"/>
      <c r="I91" s="1669"/>
      <c r="J91" s="1669"/>
      <c r="K91" s="1669"/>
      <c r="L91" s="1676"/>
      <c r="M91" s="1666"/>
      <c r="N91" s="1666"/>
      <c r="O91" s="1657"/>
      <c r="P91" s="1657"/>
      <c r="Q91" s="1657"/>
      <c r="R91" s="1695"/>
      <c r="S91" s="1695"/>
      <c r="T91" s="1666"/>
      <c r="U91" s="1666"/>
      <c r="V91" s="1666"/>
      <c r="W91" s="1666"/>
      <c r="X91" s="1666"/>
      <c r="Y91" s="1657"/>
      <c r="Z91" s="5">
        <v>1214.81</v>
      </c>
      <c r="AA91" s="1666"/>
      <c r="AB91" s="5">
        <v>1567.83</v>
      </c>
      <c r="AC91" s="1657"/>
      <c r="AD91" s="5">
        <v>930.47</v>
      </c>
      <c r="AE91" s="1713"/>
      <c r="AF91" s="1710"/>
      <c r="AG91" s="1645"/>
      <c r="AH91" s="10"/>
      <c r="AI91" s="1645"/>
      <c r="AJ91" s="10"/>
      <c r="AK91" s="1700"/>
      <c r="AL91" s="1700"/>
      <c r="AM91" s="1700"/>
      <c r="AN91" s="1666"/>
      <c r="AO91" s="1666"/>
      <c r="AP91" s="1666"/>
      <c r="AQ91" s="1666"/>
      <c r="AR91" s="5">
        <v>117.37</v>
      </c>
      <c r="AS91" s="1666"/>
      <c r="AT91" s="1666"/>
      <c r="AU91" s="5">
        <v>17.739999999999998</v>
      </c>
      <c r="AV91" s="5" t="s">
        <v>65</v>
      </c>
      <c r="AW91" s="202" t="s">
        <v>1249</v>
      </c>
      <c r="AX91" s="6">
        <v>0.02</v>
      </c>
      <c r="AY91" s="202" t="s">
        <v>58</v>
      </c>
      <c r="AZ91" s="19" t="s">
        <v>66</v>
      </c>
      <c r="BA91" s="202" t="s">
        <v>60</v>
      </c>
      <c r="BB91" s="6" t="s">
        <v>61</v>
      </c>
      <c r="BC91" s="202" t="s">
        <v>58</v>
      </c>
      <c r="BD91" s="5" t="s">
        <v>67</v>
      </c>
      <c r="BE91" s="202" t="s">
        <v>82</v>
      </c>
      <c r="BF91" s="6">
        <v>0.25</v>
      </c>
      <c r="BG91" s="202" t="s">
        <v>69</v>
      </c>
      <c r="BH91" s="20"/>
      <c r="BI91" s="21"/>
      <c r="BJ91" s="22"/>
      <c r="BK91" s="21"/>
    </row>
    <row r="92" spans="1:63" s="8" customFormat="1" ht="71.25" customHeight="1">
      <c r="A92" s="1734"/>
      <c r="B92" s="1657"/>
      <c r="C92" s="1718"/>
      <c r="D92" s="1666"/>
      <c r="E92" s="1666"/>
      <c r="F92" s="1666"/>
      <c r="G92" s="1666"/>
      <c r="H92" s="1666"/>
      <c r="I92" s="1669"/>
      <c r="J92" s="1669"/>
      <c r="K92" s="1669"/>
      <c r="L92" s="1676"/>
      <c r="M92" s="1666"/>
      <c r="N92" s="1666"/>
      <c r="O92" s="1657"/>
      <c r="P92" s="1657"/>
      <c r="Q92" s="1657"/>
      <c r="R92" s="1695"/>
      <c r="S92" s="1695"/>
      <c r="T92" s="1666"/>
      <c r="U92" s="1666"/>
      <c r="V92" s="1666"/>
      <c r="W92" s="1666"/>
      <c r="X92" s="1666"/>
      <c r="Y92" s="1657"/>
      <c r="Z92" s="5">
        <v>1053.94</v>
      </c>
      <c r="AA92" s="1666"/>
      <c r="AB92" s="5">
        <v>1360.22</v>
      </c>
      <c r="AC92" s="1657"/>
      <c r="AD92" s="5">
        <v>807.25</v>
      </c>
      <c r="AE92" s="1713"/>
      <c r="AF92" s="1710"/>
      <c r="AG92" s="1645"/>
      <c r="AH92" s="10"/>
      <c r="AI92" s="1645"/>
      <c r="AJ92" s="10"/>
      <c r="AK92" s="1700"/>
      <c r="AL92" s="1700"/>
      <c r="AM92" s="1700"/>
      <c r="AN92" s="1666"/>
      <c r="AO92" s="1666"/>
      <c r="AP92" s="1666"/>
      <c r="AQ92" s="1666"/>
      <c r="AR92" s="5">
        <v>121.72999999999999</v>
      </c>
      <c r="AS92" s="1666"/>
      <c r="AT92" s="1666"/>
      <c r="AU92" s="5">
        <v>15.01</v>
      </c>
      <c r="AV92" s="10"/>
      <c r="AW92" s="200"/>
      <c r="AX92" s="11"/>
      <c r="AY92" s="200"/>
      <c r="AZ92" s="10"/>
      <c r="BA92" s="200"/>
      <c r="BB92" s="11"/>
      <c r="BC92" s="200"/>
      <c r="BD92" s="10"/>
      <c r="BE92" s="200"/>
      <c r="BF92" s="11"/>
      <c r="BG92" s="200"/>
      <c r="BH92" s="10"/>
      <c r="BI92" s="200"/>
      <c r="BJ92" s="11"/>
      <c r="BK92" s="200"/>
    </row>
    <row r="93" spans="1:63" s="8" customFormat="1" ht="71.25" customHeight="1" thickBot="1">
      <c r="A93" s="1735"/>
      <c r="B93" s="1678"/>
      <c r="C93" s="1719"/>
      <c r="D93" s="1667"/>
      <c r="E93" s="1667"/>
      <c r="F93" s="1667"/>
      <c r="G93" s="1667"/>
      <c r="H93" s="1667"/>
      <c r="I93" s="1670"/>
      <c r="J93" s="1670"/>
      <c r="K93" s="1670"/>
      <c r="L93" s="1677"/>
      <c r="M93" s="1667"/>
      <c r="N93" s="1667"/>
      <c r="O93" s="1678"/>
      <c r="P93" s="1678"/>
      <c r="Q93" s="1678"/>
      <c r="R93" s="1696"/>
      <c r="S93" s="1696"/>
      <c r="T93" s="1667"/>
      <c r="U93" s="1667"/>
      <c r="V93" s="1667"/>
      <c r="W93" s="1667"/>
      <c r="X93" s="1667"/>
      <c r="Y93" s="1678"/>
      <c r="Z93" s="14">
        <v>1686.31</v>
      </c>
      <c r="AA93" s="1667"/>
      <c r="AB93" s="14">
        <v>2176.35</v>
      </c>
      <c r="AC93" s="1678"/>
      <c r="AD93" s="14">
        <v>1291.5999999999999</v>
      </c>
      <c r="AE93" s="1714"/>
      <c r="AF93" s="1711"/>
      <c r="AG93" s="1646"/>
      <c r="AH93" s="13"/>
      <c r="AI93" s="1646"/>
      <c r="AJ93" s="13"/>
      <c r="AK93" s="1701"/>
      <c r="AL93" s="1701"/>
      <c r="AM93" s="1701"/>
      <c r="AN93" s="1667"/>
      <c r="AO93" s="1667"/>
      <c r="AP93" s="1667"/>
      <c r="AQ93" s="1667"/>
      <c r="AR93" s="14">
        <v>194.09</v>
      </c>
      <c r="AS93" s="1667"/>
      <c r="AT93" s="1667"/>
      <c r="AU93" s="14">
        <v>24.76</v>
      </c>
      <c r="AV93" s="13"/>
      <c r="AW93" s="201"/>
      <c r="AX93" s="15"/>
      <c r="AY93" s="201"/>
      <c r="AZ93" s="13"/>
      <c r="BA93" s="201"/>
      <c r="BB93" s="15"/>
      <c r="BC93" s="201"/>
      <c r="BD93" s="13"/>
      <c r="BE93" s="201"/>
      <c r="BF93" s="15"/>
      <c r="BG93" s="201"/>
      <c r="BH93" s="13"/>
      <c r="BI93" s="201"/>
      <c r="BJ93" s="15"/>
      <c r="BK93" s="201"/>
    </row>
    <row r="94" spans="1:63" s="8" customFormat="1" ht="71.25" customHeight="1">
      <c r="A94" s="1682" t="s">
        <v>367</v>
      </c>
      <c r="B94" s="1706"/>
      <c r="C94" s="1685">
        <v>263744114</v>
      </c>
      <c r="D94" s="1638" t="s">
        <v>1296</v>
      </c>
      <c r="E94" s="1638" t="s">
        <v>4261</v>
      </c>
      <c r="F94" s="1638" t="s">
        <v>1297</v>
      </c>
      <c r="G94" s="1665" t="s">
        <v>3665</v>
      </c>
      <c r="H94" s="1665" t="s">
        <v>4235</v>
      </c>
      <c r="I94" s="1668" t="s">
        <v>2473</v>
      </c>
      <c r="J94" s="1674">
        <v>43101</v>
      </c>
      <c r="K94" s="1674">
        <v>43466</v>
      </c>
      <c r="L94" s="1708">
        <v>24</v>
      </c>
      <c r="M94" s="1638" t="s">
        <v>48</v>
      </c>
      <c r="N94" s="1638" t="s">
        <v>354</v>
      </c>
      <c r="O94" s="1706"/>
      <c r="P94" s="1694" t="s">
        <v>50</v>
      </c>
      <c r="Q94" s="1679" t="s">
        <v>72</v>
      </c>
      <c r="R94" s="1694" t="s">
        <v>4244</v>
      </c>
      <c r="S94" s="1694" t="s">
        <v>4244</v>
      </c>
      <c r="T94" s="1638" t="s">
        <v>317</v>
      </c>
      <c r="U94" s="1638" t="s">
        <v>2504</v>
      </c>
      <c r="V94" s="1665" t="s">
        <v>252</v>
      </c>
      <c r="W94" s="1665" t="s">
        <v>307</v>
      </c>
      <c r="X94" s="1665" t="s">
        <v>113</v>
      </c>
      <c r="Y94" s="1656" t="s">
        <v>124</v>
      </c>
      <c r="Z94" s="23">
        <v>671.49</v>
      </c>
      <c r="AA94" s="1707" t="s">
        <v>93</v>
      </c>
      <c r="AB94" s="23">
        <v>791.12</v>
      </c>
      <c r="AC94" s="1644"/>
      <c r="AD94" s="16"/>
      <c r="AE94" s="1644"/>
      <c r="AF94" s="2"/>
      <c r="AG94" s="1644"/>
      <c r="AH94" s="2"/>
      <c r="AI94" s="1644"/>
      <c r="AJ94" s="2"/>
      <c r="AK94" s="1662" t="s">
        <v>85</v>
      </c>
      <c r="AL94" s="1662" t="s">
        <v>245</v>
      </c>
      <c r="AM94" s="1662" t="s">
        <v>246</v>
      </c>
      <c r="AN94" s="1638" t="s">
        <v>420</v>
      </c>
      <c r="AO94" s="1638" t="s">
        <v>2494</v>
      </c>
      <c r="AP94" s="1638" t="s">
        <v>2497</v>
      </c>
      <c r="AQ94" s="1665" t="s">
        <v>421</v>
      </c>
      <c r="AR94" s="81">
        <v>56.72</v>
      </c>
      <c r="AS94" s="1632" t="s">
        <v>72</v>
      </c>
      <c r="AT94" s="1747" t="s">
        <v>72</v>
      </c>
      <c r="AU94" s="2"/>
      <c r="AV94" s="23" t="s">
        <v>56</v>
      </c>
      <c r="AW94" s="400" t="s">
        <v>1249</v>
      </c>
      <c r="AX94" s="181">
        <v>9.4E-2</v>
      </c>
      <c r="AY94" s="400" t="s">
        <v>58</v>
      </c>
      <c r="AZ94" s="25" t="s">
        <v>59</v>
      </c>
      <c r="BA94" s="644" t="s">
        <v>60</v>
      </c>
      <c r="BB94" s="182" t="s">
        <v>61</v>
      </c>
      <c r="BC94" s="644" t="s">
        <v>58</v>
      </c>
      <c r="BD94" s="23" t="s">
        <v>62</v>
      </c>
      <c r="BE94" s="400" t="s">
        <v>256</v>
      </c>
      <c r="BF94" s="181">
        <v>0.12</v>
      </c>
      <c r="BG94" s="400" t="s">
        <v>64</v>
      </c>
      <c r="BH94" s="23" t="s">
        <v>94</v>
      </c>
      <c r="BI94" s="182" t="s">
        <v>95</v>
      </c>
      <c r="BJ94" s="182" t="s">
        <v>61</v>
      </c>
      <c r="BK94" s="313" t="s">
        <v>96</v>
      </c>
    </row>
    <row r="95" spans="1:63" s="8" customFormat="1" ht="71.25" customHeight="1">
      <c r="A95" s="1683"/>
      <c r="B95" s="1666"/>
      <c r="C95" s="1786"/>
      <c r="D95" s="1639"/>
      <c r="E95" s="1639"/>
      <c r="F95" s="1639"/>
      <c r="G95" s="1666"/>
      <c r="H95" s="1666"/>
      <c r="I95" s="1669"/>
      <c r="J95" s="1669"/>
      <c r="K95" s="1669"/>
      <c r="L95" s="1676"/>
      <c r="M95" s="1639"/>
      <c r="N95" s="1639"/>
      <c r="O95" s="1666"/>
      <c r="P95" s="1695"/>
      <c r="Q95" s="1680"/>
      <c r="R95" s="1695"/>
      <c r="S95" s="1695"/>
      <c r="T95" s="1639"/>
      <c r="U95" s="1639"/>
      <c r="V95" s="1666"/>
      <c r="W95" s="1666"/>
      <c r="X95" s="1666"/>
      <c r="Y95" s="1657"/>
      <c r="Z95" s="25">
        <v>1470.56</v>
      </c>
      <c r="AA95" s="1700"/>
      <c r="AB95" s="25">
        <v>1732.56</v>
      </c>
      <c r="AC95" s="1645"/>
      <c r="AD95" s="20"/>
      <c r="AE95" s="1645"/>
      <c r="AF95" s="10"/>
      <c r="AG95" s="1645"/>
      <c r="AH95" s="10"/>
      <c r="AI95" s="1645"/>
      <c r="AJ95" s="10"/>
      <c r="AK95" s="1700"/>
      <c r="AL95" s="1700"/>
      <c r="AM95" s="1700"/>
      <c r="AN95" s="1639" t="s">
        <v>248</v>
      </c>
      <c r="AO95" s="1639"/>
      <c r="AP95" s="1639"/>
      <c r="AQ95" s="1666"/>
      <c r="AR95" s="27">
        <v>115.92</v>
      </c>
      <c r="AS95" s="1633"/>
      <c r="AT95" s="1645"/>
      <c r="AU95" s="10"/>
      <c r="AV95" s="25" t="s">
        <v>65</v>
      </c>
      <c r="AW95" s="403" t="s">
        <v>1249</v>
      </c>
      <c r="AX95" s="182">
        <v>0.02</v>
      </c>
      <c r="AY95" s="403" t="s">
        <v>58</v>
      </c>
      <c r="AZ95" s="25" t="s">
        <v>66</v>
      </c>
      <c r="BA95" s="644" t="s">
        <v>60</v>
      </c>
      <c r="BB95" s="182" t="s">
        <v>61</v>
      </c>
      <c r="BC95" s="644" t="s">
        <v>58</v>
      </c>
      <c r="BD95" s="25" t="s">
        <v>67</v>
      </c>
      <c r="BE95" s="403" t="s">
        <v>68</v>
      </c>
      <c r="BF95" s="182">
        <v>0.35</v>
      </c>
      <c r="BG95" s="403" t="s">
        <v>69</v>
      </c>
      <c r="BH95" s="25" t="s">
        <v>97</v>
      </c>
      <c r="BI95" s="182" t="s">
        <v>95</v>
      </c>
      <c r="BJ95" s="182" t="s">
        <v>61</v>
      </c>
      <c r="BK95" s="314" t="s">
        <v>96</v>
      </c>
    </row>
    <row r="96" spans="1:63" s="8" customFormat="1" ht="71.25" customHeight="1">
      <c r="A96" s="1683"/>
      <c r="B96" s="1666"/>
      <c r="C96" s="1786"/>
      <c r="D96" s="1639"/>
      <c r="E96" s="1639"/>
      <c r="F96" s="1639"/>
      <c r="G96" s="1666"/>
      <c r="H96" s="1666"/>
      <c r="I96" s="1669"/>
      <c r="J96" s="1669"/>
      <c r="K96" s="1669"/>
      <c r="L96" s="1676"/>
      <c r="M96" s="1639"/>
      <c r="N96" s="1639"/>
      <c r="O96" s="1666"/>
      <c r="P96" s="1695"/>
      <c r="Q96" s="1680"/>
      <c r="R96" s="1695"/>
      <c r="S96" s="1695"/>
      <c r="T96" s="1639"/>
      <c r="U96" s="1639"/>
      <c r="V96" s="1666"/>
      <c r="W96" s="1666"/>
      <c r="X96" s="1666"/>
      <c r="Y96" s="1657"/>
      <c r="Z96" s="25">
        <v>1275.82</v>
      </c>
      <c r="AA96" s="1700"/>
      <c r="AB96" s="25">
        <v>1503.14</v>
      </c>
      <c r="AC96" s="1645"/>
      <c r="AD96" s="20"/>
      <c r="AE96" s="1645"/>
      <c r="AF96" s="10"/>
      <c r="AG96" s="1645"/>
      <c r="AH96" s="10"/>
      <c r="AI96" s="1645"/>
      <c r="AJ96" s="10"/>
      <c r="AK96" s="1700"/>
      <c r="AL96" s="1700"/>
      <c r="AM96" s="1700"/>
      <c r="AN96" s="1639" t="s">
        <v>248</v>
      </c>
      <c r="AO96" s="1639"/>
      <c r="AP96" s="1639"/>
      <c r="AQ96" s="1666"/>
      <c r="AR96" s="27">
        <v>123.56</v>
      </c>
      <c r="AS96" s="1633"/>
      <c r="AT96" s="1645"/>
      <c r="AU96" s="10"/>
      <c r="AV96" s="10"/>
      <c r="AW96" s="190"/>
      <c r="AX96" s="11"/>
      <c r="AY96" s="190"/>
      <c r="AZ96" s="10"/>
      <c r="BA96" s="190"/>
      <c r="BB96" s="11"/>
      <c r="BC96" s="190"/>
      <c r="BD96" s="10"/>
      <c r="BE96" s="190"/>
      <c r="BF96" s="11"/>
      <c r="BG96" s="190"/>
      <c r="BH96" s="25" t="s">
        <v>98</v>
      </c>
      <c r="BI96" s="182" t="s">
        <v>95</v>
      </c>
      <c r="BJ96" s="182" t="s">
        <v>61</v>
      </c>
      <c r="BK96" s="314" t="s">
        <v>79</v>
      </c>
    </row>
    <row r="97" spans="1:64" s="8" customFormat="1" ht="71.25" customHeight="1" thickBot="1">
      <c r="A97" s="1684"/>
      <c r="B97" s="1667"/>
      <c r="C97" s="1787"/>
      <c r="D97" s="1640"/>
      <c r="E97" s="1640"/>
      <c r="F97" s="1640"/>
      <c r="G97" s="1667"/>
      <c r="H97" s="1667"/>
      <c r="I97" s="1670"/>
      <c r="J97" s="1670"/>
      <c r="K97" s="1670"/>
      <c r="L97" s="1677"/>
      <c r="M97" s="1640"/>
      <c r="N97" s="1640"/>
      <c r="O97" s="1667"/>
      <c r="P97" s="1696"/>
      <c r="Q97" s="1681"/>
      <c r="R97" s="1696"/>
      <c r="S97" s="1696"/>
      <c r="T97" s="1640"/>
      <c r="U97" s="1640"/>
      <c r="V97" s="1667"/>
      <c r="W97" s="1667"/>
      <c r="X97" s="1667"/>
      <c r="Y97" s="1678"/>
      <c r="Z97" s="180">
        <v>2041.32</v>
      </c>
      <c r="AA97" s="1701"/>
      <c r="AB97" s="180">
        <v>2405.02</v>
      </c>
      <c r="AC97" s="1646"/>
      <c r="AD97" s="212"/>
      <c r="AE97" s="1646"/>
      <c r="AF97" s="13"/>
      <c r="AG97" s="1646"/>
      <c r="AH97" s="13"/>
      <c r="AI97" s="1646"/>
      <c r="AJ97" s="13"/>
      <c r="AK97" s="1701"/>
      <c r="AL97" s="1701"/>
      <c r="AM97" s="1701"/>
      <c r="AN97" s="1640" t="s">
        <v>248</v>
      </c>
      <c r="AO97" s="1640"/>
      <c r="AP97" s="1640"/>
      <c r="AQ97" s="1667"/>
      <c r="AR97" s="82">
        <v>195.67</v>
      </c>
      <c r="AS97" s="1634"/>
      <c r="AT97" s="1646"/>
      <c r="AU97" s="13"/>
      <c r="AV97" s="13"/>
      <c r="AW97" s="191"/>
      <c r="AX97" s="15"/>
      <c r="AY97" s="191"/>
      <c r="AZ97" s="13"/>
      <c r="BA97" s="191"/>
      <c r="BB97" s="15"/>
      <c r="BC97" s="191"/>
      <c r="BD97" s="13"/>
      <c r="BE97" s="191"/>
      <c r="BF97" s="15"/>
      <c r="BG97" s="191"/>
      <c r="BH97" s="13"/>
      <c r="BI97" s="191"/>
      <c r="BJ97" s="15"/>
      <c r="BK97" s="191"/>
    </row>
    <row r="98" spans="1:64" s="8" customFormat="1" ht="71.25" customHeight="1">
      <c r="A98" s="1682" t="s">
        <v>393</v>
      </c>
      <c r="B98" s="1656"/>
      <c r="C98" s="1685">
        <v>330857068</v>
      </c>
      <c r="D98" s="1638" t="s">
        <v>441</v>
      </c>
      <c r="E98" s="1638" t="s">
        <v>396</v>
      </c>
      <c r="F98" s="1638" t="s">
        <v>396</v>
      </c>
      <c r="G98" s="1665" t="s">
        <v>3667</v>
      </c>
      <c r="H98" s="1638" t="s">
        <v>3603</v>
      </c>
      <c r="I98" s="1668" t="s">
        <v>2473</v>
      </c>
      <c r="J98" s="1674">
        <v>43101</v>
      </c>
      <c r="K98" s="1674">
        <v>43466</v>
      </c>
      <c r="L98" s="1708">
        <v>42</v>
      </c>
      <c r="M98" s="1638" t="s">
        <v>48</v>
      </c>
      <c r="N98" s="1638" t="s">
        <v>354</v>
      </c>
      <c r="O98" s="1656"/>
      <c r="P98" s="1679" t="s">
        <v>72</v>
      </c>
      <c r="Q98" s="1679" t="s">
        <v>72</v>
      </c>
      <c r="R98" s="1694" t="s">
        <v>4244</v>
      </c>
      <c r="S98" s="1694" t="s">
        <v>4244</v>
      </c>
      <c r="T98" s="1638" t="s">
        <v>317</v>
      </c>
      <c r="U98" s="1638" t="s">
        <v>2502</v>
      </c>
      <c r="V98" s="1665" t="s">
        <v>252</v>
      </c>
      <c r="W98" s="1638" t="s">
        <v>72</v>
      </c>
      <c r="X98" s="1638" t="s">
        <v>72</v>
      </c>
      <c r="Y98" s="1656" t="s">
        <v>151</v>
      </c>
      <c r="Z98" s="23">
        <v>491.76</v>
      </c>
      <c r="AA98" s="1644"/>
      <c r="AB98" s="2"/>
      <c r="AC98" s="1644"/>
      <c r="AD98" s="2"/>
      <c r="AE98" s="1647"/>
      <c r="AF98" s="1650"/>
      <c r="AG98" s="1644"/>
      <c r="AH98" s="2"/>
      <c r="AI98" s="1644"/>
      <c r="AJ98" s="2"/>
      <c r="AK98" s="1632" t="s">
        <v>113</v>
      </c>
      <c r="AL98" s="1632" t="s">
        <v>72</v>
      </c>
      <c r="AM98" s="1632" t="s">
        <v>72</v>
      </c>
      <c r="AN98" s="1632" t="s">
        <v>113</v>
      </c>
      <c r="AO98" s="1632" t="s">
        <v>72</v>
      </c>
      <c r="AP98" s="1632" t="s">
        <v>72</v>
      </c>
      <c r="AQ98" s="1632"/>
      <c r="AR98" s="16"/>
      <c r="AS98" s="1632" t="s">
        <v>72</v>
      </c>
      <c r="AT98" s="1632" t="s">
        <v>72</v>
      </c>
      <c r="AU98" s="1"/>
      <c r="AV98" s="23" t="s">
        <v>56</v>
      </c>
      <c r="AW98" s="280" t="s">
        <v>148</v>
      </c>
      <c r="AX98" s="181">
        <v>0.09</v>
      </c>
      <c r="AY98" s="280" t="s">
        <v>58</v>
      </c>
      <c r="AZ98" s="25" t="s">
        <v>59</v>
      </c>
      <c r="BA98" s="281" t="s">
        <v>60</v>
      </c>
      <c r="BB98" s="182" t="s">
        <v>61</v>
      </c>
      <c r="BC98" s="281" t="s">
        <v>58</v>
      </c>
      <c r="BD98" s="2"/>
      <c r="BE98" s="278"/>
      <c r="BF98" s="7"/>
      <c r="BG98" s="278"/>
      <c r="BH98" s="23" t="s">
        <v>94</v>
      </c>
      <c r="BI98" s="6" t="s">
        <v>95</v>
      </c>
      <c r="BJ98" s="6" t="s">
        <v>61</v>
      </c>
      <c r="BK98" s="24" t="s">
        <v>96</v>
      </c>
    </row>
    <row r="99" spans="1:64" s="8" customFormat="1" ht="71.25" customHeight="1">
      <c r="A99" s="1683"/>
      <c r="B99" s="1657"/>
      <c r="C99" s="1686"/>
      <c r="D99" s="1698"/>
      <c r="E99" s="1698"/>
      <c r="F99" s="1698"/>
      <c r="G99" s="1666"/>
      <c r="H99" s="1698"/>
      <c r="I99" s="1669"/>
      <c r="J99" s="1669"/>
      <c r="K99" s="1669"/>
      <c r="L99" s="1676"/>
      <c r="M99" s="1639"/>
      <c r="N99" s="1639"/>
      <c r="O99" s="1657"/>
      <c r="P99" s="1680"/>
      <c r="Q99" s="1680"/>
      <c r="R99" s="1695"/>
      <c r="S99" s="1695"/>
      <c r="T99" s="1639"/>
      <c r="U99" s="1639"/>
      <c r="V99" s="1666"/>
      <c r="W99" s="1639"/>
      <c r="X99" s="1639"/>
      <c r="Y99" s="1657"/>
      <c r="Z99" s="25">
        <v>1076.96</v>
      </c>
      <c r="AA99" s="1645"/>
      <c r="AB99" s="10"/>
      <c r="AC99" s="1645"/>
      <c r="AD99" s="10"/>
      <c r="AE99" s="1648"/>
      <c r="AF99" s="1651"/>
      <c r="AG99" s="1645"/>
      <c r="AH99" s="10"/>
      <c r="AI99" s="1645"/>
      <c r="AJ99" s="10"/>
      <c r="AK99" s="1633"/>
      <c r="AL99" s="1633"/>
      <c r="AM99" s="1633"/>
      <c r="AN99" s="1633"/>
      <c r="AO99" s="1633"/>
      <c r="AP99" s="1633"/>
      <c r="AQ99" s="1633"/>
      <c r="AR99" s="20"/>
      <c r="AS99" s="1633"/>
      <c r="AT99" s="1633"/>
      <c r="AU99" s="9"/>
      <c r="AV99" s="25" t="s">
        <v>65</v>
      </c>
      <c r="AW99" s="281" t="s">
        <v>148</v>
      </c>
      <c r="AX99" s="182">
        <v>2.3E-2</v>
      </c>
      <c r="AY99" s="281" t="s">
        <v>58</v>
      </c>
      <c r="AZ99" s="220" t="s">
        <v>66</v>
      </c>
      <c r="BA99" s="281" t="s">
        <v>60</v>
      </c>
      <c r="BB99" s="182" t="s">
        <v>61</v>
      </c>
      <c r="BC99" s="281" t="s">
        <v>58</v>
      </c>
      <c r="BD99" s="10"/>
      <c r="BE99" s="279"/>
      <c r="BF99" s="11"/>
      <c r="BG99" s="279"/>
      <c r="BH99" s="25" t="s">
        <v>97</v>
      </c>
      <c r="BI99" s="6" t="s">
        <v>95</v>
      </c>
      <c r="BJ99" s="6" t="s">
        <v>61</v>
      </c>
      <c r="BK99" s="26" t="s">
        <v>96</v>
      </c>
    </row>
    <row r="100" spans="1:64" s="8" customFormat="1" ht="71.25" customHeight="1">
      <c r="A100" s="1683"/>
      <c r="B100" s="1657"/>
      <c r="C100" s="1686"/>
      <c r="D100" s="1698"/>
      <c r="E100" s="1698"/>
      <c r="F100" s="1698"/>
      <c r="G100" s="1666"/>
      <c r="H100" s="1698"/>
      <c r="I100" s="1669"/>
      <c r="J100" s="1669"/>
      <c r="K100" s="1669"/>
      <c r="L100" s="1676"/>
      <c r="M100" s="1639"/>
      <c r="N100" s="1639"/>
      <c r="O100" s="1657"/>
      <c r="P100" s="1680"/>
      <c r="Q100" s="1680"/>
      <c r="R100" s="1695"/>
      <c r="S100" s="1695"/>
      <c r="T100" s="1639"/>
      <c r="U100" s="1639"/>
      <c r="V100" s="1666"/>
      <c r="W100" s="1639"/>
      <c r="X100" s="1639"/>
      <c r="Y100" s="1657"/>
      <c r="Z100" s="25">
        <v>934.34</v>
      </c>
      <c r="AA100" s="1645"/>
      <c r="AB100" s="10"/>
      <c r="AC100" s="1645"/>
      <c r="AD100" s="10"/>
      <c r="AE100" s="1648"/>
      <c r="AF100" s="1651"/>
      <c r="AG100" s="1645"/>
      <c r="AH100" s="10"/>
      <c r="AI100" s="1645"/>
      <c r="AJ100" s="10"/>
      <c r="AK100" s="1633"/>
      <c r="AL100" s="1633"/>
      <c r="AM100" s="1633"/>
      <c r="AN100" s="1633"/>
      <c r="AO100" s="1633"/>
      <c r="AP100" s="1633"/>
      <c r="AQ100" s="1633"/>
      <c r="AR100" s="20"/>
      <c r="AS100" s="1633"/>
      <c r="AT100" s="1633"/>
      <c r="AU100" s="9"/>
      <c r="AV100" s="10"/>
      <c r="AW100" s="204"/>
      <c r="AX100" s="11"/>
      <c r="AY100" s="204"/>
      <c r="AZ100" s="10"/>
      <c r="BA100" s="204"/>
      <c r="BB100" s="11"/>
      <c r="BC100" s="204"/>
      <c r="BD100" s="10"/>
      <c r="BE100" s="204"/>
      <c r="BF100" s="11"/>
      <c r="BG100" s="204"/>
      <c r="BH100" s="27" t="s">
        <v>98</v>
      </c>
      <c r="BI100" s="6" t="s">
        <v>95</v>
      </c>
      <c r="BJ100" s="6" t="s">
        <v>61</v>
      </c>
      <c r="BK100" s="26" t="s">
        <v>79</v>
      </c>
    </row>
    <row r="101" spans="1:64" s="8" customFormat="1" ht="71.25" customHeight="1" thickBot="1">
      <c r="A101" s="1684"/>
      <c r="B101" s="1658"/>
      <c r="C101" s="1687"/>
      <c r="D101" s="1699"/>
      <c r="E101" s="1699"/>
      <c r="F101" s="1699"/>
      <c r="G101" s="1667"/>
      <c r="H101" s="1699"/>
      <c r="I101" s="1670"/>
      <c r="J101" s="1670"/>
      <c r="K101" s="1670"/>
      <c r="L101" s="1677"/>
      <c r="M101" s="1640"/>
      <c r="N101" s="1640"/>
      <c r="O101" s="1678"/>
      <c r="P101" s="1681"/>
      <c r="Q101" s="1681"/>
      <c r="R101" s="1696"/>
      <c r="S101" s="1696"/>
      <c r="T101" s="1640"/>
      <c r="U101" s="1640"/>
      <c r="V101" s="1667"/>
      <c r="W101" s="1640"/>
      <c r="X101" s="1640"/>
      <c r="Y101" s="1678"/>
      <c r="Z101" s="180">
        <v>1494.95</v>
      </c>
      <c r="AA101" s="1646"/>
      <c r="AB101" s="13"/>
      <c r="AC101" s="1646"/>
      <c r="AD101" s="13"/>
      <c r="AE101" s="1649"/>
      <c r="AF101" s="1652"/>
      <c r="AG101" s="1646"/>
      <c r="AH101" s="13"/>
      <c r="AI101" s="1646"/>
      <c r="AJ101" s="13"/>
      <c r="AK101" s="1634"/>
      <c r="AL101" s="1634"/>
      <c r="AM101" s="1634"/>
      <c r="AN101" s="1634"/>
      <c r="AO101" s="1634"/>
      <c r="AP101" s="1634"/>
      <c r="AQ101" s="1634"/>
      <c r="AR101" s="212"/>
      <c r="AS101" s="1634"/>
      <c r="AT101" s="1634"/>
      <c r="AU101" s="12"/>
      <c r="AV101" s="13"/>
      <c r="AW101" s="205"/>
      <c r="AX101" s="15"/>
      <c r="AY101" s="205"/>
      <c r="AZ101" s="13"/>
      <c r="BA101" s="205"/>
      <c r="BB101" s="15"/>
      <c r="BC101" s="205"/>
      <c r="BD101" s="13"/>
      <c r="BE101" s="205"/>
      <c r="BF101" s="15"/>
      <c r="BG101" s="205"/>
      <c r="BH101" s="13"/>
      <c r="BI101" s="205"/>
      <c r="BJ101" s="15"/>
      <c r="BK101" s="205"/>
    </row>
    <row r="102" spans="1:64" s="8" customFormat="1" ht="71.25" customHeight="1">
      <c r="A102" s="1682" t="s">
        <v>411</v>
      </c>
      <c r="B102" s="1656"/>
      <c r="C102" s="1717">
        <v>943103561</v>
      </c>
      <c r="D102" s="1665" t="s">
        <v>122</v>
      </c>
      <c r="E102" s="1665" t="s">
        <v>123</v>
      </c>
      <c r="F102" s="1706" t="s">
        <v>123</v>
      </c>
      <c r="G102" s="1665" t="s">
        <v>3654</v>
      </c>
      <c r="H102" s="1697" t="s">
        <v>432</v>
      </c>
      <c r="I102" s="1668" t="s">
        <v>2474</v>
      </c>
      <c r="J102" s="1674">
        <v>42370</v>
      </c>
      <c r="K102" s="1674">
        <v>43466</v>
      </c>
      <c r="L102" s="1708">
        <v>24</v>
      </c>
      <c r="M102" s="1707" t="s">
        <v>48</v>
      </c>
      <c r="N102" s="1662" t="s">
        <v>354</v>
      </c>
      <c r="O102" s="1656"/>
      <c r="P102" s="1656" t="s">
        <v>50</v>
      </c>
      <c r="Q102" s="1679" t="s">
        <v>3636</v>
      </c>
      <c r="R102" s="1694" t="s">
        <v>4244</v>
      </c>
      <c r="S102" s="1694" t="s">
        <v>4244</v>
      </c>
      <c r="T102" s="1662" t="s">
        <v>303</v>
      </c>
      <c r="U102" s="1662" t="s">
        <v>2503</v>
      </c>
      <c r="V102" s="1665" t="s">
        <v>252</v>
      </c>
      <c r="W102" s="1665" t="s">
        <v>307</v>
      </c>
      <c r="X102" s="1665" t="s">
        <v>113</v>
      </c>
      <c r="Y102" s="1792" t="s">
        <v>124</v>
      </c>
      <c r="Z102" s="81">
        <v>700.09</v>
      </c>
      <c r="AA102" s="1707" t="s">
        <v>87</v>
      </c>
      <c r="AB102" s="81">
        <v>786.13</v>
      </c>
      <c r="AC102" s="1737" t="s">
        <v>403</v>
      </c>
      <c r="AD102" s="81">
        <v>475.5</v>
      </c>
      <c r="AE102" s="1712" t="s">
        <v>3637</v>
      </c>
      <c r="AF102" s="1709" t="s">
        <v>79</v>
      </c>
      <c r="AG102" s="1712" t="s">
        <v>3638</v>
      </c>
      <c r="AH102" s="1709" t="s">
        <v>79</v>
      </c>
      <c r="AI102" s="1632"/>
      <c r="AJ102" s="2"/>
      <c r="AK102" s="1662" t="s">
        <v>85</v>
      </c>
      <c r="AL102" s="1662" t="s">
        <v>245</v>
      </c>
      <c r="AM102" s="1662" t="s">
        <v>246</v>
      </c>
      <c r="AN102" s="1694" t="s">
        <v>1242</v>
      </c>
      <c r="AO102" s="1694" t="s">
        <v>2499</v>
      </c>
      <c r="AP102" s="1694" t="s">
        <v>2481</v>
      </c>
      <c r="AQ102" s="1694" t="s">
        <v>384</v>
      </c>
      <c r="AR102" s="23">
        <v>74.03</v>
      </c>
      <c r="AS102" s="1665" t="s">
        <v>2483</v>
      </c>
      <c r="AT102" s="1638" t="s">
        <v>2484</v>
      </c>
      <c r="AU102" s="23">
        <v>8.85</v>
      </c>
      <c r="AV102" s="81" t="s">
        <v>56</v>
      </c>
      <c r="AW102" s="663" t="s">
        <v>57</v>
      </c>
      <c r="AX102" s="85">
        <v>9.0999999999999998E-2</v>
      </c>
      <c r="AY102" s="319" t="s">
        <v>58</v>
      </c>
      <c r="AZ102" s="3" t="s">
        <v>59</v>
      </c>
      <c r="BA102" s="319" t="s">
        <v>60</v>
      </c>
      <c r="BB102" s="4" t="s">
        <v>61</v>
      </c>
      <c r="BC102" s="319" t="s">
        <v>58</v>
      </c>
      <c r="BD102" s="3" t="s">
        <v>62</v>
      </c>
      <c r="BE102" s="663" t="s">
        <v>81</v>
      </c>
      <c r="BF102" s="85">
        <v>9.4E-2</v>
      </c>
      <c r="BG102" s="319" t="s">
        <v>64</v>
      </c>
      <c r="BH102" s="2"/>
      <c r="BI102" s="315"/>
      <c r="BJ102" s="7"/>
      <c r="BK102" s="315"/>
    </row>
    <row r="103" spans="1:64" s="8" customFormat="1" ht="71.25" customHeight="1" thickBot="1">
      <c r="A103" s="1683"/>
      <c r="B103" s="1657"/>
      <c r="C103" s="1718"/>
      <c r="D103" s="1666"/>
      <c r="E103" s="1666"/>
      <c r="F103" s="1666"/>
      <c r="G103" s="1666"/>
      <c r="H103" s="1657"/>
      <c r="I103" s="1669"/>
      <c r="J103" s="1669"/>
      <c r="K103" s="1669"/>
      <c r="L103" s="1676"/>
      <c r="M103" s="1700"/>
      <c r="N103" s="1700"/>
      <c r="O103" s="1657"/>
      <c r="P103" s="1657"/>
      <c r="Q103" s="1680"/>
      <c r="R103" s="1695"/>
      <c r="S103" s="1695"/>
      <c r="T103" s="1700"/>
      <c r="U103" s="1700"/>
      <c r="V103" s="1666"/>
      <c r="W103" s="1666"/>
      <c r="X103" s="1666"/>
      <c r="Y103" s="1769"/>
      <c r="Z103" s="27">
        <v>1533.18</v>
      </c>
      <c r="AA103" s="1700"/>
      <c r="AB103" s="27">
        <v>1721.63</v>
      </c>
      <c r="AC103" s="1769"/>
      <c r="AD103" s="27">
        <v>1041.3499999999999</v>
      </c>
      <c r="AE103" s="1713"/>
      <c r="AF103" s="1710"/>
      <c r="AG103" s="1713"/>
      <c r="AH103" s="1710"/>
      <c r="AI103" s="1633"/>
      <c r="AJ103" s="10"/>
      <c r="AK103" s="1700"/>
      <c r="AL103" s="1700"/>
      <c r="AM103" s="1700"/>
      <c r="AN103" s="1695"/>
      <c r="AO103" s="1695"/>
      <c r="AP103" s="1695"/>
      <c r="AQ103" s="1695"/>
      <c r="AR103" s="25">
        <v>150.9</v>
      </c>
      <c r="AS103" s="1666"/>
      <c r="AT103" s="1639"/>
      <c r="AU103" s="25">
        <v>17.739999999999998</v>
      </c>
      <c r="AV103" s="84" t="s">
        <v>65</v>
      </c>
      <c r="AW103" s="548" t="s">
        <v>57</v>
      </c>
      <c r="AX103" s="338">
        <v>0.02</v>
      </c>
      <c r="AY103" s="29" t="s">
        <v>58</v>
      </c>
      <c r="AZ103" s="19" t="s">
        <v>66</v>
      </c>
      <c r="BA103" s="29" t="s">
        <v>60</v>
      </c>
      <c r="BB103" s="30" t="s">
        <v>61</v>
      </c>
      <c r="BC103" s="29" t="s">
        <v>58</v>
      </c>
      <c r="BD103" s="5" t="s">
        <v>67</v>
      </c>
      <c r="BE103" s="662" t="s">
        <v>68</v>
      </c>
      <c r="BF103" s="83">
        <v>0.35</v>
      </c>
      <c r="BG103" s="318" t="s">
        <v>69</v>
      </c>
      <c r="BH103" s="10"/>
      <c r="BI103" s="316"/>
      <c r="BJ103" s="11"/>
      <c r="BK103" s="316"/>
    </row>
    <row r="104" spans="1:64" s="8" customFormat="1" ht="71.25" customHeight="1">
      <c r="A104" s="1683"/>
      <c r="B104" s="1657"/>
      <c r="C104" s="1718"/>
      <c r="D104" s="1666"/>
      <c r="E104" s="1666"/>
      <c r="F104" s="1666"/>
      <c r="G104" s="1666"/>
      <c r="H104" s="1657"/>
      <c r="I104" s="1669"/>
      <c r="J104" s="1669"/>
      <c r="K104" s="1669"/>
      <c r="L104" s="1676"/>
      <c r="M104" s="1700"/>
      <c r="N104" s="1700"/>
      <c r="O104" s="1657"/>
      <c r="P104" s="1657"/>
      <c r="Q104" s="1680"/>
      <c r="R104" s="1695"/>
      <c r="S104" s="1695"/>
      <c r="T104" s="1700"/>
      <c r="U104" s="1700"/>
      <c r="V104" s="1666"/>
      <c r="W104" s="1666"/>
      <c r="X104" s="1666"/>
      <c r="Y104" s="1769"/>
      <c r="Z104" s="27">
        <v>1330.16</v>
      </c>
      <c r="AA104" s="1700"/>
      <c r="AB104" s="27">
        <v>1493.66</v>
      </c>
      <c r="AC104" s="1769"/>
      <c r="AD104" s="27">
        <v>903.45</v>
      </c>
      <c r="AE104" s="1713"/>
      <c r="AF104" s="1710"/>
      <c r="AG104" s="1713"/>
      <c r="AH104" s="1710"/>
      <c r="AI104" s="1633"/>
      <c r="AJ104" s="10"/>
      <c r="AK104" s="1700"/>
      <c r="AL104" s="1700"/>
      <c r="AM104" s="1700"/>
      <c r="AN104" s="1695"/>
      <c r="AO104" s="1695"/>
      <c r="AP104" s="1695"/>
      <c r="AQ104" s="1695"/>
      <c r="AR104" s="25">
        <v>169.1</v>
      </c>
      <c r="AS104" s="1666"/>
      <c r="AT104" s="1639"/>
      <c r="AU104" s="25">
        <v>15.01</v>
      </c>
      <c r="AV104" s="81" t="s">
        <v>125</v>
      </c>
      <c r="AW104" s="663" t="s">
        <v>126</v>
      </c>
      <c r="AX104" s="85">
        <v>0.09</v>
      </c>
      <c r="AY104" s="319" t="s">
        <v>58</v>
      </c>
      <c r="AZ104" s="10"/>
      <c r="BA104" s="316"/>
      <c r="BB104" s="11"/>
      <c r="BC104" s="316"/>
      <c r="BD104" s="10"/>
      <c r="BE104" s="316"/>
      <c r="BF104" s="11"/>
      <c r="BG104" s="316"/>
      <c r="BH104" s="10"/>
      <c r="BI104" s="316"/>
      <c r="BJ104" s="11"/>
      <c r="BK104" s="316"/>
    </row>
    <row r="105" spans="1:64" s="8" customFormat="1" ht="71.25" customHeight="1" thickBot="1">
      <c r="A105" s="1684"/>
      <c r="B105" s="1678"/>
      <c r="C105" s="1719"/>
      <c r="D105" s="1667"/>
      <c r="E105" s="1667"/>
      <c r="F105" s="1667"/>
      <c r="G105" s="1667"/>
      <c r="H105" s="1658"/>
      <c r="I105" s="1670"/>
      <c r="J105" s="1670"/>
      <c r="K105" s="1670"/>
      <c r="L105" s="1677"/>
      <c r="M105" s="1701"/>
      <c r="N105" s="1701"/>
      <c r="O105" s="1678"/>
      <c r="P105" s="1678"/>
      <c r="Q105" s="1681"/>
      <c r="R105" s="1696"/>
      <c r="S105" s="1696"/>
      <c r="T105" s="1701"/>
      <c r="U105" s="1701"/>
      <c r="V105" s="1667"/>
      <c r="W105" s="1667"/>
      <c r="X105" s="1667"/>
      <c r="Y105" s="1770"/>
      <c r="Z105" s="82">
        <v>2128.2600000000002</v>
      </c>
      <c r="AA105" s="1701"/>
      <c r="AB105" s="82">
        <v>2389.85</v>
      </c>
      <c r="AC105" s="1770"/>
      <c r="AD105" s="82">
        <v>1445.53</v>
      </c>
      <c r="AE105" s="1714"/>
      <c r="AF105" s="1711"/>
      <c r="AG105" s="1714"/>
      <c r="AH105" s="1711"/>
      <c r="AI105" s="1634"/>
      <c r="AJ105" s="13"/>
      <c r="AK105" s="1701"/>
      <c r="AL105" s="1701"/>
      <c r="AM105" s="1701"/>
      <c r="AN105" s="1696"/>
      <c r="AO105" s="1696"/>
      <c r="AP105" s="1696"/>
      <c r="AQ105" s="1696"/>
      <c r="AR105" s="180">
        <v>263.33</v>
      </c>
      <c r="AS105" s="1667"/>
      <c r="AT105" s="1640"/>
      <c r="AU105" s="180">
        <v>24.76</v>
      </c>
      <c r="AV105" s="27" t="s">
        <v>127</v>
      </c>
      <c r="AW105" s="662" t="s">
        <v>126</v>
      </c>
      <c r="AX105" s="83">
        <v>0.02</v>
      </c>
      <c r="AY105" s="318" t="s">
        <v>58</v>
      </c>
      <c r="AZ105" s="13"/>
      <c r="BA105" s="317"/>
      <c r="BB105" s="15"/>
      <c r="BC105" s="317"/>
      <c r="BD105" s="13"/>
      <c r="BE105" s="317"/>
      <c r="BF105" s="15"/>
      <c r="BG105" s="317"/>
      <c r="BH105" s="13"/>
      <c r="BI105" s="317"/>
      <c r="BJ105" s="15"/>
      <c r="BK105" s="317"/>
    </row>
    <row r="106" spans="1:64" s="8" customFormat="1" ht="71.25" customHeight="1">
      <c r="A106" s="1705" t="s">
        <v>128</v>
      </c>
      <c r="B106" s="1656"/>
      <c r="C106" s="1717">
        <v>330827593</v>
      </c>
      <c r="D106" s="1706" t="s">
        <v>129</v>
      </c>
      <c r="E106" s="1662" t="s">
        <v>231</v>
      </c>
      <c r="F106" s="1662" t="s">
        <v>231</v>
      </c>
      <c r="G106" s="1665" t="s">
        <v>3665</v>
      </c>
      <c r="H106" s="1665" t="s">
        <v>4236</v>
      </c>
      <c r="I106" s="1668" t="s">
        <v>2474</v>
      </c>
      <c r="J106" s="1674">
        <v>42705</v>
      </c>
      <c r="K106" s="1674">
        <v>43466</v>
      </c>
      <c r="L106" s="1708">
        <v>25</v>
      </c>
      <c r="M106" s="1707" t="s">
        <v>48</v>
      </c>
      <c r="N106" s="1662" t="s">
        <v>77</v>
      </c>
      <c r="O106" s="1656"/>
      <c r="P106" s="1792" t="s">
        <v>50</v>
      </c>
      <c r="Q106" s="1792" t="s">
        <v>73</v>
      </c>
      <c r="R106" s="1694" t="s">
        <v>4244</v>
      </c>
      <c r="S106" s="1694" t="s">
        <v>4244</v>
      </c>
      <c r="T106" s="1662" t="s">
        <v>317</v>
      </c>
      <c r="U106" s="1662" t="s">
        <v>2505</v>
      </c>
      <c r="V106" s="1665" t="s">
        <v>252</v>
      </c>
      <c r="W106" s="1665" t="s">
        <v>307</v>
      </c>
      <c r="X106" s="1665" t="s">
        <v>113</v>
      </c>
      <c r="Y106" s="1656" t="s">
        <v>124</v>
      </c>
      <c r="Z106" s="3">
        <v>583.9</v>
      </c>
      <c r="AA106" s="1697" t="s">
        <v>403</v>
      </c>
      <c r="AB106" s="3">
        <v>432.11</v>
      </c>
      <c r="AC106" s="1679"/>
      <c r="AD106" s="2"/>
      <c r="AE106" s="1647"/>
      <c r="AF106" s="1"/>
      <c r="AG106" s="1647"/>
      <c r="AH106" s="1"/>
      <c r="AI106" s="1647"/>
      <c r="AJ106" s="1"/>
      <c r="AK106" s="1632" t="s">
        <v>113</v>
      </c>
      <c r="AL106" s="1632" t="s">
        <v>245</v>
      </c>
      <c r="AM106" s="1632" t="s">
        <v>246</v>
      </c>
      <c r="AN106" s="1632" t="s">
        <v>113</v>
      </c>
      <c r="AO106" s="1632" t="s">
        <v>72</v>
      </c>
      <c r="AP106" s="1632" t="s">
        <v>72</v>
      </c>
      <c r="AQ106" s="1712" t="s">
        <v>130</v>
      </c>
      <c r="AR106" s="16"/>
      <c r="AS106" s="1632" t="s">
        <v>72</v>
      </c>
      <c r="AT106" s="1712" t="s">
        <v>131</v>
      </c>
      <c r="AU106" s="1"/>
      <c r="AV106" s="23" t="s">
        <v>56</v>
      </c>
      <c r="AW106" s="660" t="s">
        <v>1249</v>
      </c>
      <c r="AX106" s="181">
        <v>9.4E-2</v>
      </c>
      <c r="AY106" s="660" t="s">
        <v>58</v>
      </c>
      <c r="AZ106" s="25" t="s">
        <v>59</v>
      </c>
      <c r="BA106" s="661" t="s">
        <v>60</v>
      </c>
      <c r="BB106" s="182" t="s">
        <v>61</v>
      </c>
      <c r="BC106" s="661" t="s">
        <v>58</v>
      </c>
      <c r="BD106" s="23" t="s">
        <v>62</v>
      </c>
      <c r="BE106" s="660" t="s">
        <v>81</v>
      </c>
      <c r="BF106" s="181">
        <v>9.4E-2</v>
      </c>
      <c r="BG106" s="660" t="s">
        <v>64</v>
      </c>
      <c r="BH106" s="2"/>
      <c r="BI106" s="594"/>
      <c r="BJ106" s="7"/>
      <c r="BK106" s="594"/>
    </row>
    <row r="107" spans="1:64" s="8" customFormat="1" ht="71.25" customHeight="1">
      <c r="A107" s="1683"/>
      <c r="B107" s="1657"/>
      <c r="C107" s="1718"/>
      <c r="D107" s="1666"/>
      <c r="E107" s="1700"/>
      <c r="F107" s="1700"/>
      <c r="G107" s="1666"/>
      <c r="H107" s="1666"/>
      <c r="I107" s="1669"/>
      <c r="J107" s="1669"/>
      <c r="K107" s="1669"/>
      <c r="L107" s="1676"/>
      <c r="M107" s="1700"/>
      <c r="N107" s="1700"/>
      <c r="O107" s="1657"/>
      <c r="P107" s="1769"/>
      <c r="Q107" s="1769"/>
      <c r="R107" s="1695"/>
      <c r="S107" s="1695"/>
      <c r="T107" s="1700"/>
      <c r="U107" s="1700"/>
      <c r="V107" s="1666"/>
      <c r="W107" s="1666"/>
      <c r="X107" s="1666"/>
      <c r="Y107" s="1657"/>
      <c r="Z107" s="5">
        <v>1278.74</v>
      </c>
      <c r="AA107" s="1657"/>
      <c r="AB107" s="5">
        <v>946.32</v>
      </c>
      <c r="AC107" s="1680"/>
      <c r="AD107" s="10"/>
      <c r="AE107" s="1648"/>
      <c r="AF107" s="9"/>
      <c r="AG107" s="1648"/>
      <c r="AH107" s="9"/>
      <c r="AI107" s="1648"/>
      <c r="AJ107" s="9"/>
      <c r="AK107" s="1633"/>
      <c r="AL107" s="1633"/>
      <c r="AM107" s="1633"/>
      <c r="AN107" s="1633"/>
      <c r="AO107" s="1633"/>
      <c r="AP107" s="1633"/>
      <c r="AQ107" s="1713"/>
      <c r="AR107" s="20"/>
      <c r="AS107" s="1633"/>
      <c r="AT107" s="1713"/>
      <c r="AU107" s="9"/>
      <c r="AV107" s="25" t="s">
        <v>65</v>
      </c>
      <c r="AW107" s="661" t="s">
        <v>1249</v>
      </c>
      <c r="AX107" s="182">
        <v>0.02</v>
      </c>
      <c r="AY107" s="661" t="s">
        <v>58</v>
      </c>
      <c r="AZ107" s="220" t="s">
        <v>66</v>
      </c>
      <c r="BA107" s="661" t="s">
        <v>60</v>
      </c>
      <c r="BB107" s="182" t="s">
        <v>61</v>
      </c>
      <c r="BC107" s="661" t="s">
        <v>58</v>
      </c>
      <c r="BD107" s="25" t="s">
        <v>67</v>
      </c>
      <c r="BE107" s="661" t="s">
        <v>82</v>
      </c>
      <c r="BF107" s="182">
        <v>0.25</v>
      </c>
      <c r="BG107" s="661" t="s">
        <v>69</v>
      </c>
      <c r="BH107" s="10"/>
      <c r="BI107" s="595"/>
      <c r="BJ107" s="11"/>
      <c r="BK107" s="595"/>
    </row>
    <row r="108" spans="1:64" s="8" customFormat="1" ht="71.25" customHeight="1">
      <c r="A108" s="1683"/>
      <c r="B108" s="1657"/>
      <c r="C108" s="1718"/>
      <c r="D108" s="1666"/>
      <c r="E108" s="1700"/>
      <c r="F108" s="1700"/>
      <c r="G108" s="1666"/>
      <c r="H108" s="1666"/>
      <c r="I108" s="1669"/>
      <c r="J108" s="1669"/>
      <c r="K108" s="1669"/>
      <c r="L108" s="1676"/>
      <c r="M108" s="1700"/>
      <c r="N108" s="1700"/>
      <c r="O108" s="1657"/>
      <c r="P108" s="1769"/>
      <c r="Q108" s="1769"/>
      <c r="R108" s="1695"/>
      <c r="S108" s="1695"/>
      <c r="T108" s="1700"/>
      <c r="U108" s="1700"/>
      <c r="V108" s="1666"/>
      <c r="W108" s="1666"/>
      <c r="X108" s="1666"/>
      <c r="Y108" s="1657"/>
      <c r="Z108" s="5">
        <v>1109.4100000000001</v>
      </c>
      <c r="AA108" s="1657"/>
      <c r="AB108" s="5">
        <v>821</v>
      </c>
      <c r="AC108" s="1680"/>
      <c r="AD108" s="10"/>
      <c r="AE108" s="1648"/>
      <c r="AF108" s="9"/>
      <c r="AG108" s="1648"/>
      <c r="AH108" s="9"/>
      <c r="AI108" s="1648"/>
      <c r="AJ108" s="9"/>
      <c r="AK108" s="1633"/>
      <c r="AL108" s="1633"/>
      <c r="AM108" s="1633"/>
      <c r="AN108" s="1633"/>
      <c r="AO108" s="1633"/>
      <c r="AP108" s="1633"/>
      <c r="AQ108" s="1713"/>
      <c r="AR108" s="20"/>
      <c r="AS108" s="1633"/>
      <c r="AT108" s="1713"/>
      <c r="AU108" s="9"/>
      <c r="AV108" s="10"/>
      <c r="AW108" s="595"/>
      <c r="AX108" s="11"/>
      <c r="AY108" s="595"/>
      <c r="AZ108" s="10"/>
      <c r="BA108" s="595"/>
      <c r="BB108" s="11"/>
      <c r="BC108" s="595"/>
      <c r="BD108" s="10"/>
      <c r="BE108" s="595"/>
      <c r="BF108" s="11"/>
      <c r="BG108" s="595"/>
      <c r="BH108" s="10"/>
      <c r="BI108" s="595"/>
      <c r="BJ108" s="11"/>
      <c r="BK108" s="595"/>
    </row>
    <row r="109" spans="1:64" s="8" customFormat="1" ht="71.25" customHeight="1" thickBot="1">
      <c r="A109" s="1684"/>
      <c r="B109" s="1678"/>
      <c r="C109" s="1719"/>
      <c r="D109" s="1667"/>
      <c r="E109" s="1701"/>
      <c r="F109" s="1701"/>
      <c r="G109" s="1667"/>
      <c r="H109" s="1667"/>
      <c r="I109" s="1670"/>
      <c r="J109" s="1670"/>
      <c r="K109" s="1670"/>
      <c r="L109" s="1677"/>
      <c r="M109" s="1701"/>
      <c r="N109" s="1701"/>
      <c r="O109" s="1678"/>
      <c r="P109" s="1770"/>
      <c r="Q109" s="1770"/>
      <c r="R109" s="1696"/>
      <c r="S109" s="1696"/>
      <c r="T109" s="1701"/>
      <c r="U109" s="1701"/>
      <c r="V109" s="1667"/>
      <c r="W109" s="1667"/>
      <c r="X109" s="1667"/>
      <c r="Y109" s="1678"/>
      <c r="Z109" s="14">
        <v>1775.07</v>
      </c>
      <c r="AA109" s="1678"/>
      <c r="AB109" s="14">
        <v>1313.61</v>
      </c>
      <c r="AC109" s="1681"/>
      <c r="AD109" s="13"/>
      <c r="AE109" s="1649"/>
      <c r="AF109" s="12"/>
      <c r="AG109" s="1649"/>
      <c r="AH109" s="12"/>
      <c r="AI109" s="1649"/>
      <c r="AJ109" s="12"/>
      <c r="AK109" s="1634"/>
      <c r="AL109" s="1634"/>
      <c r="AM109" s="1634"/>
      <c r="AN109" s="1634"/>
      <c r="AO109" s="1634"/>
      <c r="AP109" s="1634"/>
      <c r="AQ109" s="1714"/>
      <c r="AR109" s="212"/>
      <c r="AS109" s="1634"/>
      <c r="AT109" s="1714"/>
      <c r="AU109" s="12"/>
      <c r="AV109" s="13"/>
      <c r="AW109" s="596"/>
      <c r="AX109" s="15"/>
      <c r="AY109" s="596"/>
      <c r="AZ109" s="13"/>
      <c r="BA109" s="596"/>
      <c r="BB109" s="15"/>
      <c r="BC109" s="596"/>
      <c r="BD109" s="13"/>
      <c r="BE109" s="596"/>
      <c r="BF109" s="15"/>
      <c r="BG109" s="596"/>
      <c r="BH109" s="13"/>
      <c r="BI109" s="596"/>
      <c r="BJ109" s="15"/>
      <c r="BK109" s="596"/>
    </row>
    <row r="110" spans="1:64" s="80" customFormat="1" ht="71.25" customHeight="1">
      <c r="A110" s="1682" t="s">
        <v>4052</v>
      </c>
      <c r="B110" s="1707"/>
      <c r="C110" s="1717">
        <v>204139823</v>
      </c>
      <c r="D110" s="1706" t="s">
        <v>269</v>
      </c>
      <c r="E110" s="1662" t="s">
        <v>270</v>
      </c>
      <c r="F110" s="1662" t="s">
        <v>265</v>
      </c>
      <c r="G110" s="1665" t="s">
        <v>3665</v>
      </c>
      <c r="H110" s="1662" t="s">
        <v>4336</v>
      </c>
      <c r="I110" s="1736" t="s">
        <v>2474</v>
      </c>
      <c r="J110" s="1671">
        <v>42979</v>
      </c>
      <c r="K110" s="1671">
        <v>43466</v>
      </c>
      <c r="L110" s="1708">
        <v>6</v>
      </c>
      <c r="M110" s="1706" t="s">
        <v>48</v>
      </c>
      <c r="N110" s="1662" t="s">
        <v>49</v>
      </c>
      <c r="O110" s="1707"/>
      <c r="P110" s="1706" t="s">
        <v>48</v>
      </c>
      <c r="Q110" s="1656" t="s">
        <v>73</v>
      </c>
      <c r="R110" s="1694" t="s">
        <v>4244</v>
      </c>
      <c r="S110" s="1694" t="s">
        <v>4244</v>
      </c>
      <c r="T110" s="1662" t="s">
        <v>317</v>
      </c>
      <c r="U110" s="1662" t="s">
        <v>2504</v>
      </c>
      <c r="V110" s="1665" t="s">
        <v>252</v>
      </c>
      <c r="W110" s="1665" t="s">
        <v>307</v>
      </c>
      <c r="X110" s="1665" t="s">
        <v>113</v>
      </c>
      <c r="Y110" s="1656" t="s">
        <v>124</v>
      </c>
      <c r="Z110" s="81">
        <v>671.49</v>
      </c>
      <c r="AA110" s="1707" t="s">
        <v>93</v>
      </c>
      <c r="AB110" s="81">
        <v>791.12</v>
      </c>
      <c r="AC110" s="1697" t="s">
        <v>403</v>
      </c>
      <c r="AD110" s="3">
        <v>496.93</v>
      </c>
      <c r="AE110" s="1644"/>
      <c r="AF110" s="2"/>
      <c r="AG110" s="1644"/>
      <c r="AH110" s="2"/>
      <c r="AI110" s="1644"/>
      <c r="AJ110" s="2"/>
      <c r="AK110" s="1662" t="s">
        <v>85</v>
      </c>
      <c r="AL110" s="1662" t="s">
        <v>245</v>
      </c>
      <c r="AM110" s="1662" t="s">
        <v>246</v>
      </c>
      <c r="AN110" s="1662" t="s">
        <v>250</v>
      </c>
      <c r="AO110" s="1662" t="s">
        <v>2489</v>
      </c>
      <c r="AP110" s="1662" t="s">
        <v>2495</v>
      </c>
      <c r="AQ110" s="1665" t="s">
        <v>385</v>
      </c>
      <c r="AR110" s="81">
        <v>58.3</v>
      </c>
      <c r="AS110" s="1665" t="s">
        <v>2483</v>
      </c>
      <c r="AT110" s="1665" t="s">
        <v>2484</v>
      </c>
      <c r="AU110" s="81">
        <v>8.85</v>
      </c>
      <c r="AV110" s="3" t="s">
        <v>56</v>
      </c>
      <c r="AW110" s="521" t="s">
        <v>148</v>
      </c>
      <c r="AX110" s="4">
        <v>0.09</v>
      </c>
      <c r="AY110" s="521" t="s">
        <v>58</v>
      </c>
      <c r="AZ110" s="27" t="s">
        <v>59</v>
      </c>
      <c r="BA110" s="517" t="s">
        <v>60</v>
      </c>
      <c r="BB110" s="83" t="s">
        <v>61</v>
      </c>
      <c r="BC110" s="517" t="s">
        <v>58</v>
      </c>
      <c r="BD110" s="81" t="s">
        <v>62</v>
      </c>
      <c r="BE110" s="516" t="s">
        <v>266</v>
      </c>
      <c r="BF110" s="85">
        <v>9.6000000000000002E-2</v>
      </c>
      <c r="BG110" s="522" t="s">
        <v>64</v>
      </c>
      <c r="BH110" s="2"/>
      <c r="BI110" s="518"/>
      <c r="BJ110" s="7"/>
      <c r="BK110" s="518"/>
      <c r="BL110" s="8"/>
    </row>
    <row r="111" spans="1:64" s="80" customFormat="1" ht="71.25" customHeight="1">
      <c r="A111" s="1683"/>
      <c r="B111" s="1700"/>
      <c r="C111" s="1718"/>
      <c r="D111" s="1666"/>
      <c r="E111" s="1700"/>
      <c r="F111" s="1700"/>
      <c r="G111" s="1666"/>
      <c r="H111" s="1700"/>
      <c r="I111" s="1672"/>
      <c r="J111" s="1672"/>
      <c r="K111" s="1672"/>
      <c r="L111" s="1676"/>
      <c r="M111" s="1666"/>
      <c r="N111" s="1700"/>
      <c r="O111" s="1700"/>
      <c r="P111" s="1666"/>
      <c r="Q111" s="1657"/>
      <c r="R111" s="1695"/>
      <c r="S111" s="1695"/>
      <c r="T111" s="1700"/>
      <c r="U111" s="1700"/>
      <c r="V111" s="1666"/>
      <c r="W111" s="1666"/>
      <c r="X111" s="1666"/>
      <c r="Y111" s="1657"/>
      <c r="Z111" s="27">
        <v>1470.56</v>
      </c>
      <c r="AA111" s="1700"/>
      <c r="AB111" s="27">
        <v>1732.56</v>
      </c>
      <c r="AC111" s="1657"/>
      <c r="AD111" s="5">
        <v>1088.27</v>
      </c>
      <c r="AE111" s="1645"/>
      <c r="AF111" s="10"/>
      <c r="AG111" s="1645"/>
      <c r="AH111" s="10"/>
      <c r="AI111" s="1645"/>
      <c r="AJ111" s="10"/>
      <c r="AK111" s="1700"/>
      <c r="AL111" s="1700"/>
      <c r="AM111" s="1700"/>
      <c r="AN111" s="1700" t="s">
        <v>248</v>
      </c>
      <c r="AO111" s="1700"/>
      <c r="AP111" s="1700"/>
      <c r="AQ111" s="1666"/>
      <c r="AR111" s="27">
        <v>118.94</v>
      </c>
      <c r="AS111" s="1666"/>
      <c r="AT111" s="1666"/>
      <c r="AU111" s="27">
        <v>17.739999999999998</v>
      </c>
      <c r="AV111" s="5" t="s">
        <v>65</v>
      </c>
      <c r="AW111" s="515" t="s">
        <v>148</v>
      </c>
      <c r="AX111" s="6">
        <v>2.3E-2</v>
      </c>
      <c r="AY111" s="515" t="s">
        <v>58</v>
      </c>
      <c r="AZ111" s="84" t="s">
        <v>66</v>
      </c>
      <c r="BA111" s="517" t="s">
        <v>60</v>
      </c>
      <c r="BB111" s="83" t="s">
        <v>61</v>
      </c>
      <c r="BC111" s="517" t="s">
        <v>58</v>
      </c>
      <c r="BD111" s="25" t="s">
        <v>67</v>
      </c>
      <c r="BE111" s="520" t="s">
        <v>82</v>
      </c>
      <c r="BF111" s="182">
        <v>0.25</v>
      </c>
      <c r="BG111" s="520" t="s">
        <v>69</v>
      </c>
      <c r="BH111" s="10"/>
      <c r="BI111" s="513"/>
      <c r="BJ111" s="11"/>
      <c r="BK111" s="513"/>
      <c r="BL111" s="8"/>
    </row>
    <row r="112" spans="1:64" s="80" customFormat="1" ht="71.25" customHeight="1">
      <c r="A112" s="1683"/>
      <c r="B112" s="1700"/>
      <c r="C112" s="1718"/>
      <c r="D112" s="1666"/>
      <c r="E112" s="1700"/>
      <c r="F112" s="1700"/>
      <c r="G112" s="1666"/>
      <c r="H112" s="1700"/>
      <c r="I112" s="1672"/>
      <c r="J112" s="1672"/>
      <c r="K112" s="1672"/>
      <c r="L112" s="1676"/>
      <c r="M112" s="1666"/>
      <c r="N112" s="1700"/>
      <c r="O112" s="1700"/>
      <c r="P112" s="1666"/>
      <c r="Q112" s="1657"/>
      <c r="R112" s="1695"/>
      <c r="S112" s="1695"/>
      <c r="T112" s="1700"/>
      <c r="U112" s="1700"/>
      <c r="V112" s="1666"/>
      <c r="W112" s="1666"/>
      <c r="X112" s="1666"/>
      <c r="Y112" s="1657"/>
      <c r="Z112" s="27">
        <v>1275.82</v>
      </c>
      <c r="AA112" s="1700"/>
      <c r="AB112" s="27">
        <v>1503.14</v>
      </c>
      <c r="AC112" s="1657"/>
      <c r="AD112" s="5">
        <v>944.16</v>
      </c>
      <c r="AE112" s="1645"/>
      <c r="AF112" s="10"/>
      <c r="AG112" s="1645"/>
      <c r="AH112" s="10"/>
      <c r="AI112" s="1645"/>
      <c r="AJ112" s="10"/>
      <c r="AK112" s="1700"/>
      <c r="AL112" s="1700"/>
      <c r="AM112" s="1700"/>
      <c r="AN112" s="1700" t="s">
        <v>248</v>
      </c>
      <c r="AO112" s="1700"/>
      <c r="AP112" s="1700"/>
      <c r="AQ112" s="1666"/>
      <c r="AR112" s="27">
        <v>137.86000000000001</v>
      </c>
      <c r="AS112" s="1666"/>
      <c r="AT112" s="1666"/>
      <c r="AU112" s="27">
        <v>15.01</v>
      </c>
      <c r="AV112" s="10"/>
      <c r="AW112" s="513"/>
      <c r="AX112" s="11"/>
      <c r="AY112" s="513"/>
      <c r="AZ112" s="10"/>
      <c r="BA112" s="513"/>
      <c r="BB112" s="11"/>
      <c r="BC112" s="513"/>
      <c r="BD112" s="10"/>
      <c r="BE112" s="513"/>
      <c r="BF112" s="11"/>
      <c r="BG112" s="513"/>
      <c r="BH112" s="10"/>
      <c r="BI112" s="513"/>
      <c r="BJ112" s="11"/>
      <c r="BK112" s="513"/>
      <c r="BL112" s="8"/>
    </row>
    <row r="113" spans="1:64" s="80" customFormat="1" ht="71.25" customHeight="1" thickBot="1">
      <c r="A113" s="1684"/>
      <c r="B113" s="1701"/>
      <c r="C113" s="1719"/>
      <c r="D113" s="1667"/>
      <c r="E113" s="1701"/>
      <c r="F113" s="1701"/>
      <c r="G113" s="1667"/>
      <c r="H113" s="1701"/>
      <c r="I113" s="1673"/>
      <c r="J113" s="1673"/>
      <c r="K113" s="1673"/>
      <c r="L113" s="1677"/>
      <c r="M113" s="1667"/>
      <c r="N113" s="1701"/>
      <c r="O113" s="1701"/>
      <c r="P113" s="1667"/>
      <c r="Q113" s="1678"/>
      <c r="R113" s="1696"/>
      <c r="S113" s="1696"/>
      <c r="T113" s="1701"/>
      <c r="U113" s="1701"/>
      <c r="V113" s="1667"/>
      <c r="W113" s="1667"/>
      <c r="X113" s="1667"/>
      <c r="Y113" s="1678"/>
      <c r="Z113" s="82">
        <v>2041.32</v>
      </c>
      <c r="AA113" s="1701"/>
      <c r="AB113" s="82">
        <v>2405.02</v>
      </c>
      <c r="AC113" s="1678"/>
      <c r="AD113" s="14">
        <v>1510.65</v>
      </c>
      <c r="AE113" s="1646"/>
      <c r="AF113" s="13"/>
      <c r="AG113" s="1646"/>
      <c r="AH113" s="13"/>
      <c r="AI113" s="1646"/>
      <c r="AJ113" s="13"/>
      <c r="AK113" s="1701"/>
      <c r="AL113" s="1701"/>
      <c r="AM113" s="1701"/>
      <c r="AN113" s="1701" t="s">
        <v>248</v>
      </c>
      <c r="AO113" s="1701"/>
      <c r="AP113" s="1701"/>
      <c r="AQ113" s="1667"/>
      <c r="AR113" s="82">
        <v>212.76</v>
      </c>
      <c r="AS113" s="1667"/>
      <c r="AT113" s="1667"/>
      <c r="AU113" s="82">
        <v>24.76</v>
      </c>
      <c r="AV113" s="13"/>
      <c r="AW113" s="514"/>
      <c r="AX113" s="15"/>
      <c r="AY113" s="514"/>
      <c r="AZ113" s="13"/>
      <c r="BA113" s="514"/>
      <c r="BB113" s="15"/>
      <c r="BC113" s="514"/>
      <c r="BD113" s="13"/>
      <c r="BE113" s="514"/>
      <c r="BF113" s="15"/>
      <c r="BG113" s="514"/>
      <c r="BH113" s="13"/>
      <c r="BI113" s="514"/>
      <c r="BJ113" s="15"/>
      <c r="BK113" s="514"/>
      <c r="BL113" s="8"/>
    </row>
    <row r="114" spans="1:64" s="8" customFormat="1" ht="71.25" customHeight="1">
      <c r="A114" s="1682" t="s">
        <v>4324</v>
      </c>
      <c r="B114" s="1656"/>
      <c r="C114" s="1685">
        <v>463373274</v>
      </c>
      <c r="D114" s="1638" t="s">
        <v>4325</v>
      </c>
      <c r="E114" s="1638" t="s">
        <v>4326</v>
      </c>
      <c r="F114" s="1638" t="s">
        <v>4326</v>
      </c>
      <c r="G114" s="1638" t="s">
        <v>3654</v>
      </c>
      <c r="H114" s="1694" t="s">
        <v>432</v>
      </c>
      <c r="I114" s="1688" t="s">
        <v>2473</v>
      </c>
      <c r="J114" s="1688">
        <v>43221</v>
      </c>
      <c r="K114" s="1688">
        <v>43466</v>
      </c>
      <c r="L114" s="1691">
        <v>5</v>
      </c>
      <c r="M114" s="1638" t="s">
        <v>48</v>
      </c>
      <c r="N114" s="1638" t="s">
        <v>354</v>
      </c>
      <c r="O114" s="1656"/>
      <c r="P114" s="1679" t="s">
        <v>72</v>
      </c>
      <c r="Q114" s="1694" t="s">
        <v>73</v>
      </c>
      <c r="R114" s="1635" t="s">
        <v>4243</v>
      </c>
      <c r="S114" s="1635" t="s">
        <v>4243</v>
      </c>
      <c r="T114" s="1662" t="s">
        <v>303</v>
      </c>
      <c r="U114" s="1638" t="s">
        <v>2502</v>
      </c>
      <c r="V114" s="1665" t="s">
        <v>252</v>
      </c>
      <c r="W114" s="1638" t="s">
        <v>307</v>
      </c>
      <c r="X114" s="1638" t="s">
        <v>113</v>
      </c>
      <c r="Y114" s="1694" t="s">
        <v>93</v>
      </c>
      <c r="Z114" s="23">
        <v>642.11</v>
      </c>
      <c r="AA114" s="1697" t="s">
        <v>403</v>
      </c>
      <c r="AB114" s="23">
        <v>411.07</v>
      </c>
      <c r="AC114" s="1647"/>
      <c r="AD114" s="1"/>
      <c r="AE114" s="1647"/>
      <c r="AF114" s="1650"/>
      <c r="AG114" s="1644"/>
      <c r="AH114" s="2"/>
      <c r="AI114" s="1644"/>
      <c r="AJ114" s="2"/>
      <c r="AK114" s="1662" t="s">
        <v>85</v>
      </c>
      <c r="AL114" s="1662" t="s">
        <v>245</v>
      </c>
      <c r="AM114" s="1662" t="s">
        <v>246</v>
      </c>
      <c r="AN114" s="1638" t="s">
        <v>423</v>
      </c>
      <c r="AO114" s="1638" t="s">
        <v>2490</v>
      </c>
      <c r="AP114" s="1662" t="s">
        <v>2495</v>
      </c>
      <c r="AQ114" s="1638" t="s">
        <v>389</v>
      </c>
      <c r="AR114" s="23">
        <v>63.989999999999995</v>
      </c>
      <c r="AS114" s="1638" t="s">
        <v>2483</v>
      </c>
      <c r="AT114" s="1638" t="s">
        <v>2484</v>
      </c>
      <c r="AU114" s="23">
        <v>8.85</v>
      </c>
      <c r="AV114" s="16"/>
      <c r="AW114" s="964"/>
      <c r="AX114" s="18"/>
      <c r="AY114" s="964"/>
      <c r="AZ114" s="20"/>
      <c r="BA114" s="965"/>
      <c r="BB114" s="22"/>
      <c r="BC114" s="965"/>
      <c r="BD114" s="16"/>
      <c r="BE114" s="964"/>
      <c r="BF114" s="18"/>
      <c r="BG114" s="964"/>
      <c r="BH114" s="16"/>
      <c r="BI114" s="22"/>
      <c r="BJ114" s="22"/>
      <c r="BK114" s="980"/>
    </row>
    <row r="115" spans="1:64" s="8" customFormat="1" ht="71.25" customHeight="1">
      <c r="A115" s="1683"/>
      <c r="B115" s="1657"/>
      <c r="C115" s="1686"/>
      <c r="D115" s="1698"/>
      <c r="E115" s="1698"/>
      <c r="F115" s="1698"/>
      <c r="G115" s="1639"/>
      <c r="H115" s="1695"/>
      <c r="I115" s="1689"/>
      <c r="J115" s="1689"/>
      <c r="K115" s="1689"/>
      <c r="L115" s="1692"/>
      <c r="M115" s="1639"/>
      <c r="N115" s="1639"/>
      <c r="O115" s="1657"/>
      <c r="P115" s="1680"/>
      <c r="Q115" s="1695"/>
      <c r="R115" s="1636"/>
      <c r="S115" s="1636"/>
      <c r="T115" s="1700"/>
      <c r="U115" s="1639"/>
      <c r="V115" s="1666"/>
      <c r="W115" s="1639"/>
      <c r="X115" s="1639"/>
      <c r="Y115" s="1695"/>
      <c r="Z115" s="25">
        <v>1406.22</v>
      </c>
      <c r="AA115" s="1657"/>
      <c r="AB115" s="25">
        <v>900.25</v>
      </c>
      <c r="AC115" s="1648"/>
      <c r="AD115" s="9"/>
      <c r="AE115" s="1648"/>
      <c r="AF115" s="1651"/>
      <c r="AG115" s="1645"/>
      <c r="AH115" s="10"/>
      <c r="AI115" s="1645"/>
      <c r="AJ115" s="10"/>
      <c r="AK115" s="1700"/>
      <c r="AL115" s="1700"/>
      <c r="AM115" s="1700"/>
      <c r="AN115" s="1639"/>
      <c r="AO115" s="1639"/>
      <c r="AP115" s="1700"/>
      <c r="AQ115" s="1639"/>
      <c r="AR115" s="25">
        <v>130.73999999999998</v>
      </c>
      <c r="AS115" s="1639"/>
      <c r="AT115" s="1639"/>
      <c r="AU115" s="25">
        <v>17.739999999999998</v>
      </c>
      <c r="AV115" s="20"/>
      <c r="AW115" s="965"/>
      <c r="AX115" s="22"/>
      <c r="AY115" s="965"/>
      <c r="AZ115" s="211"/>
      <c r="BA115" s="965"/>
      <c r="BB115" s="22"/>
      <c r="BC115" s="965"/>
      <c r="BD115" s="20"/>
      <c r="BE115" s="965"/>
      <c r="BF115" s="22"/>
      <c r="BG115" s="965"/>
      <c r="BH115" s="20"/>
      <c r="BI115" s="22"/>
      <c r="BJ115" s="22"/>
      <c r="BK115" s="981"/>
    </row>
    <row r="116" spans="1:64" s="8" customFormat="1" ht="71.25" customHeight="1">
      <c r="A116" s="1683"/>
      <c r="B116" s="1657"/>
      <c r="C116" s="1686"/>
      <c r="D116" s="1698"/>
      <c r="E116" s="1698"/>
      <c r="F116" s="1698"/>
      <c r="G116" s="1639"/>
      <c r="H116" s="1695"/>
      <c r="I116" s="1689"/>
      <c r="J116" s="1689"/>
      <c r="K116" s="1689"/>
      <c r="L116" s="1692"/>
      <c r="M116" s="1639"/>
      <c r="N116" s="1639"/>
      <c r="O116" s="1657"/>
      <c r="P116" s="1680"/>
      <c r="Q116" s="1695"/>
      <c r="R116" s="1636"/>
      <c r="S116" s="1636"/>
      <c r="T116" s="1700"/>
      <c r="U116" s="1639"/>
      <c r="V116" s="1666"/>
      <c r="W116" s="1639"/>
      <c r="X116" s="1639"/>
      <c r="Y116" s="1695"/>
      <c r="Z116" s="25">
        <v>1220.01</v>
      </c>
      <c r="AA116" s="1657"/>
      <c r="AB116" s="25">
        <v>781.03</v>
      </c>
      <c r="AC116" s="1648"/>
      <c r="AD116" s="9"/>
      <c r="AE116" s="1648"/>
      <c r="AF116" s="1651"/>
      <c r="AG116" s="1645"/>
      <c r="AH116" s="10"/>
      <c r="AI116" s="1645"/>
      <c r="AJ116" s="10"/>
      <c r="AK116" s="1700"/>
      <c r="AL116" s="1700"/>
      <c r="AM116" s="1700"/>
      <c r="AN116" s="1639"/>
      <c r="AO116" s="1639"/>
      <c r="AP116" s="1700"/>
      <c r="AQ116" s="1639"/>
      <c r="AR116" s="25">
        <v>139.27000000000001</v>
      </c>
      <c r="AS116" s="1639"/>
      <c r="AT116" s="1639"/>
      <c r="AU116" s="25">
        <v>15.01</v>
      </c>
      <c r="AV116" s="20"/>
      <c r="AW116" s="965"/>
      <c r="AX116" s="22"/>
      <c r="AY116" s="965"/>
      <c r="AZ116" s="20"/>
      <c r="BA116" s="965"/>
      <c r="BB116" s="22"/>
      <c r="BC116" s="965"/>
      <c r="BD116" s="20"/>
      <c r="BE116" s="965"/>
      <c r="BF116" s="22"/>
      <c r="BG116" s="965"/>
      <c r="BH116" s="20"/>
      <c r="BI116" s="22"/>
      <c r="BJ116" s="22"/>
      <c r="BK116" s="981"/>
    </row>
    <row r="117" spans="1:64" s="8" customFormat="1" ht="71.25" customHeight="1" thickBot="1">
      <c r="A117" s="1684"/>
      <c r="B117" s="1658"/>
      <c r="C117" s="1687"/>
      <c r="D117" s="1699"/>
      <c r="E117" s="1699"/>
      <c r="F117" s="1699"/>
      <c r="G117" s="1640"/>
      <c r="H117" s="1793"/>
      <c r="I117" s="1690"/>
      <c r="J117" s="1690"/>
      <c r="K117" s="1690"/>
      <c r="L117" s="1693"/>
      <c r="M117" s="1640"/>
      <c r="N117" s="1640"/>
      <c r="O117" s="1678"/>
      <c r="P117" s="1681"/>
      <c r="Q117" s="1696"/>
      <c r="R117" s="1637"/>
      <c r="S117" s="1637"/>
      <c r="T117" s="1701"/>
      <c r="U117" s="1640"/>
      <c r="V117" s="1667"/>
      <c r="W117" s="1640"/>
      <c r="X117" s="1640"/>
      <c r="Y117" s="1696"/>
      <c r="Z117" s="180">
        <v>1952.01</v>
      </c>
      <c r="AA117" s="1658"/>
      <c r="AB117" s="180">
        <v>1249.6600000000001</v>
      </c>
      <c r="AC117" s="1649"/>
      <c r="AD117" s="12"/>
      <c r="AE117" s="1649"/>
      <c r="AF117" s="1652"/>
      <c r="AG117" s="1646"/>
      <c r="AH117" s="13"/>
      <c r="AI117" s="1646"/>
      <c r="AJ117" s="13"/>
      <c r="AK117" s="1701"/>
      <c r="AL117" s="1701"/>
      <c r="AM117" s="1701"/>
      <c r="AN117" s="1640"/>
      <c r="AO117" s="1640"/>
      <c r="AP117" s="1701"/>
      <c r="AQ117" s="1640"/>
      <c r="AR117" s="180">
        <v>221.15</v>
      </c>
      <c r="AS117" s="1640"/>
      <c r="AT117" s="1640"/>
      <c r="AU117" s="180">
        <v>24.76</v>
      </c>
      <c r="AV117" s="13"/>
      <c r="AW117" s="963"/>
      <c r="AX117" s="15"/>
      <c r="AY117" s="963"/>
      <c r="AZ117" s="13"/>
      <c r="BA117" s="963"/>
      <c r="BB117" s="15"/>
      <c r="BC117" s="963"/>
      <c r="BD117" s="13"/>
      <c r="BE117" s="963"/>
      <c r="BF117" s="15"/>
      <c r="BG117" s="963"/>
      <c r="BH117" s="13"/>
      <c r="BI117" s="963"/>
      <c r="BJ117" s="15"/>
      <c r="BK117" s="963"/>
    </row>
    <row r="118" spans="1:64" s="8" customFormat="1" ht="71.25" customHeight="1">
      <c r="A118" s="1682" t="s">
        <v>4552</v>
      </c>
      <c r="B118" s="1656"/>
      <c r="C118" s="1685" t="s">
        <v>4549</v>
      </c>
      <c r="D118" s="1638" t="s">
        <v>4550</v>
      </c>
      <c r="E118" s="1638" t="s">
        <v>4551</v>
      </c>
      <c r="F118" s="1638" t="s">
        <v>4551</v>
      </c>
      <c r="G118" s="1665" t="s">
        <v>3665</v>
      </c>
      <c r="H118" s="1665" t="s">
        <v>3591</v>
      </c>
      <c r="I118" s="1668" t="s">
        <v>2473</v>
      </c>
      <c r="J118" s="1688">
        <v>43252</v>
      </c>
      <c r="K118" s="1674">
        <v>43466</v>
      </c>
      <c r="L118" s="1675">
        <v>2</v>
      </c>
      <c r="M118" s="1638" t="s">
        <v>48</v>
      </c>
      <c r="N118" s="1638" t="s">
        <v>354</v>
      </c>
      <c r="O118" s="1656"/>
      <c r="P118" s="1679" t="s">
        <v>72</v>
      </c>
      <c r="Q118" s="1679" t="s">
        <v>72</v>
      </c>
      <c r="R118" s="1635" t="s">
        <v>4243</v>
      </c>
      <c r="S118" s="1635" t="s">
        <v>4243</v>
      </c>
      <c r="T118" s="1638" t="s">
        <v>317</v>
      </c>
      <c r="U118" s="1638" t="s">
        <v>2477</v>
      </c>
      <c r="V118" s="1665" t="s">
        <v>252</v>
      </c>
      <c r="W118" s="1638" t="s">
        <v>307</v>
      </c>
      <c r="X118" s="1638" t="s">
        <v>113</v>
      </c>
      <c r="Y118" s="1656" t="s">
        <v>153</v>
      </c>
      <c r="Z118" s="23">
        <v>567.39</v>
      </c>
      <c r="AA118" s="1656" t="s">
        <v>87</v>
      </c>
      <c r="AB118" s="23">
        <v>691.69</v>
      </c>
      <c r="AC118" s="1647"/>
      <c r="AD118" s="1"/>
      <c r="AE118" s="1647"/>
      <c r="AF118" s="1650"/>
      <c r="AG118" s="1644"/>
      <c r="AH118" s="2"/>
      <c r="AI118" s="1644"/>
      <c r="AJ118" s="2"/>
      <c r="AK118" s="1662" t="s">
        <v>85</v>
      </c>
      <c r="AL118" s="1662" t="s">
        <v>245</v>
      </c>
      <c r="AM118" s="1662" t="s">
        <v>246</v>
      </c>
      <c r="AN118" s="1665" t="s">
        <v>248</v>
      </c>
      <c r="AO118" s="1638" t="s">
        <v>2489</v>
      </c>
      <c r="AP118" s="1697" t="s">
        <v>2495</v>
      </c>
      <c r="AQ118" s="1665" t="s">
        <v>386</v>
      </c>
      <c r="AR118" s="23">
        <v>52.32</v>
      </c>
      <c r="AS118" s="1638" t="s">
        <v>2483</v>
      </c>
      <c r="AT118" s="1638" t="s">
        <v>2484</v>
      </c>
      <c r="AU118" s="23">
        <v>8.85</v>
      </c>
      <c r="AV118" s="23" t="s">
        <v>56</v>
      </c>
      <c r="AW118" s="1175" t="s">
        <v>1249</v>
      </c>
      <c r="AX118" s="181">
        <v>9.4E-2</v>
      </c>
      <c r="AY118" s="1175" t="s">
        <v>58</v>
      </c>
      <c r="AZ118" s="25" t="s">
        <v>59</v>
      </c>
      <c r="BA118" s="1176" t="s">
        <v>60</v>
      </c>
      <c r="BB118" s="182" t="s">
        <v>61</v>
      </c>
      <c r="BC118" s="1176" t="s">
        <v>58</v>
      </c>
      <c r="BD118" s="10"/>
      <c r="BE118" s="1172"/>
      <c r="BF118" s="11"/>
      <c r="BG118" s="1172"/>
      <c r="BH118" s="2"/>
      <c r="BI118" s="1174"/>
      <c r="BJ118" s="7"/>
      <c r="BK118" s="1174"/>
    </row>
    <row r="119" spans="1:64" s="8" customFormat="1" ht="71.25" customHeight="1">
      <c r="A119" s="1683"/>
      <c r="B119" s="1657"/>
      <c r="C119" s="1686"/>
      <c r="D119" s="1698"/>
      <c r="E119" s="1698"/>
      <c r="F119" s="1698"/>
      <c r="G119" s="1666"/>
      <c r="H119" s="1666"/>
      <c r="I119" s="1669"/>
      <c r="J119" s="1689"/>
      <c r="K119" s="1669"/>
      <c r="L119" s="1676"/>
      <c r="M119" s="1639"/>
      <c r="N119" s="1639"/>
      <c r="O119" s="1657"/>
      <c r="P119" s="1680"/>
      <c r="Q119" s="1680"/>
      <c r="R119" s="1636"/>
      <c r="S119" s="1636"/>
      <c r="T119" s="1639"/>
      <c r="U119" s="1639"/>
      <c r="V119" s="1666"/>
      <c r="W119" s="1639"/>
      <c r="X119" s="1639"/>
      <c r="Y119" s="1657"/>
      <c r="Z119" s="25">
        <v>1242.5899999999999</v>
      </c>
      <c r="AA119" s="1657"/>
      <c r="AB119" s="25">
        <v>1514.81</v>
      </c>
      <c r="AC119" s="1648"/>
      <c r="AD119" s="9"/>
      <c r="AE119" s="1648"/>
      <c r="AF119" s="1651"/>
      <c r="AG119" s="1645"/>
      <c r="AH119" s="10"/>
      <c r="AI119" s="1645"/>
      <c r="AJ119" s="10"/>
      <c r="AK119" s="1700"/>
      <c r="AL119" s="1700"/>
      <c r="AM119" s="1700"/>
      <c r="AN119" s="1666"/>
      <c r="AO119" s="1639"/>
      <c r="AP119" s="1715"/>
      <c r="AQ119" s="1666"/>
      <c r="AR119" s="25">
        <v>106.74</v>
      </c>
      <c r="AS119" s="1639"/>
      <c r="AT119" s="1639"/>
      <c r="AU119" s="25">
        <v>17.739999999999998</v>
      </c>
      <c r="AV119" s="25" t="s">
        <v>65</v>
      </c>
      <c r="AW119" s="1176" t="s">
        <v>1249</v>
      </c>
      <c r="AX119" s="182">
        <v>0.02</v>
      </c>
      <c r="AY119" s="1176" t="s">
        <v>58</v>
      </c>
      <c r="AZ119" s="220" t="s">
        <v>66</v>
      </c>
      <c r="BA119" s="1176" t="s">
        <v>60</v>
      </c>
      <c r="BB119" s="182" t="s">
        <v>61</v>
      </c>
      <c r="BC119" s="1176" t="s">
        <v>58</v>
      </c>
      <c r="BD119" s="25" t="s">
        <v>67</v>
      </c>
      <c r="BE119" s="1176" t="s">
        <v>68</v>
      </c>
      <c r="BF119" s="182">
        <v>0.35</v>
      </c>
      <c r="BG119" s="1176" t="s">
        <v>69</v>
      </c>
      <c r="BH119" s="10"/>
      <c r="BI119" s="1172"/>
      <c r="BJ119" s="11"/>
      <c r="BK119" s="1172"/>
    </row>
    <row r="120" spans="1:64" s="8" customFormat="1" ht="71.25" customHeight="1">
      <c r="A120" s="1683"/>
      <c r="B120" s="1657"/>
      <c r="C120" s="1686"/>
      <c r="D120" s="1698"/>
      <c r="E120" s="1698"/>
      <c r="F120" s="1698"/>
      <c r="G120" s="1666"/>
      <c r="H120" s="1666"/>
      <c r="I120" s="1669"/>
      <c r="J120" s="1689"/>
      <c r="K120" s="1669"/>
      <c r="L120" s="1676"/>
      <c r="M120" s="1639"/>
      <c r="N120" s="1639"/>
      <c r="O120" s="1657"/>
      <c r="P120" s="1680"/>
      <c r="Q120" s="1680"/>
      <c r="R120" s="1636"/>
      <c r="S120" s="1636"/>
      <c r="T120" s="1639"/>
      <c r="U120" s="1639"/>
      <c r="V120" s="1666"/>
      <c r="W120" s="1639"/>
      <c r="X120" s="1639"/>
      <c r="Y120" s="1657"/>
      <c r="Z120" s="25">
        <v>1078.05</v>
      </c>
      <c r="AA120" s="1657"/>
      <c r="AB120" s="25">
        <v>1314.22</v>
      </c>
      <c r="AC120" s="1648"/>
      <c r="AD120" s="9"/>
      <c r="AE120" s="1648"/>
      <c r="AF120" s="1651"/>
      <c r="AG120" s="1645"/>
      <c r="AH120" s="10"/>
      <c r="AI120" s="1645"/>
      <c r="AJ120" s="10"/>
      <c r="AK120" s="1700"/>
      <c r="AL120" s="1700"/>
      <c r="AM120" s="1700"/>
      <c r="AN120" s="1666"/>
      <c r="AO120" s="1639"/>
      <c r="AP120" s="1715"/>
      <c r="AQ120" s="1666"/>
      <c r="AR120" s="25">
        <v>121.04</v>
      </c>
      <c r="AS120" s="1639"/>
      <c r="AT120" s="1639"/>
      <c r="AU120" s="25">
        <v>15.01</v>
      </c>
      <c r="AV120" s="10"/>
      <c r="AW120" s="1172"/>
      <c r="AX120" s="11"/>
      <c r="AY120" s="1172"/>
      <c r="AZ120" s="10"/>
      <c r="BA120" s="1172"/>
      <c r="BB120" s="11"/>
      <c r="BC120" s="1172"/>
      <c r="BD120" s="10"/>
      <c r="BE120" s="1172"/>
      <c r="BF120" s="11"/>
      <c r="BG120" s="1172"/>
      <c r="BH120" s="10"/>
      <c r="BI120" s="1172"/>
      <c r="BJ120" s="11"/>
      <c r="BK120" s="1172"/>
    </row>
    <row r="121" spans="1:64" s="8" customFormat="1" ht="71.25" customHeight="1" thickBot="1">
      <c r="A121" s="1684"/>
      <c r="B121" s="1658"/>
      <c r="C121" s="1687"/>
      <c r="D121" s="1699"/>
      <c r="E121" s="1699"/>
      <c r="F121" s="1699"/>
      <c r="G121" s="1667"/>
      <c r="H121" s="1667"/>
      <c r="I121" s="1670"/>
      <c r="J121" s="1690"/>
      <c r="K121" s="1670"/>
      <c r="L121" s="1677"/>
      <c r="M121" s="1640"/>
      <c r="N121" s="1640"/>
      <c r="O121" s="1678"/>
      <c r="P121" s="1681"/>
      <c r="Q121" s="1681"/>
      <c r="R121" s="1637"/>
      <c r="S121" s="1637"/>
      <c r="T121" s="1640"/>
      <c r="U121" s="1640"/>
      <c r="V121" s="1667"/>
      <c r="W121" s="1640"/>
      <c r="X121" s="1640"/>
      <c r="Y121" s="1678"/>
      <c r="Z121" s="180">
        <v>1724.87</v>
      </c>
      <c r="AA121" s="1678"/>
      <c r="AB121" s="180">
        <v>2102.75</v>
      </c>
      <c r="AC121" s="1649"/>
      <c r="AD121" s="12"/>
      <c r="AE121" s="1649"/>
      <c r="AF121" s="1652"/>
      <c r="AG121" s="1646"/>
      <c r="AH121" s="13"/>
      <c r="AI121" s="1646"/>
      <c r="AJ121" s="13"/>
      <c r="AK121" s="1701"/>
      <c r="AL121" s="1701"/>
      <c r="AM121" s="1701"/>
      <c r="AN121" s="1667"/>
      <c r="AO121" s="1640"/>
      <c r="AP121" s="1716"/>
      <c r="AQ121" s="1667"/>
      <c r="AR121" s="180">
        <v>187.84</v>
      </c>
      <c r="AS121" s="1640"/>
      <c r="AT121" s="1640"/>
      <c r="AU121" s="180">
        <v>24.76</v>
      </c>
      <c r="AV121" s="13"/>
      <c r="AW121" s="1173"/>
      <c r="AX121" s="15"/>
      <c r="AY121" s="1173"/>
      <c r="AZ121" s="13"/>
      <c r="BA121" s="1173"/>
      <c r="BB121" s="15"/>
      <c r="BC121" s="1173"/>
      <c r="BD121" s="13"/>
      <c r="BE121" s="1173"/>
      <c r="BF121" s="15"/>
      <c r="BG121" s="1173"/>
      <c r="BH121" s="13"/>
      <c r="BI121" s="1173"/>
      <c r="BJ121" s="15"/>
      <c r="BK121" s="1173"/>
    </row>
    <row r="122" spans="1:64" s="8" customFormat="1" ht="71.25" customHeight="1">
      <c r="A122" s="1682" t="s">
        <v>132</v>
      </c>
      <c r="B122" s="1656"/>
      <c r="C122" s="1717">
        <v>453603000</v>
      </c>
      <c r="D122" s="1707" t="s">
        <v>133</v>
      </c>
      <c r="E122" s="1662" t="s">
        <v>134</v>
      </c>
      <c r="F122" s="1707" t="s">
        <v>134</v>
      </c>
      <c r="G122" s="1665" t="s">
        <v>3654</v>
      </c>
      <c r="H122" s="1697" t="s">
        <v>432</v>
      </c>
      <c r="I122" s="1668" t="s">
        <v>2474</v>
      </c>
      <c r="J122" s="1671">
        <v>42887</v>
      </c>
      <c r="K122" s="1674">
        <v>43466</v>
      </c>
      <c r="L122" s="1708">
        <v>3</v>
      </c>
      <c r="M122" s="1662" t="s">
        <v>50</v>
      </c>
      <c r="N122" s="1662" t="s">
        <v>49</v>
      </c>
      <c r="O122" s="1656"/>
      <c r="P122" s="1679" t="s">
        <v>72</v>
      </c>
      <c r="Q122" s="1656" t="s">
        <v>73</v>
      </c>
      <c r="R122" s="1694" t="s">
        <v>4244</v>
      </c>
      <c r="S122" s="1694" t="s">
        <v>4244</v>
      </c>
      <c r="T122" s="1662" t="s">
        <v>303</v>
      </c>
      <c r="U122" s="1662" t="s">
        <v>2503</v>
      </c>
      <c r="V122" s="1665" t="s">
        <v>252</v>
      </c>
      <c r="W122" s="1665" t="s">
        <v>307</v>
      </c>
      <c r="X122" s="1665" t="s">
        <v>113</v>
      </c>
      <c r="Y122" s="1707" t="s">
        <v>87</v>
      </c>
      <c r="Z122" s="81">
        <v>786.13</v>
      </c>
      <c r="AA122" s="1737" t="s">
        <v>403</v>
      </c>
      <c r="AB122" s="81">
        <v>475.5</v>
      </c>
      <c r="AC122" s="1647"/>
      <c r="AD122" s="1"/>
      <c r="AE122" s="1647"/>
      <c r="AF122" s="1"/>
      <c r="AG122" s="1647"/>
      <c r="AH122" s="1"/>
      <c r="AI122" s="1647"/>
      <c r="AJ122" s="1"/>
      <c r="AK122" s="1706" t="s">
        <v>85</v>
      </c>
      <c r="AL122" s="1665" t="s">
        <v>245</v>
      </c>
      <c r="AM122" s="1665" t="s">
        <v>246</v>
      </c>
      <c r="AN122" s="1665" t="s">
        <v>248</v>
      </c>
      <c r="AO122" s="1697" t="s">
        <v>2499</v>
      </c>
      <c r="AP122" s="1697" t="s">
        <v>2495</v>
      </c>
      <c r="AQ122" s="1665" t="s">
        <v>386</v>
      </c>
      <c r="AR122" s="81">
        <v>71.91</v>
      </c>
      <c r="AS122" s="1665" t="s">
        <v>2483</v>
      </c>
      <c r="AT122" s="1665" t="s">
        <v>2486</v>
      </c>
      <c r="AU122" s="81">
        <v>9.6300000000000008</v>
      </c>
      <c r="AV122" s="3" t="s">
        <v>56</v>
      </c>
      <c r="AW122" s="597" t="s">
        <v>57</v>
      </c>
      <c r="AX122" s="181">
        <v>9.0999999999999998E-2</v>
      </c>
      <c r="AY122" s="668" t="s">
        <v>58</v>
      </c>
      <c r="AZ122" s="25" t="s">
        <v>59</v>
      </c>
      <c r="BA122" s="669" t="s">
        <v>60</v>
      </c>
      <c r="BB122" s="182" t="s">
        <v>61</v>
      </c>
      <c r="BC122" s="669" t="s">
        <v>58</v>
      </c>
      <c r="BD122" s="23" t="s">
        <v>62</v>
      </c>
      <c r="BE122" s="668" t="s">
        <v>81</v>
      </c>
      <c r="BF122" s="181">
        <v>9.4E-2</v>
      </c>
      <c r="BG122" s="668" t="s">
        <v>64</v>
      </c>
      <c r="BH122" s="2"/>
      <c r="BI122" s="594"/>
      <c r="BJ122" s="7"/>
      <c r="BK122" s="594"/>
    </row>
    <row r="123" spans="1:64" s="8" customFormat="1" ht="71.25" customHeight="1">
      <c r="A123" s="1683"/>
      <c r="B123" s="1657"/>
      <c r="C123" s="1718"/>
      <c r="D123" s="1700"/>
      <c r="E123" s="1700"/>
      <c r="F123" s="1700"/>
      <c r="G123" s="1666"/>
      <c r="H123" s="1657"/>
      <c r="I123" s="1669"/>
      <c r="J123" s="1672"/>
      <c r="K123" s="1669"/>
      <c r="L123" s="1676"/>
      <c r="M123" s="1700"/>
      <c r="N123" s="1700"/>
      <c r="O123" s="1657"/>
      <c r="P123" s="1680"/>
      <c r="Q123" s="1657"/>
      <c r="R123" s="1636"/>
      <c r="S123" s="1636"/>
      <c r="T123" s="1700"/>
      <c r="U123" s="1700"/>
      <c r="V123" s="1666"/>
      <c r="W123" s="1666"/>
      <c r="X123" s="1666"/>
      <c r="Y123" s="1700"/>
      <c r="Z123" s="27">
        <v>1721.63</v>
      </c>
      <c r="AA123" s="1769"/>
      <c r="AB123" s="27">
        <v>1041.3499999999999</v>
      </c>
      <c r="AC123" s="1648"/>
      <c r="AD123" s="9"/>
      <c r="AE123" s="1648"/>
      <c r="AF123" s="9"/>
      <c r="AG123" s="1648"/>
      <c r="AH123" s="9"/>
      <c r="AI123" s="1648"/>
      <c r="AJ123" s="9"/>
      <c r="AK123" s="1666"/>
      <c r="AL123" s="1666"/>
      <c r="AM123" s="1666"/>
      <c r="AN123" s="1666"/>
      <c r="AO123" s="1715"/>
      <c r="AP123" s="1715"/>
      <c r="AQ123" s="1666"/>
      <c r="AR123" s="27">
        <v>146.65</v>
      </c>
      <c r="AS123" s="1666"/>
      <c r="AT123" s="1666"/>
      <c r="AU123" s="27">
        <v>19.3</v>
      </c>
      <c r="AV123" s="19" t="s">
        <v>65</v>
      </c>
      <c r="AW123" s="29" t="s">
        <v>57</v>
      </c>
      <c r="AX123" s="670">
        <v>0.02</v>
      </c>
      <c r="AY123" s="671" t="s">
        <v>58</v>
      </c>
      <c r="AZ123" s="220" t="s">
        <v>66</v>
      </c>
      <c r="BA123" s="669" t="s">
        <v>60</v>
      </c>
      <c r="BB123" s="182" t="s">
        <v>61</v>
      </c>
      <c r="BC123" s="669" t="s">
        <v>58</v>
      </c>
      <c r="BD123" s="25" t="s">
        <v>67</v>
      </c>
      <c r="BE123" s="669" t="s">
        <v>82</v>
      </c>
      <c r="BF123" s="182">
        <v>0.25</v>
      </c>
      <c r="BG123" s="669" t="s">
        <v>69</v>
      </c>
      <c r="BH123" s="10"/>
      <c r="BI123" s="595"/>
      <c r="BJ123" s="11"/>
      <c r="BK123" s="595"/>
    </row>
    <row r="124" spans="1:64" s="8" customFormat="1" ht="71.25" customHeight="1">
      <c r="A124" s="1683"/>
      <c r="B124" s="1657"/>
      <c r="C124" s="1718"/>
      <c r="D124" s="1700"/>
      <c r="E124" s="1700"/>
      <c r="F124" s="1700"/>
      <c r="G124" s="1666"/>
      <c r="H124" s="1657"/>
      <c r="I124" s="1669"/>
      <c r="J124" s="1672"/>
      <c r="K124" s="1669"/>
      <c r="L124" s="1676"/>
      <c r="M124" s="1700"/>
      <c r="N124" s="1700"/>
      <c r="O124" s="1657"/>
      <c r="P124" s="1680"/>
      <c r="Q124" s="1657"/>
      <c r="R124" s="1636"/>
      <c r="S124" s="1636"/>
      <c r="T124" s="1700"/>
      <c r="U124" s="1700"/>
      <c r="V124" s="1666"/>
      <c r="W124" s="1666"/>
      <c r="X124" s="1666"/>
      <c r="Y124" s="1700"/>
      <c r="Z124" s="27">
        <v>1493.66</v>
      </c>
      <c r="AA124" s="1769"/>
      <c r="AB124" s="27">
        <v>903.45</v>
      </c>
      <c r="AC124" s="1648"/>
      <c r="AD124" s="9"/>
      <c r="AE124" s="1648"/>
      <c r="AF124" s="9"/>
      <c r="AG124" s="1648"/>
      <c r="AH124" s="9"/>
      <c r="AI124" s="1648"/>
      <c r="AJ124" s="9"/>
      <c r="AK124" s="1666"/>
      <c r="AL124" s="1666"/>
      <c r="AM124" s="1666"/>
      <c r="AN124" s="1666"/>
      <c r="AO124" s="1715"/>
      <c r="AP124" s="1715"/>
      <c r="AQ124" s="1666"/>
      <c r="AR124" s="27">
        <v>164.51</v>
      </c>
      <c r="AS124" s="1666"/>
      <c r="AT124" s="1666"/>
      <c r="AU124" s="27">
        <v>16.34</v>
      </c>
      <c r="AV124" s="10"/>
      <c r="AW124" s="595"/>
      <c r="AX124" s="11"/>
      <c r="AY124" s="595"/>
      <c r="AZ124" s="10"/>
      <c r="BA124" s="595"/>
      <c r="BB124" s="11"/>
      <c r="BC124" s="595"/>
      <c r="BD124" s="10"/>
      <c r="BE124" s="595"/>
      <c r="BF124" s="11"/>
      <c r="BG124" s="595"/>
      <c r="BH124" s="10"/>
      <c r="BI124" s="595"/>
      <c r="BJ124" s="11"/>
      <c r="BK124" s="595"/>
    </row>
    <row r="125" spans="1:64" s="8" customFormat="1" ht="71.25" customHeight="1" thickBot="1">
      <c r="A125" s="1684"/>
      <c r="B125" s="1678"/>
      <c r="C125" s="1719"/>
      <c r="D125" s="1701"/>
      <c r="E125" s="1701"/>
      <c r="F125" s="1701"/>
      <c r="G125" s="1667"/>
      <c r="H125" s="1658"/>
      <c r="I125" s="1670"/>
      <c r="J125" s="1673"/>
      <c r="K125" s="1670"/>
      <c r="L125" s="1677"/>
      <c r="M125" s="1701"/>
      <c r="N125" s="1701"/>
      <c r="O125" s="1678"/>
      <c r="P125" s="1681"/>
      <c r="Q125" s="1678"/>
      <c r="R125" s="1637"/>
      <c r="S125" s="1637"/>
      <c r="T125" s="1701"/>
      <c r="U125" s="1701"/>
      <c r="V125" s="1667"/>
      <c r="W125" s="1667"/>
      <c r="X125" s="1667"/>
      <c r="Y125" s="1701"/>
      <c r="Z125" s="82">
        <v>2389.85</v>
      </c>
      <c r="AA125" s="1770"/>
      <c r="AB125" s="82">
        <v>1445.53</v>
      </c>
      <c r="AC125" s="1649"/>
      <c r="AD125" s="12"/>
      <c r="AE125" s="1649"/>
      <c r="AF125" s="12"/>
      <c r="AG125" s="1649"/>
      <c r="AH125" s="12"/>
      <c r="AI125" s="1649"/>
      <c r="AJ125" s="12"/>
      <c r="AK125" s="1667"/>
      <c r="AL125" s="1667"/>
      <c r="AM125" s="1667"/>
      <c r="AN125" s="1667"/>
      <c r="AO125" s="1716"/>
      <c r="AP125" s="1716"/>
      <c r="AQ125" s="1667"/>
      <c r="AR125" s="82">
        <v>256.20999999999998</v>
      </c>
      <c r="AS125" s="1667"/>
      <c r="AT125" s="1667"/>
      <c r="AU125" s="82">
        <v>26.95</v>
      </c>
      <c r="AV125" s="13"/>
      <c r="AW125" s="596"/>
      <c r="AX125" s="15"/>
      <c r="AY125" s="596"/>
      <c r="AZ125" s="13"/>
      <c r="BA125" s="596"/>
      <c r="BB125" s="15"/>
      <c r="BC125" s="596"/>
      <c r="BD125" s="13"/>
      <c r="BE125" s="596"/>
      <c r="BF125" s="15"/>
      <c r="BG125" s="596"/>
      <c r="BH125" s="13"/>
      <c r="BI125" s="596"/>
      <c r="BJ125" s="15"/>
      <c r="BK125" s="596"/>
    </row>
    <row r="126" spans="1:64" s="8" customFormat="1" ht="71.25" customHeight="1">
      <c r="A126" s="1682" t="s">
        <v>357</v>
      </c>
      <c r="B126" s="1706"/>
      <c r="C126" s="1720">
        <v>330887500</v>
      </c>
      <c r="D126" s="1662" t="s">
        <v>368</v>
      </c>
      <c r="E126" s="1638" t="s">
        <v>369</v>
      </c>
      <c r="F126" s="1638" t="s">
        <v>3582</v>
      </c>
      <c r="G126" s="1665" t="s">
        <v>3665</v>
      </c>
      <c r="H126" s="1665" t="s">
        <v>4238</v>
      </c>
      <c r="I126" s="1668" t="s">
        <v>2473</v>
      </c>
      <c r="J126" s="1674">
        <v>43101</v>
      </c>
      <c r="K126" s="1674">
        <v>43466</v>
      </c>
      <c r="L126" s="1708">
        <v>33</v>
      </c>
      <c r="M126" s="1638" t="s">
        <v>48</v>
      </c>
      <c r="N126" s="1638" t="s">
        <v>354</v>
      </c>
      <c r="O126" s="1706"/>
      <c r="P126" s="1694" t="s">
        <v>50</v>
      </c>
      <c r="Q126" s="1694" t="s">
        <v>73</v>
      </c>
      <c r="R126" s="1694" t="s">
        <v>4244</v>
      </c>
      <c r="S126" s="1694" t="s">
        <v>4244</v>
      </c>
      <c r="T126" s="1638" t="s">
        <v>317</v>
      </c>
      <c r="U126" s="1638" t="s">
        <v>2477</v>
      </c>
      <c r="V126" s="1665" t="s">
        <v>252</v>
      </c>
      <c r="W126" s="1665" t="s">
        <v>307</v>
      </c>
      <c r="X126" s="1665" t="s">
        <v>113</v>
      </c>
      <c r="Y126" s="1656" t="s">
        <v>124</v>
      </c>
      <c r="Z126" s="23">
        <v>554.71</v>
      </c>
      <c r="AA126" s="1707" t="s">
        <v>93</v>
      </c>
      <c r="AB126" s="23">
        <v>653.54</v>
      </c>
      <c r="AC126" s="1697" t="s">
        <v>403</v>
      </c>
      <c r="AD126" s="23">
        <v>410.5</v>
      </c>
      <c r="AE126" s="1644"/>
      <c r="AF126" s="2"/>
      <c r="AG126" s="1644"/>
      <c r="AH126" s="2"/>
      <c r="AI126" s="1644"/>
      <c r="AJ126" s="2"/>
      <c r="AK126" s="1662" t="s">
        <v>85</v>
      </c>
      <c r="AL126" s="1662" t="s">
        <v>245</v>
      </c>
      <c r="AM126" s="1662" t="s">
        <v>246</v>
      </c>
      <c r="AN126" s="1638" t="s">
        <v>420</v>
      </c>
      <c r="AO126" s="1638" t="s">
        <v>2489</v>
      </c>
      <c r="AP126" s="1638" t="s">
        <v>2481</v>
      </c>
      <c r="AQ126" s="1665" t="s">
        <v>421</v>
      </c>
      <c r="AR126" s="81">
        <v>48.12</v>
      </c>
      <c r="AS126" s="1665" t="s">
        <v>2483</v>
      </c>
      <c r="AT126" s="1665" t="s">
        <v>2488</v>
      </c>
      <c r="AU126" s="81">
        <v>9.8000000000000007</v>
      </c>
      <c r="AV126" s="23" t="s">
        <v>56</v>
      </c>
      <c r="AW126" s="404" t="s">
        <v>1249</v>
      </c>
      <c r="AX126" s="181">
        <v>9.4E-2</v>
      </c>
      <c r="AY126" s="404" t="s">
        <v>58</v>
      </c>
      <c r="AZ126" s="25" t="s">
        <v>59</v>
      </c>
      <c r="BA126" s="405" t="s">
        <v>60</v>
      </c>
      <c r="BB126" s="182" t="s">
        <v>61</v>
      </c>
      <c r="BC126" s="405" t="s">
        <v>58</v>
      </c>
      <c r="BD126" s="2"/>
      <c r="BE126" s="642"/>
      <c r="BF126" s="7"/>
      <c r="BG126" s="642"/>
      <c r="BH126" s="23" t="s">
        <v>94</v>
      </c>
      <c r="BI126" s="6" t="s">
        <v>95</v>
      </c>
      <c r="BJ126" s="6" t="s">
        <v>61</v>
      </c>
      <c r="BK126" s="24" t="s">
        <v>96</v>
      </c>
    </row>
    <row r="127" spans="1:64" s="8" customFormat="1" ht="71.25" customHeight="1">
      <c r="A127" s="1683"/>
      <c r="B127" s="1666"/>
      <c r="C127" s="1729"/>
      <c r="D127" s="1700"/>
      <c r="E127" s="1639"/>
      <c r="F127" s="1639"/>
      <c r="G127" s="1666"/>
      <c r="H127" s="1666"/>
      <c r="I127" s="1669"/>
      <c r="J127" s="1669"/>
      <c r="K127" s="1669"/>
      <c r="L127" s="1676"/>
      <c r="M127" s="1639"/>
      <c r="N127" s="1639"/>
      <c r="O127" s="1666"/>
      <c r="P127" s="1695"/>
      <c r="Q127" s="1695"/>
      <c r="R127" s="1695"/>
      <c r="S127" s="1695"/>
      <c r="T127" s="1639"/>
      <c r="U127" s="1639"/>
      <c r="V127" s="1666"/>
      <c r="W127" s="1666"/>
      <c r="X127" s="1666"/>
      <c r="Y127" s="1657"/>
      <c r="Z127" s="25">
        <v>1214.81</v>
      </c>
      <c r="AA127" s="1700"/>
      <c r="AB127" s="25">
        <v>1431.25</v>
      </c>
      <c r="AC127" s="1657"/>
      <c r="AD127" s="25">
        <v>899.01</v>
      </c>
      <c r="AE127" s="1645"/>
      <c r="AF127" s="10"/>
      <c r="AG127" s="1645"/>
      <c r="AH127" s="10"/>
      <c r="AI127" s="1645"/>
      <c r="AJ127" s="10"/>
      <c r="AK127" s="1700"/>
      <c r="AL127" s="1700"/>
      <c r="AM127" s="1700"/>
      <c r="AN127" s="1639" t="s">
        <v>248</v>
      </c>
      <c r="AO127" s="1639"/>
      <c r="AP127" s="1639"/>
      <c r="AQ127" s="1666"/>
      <c r="AR127" s="27">
        <v>98.4</v>
      </c>
      <c r="AS127" s="1666"/>
      <c r="AT127" s="1666"/>
      <c r="AU127" s="27">
        <v>19.63</v>
      </c>
      <c r="AV127" s="25" t="s">
        <v>65</v>
      </c>
      <c r="AW127" s="405" t="s">
        <v>1249</v>
      </c>
      <c r="AX127" s="182">
        <v>0.02</v>
      </c>
      <c r="AY127" s="405" t="s">
        <v>58</v>
      </c>
      <c r="AZ127" s="25" t="s">
        <v>66</v>
      </c>
      <c r="BA127" s="405" t="s">
        <v>60</v>
      </c>
      <c r="BB127" s="182" t="s">
        <v>61</v>
      </c>
      <c r="BC127" s="405" t="s">
        <v>58</v>
      </c>
      <c r="BD127" s="25" t="s">
        <v>67</v>
      </c>
      <c r="BE127" s="644" t="s">
        <v>82</v>
      </c>
      <c r="BF127" s="182">
        <v>0.25</v>
      </c>
      <c r="BG127" s="644" t="s">
        <v>69</v>
      </c>
      <c r="BH127" s="25" t="s">
        <v>97</v>
      </c>
      <c r="BI127" s="6" t="s">
        <v>95</v>
      </c>
      <c r="BJ127" s="6" t="s">
        <v>61</v>
      </c>
      <c r="BK127" s="26" t="s">
        <v>96</v>
      </c>
    </row>
    <row r="128" spans="1:64" s="8" customFormat="1" ht="71.25" customHeight="1">
      <c r="A128" s="1683"/>
      <c r="B128" s="1666"/>
      <c r="C128" s="1729"/>
      <c r="D128" s="1700"/>
      <c r="E128" s="1639"/>
      <c r="F128" s="1639"/>
      <c r="G128" s="1666"/>
      <c r="H128" s="1666"/>
      <c r="I128" s="1669"/>
      <c r="J128" s="1669"/>
      <c r="K128" s="1669"/>
      <c r="L128" s="1676"/>
      <c r="M128" s="1639"/>
      <c r="N128" s="1639"/>
      <c r="O128" s="1666"/>
      <c r="P128" s="1695"/>
      <c r="Q128" s="1695"/>
      <c r="R128" s="1695"/>
      <c r="S128" s="1695"/>
      <c r="T128" s="1639"/>
      <c r="U128" s="1639"/>
      <c r="V128" s="1666"/>
      <c r="W128" s="1666"/>
      <c r="X128" s="1666"/>
      <c r="Y128" s="1657"/>
      <c r="Z128" s="25">
        <v>1053.94</v>
      </c>
      <c r="AA128" s="1700"/>
      <c r="AB128" s="25">
        <v>1241.73</v>
      </c>
      <c r="AC128" s="1657"/>
      <c r="AD128" s="25">
        <v>779.95</v>
      </c>
      <c r="AE128" s="1645"/>
      <c r="AF128" s="10"/>
      <c r="AG128" s="1645"/>
      <c r="AH128" s="10"/>
      <c r="AI128" s="1645"/>
      <c r="AJ128" s="10"/>
      <c r="AK128" s="1700"/>
      <c r="AL128" s="1700"/>
      <c r="AM128" s="1700"/>
      <c r="AN128" s="1639" t="s">
        <v>248</v>
      </c>
      <c r="AO128" s="1639"/>
      <c r="AP128" s="1639"/>
      <c r="AQ128" s="1666"/>
      <c r="AR128" s="27">
        <v>101.66</v>
      </c>
      <c r="AS128" s="1666"/>
      <c r="AT128" s="1666"/>
      <c r="AU128" s="27">
        <v>16.62</v>
      </c>
      <c r="AV128" s="10"/>
      <c r="AW128" s="190"/>
      <c r="AX128" s="11"/>
      <c r="AY128" s="190"/>
      <c r="AZ128" s="10"/>
      <c r="BA128" s="190"/>
      <c r="BB128" s="11"/>
      <c r="BC128" s="190"/>
      <c r="BD128" s="10"/>
      <c r="BE128" s="190"/>
      <c r="BF128" s="11"/>
      <c r="BG128" s="190"/>
      <c r="BH128" s="25" t="s">
        <v>98</v>
      </c>
      <c r="BI128" s="182" t="s">
        <v>95</v>
      </c>
      <c r="BJ128" s="182" t="s">
        <v>61</v>
      </c>
      <c r="BK128" s="314" t="s">
        <v>79</v>
      </c>
    </row>
    <row r="129" spans="1:63" s="8" customFormat="1" ht="71.25" customHeight="1" thickBot="1">
      <c r="A129" s="1684"/>
      <c r="B129" s="1667"/>
      <c r="C129" s="1730"/>
      <c r="D129" s="1701"/>
      <c r="E129" s="1640"/>
      <c r="F129" s="1640"/>
      <c r="G129" s="1667"/>
      <c r="H129" s="1667"/>
      <c r="I129" s="1670"/>
      <c r="J129" s="1670"/>
      <c r="K129" s="1670"/>
      <c r="L129" s="1677"/>
      <c r="M129" s="1640"/>
      <c r="N129" s="1640"/>
      <c r="O129" s="1667"/>
      <c r="P129" s="1696"/>
      <c r="Q129" s="1696"/>
      <c r="R129" s="1696"/>
      <c r="S129" s="1696"/>
      <c r="T129" s="1640"/>
      <c r="U129" s="1640"/>
      <c r="V129" s="1667"/>
      <c r="W129" s="1667"/>
      <c r="X129" s="1667"/>
      <c r="Y129" s="1678"/>
      <c r="Z129" s="180">
        <v>1686.31</v>
      </c>
      <c r="AA129" s="1701"/>
      <c r="AB129" s="180">
        <v>1986.75</v>
      </c>
      <c r="AC129" s="1678"/>
      <c r="AD129" s="180">
        <v>1247.93</v>
      </c>
      <c r="AE129" s="1646"/>
      <c r="AF129" s="13"/>
      <c r="AG129" s="1646"/>
      <c r="AH129" s="13"/>
      <c r="AI129" s="1646"/>
      <c r="AJ129" s="13"/>
      <c r="AK129" s="1701"/>
      <c r="AL129" s="1701"/>
      <c r="AM129" s="1701"/>
      <c r="AN129" s="1640" t="s">
        <v>248</v>
      </c>
      <c r="AO129" s="1640"/>
      <c r="AP129" s="1640"/>
      <c r="AQ129" s="1667"/>
      <c r="AR129" s="82">
        <v>162.21</v>
      </c>
      <c r="AS129" s="1667"/>
      <c r="AT129" s="1667"/>
      <c r="AU129" s="82">
        <v>27.4</v>
      </c>
      <c r="AV129" s="13"/>
      <c r="AW129" s="191"/>
      <c r="AX129" s="15"/>
      <c r="AY129" s="191"/>
      <c r="AZ129" s="13"/>
      <c r="BA129" s="191"/>
      <c r="BB129" s="15"/>
      <c r="BC129" s="191"/>
      <c r="BD129" s="13"/>
      <c r="BE129" s="191"/>
      <c r="BF129" s="15"/>
      <c r="BG129" s="191"/>
      <c r="BH129" s="13"/>
      <c r="BI129" s="191"/>
      <c r="BJ129" s="15"/>
      <c r="BK129" s="191"/>
    </row>
    <row r="130" spans="1:63" s="8" customFormat="1" ht="71.25" customHeight="1">
      <c r="A130" s="1682" t="s">
        <v>4567</v>
      </c>
      <c r="B130" s="1656"/>
      <c r="C130" s="1685" t="s">
        <v>4569</v>
      </c>
      <c r="D130" s="1662" t="s">
        <v>4568</v>
      </c>
      <c r="E130" s="1662" t="s">
        <v>4570</v>
      </c>
      <c r="F130" s="1662" t="s">
        <v>4570</v>
      </c>
      <c r="G130" s="1638" t="s">
        <v>3665</v>
      </c>
      <c r="H130" s="1638" t="s">
        <v>4336</v>
      </c>
      <c r="I130" s="1668" t="s">
        <v>2473</v>
      </c>
      <c r="J130" s="1688">
        <v>43282</v>
      </c>
      <c r="K130" s="1674">
        <v>43466</v>
      </c>
      <c r="L130" s="1691">
        <v>4</v>
      </c>
      <c r="M130" s="1638" t="s">
        <v>50</v>
      </c>
      <c r="N130" s="1638" t="s">
        <v>354</v>
      </c>
      <c r="O130" s="1694"/>
      <c r="P130" s="1679" t="s">
        <v>72</v>
      </c>
      <c r="Q130" s="1638" t="s">
        <v>73</v>
      </c>
      <c r="R130" s="1635" t="s">
        <v>4243</v>
      </c>
      <c r="S130" s="1635" t="s">
        <v>4243</v>
      </c>
      <c r="T130" s="1638" t="s">
        <v>317</v>
      </c>
      <c r="U130" s="1638" t="s">
        <v>2504</v>
      </c>
      <c r="V130" s="1665" t="s">
        <v>252</v>
      </c>
      <c r="W130" s="1638" t="s">
        <v>307</v>
      </c>
      <c r="X130" s="1638" t="s">
        <v>113</v>
      </c>
      <c r="Y130" s="1694" t="s">
        <v>403</v>
      </c>
      <c r="Z130" s="23">
        <v>496.93</v>
      </c>
      <c r="AA130" s="1647"/>
      <c r="AB130" s="1650"/>
      <c r="AC130" s="1647"/>
      <c r="AD130" s="1650"/>
      <c r="AE130" s="1647"/>
      <c r="AF130" s="1650"/>
      <c r="AG130" s="1644"/>
      <c r="AH130" s="2"/>
      <c r="AI130" s="1644"/>
      <c r="AJ130" s="2"/>
      <c r="AK130" s="1662" t="s">
        <v>85</v>
      </c>
      <c r="AL130" s="1662" t="s">
        <v>245</v>
      </c>
      <c r="AM130" s="1662" t="s">
        <v>246</v>
      </c>
      <c r="AN130" s="1665" t="s">
        <v>250</v>
      </c>
      <c r="AO130" s="1638" t="s">
        <v>2494</v>
      </c>
      <c r="AP130" s="1638" t="s">
        <v>2495</v>
      </c>
      <c r="AQ130" s="1697" t="s">
        <v>388</v>
      </c>
      <c r="AR130" s="23">
        <v>64.13</v>
      </c>
      <c r="AS130" s="1638" t="s">
        <v>2483</v>
      </c>
      <c r="AT130" s="1638" t="s">
        <v>2484</v>
      </c>
      <c r="AU130" s="23">
        <v>8.85</v>
      </c>
      <c r="AV130" s="23" t="s">
        <v>56</v>
      </c>
      <c r="AW130" s="1189" t="s">
        <v>148</v>
      </c>
      <c r="AX130" s="181">
        <v>0.09</v>
      </c>
      <c r="AY130" s="1203" t="s">
        <v>58</v>
      </c>
      <c r="AZ130" s="25" t="s">
        <v>59</v>
      </c>
      <c r="BA130" s="1204" t="s">
        <v>60</v>
      </c>
      <c r="BB130" s="182" t="s">
        <v>61</v>
      </c>
      <c r="BC130" s="1185" t="s">
        <v>58</v>
      </c>
      <c r="BD130" s="23" t="s">
        <v>62</v>
      </c>
      <c r="BE130" s="1184" t="s">
        <v>63</v>
      </c>
      <c r="BF130" s="181">
        <v>0.11899999999999999</v>
      </c>
      <c r="BG130" s="1184" t="s">
        <v>64</v>
      </c>
      <c r="BH130" s="1196"/>
      <c r="BI130" s="1197"/>
      <c r="BJ130" s="7"/>
      <c r="BK130" s="1197"/>
    </row>
    <row r="131" spans="1:63" s="8" customFormat="1" ht="71.25" customHeight="1">
      <c r="A131" s="1683"/>
      <c r="B131" s="1657"/>
      <c r="C131" s="1686"/>
      <c r="D131" s="1663"/>
      <c r="E131" s="1663"/>
      <c r="F131" s="1663"/>
      <c r="G131" s="1639"/>
      <c r="H131" s="1639"/>
      <c r="I131" s="1669"/>
      <c r="J131" s="1689"/>
      <c r="K131" s="1669"/>
      <c r="L131" s="1692"/>
      <c r="M131" s="1639"/>
      <c r="N131" s="1639"/>
      <c r="O131" s="1695"/>
      <c r="P131" s="1680"/>
      <c r="Q131" s="1639"/>
      <c r="R131" s="1636"/>
      <c r="S131" s="1636"/>
      <c r="T131" s="1639"/>
      <c r="U131" s="1639"/>
      <c r="V131" s="1666"/>
      <c r="W131" s="1639"/>
      <c r="X131" s="1639"/>
      <c r="Y131" s="1695"/>
      <c r="Z131" s="25">
        <v>1088.27</v>
      </c>
      <c r="AA131" s="1648"/>
      <c r="AB131" s="1651"/>
      <c r="AC131" s="1648"/>
      <c r="AD131" s="1651"/>
      <c r="AE131" s="1648"/>
      <c r="AF131" s="1651"/>
      <c r="AG131" s="1645"/>
      <c r="AH131" s="10"/>
      <c r="AI131" s="1645"/>
      <c r="AJ131" s="10"/>
      <c r="AK131" s="1700"/>
      <c r="AL131" s="1700"/>
      <c r="AM131" s="1700"/>
      <c r="AN131" s="1666"/>
      <c r="AO131" s="1639"/>
      <c r="AP131" s="1639"/>
      <c r="AQ131" s="1657"/>
      <c r="AR131" s="25">
        <v>130.79</v>
      </c>
      <c r="AS131" s="1639"/>
      <c r="AT131" s="1639"/>
      <c r="AU131" s="25">
        <v>17.739999999999998</v>
      </c>
      <c r="AV131" s="25" t="s">
        <v>65</v>
      </c>
      <c r="AW131" s="1190" t="s">
        <v>148</v>
      </c>
      <c r="AX131" s="182">
        <v>2.3E-2</v>
      </c>
      <c r="AY131" s="1204" t="s">
        <v>58</v>
      </c>
      <c r="AZ131" s="220" t="s">
        <v>66</v>
      </c>
      <c r="BA131" s="1204" t="s">
        <v>60</v>
      </c>
      <c r="BB131" s="182" t="s">
        <v>61</v>
      </c>
      <c r="BC131" s="1185" t="s">
        <v>58</v>
      </c>
      <c r="BD131" s="25" t="s">
        <v>67</v>
      </c>
      <c r="BE131" s="1185" t="s">
        <v>68</v>
      </c>
      <c r="BF131" s="182">
        <v>0.35</v>
      </c>
      <c r="BG131" s="1185" t="s">
        <v>69</v>
      </c>
      <c r="BH131" s="1198"/>
      <c r="BI131" s="1199"/>
      <c r="BJ131" s="1200"/>
      <c r="BK131" s="1199"/>
    </row>
    <row r="132" spans="1:63" s="8" customFormat="1" ht="71.25" customHeight="1">
      <c r="A132" s="1683"/>
      <c r="B132" s="1657"/>
      <c r="C132" s="1686"/>
      <c r="D132" s="1663"/>
      <c r="E132" s="1663"/>
      <c r="F132" s="1663"/>
      <c r="G132" s="1639"/>
      <c r="H132" s="1639"/>
      <c r="I132" s="1669"/>
      <c r="J132" s="1689"/>
      <c r="K132" s="1669"/>
      <c r="L132" s="1692"/>
      <c r="M132" s="1639"/>
      <c r="N132" s="1639"/>
      <c r="O132" s="1695"/>
      <c r="P132" s="1680"/>
      <c r="Q132" s="1639"/>
      <c r="R132" s="1636"/>
      <c r="S132" s="1636"/>
      <c r="T132" s="1639"/>
      <c r="U132" s="1639"/>
      <c r="V132" s="1666"/>
      <c r="W132" s="1639"/>
      <c r="X132" s="1639"/>
      <c r="Y132" s="1695"/>
      <c r="Z132" s="25">
        <v>944.16</v>
      </c>
      <c r="AA132" s="1648"/>
      <c r="AB132" s="1651"/>
      <c r="AC132" s="1648"/>
      <c r="AD132" s="1651"/>
      <c r="AE132" s="1648"/>
      <c r="AF132" s="1651"/>
      <c r="AG132" s="1645"/>
      <c r="AH132" s="10"/>
      <c r="AI132" s="1645"/>
      <c r="AJ132" s="10"/>
      <c r="AK132" s="1700"/>
      <c r="AL132" s="1700"/>
      <c r="AM132" s="1700"/>
      <c r="AN132" s="1666"/>
      <c r="AO132" s="1639"/>
      <c r="AP132" s="1639"/>
      <c r="AQ132" s="1657"/>
      <c r="AR132" s="25">
        <v>153.37</v>
      </c>
      <c r="AS132" s="1639"/>
      <c r="AT132" s="1639"/>
      <c r="AU132" s="25">
        <v>15.01</v>
      </c>
      <c r="AV132" s="10"/>
      <c r="AW132" s="1179"/>
      <c r="AX132" s="11"/>
      <c r="AY132" s="1179"/>
      <c r="AZ132" s="10"/>
      <c r="BA132" s="1179"/>
      <c r="BB132" s="11"/>
      <c r="BC132" s="1179"/>
      <c r="BD132" s="10"/>
      <c r="BE132" s="1179"/>
      <c r="BF132" s="11"/>
      <c r="BG132" s="1179"/>
      <c r="BH132" s="1198"/>
      <c r="BI132" s="1199"/>
      <c r="BJ132" s="1200"/>
      <c r="BK132" s="1199"/>
    </row>
    <row r="133" spans="1:63" s="8" customFormat="1" ht="71.25" customHeight="1" thickBot="1">
      <c r="A133" s="1684"/>
      <c r="B133" s="1658"/>
      <c r="C133" s="1687"/>
      <c r="D133" s="1664"/>
      <c r="E133" s="1664"/>
      <c r="F133" s="1664"/>
      <c r="G133" s="1640"/>
      <c r="H133" s="1640"/>
      <c r="I133" s="1670"/>
      <c r="J133" s="1690"/>
      <c r="K133" s="1670"/>
      <c r="L133" s="1693"/>
      <c r="M133" s="1640"/>
      <c r="N133" s="1640"/>
      <c r="O133" s="1696"/>
      <c r="P133" s="1681"/>
      <c r="Q133" s="1640"/>
      <c r="R133" s="1637"/>
      <c r="S133" s="1637"/>
      <c r="T133" s="1640"/>
      <c r="U133" s="1640"/>
      <c r="V133" s="1667"/>
      <c r="W133" s="1640"/>
      <c r="X133" s="1640"/>
      <c r="Y133" s="1696"/>
      <c r="Z133" s="180">
        <v>1510.65</v>
      </c>
      <c r="AA133" s="1649"/>
      <c r="AB133" s="1652"/>
      <c r="AC133" s="1649"/>
      <c r="AD133" s="1652"/>
      <c r="AE133" s="1649"/>
      <c r="AF133" s="1652"/>
      <c r="AG133" s="1646"/>
      <c r="AH133" s="13"/>
      <c r="AI133" s="1646"/>
      <c r="AJ133" s="13"/>
      <c r="AK133" s="1701"/>
      <c r="AL133" s="1701"/>
      <c r="AM133" s="1701"/>
      <c r="AN133" s="1667"/>
      <c r="AO133" s="1640"/>
      <c r="AP133" s="1640"/>
      <c r="AQ133" s="1678"/>
      <c r="AR133" s="180">
        <v>236.29</v>
      </c>
      <c r="AS133" s="1640"/>
      <c r="AT133" s="1640"/>
      <c r="AU133" s="180">
        <v>24.76</v>
      </c>
      <c r="AV133" s="13"/>
      <c r="AW133" s="1180"/>
      <c r="AX133" s="15"/>
      <c r="AY133" s="1180"/>
      <c r="AZ133" s="13"/>
      <c r="BA133" s="1180"/>
      <c r="BB133" s="15"/>
      <c r="BC133" s="1180"/>
      <c r="BD133" s="13"/>
      <c r="BE133" s="1180"/>
      <c r="BF133" s="15"/>
      <c r="BG133" s="1180"/>
      <c r="BH133" s="336"/>
      <c r="BI133" s="1188"/>
      <c r="BJ133" s="334"/>
      <c r="BK133" s="1188"/>
    </row>
    <row r="134" spans="1:63" s="8" customFormat="1" ht="71.25" customHeight="1">
      <c r="A134" s="1682" t="s">
        <v>4560</v>
      </c>
      <c r="B134" s="1697" t="s">
        <v>4561</v>
      </c>
      <c r="C134" s="1685">
        <v>473557638</v>
      </c>
      <c r="D134" s="1638" t="s">
        <v>4564</v>
      </c>
      <c r="E134" s="1638" t="s">
        <v>4565</v>
      </c>
      <c r="F134" s="1638" t="s">
        <v>4566</v>
      </c>
      <c r="G134" s="1638" t="s">
        <v>3659</v>
      </c>
      <c r="H134" s="1638" t="s">
        <v>4562</v>
      </c>
      <c r="I134" s="1668" t="s">
        <v>2473</v>
      </c>
      <c r="J134" s="1688">
        <v>43282</v>
      </c>
      <c r="K134" s="1674">
        <v>43466</v>
      </c>
      <c r="L134" s="1691">
        <v>72</v>
      </c>
      <c r="M134" s="1638" t="s">
        <v>48</v>
      </c>
      <c r="N134" s="1638" t="s">
        <v>354</v>
      </c>
      <c r="O134" s="1656"/>
      <c r="P134" s="1679" t="s">
        <v>4563</v>
      </c>
      <c r="Q134" s="1694" t="s">
        <v>73</v>
      </c>
      <c r="R134" s="1635" t="s">
        <v>4243</v>
      </c>
      <c r="S134" s="1635" t="s">
        <v>4243</v>
      </c>
      <c r="T134" s="1638" t="s">
        <v>317</v>
      </c>
      <c r="U134" s="1638" t="s">
        <v>2477</v>
      </c>
      <c r="V134" s="1665" t="s">
        <v>252</v>
      </c>
      <c r="W134" s="1638" t="s">
        <v>307</v>
      </c>
      <c r="X134" s="1638" t="s">
        <v>113</v>
      </c>
      <c r="Y134" s="1662" t="s">
        <v>422</v>
      </c>
      <c r="Z134" s="23">
        <v>620.5</v>
      </c>
      <c r="AA134" s="1694" t="s">
        <v>403</v>
      </c>
      <c r="AB134" s="23">
        <v>410.5</v>
      </c>
      <c r="AC134" s="1702" t="s">
        <v>1299</v>
      </c>
      <c r="AD134" s="23">
        <v>398.87</v>
      </c>
      <c r="AE134" s="1647"/>
      <c r="AF134" s="1650"/>
      <c r="AG134" s="1644"/>
      <c r="AH134" s="2"/>
      <c r="AI134" s="1644"/>
      <c r="AJ134" s="2"/>
      <c r="AK134" s="1662" t="s">
        <v>85</v>
      </c>
      <c r="AL134" s="1662" t="s">
        <v>245</v>
      </c>
      <c r="AM134" s="1662" t="s">
        <v>246</v>
      </c>
      <c r="AN134" s="1665" t="s">
        <v>248</v>
      </c>
      <c r="AO134" s="1638" t="s">
        <v>2500</v>
      </c>
      <c r="AP134" s="1638" t="s">
        <v>2482</v>
      </c>
      <c r="AQ134" s="1665" t="s">
        <v>386</v>
      </c>
      <c r="AR134" s="23">
        <v>57.56</v>
      </c>
      <c r="AS134" s="1638" t="s">
        <v>2493</v>
      </c>
      <c r="AT134" s="1638" t="s">
        <v>2484</v>
      </c>
      <c r="AU134" s="23">
        <v>7.87</v>
      </c>
      <c r="AV134" s="23" t="s">
        <v>56</v>
      </c>
      <c r="AW134" s="1189" t="s">
        <v>148</v>
      </c>
      <c r="AX134" s="181">
        <v>0.09</v>
      </c>
      <c r="AY134" s="1184" t="s">
        <v>58</v>
      </c>
      <c r="AZ134" s="25" t="s">
        <v>59</v>
      </c>
      <c r="BA134" s="1185" t="s">
        <v>60</v>
      </c>
      <c r="BB134" s="182" t="s">
        <v>61</v>
      </c>
      <c r="BC134" s="1185" t="s">
        <v>58</v>
      </c>
      <c r="BD134" s="23" t="s">
        <v>62</v>
      </c>
      <c r="BE134" s="1184" t="s">
        <v>81</v>
      </c>
      <c r="BF134" s="181">
        <v>9.4E-2</v>
      </c>
      <c r="BG134" s="1184" t="s">
        <v>64</v>
      </c>
      <c r="BH134" s="23" t="s">
        <v>94</v>
      </c>
      <c r="BI134" s="182" t="s">
        <v>95</v>
      </c>
      <c r="BJ134" s="182" t="s">
        <v>61</v>
      </c>
      <c r="BK134" s="313" t="s">
        <v>96</v>
      </c>
    </row>
    <row r="135" spans="1:63" s="8" customFormat="1" ht="71.25" customHeight="1">
      <c r="A135" s="1683"/>
      <c r="B135" s="1657"/>
      <c r="C135" s="1686"/>
      <c r="D135" s="1698"/>
      <c r="E135" s="1698"/>
      <c r="F135" s="1698"/>
      <c r="G135" s="1698"/>
      <c r="H135" s="1698"/>
      <c r="I135" s="1669"/>
      <c r="J135" s="1689"/>
      <c r="K135" s="1669"/>
      <c r="L135" s="1692"/>
      <c r="M135" s="1639"/>
      <c r="N135" s="1639"/>
      <c r="O135" s="1657"/>
      <c r="P135" s="1680"/>
      <c r="Q135" s="1695"/>
      <c r="R135" s="1636"/>
      <c r="S135" s="1636"/>
      <c r="T135" s="1639"/>
      <c r="U135" s="1639"/>
      <c r="V135" s="1666"/>
      <c r="W135" s="1639"/>
      <c r="X135" s="1639"/>
      <c r="Y135" s="1700"/>
      <c r="Z135" s="25">
        <v>1358.89</v>
      </c>
      <c r="AA135" s="1695"/>
      <c r="AB135" s="25">
        <v>899.01</v>
      </c>
      <c r="AC135" s="1703"/>
      <c r="AD135" s="25">
        <v>873.51</v>
      </c>
      <c r="AE135" s="1648"/>
      <c r="AF135" s="1651"/>
      <c r="AG135" s="1645"/>
      <c r="AH135" s="10"/>
      <c r="AI135" s="1645"/>
      <c r="AJ135" s="10"/>
      <c r="AK135" s="1700"/>
      <c r="AL135" s="1700"/>
      <c r="AM135" s="1700"/>
      <c r="AN135" s="1666"/>
      <c r="AO135" s="1639"/>
      <c r="AP135" s="1639"/>
      <c r="AQ135" s="1666"/>
      <c r="AR135" s="25">
        <v>117.35</v>
      </c>
      <c r="AS135" s="1639"/>
      <c r="AT135" s="1639"/>
      <c r="AU135" s="25">
        <v>15.77</v>
      </c>
      <c r="AV135" s="25" t="s">
        <v>65</v>
      </c>
      <c r="AW135" s="1190" t="s">
        <v>148</v>
      </c>
      <c r="AX135" s="182">
        <v>2.3E-2</v>
      </c>
      <c r="AY135" s="1185" t="s">
        <v>58</v>
      </c>
      <c r="AZ135" s="220" t="s">
        <v>66</v>
      </c>
      <c r="BA135" s="1185" t="s">
        <v>60</v>
      </c>
      <c r="BB135" s="182" t="s">
        <v>61</v>
      </c>
      <c r="BC135" s="1185" t="s">
        <v>58</v>
      </c>
      <c r="BD135" s="25" t="s">
        <v>67</v>
      </c>
      <c r="BE135" s="1185" t="s">
        <v>82</v>
      </c>
      <c r="BF135" s="182">
        <v>0.25</v>
      </c>
      <c r="BG135" s="1185" t="s">
        <v>69</v>
      </c>
      <c r="BH135" s="25" t="s">
        <v>97</v>
      </c>
      <c r="BI135" s="182" t="s">
        <v>95</v>
      </c>
      <c r="BJ135" s="182" t="s">
        <v>61</v>
      </c>
      <c r="BK135" s="314" t="s">
        <v>96</v>
      </c>
    </row>
    <row r="136" spans="1:63" s="8" customFormat="1" ht="71.25" customHeight="1">
      <c r="A136" s="1683"/>
      <c r="B136" s="1657"/>
      <c r="C136" s="1686"/>
      <c r="D136" s="1698"/>
      <c r="E136" s="1698"/>
      <c r="F136" s="1698"/>
      <c r="G136" s="1698"/>
      <c r="H136" s="1698"/>
      <c r="I136" s="1669"/>
      <c r="J136" s="1689"/>
      <c r="K136" s="1669"/>
      <c r="L136" s="1692"/>
      <c r="M136" s="1639"/>
      <c r="N136" s="1639"/>
      <c r="O136" s="1657"/>
      <c r="P136" s="1680"/>
      <c r="Q136" s="1695"/>
      <c r="R136" s="1636"/>
      <c r="S136" s="1636"/>
      <c r="T136" s="1639"/>
      <c r="U136" s="1639"/>
      <c r="V136" s="1666"/>
      <c r="W136" s="1639"/>
      <c r="X136" s="1639"/>
      <c r="Y136" s="1700"/>
      <c r="Z136" s="25">
        <v>1178.95</v>
      </c>
      <c r="AA136" s="1695"/>
      <c r="AB136" s="25">
        <v>779.95</v>
      </c>
      <c r="AC136" s="1703"/>
      <c r="AD136" s="25">
        <v>757.85</v>
      </c>
      <c r="AE136" s="1648"/>
      <c r="AF136" s="1651"/>
      <c r="AG136" s="1645"/>
      <c r="AH136" s="10"/>
      <c r="AI136" s="1645"/>
      <c r="AJ136" s="10"/>
      <c r="AK136" s="1700"/>
      <c r="AL136" s="1700"/>
      <c r="AM136" s="1700"/>
      <c r="AN136" s="1666"/>
      <c r="AO136" s="1639"/>
      <c r="AP136" s="1639"/>
      <c r="AQ136" s="1666"/>
      <c r="AR136" s="25">
        <v>132.97</v>
      </c>
      <c r="AS136" s="1639"/>
      <c r="AT136" s="1639"/>
      <c r="AU136" s="25">
        <v>13.34</v>
      </c>
      <c r="AV136" s="10"/>
      <c r="AW136" s="1179"/>
      <c r="AX136" s="11"/>
      <c r="AY136" s="1179"/>
      <c r="AZ136" s="10"/>
      <c r="BA136" s="1179"/>
      <c r="BB136" s="11"/>
      <c r="BC136" s="1179"/>
      <c r="BD136" s="10"/>
      <c r="BE136" s="1179"/>
      <c r="BF136" s="11"/>
      <c r="BG136" s="1179"/>
      <c r="BH136" s="25" t="s">
        <v>98</v>
      </c>
      <c r="BI136" s="182" t="s">
        <v>95</v>
      </c>
      <c r="BJ136" s="182" t="s">
        <v>61</v>
      </c>
      <c r="BK136" s="314" t="s">
        <v>79</v>
      </c>
    </row>
    <row r="137" spans="1:63" s="8" customFormat="1" ht="71.25" customHeight="1" thickBot="1">
      <c r="A137" s="1684"/>
      <c r="B137" s="1658"/>
      <c r="C137" s="1687"/>
      <c r="D137" s="1699"/>
      <c r="E137" s="1699"/>
      <c r="F137" s="1699"/>
      <c r="G137" s="1699"/>
      <c r="H137" s="1699"/>
      <c r="I137" s="1670"/>
      <c r="J137" s="1690"/>
      <c r="K137" s="1670"/>
      <c r="L137" s="1693"/>
      <c r="M137" s="1640"/>
      <c r="N137" s="1640"/>
      <c r="O137" s="1678"/>
      <c r="P137" s="1681"/>
      <c r="Q137" s="1696"/>
      <c r="R137" s="1637"/>
      <c r="S137" s="1637"/>
      <c r="T137" s="1640"/>
      <c r="U137" s="1640"/>
      <c r="V137" s="1667"/>
      <c r="W137" s="1640"/>
      <c r="X137" s="1640"/>
      <c r="Y137" s="1701"/>
      <c r="Z137" s="180">
        <v>1886.32</v>
      </c>
      <c r="AA137" s="1696"/>
      <c r="AB137" s="180">
        <v>1247.93</v>
      </c>
      <c r="AC137" s="1704"/>
      <c r="AD137" s="180">
        <v>1212.55</v>
      </c>
      <c r="AE137" s="1649"/>
      <c r="AF137" s="1652"/>
      <c r="AG137" s="1646"/>
      <c r="AH137" s="13"/>
      <c r="AI137" s="1646"/>
      <c r="AJ137" s="13"/>
      <c r="AK137" s="1701"/>
      <c r="AL137" s="1701"/>
      <c r="AM137" s="1701"/>
      <c r="AN137" s="1667"/>
      <c r="AO137" s="1640"/>
      <c r="AP137" s="1640"/>
      <c r="AQ137" s="1667"/>
      <c r="AR137" s="180">
        <v>206.59</v>
      </c>
      <c r="AS137" s="1640"/>
      <c r="AT137" s="1640"/>
      <c r="AU137" s="180">
        <v>22.01</v>
      </c>
      <c r="AV137" s="13"/>
      <c r="AW137" s="1180"/>
      <c r="AX137" s="15"/>
      <c r="AY137" s="1180"/>
      <c r="AZ137" s="13"/>
      <c r="BA137" s="1180"/>
      <c r="BB137" s="15"/>
      <c r="BC137" s="1180"/>
      <c r="BD137" s="13"/>
      <c r="BE137" s="1180"/>
      <c r="BF137" s="15"/>
      <c r="BG137" s="1180"/>
      <c r="BH137" s="13"/>
      <c r="BI137" s="1180"/>
      <c r="BJ137" s="15"/>
      <c r="BK137" s="1180"/>
    </row>
    <row r="138" spans="1:63" s="8" customFormat="1" ht="71.25" customHeight="1">
      <c r="A138" s="1705" t="s">
        <v>136</v>
      </c>
      <c r="B138" s="1656"/>
      <c r="C138" s="1717">
        <v>474065674</v>
      </c>
      <c r="D138" s="1665" t="s">
        <v>137</v>
      </c>
      <c r="E138" s="1665" t="s">
        <v>3740</v>
      </c>
      <c r="F138" s="1665" t="s">
        <v>3739</v>
      </c>
      <c r="G138" s="1665" t="s">
        <v>3654</v>
      </c>
      <c r="H138" s="1665" t="s">
        <v>1278</v>
      </c>
      <c r="I138" s="1668" t="s">
        <v>2474</v>
      </c>
      <c r="J138" s="1674">
        <v>42736</v>
      </c>
      <c r="K138" s="1674">
        <v>43466</v>
      </c>
      <c r="L138" s="1691">
        <v>43</v>
      </c>
      <c r="M138" s="1706" t="s">
        <v>48</v>
      </c>
      <c r="N138" s="1706" t="s">
        <v>49</v>
      </c>
      <c r="O138" s="1656"/>
      <c r="P138" s="1679" t="s">
        <v>72</v>
      </c>
      <c r="Q138" s="1679" t="s">
        <v>72</v>
      </c>
      <c r="R138" s="1694" t="s">
        <v>4244</v>
      </c>
      <c r="S138" s="1694" t="s">
        <v>4244</v>
      </c>
      <c r="T138" s="1638" t="s">
        <v>303</v>
      </c>
      <c r="U138" s="1638" t="s">
        <v>2503</v>
      </c>
      <c r="V138" s="1665" t="s">
        <v>252</v>
      </c>
      <c r="W138" s="1638" t="s">
        <v>307</v>
      </c>
      <c r="X138" s="1638" t="s">
        <v>113</v>
      </c>
      <c r="Y138" s="1656" t="s">
        <v>124</v>
      </c>
      <c r="Z138" s="3">
        <v>700.09</v>
      </c>
      <c r="AA138" s="1706" t="s">
        <v>87</v>
      </c>
      <c r="AB138" s="3">
        <v>786.13</v>
      </c>
      <c r="AC138" s="1647"/>
      <c r="AD138" s="1"/>
      <c r="AE138" s="1647"/>
      <c r="AF138" s="1"/>
      <c r="AG138" s="1647"/>
      <c r="AH138" s="1"/>
      <c r="AI138" s="1647"/>
      <c r="AJ138" s="1"/>
      <c r="AK138" s="1665" t="s">
        <v>85</v>
      </c>
      <c r="AL138" s="1665" t="s">
        <v>245</v>
      </c>
      <c r="AM138" s="1665" t="s">
        <v>246</v>
      </c>
      <c r="AN138" s="1665" t="s">
        <v>250</v>
      </c>
      <c r="AO138" s="1638" t="s">
        <v>2500</v>
      </c>
      <c r="AP138" s="1638" t="s">
        <v>2481</v>
      </c>
      <c r="AQ138" s="1697" t="s">
        <v>388</v>
      </c>
      <c r="AR138" s="256">
        <v>66.400000000000006</v>
      </c>
      <c r="AS138" s="1665" t="s">
        <v>2483</v>
      </c>
      <c r="AT138" s="1665" t="s">
        <v>2486</v>
      </c>
      <c r="AU138" s="3">
        <v>9.6300000000000008</v>
      </c>
      <c r="AV138" s="23" t="s">
        <v>56</v>
      </c>
      <c r="AW138" s="302" t="s">
        <v>57</v>
      </c>
      <c r="AX138" s="181">
        <v>9.0999999999999998E-2</v>
      </c>
      <c r="AY138" s="243" t="s">
        <v>58</v>
      </c>
      <c r="AZ138" s="2"/>
      <c r="BA138" s="231"/>
      <c r="BB138" s="7"/>
      <c r="BC138" s="231"/>
      <c r="BD138" s="23" t="s">
        <v>62</v>
      </c>
      <c r="BE138" s="243" t="s">
        <v>63</v>
      </c>
      <c r="BF138" s="181">
        <v>0.11899999999999999</v>
      </c>
      <c r="BG138" s="243" t="s">
        <v>64</v>
      </c>
      <c r="BH138" s="2"/>
      <c r="BI138" s="231"/>
      <c r="BJ138" s="7"/>
      <c r="BK138" s="231"/>
    </row>
    <row r="139" spans="1:63" s="8" customFormat="1" ht="71.25" customHeight="1" thickBot="1">
      <c r="A139" s="1683"/>
      <c r="B139" s="1657"/>
      <c r="C139" s="1718"/>
      <c r="D139" s="1666"/>
      <c r="E139" s="1666"/>
      <c r="F139" s="1666"/>
      <c r="G139" s="1666"/>
      <c r="H139" s="1666"/>
      <c r="I139" s="1669"/>
      <c r="J139" s="1669"/>
      <c r="K139" s="1669"/>
      <c r="L139" s="1692"/>
      <c r="M139" s="1666"/>
      <c r="N139" s="1666"/>
      <c r="O139" s="1657"/>
      <c r="P139" s="1680"/>
      <c r="Q139" s="1680"/>
      <c r="R139" s="1636"/>
      <c r="S139" s="1636"/>
      <c r="T139" s="1639"/>
      <c r="U139" s="1639"/>
      <c r="V139" s="1666"/>
      <c r="W139" s="1639"/>
      <c r="X139" s="1639"/>
      <c r="Y139" s="1657"/>
      <c r="Z139" s="5">
        <v>1533.18</v>
      </c>
      <c r="AA139" s="1666"/>
      <c r="AB139" s="5">
        <v>1721.63</v>
      </c>
      <c r="AC139" s="1648"/>
      <c r="AD139" s="9"/>
      <c r="AE139" s="1648"/>
      <c r="AF139" s="9"/>
      <c r="AG139" s="1648"/>
      <c r="AH139" s="9"/>
      <c r="AI139" s="1648"/>
      <c r="AJ139" s="9"/>
      <c r="AK139" s="1666"/>
      <c r="AL139" s="1666"/>
      <c r="AM139" s="1666"/>
      <c r="AN139" s="1666"/>
      <c r="AO139" s="1639"/>
      <c r="AP139" s="1639"/>
      <c r="AQ139" s="1657"/>
      <c r="AR139" s="257">
        <v>135.4</v>
      </c>
      <c r="AS139" s="1666"/>
      <c r="AT139" s="1666"/>
      <c r="AU139" s="5">
        <v>19.3</v>
      </c>
      <c r="AV139" s="25" t="s">
        <v>65</v>
      </c>
      <c r="AW139" s="301" t="s">
        <v>57</v>
      </c>
      <c r="AX139" s="182">
        <v>0.02</v>
      </c>
      <c r="AY139" s="244" t="s">
        <v>58</v>
      </c>
      <c r="AZ139" s="10"/>
      <c r="BA139" s="232"/>
      <c r="BB139" s="11"/>
      <c r="BC139" s="232"/>
      <c r="BD139" s="5" t="s">
        <v>67</v>
      </c>
      <c r="BE139" s="249" t="s">
        <v>68</v>
      </c>
      <c r="BF139" s="6">
        <v>0.35</v>
      </c>
      <c r="BG139" s="230" t="s">
        <v>69</v>
      </c>
      <c r="BH139" s="10"/>
      <c r="BI139" s="232"/>
      <c r="BJ139" s="11"/>
      <c r="BK139" s="232"/>
    </row>
    <row r="140" spans="1:63" s="8" customFormat="1" ht="71.25" customHeight="1">
      <c r="A140" s="1683"/>
      <c r="B140" s="1657"/>
      <c r="C140" s="1718"/>
      <c r="D140" s="1666"/>
      <c r="E140" s="1666"/>
      <c r="F140" s="1666"/>
      <c r="G140" s="1666"/>
      <c r="H140" s="1666"/>
      <c r="I140" s="1669"/>
      <c r="J140" s="1669"/>
      <c r="K140" s="1669"/>
      <c r="L140" s="1692"/>
      <c r="M140" s="1666"/>
      <c r="N140" s="1666"/>
      <c r="O140" s="1657"/>
      <c r="P140" s="1680"/>
      <c r="Q140" s="1680"/>
      <c r="R140" s="1636"/>
      <c r="S140" s="1636"/>
      <c r="T140" s="1639"/>
      <c r="U140" s="1639"/>
      <c r="V140" s="1666"/>
      <c r="W140" s="1639"/>
      <c r="X140" s="1639"/>
      <c r="Y140" s="1657"/>
      <c r="Z140" s="5">
        <v>1330.16</v>
      </c>
      <c r="AA140" s="1666"/>
      <c r="AB140" s="5">
        <v>1493.66</v>
      </c>
      <c r="AC140" s="1648"/>
      <c r="AD140" s="9"/>
      <c r="AE140" s="1648"/>
      <c r="AF140" s="9"/>
      <c r="AG140" s="1648"/>
      <c r="AH140" s="9"/>
      <c r="AI140" s="1648"/>
      <c r="AJ140" s="9"/>
      <c r="AK140" s="1666"/>
      <c r="AL140" s="1666"/>
      <c r="AM140" s="1666"/>
      <c r="AN140" s="1666"/>
      <c r="AO140" s="1639"/>
      <c r="AP140" s="1639"/>
      <c r="AQ140" s="1657"/>
      <c r="AR140" s="257">
        <v>156.18</v>
      </c>
      <c r="AS140" s="1666"/>
      <c r="AT140" s="1666"/>
      <c r="AU140" s="5">
        <v>16.34</v>
      </c>
      <c r="AV140" s="23" t="s">
        <v>125</v>
      </c>
      <c r="AW140" s="672" t="s">
        <v>126</v>
      </c>
      <c r="AX140" s="181">
        <v>0.09</v>
      </c>
      <c r="AY140" s="672" t="s">
        <v>58</v>
      </c>
      <c r="AZ140" s="10"/>
      <c r="BA140" s="232"/>
      <c r="BB140" s="11"/>
      <c r="BC140" s="232"/>
      <c r="BD140" s="10"/>
      <c r="BE140" s="232"/>
      <c r="BF140" s="11"/>
      <c r="BG140" s="232"/>
      <c r="BH140" s="10"/>
      <c r="BI140" s="232"/>
      <c r="BJ140" s="11"/>
      <c r="BK140" s="232"/>
    </row>
    <row r="141" spans="1:63" s="8" customFormat="1" ht="71.25" customHeight="1" thickBot="1">
      <c r="A141" s="1684"/>
      <c r="B141" s="1678"/>
      <c r="C141" s="1719"/>
      <c r="D141" s="1667"/>
      <c r="E141" s="1667"/>
      <c r="F141" s="1667"/>
      <c r="G141" s="1667"/>
      <c r="H141" s="1667"/>
      <c r="I141" s="1670"/>
      <c r="J141" s="1670"/>
      <c r="K141" s="1670"/>
      <c r="L141" s="1693"/>
      <c r="M141" s="1667"/>
      <c r="N141" s="1667"/>
      <c r="O141" s="1678"/>
      <c r="P141" s="1681"/>
      <c r="Q141" s="1681"/>
      <c r="R141" s="1637"/>
      <c r="S141" s="1637"/>
      <c r="T141" s="1640"/>
      <c r="U141" s="1640"/>
      <c r="V141" s="1667"/>
      <c r="W141" s="1640"/>
      <c r="X141" s="1640"/>
      <c r="Y141" s="1678"/>
      <c r="Z141" s="14">
        <v>2128.2600000000002</v>
      </c>
      <c r="AA141" s="1667"/>
      <c r="AB141" s="14">
        <v>2389.85</v>
      </c>
      <c r="AC141" s="1649"/>
      <c r="AD141" s="12"/>
      <c r="AE141" s="1649"/>
      <c r="AF141" s="12"/>
      <c r="AG141" s="1649"/>
      <c r="AH141" s="12"/>
      <c r="AI141" s="1649"/>
      <c r="AJ141" s="12"/>
      <c r="AK141" s="1667"/>
      <c r="AL141" s="1667"/>
      <c r="AM141" s="1667"/>
      <c r="AN141" s="1667"/>
      <c r="AO141" s="1640"/>
      <c r="AP141" s="1640"/>
      <c r="AQ141" s="1678"/>
      <c r="AR141" s="258">
        <v>241.57</v>
      </c>
      <c r="AS141" s="1667"/>
      <c r="AT141" s="1667"/>
      <c r="AU141" s="14">
        <v>26.95</v>
      </c>
      <c r="AV141" s="25" t="s">
        <v>127</v>
      </c>
      <c r="AW141" s="673" t="s">
        <v>126</v>
      </c>
      <c r="AX141" s="182">
        <v>0.02</v>
      </c>
      <c r="AY141" s="673" t="s">
        <v>58</v>
      </c>
      <c r="AZ141" s="13"/>
      <c r="BA141" s="233"/>
      <c r="BB141" s="15"/>
      <c r="BC141" s="233"/>
      <c r="BD141" s="13"/>
      <c r="BE141" s="233"/>
      <c r="BF141" s="15"/>
      <c r="BG141" s="233"/>
      <c r="BH141" s="13"/>
      <c r="BI141" s="233"/>
      <c r="BJ141" s="15"/>
      <c r="BK141" s="233"/>
    </row>
    <row r="142" spans="1:63" s="8" customFormat="1" ht="71.25" customHeight="1">
      <c r="A142" s="1682" t="s">
        <v>3612</v>
      </c>
      <c r="B142" s="1697" t="s">
        <v>3613</v>
      </c>
      <c r="C142" s="1720">
        <v>383980157</v>
      </c>
      <c r="D142" s="1638" t="s">
        <v>3615</v>
      </c>
      <c r="E142" s="1638" t="s">
        <v>3614</v>
      </c>
      <c r="F142" s="1638" t="s">
        <v>3614</v>
      </c>
      <c r="G142" s="1638" t="s">
        <v>3665</v>
      </c>
      <c r="H142" s="1638" t="s">
        <v>4338</v>
      </c>
      <c r="I142" s="1668" t="s">
        <v>2473</v>
      </c>
      <c r="J142" s="1674">
        <v>43132</v>
      </c>
      <c r="K142" s="1674">
        <v>43466</v>
      </c>
      <c r="L142" s="1675">
        <v>2</v>
      </c>
      <c r="M142" s="1638" t="s">
        <v>48</v>
      </c>
      <c r="N142" s="1638" t="s">
        <v>354</v>
      </c>
      <c r="O142" s="1656"/>
      <c r="P142" s="1679" t="s">
        <v>72</v>
      </c>
      <c r="Q142" s="1694" t="s">
        <v>73</v>
      </c>
      <c r="R142" s="1694" t="s">
        <v>4244</v>
      </c>
      <c r="S142" s="1694" t="s">
        <v>4244</v>
      </c>
      <c r="T142" s="1638" t="s">
        <v>317</v>
      </c>
      <c r="U142" s="1638" t="s">
        <v>2503</v>
      </c>
      <c r="V142" s="1665" t="s">
        <v>252</v>
      </c>
      <c r="W142" s="1638" t="s">
        <v>307</v>
      </c>
      <c r="X142" s="1638" t="s">
        <v>113</v>
      </c>
      <c r="Y142" s="1697" t="s">
        <v>403</v>
      </c>
      <c r="Z142" s="23">
        <v>432.11</v>
      </c>
      <c r="AA142" s="1647"/>
      <c r="AB142" s="1"/>
      <c r="AC142" s="1647"/>
      <c r="AD142" s="1"/>
      <c r="AE142" s="1647"/>
      <c r="AF142" s="1650"/>
      <c r="AG142" s="1644"/>
      <c r="AH142" s="2"/>
      <c r="AI142" s="1644"/>
      <c r="AJ142" s="2"/>
      <c r="AK142" s="1662" t="s">
        <v>85</v>
      </c>
      <c r="AL142" s="1662" t="s">
        <v>245</v>
      </c>
      <c r="AM142" s="1662" t="s">
        <v>246</v>
      </c>
      <c r="AN142" s="1665" t="s">
        <v>248</v>
      </c>
      <c r="AO142" s="1638" t="s">
        <v>2480</v>
      </c>
      <c r="AP142" s="1638" t="s">
        <v>2495</v>
      </c>
      <c r="AQ142" s="1665" t="s">
        <v>386</v>
      </c>
      <c r="AR142" s="23">
        <v>57.54</v>
      </c>
      <c r="AS142" s="1638" t="s">
        <v>2483</v>
      </c>
      <c r="AT142" s="1638" t="s">
        <v>2484</v>
      </c>
      <c r="AU142" s="23">
        <v>8.85</v>
      </c>
      <c r="AV142" s="23" t="s">
        <v>56</v>
      </c>
      <c r="AW142" s="680" t="s">
        <v>148</v>
      </c>
      <c r="AX142" s="181">
        <v>0.09</v>
      </c>
      <c r="AY142" s="680" t="s">
        <v>58</v>
      </c>
      <c r="AZ142" s="18"/>
      <c r="BA142" s="678"/>
      <c r="BB142" s="16"/>
      <c r="BC142" s="678"/>
      <c r="BD142" s="18"/>
      <c r="BE142" s="16"/>
      <c r="BF142" s="678"/>
      <c r="BG142" s="18"/>
      <c r="BH142" s="678"/>
      <c r="BI142" s="678"/>
      <c r="BJ142" s="18"/>
      <c r="BK142" s="1182"/>
    </row>
    <row r="143" spans="1:63" s="8" customFormat="1" ht="71.25" customHeight="1">
      <c r="A143" s="1683"/>
      <c r="B143" s="1657"/>
      <c r="C143" s="1660"/>
      <c r="D143" s="1698"/>
      <c r="E143" s="1698"/>
      <c r="F143" s="1698"/>
      <c r="G143" s="1639"/>
      <c r="H143" s="1639"/>
      <c r="I143" s="1669"/>
      <c r="J143" s="1669"/>
      <c r="K143" s="1669"/>
      <c r="L143" s="1676"/>
      <c r="M143" s="1639"/>
      <c r="N143" s="1639"/>
      <c r="O143" s="1657"/>
      <c r="P143" s="1680"/>
      <c r="Q143" s="1695"/>
      <c r="R143" s="1695"/>
      <c r="S143" s="1695"/>
      <c r="T143" s="1639"/>
      <c r="U143" s="1639"/>
      <c r="V143" s="1666"/>
      <c r="W143" s="1639"/>
      <c r="X143" s="1639"/>
      <c r="Y143" s="1657"/>
      <c r="Z143" s="25">
        <v>946.32</v>
      </c>
      <c r="AA143" s="1648"/>
      <c r="AB143" s="9"/>
      <c r="AC143" s="1648"/>
      <c r="AD143" s="9"/>
      <c r="AE143" s="1648"/>
      <c r="AF143" s="1651"/>
      <c r="AG143" s="1645"/>
      <c r="AH143" s="10"/>
      <c r="AI143" s="1645"/>
      <c r="AJ143" s="10"/>
      <c r="AK143" s="1700"/>
      <c r="AL143" s="1700"/>
      <c r="AM143" s="1700"/>
      <c r="AN143" s="1666"/>
      <c r="AO143" s="1639"/>
      <c r="AP143" s="1639"/>
      <c r="AQ143" s="1666"/>
      <c r="AR143" s="25">
        <v>117.35</v>
      </c>
      <c r="AS143" s="1639"/>
      <c r="AT143" s="1639"/>
      <c r="AU143" s="25">
        <v>17.739999999999998</v>
      </c>
      <c r="AV143" s="25" t="s">
        <v>65</v>
      </c>
      <c r="AW143" s="681" t="s">
        <v>148</v>
      </c>
      <c r="AX143" s="182">
        <v>2.3E-2</v>
      </c>
      <c r="AY143" s="681" t="s">
        <v>58</v>
      </c>
      <c r="AZ143" s="22"/>
      <c r="BA143" s="679"/>
      <c r="BB143" s="20"/>
      <c r="BC143" s="679"/>
      <c r="BD143" s="22"/>
      <c r="BE143" s="20"/>
      <c r="BF143" s="679"/>
      <c r="BG143" s="22"/>
      <c r="BH143" s="679"/>
      <c r="BI143" s="679"/>
      <c r="BJ143" s="22"/>
      <c r="BK143" s="1183"/>
    </row>
    <row r="144" spans="1:63" s="8" customFormat="1" ht="71.25" customHeight="1">
      <c r="A144" s="1683"/>
      <c r="B144" s="1657"/>
      <c r="C144" s="1660"/>
      <c r="D144" s="1698"/>
      <c r="E144" s="1698"/>
      <c r="F144" s="1698"/>
      <c r="G144" s="1639"/>
      <c r="H144" s="1639"/>
      <c r="I144" s="1669"/>
      <c r="J144" s="1669"/>
      <c r="K144" s="1669"/>
      <c r="L144" s="1676"/>
      <c r="M144" s="1639"/>
      <c r="N144" s="1639"/>
      <c r="O144" s="1657"/>
      <c r="P144" s="1680"/>
      <c r="Q144" s="1695"/>
      <c r="R144" s="1695"/>
      <c r="S144" s="1695"/>
      <c r="T144" s="1639"/>
      <c r="U144" s="1639"/>
      <c r="V144" s="1666"/>
      <c r="W144" s="1639"/>
      <c r="X144" s="1639"/>
      <c r="Y144" s="1657"/>
      <c r="Z144" s="25">
        <v>821</v>
      </c>
      <c r="AA144" s="1648"/>
      <c r="AB144" s="9"/>
      <c r="AC144" s="1648"/>
      <c r="AD144" s="9"/>
      <c r="AE144" s="1648"/>
      <c r="AF144" s="1651"/>
      <c r="AG144" s="1645"/>
      <c r="AH144" s="10"/>
      <c r="AI144" s="1645"/>
      <c r="AJ144" s="10"/>
      <c r="AK144" s="1700"/>
      <c r="AL144" s="1700"/>
      <c r="AM144" s="1700"/>
      <c r="AN144" s="1666"/>
      <c r="AO144" s="1639"/>
      <c r="AP144" s="1639"/>
      <c r="AQ144" s="1666"/>
      <c r="AR144" s="25">
        <v>134.29</v>
      </c>
      <c r="AS144" s="1639"/>
      <c r="AT144" s="1639"/>
      <c r="AU144" s="25">
        <v>15.01</v>
      </c>
      <c r="AV144" s="10"/>
      <c r="AW144" s="654"/>
      <c r="AX144" s="11"/>
      <c r="AY144" s="654"/>
      <c r="AZ144" s="10"/>
      <c r="BA144" s="654"/>
      <c r="BB144" s="11"/>
      <c r="BC144" s="654"/>
      <c r="BD144" s="10"/>
      <c r="BE144" s="677"/>
      <c r="BF144" s="11"/>
      <c r="BG144" s="677"/>
      <c r="BH144" s="10"/>
      <c r="BI144" s="677"/>
      <c r="BJ144" s="11"/>
      <c r="BK144" s="1179"/>
    </row>
    <row r="145" spans="1:63" s="8" customFormat="1" ht="71.25" customHeight="1" thickBot="1">
      <c r="A145" s="1684"/>
      <c r="B145" s="1658"/>
      <c r="C145" s="1661"/>
      <c r="D145" s="1699"/>
      <c r="E145" s="1699"/>
      <c r="F145" s="1699"/>
      <c r="G145" s="1640"/>
      <c r="H145" s="1640"/>
      <c r="I145" s="1670"/>
      <c r="J145" s="1670"/>
      <c r="K145" s="1670"/>
      <c r="L145" s="1677"/>
      <c r="M145" s="1640"/>
      <c r="N145" s="1640"/>
      <c r="O145" s="1678"/>
      <c r="P145" s="1681"/>
      <c r="Q145" s="1696"/>
      <c r="R145" s="1696"/>
      <c r="S145" s="1696"/>
      <c r="T145" s="1640"/>
      <c r="U145" s="1640"/>
      <c r="V145" s="1667"/>
      <c r="W145" s="1640"/>
      <c r="X145" s="1640"/>
      <c r="Y145" s="1678"/>
      <c r="Z145" s="180">
        <v>1313.61</v>
      </c>
      <c r="AA145" s="1649"/>
      <c r="AB145" s="12"/>
      <c r="AC145" s="1649"/>
      <c r="AD145" s="12"/>
      <c r="AE145" s="1649"/>
      <c r="AF145" s="1652"/>
      <c r="AG145" s="1646"/>
      <c r="AH145" s="13"/>
      <c r="AI145" s="1646"/>
      <c r="AJ145" s="13"/>
      <c r="AK145" s="1701"/>
      <c r="AL145" s="1701"/>
      <c r="AM145" s="1701"/>
      <c r="AN145" s="1667"/>
      <c r="AO145" s="1640"/>
      <c r="AP145" s="1640"/>
      <c r="AQ145" s="1667"/>
      <c r="AR145" s="180">
        <v>208.11</v>
      </c>
      <c r="AS145" s="1640"/>
      <c r="AT145" s="1640"/>
      <c r="AU145" s="180">
        <v>24.76</v>
      </c>
      <c r="AV145" s="13"/>
      <c r="AW145" s="655"/>
      <c r="AX145" s="15"/>
      <c r="AY145" s="655"/>
      <c r="AZ145" s="13"/>
      <c r="BA145" s="655"/>
      <c r="BB145" s="15"/>
      <c r="BC145" s="655"/>
      <c r="BD145" s="13"/>
      <c r="BE145" s="655"/>
      <c r="BF145" s="15"/>
      <c r="BG145" s="655"/>
      <c r="BH145" s="13"/>
      <c r="BI145" s="655"/>
      <c r="BJ145" s="15"/>
      <c r="BK145" s="655"/>
    </row>
    <row r="146" spans="1:63" s="8" customFormat="1" ht="71.25" customHeight="1">
      <c r="A146" s="1682" t="s">
        <v>392</v>
      </c>
      <c r="B146" s="1656"/>
      <c r="C146" s="1720">
        <v>465602509</v>
      </c>
      <c r="D146" s="1638" t="s">
        <v>397</v>
      </c>
      <c r="E146" s="1638" t="s">
        <v>398</v>
      </c>
      <c r="F146" s="1638" t="s">
        <v>398</v>
      </c>
      <c r="G146" s="1665" t="s">
        <v>3665</v>
      </c>
      <c r="H146" s="1638" t="s">
        <v>3657</v>
      </c>
      <c r="I146" s="1668" t="s">
        <v>2473</v>
      </c>
      <c r="J146" s="1674">
        <v>43101</v>
      </c>
      <c r="K146" s="1674">
        <v>43466</v>
      </c>
      <c r="L146" s="1708">
        <v>10</v>
      </c>
      <c r="M146" s="1638" t="s">
        <v>48</v>
      </c>
      <c r="N146" s="1638" t="s">
        <v>354</v>
      </c>
      <c r="O146" s="1656"/>
      <c r="P146" s="1712" t="s">
        <v>3639</v>
      </c>
      <c r="Q146" s="1694" t="s">
        <v>73</v>
      </c>
      <c r="R146" s="1694" t="s">
        <v>4244</v>
      </c>
      <c r="S146" s="1694" t="s">
        <v>4244</v>
      </c>
      <c r="T146" s="1638" t="s">
        <v>317</v>
      </c>
      <c r="U146" s="1638" t="s">
        <v>2503</v>
      </c>
      <c r="V146" s="1665" t="s">
        <v>252</v>
      </c>
      <c r="W146" s="1638" t="s">
        <v>307</v>
      </c>
      <c r="X146" s="1638" t="s">
        <v>113</v>
      </c>
      <c r="Y146" s="1697" t="s">
        <v>124</v>
      </c>
      <c r="Z146" s="23">
        <v>583.9</v>
      </c>
      <c r="AA146" s="1707" t="s">
        <v>93</v>
      </c>
      <c r="AB146" s="23">
        <v>687.93</v>
      </c>
      <c r="AC146" s="1697" t="s">
        <v>403</v>
      </c>
      <c r="AD146" s="23">
        <v>432.11</v>
      </c>
      <c r="AE146" s="1647"/>
      <c r="AF146" s="1650"/>
      <c r="AG146" s="1644"/>
      <c r="AH146" s="2"/>
      <c r="AI146" s="1644"/>
      <c r="AJ146" s="2"/>
      <c r="AK146" s="1662" t="s">
        <v>85</v>
      </c>
      <c r="AL146" s="1662" t="s">
        <v>245</v>
      </c>
      <c r="AM146" s="1662" t="s">
        <v>246</v>
      </c>
      <c r="AN146" s="1638" t="s">
        <v>248</v>
      </c>
      <c r="AO146" s="1638" t="s">
        <v>2489</v>
      </c>
      <c r="AP146" s="1638" t="s">
        <v>2497</v>
      </c>
      <c r="AQ146" s="1665" t="s">
        <v>386</v>
      </c>
      <c r="AR146" s="23">
        <v>47.3</v>
      </c>
      <c r="AS146" s="1665" t="s">
        <v>2483</v>
      </c>
      <c r="AT146" s="1665" t="s">
        <v>2488</v>
      </c>
      <c r="AU146" s="23">
        <v>9.8000000000000007</v>
      </c>
      <c r="AV146" s="16"/>
      <c r="AW146" s="658"/>
      <c r="AX146" s="16"/>
      <c r="AY146" s="658"/>
      <c r="AZ146" s="18"/>
      <c r="BA146" s="658"/>
      <c r="BB146" s="16"/>
      <c r="BC146" s="658"/>
      <c r="BD146" s="18"/>
      <c r="BE146" s="16"/>
      <c r="BF146" s="658"/>
      <c r="BG146" s="18"/>
      <c r="BH146" s="658"/>
      <c r="BI146" s="209"/>
      <c r="BJ146" s="18"/>
      <c r="BK146" s="209"/>
    </row>
    <row r="147" spans="1:63" s="8" customFormat="1" ht="71.25" customHeight="1">
      <c r="A147" s="1683"/>
      <c r="B147" s="1657"/>
      <c r="C147" s="1660"/>
      <c r="D147" s="1698"/>
      <c r="E147" s="1698"/>
      <c r="F147" s="1698"/>
      <c r="G147" s="1666"/>
      <c r="H147" s="1639"/>
      <c r="I147" s="1669"/>
      <c r="J147" s="1669"/>
      <c r="K147" s="1669"/>
      <c r="L147" s="1676"/>
      <c r="M147" s="1639"/>
      <c r="N147" s="1639"/>
      <c r="O147" s="1657"/>
      <c r="P147" s="1713"/>
      <c r="Q147" s="1695"/>
      <c r="R147" s="1695"/>
      <c r="S147" s="1695"/>
      <c r="T147" s="1639"/>
      <c r="U147" s="1639"/>
      <c r="V147" s="1666"/>
      <c r="W147" s="1639"/>
      <c r="X147" s="1639"/>
      <c r="Y147" s="1657"/>
      <c r="Z147" s="25">
        <v>1278.74</v>
      </c>
      <c r="AA147" s="1700"/>
      <c r="AB147" s="25">
        <v>1506.58</v>
      </c>
      <c r="AC147" s="1657"/>
      <c r="AD147" s="25">
        <v>946.32</v>
      </c>
      <c r="AE147" s="1648"/>
      <c r="AF147" s="1651"/>
      <c r="AG147" s="1645"/>
      <c r="AH147" s="10"/>
      <c r="AI147" s="1645"/>
      <c r="AJ147" s="10"/>
      <c r="AK147" s="1700"/>
      <c r="AL147" s="1700"/>
      <c r="AM147" s="1700"/>
      <c r="AN147" s="1639"/>
      <c r="AO147" s="1639"/>
      <c r="AP147" s="1639"/>
      <c r="AQ147" s="1666"/>
      <c r="AR147" s="25">
        <v>96.49</v>
      </c>
      <c r="AS147" s="1666"/>
      <c r="AT147" s="1666"/>
      <c r="AU147" s="25">
        <v>19.63</v>
      </c>
      <c r="AV147" s="20"/>
      <c r="AW147" s="659"/>
      <c r="AX147" s="20"/>
      <c r="AY147" s="659"/>
      <c r="AZ147" s="22"/>
      <c r="BA147" s="659"/>
      <c r="BB147" s="20"/>
      <c r="BC147" s="659"/>
      <c r="BD147" s="22"/>
      <c r="BE147" s="20"/>
      <c r="BF147" s="659"/>
      <c r="BG147" s="22"/>
      <c r="BH147" s="659"/>
      <c r="BI147" s="210"/>
      <c r="BJ147" s="22"/>
      <c r="BK147" s="210"/>
    </row>
    <row r="148" spans="1:63" s="8" customFormat="1" ht="71.25" customHeight="1">
      <c r="A148" s="1683"/>
      <c r="B148" s="1657"/>
      <c r="C148" s="1660"/>
      <c r="D148" s="1698"/>
      <c r="E148" s="1698"/>
      <c r="F148" s="1698"/>
      <c r="G148" s="1666"/>
      <c r="H148" s="1639"/>
      <c r="I148" s="1669"/>
      <c r="J148" s="1669"/>
      <c r="K148" s="1669"/>
      <c r="L148" s="1676"/>
      <c r="M148" s="1639"/>
      <c r="N148" s="1639"/>
      <c r="O148" s="1657"/>
      <c r="P148" s="1713"/>
      <c r="Q148" s="1695"/>
      <c r="R148" s="1695"/>
      <c r="S148" s="1695"/>
      <c r="T148" s="1639"/>
      <c r="U148" s="1639"/>
      <c r="V148" s="1666"/>
      <c r="W148" s="1639"/>
      <c r="X148" s="1639"/>
      <c r="Y148" s="1657"/>
      <c r="Z148" s="25">
        <v>1109.4100000000001</v>
      </c>
      <c r="AA148" s="1700"/>
      <c r="AB148" s="25">
        <v>1307.08</v>
      </c>
      <c r="AC148" s="1657"/>
      <c r="AD148" s="25">
        <v>821</v>
      </c>
      <c r="AE148" s="1648"/>
      <c r="AF148" s="1651"/>
      <c r="AG148" s="1645"/>
      <c r="AH148" s="10"/>
      <c r="AI148" s="1645"/>
      <c r="AJ148" s="10"/>
      <c r="AK148" s="1700"/>
      <c r="AL148" s="1700"/>
      <c r="AM148" s="1700"/>
      <c r="AN148" s="1639"/>
      <c r="AO148" s="1639"/>
      <c r="AP148" s="1639"/>
      <c r="AQ148" s="1666"/>
      <c r="AR148" s="25">
        <v>109.92</v>
      </c>
      <c r="AS148" s="1666"/>
      <c r="AT148" s="1666"/>
      <c r="AU148" s="25">
        <v>16.62</v>
      </c>
      <c r="AV148" s="10"/>
      <c r="AW148" s="204"/>
      <c r="AX148" s="11"/>
      <c r="AY148" s="204"/>
      <c r="AZ148" s="10"/>
      <c r="BA148" s="204"/>
      <c r="BB148" s="11"/>
      <c r="BC148" s="204"/>
      <c r="BD148" s="10"/>
      <c r="BE148" s="204"/>
      <c r="BF148" s="11"/>
      <c r="BG148" s="204"/>
      <c r="BH148" s="10"/>
      <c r="BI148" s="204"/>
      <c r="BJ148" s="11"/>
      <c r="BK148" s="204"/>
    </row>
    <row r="149" spans="1:63" s="8" customFormat="1" ht="71.25" customHeight="1" thickBot="1">
      <c r="A149" s="1684"/>
      <c r="B149" s="1658"/>
      <c r="C149" s="1661"/>
      <c r="D149" s="1699"/>
      <c r="E149" s="1699"/>
      <c r="F149" s="1699"/>
      <c r="G149" s="1667"/>
      <c r="H149" s="1640"/>
      <c r="I149" s="1670"/>
      <c r="J149" s="1670"/>
      <c r="K149" s="1670"/>
      <c r="L149" s="1677"/>
      <c r="M149" s="1640"/>
      <c r="N149" s="1640"/>
      <c r="O149" s="1678"/>
      <c r="P149" s="1714"/>
      <c r="Q149" s="1696"/>
      <c r="R149" s="1696"/>
      <c r="S149" s="1696"/>
      <c r="T149" s="1640"/>
      <c r="U149" s="1640"/>
      <c r="V149" s="1667"/>
      <c r="W149" s="1640"/>
      <c r="X149" s="1640"/>
      <c r="Y149" s="1678"/>
      <c r="Z149" s="180">
        <v>1775.07</v>
      </c>
      <c r="AA149" s="1701"/>
      <c r="AB149" s="180">
        <v>2091.3200000000002</v>
      </c>
      <c r="AC149" s="1678"/>
      <c r="AD149" s="180">
        <v>1313.61</v>
      </c>
      <c r="AE149" s="1649"/>
      <c r="AF149" s="1652"/>
      <c r="AG149" s="1646"/>
      <c r="AH149" s="13"/>
      <c r="AI149" s="1646"/>
      <c r="AJ149" s="13"/>
      <c r="AK149" s="1701"/>
      <c r="AL149" s="1701"/>
      <c r="AM149" s="1701"/>
      <c r="AN149" s="1640"/>
      <c r="AO149" s="1640"/>
      <c r="AP149" s="1640"/>
      <c r="AQ149" s="1667"/>
      <c r="AR149" s="180">
        <v>170.38</v>
      </c>
      <c r="AS149" s="1667"/>
      <c r="AT149" s="1667"/>
      <c r="AU149" s="180">
        <v>27.4</v>
      </c>
      <c r="AV149" s="13"/>
      <c r="AW149" s="205"/>
      <c r="AX149" s="15"/>
      <c r="AY149" s="205"/>
      <c r="AZ149" s="13"/>
      <c r="BA149" s="205"/>
      <c r="BB149" s="15"/>
      <c r="BC149" s="205"/>
      <c r="BD149" s="13"/>
      <c r="BE149" s="205"/>
      <c r="BF149" s="15"/>
      <c r="BG149" s="205"/>
      <c r="BH149" s="13"/>
      <c r="BI149" s="205"/>
      <c r="BJ149" s="15"/>
      <c r="BK149" s="205"/>
    </row>
    <row r="150" spans="1:63" s="8" customFormat="1" ht="71.25" customHeight="1">
      <c r="A150" s="1682" t="s">
        <v>1260</v>
      </c>
      <c r="B150" s="1656"/>
      <c r="C150" s="1720">
        <v>273873317</v>
      </c>
      <c r="D150" s="1662" t="s">
        <v>1259</v>
      </c>
      <c r="E150" s="1662" t="s">
        <v>3669</v>
      </c>
      <c r="F150" s="1662" t="s">
        <v>3670</v>
      </c>
      <c r="G150" s="1638" t="s">
        <v>3659</v>
      </c>
      <c r="H150" s="1638" t="s">
        <v>1301</v>
      </c>
      <c r="I150" s="1668" t="s">
        <v>2473</v>
      </c>
      <c r="J150" s="1674">
        <v>43101</v>
      </c>
      <c r="K150" s="1674">
        <v>43466</v>
      </c>
      <c r="L150" s="1691">
        <v>84</v>
      </c>
      <c r="M150" s="1638" t="s">
        <v>48</v>
      </c>
      <c r="N150" s="1638" t="s">
        <v>354</v>
      </c>
      <c r="O150" s="1656"/>
      <c r="P150" s="1694" t="s">
        <v>50</v>
      </c>
      <c r="Q150" s="1694" t="s">
        <v>73</v>
      </c>
      <c r="R150" s="1694" t="s">
        <v>4244</v>
      </c>
      <c r="S150" s="1694" t="s">
        <v>4244</v>
      </c>
      <c r="T150" s="1638" t="s">
        <v>303</v>
      </c>
      <c r="U150" s="1638" t="s">
        <v>2477</v>
      </c>
      <c r="V150" s="1665" t="s">
        <v>252</v>
      </c>
      <c r="W150" s="1638" t="s">
        <v>307</v>
      </c>
      <c r="X150" s="1638" t="s">
        <v>113</v>
      </c>
      <c r="Y150" s="1656" t="s">
        <v>124</v>
      </c>
      <c r="Z150" s="23">
        <v>665.08</v>
      </c>
      <c r="AA150" s="1707" t="s">
        <v>93</v>
      </c>
      <c r="AB150" s="23">
        <v>705.61</v>
      </c>
      <c r="AC150" s="1697" t="s">
        <v>403</v>
      </c>
      <c r="AD150" s="23">
        <v>451.73</v>
      </c>
      <c r="AE150" s="1712" t="s">
        <v>1303</v>
      </c>
      <c r="AF150" s="1709" t="s">
        <v>79</v>
      </c>
      <c r="AG150" s="1644"/>
      <c r="AH150" s="2"/>
      <c r="AI150" s="1644"/>
      <c r="AJ150" s="2"/>
      <c r="AK150" s="1662" t="s">
        <v>85</v>
      </c>
      <c r="AL150" s="1662" t="s">
        <v>245</v>
      </c>
      <c r="AM150" s="1662" t="s">
        <v>246</v>
      </c>
      <c r="AN150" s="1638" t="s">
        <v>248</v>
      </c>
      <c r="AO150" s="1638" t="s">
        <v>2490</v>
      </c>
      <c r="AP150" s="1638" t="s">
        <v>2482</v>
      </c>
      <c r="AQ150" s="1665" t="s">
        <v>386</v>
      </c>
      <c r="AR150" s="23">
        <v>52.16</v>
      </c>
      <c r="AS150" s="1638" t="s">
        <v>2482</v>
      </c>
      <c r="AT150" s="1665" t="s">
        <v>2488</v>
      </c>
      <c r="AU150" s="23">
        <v>8.7100000000000009</v>
      </c>
      <c r="AV150" s="23" t="s">
        <v>56</v>
      </c>
      <c r="AW150" s="519" t="s">
        <v>1249</v>
      </c>
      <c r="AX150" s="181">
        <v>9.4E-2</v>
      </c>
      <c r="AY150" s="519" t="s">
        <v>58</v>
      </c>
      <c r="AZ150" s="25" t="s">
        <v>59</v>
      </c>
      <c r="BA150" s="520" t="s">
        <v>60</v>
      </c>
      <c r="BB150" s="182" t="s">
        <v>61</v>
      </c>
      <c r="BC150" s="520" t="s">
        <v>58</v>
      </c>
      <c r="BD150" s="23" t="s">
        <v>62</v>
      </c>
      <c r="BE150" s="519" t="s">
        <v>266</v>
      </c>
      <c r="BF150" s="181">
        <v>9.6000000000000002E-2</v>
      </c>
      <c r="BG150" s="519" t="s">
        <v>64</v>
      </c>
      <c r="BH150" s="23" t="s">
        <v>94</v>
      </c>
      <c r="BI150" s="6" t="s">
        <v>95</v>
      </c>
      <c r="BJ150" s="6" t="s">
        <v>61</v>
      </c>
      <c r="BK150" s="24" t="s">
        <v>96</v>
      </c>
    </row>
    <row r="151" spans="1:63" s="8" customFormat="1" ht="71.25" customHeight="1">
      <c r="A151" s="1683"/>
      <c r="B151" s="1657"/>
      <c r="C151" s="1660"/>
      <c r="D151" s="1663"/>
      <c r="E151" s="1663"/>
      <c r="F151" s="1663"/>
      <c r="G151" s="1698"/>
      <c r="H151" s="1698"/>
      <c r="I151" s="1669"/>
      <c r="J151" s="1669"/>
      <c r="K151" s="1669"/>
      <c r="L151" s="1692"/>
      <c r="M151" s="1639"/>
      <c r="N151" s="1639"/>
      <c r="O151" s="1657"/>
      <c r="P151" s="1695"/>
      <c r="Q151" s="1695"/>
      <c r="R151" s="1695"/>
      <c r="S151" s="1695"/>
      <c r="T151" s="1639"/>
      <c r="U151" s="1639"/>
      <c r="V151" s="1666"/>
      <c r="W151" s="1639"/>
      <c r="X151" s="1639"/>
      <c r="Y151" s="1657"/>
      <c r="Z151" s="25">
        <v>1456.52</v>
      </c>
      <c r="AA151" s="1700"/>
      <c r="AB151" s="25">
        <v>1545.3</v>
      </c>
      <c r="AC151" s="1657"/>
      <c r="AD151" s="25">
        <v>989.28</v>
      </c>
      <c r="AE151" s="1713"/>
      <c r="AF151" s="1710"/>
      <c r="AG151" s="1645"/>
      <c r="AH151" s="10"/>
      <c r="AI151" s="1645"/>
      <c r="AJ151" s="10"/>
      <c r="AK151" s="1700"/>
      <c r="AL151" s="1700"/>
      <c r="AM151" s="1700"/>
      <c r="AN151" s="1639"/>
      <c r="AO151" s="1639"/>
      <c r="AP151" s="1639"/>
      <c r="AQ151" s="1666"/>
      <c r="AR151" s="25">
        <v>106.34</v>
      </c>
      <c r="AS151" s="1639"/>
      <c r="AT151" s="1666"/>
      <c r="AU151" s="25">
        <v>17.45</v>
      </c>
      <c r="AV151" s="25" t="s">
        <v>65</v>
      </c>
      <c r="AW151" s="520" t="s">
        <v>1249</v>
      </c>
      <c r="AX151" s="182">
        <v>0.02</v>
      </c>
      <c r="AY151" s="520" t="s">
        <v>58</v>
      </c>
      <c r="AZ151" s="220" t="s">
        <v>66</v>
      </c>
      <c r="BA151" s="520" t="s">
        <v>60</v>
      </c>
      <c r="BB151" s="182" t="s">
        <v>61</v>
      </c>
      <c r="BC151" s="520" t="s">
        <v>58</v>
      </c>
      <c r="BD151" s="25" t="s">
        <v>67</v>
      </c>
      <c r="BE151" s="520" t="s">
        <v>102</v>
      </c>
      <c r="BF151" s="182">
        <v>0.26</v>
      </c>
      <c r="BG151" s="520" t="s">
        <v>69</v>
      </c>
      <c r="BH151" s="25" t="s">
        <v>97</v>
      </c>
      <c r="BI151" s="6" t="s">
        <v>95</v>
      </c>
      <c r="BJ151" s="6" t="s">
        <v>61</v>
      </c>
      <c r="BK151" s="26" t="s">
        <v>96</v>
      </c>
    </row>
    <row r="152" spans="1:63" s="8" customFormat="1" ht="71.25" customHeight="1">
      <c r="A152" s="1683"/>
      <c r="B152" s="1657"/>
      <c r="C152" s="1660"/>
      <c r="D152" s="1663"/>
      <c r="E152" s="1663"/>
      <c r="F152" s="1663"/>
      <c r="G152" s="1698"/>
      <c r="H152" s="1698"/>
      <c r="I152" s="1669"/>
      <c r="J152" s="1669"/>
      <c r="K152" s="1669"/>
      <c r="L152" s="1692"/>
      <c r="M152" s="1639"/>
      <c r="N152" s="1639"/>
      <c r="O152" s="1657"/>
      <c r="P152" s="1695"/>
      <c r="Q152" s="1695"/>
      <c r="R152" s="1695"/>
      <c r="S152" s="1695"/>
      <c r="T152" s="1639"/>
      <c r="U152" s="1639"/>
      <c r="V152" s="1666"/>
      <c r="W152" s="1639"/>
      <c r="X152" s="1639"/>
      <c r="Y152" s="1657"/>
      <c r="Z152" s="25">
        <v>1263.6500000000001</v>
      </c>
      <c r="AA152" s="1700"/>
      <c r="AB152" s="25">
        <v>1340.67</v>
      </c>
      <c r="AC152" s="1657"/>
      <c r="AD152" s="25">
        <v>858.28</v>
      </c>
      <c r="AE152" s="1713"/>
      <c r="AF152" s="1710"/>
      <c r="AG152" s="1645"/>
      <c r="AH152" s="10"/>
      <c r="AI152" s="1645"/>
      <c r="AJ152" s="10"/>
      <c r="AK152" s="1700"/>
      <c r="AL152" s="1700"/>
      <c r="AM152" s="1700"/>
      <c r="AN152" s="1639"/>
      <c r="AO152" s="1639"/>
      <c r="AP152" s="1639"/>
      <c r="AQ152" s="1666"/>
      <c r="AR152" s="25">
        <v>121.45</v>
      </c>
      <c r="AS152" s="1639"/>
      <c r="AT152" s="1666"/>
      <c r="AU152" s="25">
        <v>14.78</v>
      </c>
      <c r="AV152" s="10"/>
      <c r="AW152" s="344"/>
      <c r="AX152" s="11"/>
      <c r="AY152" s="344"/>
      <c r="AZ152" s="10"/>
      <c r="BA152" s="344"/>
      <c r="BB152" s="11"/>
      <c r="BC152" s="344"/>
      <c r="BD152" s="25" t="s">
        <v>433</v>
      </c>
      <c r="BE152" s="710" t="s">
        <v>434</v>
      </c>
      <c r="BF152" s="11"/>
      <c r="BG152" s="344"/>
      <c r="BH152" s="25" t="s">
        <v>98</v>
      </c>
      <c r="BI152" s="182" t="s">
        <v>95</v>
      </c>
      <c r="BJ152" s="182" t="s">
        <v>61</v>
      </c>
      <c r="BK152" s="314" t="s">
        <v>79</v>
      </c>
    </row>
    <row r="153" spans="1:63" s="8" customFormat="1" ht="71.25" customHeight="1" thickBot="1">
      <c r="A153" s="1684"/>
      <c r="B153" s="1658"/>
      <c r="C153" s="1661"/>
      <c r="D153" s="1664"/>
      <c r="E153" s="1664"/>
      <c r="F153" s="1664"/>
      <c r="G153" s="1699"/>
      <c r="H153" s="1699"/>
      <c r="I153" s="1670"/>
      <c r="J153" s="1670"/>
      <c r="K153" s="1670"/>
      <c r="L153" s="1693"/>
      <c r="M153" s="1640"/>
      <c r="N153" s="1640"/>
      <c r="O153" s="1678"/>
      <c r="P153" s="1696"/>
      <c r="Q153" s="1696"/>
      <c r="R153" s="1696"/>
      <c r="S153" s="1696"/>
      <c r="T153" s="1640"/>
      <c r="U153" s="1640"/>
      <c r="V153" s="1667"/>
      <c r="W153" s="1640"/>
      <c r="X153" s="1640"/>
      <c r="Y153" s="1678"/>
      <c r="Z153" s="180">
        <v>2021.84</v>
      </c>
      <c r="AA153" s="1701"/>
      <c r="AB153" s="180">
        <v>2145.0700000000002</v>
      </c>
      <c r="AC153" s="1678"/>
      <c r="AD153" s="180">
        <v>1373.26</v>
      </c>
      <c r="AE153" s="1714"/>
      <c r="AF153" s="1711"/>
      <c r="AG153" s="1646"/>
      <c r="AH153" s="13"/>
      <c r="AI153" s="1646"/>
      <c r="AJ153" s="13"/>
      <c r="AK153" s="1701"/>
      <c r="AL153" s="1701"/>
      <c r="AM153" s="1701"/>
      <c r="AN153" s="1640"/>
      <c r="AO153" s="1640"/>
      <c r="AP153" s="1640"/>
      <c r="AQ153" s="1667"/>
      <c r="AR153" s="180">
        <v>188.32</v>
      </c>
      <c r="AS153" s="1640"/>
      <c r="AT153" s="1667"/>
      <c r="AU153" s="180">
        <v>24.36</v>
      </c>
      <c r="AV153" s="13"/>
      <c r="AW153" s="345"/>
      <c r="AX153" s="15"/>
      <c r="AY153" s="345"/>
      <c r="AZ153" s="13"/>
      <c r="BA153" s="345"/>
      <c r="BB153" s="15"/>
      <c r="BC153" s="345"/>
      <c r="BD153" s="13"/>
      <c r="BE153" s="345"/>
      <c r="BF153" s="15"/>
      <c r="BG153" s="345"/>
      <c r="BH153" s="13"/>
      <c r="BI153" s="345"/>
      <c r="BJ153" s="15"/>
      <c r="BK153" s="345"/>
    </row>
    <row r="154" spans="1:63" s="8" customFormat="1" ht="71.25" customHeight="1">
      <c r="A154" s="1682" t="s">
        <v>3619</v>
      </c>
      <c r="B154" s="1656"/>
      <c r="C154" s="1659">
        <v>330936180</v>
      </c>
      <c r="D154" s="1662" t="s">
        <v>3620</v>
      </c>
      <c r="E154" s="1638" t="s">
        <v>3622</v>
      </c>
      <c r="F154" s="1638" t="s">
        <v>3743</v>
      </c>
      <c r="G154" s="1638" t="s">
        <v>3659</v>
      </c>
      <c r="H154" s="1638" t="s">
        <v>3621</v>
      </c>
      <c r="I154" s="1668" t="s">
        <v>2473</v>
      </c>
      <c r="J154" s="1674">
        <v>43132</v>
      </c>
      <c r="K154" s="1674">
        <v>43466</v>
      </c>
      <c r="L154" s="1691">
        <v>8</v>
      </c>
      <c r="M154" s="1638" t="s">
        <v>48</v>
      </c>
      <c r="N154" s="1638" t="s">
        <v>354</v>
      </c>
      <c r="O154" s="1656"/>
      <c r="P154" s="1679" t="s">
        <v>72</v>
      </c>
      <c r="Q154" s="1679" t="s">
        <v>72</v>
      </c>
      <c r="R154" s="1694" t="s">
        <v>4244</v>
      </c>
      <c r="S154" s="1694" t="s">
        <v>4244</v>
      </c>
      <c r="T154" s="1638" t="s">
        <v>317</v>
      </c>
      <c r="U154" s="1638" t="s">
        <v>2504</v>
      </c>
      <c r="V154" s="1665" t="s">
        <v>252</v>
      </c>
      <c r="W154" s="1638" t="s">
        <v>307</v>
      </c>
      <c r="X154" s="1638" t="s">
        <v>113</v>
      </c>
      <c r="Y154" s="1706" t="s">
        <v>87</v>
      </c>
      <c r="Z154" s="23">
        <v>837.31</v>
      </c>
      <c r="AA154" s="1721"/>
      <c r="AB154" s="1"/>
      <c r="AC154" s="1647"/>
      <c r="AD154" s="1"/>
      <c r="AE154" s="1647"/>
      <c r="AF154" s="1650"/>
      <c r="AG154" s="1644"/>
      <c r="AH154" s="2"/>
      <c r="AI154" s="1644"/>
      <c r="AJ154" s="2"/>
      <c r="AK154" s="1662" t="s">
        <v>85</v>
      </c>
      <c r="AL154" s="1662" t="s">
        <v>245</v>
      </c>
      <c r="AM154" s="1662" t="s">
        <v>246</v>
      </c>
      <c r="AN154" s="1638" t="s">
        <v>250</v>
      </c>
      <c r="AO154" s="1638" t="s">
        <v>2490</v>
      </c>
      <c r="AP154" s="1638" t="s">
        <v>2495</v>
      </c>
      <c r="AQ154" s="1638" t="s">
        <v>388</v>
      </c>
      <c r="AR154" s="23">
        <v>70.88</v>
      </c>
      <c r="AS154" s="1638" t="s">
        <v>2483</v>
      </c>
      <c r="AT154" s="1665" t="s">
        <v>2488</v>
      </c>
      <c r="AU154" s="23">
        <v>9.8000000000000007</v>
      </c>
      <c r="AV154" s="1"/>
      <c r="AW154" s="685"/>
      <c r="AX154" s="239"/>
      <c r="AY154" s="685"/>
      <c r="AZ154" s="9"/>
      <c r="BA154" s="686"/>
      <c r="BB154" s="199"/>
      <c r="BC154" s="686"/>
      <c r="BD154" s="1"/>
      <c r="BE154" s="685"/>
      <c r="BF154" s="239"/>
      <c r="BG154" s="685"/>
      <c r="BH154" s="1"/>
      <c r="BI154" s="199"/>
      <c r="BJ154" s="199"/>
      <c r="BK154" s="297"/>
    </row>
    <row r="155" spans="1:63" s="8" customFormat="1" ht="71.25" customHeight="1">
      <c r="A155" s="1683"/>
      <c r="B155" s="1657"/>
      <c r="C155" s="1660"/>
      <c r="D155" s="1663"/>
      <c r="E155" s="1698"/>
      <c r="F155" s="1698"/>
      <c r="G155" s="1698"/>
      <c r="H155" s="1698"/>
      <c r="I155" s="1669"/>
      <c r="J155" s="1669"/>
      <c r="K155" s="1669"/>
      <c r="L155" s="1692"/>
      <c r="M155" s="1639"/>
      <c r="N155" s="1639"/>
      <c r="O155" s="1657"/>
      <c r="P155" s="1680"/>
      <c r="Q155" s="1680"/>
      <c r="R155" s="1695"/>
      <c r="S155" s="1695"/>
      <c r="T155" s="1639"/>
      <c r="U155" s="1639"/>
      <c r="V155" s="1666"/>
      <c r="W155" s="1639"/>
      <c r="X155" s="1639"/>
      <c r="Y155" s="1666"/>
      <c r="Z155" s="25">
        <v>1833.72</v>
      </c>
      <c r="AA155" s="1722"/>
      <c r="AB155" s="9"/>
      <c r="AC155" s="1648"/>
      <c r="AD155" s="9"/>
      <c r="AE155" s="1648"/>
      <c r="AF155" s="1651"/>
      <c r="AG155" s="1645"/>
      <c r="AH155" s="10"/>
      <c r="AI155" s="1645"/>
      <c r="AJ155" s="10"/>
      <c r="AK155" s="1700"/>
      <c r="AL155" s="1700"/>
      <c r="AM155" s="1700"/>
      <c r="AN155" s="1639"/>
      <c r="AO155" s="1639"/>
      <c r="AP155" s="1639"/>
      <c r="AQ155" s="1639"/>
      <c r="AR155" s="25">
        <v>144.54</v>
      </c>
      <c r="AS155" s="1639"/>
      <c r="AT155" s="1666"/>
      <c r="AU155" s="25">
        <v>19.63</v>
      </c>
      <c r="AV155" s="9"/>
      <c r="AW155" s="686"/>
      <c r="AX155" s="199"/>
      <c r="AY155" s="686"/>
      <c r="AZ155" s="397"/>
      <c r="BA155" s="686"/>
      <c r="BB155" s="199"/>
      <c r="BC155" s="686"/>
      <c r="BD155" s="9"/>
      <c r="BE155" s="686"/>
      <c r="BF155" s="199"/>
      <c r="BG155" s="686"/>
      <c r="BH155" s="9"/>
      <c r="BI155" s="199"/>
      <c r="BJ155" s="199"/>
      <c r="BK155" s="298"/>
    </row>
    <row r="156" spans="1:63" s="8" customFormat="1" ht="71.25" customHeight="1">
      <c r="A156" s="1683"/>
      <c r="B156" s="1657"/>
      <c r="C156" s="1660"/>
      <c r="D156" s="1663"/>
      <c r="E156" s="1698"/>
      <c r="F156" s="1698"/>
      <c r="G156" s="1698"/>
      <c r="H156" s="1698"/>
      <c r="I156" s="1669"/>
      <c r="J156" s="1669"/>
      <c r="K156" s="1669"/>
      <c r="L156" s="1692"/>
      <c r="M156" s="1639"/>
      <c r="N156" s="1639"/>
      <c r="O156" s="1657"/>
      <c r="P156" s="1680"/>
      <c r="Q156" s="1680"/>
      <c r="R156" s="1695"/>
      <c r="S156" s="1695"/>
      <c r="T156" s="1639"/>
      <c r="U156" s="1639"/>
      <c r="V156" s="1666"/>
      <c r="W156" s="1639"/>
      <c r="X156" s="1639"/>
      <c r="Y156" s="1666"/>
      <c r="Z156" s="25">
        <v>1590.9</v>
      </c>
      <c r="AA156" s="1722"/>
      <c r="AB156" s="9"/>
      <c r="AC156" s="1648"/>
      <c r="AD156" s="9"/>
      <c r="AE156" s="1648"/>
      <c r="AF156" s="1651"/>
      <c r="AG156" s="1645"/>
      <c r="AH156" s="10"/>
      <c r="AI156" s="1645"/>
      <c r="AJ156" s="10"/>
      <c r="AK156" s="1700"/>
      <c r="AL156" s="1700"/>
      <c r="AM156" s="1700"/>
      <c r="AN156" s="1639"/>
      <c r="AO156" s="1639"/>
      <c r="AP156" s="1639"/>
      <c r="AQ156" s="1639"/>
      <c r="AR156" s="25">
        <v>167.21</v>
      </c>
      <c r="AS156" s="1639"/>
      <c r="AT156" s="1666"/>
      <c r="AU156" s="25">
        <v>16.62</v>
      </c>
      <c r="AV156" s="10"/>
      <c r="AW156" s="684"/>
      <c r="AX156" s="11"/>
      <c r="AY156" s="684"/>
      <c r="AZ156" s="10"/>
      <c r="BA156" s="684"/>
      <c r="BB156" s="11"/>
      <c r="BC156" s="684"/>
      <c r="BD156" s="10"/>
      <c r="BE156" s="684"/>
      <c r="BF156" s="11"/>
      <c r="BG156" s="684"/>
      <c r="BH156" s="9"/>
      <c r="BI156" s="199"/>
      <c r="BJ156" s="199"/>
      <c r="BK156" s="298"/>
    </row>
    <row r="157" spans="1:63" s="8" customFormat="1" ht="71.25" customHeight="1" thickBot="1">
      <c r="A157" s="1684"/>
      <c r="B157" s="1658"/>
      <c r="C157" s="1661"/>
      <c r="D157" s="1664"/>
      <c r="E157" s="1699"/>
      <c r="F157" s="1699"/>
      <c r="G157" s="1699"/>
      <c r="H157" s="1699"/>
      <c r="I157" s="1670"/>
      <c r="J157" s="1670"/>
      <c r="K157" s="1670"/>
      <c r="L157" s="1693"/>
      <c r="M157" s="1640"/>
      <c r="N157" s="1640"/>
      <c r="O157" s="1678"/>
      <c r="P157" s="1681"/>
      <c r="Q157" s="1681"/>
      <c r="R157" s="1696"/>
      <c r="S157" s="1696"/>
      <c r="T157" s="1640"/>
      <c r="U157" s="1640"/>
      <c r="V157" s="1667"/>
      <c r="W157" s="1640"/>
      <c r="X157" s="1640"/>
      <c r="Y157" s="1667"/>
      <c r="Z157" s="180">
        <v>2545.44</v>
      </c>
      <c r="AA157" s="1723"/>
      <c r="AB157" s="12"/>
      <c r="AC157" s="1649"/>
      <c r="AD157" s="12"/>
      <c r="AE157" s="1649"/>
      <c r="AF157" s="1652"/>
      <c r="AG157" s="1646"/>
      <c r="AH157" s="13"/>
      <c r="AI157" s="1646"/>
      <c r="AJ157" s="13"/>
      <c r="AK157" s="1701"/>
      <c r="AL157" s="1701"/>
      <c r="AM157" s="1701"/>
      <c r="AN157" s="1640"/>
      <c r="AO157" s="1640"/>
      <c r="AP157" s="1640"/>
      <c r="AQ157" s="1640"/>
      <c r="AR157" s="180">
        <v>258.43</v>
      </c>
      <c r="AS157" s="1640"/>
      <c r="AT157" s="1667"/>
      <c r="AU157" s="180">
        <v>27.4</v>
      </c>
      <c r="AV157" s="13"/>
      <c r="AW157" s="655"/>
      <c r="AX157" s="15"/>
      <c r="AY157" s="655"/>
      <c r="AZ157" s="13"/>
      <c r="BA157" s="655"/>
      <c r="BB157" s="15"/>
      <c r="BC157" s="655"/>
      <c r="BD157" s="13"/>
      <c r="BE157" s="655"/>
      <c r="BF157" s="15"/>
      <c r="BG157" s="655"/>
      <c r="BH157" s="13"/>
      <c r="BI157" s="655"/>
      <c r="BJ157" s="15"/>
      <c r="BK157" s="655"/>
    </row>
    <row r="158" spans="1:63" s="8" customFormat="1" ht="71.25" customHeight="1">
      <c r="A158" s="1682" t="s">
        <v>1255</v>
      </c>
      <c r="B158" s="1656"/>
      <c r="C158" s="1685">
        <v>770557236</v>
      </c>
      <c r="D158" s="1662" t="s">
        <v>4544</v>
      </c>
      <c r="E158" s="1662" t="s">
        <v>1256</v>
      </c>
      <c r="F158" s="1662" t="s">
        <v>1256</v>
      </c>
      <c r="G158" s="1665" t="s">
        <v>3654</v>
      </c>
      <c r="H158" s="1665" t="s">
        <v>1282</v>
      </c>
      <c r="I158" s="1668" t="s">
        <v>2473</v>
      </c>
      <c r="J158" s="1674">
        <v>43101</v>
      </c>
      <c r="K158" s="1674">
        <v>43466</v>
      </c>
      <c r="L158" s="1691">
        <v>4</v>
      </c>
      <c r="M158" s="1638" t="s">
        <v>48</v>
      </c>
      <c r="N158" s="1638" t="s">
        <v>354</v>
      </c>
      <c r="O158" s="1656"/>
      <c r="P158" s="1694" t="s">
        <v>50</v>
      </c>
      <c r="Q158" s="1679" t="s">
        <v>72</v>
      </c>
      <c r="R158" s="1694" t="s">
        <v>4244</v>
      </c>
      <c r="S158" s="1694" t="s">
        <v>4244</v>
      </c>
      <c r="T158" s="1638" t="s">
        <v>303</v>
      </c>
      <c r="U158" s="1638" t="s">
        <v>2503</v>
      </c>
      <c r="V158" s="1665" t="s">
        <v>252</v>
      </c>
      <c r="W158" s="1638" t="s">
        <v>307</v>
      </c>
      <c r="X158" s="1638" t="s">
        <v>113</v>
      </c>
      <c r="Y158" s="1706" t="s">
        <v>87</v>
      </c>
      <c r="Z158" s="23">
        <v>786.13</v>
      </c>
      <c r="AA158" s="1721"/>
      <c r="AB158" s="1"/>
      <c r="AC158" s="1647"/>
      <c r="AD158" s="1"/>
      <c r="AE158" s="1647"/>
      <c r="AF158" s="1650"/>
      <c r="AG158" s="1644"/>
      <c r="AH158" s="2"/>
      <c r="AI158" s="1644"/>
      <c r="AJ158" s="2"/>
      <c r="AK158" s="1662" t="s">
        <v>85</v>
      </c>
      <c r="AL158" s="1662" t="s">
        <v>245</v>
      </c>
      <c r="AM158" s="1662" t="s">
        <v>246</v>
      </c>
      <c r="AN158" s="1638" t="s">
        <v>423</v>
      </c>
      <c r="AO158" s="1638" t="s">
        <v>2490</v>
      </c>
      <c r="AP158" s="1638" t="s">
        <v>2495</v>
      </c>
      <c r="AQ158" s="1638" t="s">
        <v>389</v>
      </c>
      <c r="AR158" s="23">
        <v>63.989999999999995</v>
      </c>
      <c r="AS158" s="1665" t="s">
        <v>2483</v>
      </c>
      <c r="AT158" s="1665" t="s">
        <v>2488</v>
      </c>
      <c r="AU158" s="23">
        <v>9.8000000000000007</v>
      </c>
      <c r="AV158" s="23" t="s">
        <v>56</v>
      </c>
      <c r="AW158" s="341" t="s">
        <v>1249</v>
      </c>
      <c r="AX158" s="181">
        <v>9.4E-2</v>
      </c>
      <c r="AY158" s="341" t="s">
        <v>58</v>
      </c>
      <c r="AZ158" s="2"/>
      <c r="BA158" s="343"/>
      <c r="BB158" s="7"/>
      <c r="BC158" s="343"/>
      <c r="BD158" s="23" t="s">
        <v>62</v>
      </c>
      <c r="BE158" s="341" t="s">
        <v>81</v>
      </c>
      <c r="BF158" s="181">
        <v>9.4E-2</v>
      </c>
      <c r="BG158" s="341" t="s">
        <v>64</v>
      </c>
      <c r="BH158" s="16"/>
      <c r="BI158" s="328"/>
      <c r="BJ158" s="18"/>
      <c r="BK158" s="328"/>
    </row>
    <row r="159" spans="1:63" s="8" customFormat="1" ht="71.25" customHeight="1">
      <c r="A159" s="1683"/>
      <c r="B159" s="1657"/>
      <c r="C159" s="1686"/>
      <c r="D159" s="1663"/>
      <c r="E159" s="1663"/>
      <c r="F159" s="1663"/>
      <c r="G159" s="1666"/>
      <c r="H159" s="1666"/>
      <c r="I159" s="1669"/>
      <c r="J159" s="1669"/>
      <c r="K159" s="1669"/>
      <c r="L159" s="1692"/>
      <c r="M159" s="1639"/>
      <c r="N159" s="1639"/>
      <c r="O159" s="1657"/>
      <c r="P159" s="1695"/>
      <c r="Q159" s="1680"/>
      <c r="R159" s="1695"/>
      <c r="S159" s="1695"/>
      <c r="T159" s="1639"/>
      <c r="U159" s="1639"/>
      <c r="V159" s="1666"/>
      <c r="W159" s="1639"/>
      <c r="X159" s="1639"/>
      <c r="Y159" s="1666"/>
      <c r="Z159" s="25">
        <v>1721.63</v>
      </c>
      <c r="AA159" s="1722"/>
      <c r="AB159" s="9"/>
      <c r="AC159" s="1648"/>
      <c r="AD159" s="9"/>
      <c r="AE159" s="1648"/>
      <c r="AF159" s="1651"/>
      <c r="AG159" s="1645"/>
      <c r="AH159" s="10"/>
      <c r="AI159" s="1645"/>
      <c r="AJ159" s="10"/>
      <c r="AK159" s="1700"/>
      <c r="AL159" s="1700"/>
      <c r="AM159" s="1700"/>
      <c r="AN159" s="1639"/>
      <c r="AO159" s="1639"/>
      <c r="AP159" s="1639"/>
      <c r="AQ159" s="1639"/>
      <c r="AR159" s="25">
        <v>130.73999999999998</v>
      </c>
      <c r="AS159" s="1666"/>
      <c r="AT159" s="1666"/>
      <c r="AU159" s="25">
        <v>19.63</v>
      </c>
      <c r="AV159" s="25" t="s">
        <v>65</v>
      </c>
      <c r="AW159" s="342" t="s">
        <v>1249</v>
      </c>
      <c r="AX159" s="182">
        <v>0.02</v>
      </c>
      <c r="AY159" s="342" t="s">
        <v>58</v>
      </c>
      <c r="AZ159" s="10"/>
      <c r="BA159" s="344"/>
      <c r="BB159" s="11"/>
      <c r="BC159" s="344"/>
      <c r="BD159" s="25" t="s">
        <v>67</v>
      </c>
      <c r="BE159" s="342" t="s">
        <v>82</v>
      </c>
      <c r="BF159" s="182">
        <v>0.25</v>
      </c>
      <c r="BG159" s="342" t="s">
        <v>69</v>
      </c>
      <c r="BH159" s="20"/>
      <c r="BI159" s="329"/>
      <c r="BJ159" s="22"/>
      <c r="BK159" s="329"/>
    </row>
    <row r="160" spans="1:63" s="8" customFormat="1" ht="71.25" customHeight="1">
      <c r="A160" s="1683"/>
      <c r="B160" s="1657"/>
      <c r="C160" s="1686"/>
      <c r="D160" s="1663"/>
      <c r="E160" s="1663"/>
      <c r="F160" s="1663"/>
      <c r="G160" s="1666"/>
      <c r="H160" s="1666"/>
      <c r="I160" s="1669"/>
      <c r="J160" s="1669"/>
      <c r="K160" s="1669"/>
      <c r="L160" s="1692"/>
      <c r="M160" s="1639"/>
      <c r="N160" s="1639"/>
      <c r="O160" s="1657"/>
      <c r="P160" s="1695"/>
      <c r="Q160" s="1680"/>
      <c r="R160" s="1695"/>
      <c r="S160" s="1695"/>
      <c r="T160" s="1639"/>
      <c r="U160" s="1639"/>
      <c r="V160" s="1666"/>
      <c r="W160" s="1639"/>
      <c r="X160" s="1639"/>
      <c r="Y160" s="1666"/>
      <c r="Z160" s="25">
        <v>1493.66</v>
      </c>
      <c r="AA160" s="1722"/>
      <c r="AB160" s="9"/>
      <c r="AC160" s="1648"/>
      <c r="AD160" s="9"/>
      <c r="AE160" s="1648"/>
      <c r="AF160" s="1651"/>
      <c r="AG160" s="1645"/>
      <c r="AH160" s="10"/>
      <c r="AI160" s="1645"/>
      <c r="AJ160" s="10"/>
      <c r="AK160" s="1700"/>
      <c r="AL160" s="1700"/>
      <c r="AM160" s="1700"/>
      <c r="AN160" s="1639"/>
      <c r="AO160" s="1639"/>
      <c r="AP160" s="1639"/>
      <c r="AQ160" s="1639"/>
      <c r="AR160" s="25">
        <v>139.27000000000001</v>
      </c>
      <c r="AS160" s="1666"/>
      <c r="AT160" s="1666"/>
      <c r="AU160" s="25">
        <v>16.62</v>
      </c>
      <c r="AV160" s="10"/>
      <c r="AW160" s="324"/>
      <c r="AX160" s="11"/>
      <c r="AY160" s="324"/>
      <c r="AZ160" s="10"/>
      <c r="BA160" s="324"/>
      <c r="BB160" s="11"/>
      <c r="BC160" s="324"/>
      <c r="BD160" s="10"/>
      <c r="BE160" s="324"/>
      <c r="BF160" s="11"/>
      <c r="BG160" s="324"/>
      <c r="BH160" s="10"/>
      <c r="BI160" s="324"/>
      <c r="BJ160" s="11"/>
      <c r="BK160" s="324"/>
    </row>
    <row r="161" spans="1:63" s="8" customFormat="1" ht="71.25" customHeight="1" thickBot="1">
      <c r="A161" s="1684"/>
      <c r="B161" s="1658"/>
      <c r="C161" s="1687"/>
      <c r="D161" s="1664"/>
      <c r="E161" s="1664"/>
      <c r="F161" s="1664"/>
      <c r="G161" s="1667"/>
      <c r="H161" s="1667"/>
      <c r="I161" s="1670"/>
      <c r="J161" s="1670"/>
      <c r="K161" s="1670"/>
      <c r="L161" s="1693"/>
      <c r="M161" s="1640"/>
      <c r="N161" s="1640"/>
      <c r="O161" s="1678"/>
      <c r="P161" s="1696"/>
      <c r="Q161" s="1681"/>
      <c r="R161" s="1696"/>
      <c r="S161" s="1696"/>
      <c r="T161" s="1640"/>
      <c r="U161" s="1640"/>
      <c r="V161" s="1667"/>
      <c r="W161" s="1640"/>
      <c r="X161" s="1640"/>
      <c r="Y161" s="1667"/>
      <c r="Z161" s="180">
        <v>2389.85</v>
      </c>
      <c r="AA161" s="1723"/>
      <c r="AB161" s="12"/>
      <c r="AC161" s="1649"/>
      <c r="AD161" s="12"/>
      <c r="AE161" s="1649"/>
      <c r="AF161" s="1652"/>
      <c r="AG161" s="1646"/>
      <c r="AH161" s="13"/>
      <c r="AI161" s="1646"/>
      <c r="AJ161" s="13"/>
      <c r="AK161" s="1701"/>
      <c r="AL161" s="1701"/>
      <c r="AM161" s="1701"/>
      <c r="AN161" s="1640"/>
      <c r="AO161" s="1640"/>
      <c r="AP161" s="1640"/>
      <c r="AQ161" s="1640"/>
      <c r="AR161" s="180">
        <v>221.15</v>
      </c>
      <c r="AS161" s="1667"/>
      <c r="AT161" s="1667"/>
      <c r="AU161" s="180">
        <v>27.4</v>
      </c>
      <c r="AV161" s="13"/>
      <c r="AW161" s="325"/>
      <c r="AX161" s="15"/>
      <c r="AY161" s="325"/>
      <c r="AZ161" s="13"/>
      <c r="BA161" s="325"/>
      <c r="BB161" s="15"/>
      <c r="BC161" s="325"/>
      <c r="BD161" s="13"/>
      <c r="BE161" s="325"/>
      <c r="BF161" s="15"/>
      <c r="BG161" s="325"/>
      <c r="BH161" s="13"/>
      <c r="BI161" s="325"/>
      <c r="BJ161" s="15"/>
      <c r="BK161" s="325"/>
    </row>
    <row r="162" spans="1:63" s="8" customFormat="1" ht="71.25" customHeight="1">
      <c r="A162" s="1682" t="s">
        <v>394</v>
      </c>
      <c r="B162" s="1656"/>
      <c r="C162" s="1659">
        <v>980376225</v>
      </c>
      <c r="D162" s="1638" t="s">
        <v>395</v>
      </c>
      <c r="E162" s="1638" t="s">
        <v>399</v>
      </c>
      <c r="F162" s="1638" t="s">
        <v>3611</v>
      </c>
      <c r="G162" s="1665" t="s">
        <v>3665</v>
      </c>
      <c r="H162" s="1638" t="s">
        <v>4333</v>
      </c>
      <c r="I162" s="1668" t="s">
        <v>2473</v>
      </c>
      <c r="J162" s="1674">
        <v>43101</v>
      </c>
      <c r="K162" s="1674">
        <v>43466</v>
      </c>
      <c r="L162" s="1708">
        <v>48</v>
      </c>
      <c r="M162" s="1638" t="s">
        <v>48</v>
      </c>
      <c r="N162" s="1638" t="s">
        <v>354</v>
      </c>
      <c r="O162" s="1656"/>
      <c r="P162" s="1694" t="s">
        <v>50</v>
      </c>
      <c r="Q162" s="1759" t="s">
        <v>3610</v>
      </c>
      <c r="R162" s="1694" t="s">
        <v>4244</v>
      </c>
      <c r="S162" s="1694" t="s">
        <v>4244</v>
      </c>
      <c r="T162" s="1638" t="s">
        <v>317</v>
      </c>
      <c r="U162" s="1638" t="s">
        <v>2477</v>
      </c>
      <c r="V162" s="1665" t="s">
        <v>252</v>
      </c>
      <c r="W162" s="1638" t="s">
        <v>307</v>
      </c>
      <c r="X162" s="1638" t="s">
        <v>113</v>
      </c>
      <c r="Y162" s="1694" t="s">
        <v>124</v>
      </c>
      <c r="Z162" s="23">
        <v>554.71</v>
      </c>
      <c r="AA162" s="1638" t="s">
        <v>93</v>
      </c>
      <c r="AB162" s="23">
        <v>653.54</v>
      </c>
      <c r="AC162" s="1694" t="s">
        <v>403</v>
      </c>
      <c r="AD162" s="23">
        <v>410.5</v>
      </c>
      <c r="AE162" s="1647"/>
      <c r="AF162" s="1650"/>
      <c r="AG162" s="1644"/>
      <c r="AH162" s="2"/>
      <c r="AI162" s="1644"/>
      <c r="AJ162" s="2"/>
      <c r="AK162" s="1662" t="s">
        <v>85</v>
      </c>
      <c r="AL162" s="1662" t="s">
        <v>245</v>
      </c>
      <c r="AM162" s="1662" t="s">
        <v>246</v>
      </c>
      <c r="AN162" s="1638" t="s">
        <v>250</v>
      </c>
      <c r="AO162" s="1638" t="s">
        <v>2489</v>
      </c>
      <c r="AP162" s="1638" t="s">
        <v>2482</v>
      </c>
      <c r="AQ162" s="1638" t="s">
        <v>388</v>
      </c>
      <c r="AR162" s="23">
        <v>46.35</v>
      </c>
      <c r="AS162" s="1638" t="s">
        <v>2493</v>
      </c>
      <c r="AT162" s="1638" t="s">
        <v>2484</v>
      </c>
      <c r="AU162" s="23">
        <v>7.87</v>
      </c>
      <c r="AV162" s="23" t="s">
        <v>56</v>
      </c>
      <c r="AW162" s="306" t="s">
        <v>126</v>
      </c>
      <c r="AX162" s="181">
        <v>0.09</v>
      </c>
      <c r="AY162" s="306" t="s">
        <v>58</v>
      </c>
      <c r="AZ162" s="25" t="s">
        <v>59</v>
      </c>
      <c r="BA162" s="307" t="s">
        <v>60</v>
      </c>
      <c r="BB162" s="182" t="s">
        <v>61</v>
      </c>
      <c r="BC162" s="307" t="s">
        <v>58</v>
      </c>
      <c r="BD162" s="23" t="s">
        <v>62</v>
      </c>
      <c r="BE162" s="306" t="s">
        <v>266</v>
      </c>
      <c r="BF162" s="181">
        <v>9.6000000000000002E-2</v>
      </c>
      <c r="BG162" s="306" t="s">
        <v>64</v>
      </c>
      <c r="BH162" s="23" t="s">
        <v>94</v>
      </c>
      <c r="BI162" s="182" t="s">
        <v>95</v>
      </c>
      <c r="BJ162" s="182" t="s">
        <v>61</v>
      </c>
      <c r="BK162" s="313" t="s">
        <v>96</v>
      </c>
    </row>
    <row r="163" spans="1:63" s="8" customFormat="1" ht="71.25" customHeight="1">
      <c r="A163" s="1683"/>
      <c r="B163" s="1657"/>
      <c r="C163" s="1660"/>
      <c r="D163" s="1698"/>
      <c r="E163" s="1698"/>
      <c r="F163" s="1698"/>
      <c r="G163" s="1666"/>
      <c r="H163" s="1639"/>
      <c r="I163" s="1669"/>
      <c r="J163" s="1669"/>
      <c r="K163" s="1669"/>
      <c r="L163" s="1676"/>
      <c r="M163" s="1639"/>
      <c r="N163" s="1639"/>
      <c r="O163" s="1657"/>
      <c r="P163" s="1695"/>
      <c r="Q163" s="1680"/>
      <c r="R163" s="1695"/>
      <c r="S163" s="1695"/>
      <c r="T163" s="1639"/>
      <c r="U163" s="1639"/>
      <c r="V163" s="1666"/>
      <c r="W163" s="1639"/>
      <c r="X163" s="1639"/>
      <c r="Y163" s="1695"/>
      <c r="Z163" s="25">
        <v>1214.81</v>
      </c>
      <c r="AA163" s="1639"/>
      <c r="AB163" s="25">
        <v>1431.25</v>
      </c>
      <c r="AC163" s="1695"/>
      <c r="AD163" s="25">
        <v>899.01</v>
      </c>
      <c r="AE163" s="1648"/>
      <c r="AF163" s="1651"/>
      <c r="AG163" s="1645"/>
      <c r="AH163" s="10"/>
      <c r="AI163" s="1645"/>
      <c r="AJ163" s="10"/>
      <c r="AK163" s="1700"/>
      <c r="AL163" s="1700"/>
      <c r="AM163" s="1700"/>
      <c r="AN163" s="1639"/>
      <c r="AO163" s="1639"/>
      <c r="AP163" s="1639"/>
      <c r="AQ163" s="1639"/>
      <c r="AR163" s="25">
        <v>94.54</v>
      </c>
      <c r="AS163" s="1639"/>
      <c r="AT163" s="1639"/>
      <c r="AU163" s="25">
        <v>15.77</v>
      </c>
      <c r="AV163" s="25" t="s">
        <v>65</v>
      </c>
      <c r="AW163" s="307" t="s">
        <v>126</v>
      </c>
      <c r="AX163" s="182">
        <v>0.02</v>
      </c>
      <c r="AY163" s="307" t="s">
        <v>58</v>
      </c>
      <c r="AZ163" s="220" t="s">
        <v>66</v>
      </c>
      <c r="BA163" s="307" t="s">
        <v>60</v>
      </c>
      <c r="BB163" s="182" t="s">
        <v>61</v>
      </c>
      <c r="BC163" s="307" t="s">
        <v>58</v>
      </c>
      <c r="BD163" s="25" t="s">
        <v>67</v>
      </c>
      <c r="BE163" s="307" t="s">
        <v>68</v>
      </c>
      <c r="BF163" s="182">
        <v>0.35</v>
      </c>
      <c r="BG163" s="307" t="s">
        <v>69</v>
      </c>
      <c r="BH163" s="25" t="s">
        <v>98</v>
      </c>
      <c r="BI163" s="182" t="s">
        <v>95</v>
      </c>
      <c r="BJ163" s="182" t="s">
        <v>61</v>
      </c>
      <c r="BK163" s="314" t="s">
        <v>79</v>
      </c>
    </row>
    <row r="164" spans="1:63" s="8" customFormat="1" ht="71.25" customHeight="1" thickBot="1">
      <c r="A164" s="1683"/>
      <c r="B164" s="1657"/>
      <c r="C164" s="1660"/>
      <c r="D164" s="1698"/>
      <c r="E164" s="1698"/>
      <c r="F164" s="1698"/>
      <c r="G164" s="1666"/>
      <c r="H164" s="1639"/>
      <c r="I164" s="1669"/>
      <c r="J164" s="1669"/>
      <c r="K164" s="1669"/>
      <c r="L164" s="1676"/>
      <c r="M164" s="1639"/>
      <c r="N164" s="1639"/>
      <c r="O164" s="1657"/>
      <c r="P164" s="1695"/>
      <c r="Q164" s="1680"/>
      <c r="R164" s="1695"/>
      <c r="S164" s="1695"/>
      <c r="T164" s="1639"/>
      <c r="U164" s="1639"/>
      <c r="V164" s="1666"/>
      <c r="W164" s="1639"/>
      <c r="X164" s="1639"/>
      <c r="Y164" s="1695"/>
      <c r="Z164" s="25">
        <v>1053.94</v>
      </c>
      <c r="AA164" s="1639"/>
      <c r="AB164" s="25">
        <v>1241.73</v>
      </c>
      <c r="AC164" s="1695"/>
      <c r="AD164" s="25">
        <v>779.95</v>
      </c>
      <c r="AE164" s="1648"/>
      <c r="AF164" s="1651"/>
      <c r="AG164" s="1645"/>
      <c r="AH164" s="10"/>
      <c r="AI164" s="1645"/>
      <c r="AJ164" s="10"/>
      <c r="AK164" s="1700"/>
      <c r="AL164" s="1700"/>
      <c r="AM164" s="1700"/>
      <c r="AN164" s="1639"/>
      <c r="AO164" s="1639"/>
      <c r="AP164" s="1639"/>
      <c r="AQ164" s="1639"/>
      <c r="AR164" s="25">
        <v>111.33</v>
      </c>
      <c r="AS164" s="1639"/>
      <c r="AT164" s="1639"/>
      <c r="AU164" s="25">
        <v>13.34</v>
      </c>
      <c r="AV164" s="10"/>
      <c r="AW164" s="204"/>
      <c r="AX164" s="11"/>
      <c r="AY164" s="204"/>
      <c r="AZ164" s="10"/>
      <c r="BA164" s="204"/>
      <c r="BB164" s="11"/>
      <c r="BC164" s="204"/>
      <c r="BD164" s="714" t="s">
        <v>3737</v>
      </c>
      <c r="BE164" s="711"/>
      <c r="BF164" s="333"/>
      <c r="BG164" s="711"/>
      <c r="BH164" s="331"/>
      <c r="BI164" s="711"/>
      <c r="BJ164" s="15"/>
      <c r="BK164" s="305"/>
    </row>
    <row r="165" spans="1:63" s="8" customFormat="1" ht="71.25" customHeight="1" thickBot="1">
      <c r="A165" s="1684"/>
      <c r="B165" s="1658"/>
      <c r="C165" s="1661"/>
      <c r="D165" s="1699"/>
      <c r="E165" s="1699"/>
      <c r="F165" s="1699"/>
      <c r="G165" s="1667"/>
      <c r="H165" s="1640"/>
      <c r="I165" s="1670"/>
      <c r="J165" s="1670"/>
      <c r="K165" s="1670"/>
      <c r="L165" s="1677"/>
      <c r="M165" s="1640"/>
      <c r="N165" s="1640"/>
      <c r="O165" s="1678"/>
      <c r="P165" s="1696"/>
      <c r="Q165" s="1681"/>
      <c r="R165" s="1696"/>
      <c r="S165" s="1696"/>
      <c r="T165" s="1640"/>
      <c r="U165" s="1640"/>
      <c r="V165" s="1667"/>
      <c r="W165" s="1640"/>
      <c r="X165" s="1640"/>
      <c r="Y165" s="1696"/>
      <c r="Z165" s="180">
        <v>1686.31</v>
      </c>
      <c r="AA165" s="1640"/>
      <c r="AB165" s="180">
        <v>1986.75</v>
      </c>
      <c r="AC165" s="1696"/>
      <c r="AD165" s="180">
        <v>1247.93</v>
      </c>
      <c r="AE165" s="1649"/>
      <c r="AF165" s="1652"/>
      <c r="AG165" s="1646"/>
      <c r="AH165" s="13"/>
      <c r="AI165" s="1646"/>
      <c r="AJ165" s="13"/>
      <c r="AK165" s="1701"/>
      <c r="AL165" s="1701"/>
      <c r="AM165" s="1701"/>
      <c r="AN165" s="1640"/>
      <c r="AO165" s="1640"/>
      <c r="AP165" s="1640"/>
      <c r="AQ165" s="1640"/>
      <c r="AR165" s="180">
        <v>171.13</v>
      </c>
      <c r="AS165" s="1640"/>
      <c r="AT165" s="1640"/>
      <c r="AU165" s="180">
        <v>22.01</v>
      </c>
      <c r="AV165" s="13"/>
      <c r="AW165" s="205"/>
      <c r="AX165" s="15"/>
      <c r="AY165" s="205"/>
      <c r="AZ165" s="13"/>
      <c r="BA165" s="205"/>
      <c r="BB165" s="15"/>
      <c r="BC165" s="205"/>
      <c r="BD165" s="715" t="s">
        <v>4140</v>
      </c>
      <c r="BE165" s="712"/>
      <c r="BF165" s="334"/>
      <c r="BG165" s="712"/>
      <c r="BH165" s="336"/>
      <c r="BI165" s="712"/>
      <c r="BJ165" s="15"/>
      <c r="BK165" s="205"/>
    </row>
    <row r="166" spans="1:63" s="8" customFormat="1" ht="71.25" customHeight="1">
      <c r="A166" s="1705" t="s">
        <v>141</v>
      </c>
      <c r="B166" s="1656"/>
      <c r="C166" s="1717">
        <v>812767509</v>
      </c>
      <c r="D166" s="1665" t="s">
        <v>4247</v>
      </c>
      <c r="E166" s="1665" t="s">
        <v>240</v>
      </c>
      <c r="F166" s="1665" t="s">
        <v>240</v>
      </c>
      <c r="G166" s="1665" t="s">
        <v>3665</v>
      </c>
      <c r="H166" s="1665" t="s">
        <v>4337</v>
      </c>
      <c r="I166" s="1668" t="s">
        <v>2474</v>
      </c>
      <c r="J166" s="1674">
        <v>42826</v>
      </c>
      <c r="K166" s="1674">
        <v>43466</v>
      </c>
      <c r="L166" s="1675">
        <v>11</v>
      </c>
      <c r="M166" s="1706" t="s">
        <v>48</v>
      </c>
      <c r="N166" s="1706" t="s">
        <v>49</v>
      </c>
      <c r="O166" s="1656"/>
      <c r="P166" s="1679" t="s">
        <v>72</v>
      </c>
      <c r="Q166" s="1656" t="s">
        <v>73</v>
      </c>
      <c r="R166" s="1694" t="s">
        <v>4244</v>
      </c>
      <c r="S166" s="1694" t="s">
        <v>4244</v>
      </c>
      <c r="T166" s="1638" t="s">
        <v>303</v>
      </c>
      <c r="U166" s="1638" t="s">
        <v>2477</v>
      </c>
      <c r="V166" s="1665" t="s">
        <v>252</v>
      </c>
      <c r="W166" s="1638" t="s">
        <v>307</v>
      </c>
      <c r="X166" s="1638" t="s">
        <v>113</v>
      </c>
      <c r="Y166" s="1656" t="s">
        <v>124</v>
      </c>
      <c r="Z166" s="3">
        <v>665.08</v>
      </c>
      <c r="AA166" s="1706" t="s">
        <v>87</v>
      </c>
      <c r="AB166" s="3">
        <v>746.83</v>
      </c>
      <c r="AC166" s="1697" t="s">
        <v>403</v>
      </c>
      <c r="AD166" s="3">
        <v>451.73</v>
      </c>
      <c r="AE166" s="1647"/>
      <c r="AF166" s="1"/>
      <c r="AG166" s="1647"/>
      <c r="AH166" s="1"/>
      <c r="AI166" s="1647"/>
      <c r="AJ166" s="1"/>
      <c r="AK166" s="1706" t="s">
        <v>85</v>
      </c>
      <c r="AL166" s="1665" t="s">
        <v>245</v>
      </c>
      <c r="AM166" s="1665" t="s">
        <v>246</v>
      </c>
      <c r="AN166" s="1665" t="s">
        <v>250</v>
      </c>
      <c r="AO166" s="1737" t="s">
        <v>2499</v>
      </c>
      <c r="AP166" s="1737" t="s">
        <v>2495</v>
      </c>
      <c r="AQ166" s="1697" t="s">
        <v>388</v>
      </c>
      <c r="AR166" s="3">
        <v>77.89</v>
      </c>
      <c r="AS166" s="1665" t="s">
        <v>2483</v>
      </c>
      <c r="AT166" s="1665" t="s">
        <v>2484</v>
      </c>
      <c r="AU166" s="3">
        <v>8.85</v>
      </c>
      <c r="AV166" s="3" t="s">
        <v>56</v>
      </c>
      <c r="AW166" s="309" t="s">
        <v>1249</v>
      </c>
      <c r="AX166" s="4">
        <v>9.4E-2</v>
      </c>
      <c r="AY166" s="309" t="s">
        <v>58</v>
      </c>
      <c r="AZ166" s="5" t="s">
        <v>59</v>
      </c>
      <c r="BA166" s="308" t="s">
        <v>60</v>
      </c>
      <c r="BB166" s="6" t="s">
        <v>61</v>
      </c>
      <c r="BC166" s="308" t="s">
        <v>58</v>
      </c>
      <c r="BD166" s="2"/>
      <c r="BE166" s="310"/>
      <c r="BF166" s="7"/>
      <c r="BG166" s="310"/>
      <c r="BH166" s="2"/>
      <c r="BI166" s="310"/>
      <c r="BJ166" s="7"/>
      <c r="BK166" s="310"/>
    </row>
    <row r="167" spans="1:63" s="8" customFormat="1" ht="71.25" customHeight="1">
      <c r="A167" s="1683"/>
      <c r="B167" s="1657"/>
      <c r="C167" s="1718"/>
      <c r="D167" s="1666"/>
      <c r="E167" s="1666"/>
      <c r="F167" s="1666"/>
      <c r="G167" s="1666"/>
      <c r="H167" s="1666"/>
      <c r="I167" s="1669"/>
      <c r="J167" s="1669"/>
      <c r="K167" s="1669"/>
      <c r="L167" s="1676"/>
      <c r="M167" s="1666"/>
      <c r="N167" s="1666"/>
      <c r="O167" s="1657"/>
      <c r="P167" s="1680"/>
      <c r="Q167" s="1657"/>
      <c r="R167" s="1695"/>
      <c r="S167" s="1695"/>
      <c r="T167" s="1639"/>
      <c r="U167" s="1639"/>
      <c r="V167" s="1666"/>
      <c r="W167" s="1639"/>
      <c r="X167" s="1639"/>
      <c r="Y167" s="1657"/>
      <c r="Z167" s="5">
        <v>1456.52</v>
      </c>
      <c r="AA167" s="1666"/>
      <c r="AB167" s="5">
        <v>1635.55</v>
      </c>
      <c r="AC167" s="1657"/>
      <c r="AD167" s="5">
        <v>989.28</v>
      </c>
      <c r="AE167" s="1648"/>
      <c r="AF167" s="9"/>
      <c r="AG167" s="1648"/>
      <c r="AH167" s="9"/>
      <c r="AI167" s="1648"/>
      <c r="AJ167" s="9"/>
      <c r="AK167" s="1666"/>
      <c r="AL167" s="1666"/>
      <c r="AM167" s="1666"/>
      <c r="AN167" s="1666"/>
      <c r="AO167" s="1738"/>
      <c r="AP167" s="1738"/>
      <c r="AQ167" s="1657"/>
      <c r="AR167" s="5">
        <v>158.83000000000001</v>
      </c>
      <c r="AS167" s="1666"/>
      <c r="AT167" s="1666"/>
      <c r="AU167" s="5">
        <v>17.739999999999998</v>
      </c>
      <c r="AV167" s="5" t="s">
        <v>65</v>
      </c>
      <c r="AW167" s="308" t="s">
        <v>1249</v>
      </c>
      <c r="AX167" s="6">
        <v>0.02</v>
      </c>
      <c r="AY167" s="308" t="s">
        <v>58</v>
      </c>
      <c r="AZ167" s="19" t="s">
        <v>66</v>
      </c>
      <c r="BA167" s="308" t="s">
        <v>60</v>
      </c>
      <c r="BB167" s="6" t="s">
        <v>61</v>
      </c>
      <c r="BC167" s="308" t="s">
        <v>58</v>
      </c>
      <c r="BD167" s="5" t="s">
        <v>67</v>
      </c>
      <c r="BE167" s="308" t="s">
        <v>82</v>
      </c>
      <c r="BF167" s="6">
        <v>0.25</v>
      </c>
      <c r="BG167" s="308" t="s">
        <v>69</v>
      </c>
      <c r="BH167" s="10"/>
      <c r="BI167" s="311"/>
      <c r="BJ167" s="11"/>
      <c r="BK167" s="311"/>
    </row>
    <row r="168" spans="1:63" s="8" customFormat="1" ht="71.25" customHeight="1">
      <c r="A168" s="1683"/>
      <c r="B168" s="1657"/>
      <c r="C168" s="1718"/>
      <c r="D168" s="1666"/>
      <c r="E168" s="1666"/>
      <c r="F168" s="1666"/>
      <c r="G168" s="1666"/>
      <c r="H168" s="1666"/>
      <c r="I168" s="1669"/>
      <c r="J168" s="1669"/>
      <c r="K168" s="1669"/>
      <c r="L168" s="1676"/>
      <c r="M168" s="1666"/>
      <c r="N168" s="1666"/>
      <c r="O168" s="1657"/>
      <c r="P168" s="1680"/>
      <c r="Q168" s="1657"/>
      <c r="R168" s="1695"/>
      <c r="S168" s="1695"/>
      <c r="T168" s="1639"/>
      <c r="U168" s="1639"/>
      <c r="V168" s="1666"/>
      <c r="W168" s="1639"/>
      <c r="X168" s="1639"/>
      <c r="Y168" s="1657"/>
      <c r="Z168" s="5">
        <v>1263.6500000000001</v>
      </c>
      <c r="AA168" s="1666"/>
      <c r="AB168" s="5">
        <v>1418.98</v>
      </c>
      <c r="AC168" s="1657"/>
      <c r="AD168" s="5">
        <v>858.28</v>
      </c>
      <c r="AE168" s="1648"/>
      <c r="AF168" s="9"/>
      <c r="AG168" s="1648"/>
      <c r="AH168" s="9"/>
      <c r="AI168" s="1648"/>
      <c r="AJ168" s="9"/>
      <c r="AK168" s="1666"/>
      <c r="AL168" s="1666"/>
      <c r="AM168" s="1666"/>
      <c r="AN168" s="1666"/>
      <c r="AO168" s="1738"/>
      <c r="AP168" s="1738"/>
      <c r="AQ168" s="1657"/>
      <c r="AR168" s="5">
        <v>182.03</v>
      </c>
      <c r="AS168" s="1666"/>
      <c r="AT168" s="1666"/>
      <c r="AU168" s="5">
        <v>15.01</v>
      </c>
      <c r="AV168" s="10"/>
      <c r="AW168" s="311"/>
      <c r="AX168" s="11"/>
      <c r="AY168" s="311"/>
      <c r="AZ168" s="10"/>
      <c r="BA168" s="311"/>
      <c r="BB168" s="11"/>
      <c r="BC168" s="311"/>
      <c r="BD168" s="10"/>
      <c r="BE168" s="311"/>
      <c r="BF168" s="11"/>
      <c r="BG168" s="311"/>
      <c r="BH168" s="10"/>
      <c r="BI168" s="311"/>
      <c r="BJ168" s="11"/>
      <c r="BK168" s="311"/>
    </row>
    <row r="169" spans="1:63" s="8" customFormat="1" ht="71.25" customHeight="1" thickBot="1">
      <c r="A169" s="1684"/>
      <c r="B169" s="1678"/>
      <c r="C169" s="1719"/>
      <c r="D169" s="1667"/>
      <c r="E169" s="1667"/>
      <c r="F169" s="1667"/>
      <c r="G169" s="1667"/>
      <c r="H169" s="1667"/>
      <c r="I169" s="1670"/>
      <c r="J169" s="1670"/>
      <c r="K169" s="1670"/>
      <c r="L169" s="1677"/>
      <c r="M169" s="1667"/>
      <c r="N169" s="1667"/>
      <c r="O169" s="1678"/>
      <c r="P169" s="1681"/>
      <c r="Q169" s="1678"/>
      <c r="R169" s="1696"/>
      <c r="S169" s="1696"/>
      <c r="T169" s="1640"/>
      <c r="U169" s="1640"/>
      <c r="V169" s="1667"/>
      <c r="W169" s="1640"/>
      <c r="X169" s="1640"/>
      <c r="Y169" s="1678"/>
      <c r="Z169" s="14">
        <v>2021.84</v>
      </c>
      <c r="AA169" s="1667"/>
      <c r="AB169" s="14">
        <v>2270.36</v>
      </c>
      <c r="AC169" s="1678"/>
      <c r="AD169" s="14">
        <v>1373.26</v>
      </c>
      <c r="AE169" s="1649"/>
      <c r="AF169" s="12"/>
      <c r="AG169" s="1649"/>
      <c r="AH169" s="12"/>
      <c r="AI169" s="1649"/>
      <c r="AJ169" s="12"/>
      <c r="AK169" s="1667"/>
      <c r="AL169" s="1667"/>
      <c r="AM169" s="1667"/>
      <c r="AN169" s="1667"/>
      <c r="AO169" s="1739"/>
      <c r="AP169" s="1739"/>
      <c r="AQ169" s="1678"/>
      <c r="AR169" s="14">
        <v>282</v>
      </c>
      <c r="AS169" s="1667"/>
      <c r="AT169" s="1667"/>
      <c r="AU169" s="14">
        <v>24.76</v>
      </c>
      <c r="AV169" s="13"/>
      <c r="AW169" s="312"/>
      <c r="AX169" s="15"/>
      <c r="AY169" s="312"/>
      <c r="AZ169" s="13"/>
      <c r="BA169" s="312"/>
      <c r="BB169" s="15"/>
      <c r="BC169" s="312"/>
      <c r="BD169" s="13"/>
      <c r="BE169" s="312"/>
      <c r="BF169" s="15"/>
      <c r="BG169" s="312"/>
      <c r="BH169" s="13"/>
      <c r="BI169" s="312"/>
      <c r="BJ169" s="15"/>
      <c r="BK169" s="312"/>
    </row>
    <row r="170" spans="1:63" s="8" customFormat="1" ht="71.25" customHeight="1">
      <c r="A170" s="1682" t="s">
        <v>142</v>
      </c>
      <c r="B170" s="1656"/>
      <c r="C170" s="1717">
        <v>475205835</v>
      </c>
      <c r="D170" s="1706" t="s">
        <v>143</v>
      </c>
      <c r="E170" s="1706" t="s">
        <v>144</v>
      </c>
      <c r="F170" s="1706" t="s">
        <v>144</v>
      </c>
      <c r="G170" s="1662" t="s">
        <v>3665</v>
      </c>
      <c r="H170" s="1662" t="s">
        <v>4337</v>
      </c>
      <c r="I170" s="1668" t="s">
        <v>2474</v>
      </c>
      <c r="J170" s="1674">
        <v>42736</v>
      </c>
      <c r="K170" s="1674">
        <v>43466</v>
      </c>
      <c r="L170" s="1708">
        <v>2</v>
      </c>
      <c r="M170" s="1706" t="s">
        <v>48</v>
      </c>
      <c r="N170" s="1662" t="s">
        <v>354</v>
      </c>
      <c r="O170" s="1656"/>
      <c r="P170" s="1679" t="s">
        <v>72</v>
      </c>
      <c r="Q170" s="1656" t="s">
        <v>73</v>
      </c>
      <c r="R170" s="1694" t="s">
        <v>4244</v>
      </c>
      <c r="S170" s="1694" t="s">
        <v>4244</v>
      </c>
      <c r="T170" s="1662" t="s">
        <v>317</v>
      </c>
      <c r="U170" s="1662" t="s">
        <v>2504</v>
      </c>
      <c r="V170" s="1662" t="s">
        <v>252</v>
      </c>
      <c r="W170" s="1638" t="s">
        <v>307</v>
      </c>
      <c r="X170" s="1638" t="s">
        <v>113</v>
      </c>
      <c r="Y170" s="1697" t="s">
        <v>403</v>
      </c>
      <c r="Z170" s="81">
        <v>496.93</v>
      </c>
      <c r="AA170" s="1647"/>
      <c r="AB170" s="1"/>
      <c r="AC170" s="1647"/>
      <c r="AD170" s="1"/>
      <c r="AE170" s="1647"/>
      <c r="AF170" s="1"/>
      <c r="AG170" s="1647"/>
      <c r="AH170" s="1"/>
      <c r="AI170" s="1647"/>
      <c r="AJ170" s="1"/>
      <c r="AK170" s="1632" t="s">
        <v>113</v>
      </c>
      <c r="AL170" s="1632" t="s">
        <v>72</v>
      </c>
      <c r="AM170" s="1632" t="s">
        <v>72</v>
      </c>
      <c r="AN170" s="1632" t="s">
        <v>113</v>
      </c>
      <c r="AO170" s="1632" t="s">
        <v>72</v>
      </c>
      <c r="AP170" s="1632" t="s">
        <v>72</v>
      </c>
      <c r="AQ170" s="1632" t="s">
        <v>72</v>
      </c>
      <c r="AR170" s="16"/>
      <c r="AS170" s="1632" t="s">
        <v>72</v>
      </c>
      <c r="AT170" s="1632" t="s">
        <v>72</v>
      </c>
      <c r="AU170" s="1"/>
      <c r="AV170" s="2"/>
      <c r="AW170" s="594"/>
      <c r="AX170" s="7"/>
      <c r="AY170" s="594"/>
      <c r="AZ170" s="2"/>
      <c r="BA170" s="594"/>
      <c r="BB170" s="7"/>
      <c r="BC170" s="594"/>
      <c r="BD170" s="2"/>
      <c r="BE170" s="594"/>
      <c r="BF170" s="7"/>
      <c r="BG170" s="594"/>
      <c r="BH170" s="2"/>
      <c r="BI170" s="594"/>
      <c r="BJ170" s="7"/>
      <c r="BK170" s="594"/>
    </row>
    <row r="171" spans="1:63" s="8" customFormat="1" ht="71.25" customHeight="1">
      <c r="A171" s="1683"/>
      <c r="B171" s="1657"/>
      <c r="C171" s="1718"/>
      <c r="D171" s="1666"/>
      <c r="E171" s="1666"/>
      <c r="F171" s="1666"/>
      <c r="G171" s="1700"/>
      <c r="H171" s="1700"/>
      <c r="I171" s="1669"/>
      <c r="J171" s="1669"/>
      <c r="K171" s="1669"/>
      <c r="L171" s="1676"/>
      <c r="M171" s="1666"/>
      <c r="N171" s="1700"/>
      <c r="O171" s="1657"/>
      <c r="P171" s="1680"/>
      <c r="Q171" s="1657"/>
      <c r="R171" s="1695"/>
      <c r="S171" s="1695"/>
      <c r="T171" s="1700"/>
      <c r="U171" s="1700"/>
      <c r="V171" s="1700"/>
      <c r="W171" s="1639"/>
      <c r="X171" s="1639"/>
      <c r="Y171" s="1657"/>
      <c r="Z171" s="27">
        <v>1088.27</v>
      </c>
      <c r="AA171" s="1648"/>
      <c r="AB171" s="9"/>
      <c r="AC171" s="1648"/>
      <c r="AD171" s="9"/>
      <c r="AE171" s="1648"/>
      <c r="AF171" s="9"/>
      <c r="AG171" s="1648"/>
      <c r="AH171" s="9"/>
      <c r="AI171" s="1648"/>
      <c r="AJ171" s="9"/>
      <c r="AK171" s="1633"/>
      <c r="AL171" s="1633"/>
      <c r="AM171" s="1633"/>
      <c r="AN171" s="1633"/>
      <c r="AO171" s="1633"/>
      <c r="AP171" s="1633"/>
      <c r="AQ171" s="1633"/>
      <c r="AR171" s="20"/>
      <c r="AS171" s="1633"/>
      <c r="AT171" s="1633"/>
      <c r="AU171" s="9"/>
      <c r="AV171" s="10"/>
      <c r="AW171" s="595"/>
      <c r="AX171" s="11"/>
      <c r="AY171" s="595"/>
      <c r="AZ171" s="10"/>
      <c r="BA171" s="595"/>
      <c r="BB171" s="11"/>
      <c r="BC171" s="595"/>
      <c r="BD171" s="10"/>
      <c r="BE171" s="595"/>
      <c r="BF171" s="11"/>
      <c r="BG171" s="595"/>
      <c r="BH171" s="10"/>
      <c r="BI171" s="595"/>
      <c r="BJ171" s="11"/>
      <c r="BK171" s="595"/>
    </row>
    <row r="172" spans="1:63" s="8" customFormat="1" ht="71.25" customHeight="1">
      <c r="A172" s="1683"/>
      <c r="B172" s="1657"/>
      <c r="C172" s="1718"/>
      <c r="D172" s="1666"/>
      <c r="E172" s="1666"/>
      <c r="F172" s="1666"/>
      <c r="G172" s="1700"/>
      <c r="H172" s="1700"/>
      <c r="I172" s="1669"/>
      <c r="J172" s="1669"/>
      <c r="K172" s="1669"/>
      <c r="L172" s="1676"/>
      <c r="M172" s="1666"/>
      <c r="N172" s="1700"/>
      <c r="O172" s="1657"/>
      <c r="P172" s="1680"/>
      <c r="Q172" s="1657"/>
      <c r="R172" s="1695"/>
      <c r="S172" s="1695"/>
      <c r="T172" s="1700"/>
      <c r="U172" s="1700"/>
      <c r="V172" s="1700"/>
      <c r="W172" s="1639"/>
      <c r="X172" s="1639"/>
      <c r="Y172" s="1657"/>
      <c r="Z172" s="27">
        <v>944.16</v>
      </c>
      <c r="AA172" s="1648"/>
      <c r="AB172" s="9"/>
      <c r="AC172" s="1648"/>
      <c r="AD172" s="9"/>
      <c r="AE172" s="1648"/>
      <c r="AF172" s="9"/>
      <c r="AG172" s="1648"/>
      <c r="AH172" s="9"/>
      <c r="AI172" s="1648"/>
      <c r="AJ172" s="9"/>
      <c r="AK172" s="1633"/>
      <c r="AL172" s="1633"/>
      <c r="AM172" s="1633"/>
      <c r="AN172" s="1633"/>
      <c r="AO172" s="1633"/>
      <c r="AP172" s="1633"/>
      <c r="AQ172" s="1633"/>
      <c r="AR172" s="20"/>
      <c r="AS172" s="1633"/>
      <c r="AT172" s="1633"/>
      <c r="AU172" s="9"/>
      <c r="AV172" s="10"/>
      <c r="AW172" s="595"/>
      <c r="AX172" s="11"/>
      <c r="AY172" s="595"/>
      <c r="AZ172" s="10"/>
      <c r="BA172" s="595"/>
      <c r="BB172" s="11"/>
      <c r="BC172" s="595"/>
      <c r="BD172" s="10"/>
      <c r="BE172" s="595"/>
      <c r="BF172" s="11"/>
      <c r="BG172" s="595"/>
      <c r="BH172" s="10"/>
      <c r="BI172" s="595"/>
      <c r="BJ172" s="11"/>
      <c r="BK172" s="595"/>
    </row>
    <row r="173" spans="1:63" s="8" customFormat="1" ht="71.25" customHeight="1" thickBot="1">
      <c r="A173" s="1684"/>
      <c r="B173" s="1678"/>
      <c r="C173" s="1719"/>
      <c r="D173" s="1667"/>
      <c r="E173" s="1667"/>
      <c r="F173" s="1667"/>
      <c r="G173" s="1701"/>
      <c r="H173" s="1701"/>
      <c r="I173" s="1670"/>
      <c r="J173" s="1670"/>
      <c r="K173" s="1670"/>
      <c r="L173" s="1677"/>
      <c r="M173" s="1667"/>
      <c r="N173" s="1701"/>
      <c r="O173" s="1678"/>
      <c r="P173" s="1681"/>
      <c r="Q173" s="1678"/>
      <c r="R173" s="1696"/>
      <c r="S173" s="1696"/>
      <c r="T173" s="1701"/>
      <c r="U173" s="1701"/>
      <c r="V173" s="1701"/>
      <c r="W173" s="1640"/>
      <c r="X173" s="1640"/>
      <c r="Y173" s="1658"/>
      <c r="Z173" s="82">
        <v>1510.65</v>
      </c>
      <c r="AA173" s="1649"/>
      <c r="AB173" s="12"/>
      <c r="AC173" s="1649"/>
      <c r="AD173" s="12"/>
      <c r="AE173" s="1649"/>
      <c r="AF173" s="12"/>
      <c r="AG173" s="1649"/>
      <c r="AH173" s="12"/>
      <c r="AI173" s="1649"/>
      <c r="AJ173" s="12"/>
      <c r="AK173" s="1634"/>
      <c r="AL173" s="1634"/>
      <c r="AM173" s="1634"/>
      <c r="AN173" s="1634"/>
      <c r="AO173" s="1634"/>
      <c r="AP173" s="1634"/>
      <c r="AQ173" s="1634"/>
      <c r="AR173" s="212"/>
      <c r="AS173" s="1634"/>
      <c r="AT173" s="1634"/>
      <c r="AU173" s="12"/>
      <c r="AV173" s="13"/>
      <c r="AW173" s="596"/>
      <c r="AX173" s="15"/>
      <c r="AY173" s="596"/>
      <c r="AZ173" s="13"/>
      <c r="BA173" s="596"/>
      <c r="BB173" s="15"/>
      <c r="BC173" s="596"/>
      <c r="BD173" s="13"/>
      <c r="BE173" s="596"/>
      <c r="BF173" s="15"/>
      <c r="BG173" s="596"/>
      <c r="BH173" s="13"/>
      <c r="BI173" s="596"/>
      <c r="BJ173" s="15"/>
      <c r="BK173" s="596"/>
    </row>
    <row r="174" spans="1:63" s="8" customFormat="1" ht="71.25" customHeight="1">
      <c r="A174" s="1682" t="s">
        <v>3745</v>
      </c>
      <c r="B174" s="1665" t="s">
        <v>3609</v>
      </c>
      <c r="C174" s="1720">
        <v>330663715</v>
      </c>
      <c r="D174" s="1638" t="s">
        <v>370</v>
      </c>
      <c r="E174" s="1638" t="s">
        <v>371</v>
      </c>
      <c r="F174" s="1638" t="s">
        <v>4151</v>
      </c>
      <c r="G174" s="1665" t="s">
        <v>3665</v>
      </c>
      <c r="H174" s="1665" t="s">
        <v>4333</v>
      </c>
      <c r="I174" s="1668" t="s">
        <v>2473</v>
      </c>
      <c r="J174" s="1674">
        <v>43101</v>
      </c>
      <c r="K174" s="1674">
        <v>43466</v>
      </c>
      <c r="L174" s="1708">
        <v>63</v>
      </c>
      <c r="M174" s="1638" t="s">
        <v>48</v>
      </c>
      <c r="N174" s="1638" t="s">
        <v>354</v>
      </c>
      <c r="O174" s="1706"/>
      <c r="P174" s="1694" t="s">
        <v>50</v>
      </c>
      <c r="Q174" s="1694" t="s">
        <v>73</v>
      </c>
      <c r="R174" s="1694" t="s">
        <v>4244</v>
      </c>
      <c r="S174" s="1694" t="s">
        <v>4244</v>
      </c>
      <c r="T174" s="1638" t="s">
        <v>317</v>
      </c>
      <c r="U174" s="1638" t="s">
        <v>2503</v>
      </c>
      <c r="V174" s="1665" t="s">
        <v>252</v>
      </c>
      <c r="W174" s="1665" t="s">
        <v>307</v>
      </c>
      <c r="X174" s="1665" t="s">
        <v>113</v>
      </c>
      <c r="Y174" s="1694" t="s">
        <v>124</v>
      </c>
      <c r="Z174" s="23">
        <v>583.9</v>
      </c>
      <c r="AA174" s="1638" t="s">
        <v>93</v>
      </c>
      <c r="AB174" s="23">
        <v>687.93</v>
      </c>
      <c r="AC174" s="1702" t="s">
        <v>1299</v>
      </c>
      <c r="AD174" s="23">
        <v>419.86</v>
      </c>
      <c r="AE174" s="1644"/>
      <c r="AF174" s="2"/>
      <c r="AG174" s="1644"/>
      <c r="AH174" s="2"/>
      <c r="AI174" s="1644"/>
      <c r="AJ174" s="2"/>
      <c r="AK174" s="1662" t="s">
        <v>85</v>
      </c>
      <c r="AL174" s="1662" t="s">
        <v>245</v>
      </c>
      <c r="AM174" s="1662" t="s">
        <v>246</v>
      </c>
      <c r="AN174" s="1638" t="s">
        <v>250</v>
      </c>
      <c r="AO174" s="1638" t="s">
        <v>2490</v>
      </c>
      <c r="AP174" s="1638" t="s">
        <v>2482</v>
      </c>
      <c r="AQ174" s="1697" t="s">
        <v>388</v>
      </c>
      <c r="AR174" s="81">
        <v>56.69</v>
      </c>
      <c r="AS174" s="1638" t="s">
        <v>2482</v>
      </c>
      <c r="AT174" s="1665" t="s">
        <v>2488</v>
      </c>
      <c r="AU174" s="81">
        <v>8.7100000000000009</v>
      </c>
      <c r="AV174" s="23" t="s">
        <v>56</v>
      </c>
      <c r="AW174" s="407" t="s">
        <v>1249</v>
      </c>
      <c r="AX174" s="181">
        <v>9.4E-2</v>
      </c>
      <c r="AY174" s="407" t="s">
        <v>58</v>
      </c>
      <c r="AZ174" s="25" t="s">
        <v>59</v>
      </c>
      <c r="BA174" s="408" t="s">
        <v>60</v>
      </c>
      <c r="BB174" s="182" t="s">
        <v>61</v>
      </c>
      <c r="BC174" s="408" t="s">
        <v>58</v>
      </c>
      <c r="BD174" s="23" t="s">
        <v>62</v>
      </c>
      <c r="BE174" s="407" t="s">
        <v>81</v>
      </c>
      <c r="BF174" s="181">
        <v>9.4E-2</v>
      </c>
      <c r="BG174" s="407" t="s">
        <v>64</v>
      </c>
      <c r="BH174" s="2"/>
      <c r="BI174" s="189"/>
      <c r="BJ174" s="7"/>
      <c r="BK174" s="189"/>
    </row>
    <row r="175" spans="1:63" s="8" customFormat="1" ht="71.25" customHeight="1">
      <c r="A175" s="1683"/>
      <c r="B175" s="1666"/>
      <c r="C175" s="1729"/>
      <c r="D175" s="1639"/>
      <c r="E175" s="1639"/>
      <c r="F175" s="1639"/>
      <c r="G175" s="1666"/>
      <c r="H175" s="1666"/>
      <c r="I175" s="1669"/>
      <c r="J175" s="1669"/>
      <c r="K175" s="1669"/>
      <c r="L175" s="1676"/>
      <c r="M175" s="1639"/>
      <c r="N175" s="1639"/>
      <c r="O175" s="1666"/>
      <c r="P175" s="1695"/>
      <c r="Q175" s="1695"/>
      <c r="R175" s="1695"/>
      <c r="S175" s="1695"/>
      <c r="T175" s="1639"/>
      <c r="U175" s="1639"/>
      <c r="V175" s="1666"/>
      <c r="W175" s="1666"/>
      <c r="X175" s="1666"/>
      <c r="Y175" s="1695"/>
      <c r="Z175" s="25">
        <v>1278.74</v>
      </c>
      <c r="AA175" s="1639"/>
      <c r="AB175" s="25">
        <v>1506.58</v>
      </c>
      <c r="AC175" s="1703"/>
      <c r="AD175" s="25">
        <v>919.49</v>
      </c>
      <c r="AE175" s="1645"/>
      <c r="AF175" s="10"/>
      <c r="AG175" s="1645"/>
      <c r="AH175" s="10"/>
      <c r="AI175" s="1645"/>
      <c r="AJ175" s="10"/>
      <c r="AK175" s="1700"/>
      <c r="AL175" s="1700"/>
      <c r="AM175" s="1700"/>
      <c r="AN175" s="1639" t="s">
        <v>248</v>
      </c>
      <c r="AO175" s="1639"/>
      <c r="AP175" s="1639"/>
      <c r="AQ175" s="1657"/>
      <c r="AR175" s="27">
        <v>115.59</v>
      </c>
      <c r="AS175" s="1639"/>
      <c r="AT175" s="1666"/>
      <c r="AU175" s="27">
        <v>17.45</v>
      </c>
      <c r="AV175" s="25" t="s">
        <v>65</v>
      </c>
      <c r="AW175" s="408" t="s">
        <v>1249</v>
      </c>
      <c r="AX175" s="182">
        <v>0.02</v>
      </c>
      <c r="AY175" s="408" t="s">
        <v>58</v>
      </c>
      <c r="AZ175" s="25" t="s">
        <v>66</v>
      </c>
      <c r="BA175" s="408" t="s">
        <v>60</v>
      </c>
      <c r="BB175" s="182" t="s">
        <v>61</v>
      </c>
      <c r="BC175" s="408" t="s">
        <v>58</v>
      </c>
      <c r="BD175" s="25" t="s">
        <v>67</v>
      </c>
      <c r="BE175" s="408" t="s">
        <v>82</v>
      </c>
      <c r="BF175" s="182">
        <v>0.25</v>
      </c>
      <c r="BG175" s="408" t="s">
        <v>69</v>
      </c>
      <c r="BH175" s="10"/>
      <c r="BI175" s="190"/>
      <c r="BJ175" s="11"/>
      <c r="BK175" s="190"/>
    </row>
    <row r="176" spans="1:63" s="8" customFormat="1" ht="71.25" customHeight="1">
      <c r="A176" s="1683"/>
      <c r="B176" s="1666"/>
      <c r="C176" s="1729"/>
      <c r="D176" s="1639"/>
      <c r="E176" s="1639"/>
      <c r="F176" s="1639"/>
      <c r="G176" s="1666"/>
      <c r="H176" s="1666"/>
      <c r="I176" s="1669"/>
      <c r="J176" s="1669"/>
      <c r="K176" s="1669"/>
      <c r="L176" s="1676"/>
      <c r="M176" s="1639"/>
      <c r="N176" s="1639"/>
      <c r="O176" s="1666"/>
      <c r="P176" s="1695"/>
      <c r="Q176" s="1695"/>
      <c r="R176" s="1695"/>
      <c r="S176" s="1695"/>
      <c r="T176" s="1639"/>
      <c r="U176" s="1639"/>
      <c r="V176" s="1666"/>
      <c r="W176" s="1666"/>
      <c r="X176" s="1666"/>
      <c r="Y176" s="1695"/>
      <c r="Z176" s="25">
        <v>1109.4100000000001</v>
      </c>
      <c r="AA176" s="1639"/>
      <c r="AB176" s="25">
        <v>1307.08</v>
      </c>
      <c r="AC176" s="1703"/>
      <c r="AD176" s="25">
        <v>797.73</v>
      </c>
      <c r="AE176" s="1645"/>
      <c r="AF176" s="10"/>
      <c r="AG176" s="1645"/>
      <c r="AH176" s="10"/>
      <c r="AI176" s="1645"/>
      <c r="AJ176" s="10"/>
      <c r="AK176" s="1700"/>
      <c r="AL176" s="1700"/>
      <c r="AM176" s="1700"/>
      <c r="AN176" s="1639" t="s">
        <v>248</v>
      </c>
      <c r="AO176" s="1639"/>
      <c r="AP176" s="1639"/>
      <c r="AQ176" s="1657"/>
      <c r="AR176" s="27">
        <v>135.71</v>
      </c>
      <c r="AS176" s="1639"/>
      <c r="AT176" s="1666"/>
      <c r="AU176" s="27">
        <v>14.78</v>
      </c>
      <c r="AV176" s="10"/>
      <c r="AW176" s="190"/>
      <c r="AX176" s="11"/>
      <c r="AY176" s="190"/>
      <c r="AZ176" s="10"/>
      <c r="BA176" s="190"/>
      <c r="BB176" s="11"/>
      <c r="BC176" s="190"/>
      <c r="BD176" s="10"/>
      <c r="BE176" s="190"/>
      <c r="BF176" s="11"/>
      <c r="BG176" s="190"/>
      <c r="BH176" s="10"/>
      <c r="BI176" s="190"/>
      <c r="BJ176" s="11"/>
      <c r="BK176" s="190"/>
    </row>
    <row r="177" spans="1:64" s="8" customFormat="1" ht="71.25" customHeight="1" thickBot="1">
      <c r="A177" s="1684"/>
      <c r="B177" s="1667"/>
      <c r="C177" s="1730"/>
      <c r="D177" s="1640"/>
      <c r="E177" s="1640"/>
      <c r="F177" s="1640"/>
      <c r="G177" s="1667"/>
      <c r="H177" s="1667"/>
      <c r="I177" s="1670"/>
      <c r="J177" s="1670"/>
      <c r="K177" s="1670"/>
      <c r="L177" s="1677"/>
      <c r="M177" s="1640"/>
      <c r="N177" s="1640"/>
      <c r="O177" s="1667"/>
      <c r="P177" s="1696"/>
      <c r="Q177" s="1696"/>
      <c r="R177" s="1696"/>
      <c r="S177" s="1696"/>
      <c r="T177" s="1640"/>
      <c r="U177" s="1640"/>
      <c r="V177" s="1667"/>
      <c r="W177" s="1667"/>
      <c r="X177" s="1667"/>
      <c r="Y177" s="1696"/>
      <c r="Z177" s="180">
        <v>1775.07</v>
      </c>
      <c r="AA177" s="1640"/>
      <c r="AB177" s="180">
        <v>2091.3200000000002</v>
      </c>
      <c r="AC177" s="1704"/>
      <c r="AD177" s="180">
        <v>1276.3699999999999</v>
      </c>
      <c r="AE177" s="1646"/>
      <c r="AF177" s="13"/>
      <c r="AG177" s="1646"/>
      <c r="AH177" s="13"/>
      <c r="AI177" s="1646"/>
      <c r="AJ177" s="13"/>
      <c r="AK177" s="1701"/>
      <c r="AL177" s="1701"/>
      <c r="AM177" s="1701"/>
      <c r="AN177" s="1640" t="s">
        <v>248</v>
      </c>
      <c r="AO177" s="1640"/>
      <c r="AP177" s="1640"/>
      <c r="AQ177" s="1678"/>
      <c r="AR177" s="82">
        <v>209.01</v>
      </c>
      <c r="AS177" s="1640"/>
      <c r="AT177" s="1667"/>
      <c r="AU177" s="82">
        <v>24.36</v>
      </c>
      <c r="AV177" s="13"/>
      <c r="AW177" s="191"/>
      <c r="AX177" s="15"/>
      <c r="AY177" s="191"/>
      <c r="AZ177" s="13"/>
      <c r="BA177" s="191"/>
      <c r="BB177" s="15"/>
      <c r="BC177" s="191"/>
      <c r="BD177" s="13"/>
      <c r="BE177" s="191"/>
      <c r="BF177" s="15"/>
      <c r="BG177" s="191"/>
      <c r="BH177" s="13"/>
      <c r="BI177" s="191"/>
      <c r="BJ177" s="15"/>
      <c r="BK177" s="191"/>
    </row>
    <row r="178" spans="1:64" s="80" customFormat="1" ht="71.25" customHeight="1">
      <c r="A178" s="1682" t="s">
        <v>262</v>
      </c>
      <c r="B178" s="1662"/>
      <c r="C178" s="1659" t="s">
        <v>268</v>
      </c>
      <c r="D178" s="1662" t="s">
        <v>267</v>
      </c>
      <c r="E178" s="1662" t="s">
        <v>263</v>
      </c>
      <c r="F178" s="1662" t="s">
        <v>264</v>
      </c>
      <c r="G178" s="1665" t="s">
        <v>3665</v>
      </c>
      <c r="H178" s="1662" t="s">
        <v>4337</v>
      </c>
      <c r="I178" s="1736" t="s">
        <v>2474</v>
      </c>
      <c r="J178" s="1671">
        <v>42979</v>
      </c>
      <c r="K178" s="1671">
        <v>43466</v>
      </c>
      <c r="L178" s="1708">
        <v>3</v>
      </c>
      <c r="M178" s="1706" t="s">
        <v>48</v>
      </c>
      <c r="N178" s="1662" t="s">
        <v>49</v>
      </c>
      <c r="O178" s="1707"/>
      <c r="P178" s="1679" t="s">
        <v>72</v>
      </c>
      <c r="Q178" s="1656" t="s">
        <v>73</v>
      </c>
      <c r="R178" s="1694" t="s">
        <v>4244</v>
      </c>
      <c r="S178" s="1694" t="s">
        <v>4244</v>
      </c>
      <c r="T178" s="1662" t="s">
        <v>317</v>
      </c>
      <c r="U178" s="1662" t="s">
        <v>2503</v>
      </c>
      <c r="V178" s="1665" t="s">
        <v>252</v>
      </c>
      <c r="W178" s="1638" t="s">
        <v>307</v>
      </c>
      <c r="X178" s="1638" t="s">
        <v>113</v>
      </c>
      <c r="Y178" s="1697" t="s">
        <v>403</v>
      </c>
      <c r="Z178" s="81">
        <v>432.11</v>
      </c>
      <c r="AA178" s="1647"/>
      <c r="AB178" s="1"/>
      <c r="AC178" s="1647"/>
      <c r="AD178" s="1"/>
      <c r="AE178" s="1644"/>
      <c r="AF178" s="2"/>
      <c r="AG178" s="1644"/>
      <c r="AH178" s="2"/>
      <c r="AI178" s="1644"/>
      <c r="AJ178" s="2"/>
      <c r="AK178" s="1662" t="s">
        <v>85</v>
      </c>
      <c r="AL178" s="1662" t="s">
        <v>245</v>
      </c>
      <c r="AM178" s="1662" t="s">
        <v>246</v>
      </c>
      <c r="AN178" s="1662" t="s">
        <v>250</v>
      </c>
      <c r="AO178" s="1662" t="s">
        <v>2494</v>
      </c>
      <c r="AP178" s="1662" t="s">
        <v>2495</v>
      </c>
      <c r="AQ178" s="1665" t="s">
        <v>385</v>
      </c>
      <c r="AR178" s="81">
        <v>64.13</v>
      </c>
      <c r="AS178" s="1665" t="s">
        <v>2483</v>
      </c>
      <c r="AT178" s="1665" t="s">
        <v>2488</v>
      </c>
      <c r="AU178" s="81">
        <v>9.8000000000000007</v>
      </c>
      <c r="AV178" s="3" t="s">
        <v>56</v>
      </c>
      <c r="AW178" s="320" t="s">
        <v>57</v>
      </c>
      <c r="AX178" s="85">
        <v>9.0999999999999998E-2</v>
      </c>
      <c r="AY178" s="320" t="s">
        <v>58</v>
      </c>
      <c r="AZ178" s="2"/>
      <c r="BA178" s="321"/>
      <c r="BB178" s="7"/>
      <c r="BC178" s="321"/>
      <c r="BD178" s="23" t="s">
        <v>62</v>
      </c>
      <c r="BE178" s="326" t="s">
        <v>81</v>
      </c>
      <c r="BF178" s="181">
        <v>9.4E-2</v>
      </c>
      <c r="BG178" s="326" t="s">
        <v>64</v>
      </c>
      <c r="BH178" s="2"/>
      <c r="BI178" s="321"/>
      <c r="BJ178" s="7"/>
      <c r="BK178" s="321"/>
      <c r="BL178" s="8"/>
    </row>
    <row r="179" spans="1:64" s="80" customFormat="1" ht="71.25" customHeight="1">
      <c r="A179" s="1683"/>
      <c r="B179" s="1700"/>
      <c r="C179" s="1729"/>
      <c r="D179" s="1700"/>
      <c r="E179" s="1700"/>
      <c r="F179" s="1700"/>
      <c r="G179" s="1666"/>
      <c r="H179" s="1700"/>
      <c r="I179" s="1672"/>
      <c r="J179" s="1672"/>
      <c r="K179" s="1672"/>
      <c r="L179" s="1676"/>
      <c r="M179" s="1666"/>
      <c r="N179" s="1700"/>
      <c r="O179" s="1700"/>
      <c r="P179" s="1680"/>
      <c r="Q179" s="1657"/>
      <c r="R179" s="1695"/>
      <c r="S179" s="1695"/>
      <c r="T179" s="1700"/>
      <c r="U179" s="1700"/>
      <c r="V179" s="1666"/>
      <c r="W179" s="1639"/>
      <c r="X179" s="1639"/>
      <c r="Y179" s="1657"/>
      <c r="Z179" s="27">
        <v>946.32</v>
      </c>
      <c r="AA179" s="1648"/>
      <c r="AB179" s="9"/>
      <c r="AC179" s="1648"/>
      <c r="AD179" s="9"/>
      <c r="AE179" s="1645"/>
      <c r="AF179" s="10"/>
      <c r="AG179" s="1645"/>
      <c r="AH179" s="10"/>
      <c r="AI179" s="1645"/>
      <c r="AJ179" s="10"/>
      <c r="AK179" s="1700"/>
      <c r="AL179" s="1700"/>
      <c r="AM179" s="1700"/>
      <c r="AN179" s="1700" t="s">
        <v>248</v>
      </c>
      <c r="AO179" s="1700"/>
      <c r="AP179" s="1700"/>
      <c r="AQ179" s="1666"/>
      <c r="AR179" s="27">
        <v>130.79</v>
      </c>
      <c r="AS179" s="1666"/>
      <c r="AT179" s="1666"/>
      <c r="AU179" s="27">
        <v>19.63</v>
      </c>
      <c r="AV179" s="19" t="s">
        <v>65</v>
      </c>
      <c r="AW179" s="29" t="s">
        <v>57</v>
      </c>
      <c r="AX179" s="338">
        <v>0.02</v>
      </c>
      <c r="AY179" s="29" t="s">
        <v>58</v>
      </c>
      <c r="AZ179" s="10"/>
      <c r="BA179" s="322"/>
      <c r="BB179" s="11"/>
      <c r="BC179" s="322"/>
      <c r="BD179" s="25" t="s">
        <v>67</v>
      </c>
      <c r="BE179" s="327" t="s">
        <v>82</v>
      </c>
      <c r="BF179" s="182">
        <v>0.25</v>
      </c>
      <c r="BG179" s="327" t="s">
        <v>69</v>
      </c>
      <c r="BH179" s="10"/>
      <c r="BI179" s="322"/>
      <c r="BJ179" s="11"/>
      <c r="BK179" s="322"/>
      <c r="BL179" s="8"/>
    </row>
    <row r="180" spans="1:64" s="80" customFormat="1" ht="71.25" customHeight="1">
      <c r="A180" s="1683"/>
      <c r="B180" s="1700"/>
      <c r="C180" s="1729"/>
      <c r="D180" s="1700"/>
      <c r="E180" s="1700"/>
      <c r="F180" s="1700"/>
      <c r="G180" s="1666"/>
      <c r="H180" s="1700"/>
      <c r="I180" s="1672"/>
      <c r="J180" s="1672"/>
      <c r="K180" s="1672"/>
      <c r="L180" s="1676"/>
      <c r="M180" s="1666"/>
      <c r="N180" s="1700"/>
      <c r="O180" s="1700"/>
      <c r="P180" s="1680"/>
      <c r="Q180" s="1657"/>
      <c r="R180" s="1695"/>
      <c r="S180" s="1695"/>
      <c r="T180" s="1700"/>
      <c r="U180" s="1700"/>
      <c r="V180" s="1666"/>
      <c r="W180" s="1639"/>
      <c r="X180" s="1639"/>
      <c r="Y180" s="1657"/>
      <c r="Z180" s="27">
        <v>821</v>
      </c>
      <c r="AA180" s="1648"/>
      <c r="AB180" s="9"/>
      <c r="AC180" s="1648"/>
      <c r="AD180" s="9"/>
      <c r="AE180" s="1645"/>
      <c r="AF180" s="10"/>
      <c r="AG180" s="1645"/>
      <c r="AH180" s="10"/>
      <c r="AI180" s="1645"/>
      <c r="AJ180" s="10"/>
      <c r="AK180" s="1700"/>
      <c r="AL180" s="1700"/>
      <c r="AM180" s="1700"/>
      <c r="AN180" s="1700" t="s">
        <v>248</v>
      </c>
      <c r="AO180" s="1700"/>
      <c r="AP180" s="1700"/>
      <c r="AQ180" s="1666"/>
      <c r="AR180" s="27">
        <v>153.37</v>
      </c>
      <c r="AS180" s="1666"/>
      <c r="AT180" s="1666"/>
      <c r="AU180" s="27">
        <v>16.62</v>
      </c>
      <c r="AV180" s="10"/>
      <c r="AW180" s="322"/>
      <c r="AX180" s="11"/>
      <c r="AY180" s="322"/>
      <c r="AZ180" s="10"/>
      <c r="BA180" s="322"/>
      <c r="BB180" s="11"/>
      <c r="BC180" s="322"/>
      <c r="BD180" s="10"/>
      <c r="BE180" s="322"/>
      <c r="BF180" s="11"/>
      <c r="BG180" s="322"/>
      <c r="BH180" s="10"/>
      <c r="BI180" s="322"/>
      <c r="BJ180" s="11"/>
      <c r="BK180" s="322"/>
      <c r="BL180" s="8"/>
    </row>
    <row r="181" spans="1:64" s="80" customFormat="1" ht="71.25" customHeight="1" thickBot="1">
      <c r="A181" s="1684"/>
      <c r="B181" s="1701"/>
      <c r="C181" s="1730"/>
      <c r="D181" s="1701"/>
      <c r="E181" s="1701"/>
      <c r="F181" s="1701"/>
      <c r="G181" s="1667"/>
      <c r="H181" s="1701"/>
      <c r="I181" s="1673"/>
      <c r="J181" s="1673"/>
      <c r="K181" s="1673"/>
      <c r="L181" s="1677"/>
      <c r="M181" s="1667"/>
      <c r="N181" s="1701"/>
      <c r="O181" s="1701"/>
      <c r="P181" s="1681"/>
      <c r="Q181" s="1678"/>
      <c r="R181" s="1696"/>
      <c r="S181" s="1696"/>
      <c r="T181" s="1701"/>
      <c r="U181" s="1701"/>
      <c r="V181" s="1667"/>
      <c r="W181" s="1640"/>
      <c r="X181" s="1640"/>
      <c r="Y181" s="1678"/>
      <c r="Z181" s="82">
        <v>1313.61</v>
      </c>
      <c r="AA181" s="1649"/>
      <c r="AB181" s="12"/>
      <c r="AC181" s="1649"/>
      <c r="AD181" s="12"/>
      <c r="AE181" s="1646"/>
      <c r="AF181" s="13"/>
      <c r="AG181" s="1646"/>
      <c r="AH181" s="13"/>
      <c r="AI181" s="1646"/>
      <c r="AJ181" s="13"/>
      <c r="AK181" s="1701"/>
      <c r="AL181" s="1701"/>
      <c r="AM181" s="1701"/>
      <c r="AN181" s="1701" t="s">
        <v>248</v>
      </c>
      <c r="AO181" s="1701"/>
      <c r="AP181" s="1701"/>
      <c r="AQ181" s="1667"/>
      <c r="AR181" s="82">
        <v>236.29</v>
      </c>
      <c r="AS181" s="1667"/>
      <c r="AT181" s="1667"/>
      <c r="AU181" s="82">
        <v>27.4</v>
      </c>
      <c r="AV181" s="13"/>
      <c r="AW181" s="323"/>
      <c r="AX181" s="15"/>
      <c r="AY181" s="323"/>
      <c r="AZ181" s="13"/>
      <c r="BA181" s="323"/>
      <c r="BB181" s="15"/>
      <c r="BC181" s="323"/>
      <c r="BD181" s="13"/>
      <c r="BE181" s="323"/>
      <c r="BF181" s="15"/>
      <c r="BG181" s="323"/>
      <c r="BH181" s="13"/>
      <c r="BI181" s="323"/>
      <c r="BJ181" s="15"/>
      <c r="BK181" s="323"/>
      <c r="BL181" s="8"/>
    </row>
    <row r="182" spans="1:64" s="8" customFormat="1" ht="71.25" customHeight="1">
      <c r="A182" s="1653" t="s">
        <v>4489</v>
      </c>
      <c r="B182" s="1656"/>
      <c r="C182" s="1685" t="s">
        <v>4493</v>
      </c>
      <c r="D182" s="1638" t="s">
        <v>4490</v>
      </c>
      <c r="E182" s="1638" t="s">
        <v>4491</v>
      </c>
      <c r="F182" s="1638" t="s">
        <v>4492</v>
      </c>
      <c r="G182" s="1665" t="s">
        <v>3654</v>
      </c>
      <c r="H182" s="1638" t="s">
        <v>432</v>
      </c>
      <c r="I182" s="1668" t="s">
        <v>2473</v>
      </c>
      <c r="J182" s="1688">
        <v>43252</v>
      </c>
      <c r="K182" s="1674">
        <v>43466</v>
      </c>
      <c r="L182" s="1675">
        <v>20</v>
      </c>
      <c r="M182" s="1638" t="s">
        <v>48</v>
      </c>
      <c r="N182" s="1632" t="s">
        <v>112</v>
      </c>
      <c r="O182" s="1656"/>
      <c r="P182" s="1679" t="s">
        <v>72</v>
      </c>
      <c r="Q182" s="1694" t="s">
        <v>73</v>
      </c>
      <c r="R182" s="1635" t="s">
        <v>4243</v>
      </c>
      <c r="S182" s="1635" t="s">
        <v>4243</v>
      </c>
      <c r="T182" s="1638" t="s">
        <v>303</v>
      </c>
      <c r="U182" s="1662" t="s">
        <v>2503</v>
      </c>
      <c r="V182" s="1665" t="s">
        <v>252</v>
      </c>
      <c r="W182" s="1638" t="s">
        <v>307</v>
      </c>
      <c r="X182" s="1638" t="s">
        <v>113</v>
      </c>
      <c r="Y182" s="1656" t="s">
        <v>153</v>
      </c>
      <c r="Z182" s="23">
        <v>716.3</v>
      </c>
      <c r="AA182" s="1694" t="s">
        <v>403</v>
      </c>
      <c r="AB182" s="23">
        <v>475.5</v>
      </c>
      <c r="AC182" s="1647"/>
      <c r="AD182" s="1"/>
      <c r="AE182" s="1647"/>
      <c r="AF182" s="1650"/>
      <c r="AG182" s="1644"/>
      <c r="AH182" s="2"/>
      <c r="AI182" s="1644"/>
      <c r="AJ182" s="2"/>
      <c r="AK182" s="1662" t="s">
        <v>85</v>
      </c>
      <c r="AL182" s="1662" t="s">
        <v>245</v>
      </c>
      <c r="AM182" s="1662" t="s">
        <v>246</v>
      </c>
      <c r="AN182" s="1638" t="s">
        <v>248</v>
      </c>
      <c r="AO182" s="1638" t="s">
        <v>2490</v>
      </c>
      <c r="AP182" s="1638" t="s">
        <v>2497</v>
      </c>
      <c r="AQ182" s="1638" t="s">
        <v>386</v>
      </c>
      <c r="AR182" s="23">
        <v>58.97</v>
      </c>
      <c r="AS182" s="1638" t="s">
        <v>2483</v>
      </c>
      <c r="AT182" s="1665" t="s">
        <v>2484</v>
      </c>
      <c r="AU182" s="23">
        <v>8.85</v>
      </c>
      <c r="AV182" s="23" t="s">
        <v>56</v>
      </c>
      <c r="AW182" s="1136" t="s">
        <v>57</v>
      </c>
      <c r="AX182" s="181">
        <v>9.0999999999999998E-2</v>
      </c>
      <c r="AY182" s="1136" t="s">
        <v>58</v>
      </c>
      <c r="AZ182" s="2"/>
      <c r="BA182" s="1133"/>
      <c r="BB182" s="7"/>
      <c r="BC182" s="1133"/>
      <c r="BD182" s="23" t="s">
        <v>62</v>
      </c>
      <c r="BE182" s="1136" t="s">
        <v>101</v>
      </c>
      <c r="BF182" s="181">
        <v>9.7000000000000003E-2</v>
      </c>
      <c r="BG182" s="1136" t="s">
        <v>64</v>
      </c>
      <c r="BH182" s="16"/>
      <c r="BI182" s="1134"/>
      <c r="BJ182" s="18"/>
      <c r="BK182" s="1134"/>
    </row>
    <row r="183" spans="1:64" s="8" customFormat="1" ht="71.25" customHeight="1">
      <c r="A183" s="1654"/>
      <c r="B183" s="1657"/>
      <c r="C183" s="1686"/>
      <c r="D183" s="1698"/>
      <c r="E183" s="1698"/>
      <c r="F183" s="1698"/>
      <c r="G183" s="1666"/>
      <c r="H183" s="1698"/>
      <c r="I183" s="1669"/>
      <c r="J183" s="1689"/>
      <c r="K183" s="1669"/>
      <c r="L183" s="1676"/>
      <c r="M183" s="1639"/>
      <c r="N183" s="1633"/>
      <c r="O183" s="1657"/>
      <c r="P183" s="1680"/>
      <c r="Q183" s="1695"/>
      <c r="R183" s="1636"/>
      <c r="S183" s="1636"/>
      <c r="T183" s="1639"/>
      <c r="U183" s="1700"/>
      <c r="V183" s="1666"/>
      <c r="W183" s="1639"/>
      <c r="X183" s="1639"/>
      <c r="Y183" s="1657"/>
      <c r="Z183" s="25">
        <v>1568.71</v>
      </c>
      <c r="AA183" s="1695"/>
      <c r="AB183" s="25">
        <v>1041.3499999999999</v>
      </c>
      <c r="AC183" s="1648"/>
      <c r="AD183" s="9"/>
      <c r="AE183" s="1648"/>
      <c r="AF183" s="1651"/>
      <c r="AG183" s="1645"/>
      <c r="AH183" s="10"/>
      <c r="AI183" s="1645"/>
      <c r="AJ183" s="10"/>
      <c r="AK183" s="1700"/>
      <c r="AL183" s="1700"/>
      <c r="AM183" s="1700"/>
      <c r="AN183" s="1639"/>
      <c r="AO183" s="1639"/>
      <c r="AP183" s="1639"/>
      <c r="AQ183" s="1639"/>
      <c r="AR183" s="25">
        <v>120.26</v>
      </c>
      <c r="AS183" s="1639"/>
      <c r="AT183" s="1666"/>
      <c r="AU183" s="25">
        <v>17.739999999999998</v>
      </c>
      <c r="AV183" s="25" t="s">
        <v>65</v>
      </c>
      <c r="AW183" s="1137" t="s">
        <v>57</v>
      </c>
      <c r="AX183" s="182">
        <v>0.02</v>
      </c>
      <c r="AY183" s="1137" t="s">
        <v>58</v>
      </c>
      <c r="AZ183" s="10"/>
      <c r="BA183" s="1132"/>
      <c r="BB183" s="11"/>
      <c r="BC183" s="1132"/>
      <c r="BD183" s="25" t="s">
        <v>67</v>
      </c>
      <c r="BE183" s="1137" t="s">
        <v>440</v>
      </c>
      <c r="BF183" s="182">
        <v>0.31</v>
      </c>
      <c r="BG183" s="1137" t="s">
        <v>69</v>
      </c>
      <c r="BH183" s="20"/>
      <c r="BI183" s="1135"/>
      <c r="BJ183" s="22"/>
      <c r="BK183" s="1135"/>
    </row>
    <row r="184" spans="1:64" s="8" customFormat="1" ht="71.25" customHeight="1">
      <c r="A184" s="1654"/>
      <c r="B184" s="1657"/>
      <c r="C184" s="1686"/>
      <c r="D184" s="1698"/>
      <c r="E184" s="1698"/>
      <c r="F184" s="1698"/>
      <c r="G184" s="1666"/>
      <c r="H184" s="1698"/>
      <c r="I184" s="1669"/>
      <c r="J184" s="1689"/>
      <c r="K184" s="1669"/>
      <c r="L184" s="1676"/>
      <c r="M184" s="1639"/>
      <c r="N184" s="1633"/>
      <c r="O184" s="1657"/>
      <c r="P184" s="1680"/>
      <c r="Q184" s="1695"/>
      <c r="R184" s="1636"/>
      <c r="S184" s="1636"/>
      <c r="T184" s="1639"/>
      <c r="U184" s="1700"/>
      <c r="V184" s="1666"/>
      <c r="W184" s="1639"/>
      <c r="X184" s="1639"/>
      <c r="Y184" s="1657"/>
      <c r="Z184" s="25">
        <v>1360.97</v>
      </c>
      <c r="AA184" s="1695"/>
      <c r="AB184" s="25">
        <v>903.45</v>
      </c>
      <c r="AC184" s="1648"/>
      <c r="AD184" s="9"/>
      <c r="AE184" s="1648"/>
      <c r="AF184" s="1651"/>
      <c r="AG184" s="1645"/>
      <c r="AH184" s="10"/>
      <c r="AI184" s="1645"/>
      <c r="AJ184" s="10"/>
      <c r="AK184" s="1700"/>
      <c r="AL184" s="1700"/>
      <c r="AM184" s="1700"/>
      <c r="AN184" s="1639"/>
      <c r="AO184" s="1639"/>
      <c r="AP184" s="1639"/>
      <c r="AQ184" s="1639"/>
      <c r="AR184" s="25">
        <v>136.44</v>
      </c>
      <c r="AS184" s="1639"/>
      <c r="AT184" s="1666"/>
      <c r="AU184" s="25">
        <v>15.01</v>
      </c>
      <c r="AV184" s="10"/>
      <c r="AW184" s="1130"/>
      <c r="AX184" s="11"/>
      <c r="AY184" s="1130"/>
      <c r="AZ184" s="10"/>
      <c r="BA184" s="1130"/>
      <c r="BB184" s="11"/>
      <c r="BC184" s="1130"/>
      <c r="BD184" s="10"/>
      <c r="BE184" s="1130"/>
      <c r="BF184" s="11"/>
      <c r="BG184" s="1130"/>
      <c r="BH184" s="10"/>
      <c r="BI184" s="1132"/>
      <c r="BJ184" s="11"/>
      <c r="BK184" s="1132"/>
    </row>
    <row r="185" spans="1:64" s="8" customFormat="1" ht="71.25" customHeight="1" thickBot="1">
      <c r="A185" s="1655"/>
      <c r="B185" s="1658"/>
      <c r="C185" s="1687"/>
      <c r="D185" s="1699"/>
      <c r="E185" s="1699"/>
      <c r="F185" s="1699"/>
      <c r="G185" s="1667"/>
      <c r="H185" s="1699"/>
      <c r="I185" s="1670"/>
      <c r="J185" s="1690"/>
      <c r="K185" s="1670"/>
      <c r="L185" s="1677"/>
      <c r="M185" s="1640"/>
      <c r="N185" s="1634"/>
      <c r="O185" s="1678"/>
      <c r="P185" s="1681"/>
      <c r="Q185" s="1696"/>
      <c r="R185" s="1637"/>
      <c r="S185" s="1637"/>
      <c r="T185" s="1640"/>
      <c r="U185" s="1701"/>
      <c r="V185" s="1667"/>
      <c r="W185" s="1640"/>
      <c r="X185" s="1640"/>
      <c r="Y185" s="1678"/>
      <c r="Z185" s="180">
        <v>2177.5700000000002</v>
      </c>
      <c r="AA185" s="1696"/>
      <c r="AB185" s="180">
        <v>1445.53</v>
      </c>
      <c r="AC185" s="1649"/>
      <c r="AD185" s="12"/>
      <c r="AE185" s="1649"/>
      <c r="AF185" s="1652"/>
      <c r="AG185" s="1646"/>
      <c r="AH185" s="13"/>
      <c r="AI185" s="1646"/>
      <c r="AJ185" s="13"/>
      <c r="AK185" s="1701"/>
      <c r="AL185" s="1701"/>
      <c r="AM185" s="1701"/>
      <c r="AN185" s="1640"/>
      <c r="AO185" s="1640"/>
      <c r="AP185" s="1640"/>
      <c r="AQ185" s="1640"/>
      <c r="AR185" s="180">
        <v>211.92</v>
      </c>
      <c r="AS185" s="1640"/>
      <c r="AT185" s="1667"/>
      <c r="AU185" s="180">
        <v>24.76</v>
      </c>
      <c r="AV185" s="13"/>
      <c r="AW185" s="1131"/>
      <c r="AX185" s="15"/>
      <c r="AY185" s="1131"/>
      <c r="AZ185" s="13"/>
      <c r="BA185" s="1131"/>
      <c r="BB185" s="15"/>
      <c r="BC185" s="1131"/>
      <c r="BD185" s="13"/>
      <c r="BE185" s="1131"/>
      <c r="BF185" s="15"/>
      <c r="BG185" s="1131"/>
      <c r="BH185" s="13"/>
      <c r="BI185" s="1131"/>
      <c r="BJ185" s="15"/>
      <c r="BK185" s="1131"/>
    </row>
    <row r="186" spans="1:64" s="8" customFormat="1" ht="71.25" customHeight="1">
      <c r="A186" s="1682" t="s">
        <v>424</v>
      </c>
      <c r="B186" s="1656"/>
      <c r="C186" s="1685">
        <v>270476525</v>
      </c>
      <c r="D186" s="1662" t="s">
        <v>425</v>
      </c>
      <c r="E186" s="1662" t="s">
        <v>3742</v>
      </c>
      <c r="F186" s="1662" t="s">
        <v>1239</v>
      </c>
      <c r="G186" s="1638" t="s">
        <v>3659</v>
      </c>
      <c r="H186" s="1665" t="s">
        <v>4352</v>
      </c>
      <c r="I186" s="1668" t="s">
        <v>2473</v>
      </c>
      <c r="J186" s="1674">
        <v>43101</v>
      </c>
      <c r="K186" s="1674">
        <v>43466</v>
      </c>
      <c r="L186" s="1675">
        <v>19</v>
      </c>
      <c r="M186" s="1638" t="s">
        <v>48</v>
      </c>
      <c r="N186" s="1638" t="s">
        <v>354</v>
      </c>
      <c r="O186" s="1656"/>
      <c r="P186" s="1759" t="s">
        <v>1305</v>
      </c>
      <c r="Q186" s="1694" t="s">
        <v>73</v>
      </c>
      <c r="R186" s="1694" t="s">
        <v>4244</v>
      </c>
      <c r="S186" s="1694" t="s">
        <v>4244</v>
      </c>
      <c r="T186" s="1638" t="s">
        <v>303</v>
      </c>
      <c r="U186" s="1638" t="s">
        <v>2477</v>
      </c>
      <c r="V186" s="1665" t="s">
        <v>252</v>
      </c>
      <c r="W186" s="1638" t="s">
        <v>307</v>
      </c>
      <c r="X186" s="1638" t="s">
        <v>113</v>
      </c>
      <c r="Y186" s="1697" t="s">
        <v>403</v>
      </c>
      <c r="Z186" s="23">
        <v>451.73</v>
      </c>
      <c r="AA186" s="1647"/>
      <c r="AB186" s="1"/>
      <c r="AC186" s="1647"/>
      <c r="AD186" s="1"/>
      <c r="AE186" s="1647"/>
      <c r="AF186" s="1650"/>
      <c r="AG186" s="1644"/>
      <c r="AH186" s="2"/>
      <c r="AI186" s="1644"/>
      <c r="AJ186" s="2"/>
      <c r="AK186" s="1662" t="s">
        <v>85</v>
      </c>
      <c r="AL186" s="1662" t="s">
        <v>245</v>
      </c>
      <c r="AM186" s="1662" t="s">
        <v>246</v>
      </c>
      <c r="AN186" s="1662" t="s">
        <v>250</v>
      </c>
      <c r="AO186" s="1638" t="s">
        <v>2496</v>
      </c>
      <c r="AP186" s="1638" t="s">
        <v>2497</v>
      </c>
      <c r="AQ186" s="1665" t="s">
        <v>385</v>
      </c>
      <c r="AR186" s="23">
        <v>82.9</v>
      </c>
      <c r="AS186" s="1665" t="s">
        <v>2483</v>
      </c>
      <c r="AT186" s="1665" t="s">
        <v>2486</v>
      </c>
      <c r="AU186" s="23">
        <v>9.6300000000000008</v>
      </c>
      <c r="AV186" s="23" t="s">
        <v>56</v>
      </c>
      <c r="AW186" s="250" t="s">
        <v>1249</v>
      </c>
      <c r="AX186" s="181">
        <v>9.4E-2</v>
      </c>
      <c r="AY186" s="250" t="s">
        <v>58</v>
      </c>
      <c r="AZ186" s="2"/>
      <c r="BA186" s="284"/>
      <c r="BB186" s="7"/>
      <c r="BC186" s="284"/>
      <c r="BD186" s="23" t="s">
        <v>62</v>
      </c>
      <c r="BE186" s="250" t="s">
        <v>81</v>
      </c>
      <c r="BF186" s="181">
        <v>9.4E-2</v>
      </c>
      <c r="BG186" s="250" t="s">
        <v>64</v>
      </c>
      <c r="BH186" s="16"/>
      <c r="BI186" s="254"/>
      <c r="BJ186" s="18"/>
      <c r="BK186" s="254"/>
    </row>
    <row r="187" spans="1:64" s="8" customFormat="1" ht="71.25" customHeight="1">
      <c r="A187" s="1683"/>
      <c r="B187" s="1657"/>
      <c r="C187" s="1686"/>
      <c r="D187" s="1663"/>
      <c r="E187" s="1663"/>
      <c r="F187" s="1663"/>
      <c r="G187" s="1698"/>
      <c r="H187" s="1666"/>
      <c r="I187" s="1669"/>
      <c r="J187" s="1669"/>
      <c r="K187" s="1669"/>
      <c r="L187" s="1676"/>
      <c r="M187" s="1639"/>
      <c r="N187" s="1639"/>
      <c r="O187" s="1657"/>
      <c r="P187" s="1680"/>
      <c r="Q187" s="1695"/>
      <c r="R187" s="1695"/>
      <c r="S187" s="1695"/>
      <c r="T187" s="1639"/>
      <c r="U187" s="1639"/>
      <c r="V187" s="1666"/>
      <c r="W187" s="1639"/>
      <c r="X187" s="1639"/>
      <c r="Y187" s="1657"/>
      <c r="Z187" s="25">
        <v>989.28</v>
      </c>
      <c r="AA187" s="1648"/>
      <c r="AB187" s="9"/>
      <c r="AC187" s="1648"/>
      <c r="AD187" s="9"/>
      <c r="AE187" s="1648"/>
      <c r="AF187" s="1651"/>
      <c r="AG187" s="1645"/>
      <c r="AH187" s="10"/>
      <c r="AI187" s="1645"/>
      <c r="AJ187" s="10"/>
      <c r="AK187" s="1700"/>
      <c r="AL187" s="1700"/>
      <c r="AM187" s="1700"/>
      <c r="AN187" s="1700" t="s">
        <v>248</v>
      </c>
      <c r="AO187" s="1639"/>
      <c r="AP187" s="1639"/>
      <c r="AQ187" s="1666"/>
      <c r="AR187" s="25">
        <v>169.06</v>
      </c>
      <c r="AS187" s="1666"/>
      <c r="AT187" s="1666"/>
      <c r="AU187" s="25">
        <v>19.3</v>
      </c>
      <c r="AV187" s="25" t="s">
        <v>65</v>
      </c>
      <c r="AW187" s="251" t="s">
        <v>1249</v>
      </c>
      <c r="AX187" s="182">
        <v>0.02</v>
      </c>
      <c r="AY187" s="251" t="s">
        <v>58</v>
      </c>
      <c r="AZ187" s="10"/>
      <c r="BA187" s="285"/>
      <c r="BB187" s="11"/>
      <c r="BC187" s="285"/>
      <c r="BD187" s="25" t="s">
        <v>67</v>
      </c>
      <c r="BE187" s="251" t="s">
        <v>82</v>
      </c>
      <c r="BF187" s="182">
        <v>0.25</v>
      </c>
      <c r="BG187" s="251" t="s">
        <v>69</v>
      </c>
      <c r="BH187" s="20"/>
      <c r="BI187" s="255"/>
      <c r="BJ187" s="22"/>
      <c r="BK187" s="255"/>
    </row>
    <row r="188" spans="1:64" s="8" customFormat="1" ht="71.25" customHeight="1">
      <c r="A188" s="1683"/>
      <c r="B188" s="1657"/>
      <c r="C188" s="1686"/>
      <c r="D188" s="1663"/>
      <c r="E188" s="1663"/>
      <c r="F188" s="1663"/>
      <c r="G188" s="1698"/>
      <c r="H188" s="1666"/>
      <c r="I188" s="1669"/>
      <c r="J188" s="1669"/>
      <c r="K188" s="1669"/>
      <c r="L188" s="1676"/>
      <c r="M188" s="1639"/>
      <c r="N188" s="1639"/>
      <c r="O188" s="1657"/>
      <c r="P188" s="1680"/>
      <c r="Q188" s="1695"/>
      <c r="R188" s="1695"/>
      <c r="S188" s="1695"/>
      <c r="T188" s="1639"/>
      <c r="U188" s="1639"/>
      <c r="V188" s="1666"/>
      <c r="W188" s="1639"/>
      <c r="X188" s="1639"/>
      <c r="Y188" s="1657"/>
      <c r="Z188" s="25">
        <v>858.28</v>
      </c>
      <c r="AA188" s="1648"/>
      <c r="AB188" s="9"/>
      <c r="AC188" s="1648"/>
      <c r="AD188" s="9"/>
      <c r="AE188" s="1648"/>
      <c r="AF188" s="1651"/>
      <c r="AG188" s="1645"/>
      <c r="AH188" s="10"/>
      <c r="AI188" s="1645"/>
      <c r="AJ188" s="10"/>
      <c r="AK188" s="1700"/>
      <c r="AL188" s="1700"/>
      <c r="AM188" s="1700"/>
      <c r="AN188" s="1700" t="s">
        <v>248</v>
      </c>
      <c r="AO188" s="1639"/>
      <c r="AP188" s="1639"/>
      <c r="AQ188" s="1666"/>
      <c r="AR188" s="25">
        <v>191.83</v>
      </c>
      <c r="AS188" s="1666"/>
      <c r="AT188" s="1666"/>
      <c r="AU188" s="25">
        <v>16.34</v>
      </c>
      <c r="AV188" s="10"/>
      <c r="AW188" s="252"/>
      <c r="AX188" s="11"/>
      <c r="AY188" s="252"/>
      <c r="AZ188" s="10"/>
      <c r="BA188" s="252"/>
      <c r="BB188" s="11"/>
      <c r="BC188" s="252"/>
      <c r="BD188" s="10"/>
      <c r="BE188" s="252"/>
      <c r="BF188" s="11"/>
      <c r="BG188" s="252"/>
      <c r="BH188" s="10"/>
      <c r="BI188" s="252"/>
      <c r="BJ188" s="11"/>
      <c r="BK188" s="252"/>
    </row>
    <row r="189" spans="1:64" s="8" customFormat="1" ht="71.25" customHeight="1" thickBot="1">
      <c r="A189" s="1684"/>
      <c r="B189" s="1658"/>
      <c r="C189" s="1687"/>
      <c r="D189" s="1664"/>
      <c r="E189" s="1664"/>
      <c r="F189" s="1664"/>
      <c r="G189" s="1699"/>
      <c r="H189" s="1667"/>
      <c r="I189" s="1670"/>
      <c r="J189" s="1670"/>
      <c r="K189" s="1670"/>
      <c r="L189" s="1677"/>
      <c r="M189" s="1640"/>
      <c r="N189" s="1640"/>
      <c r="O189" s="1678"/>
      <c r="P189" s="1681"/>
      <c r="Q189" s="1696"/>
      <c r="R189" s="1696"/>
      <c r="S189" s="1696"/>
      <c r="T189" s="1640"/>
      <c r="U189" s="1640"/>
      <c r="V189" s="1667"/>
      <c r="W189" s="1640"/>
      <c r="X189" s="1640"/>
      <c r="Y189" s="1678"/>
      <c r="Z189" s="180">
        <v>1373.26</v>
      </c>
      <c r="AA189" s="1649"/>
      <c r="AB189" s="12"/>
      <c r="AC189" s="1649"/>
      <c r="AD189" s="12"/>
      <c r="AE189" s="1649"/>
      <c r="AF189" s="1652"/>
      <c r="AG189" s="1646"/>
      <c r="AH189" s="13"/>
      <c r="AI189" s="1646"/>
      <c r="AJ189" s="13"/>
      <c r="AK189" s="1701"/>
      <c r="AL189" s="1701"/>
      <c r="AM189" s="1701"/>
      <c r="AN189" s="1701" t="s">
        <v>248</v>
      </c>
      <c r="AO189" s="1640"/>
      <c r="AP189" s="1640"/>
      <c r="AQ189" s="1667"/>
      <c r="AR189" s="180">
        <v>297.89</v>
      </c>
      <c r="AS189" s="1667"/>
      <c r="AT189" s="1667"/>
      <c r="AU189" s="180">
        <v>26.95</v>
      </c>
      <c r="AV189" s="13"/>
      <c r="AW189" s="253"/>
      <c r="AX189" s="15"/>
      <c r="AY189" s="253"/>
      <c r="AZ189" s="13"/>
      <c r="BA189" s="253"/>
      <c r="BB189" s="15"/>
      <c r="BC189" s="253"/>
      <c r="BD189" s="13"/>
      <c r="BE189" s="253"/>
      <c r="BF189" s="15"/>
      <c r="BG189" s="253"/>
      <c r="BH189" s="13"/>
      <c r="BI189" s="253"/>
      <c r="BJ189" s="15"/>
      <c r="BK189" s="253"/>
    </row>
    <row r="190" spans="1:64" s="8" customFormat="1" ht="71.25" customHeight="1">
      <c r="A190" s="1682" t="s">
        <v>358</v>
      </c>
      <c r="B190" s="1706"/>
      <c r="C190" s="1720">
        <v>474885455</v>
      </c>
      <c r="D190" s="1662" t="s">
        <v>372</v>
      </c>
      <c r="E190" s="1638" t="s">
        <v>1316</v>
      </c>
      <c r="F190" s="1638" t="s">
        <v>1316</v>
      </c>
      <c r="G190" s="1665" t="s">
        <v>3665</v>
      </c>
      <c r="H190" s="1665" t="s">
        <v>3657</v>
      </c>
      <c r="I190" s="1668" t="s">
        <v>2473</v>
      </c>
      <c r="J190" s="1674">
        <v>43101</v>
      </c>
      <c r="K190" s="1674">
        <v>43466</v>
      </c>
      <c r="L190" s="1708">
        <v>11</v>
      </c>
      <c r="M190" s="1638" t="s">
        <v>48</v>
      </c>
      <c r="N190" s="1638" t="s">
        <v>354</v>
      </c>
      <c r="O190" s="1706"/>
      <c r="P190" s="1679" t="s">
        <v>72</v>
      </c>
      <c r="Q190" s="1694" t="s">
        <v>73</v>
      </c>
      <c r="R190" s="1694" t="s">
        <v>4244</v>
      </c>
      <c r="S190" s="1694" t="s">
        <v>4244</v>
      </c>
      <c r="T190" s="1638" t="s">
        <v>317</v>
      </c>
      <c r="U190" s="1638" t="s">
        <v>2477</v>
      </c>
      <c r="V190" s="1665" t="s">
        <v>252</v>
      </c>
      <c r="W190" s="1665" t="s">
        <v>307</v>
      </c>
      <c r="X190" s="1665" t="s">
        <v>113</v>
      </c>
      <c r="Y190" s="1656" t="s">
        <v>153</v>
      </c>
      <c r="Z190" s="23">
        <v>567.39</v>
      </c>
      <c r="AA190" s="1656" t="s">
        <v>87</v>
      </c>
      <c r="AB190" s="23">
        <v>691.69</v>
      </c>
      <c r="AC190" s="1697" t="s">
        <v>403</v>
      </c>
      <c r="AD190" s="23">
        <v>410.5</v>
      </c>
      <c r="AE190" s="1644"/>
      <c r="AF190" s="2"/>
      <c r="AG190" s="1644"/>
      <c r="AH190" s="2"/>
      <c r="AI190" s="1644"/>
      <c r="AJ190" s="2"/>
      <c r="AK190" s="1662" t="s">
        <v>85</v>
      </c>
      <c r="AL190" s="1662" t="s">
        <v>245</v>
      </c>
      <c r="AM190" s="1662" t="s">
        <v>246</v>
      </c>
      <c r="AN190" s="1638" t="s">
        <v>420</v>
      </c>
      <c r="AO190" s="1638" t="s">
        <v>2494</v>
      </c>
      <c r="AP190" s="1638" t="s">
        <v>2497</v>
      </c>
      <c r="AQ190" s="1665" t="s">
        <v>421</v>
      </c>
      <c r="AR190" s="81">
        <v>56.72</v>
      </c>
      <c r="AS190" s="1665" t="s">
        <v>2483</v>
      </c>
      <c r="AT190" s="1665" t="s">
        <v>2484</v>
      </c>
      <c r="AU190" s="81">
        <v>8.85</v>
      </c>
      <c r="AV190" s="23" t="s">
        <v>56</v>
      </c>
      <c r="AW190" s="227" t="s">
        <v>1249</v>
      </c>
      <c r="AX190" s="181">
        <v>9.4E-2</v>
      </c>
      <c r="AY190" s="227" t="s">
        <v>58</v>
      </c>
      <c r="AZ190" s="25" t="s">
        <v>59</v>
      </c>
      <c r="BA190" s="228" t="s">
        <v>60</v>
      </c>
      <c r="BB190" s="182" t="s">
        <v>61</v>
      </c>
      <c r="BC190" s="228" t="s">
        <v>58</v>
      </c>
      <c r="BD190" s="2"/>
      <c r="BE190" s="229"/>
      <c r="BF190" s="7"/>
      <c r="BG190" s="229"/>
      <c r="BH190" s="2"/>
      <c r="BI190" s="189"/>
      <c r="BJ190" s="7"/>
      <c r="BK190" s="189"/>
    </row>
    <row r="191" spans="1:64" s="8" customFormat="1" ht="71.25" customHeight="1">
      <c r="A191" s="1683"/>
      <c r="B191" s="1666"/>
      <c r="C191" s="1729"/>
      <c r="D191" s="1700"/>
      <c r="E191" s="1639"/>
      <c r="F191" s="1639"/>
      <c r="G191" s="1666"/>
      <c r="H191" s="1666"/>
      <c r="I191" s="1669"/>
      <c r="J191" s="1669"/>
      <c r="K191" s="1669"/>
      <c r="L191" s="1676"/>
      <c r="M191" s="1639"/>
      <c r="N191" s="1639"/>
      <c r="O191" s="1666"/>
      <c r="P191" s="1680"/>
      <c r="Q191" s="1695"/>
      <c r="R191" s="1695"/>
      <c r="S191" s="1695"/>
      <c r="T191" s="1639"/>
      <c r="U191" s="1639"/>
      <c r="V191" s="1666"/>
      <c r="W191" s="1666"/>
      <c r="X191" s="1666"/>
      <c r="Y191" s="1657"/>
      <c r="Z191" s="25">
        <v>1242.5899999999999</v>
      </c>
      <c r="AA191" s="1657"/>
      <c r="AB191" s="25">
        <v>1514.81</v>
      </c>
      <c r="AC191" s="1657"/>
      <c r="AD191" s="25">
        <v>899.01</v>
      </c>
      <c r="AE191" s="1645"/>
      <c r="AF191" s="10"/>
      <c r="AG191" s="1645"/>
      <c r="AH191" s="10"/>
      <c r="AI191" s="1645"/>
      <c r="AJ191" s="10"/>
      <c r="AK191" s="1700"/>
      <c r="AL191" s="1700"/>
      <c r="AM191" s="1700"/>
      <c r="AN191" s="1639" t="s">
        <v>248</v>
      </c>
      <c r="AO191" s="1639"/>
      <c r="AP191" s="1639"/>
      <c r="AQ191" s="1666"/>
      <c r="AR191" s="27">
        <v>115.92</v>
      </c>
      <c r="AS191" s="1666"/>
      <c r="AT191" s="1666"/>
      <c r="AU191" s="27">
        <v>17.739999999999998</v>
      </c>
      <c r="AV191" s="25" t="s">
        <v>65</v>
      </c>
      <c r="AW191" s="228" t="s">
        <v>1249</v>
      </c>
      <c r="AX191" s="182">
        <v>0.02</v>
      </c>
      <c r="AY191" s="228" t="s">
        <v>58</v>
      </c>
      <c r="AZ191" s="25" t="s">
        <v>66</v>
      </c>
      <c r="BA191" s="228" t="s">
        <v>60</v>
      </c>
      <c r="BB191" s="182" t="s">
        <v>61</v>
      </c>
      <c r="BC191" s="228" t="s">
        <v>58</v>
      </c>
      <c r="BD191" s="25" t="s">
        <v>67</v>
      </c>
      <c r="BE191" s="228" t="s">
        <v>82</v>
      </c>
      <c r="BF191" s="182">
        <v>0.25</v>
      </c>
      <c r="BG191" s="228" t="s">
        <v>69</v>
      </c>
      <c r="BH191" s="10"/>
      <c r="BI191" s="190"/>
      <c r="BJ191" s="11"/>
      <c r="BK191" s="190"/>
    </row>
    <row r="192" spans="1:64" s="8" customFormat="1" ht="71.25" customHeight="1">
      <c r="A192" s="1683"/>
      <c r="B192" s="1666"/>
      <c r="C192" s="1729"/>
      <c r="D192" s="1700"/>
      <c r="E192" s="1639"/>
      <c r="F192" s="1639"/>
      <c r="G192" s="1666"/>
      <c r="H192" s="1666"/>
      <c r="I192" s="1669"/>
      <c r="J192" s="1669"/>
      <c r="K192" s="1669"/>
      <c r="L192" s="1676"/>
      <c r="M192" s="1639"/>
      <c r="N192" s="1639"/>
      <c r="O192" s="1666"/>
      <c r="P192" s="1680"/>
      <c r="Q192" s="1695"/>
      <c r="R192" s="1695"/>
      <c r="S192" s="1695"/>
      <c r="T192" s="1639"/>
      <c r="U192" s="1639"/>
      <c r="V192" s="1666"/>
      <c r="W192" s="1666"/>
      <c r="X192" s="1666"/>
      <c r="Y192" s="1657"/>
      <c r="Z192" s="25">
        <v>1078.05</v>
      </c>
      <c r="AA192" s="1657"/>
      <c r="AB192" s="25">
        <v>1314.22</v>
      </c>
      <c r="AC192" s="1657"/>
      <c r="AD192" s="25">
        <v>779.95</v>
      </c>
      <c r="AE192" s="1645"/>
      <c r="AF192" s="10"/>
      <c r="AG192" s="1645"/>
      <c r="AH192" s="10"/>
      <c r="AI192" s="1645"/>
      <c r="AJ192" s="10"/>
      <c r="AK192" s="1700"/>
      <c r="AL192" s="1700"/>
      <c r="AM192" s="1700"/>
      <c r="AN192" s="1639" t="s">
        <v>248</v>
      </c>
      <c r="AO192" s="1639"/>
      <c r="AP192" s="1639"/>
      <c r="AQ192" s="1666"/>
      <c r="AR192" s="27">
        <v>123.56</v>
      </c>
      <c r="AS192" s="1666"/>
      <c r="AT192" s="1666"/>
      <c r="AU192" s="27">
        <v>15.01</v>
      </c>
      <c r="AV192" s="10"/>
      <c r="AW192" s="190"/>
      <c r="AX192" s="11"/>
      <c r="AY192" s="190"/>
      <c r="AZ192" s="10"/>
      <c r="BA192" s="190"/>
      <c r="BB192" s="11"/>
      <c r="BC192" s="190"/>
      <c r="BD192" s="10"/>
      <c r="BE192" s="190"/>
      <c r="BF192" s="11"/>
      <c r="BG192" s="190"/>
      <c r="BH192" s="10"/>
      <c r="BI192" s="190"/>
      <c r="BJ192" s="11"/>
      <c r="BK192" s="190"/>
    </row>
    <row r="193" spans="1:63" s="8" customFormat="1" ht="71.25" customHeight="1" thickBot="1">
      <c r="A193" s="1684"/>
      <c r="B193" s="1667"/>
      <c r="C193" s="1730"/>
      <c r="D193" s="1701"/>
      <c r="E193" s="1640"/>
      <c r="F193" s="1640"/>
      <c r="G193" s="1667"/>
      <c r="H193" s="1667"/>
      <c r="I193" s="1670"/>
      <c r="J193" s="1670"/>
      <c r="K193" s="1670"/>
      <c r="L193" s="1677"/>
      <c r="M193" s="1640"/>
      <c r="N193" s="1640"/>
      <c r="O193" s="1667"/>
      <c r="P193" s="1681"/>
      <c r="Q193" s="1696"/>
      <c r="R193" s="1696"/>
      <c r="S193" s="1696"/>
      <c r="T193" s="1640"/>
      <c r="U193" s="1640"/>
      <c r="V193" s="1667"/>
      <c r="W193" s="1667"/>
      <c r="X193" s="1667"/>
      <c r="Y193" s="1678"/>
      <c r="Z193" s="180">
        <v>1724.87</v>
      </c>
      <c r="AA193" s="1678"/>
      <c r="AB193" s="180">
        <v>2102.75</v>
      </c>
      <c r="AC193" s="1678"/>
      <c r="AD193" s="180">
        <v>1247.93</v>
      </c>
      <c r="AE193" s="1646"/>
      <c r="AF193" s="13"/>
      <c r="AG193" s="1646"/>
      <c r="AH193" s="13"/>
      <c r="AI193" s="1646"/>
      <c r="AJ193" s="13"/>
      <c r="AK193" s="1701"/>
      <c r="AL193" s="1701"/>
      <c r="AM193" s="1701"/>
      <c r="AN193" s="1640" t="s">
        <v>248</v>
      </c>
      <c r="AO193" s="1640"/>
      <c r="AP193" s="1640"/>
      <c r="AQ193" s="1667"/>
      <c r="AR193" s="82">
        <v>195.67</v>
      </c>
      <c r="AS193" s="1667"/>
      <c r="AT193" s="1667"/>
      <c r="AU193" s="82">
        <v>24.76</v>
      </c>
      <c r="AV193" s="13"/>
      <c r="AW193" s="191"/>
      <c r="AX193" s="15"/>
      <c r="AY193" s="191"/>
      <c r="AZ193" s="13"/>
      <c r="BA193" s="191"/>
      <c r="BB193" s="15"/>
      <c r="BC193" s="191"/>
      <c r="BD193" s="13"/>
      <c r="BE193" s="191"/>
      <c r="BF193" s="15"/>
      <c r="BG193" s="191"/>
      <c r="BH193" s="13"/>
      <c r="BI193" s="191"/>
      <c r="BJ193" s="15"/>
      <c r="BK193" s="191"/>
    </row>
    <row r="194" spans="1:63" s="8" customFormat="1" ht="71.25" customHeight="1">
      <c r="A194" s="1682" t="s">
        <v>3673</v>
      </c>
      <c r="B194" s="1682" t="s">
        <v>3674</v>
      </c>
      <c r="C194" s="1685">
        <v>912091977</v>
      </c>
      <c r="D194" s="1638" t="s">
        <v>1307</v>
      </c>
      <c r="E194" s="1638" t="s">
        <v>1308</v>
      </c>
      <c r="F194" s="1638" t="s">
        <v>1309</v>
      </c>
      <c r="G194" s="1665" t="s">
        <v>3667</v>
      </c>
      <c r="H194" s="1638" t="s">
        <v>3596</v>
      </c>
      <c r="I194" s="1668" t="s">
        <v>2473</v>
      </c>
      <c r="J194" s="1674">
        <v>43101</v>
      </c>
      <c r="K194" s="1674">
        <v>43466</v>
      </c>
      <c r="L194" s="1691">
        <v>88</v>
      </c>
      <c r="M194" s="1638" t="s">
        <v>48</v>
      </c>
      <c r="N194" s="1638" t="s">
        <v>354</v>
      </c>
      <c r="O194" s="1656"/>
      <c r="P194" s="1694" t="s">
        <v>50</v>
      </c>
      <c r="Q194" s="1694" t="s">
        <v>73</v>
      </c>
      <c r="R194" s="1694" t="s">
        <v>4244</v>
      </c>
      <c r="S194" s="1694" t="s">
        <v>4244</v>
      </c>
      <c r="T194" s="1638" t="s">
        <v>317</v>
      </c>
      <c r="U194" s="1638" t="s">
        <v>2502</v>
      </c>
      <c r="V194" s="1665" t="s">
        <v>252</v>
      </c>
      <c r="W194" s="1638" t="s">
        <v>307</v>
      </c>
      <c r="X194" s="1638" t="s">
        <v>113</v>
      </c>
      <c r="Y194" s="1656" t="s">
        <v>153</v>
      </c>
      <c r="Z194" s="23">
        <v>516.33000000000004</v>
      </c>
      <c r="AA194" s="1697" t="s">
        <v>403</v>
      </c>
      <c r="AB194" s="23">
        <v>373.56</v>
      </c>
      <c r="AC194" s="1679"/>
      <c r="AD194" s="16"/>
      <c r="AE194" s="1647"/>
      <c r="AF194" s="1650"/>
      <c r="AG194" s="1644"/>
      <c r="AH194" s="2"/>
      <c r="AI194" s="1644"/>
      <c r="AJ194" s="2"/>
      <c r="AK194" s="1662" t="s">
        <v>85</v>
      </c>
      <c r="AL194" s="1662" t="s">
        <v>245</v>
      </c>
      <c r="AM194" s="1662" t="s">
        <v>246</v>
      </c>
      <c r="AN194" s="1638" t="s">
        <v>250</v>
      </c>
      <c r="AO194" s="1638" t="s">
        <v>2489</v>
      </c>
      <c r="AP194" s="1638" t="s">
        <v>2482</v>
      </c>
      <c r="AQ194" s="1665" t="s">
        <v>385</v>
      </c>
      <c r="AR194" s="23">
        <v>46.35</v>
      </c>
      <c r="AS194" s="1638" t="s">
        <v>2493</v>
      </c>
      <c r="AT194" s="1665" t="s">
        <v>2484</v>
      </c>
      <c r="AU194" s="23">
        <v>7.87</v>
      </c>
      <c r="AV194" s="23" t="s">
        <v>56</v>
      </c>
      <c r="AW194" s="527" t="s">
        <v>1249</v>
      </c>
      <c r="AX194" s="181">
        <v>9.4E-2</v>
      </c>
      <c r="AY194" s="527" t="s">
        <v>58</v>
      </c>
      <c r="AZ194" s="25" t="s">
        <v>59</v>
      </c>
      <c r="BA194" s="528" t="s">
        <v>60</v>
      </c>
      <c r="BB194" s="182" t="s">
        <v>61</v>
      </c>
      <c r="BC194" s="528" t="s">
        <v>58</v>
      </c>
      <c r="BD194" s="23" t="s">
        <v>62</v>
      </c>
      <c r="BE194" s="527" t="s">
        <v>266</v>
      </c>
      <c r="BF194" s="181">
        <v>9.6000000000000002E-2</v>
      </c>
      <c r="BG194" s="527" t="s">
        <v>64</v>
      </c>
      <c r="BH194" s="23" t="s">
        <v>94</v>
      </c>
      <c r="BI194" s="6" t="s">
        <v>95</v>
      </c>
      <c r="BJ194" s="6" t="s">
        <v>61</v>
      </c>
      <c r="BK194" s="24" t="s">
        <v>96</v>
      </c>
    </row>
    <row r="195" spans="1:63" s="8" customFormat="1" ht="71.25" customHeight="1">
      <c r="A195" s="1683"/>
      <c r="B195" s="1683"/>
      <c r="C195" s="1686"/>
      <c r="D195" s="1698"/>
      <c r="E195" s="1698"/>
      <c r="F195" s="1698"/>
      <c r="G195" s="1666"/>
      <c r="H195" s="1731"/>
      <c r="I195" s="1669"/>
      <c r="J195" s="1669"/>
      <c r="K195" s="1669"/>
      <c r="L195" s="1692"/>
      <c r="M195" s="1639"/>
      <c r="N195" s="1639"/>
      <c r="O195" s="1657"/>
      <c r="P195" s="1695"/>
      <c r="Q195" s="1695"/>
      <c r="R195" s="1695"/>
      <c r="S195" s="1695"/>
      <c r="T195" s="1639"/>
      <c r="U195" s="1639"/>
      <c r="V195" s="1666"/>
      <c r="W195" s="1639"/>
      <c r="X195" s="1639"/>
      <c r="Y195" s="1657"/>
      <c r="Z195" s="25">
        <v>1130.76</v>
      </c>
      <c r="AA195" s="1657"/>
      <c r="AB195" s="25">
        <v>818.1</v>
      </c>
      <c r="AC195" s="1680"/>
      <c r="AD195" s="20"/>
      <c r="AE195" s="1648"/>
      <c r="AF195" s="1651"/>
      <c r="AG195" s="1645"/>
      <c r="AH195" s="10"/>
      <c r="AI195" s="1645"/>
      <c r="AJ195" s="10"/>
      <c r="AK195" s="1700"/>
      <c r="AL195" s="1700"/>
      <c r="AM195" s="1700"/>
      <c r="AN195" s="1639"/>
      <c r="AO195" s="1639"/>
      <c r="AP195" s="1639"/>
      <c r="AQ195" s="1666"/>
      <c r="AR195" s="25">
        <v>94.54</v>
      </c>
      <c r="AS195" s="1639"/>
      <c r="AT195" s="1666"/>
      <c r="AU195" s="25">
        <v>15.77</v>
      </c>
      <c r="AV195" s="25" t="s">
        <v>65</v>
      </c>
      <c r="AW195" s="528" t="s">
        <v>1249</v>
      </c>
      <c r="AX195" s="182">
        <v>0.02</v>
      </c>
      <c r="AY195" s="528" t="s">
        <v>58</v>
      </c>
      <c r="AZ195" s="220" t="s">
        <v>66</v>
      </c>
      <c r="BA195" s="528" t="s">
        <v>60</v>
      </c>
      <c r="BB195" s="182" t="s">
        <v>61</v>
      </c>
      <c r="BC195" s="528" t="s">
        <v>58</v>
      </c>
      <c r="BD195" s="25" t="s">
        <v>67</v>
      </c>
      <c r="BE195" s="528" t="s">
        <v>82</v>
      </c>
      <c r="BF195" s="182">
        <v>0.25</v>
      </c>
      <c r="BG195" s="528" t="s">
        <v>69</v>
      </c>
      <c r="BH195" s="25" t="s">
        <v>97</v>
      </c>
      <c r="BI195" s="6" t="s">
        <v>95</v>
      </c>
      <c r="BJ195" s="6" t="s">
        <v>61</v>
      </c>
      <c r="BK195" s="26" t="s">
        <v>96</v>
      </c>
    </row>
    <row r="196" spans="1:63" s="8" customFormat="1" ht="71.25" customHeight="1">
      <c r="A196" s="1683"/>
      <c r="B196" s="1683"/>
      <c r="C196" s="1686"/>
      <c r="D196" s="1698"/>
      <c r="E196" s="1698"/>
      <c r="F196" s="1698"/>
      <c r="G196" s="1666"/>
      <c r="H196" s="1731"/>
      <c r="I196" s="1669"/>
      <c r="J196" s="1669"/>
      <c r="K196" s="1669"/>
      <c r="L196" s="1692"/>
      <c r="M196" s="1639"/>
      <c r="N196" s="1639"/>
      <c r="O196" s="1657"/>
      <c r="P196" s="1695"/>
      <c r="Q196" s="1695"/>
      <c r="R196" s="1695"/>
      <c r="S196" s="1695"/>
      <c r="T196" s="1639"/>
      <c r="U196" s="1639"/>
      <c r="V196" s="1666"/>
      <c r="W196" s="1639"/>
      <c r="X196" s="1639"/>
      <c r="Y196" s="1657"/>
      <c r="Z196" s="25">
        <v>981.02</v>
      </c>
      <c r="AA196" s="1657"/>
      <c r="AB196" s="25">
        <v>709.76</v>
      </c>
      <c r="AC196" s="1680"/>
      <c r="AD196" s="20"/>
      <c r="AE196" s="1648"/>
      <c r="AF196" s="1651"/>
      <c r="AG196" s="1645"/>
      <c r="AH196" s="10"/>
      <c r="AI196" s="1645"/>
      <c r="AJ196" s="10"/>
      <c r="AK196" s="1700"/>
      <c r="AL196" s="1700"/>
      <c r="AM196" s="1700"/>
      <c r="AN196" s="1639"/>
      <c r="AO196" s="1639"/>
      <c r="AP196" s="1639"/>
      <c r="AQ196" s="1666"/>
      <c r="AR196" s="25">
        <v>111.33</v>
      </c>
      <c r="AS196" s="1639"/>
      <c r="AT196" s="1666"/>
      <c r="AU196" s="25">
        <v>13.34</v>
      </c>
      <c r="AV196" s="10"/>
      <c r="AW196" s="523"/>
      <c r="AX196" s="11"/>
      <c r="AY196" s="523"/>
      <c r="AZ196" s="10"/>
      <c r="BA196" s="523"/>
      <c r="BB196" s="11"/>
      <c r="BC196" s="523"/>
      <c r="BD196" s="25" t="s">
        <v>433</v>
      </c>
      <c r="BE196" s="529" t="s">
        <v>434</v>
      </c>
      <c r="BF196" s="182" t="s">
        <v>435</v>
      </c>
      <c r="BG196" s="529" t="s">
        <v>436</v>
      </c>
      <c r="BH196" s="27" t="s">
        <v>98</v>
      </c>
      <c r="BI196" s="6" t="s">
        <v>95</v>
      </c>
      <c r="BJ196" s="6" t="s">
        <v>61</v>
      </c>
      <c r="BK196" s="26" t="s">
        <v>79</v>
      </c>
    </row>
    <row r="197" spans="1:63" s="8" customFormat="1" ht="71.25" customHeight="1" thickBot="1">
      <c r="A197" s="1684"/>
      <c r="B197" s="1684"/>
      <c r="C197" s="1687"/>
      <c r="D197" s="1699"/>
      <c r="E197" s="1699"/>
      <c r="F197" s="1699"/>
      <c r="G197" s="1667"/>
      <c r="H197" s="1732"/>
      <c r="I197" s="1670"/>
      <c r="J197" s="1670"/>
      <c r="K197" s="1670"/>
      <c r="L197" s="1693"/>
      <c r="M197" s="1640"/>
      <c r="N197" s="1640"/>
      <c r="O197" s="1678"/>
      <c r="P197" s="1696"/>
      <c r="Q197" s="1696"/>
      <c r="R197" s="1696"/>
      <c r="S197" s="1696"/>
      <c r="T197" s="1640"/>
      <c r="U197" s="1640"/>
      <c r="V197" s="1667"/>
      <c r="W197" s="1640"/>
      <c r="X197" s="1640"/>
      <c r="Y197" s="1678"/>
      <c r="Z197" s="180">
        <v>1569.64</v>
      </c>
      <c r="AA197" s="1678"/>
      <c r="AB197" s="180">
        <v>1135.6099999999999</v>
      </c>
      <c r="AC197" s="1681"/>
      <c r="AD197" s="212"/>
      <c r="AE197" s="1649"/>
      <c r="AF197" s="1652"/>
      <c r="AG197" s="1646"/>
      <c r="AH197" s="13"/>
      <c r="AI197" s="1646"/>
      <c r="AJ197" s="13"/>
      <c r="AK197" s="1701"/>
      <c r="AL197" s="1701"/>
      <c r="AM197" s="1701"/>
      <c r="AN197" s="1640"/>
      <c r="AO197" s="1640"/>
      <c r="AP197" s="1640"/>
      <c r="AQ197" s="1667"/>
      <c r="AR197" s="180">
        <v>171.13</v>
      </c>
      <c r="AS197" s="1640"/>
      <c r="AT197" s="1667"/>
      <c r="AU197" s="180">
        <v>22.01</v>
      </c>
      <c r="AV197" s="13"/>
      <c r="AW197" s="524"/>
      <c r="AX197" s="15"/>
      <c r="AY197" s="524"/>
      <c r="AZ197" s="13"/>
      <c r="BA197" s="524"/>
      <c r="BB197" s="15"/>
      <c r="BC197" s="524"/>
      <c r="BD197" s="13"/>
      <c r="BE197" s="524"/>
      <c r="BF197" s="15"/>
      <c r="BG197" s="524"/>
      <c r="BH197" s="13"/>
      <c r="BI197" s="524"/>
      <c r="BJ197" s="15"/>
      <c r="BK197" s="524"/>
    </row>
    <row r="198" spans="1:63" s="296" customFormat="1" ht="71.25" customHeight="1">
      <c r="A198" s="1682" t="s">
        <v>4072</v>
      </c>
      <c r="B198" s="1697" t="s">
        <v>145</v>
      </c>
      <c r="C198" s="1717">
        <v>461617513</v>
      </c>
      <c r="D198" s="1665" t="s">
        <v>146</v>
      </c>
      <c r="E198" s="1665" t="s">
        <v>4137</v>
      </c>
      <c r="F198" s="1665" t="s">
        <v>4137</v>
      </c>
      <c r="G198" s="1665" t="s">
        <v>3665</v>
      </c>
      <c r="H198" s="1665" t="s">
        <v>4239</v>
      </c>
      <c r="I198" s="1668" t="s">
        <v>2474</v>
      </c>
      <c r="J198" s="1674">
        <v>42705</v>
      </c>
      <c r="K198" s="1674">
        <v>43466</v>
      </c>
      <c r="L198" s="1708">
        <v>15</v>
      </c>
      <c r="M198" s="1706" t="s">
        <v>48</v>
      </c>
      <c r="N198" s="1706" t="s">
        <v>49</v>
      </c>
      <c r="O198" s="1656"/>
      <c r="P198" s="1759" t="s">
        <v>3640</v>
      </c>
      <c r="Q198" s="1694" t="s">
        <v>73</v>
      </c>
      <c r="R198" s="1694" t="s">
        <v>4244</v>
      </c>
      <c r="S198" s="1694" t="s">
        <v>4244</v>
      </c>
      <c r="T198" s="1665" t="s">
        <v>317</v>
      </c>
      <c r="U198" s="1665" t="s">
        <v>2477</v>
      </c>
      <c r="V198" s="1665" t="s">
        <v>252</v>
      </c>
      <c r="W198" s="1665" t="s">
        <v>307</v>
      </c>
      <c r="X198" s="1665" t="s">
        <v>113</v>
      </c>
      <c r="Y198" s="1656" t="s">
        <v>153</v>
      </c>
      <c r="Z198" s="23">
        <v>567.39</v>
      </c>
      <c r="AA198" s="1656" t="s">
        <v>87</v>
      </c>
      <c r="AB198" s="23">
        <v>691.69</v>
      </c>
      <c r="AC198" s="1697" t="s">
        <v>403</v>
      </c>
      <c r="AD198" s="23">
        <v>410.5</v>
      </c>
      <c r="AE198" s="1647"/>
      <c r="AF198" s="16"/>
      <c r="AG198" s="1647"/>
      <c r="AH198" s="16"/>
      <c r="AI198" s="1647"/>
      <c r="AJ198" s="16"/>
      <c r="AK198" s="1638" t="s">
        <v>85</v>
      </c>
      <c r="AL198" s="1638" t="s">
        <v>245</v>
      </c>
      <c r="AM198" s="1638" t="s">
        <v>246</v>
      </c>
      <c r="AN198" s="1697" t="s">
        <v>423</v>
      </c>
      <c r="AO198" s="1697" t="s">
        <v>2494</v>
      </c>
      <c r="AP198" s="1697" t="s">
        <v>2481</v>
      </c>
      <c r="AQ198" s="1665" t="s">
        <v>389</v>
      </c>
      <c r="AR198" s="256">
        <v>47.55</v>
      </c>
      <c r="AS198" s="1665" t="s">
        <v>2483</v>
      </c>
      <c r="AT198" s="1665" t="s">
        <v>2486</v>
      </c>
      <c r="AU198" s="256">
        <v>9.6300000000000008</v>
      </c>
      <c r="AV198" s="256" t="s">
        <v>56</v>
      </c>
      <c r="AW198" s="290" t="s">
        <v>148</v>
      </c>
      <c r="AX198" s="259">
        <v>0.09</v>
      </c>
      <c r="AY198" s="290" t="s">
        <v>58</v>
      </c>
      <c r="AZ198" s="257" t="s">
        <v>59</v>
      </c>
      <c r="BA198" s="291" t="s">
        <v>60</v>
      </c>
      <c r="BB198" s="260" t="s">
        <v>61</v>
      </c>
      <c r="BC198" s="291" t="s">
        <v>58</v>
      </c>
      <c r="BD198" s="16"/>
      <c r="BE198" s="289"/>
      <c r="BF198" s="18"/>
      <c r="BG198" s="289"/>
      <c r="BH198" s="1"/>
      <c r="BI198" s="289"/>
      <c r="BJ198" s="18"/>
      <c r="BK198" s="289"/>
    </row>
    <row r="199" spans="1:63" s="8" customFormat="1" ht="71.25" customHeight="1">
      <c r="A199" s="1683"/>
      <c r="B199" s="1657"/>
      <c r="C199" s="1718"/>
      <c r="D199" s="1666"/>
      <c r="E199" s="1666"/>
      <c r="F199" s="1666"/>
      <c r="G199" s="1666"/>
      <c r="H199" s="1666"/>
      <c r="I199" s="1669"/>
      <c r="J199" s="1669"/>
      <c r="K199" s="1669"/>
      <c r="L199" s="1676"/>
      <c r="M199" s="1666"/>
      <c r="N199" s="1666"/>
      <c r="O199" s="1657"/>
      <c r="P199" s="1680"/>
      <c r="Q199" s="1695"/>
      <c r="R199" s="1695"/>
      <c r="S199" s="1695"/>
      <c r="T199" s="1666"/>
      <c r="U199" s="1666"/>
      <c r="V199" s="1666"/>
      <c r="W199" s="1666"/>
      <c r="X199" s="1666"/>
      <c r="Y199" s="1657"/>
      <c r="Z199" s="27">
        <v>1242.5899999999999</v>
      </c>
      <c r="AA199" s="1657"/>
      <c r="AB199" s="27">
        <v>1514.81</v>
      </c>
      <c r="AC199" s="1657"/>
      <c r="AD199" s="25">
        <v>899.01</v>
      </c>
      <c r="AE199" s="1648"/>
      <c r="AF199" s="9"/>
      <c r="AG199" s="1648"/>
      <c r="AH199" s="9"/>
      <c r="AI199" s="1648"/>
      <c r="AJ199" s="9"/>
      <c r="AK199" s="1639"/>
      <c r="AL199" s="1639"/>
      <c r="AM199" s="1639"/>
      <c r="AN199" s="1715"/>
      <c r="AO199" s="1715"/>
      <c r="AP199" s="1715"/>
      <c r="AQ199" s="1666"/>
      <c r="AR199" s="5">
        <v>97.2</v>
      </c>
      <c r="AS199" s="1666"/>
      <c r="AT199" s="1666"/>
      <c r="AU199" s="5">
        <v>19.3</v>
      </c>
      <c r="AV199" s="5" t="s">
        <v>65</v>
      </c>
      <c r="AW199" s="282" t="s">
        <v>148</v>
      </c>
      <c r="AX199" s="6">
        <v>2.3E-2</v>
      </c>
      <c r="AY199" s="282" t="s">
        <v>58</v>
      </c>
      <c r="AZ199" s="19" t="s">
        <v>66</v>
      </c>
      <c r="BA199" s="282" t="s">
        <v>60</v>
      </c>
      <c r="BB199" s="6" t="s">
        <v>61</v>
      </c>
      <c r="BC199" s="282" t="s">
        <v>58</v>
      </c>
      <c r="BD199" s="5" t="s">
        <v>67</v>
      </c>
      <c r="BE199" s="282" t="s">
        <v>82</v>
      </c>
      <c r="BF199" s="6">
        <v>0.25</v>
      </c>
      <c r="BG199" s="282" t="s">
        <v>69</v>
      </c>
      <c r="BH199" s="9"/>
      <c r="BI199" s="285"/>
      <c r="BJ199" s="11"/>
      <c r="BK199" s="285"/>
    </row>
    <row r="200" spans="1:63" s="8" customFormat="1" ht="71.25" customHeight="1">
      <c r="A200" s="1683"/>
      <c r="B200" s="1657"/>
      <c r="C200" s="1718"/>
      <c r="D200" s="1666"/>
      <c r="E200" s="1666"/>
      <c r="F200" s="1666"/>
      <c r="G200" s="1666"/>
      <c r="H200" s="1666"/>
      <c r="I200" s="1669"/>
      <c r="J200" s="1669"/>
      <c r="K200" s="1669"/>
      <c r="L200" s="1676"/>
      <c r="M200" s="1666"/>
      <c r="N200" s="1666"/>
      <c r="O200" s="1657"/>
      <c r="P200" s="1680"/>
      <c r="Q200" s="1695"/>
      <c r="R200" s="1695"/>
      <c r="S200" s="1695"/>
      <c r="T200" s="1666"/>
      <c r="U200" s="1666"/>
      <c r="V200" s="1666"/>
      <c r="W200" s="1666"/>
      <c r="X200" s="1666"/>
      <c r="Y200" s="1657"/>
      <c r="Z200" s="27">
        <v>1078.05</v>
      </c>
      <c r="AA200" s="1657"/>
      <c r="AB200" s="27">
        <v>1314.22</v>
      </c>
      <c r="AC200" s="1657"/>
      <c r="AD200" s="25">
        <v>779.95</v>
      </c>
      <c r="AE200" s="1648"/>
      <c r="AF200" s="9"/>
      <c r="AG200" s="1648"/>
      <c r="AH200" s="9"/>
      <c r="AI200" s="1648"/>
      <c r="AJ200" s="9"/>
      <c r="AK200" s="1639"/>
      <c r="AL200" s="1639"/>
      <c r="AM200" s="1639"/>
      <c r="AN200" s="1715"/>
      <c r="AO200" s="1715"/>
      <c r="AP200" s="1715"/>
      <c r="AQ200" s="1666"/>
      <c r="AR200" s="5">
        <v>103.6</v>
      </c>
      <c r="AS200" s="1666"/>
      <c r="AT200" s="1666"/>
      <c r="AU200" s="5">
        <v>16.34</v>
      </c>
      <c r="AV200" s="10"/>
      <c r="AW200" s="285"/>
      <c r="AX200" s="11"/>
      <c r="AY200" s="285"/>
      <c r="AZ200" s="10"/>
      <c r="BA200" s="285"/>
      <c r="BB200" s="11"/>
      <c r="BC200" s="285"/>
      <c r="BD200" s="10"/>
      <c r="BE200" s="285"/>
      <c r="BF200" s="11"/>
      <c r="BG200" s="285"/>
      <c r="BH200" s="9"/>
      <c r="BI200" s="285"/>
      <c r="BJ200" s="11"/>
      <c r="BK200" s="285"/>
    </row>
    <row r="201" spans="1:63" s="8" customFormat="1" ht="71.25" customHeight="1" thickBot="1">
      <c r="A201" s="1684"/>
      <c r="B201" s="1678"/>
      <c r="C201" s="1719"/>
      <c r="D201" s="1667"/>
      <c r="E201" s="1667"/>
      <c r="F201" s="1667"/>
      <c r="G201" s="1667"/>
      <c r="H201" s="1667"/>
      <c r="I201" s="1670"/>
      <c r="J201" s="1670"/>
      <c r="K201" s="1670"/>
      <c r="L201" s="1677"/>
      <c r="M201" s="1667"/>
      <c r="N201" s="1667"/>
      <c r="O201" s="1678"/>
      <c r="P201" s="1681"/>
      <c r="Q201" s="1696"/>
      <c r="R201" s="1696"/>
      <c r="S201" s="1696"/>
      <c r="T201" s="1667"/>
      <c r="U201" s="1667"/>
      <c r="V201" s="1667"/>
      <c r="W201" s="1667"/>
      <c r="X201" s="1667"/>
      <c r="Y201" s="1678"/>
      <c r="Z201" s="82">
        <v>1686.31</v>
      </c>
      <c r="AA201" s="1658"/>
      <c r="AB201" s="82">
        <v>2102.75</v>
      </c>
      <c r="AC201" s="1678"/>
      <c r="AD201" s="180">
        <v>1247.93</v>
      </c>
      <c r="AE201" s="1649"/>
      <c r="AF201" s="12"/>
      <c r="AG201" s="1649"/>
      <c r="AH201" s="12"/>
      <c r="AI201" s="1649"/>
      <c r="AJ201" s="12"/>
      <c r="AK201" s="1640"/>
      <c r="AL201" s="1640"/>
      <c r="AM201" s="1640"/>
      <c r="AN201" s="1716"/>
      <c r="AO201" s="1716"/>
      <c r="AP201" s="1716"/>
      <c r="AQ201" s="1667"/>
      <c r="AR201" s="5">
        <v>164.84</v>
      </c>
      <c r="AS201" s="1667"/>
      <c r="AT201" s="1667"/>
      <c r="AU201" s="14">
        <v>26.95</v>
      </c>
      <c r="AV201" s="13"/>
      <c r="AW201" s="286"/>
      <c r="AX201" s="15"/>
      <c r="AY201" s="286"/>
      <c r="AZ201" s="13"/>
      <c r="BA201" s="286"/>
      <c r="BB201" s="15"/>
      <c r="BC201" s="286"/>
      <c r="BD201" s="13"/>
      <c r="BE201" s="286"/>
      <c r="BF201" s="15"/>
      <c r="BG201" s="286"/>
      <c r="BH201" s="12"/>
      <c r="BI201" s="286"/>
      <c r="BJ201" s="15"/>
      <c r="BK201" s="286"/>
    </row>
    <row r="202" spans="1:63" s="8" customFormat="1" ht="71.25" customHeight="1">
      <c r="A202" s="1733" t="s">
        <v>347</v>
      </c>
      <c r="B202" s="1706"/>
      <c r="C202" s="1720">
        <v>821490132</v>
      </c>
      <c r="D202" s="1662" t="s">
        <v>4319</v>
      </c>
      <c r="E202" s="1662" t="s">
        <v>351</v>
      </c>
      <c r="F202" s="1662" t="s">
        <v>351</v>
      </c>
      <c r="G202" s="1665" t="s">
        <v>3665</v>
      </c>
      <c r="H202" s="1665" t="s">
        <v>3591</v>
      </c>
      <c r="I202" s="1668" t="s">
        <v>2473</v>
      </c>
      <c r="J202" s="1674">
        <v>43009</v>
      </c>
      <c r="K202" s="1674">
        <v>43466</v>
      </c>
      <c r="L202" s="1708">
        <v>6</v>
      </c>
      <c r="M202" s="1638" t="s">
        <v>48</v>
      </c>
      <c r="N202" s="1632" t="s">
        <v>112</v>
      </c>
      <c r="O202" s="1706"/>
      <c r="P202" s="1679" t="s">
        <v>72</v>
      </c>
      <c r="Q202" s="1679" t="s">
        <v>72</v>
      </c>
      <c r="R202" s="1694" t="s">
        <v>4244</v>
      </c>
      <c r="S202" s="1694" t="s">
        <v>4244</v>
      </c>
      <c r="T202" s="1665" t="s">
        <v>317</v>
      </c>
      <c r="U202" s="1665" t="s">
        <v>2477</v>
      </c>
      <c r="V202" s="1665" t="s">
        <v>252</v>
      </c>
      <c r="W202" s="1665" t="s">
        <v>307</v>
      </c>
      <c r="X202" s="1665" t="s">
        <v>113</v>
      </c>
      <c r="Y202" s="1656" t="s">
        <v>153</v>
      </c>
      <c r="Z202" s="23">
        <v>567.39</v>
      </c>
      <c r="AA202" s="1656" t="s">
        <v>87</v>
      </c>
      <c r="AB202" s="23">
        <v>691.69</v>
      </c>
      <c r="AC202" s="1647"/>
      <c r="AD202" s="1"/>
      <c r="AE202" s="1644"/>
      <c r="AF202" s="2"/>
      <c r="AG202" s="1644"/>
      <c r="AH202" s="2"/>
      <c r="AI202" s="1644"/>
      <c r="AJ202" s="2"/>
      <c r="AK202" s="1638" t="s">
        <v>85</v>
      </c>
      <c r="AL202" s="1638" t="s">
        <v>245</v>
      </c>
      <c r="AM202" s="1638" t="s">
        <v>246</v>
      </c>
      <c r="AN202" s="1638" t="s">
        <v>250</v>
      </c>
      <c r="AO202" s="1694" t="s">
        <v>2494</v>
      </c>
      <c r="AP202" s="1694" t="s">
        <v>2495</v>
      </c>
      <c r="AQ202" s="1697" t="s">
        <v>388</v>
      </c>
      <c r="AR202" s="23">
        <v>64.13</v>
      </c>
      <c r="AS202" s="1665" t="s">
        <v>2483</v>
      </c>
      <c r="AT202" s="1638" t="s">
        <v>2488</v>
      </c>
      <c r="AU202" s="23">
        <v>9.8000000000000007</v>
      </c>
      <c r="AV202" s="23" t="s">
        <v>56</v>
      </c>
      <c r="AW202" s="302" t="s">
        <v>57</v>
      </c>
      <c r="AX202" s="181">
        <v>9.0999999999999998E-2</v>
      </c>
      <c r="AY202" s="178" t="s">
        <v>58</v>
      </c>
      <c r="AZ202" s="5" t="s">
        <v>59</v>
      </c>
      <c r="BA202" s="176" t="s">
        <v>60</v>
      </c>
      <c r="BB202" s="6" t="s">
        <v>61</v>
      </c>
      <c r="BC202" s="176" t="s">
        <v>58</v>
      </c>
      <c r="BD202" s="2"/>
      <c r="BE202" s="177"/>
      <c r="BF202" s="7"/>
      <c r="BG202" s="177"/>
      <c r="BH202" s="2"/>
      <c r="BI202" s="173"/>
      <c r="BJ202" s="7"/>
      <c r="BK202" s="173"/>
    </row>
    <row r="203" spans="1:63" s="8" customFormat="1" ht="71.25" customHeight="1">
      <c r="A203" s="1734"/>
      <c r="B203" s="1666"/>
      <c r="C203" s="1729"/>
      <c r="D203" s="1700"/>
      <c r="E203" s="1700"/>
      <c r="F203" s="1700"/>
      <c r="G203" s="1666"/>
      <c r="H203" s="1666"/>
      <c r="I203" s="1669"/>
      <c r="J203" s="1669"/>
      <c r="K203" s="1669"/>
      <c r="L203" s="1676"/>
      <c r="M203" s="1639"/>
      <c r="N203" s="1633"/>
      <c r="O203" s="1666"/>
      <c r="P203" s="1680"/>
      <c r="Q203" s="1680"/>
      <c r="R203" s="1695"/>
      <c r="S203" s="1695"/>
      <c r="T203" s="1666"/>
      <c r="U203" s="1666"/>
      <c r="V203" s="1666"/>
      <c r="W203" s="1666"/>
      <c r="X203" s="1666"/>
      <c r="Y203" s="1657"/>
      <c r="Z203" s="25">
        <v>1242.5899999999999</v>
      </c>
      <c r="AA203" s="1657"/>
      <c r="AB203" s="25">
        <v>1514.81</v>
      </c>
      <c r="AC203" s="1648"/>
      <c r="AD203" s="9"/>
      <c r="AE203" s="1645"/>
      <c r="AF203" s="10"/>
      <c r="AG203" s="1645"/>
      <c r="AH203" s="10"/>
      <c r="AI203" s="1645"/>
      <c r="AJ203" s="10"/>
      <c r="AK203" s="1639"/>
      <c r="AL203" s="1639"/>
      <c r="AM203" s="1639"/>
      <c r="AN203" s="1639"/>
      <c r="AO203" s="1695"/>
      <c r="AP203" s="1695"/>
      <c r="AQ203" s="1657"/>
      <c r="AR203" s="25">
        <v>130.79</v>
      </c>
      <c r="AS203" s="1666"/>
      <c r="AT203" s="1639"/>
      <c r="AU203" s="25">
        <v>19.63</v>
      </c>
      <c r="AV203" s="25" t="s">
        <v>65</v>
      </c>
      <c r="AW203" s="301" t="s">
        <v>57</v>
      </c>
      <c r="AX203" s="182">
        <v>0.02</v>
      </c>
      <c r="AY203" s="179" t="s">
        <v>58</v>
      </c>
      <c r="AZ203" s="19" t="s">
        <v>66</v>
      </c>
      <c r="BA203" s="176" t="s">
        <v>60</v>
      </c>
      <c r="BB203" s="6" t="s">
        <v>61</v>
      </c>
      <c r="BC203" s="176" t="s">
        <v>58</v>
      </c>
      <c r="BD203" s="25" t="s">
        <v>67</v>
      </c>
      <c r="BE203" s="179" t="s">
        <v>68</v>
      </c>
      <c r="BF203" s="182">
        <v>0.35</v>
      </c>
      <c r="BG203" s="179" t="s">
        <v>69</v>
      </c>
      <c r="BH203" s="10"/>
      <c r="BI203" s="174"/>
      <c r="BJ203" s="11"/>
      <c r="BK203" s="174"/>
    </row>
    <row r="204" spans="1:63" s="8" customFormat="1" ht="71.25" customHeight="1">
      <c r="A204" s="1734"/>
      <c r="B204" s="1666"/>
      <c r="C204" s="1729"/>
      <c r="D204" s="1700"/>
      <c r="E204" s="1700"/>
      <c r="F204" s="1700"/>
      <c r="G204" s="1666"/>
      <c r="H204" s="1666"/>
      <c r="I204" s="1669"/>
      <c r="J204" s="1669"/>
      <c r="K204" s="1669"/>
      <c r="L204" s="1676"/>
      <c r="M204" s="1639"/>
      <c r="N204" s="1633"/>
      <c r="O204" s="1666"/>
      <c r="P204" s="1680"/>
      <c r="Q204" s="1680"/>
      <c r="R204" s="1695"/>
      <c r="S204" s="1695"/>
      <c r="T204" s="1666"/>
      <c r="U204" s="1666"/>
      <c r="V204" s="1666"/>
      <c r="W204" s="1666"/>
      <c r="X204" s="1666"/>
      <c r="Y204" s="1657"/>
      <c r="Z204" s="25">
        <v>1078.05</v>
      </c>
      <c r="AA204" s="1657"/>
      <c r="AB204" s="25">
        <v>1314.22</v>
      </c>
      <c r="AC204" s="1648"/>
      <c r="AD204" s="9"/>
      <c r="AE204" s="1645"/>
      <c r="AF204" s="10"/>
      <c r="AG204" s="1645"/>
      <c r="AH204" s="10"/>
      <c r="AI204" s="1645"/>
      <c r="AJ204" s="10"/>
      <c r="AK204" s="1639"/>
      <c r="AL204" s="1639"/>
      <c r="AM204" s="1639"/>
      <c r="AN204" s="1639"/>
      <c r="AO204" s="1695"/>
      <c r="AP204" s="1695"/>
      <c r="AQ204" s="1657"/>
      <c r="AR204" s="25">
        <v>153.37</v>
      </c>
      <c r="AS204" s="1666"/>
      <c r="AT204" s="1639"/>
      <c r="AU204" s="25">
        <v>16.62</v>
      </c>
      <c r="AV204" s="10"/>
      <c r="AW204" s="174"/>
      <c r="AX204" s="11"/>
      <c r="AY204" s="174"/>
      <c r="AZ204" s="10"/>
      <c r="BA204" s="174"/>
      <c r="BB204" s="11"/>
      <c r="BC204" s="174"/>
      <c r="BD204" s="10"/>
      <c r="BE204" s="174"/>
      <c r="BF204" s="11"/>
      <c r="BG204" s="174"/>
      <c r="BH204" s="10"/>
      <c r="BI204" s="174"/>
      <c r="BJ204" s="11"/>
      <c r="BK204" s="174"/>
    </row>
    <row r="205" spans="1:63" s="8" customFormat="1" ht="71.25" customHeight="1" thickBot="1">
      <c r="A205" s="1735"/>
      <c r="B205" s="1667"/>
      <c r="C205" s="1730"/>
      <c r="D205" s="1701"/>
      <c r="E205" s="1701"/>
      <c r="F205" s="1701"/>
      <c r="G205" s="1667"/>
      <c r="H205" s="1667"/>
      <c r="I205" s="1670"/>
      <c r="J205" s="1670"/>
      <c r="K205" s="1670"/>
      <c r="L205" s="1677"/>
      <c r="M205" s="1640"/>
      <c r="N205" s="1634"/>
      <c r="O205" s="1667"/>
      <c r="P205" s="1681"/>
      <c r="Q205" s="1681"/>
      <c r="R205" s="1696"/>
      <c r="S205" s="1696"/>
      <c r="T205" s="1667"/>
      <c r="U205" s="1667"/>
      <c r="V205" s="1667"/>
      <c r="W205" s="1667"/>
      <c r="X205" s="1667"/>
      <c r="Y205" s="1678"/>
      <c r="Z205" s="180">
        <v>1724.87</v>
      </c>
      <c r="AA205" s="1678"/>
      <c r="AB205" s="180">
        <v>2102.75</v>
      </c>
      <c r="AC205" s="1649"/>
      <c r="AD205" s="12"/>
      <c r="AE205" s="1646"/>
      <c r="AF205" s="13"/>
      <c r="AG205" s="1646"/>
      <c r="AH205" s="13"/>
      <c r="AI205" s="1646"/>
      <c r="AJ205" s="13"/>
      <c r="AK205" s="1640"/>
      <c r="AL205" s="1640"/>
      <c r="AM205" s="1640"/>
      <c r="AN205" s="1640"/>
      <c r="AO205" s="1696"/>
      <c r="AP205" s="1696"/>
      <c r="AQ205" s="1678"/>
      <c r="AR205" s="180">
        <v>236.29</v>
      </c>
      <c r="AS205" s="1667"/>
      <c r="AT205" s="1640"/>
      <c r="AU205" s="180">
        <v>27.4</v>
      </c>
      <c r="AV205" s="13"/>
      <c r="AW205" s="175"/>
      <c r="AX205" s="15"/>
      <c r="AY205" s="175"/>
      <c r="AZ205" s="13"/>
      <c r="BA205" s="175"/>
      <c r="BB205" s="15"/>
      <c r="BC205" s="175"/>
      <c r="BD205" s="13"/>
      <c r="BE205" s="175"/>
      <c r="BF205" s="15"/>
      <c r="BG205" s="175"/>
      <c r="BH205" s="13"/>
      <c r="BI205" s="175"/>
      <c r="BJ205" s="15"/>
      <c r="BK205" s="175"/>
    </row>
    <row r="206" spans="1:63" s="8" customFormat="1" ht="71.25" customHeight="1">
      <c r="A206" s="1705" t="s">
        <v>149</v>
      </c>
      <c r="B206" s="1656"/>
      <c r="C206" s="1717">
        <v>943382925</v>
      </c>
      <c r="D206" s="1706" t="s">
        <v>150</v>
      </c>
      <c r="E206" s="1665" t="s">
        <v>241</v>
      </c>
      <c r="F206" s="1665" t="s">
        <v>241</v>
      </c>
      <c r="G206" s="1665" t="s">
        <v>3654</v>
      </c>
      <c r="H206" s="1665" t="s">
        <v>1280</v>
      </c>
      <c r="I206" s="1668" t="s">
        <v>2474</v>
      </c>
      <c r="J206" s="1674">
        <v>42736</v>
      </c>
      <c r="K206" s="1674">
        <v>43466</v>
      </c>
      <c r="L206" s="1708">
        <v>70</v>
      </c>
      <c r="M206" s="1638" t="s">
        <v>48</v>
      </c>
      <c r="N206" s="1747" t="s">
        <v>318</v>
      </c>
      <c r="O206" s="1656"/>
      <c r="P206" s="1679" t="s">
        <v>72</v>
      </c>
      <c r="Q206" s="1679" t="s">
        <v>72</v>
      </c>
      <c r="R206" s="1694" t="s">
        <v>4244</v>
      </c>
      <c r="S206" s="1694" t="s">
        <v>4244</v>
      </c>
      <c r="T206" s="1662" t="s">
        <v>303</v>
      </c>
      <c r="U206" s="1662" t="s">
        <v>2503</v>
      </c>
      <c r="V206" s="1638" t="s">
        <v>252</v>
      </c>
      <c r="W206" s="1638" t="s">
        <v>307</v>
      </c>
      <c r="X206" s="1638" t="s">
        <v>113</v>
      </c>
      <c r="Y206" s="1656" t="s">
        <v>151</v>
      </c>
      <c r="Z206" s="23">
        <v>681.76</v>
      </c>
      <c r="AA206" s="1656" t="s">
        <v>87</v>
      </c>
      <c r="AB206" s="23">
        <v>786.13</v>
      </c>
      <c r="AC206" s="1647"/>
      <c r="AD206" s="1"/>
      <c r="AE206" s="1647"/>
      <c r="AF206" s="1"/>
      <c r="AG206" s="1647"/>
      <c r="AH206" s="1"/>
      <c r="AI206" s="1647"/>
      <c r="AJ206" s="1"/>
      <c r="AK206" s="1665" t="s">
        <v>85</v>
      </c>
      <c r="AL206" s="1665" t="s">
        <v>245</v>
      </c>
      <c r="AM206" s="1665" t="s">
        <v>246</v>
      </c>
      <c r="AN206" s="1665" t="s">
        <v>250</v>
      </c>
      <c r="AO206" s="1638" t="s">
        <v>2498</v>
      </c>
      <c r="AP206" s="1638" t="s">
        <v>2482</v>
      </c>
      <c r="AQ206" s="1697" t="s">
        <v>388</v>
      </c>
      <c r="AR206" s="23">
        <v>56.69</v>
      </c>
      <c r="AS206" s="1632" t="s">
        <v>2482</v>
      </c>
      <c r="AT206" s="1712" t="s">
        <v>72</v>
      </c>
      <c r="AU206" s="1"/>
      <c r="AV206" s="2"/>
      <c r="AW206" s="373"/>
      <c r="AX206" s="7"/>
      <c r="AY206" s="373"/>
      <c r="AZ206" s="2"/>
      <c r="BA206" s="373"/>
      <c r="BB206" s="7"/>
      <c r="BC206" s="373"/>
      <c r="BD206" s="2"/>
      <c r="BE206" s="373"/>
      <c r="BF206" s="7"/>
      <c r="BG206" s="373"/>
      <c r="BH206" s="2"/>
      <c r="BI206" s="373"/>
      <c r="BJ206" s="7"/>
      <c r="BK206" s="373"/>
    </row>
    <row r="207" spans="1:63" s="8" customFormat="1" ht="71.25" customHeight="1">
      <c r="A207" s="1683"/>
      <c r="B207" s="1657"/>
      <c r="C207" s="1718"/>
      <c r="D207" s="1666"/>
      <c r="E207" s="1666"/>
      <c r="F207" s="1666"/>
      <c r="G207" s="1666"/>
      <c r="H207" s="1666"/>
      <c r="I207" s="1669"/>
      <c r="J207" s="1669"/>
      <c r="K207" s="1669"/>
      <c r="L207" s="1676"/>
      <c r="M207" s="1639"/>
      <c r="N207" s="1645"/>
      <c r="O207" s="1657"/>
      <c r="P207" s="1680"/>
      <c r="Q207" s="1680"/>
      <c r="R207" s="1695"/>
      <c r="S207" s="1695"/>
      <c r="T207" s="1700"/>
      <c r="U207" s="1700"/>
      <c r="V207" s="1639"/>
      <c r="W207" s="1639"/>
      <c r="X207" s="1639"/>
      <c r="Y207" s="1657"/>
      <c r="Z207" s="25">
        <v>1493.06</v>
      </c>
      <c r="AA207" s="1657"/>
      <c r="AB207" s="25">
        <v>1721.63</v>
      </c>
      <c r="AC207" s="1648"/>
      <c r="AD207" s="9"/>
      <c r="AE207" s="1648"/>
      <c r="AF207" s="9"/>
      <c r="AG207" s="1648"/>
      <c r="AH207" s="9"/>
      <c r="AI207" s="1648"/>
      <c r="AJ207" s="9"/>
      <c r="AK207" s="1666"/>
      <c r="AL207" s="1666"/>
      <c r="AM207" s="1666"/>
      <c r="AN207" s="1666"/>
      <c r="AO207" s="1639"/>
      <c r="AP207" s="1639"/>
      <c r="AQ207" s="1657"/>
      <c r="AR207" s="25">
        <v>115.59</v>
      </c>
      <c r="AS207" s="1633"/>
      <c r="AT207" s="1713"/>
      <c r="AU207" s="9"/>
      <c r="AV207" s="10"/>
      <c r="AW207" s="374"/>
      <c r="AX207" s="11"/>
      <c r="AY207" s="374"/>
      <c r="AZ207" s="10"/>
      <c r="BA207" s="374"/>
      <c r="BB207" s="11"/>
      <c r="BC207" s="374"/>
      <c r="BD207" s="10"/>
      <c r="BE207" s="374"/>
      <c r="BF207" s="11"/>
      <c r="BG207" s="374"/>
      <c r="BH207" s="10"/>
      <c r="BI207" s="374"/>
      <c r="BJ207" s="11"/>
      <c r="BK207" s="374"/>
    </row>
    <row r="208" spans="1:63" s="8" customFormat="1" ht="71.25" customHeight="1">
      <c r="A208" s="1683"/>
      <c r="B208" s="1657"/>
      <c r="C208" s="1718"/>
      <c r="D208" s="1666"/>
      <c r="E208" s="1666"/>
      <c r="F208" s="1666"/>
      <c r="G208" s="1666"/>
      <c r="H208" s="1666"/>
      <c r="I208" s="1669"/>
      <c r="J208" s="1669"/>
      <c r="K208" s="1669"/>
      <c r="L208" s="1676"/>
      <c r="M208" s="1639"/>
      <c r="N208" s="1645"/>
      <c r="O208" s="1657"/>
      <c r="P208" s="1680"/>
      <c r="Q208" s="1680"/>
      <c r="R208" s="1695"/>
      <c r="S208" s="1695"/>
      <c r="T208" s="1700"/>
      <c r="U208" s="1700"/>
      <c r="V208" s="1639"/>
      <c r="W208" s="1639"/>
      <c r="X208" s="1639"/>
      <c r="Y208" s="1657"/>
      <c r="Z208" s="25">
        <v>1295.3499999999999</v>
      </c>
      <c r="AA208" s="1657"/>
      <c r="AB208" s="25">
        <v>1493.66</v>
      </c>
      <c r="AC208" s="1648"/>
      <c r="AD208" s="9"/>
      <c r="AE208" s="1648"/>
      <c r="AF208" s="9"/>
      <c r="AG208" s="1648"/>
      <c r="AH208" s="9"/>
      <c r="AI208" s="1648"/>
      <c r="AJ208" s="9"/>
      <c r="AK208" s="1666"/>
      <c r="AL208" s="1666"/>
      <c r="AM208" s="1666"/>
      <c r="AN208" s="1666"/>
      <c r="AO208" s="1639"/>
      <c r="AP208" s="1639"/>
      <c r="AQ208" s="1657"/>
      <c r="AR208" s="25">
        <v>135.71</v>
      </c>
      <c r="AS208" s="1633"/>
      <c r="AT208" s="1713"/>
      <c r="AU208" s="9"/>
      <c r="AV208" s="10"/>
      <c r="AW208" s="374"/>
      <c r="AX208" s="11"/>
      <c r="AY208" s="374"/>
      <c r="AZ208" s="10"/>
      <c r="BA208" s="374"/>
      <c r="BB208" s="11"/>
      <c r="BC208" s="374"/>
      <c r="BD208" s="10"/>
      <c r="BE208" s="374"/>
      <c r="BF208" s="11"/>
      <c r="BG208" s="374"/>
      <c r="BH208" s="10"/>
      <c r="BI208" s="374"/>
      <c r="BJ208" s="11"/>
      <c r="BK208" s="374"/>
    </row>
    <row r="209" spans="1:63" s="8" customFormat="1" ht="71.25" customHeight="1" thickBot="1">
      <c r="A209" s="1684"/>
      <c r="B209" s="1678"/>
      <c r="C209" s="1719"/>
      <c r="D209" s="1667"/>
      <c r="E209" s="1667"/>
      <c r="F209" s="1667"/>
      <c r="G209" s="1667"/>
      <c r="H209" s="1667"/>
      <c r="I209" s="1670"/>
      <c r="J209" s="1670"/>
      <c r="K209" s="1670"/>
      <c r="L209" s="1677"/>
      <c r="M209" s="1640"/>
      <c r="N209" s="1646"/>
      <c r="O209" s="1678"/>
      <c r="P209" s="1681"/>
      <c r="Q209" s="1681"/>
      <c r="R209" s="1696"/>
      <c r="S209" s="1696"/>
      <c r="T209" s="1701"/>
      <c r="U209" s="1701"/>
      <c r="V209" s="1640"/>
      <c r="W209" s="1640"/>
      <c r="X209" s="1640"/>
      <c r="Y209" s="1678"/>
      <c r="Z209" s="180">
        <v>2072.56</v>
      </c>
      <c r="AA209" s="1678"/>
      <c r="AB209" s="180">
        <v>2389.85</v>
      </c>
      <c r="AC209" s="1649"/>
      <c r="AD209" s="12"/>
      <c r="AE209" s="1649"/>
      <c r="AF209" s="12"/>
      <c r="AG209" s="1649"/>
      <c r="AH209" s="12"/>
      <c r="AI209" s="1649"/>
      <c r="AJ209" s="12"/>
      <c r="AK209" s="1667"/>
      <c r="AL209" s="1667"/>
      <c r="AM209" s="1667"/>
      <c r="AN209" s="1667"/>
      <c r="AO209" s="1640"/>
      <c r="AP209" s="1640"/>
      <c r="AQ209" s="1678"/>
      <c r="AR209" s="180">
        <v>209.01</v>
      </c>
      <c r="AS209" s="1634"/>
      <c r="AT209" s="1714"/>
      <c r="AU209" s="12"/>
      <c r="AV209" s="13"/>
      <c r="AW209" s="375"/>
      <c r="AX209" s="15"/>
      <c r="AY209" s="375"/>
      <c r="AZ209" s="13"/>
      <c r="BA209" s="375"/>
      <c r="BB209" s="15"/>
      <c r="BC209" s="375"/>
      <c r="BD209" s="13"/>
      <c r="BE209" s="375"/>
      <c r="BF209" s="15"/>
      <c r="BG209" s="375"/>
      <c r="BH209" s="13"/>
      <c r="BI209" s="375"/>
      <c r="BJ209" s="15"/>
      <c r="BK209" s="375"/>
    </row>
    <row r="210" spans="1:63" s="8" customFormat="1" ht="71.25" customHeight="1">
      <c r="A210" s="1705" t="s">
        <v>152</v>
      </c>
      <c r="B210" s="1656"/>
      <c r="C210" s="1717">
        <v>452597954</v>
      </c>
      <c r="D210" s="1662" t="s">
        <v>321</v>
      </c>
      <c r="E210" s="1665" t="s">
        <v>258</v>
      </c>
      <c r="F210" s="1665" t="s">
        <v>258</v>
      </c>
      <c r="G210" s="1665" t="s">
        <v>3665</v>
      </c>
      <c r="H210" s="1662" t="s">
        <v>4337</v>
      </c>
      <c r="I210" s="1668" t="s">
        <v>2474</v>
      </c>
      <c r="J210" s="1674">
        <v>42826</v>
      </c>
      <c r="K210" s="1674">
        <v>43466</v>
      </c>
      <c r="L210" s="1708">
        <v>2</v>
      </c>
      <c r="M210" s="1706" t="s">
        <v>48</v>
      </c>
      <c r="N210" s="1662" t="s">
        <v>354</v>
      </c>
      <c r="O210" s="1656"/>
      <c r="P210" s="1679" t="s">
        <v>72</v>
      </c>
      <c r="Q210" s="1656" t="s">
        <v>73</v>
      </c>
      <c r="R210" s="1694" t="s">
        <v>4244</v>
      </c>
      <c r="S210" s="1694" t="s">
        <v>4244</v>
      </c>
      <c r="T210" s="1638" t="s">
        <v>303</v>
      </c>
      <c r="U210" s="1638" t="s">
        <v>2503</v>
      </c>
      <c r="V210" s="1665" t="s">
        <v>252</v>
      </c>
      <c r="W210" s="1638" t="s">
        <v>307</v>
      </c>
      <c r="X210" s="1638" t="s">
        <v>113</v>
      </c>
      <c r="Y210" s="1656" t="s">
        <v>153</v>
      </c>
      <c r="Z210" s="81">
        <v>716.3</v>
      </c>
      <c r="AA210" s="1656" t="s">
        <v>87</v>
      </c>
      <c r="AB210" s="81">
        <v>786.13</v>
      </c>
      <c r="AC210" s="1697" t="s">
        <v>403</v>
      </c>
      <c r="AD210" s="81">
        <v>475.5</v>
      </c>
      <c r="AE210" s="1647"/>
      <c r="AF210" s="1"/>
      <c r="AG210" s="1647"/>
      <c r="AH210" s="1"/>
      <c r="AI210" s="1647"/>
      <c r="AJ210" s="1"/>
      <c r="AK210" s="1706" t="s">
        <v>85</v>
      </c>
      <c r="AL210" s="1665" t="s">
        <v>245</v>
      </c>
      <c r="AM210" s="1665" t="s">
        <v>246</v>
      </c>
      <c r="AN210" s="1665" t="s">
        <v>248</v>
      </c>
      <c r="AO210" s="1737" t="s">
        <v>2499</v>
      </c>
      <c r="AP210" s="1737" t="s">
        <v>2495</v>
      </c>
      <c r="AQ210" s="1665" t="s">
        <v>386</v>
      </c>
      <c r="AR210" s="81">
        <v>71.91</v>
      </c>
      <c r="AS210" s="1662" t="s">
        <v>2483</v>
      </c>
      <c r="AT210" s="1665" t="s">
        <v>2484</v>
      </c>
      <c r="AU210" s="81">
        <v>8.85</v>
      </c>
      <c r="AV210" s="3" t="s">
        <v>56</v>
      </c>
      <c r="AW210" s="597" t="s">
        <v>1249</v>
      </c>
      <c r="AX210" s="181">
        <v>9.4E-2</v>
      </c>
      <c r="AY210" s="597" t="s">
        <v>58</v>
      </c>
      <c r="AZ210" s="2"/>
      <c r="BA210" s="594"/>
      <c r="BB210" s="7"/>
      <c r="BC210" s="594"/>
      <c r="BD210" s="3" t="s">
        <v>62</v>
      </c>
      <c r="BE210" s="597" t="s">
        <v>81</v>
      </c>
      <c r="BF210" s="181">
        <v>9.4E-2</v>
      </c>
      <c r="BG210" s="597" t="s">
        <v>64</v>
      </c>
      <c r="BH210" s="2"/>
      <c r="BI210" s="594"/>
      <c r="BJ210" s="7"/>
      <c r="BK210" s="594"/>
    </row>
    <row r="211" spans="1:63" s="8" customFormat="1" ht="71.25" customHeight="1">
      <c r="A211" s="1683"/>
      <c r="B211" s="1657"/>
      <c r="C211" s="1718"/>
      <c r="D211" s="1700"/>
      <c r="E211" s="1666"/>
      <c r="F211" s="1666"/>
      <c r="G211" s="1666"/>
      <c r="H211" s="1700"/>
      <c r="I211" s="1669"/>
      <c r="J211" s="1669"/>
      <c r="K211" s="1669"/>
      <c r="L211" s="1676"/>
      <c r="M211" s="1666"/>
      <c r="N211" s="1700"/>
      <c r="O211" s="1657"/>
      <c r="P211" s="1680"/>
      <c r="Q211" s="1657"/>
      <c r="R211" s="1695"/>
      <c r="S211" s="1695"/>
      <c r="T211" s="1639"/>
      <c r="U211" s="1639"/>
      <c r="V211" s="1666"/>
      <c r="W211" s="1639"/>
      <c r="X211" s="1639"/>
      <c r="Y211" s="1657"/>
      <c r="Z211" s="27">
        <v>1568.71</v>
      </c>
      <c r="AA211" s="1657"/>
      <c r="AB211" s="27">
        <v>1721.63</v>
      </c>
      <c r="AC211" s="1657"/>
      <c r="AD211" s="27">
        <v>1041.3499999999999</v>
      </c>
      <c r="AE211" s="1648"/>
      <c r="AF211" s="9"/>
      <c r="AG211" s="1648"/>
      <c r="AH211" s="9"/>
      <c r="AI211" s="1648"/>
      <c r="AJ211" s="9"/>
      <c r="AK211" s="1666"/>
      <c r="AL211" s="1666"/>
      <c r="AM211" s="1666"/>
      <c r="AN211" s="1666"/>
      <c r="AO211" s="1738"/>
      <c r="AP211" s="1738"/>
      <c r="AQ211" s="1666"/>
      <c r="AR211" s="27">
        <v>146.65</v>
      </c>
      <c r="AS211" s="1700"/>
      <c r="AT211" s="1666"/>
      <c r="AU211" s="27">
        <v>17.739999999999998</v>
      </c>
      <c r="AV211" s="5" t="s">
        <v>65</v>
      </c>
      <c r="AW211" s="593" t="s">
        <v>1249</v>
      </c>
      <c r="AX211" s="182">
        <v>0.02</v>
      </c>
      <c r="AY211" s="593" t="s">
        <v>58</v>
      </c>
      <c r="AZ211" s="10"/>
      <c r="BA211" s="595"/>
      <c r="BB211" s="11"/>
      <c r="BC211" s="595"/>
      <c r="BD211" s="5" t="s">
        <v>67</v>
      </c>
      <c r="BE211" s="593" t="s">
        <v>82</v>
      </c>
      <c r="BF211" s="182">
        <v>0.25</v>
      </c>
      <c r="BG211" s="593" t="s">
        <v>69</v>
      </c>
      <c r="BH211" s="10"/>
      <c r="BI211" s="595"/>
      <c r="BJ211" s="11"/>
      <c r="BK211" s="595"/>
    </row>
    <row r="212" spans="1:63" s="8" customFormat="1" ht="71.25" customHeight="1">
      <c r="A212" s="1683"/>
      <c r="B212" s="1657"/>
      <c r="C212" s="1718"/>
      <c r="D212" s="1700"/>
      <c r="E212" s="1666"/>
      <c r="F212" s="1666"/>
      <c r="G212" s="1666"/>
      <c r="H212" s="1700"/>
      <c r="I212" s="1669"/>
      <c r="J212" s="1669"/>
      <c r="K212" s="1669"/>
      <c r="L212" s="1676"/>
      <c r="M212" s="1666"/>
      <c r="N212" s="1700"/>
      <c r="O212" s="1657"/>
      <c r="P212" s="1680"/>
      <c r="Q212" s="1657"/>
      <c r="R212" s="1695"/>
      <c r="S212" s="1695"/>
      <c r="T212" s="1639"/>
      <c r="U212" s="1639"/>
      <c r="V212" s="1666"/>
      <c r="W212" s="1639"/>
      <c r="X212" s="1639"/>
      <c r="Y212" s="1657"/>
      <c r="Z212" s="27">
        <v>1360.97</v>
      </c>
      <c r="AA212" s="1657"/>
      <c r="AB212" s="27">
        <v>1493.66</v>
      </c>
      <c r="AC212" s="1657"/>
      <c r="AD212" s="27">
        <v>903.45</v>
      </c>
      <c r="AE212" s="1648"/>
      <c r="AF212" s="9"/>
      <c r="AG212" s="1648"/>
      <c r="AH212" s="9"/>
      <c r="AI212" s="1648"/>
      <c r="AJ212" s="9"/>
      <c r="AK212" s="1666"/>
      <c r="AL212" s="1666"/>
      <c r="AM212" s="1666"/>
      <c r="AN212" s="1666"/>
      <c r="AO212" s="1738"/>
      <c r="AP212" s="1738"/>
      <c r="AQ212" s="1666"/>
      <c r="AR212" s="27">
        <v>164.51</v>
      </c>
      <c r="AS212" s="1700"/>
      <c r="AT212" s="1666"/>
      <c r="AU212" s="27">
        <v>15.01</v>
      </c>
      <c r="AV212" s="10"/>
      <c r="AW212" s="595"/>
      <c r="AX212" s="11"/>
      <c r="AY212" s="595"/>
      <c r="AZ212" s="10"/>
      <c r="BA212" s="595"/>
      <c r="BB212" s="11"/>
      <c r="BC212" s="595"/>
      <c r="BD212" s="10"/>
      <c r="BE212" s="595"/>
      <c r="BF212" s="11"/>
      <c r="BG212" s="595"/>
      <c r="BH212" s="10"/>
      <c r="BI212" s="595"/>
      <c r="BJ212" s="11"/>
      <c r="BK212" s="595"/>
    </row>
    <row r="213" spans="1:63" s="8" customFormat="1" ht="71.25" customHeight="1" thickBot="1">
      <c r="A213" s="1684"/>
      <c r="B213" s="1678"/>
      <c r="C213" s="1719"/>
      <c r="D213" s="1701"/>
      <c r="E213" s="1667"/>
      <c r="F213" s="1667"/>
      <c r="G213" s="1667"/>
      <c r="H213" s="1701"/>
      <c r="I213" s="1670"/>
      <c r="J213" s="1670"/>
      <c r="K213" s="1670"/>
      <c r="L213" s="1677"/>
      <c r="M213" s="1667"/>
      <c r="N213" s="1701"/>
      <c r="O213" s="1678"/>
      <c r="P213" s="1681"/>
      <c r="Q213" s="1678"/>
      <c r="R213" s="1696"/>
      <c r="S213" s="1696"/>
      <c r="T213" s="1640"/>
      <c r="U213" s="1640"/>
      <c r="V213" s="1667"/>
      <c r="W213" s="1640"/>
      <c r="X213" s="1640"/>
      <c r="Y213" s="1678"/>
      <c r="Z213" s="82">
        <v>2177.5700000000002</v>
      </c>
      <c r="AA213" s="1678"/>
      <c r="AB213" s="82">
        <v>2389.85</v>
      </c>
      <c r="AC213" s="1678"/>
      <c r="AD213" s="82">
        <v>1445.53</v>
      </c>
      <c r="AE213" s="1649"/>
      <c r="AF213" s="12"/>
      <c r="AG213" s="1649"/>
      <c r="AH213" s="12"/>
      <c r="AI213" s="1649"/>
      <c r="AJ213" s="12"/>
      <c r="AK213" s="1667"/>
      <c r="AL213" s="1667"/>
      <c r="AM213" s="1667"/>
      <c r="AN213" s="1667"/>
      <c r="AO213" s="1739"/>
      <c r="AP213" s="1739"/>
      <c r="AQ213" s="1667"/>
      <c r="AR213" s="82">
        <v>256.20999999999998</v>
      </c>
      <c r="AS213" s="1701"/>
      <c r="AT213" s="1667"/>
      <c r="AU213" s="82">
        <v>24.76</v>
      </c>
      <c r="AV213" s="13"/>
      <c r="AW213" s="596"/>
      <c r="AX213" s="15"/>
      <c r="AY213" s="596"/>
      <c r="AZ213" s="13"/>
      <c r="BA213" s="596"/>
      <c r="BB213" s="15"/>
      <c r="BC213" s="596"/>
      <c r="BD213" s="13"/>
      <c r="BE213" s="596"/>
      <c r="BF213" s="15"/>
      <c r="BG213" s="596"/>
      <c r="BH213" s="13"/>
      <c r="BI213" s="596"/>
      <c r="BJ213" s="15"/>
      <c r="BK213" s="596"/>
    </row>
    <row r="214" spans="1:63" s="8" customFormat="1" ht="71.25" customHeight="1">
      <c r="A214" s="1682" t="s">
        <v>1293</v>
      </c>
      <c r="B214" s="1656"/>
      <c r="C214" s="1720">
        <v>823006157</v>
      </c>
      <c r="D214" s="1662" t="s">
        <v>1295</v>
      </c>
      <c r="E214" s="1662" t="s">
        <v>1294</v>
      </c>
      <c r="F214" s="1662" t="s">
        <v>1294</v>
      </c>
      <c r="G214" s="1665" t="s">
        <v>3665</v>
      </c>
      <c r="H214" s="1662" t="s">
        <v>1322</v>
      </c>
      <c r="I214" s="1668" t="s">
        <v>2473</v>
      </c>
      <c r="J214" s="1674">
        <v>43101</v>
      </c>
      <c r="K214" s="1674">
        <v>43466</v>
      </c>
      <c r="L214" s="1675">
        <v>2</v>
      </c>
      <c r="M214" s="1638" t="s">
        <v>48</v>
      </c>
      <c r="N214" s="1638" t="s">
        <v>354</v>
      </c>
      <c r="O214" s="1656"/>
      <c r="P214" s="1679" t="s">
        <v>72</v>
      </c>
      <c r="Q214" s="1694" t="s">
        <v>73</v>
      </c>
      <c r="R214" s="1694" t="s">
        <v>4244</v>
      </c>
      <c r="S214" s="1694" t="s">
        <v>4244</v>
      </c>
      <c r="T214" s="1638" t="s">
        <v>317</v>
      </c>
      <c r="U214" s="1638" t="s">
        <v>2504</v>
      </c>
      <c r="V214" s="1665" t="s">
        <v>252</v>
      </c>
      <c r="W214" s="1638" t="s">
        <v>307</v>
      </c>
      <c r="X214" s="1638" t="s">
        <v>113</v>
      </c>
      <c r="Y214" s="1697" t="s">
        <v>403</v>
      </c>
      <c r="Z214" s="23">
        <v>496.93</v>
      </c>
      <c r="AA214" s="1721"/>
      <c r="AB214" s="1"/>
      <c r="AC214" s="1647"/>
      <c r="AD214" s="1"/>
      <c r="AE214" s="1647"/>
      <c r="AF214" s="1650"/>
      <c r="AG214" s="1644"/>
      <c r="AH214" s="2"/>
      <c r="AI214" s="1644"/>
      <c r="AJ214" s="2"/>
      <c r="AK214" s="1662" t="s">
        <v>85</v>
      </c>
      <c r="AL214" s="1662" t="s">
        <v>245</v>
      </c>
      <c r="AM214" s="1662" t="s">
        <v>246</v>
      </c>
      <c r="AN214" s="1638" t="s">
        <v>250</v>
      </c>
      <c r="AO214" s="1638" t="s">
        <v>2489</v>
      </c>
      <c r="AP214" s="1638" t="s">
        <v>2495</v>
      </c>
      <c r="AQ214" s="1697" t="s">
        <v>388</v>
      </c>
      <c r="AR214" s="23">
        <v>58.3</v>
      </c>
      <c r="AS214" s="1665" t="s">
        <v>2483</v>
      </c>
      <c r="AT214" s="1665" t="s">
        <v>2487</v>
      </c>
      <c r="AU214" s="23">
        <v>9.6300000000000008</v>
      </c>
      <c r="AV214" s="23" t="s">
        <v>56</v>
      </c>
      <c r="AW214" s="530" t="s">
        <v>57</v>
      </c>
      <c r="AX214" s="181">
        <v>9.0999999999999998E-2</v>
      </c>
      <c r="AY214" s="530" t="s">
        <v>58</v>
      </c>
      <c r="AZ214" s="16"/>
      <c r="BA214" s="666"/>
      <c r="BB214" s="18"/>
      <c r="BC214" s="666"/>
      <c r="BD214" s="23" t="s">
        <v>62</v>
      </c>
      <c r="BE214" s="530" t="s">
        <v>266</v>
      </c>
      <c r="BF214" s="181">
        <v>9.6000000000000002E-2</v>
      </c>
      <c r="BG214" s="530" t="s">
        <v>64</v>
      </c>
      <c r="BH214" s="16"/>
      <c r="BI214" s="398"/>
      <c r="BJ214" s="18"/>
      <c r="BK214" s="398"/>
    </row>
    <row r="215" spans="1:63" s="8" customFormat="1" ht="71.25" customHeight="1">
      <c r="A215" s="1683"/>
      <c r="B215" s="1657"/>
      <c r="C215" s="1660"/>
      <c r="D215" s="1663"/>
      <c r="E215" s="1663"/>
      <c r="F215" s="1663"/>
      <c r="G215" s="1666"/>
      <c r="H215" s="1663"/>
      <c r="I215" s="1669"/>
      <c r="J215" s="1669"/>
      <c r="K215" s="1669"/>
      <c r="L215" s="1676"/>
      <c r="M215" s="1639"/>
      <c r="N215" s="1639"/>
      <c r="O215" s="1657"/>
      <c r="P215" s="1680"/>
      <c r="Q215" s="1695"/>
      <c r="R215" s="1695"/>
      <c r="S215" s="1695"/>
      <c r="T215" s="1639"/>
      <c r="U215" s="1639"/>
      <c r="V215" s="1666"/>
      <c r="W215" s="1639"/>
      <c r="X215" s="1639"/>
      <c r="Y215" s="1657"/>
      <c r="Z215" s="25">
        <v>1088.27</v>
      </c>
      <c r="AA215" s="1722"/>
      <c r="AB215" s="9"/>
      <c r="AC215" s="1648"/>
      <c r="AD215" s="9"/>
      <c r="AE215" s="1648"/>
      <c r="AF215" s="1651"/>
      <c r="AG215" s="1645"/>
      <c r="AH215" s="10"/>
      <c r="AI215" s="1645"/>
      <c r="AJ215" s="10"/>
      <c r="AK215" s="1700"/>
      <c r="AL215" s="1700"/>
      <c r="AM215" s="1700"/>
      <c r="AN215" s="1639"/>
      <c r="AO215" s="1639"/>
      <c r="AP215" s="1639"/>
      <c r="AQ215" s="1657"/>
      <c r="AR215" s="25">
        <v>118.94</v>
      </c>
      <c r="AS215" s="1666"/>
      <c r="AT215" s="1666"/>
      <c r="AU215" s="25">
        <v>19.3</v>
      </c>
      <c r="AV215" s="25" t="s">
        <v>65</v>
      </c>
      <c r="AW215" s="531" t="s">
        <v>57</v>
      </c>
      <c r="AX215" s="182">
        <v>0.02</v>
      </c>
      <c r="AY215" s="531" t="s">
        <v>58</v>
      </c>
      <c r="AZ215" s="20"/>
      <c r="BA215" s="667"/>
      <c r="BB215" s="22"/>
      <c r="BC215" s="667"/>
      <c r="BD215" s="25" t="s">
        <v>67</v>
      </c>
      <c r="BE215" s="531" t="s">
        <v>440</v>
      </c>
      <c r="BF215" s="182">
        <v>0.31</v>
      </c>
      <c r="BG215" s="531" t="s">
        <v>69</v>
      </c>
      <c r="BH215" s="20"/>
      <c r="BI215" s="399"/>
      <c r="BJ215" s="22"/>
      <c r="BK215" s="399"/>
    </row>
    <row r="216" spans="1:63" s="8" customFormat="1" ht="71.25" customHeight="1">
      <c r="A216" s="1683"/>
      <c r="B216" s="1657"/>
      <c r="C216" s="1660"/>
      <c r="D216" s="1663"/>
      <c r="E216" s="1663"/>
      <c r="F216" s="1663"/>
      <c r="G216" s="1666"/>
      <c r="H216" s="1663"/>
      <c r="I216" s="1669"/>
      <c r="J216" s="1669"/>
      <c r="K216" s="1669"/>
      <c r="L216" s="1676"/>
      <c r="M216" s="1639"/>
      <c r="N216" s="1639"/>
      <c r="O216" s="1657"/>
      <c r="P216" s="1680"/>
      <c r="Q216" s="1695"/>
      <c r="R216" s="1695"/>
      <c r="S216" s="1695"/>
      <c r="T216" s="1639"/>
      <c r="U216" s="1639"/>
      <c r="V216" s="1666"/>
      <c r="W216" s="1639"/>
      <c r="X216" s="1639"/>
      <c r="Y216" s="1657"/>
      <c r="Z216" s="25">
        <v>944.16</v>
      </c>
      <c r="AA216" s="1722"/>
      <c r="AB216" s="9"/>
      <c r="AC216" s="1648"/>
      <c r="AD216" s="9"/>
      <c r="AE216" s="1648"/>
      <c r="AF216" s="1651"/>
      <c r="AG216" s="1645"/>
      <c r="AH216" s="10"/>
      <c r="AI216" s="1645"/>
      <c r="AJ216" s="10"/>
      <c r="AK216" s="1700"/>
      <c r="AL216" s="1700"/>
      <c r="AM216" s="1700"/>
      <c r="AN216" s="1639"/>
      <c r="AO216" s="1639"/>
      <c r="AP216" s="1639"/>
      <c r="AQ216" s="1657"/>
      <c r="AR216" s="25">
        <v>137.86000000000001</v>
      </c>
      <c r="AS216" s="1666"/>
      <c r="AT216" s="1666"/>
      <c r="AU216" s="25">
        <v>16.34</v>
      </c>
      <c r="AV216" s="10"/>
      <c r="AW216" s="401"/>
      <c r="AX216" s="11"/>
      <c r="AY216" s="401"/>
      <c r="AZ216" s="10"/>
      <c r="BA216" s="401"/>
      <c r="BB216" s="11"/>
      <c r="BC216" s="401"/>
      <c r="BD216" s="10"/>
      <c r="BE216" s="401"/>
      <c r="BF216" s="11"/>
      <c r="BG216" s="401"/>
      <c r="BH216" s="10"/>
      <c r="BI216" s="401"/>
      <c r="BJ216" s="11"/>
      <c r="BK216" s="401"/>
    </row>
    <row r="217" spans="1:63" s="8" customFormat="1" ht="71.25" customHeight="1" thickBot="1">
      <c r="A217" s="1684"/>
      <c r="B217" s="1658"/>
      <c r="C217" s="1661"/>
      <c r="D217" s="1664"/>
      <c r="E217" s="1664"/>
      <c r="F217" s="1664"/>
      <c r="G217" s="1667"/>
      <c r="H217" s="1664"/>
      <c r="I217" s="1670"/>
      <c r="J217" s="1670"/>
      <c r="K217" s="1670"/>
      <c r="L217" s="1677"/>
      <c r="M217" s="1640"/>
      <c r="N217" s="1640"/>
      <c r="O217" s="1678"/>
      <c r="P217" s="1681"/>
      <c r="Q217" s="1696"/>
      <c r="R217" s="1696"/>
      <c r="S217" s="1696"/>
      <c r="T217" s="1640"/>
      <c r="U217" s="1640"/>
      <c r="V217" s="1667"/>
      <c r="W217" s="1640"/>
      <c r="X217" s="1640"/>
      <c r="Y217" s="1678"/>
      <c r="Z217" s="180">
        <v>1510.65</v>
      </c>
      <c r="AA217" s="1723"/>
      <c r="AB217" s="12"/>
      <c r="AC217" s="1649"/>
      <c r="AD217" s="12"/>
      <c r="AE217" s="1649"/>
      <c r="AF217" s="1652"/>
      <c r="AG217" s="1646"/>
      <c r="AH217" s="13"/>
      <c r="AI217" s="1646"/>
      <c r="AJ217" s="13"/>
      <c r="AK217" s="1701"/>
      <c r="AL217" s="1701"/>
      <c r="AM217" s="1701"/>
      <c r="AN217" s="1640"/>
      <c r="AO217" s="1640"/>
      <c r="AP217" s="1640"/>
      <c r="AQ217" s="1678"/>
      <c r="AR217" s="180">
        <v>212.76</v>
      </c>
      <c r="AS217" s="1667"/>
      <c r="AT217" s="1667"/>
      <c r="AU217" s="180">
        <v>26.95</v>
      </c>
      <c r="AV217" s="13"/>
      <c r="AW217" s="402"/>
      <c r="AX217" s="15"/>
      <c r="AY217" s="402"/>
      <c r="AZ217" s="13"/>
      <c r="BA217" s="402"/>
      <c r="BB217" s="15"/>
      <c r="BC217" s="402"/>
      <c r="BD217" s="13"/>
      <c r="BE217" s="402"/>
      <c r="BF217" s="15"/>
      <c r="BG217" s="402"/>
      <c r="BH217" s="13"/>
      <c r="BI217" s="402"/>
      <c r="BJ217" s="15"/>
      <c r="BK217" s="402"/>
    </row>
    <row r="218" spans="1:63" s="8" customFormat="1" ht="71.25" customHeight="1">
      <c r="A218" s="1682" t="s">
        <v>154</v>
      </c>
      <c r="B218" s="1656"/>
      <c r="C218" s="1720">
        <v>841261240</v>
      </c>
      <c r="D218" s="1662" t="s">
        <v>155</v>
      </c>
      <c r="E218" s="1707" t="s">
        <v>227</v>
      </c>
      <c r="F218" s="1707" t="s">
        <v>227</v>
      </c>
      <c r="G218" s="1665" t="s">
        <v>3666</v>
      </c>
      <c r="H218" s="1662" t="s">
        <v>3592</v>
      </c>
      <c r="I218" s="1668" t="s">
        <v>2474</v>
      </c>
      <c r="J218" s="1674">
        <v>42705</v>
      </c>
      <c r="K218" s="1674">
        <v>43466</v>
      </c>
      <c r="L218" s="1675">
        <v>77</v>
      </c>
      <c r="M218" s="1638" t="s">
        <v>48</v>
      </c>
      <c r="N218" s="1632" t="s">
        <v>3579</v>
      </c>
      <c r="O218" s="1656"/>
      <c r="P218" s="1694" t="s">
        <v>50</v>
      </c>
      <c r="Q218" s="1694" t="s">
        <v>73</v>
      </c>
      <c r="R218" s="1694" t="s">
        <v>4244</v>
      </c>
      <c r="S218" s="1694" t="s">
        <v>4244</v>
      </c>
      <c r="T218" s="1638" t="s">
        <v>317</v>
      </c>
      <c r="U218" s="1638" t="s">
        <v>2503</v>
      </c>
      <c r="V218" s="1665" t="s">
        <v>252</v>
      </c>
      <c r="W218" s="1638" t="s">
        <v>307</v>
      </c>
      <c r="X218" s="1638" t="s">
        <v>113</v>
      </c>
      <c r="Y218" s="1694" t="s">
        <v>157</v>
      </c>
      <c r="Z218" s="23">
        <v>568.84</v>
      </c>
      <c r="AA218" s="1638" t="s">
        <v>158</v>
      </c>
      <c r="AB218" s="23">
        <v>521.41999999999996</v>
      </c>
      <c r="AC218" s="1694" t="s">
        <v>159</v>
      </c>
      <c r="AD218" s="23">
        <v>687.93</v>
      </c>
      <c r="AE218" s="1694" t="s">
        <v>403</v>
      </c>
      <c r="AF218" s="23">
        <v>432.11</v>
      </c>
      <c r="AG218" s="1712" t="s">
        <v>160</v>
      </c>
      <c r="AH218" s="1709" t="s">
        <v>79</v>
      </c>
      <c r="AI218" s="1644"/>
      <c r="AJ218" s="2"/>
      <c r="AK218" s="1662" t="s">
        <v>85</v>
      </c>
      <c r="AL218" s="1662" t="s">
        <v>245</v>
      </c>
      <c r="AM218" s="1662" t="s">
        <v>246</v>
      </c>
      <c r="AN218" s="1638" t="s">
        <v>248</v>
      </c>
      <c r="AO218" s="1638" t="s">
        <v>2480</v>
      </c>
      <c r="AP218" s="1638" t="s">
        <v>2482</v>
      </c>
      <c r="AQ218" s="1638" t="s">
        <v>386</v>
      </c>
      <c r="AR218" s="23">
        <v>45.81</v>
      </c>
      <c r="AS218" s="1638" t="s">
        <v>2493</v>
      </c>
      <c r="AT218" s="1638" t="s">
        <v>2484</v>
      </c>
      <c r="AU218" s="23">
        <v>7.87</v>
      </c>
      <c r="AV218" s="81" t="s">
        <v>56</v>
      </c>
      <c r="AW218" s="546" t="s">
        <v>148</v>
      </c>
      <c r="AX218" s="85">
        <v>0.09</v>
      </c>
      <c r="AY218" s="546" t="s">
        <v>58</v>
      </c>
      <c r="AZ218" s="25" t="s">
        <v>59</v>
      </c>
      <c r="BA218" s="543" t="s">
        <v>60</v>
      </c>
      <c r="BB218" s="182" t="s">
        <v>61</v>
      </c>
      <c r="BC218" s="543" t="s">
        <v>58</v>
      </c>
      <c r="BD218" s="16"/>
      <c r="BE218" s="545"/>
      <c r="BF218" s="18"/>
      <c r="BG218" s="545"/>
      <c r="BH218" s="16"/>
      <c r="BI218" s="365"/>
      <c r="BJ218" s="18"/>
      <c r="BK218" s="365"/>
    </row>
    <row r="219" spans="1:63" s="8" customFormat="1" ht="71.25" customHeight="1" thickBot="1">
      <c r="A219" s="1683"/>
      <c r="B219" s="1657"/>
      <c r="C219" s="1660"/>
      <c r="D219" s="1663"/>
      <c r="E219" s="1663"/>
      <c r="F219" s="1663"/>
      <c r="G219" s="1666"/>
      <c r="H219" s="1663"/>
      <c r="I219" s="1669"/>
      <c r="J219" s="1669"/>
      <c r="K219" s="1669"/>
      <c r="L219" s="1676"/>
      <c r="M219" s="1639"/>
      <c r="N219" s="1633"/>
      <c r="O219" s="1657"/>
      <c r="P219" s="1695"/>
      <c r="Q219" s="1695"/>
      <c r="R219" s="1695"/>
      <c r="S219" s="1695"/>
      <c r="T219" s="1639"/>
      <c r="U219" s="1639"/>
      <c r="V219" s="1666"/>
      <c r="W219" s="1639"/>
      <c r="X219" s="1639"/>
      <c r="Y219" s="1695"/>
      <c r="Z219" s="25">
        <v>1245.76</v>
      </c>
      <c r="AA219" s="1639"/>
      <c r="AB219" s="25">
        <v>1141.9000000000001</v>
      </c>
      <c r="AC219" s="1695"/>
      <c r="AD219" s="25">
        <v>1506.58</v>
      </c>
      <c r="AE219" s="1695"/>
      <c r="AF219" s="25">
        <v>946.32</v>
      </c>
      <c r="AG219" s="1713"/>
      <c r="AH219" s="1710"/>
      <c r="AI219" s="1645"/>
      <c r="AJ219" s="10"/>
      <c r="AK219" s="1700"/>
      <c r="AL219" s="1700"/>
      <c r="AM219" s="1700"/>
      <c r="AN219" s="1639"/>
      <c r="AO219" s="1639"/>
      <c r="AP219" s="1639"/>
      <c r="AQ219" s="1639"/>
      <c r="AR219" s="25">
        <v>93.43</v>
      </c>
      <c r="AS219" s="1639"/>
      <c r="AT219" s="1639"/>
      <c r="AU219" s="25">
        <v>15.77</v>
      </c>
      <c r="AV219" s="27" t="s">
        <v>65</v>
      </c>
      <c r="AW219" s="544" t="s">
        <v>148</v>
      </c>
      <c r="AX219" s="83">
        <v>2.3E-2</v>
      </c>
      <c r="AY219" s="544" t="s">
        <v>58</v>
      </c>
      <c r="AZ219" s="220" t="s">
        <v>66</v>
      </c>
      <c r="BA219" s="543" t="s">
        <v>60</v>
      </c>
      <c r="BB219" s="182" t="s">
        <v>61</v>
      </c>
      <c r="BC219" s="543" t="s">
        <v>58</v>
      </c>
      <c r="BD219" s="25" t="s">
        <v>67</v>
      </c>
      <c r="BE219" s="543" t="s">
        <v>82</v>
      </c>
      <c r="BF219" s="182">
        <v>0.25</v>
      </c>
      <c r="BG219" s="543" t="s">
        <v>69</v>
      </c>
      <c r="BH219" s="20"/>
      <c r="BI219" s="366"/>
      <c r="BJ219" s="22"/>
      <c r="BK219" s="366"/>
    </row>
    <row r="220" spans="1:63" s="8" customFormat="1" ht="71.25" customHeight="1">
      <c r="A220" s="1683"/>
      <c r="B220" s="1657"/>
      <c r="C220" s="1660"/>
      <c r="D220" s="1663"/>
      <c r="E220" s="1663"/>
      <c r="F220" s="1663"/>
      <c r="G220" s="1666"/>
      <c r="H220" s="1663"/>
      <c r="I220" s="1669"/>
      <c r="J220" s="1669"/>
      <c r="K220" s="1669"/>
      <c r="L220" s="1676"/>
      <c r="M220" s="1639"/>
      <c r="N220" s="1633"/>
      <c r="O220" s="1657"/>
      <c r="P220" s="1695"/>
      <c r="Q220" s="1695"/>
      <c r="R220" s="1695"/>
      <c r="S220" s="1695"/>
      <c r="T220" s="1639"/>
      <c r="U220" s="1639"/>
      <c r="V220" s="1666"/>
      <c r="W220" s="1639"/>
      <c r="X220" s="1639"/>
      <c r="Y220" s="1695"/>
      <c r="Z220" s="25">
        <v>1080.79</v>
      </c>
      <c r="AA220" s="1639"/>
      <c r="AB220" s="25">
        <v>990.7</v>
      </c>
      <c r="AC220" s="1695"/>
      <c r="AD220" s="25">
        <v>1307.08</v>
      </c>
      <c r="AE220" s="1695"/>
      <c r="AF220" s="25">
        <v>821</v>
      </c>
      <c r="AG220" s="1713"/>
      <c r="AH220" s="1710"/>
      <c r="AI220" s="1645"/>
      <c r="AJ220" s="10"/>
      <c r="AK220" s="1700"/>
      <c r="AL220" s="1700"/>
      <c r="AM220" s="1700"/>
      <c r="AN220" s="1639"/>
      <c r="AO220" s="1639"/>
      <c r="AP220" s="1639"/>
      <c r="AQ220" s="1639"/>
      <c r="AR220" s="25">
        <v>108.29</v>
      </c>
      <c r="AS220" s="1639"/>
      <c r="AT220" s="1639"/>
      <c r="AU220" s="25">
        <v>13.34</v>
      </c>
      <c r="AV220" s="674" t="s">
        <v>3734</v>
      </c>
      <c r="AW220" s="546" t="s">
        <v>57</v>
      </c>
      <c r="AX220" s="85">
        <v>9.0999999999999998E-2</v>
      </c>
      <c r="AY220" s="546" t="s">
        <v>58</v>
      </c>
      <c r="AZ220" s="10"/>
      <c r="BA220" s="363"/>
      <c r="BB220" s="11"/>
      <c r="BC220" s="363"/>
      <c r="BD220" s="10"/>
      <c r="BE220" s="363"/>
      <c r="BF220" s="11"/>
      <c r="BG220" s="363"/>
      <c r="BH220" s="10"/>
      <c r="BI220" s="363"/>
      <c r="BJ220" s="11"/>
      <c r="BK220" s="363"/>
    </row>
    <row r="221" spans="1:63" s="8" customFormat="1" ht="71.25" customHeight="1" thickBot="1">
      <c r="A221" s="1684"/>
      <c r="B221" s="1658"/>
      <c r="C221" s="1661"/>
      <c r="D221" s="1664"/>
      <c r="E221" s="1664"/>
      <c r="F221" s="1664"/>
      <c r="G221" s="1667"/>
      <c r="H221" s="1664"/>
      <c r="I221" s="1670"/>
      <c r="J221" s="1670"/>
      <c r="K221" s="1670"/>
      <c r="L221" s="1677"/>
      <c r="M221" s="1640"/>
      <c r="N221" s="1634"/>
      <c r="O221" s="1678"/>
      <c r="P221" s="1696"/>
      <c r="Q221" s="1696"/>
      <c r="R221" s="1696"/>
      <c r="S221" s="1696"/>
      <c r="T221" s="1640"/>
      <c r="U221" s="1640"/>
      <c r="V221" s="1667"/>
      <c r="W221" s="1640"/>
      <c r="X221" s="1640"/>
      <c r="Y221" s="1696"/>
      <c r="Z221" s="180">
        <v>1729.26</v>
      </c>
      <c r="AA221" s="1640"/>
      <c r="AB221" s="180">
        <v>1585.11</v>
      </c>
      <c r="AC221" s="1696"/>
      <c r="AD221" s="180">
        <v>2091.3200000000002</v>
      </c>
      <c r="AE221" s="1696"/>
      <c r="AF221" s="180">
        <v>1313.61</v>
      </c>
      <c r="AG221" s="1714"/>
      <c r="AH221" s="1711"/>
      <c r="AI221" s="1646"/>
      <c r="AJ221" s="13"/>
      <c r="AK221" s="1701"/>
      <c r="AL221" s="1701"/>
      <c r="AM221" s="1701"/>
      <c r="AN221" s="1640"/>
      <c r="AO221" s="1640"/>
      <c r="AP221" s="1640"/>
      <c r="AQ221" s="1640"/>
      <c r="AR221" s="180">
        <v>167.31</v>
      </c>
      <c r="AS221" s="1640"/>
      <c r="AT221" s="1640"/>
      <c r="AU221" s="180">
        <v>22.01</v>
      </c>
      <c r="AV221" s="675" t="s">
        <v>3735</v>
      </c>
      <c r="AW221" s="548" t="s">
        <v>57</v>
      </c>
      <c r="AX221" s="338">
        <v>0.02</v>
      </c>
      <c r="AY221" s="548" t="s">
        <v>58</v>
      </c>
      <c r="AZ221" s="13"/>
      <c r="BA221" s="364"/>
      <c r="BB221" s="15"/>
      <c r="BC221" s="364"/>
      <c r="BD221" s="13"/>
      <c r="BE221" s="364"/>
      <c r="BF221" s="15"/>
      <c r="BG221" s="364"/>
      <c r="BH221" s="13"/>
      <c r="BI221" s="364"/>
      <c r="BJ221" s="15"/>
      <c r="BK221" s="364"/>
    </row>
    <row r="222" spans="1:63" s="8" customFormat="1" ht="71.25" customHeight="1">
      <c r="A222" s="1682" t="s">
        <v>427</v>
      </c>
      <c r="B222" s="1656"/>
      <c r="C222" s="1720">
        <v>461256213</v>
      </c>
      <c r="D222" s="1662" t="s">
        <v>437</v>
      </c>
      <c r="E222" s="1662" t="s">
        <v>6162</v>
      </c>
      <c r="F222" s="1662" t="s">
        <v>438</v>
      </c>
      <c r="G222" s="1638" t="s">
        <v>3659</v>
      </c>
      <c r="H222" s="1662" t="s">
        <v>3604</v>
      </c>
      <c r="I222" s="1668" t="s">
        <v>2473</v>
      </c>
      <c r="J222" s="1674">
        <v>43101</v>
      </c>
      <c r="K222" s="1674">
        <v>43466</v>
      </c>
      <c r="L222" s="1675">
        <v>101</v>
      </c>
      <c r="M222" s="1638" t="s">
        <v>48</v>
      </c>
      <c r="N222" s="1638" t="s">
        <v>354</v>
      </c>
      <c r="O222" s="1656"/>
      <c r="P222" s="1694" t="s">
        <v>1281</v>
      </c>
      <c r="Q222" s="1694" t="s">
        <v>73</v>
      </c>
      <c r="R222" s="1694" t="s">
        <v>4244</v>
      </c>
      <c r="S222" s="1694" t="s">
        <v>4244</v>
      </c>
      <c r="T222" s="1638" t="s">
        <v>303</v>
      </c>
      <c r="U222" s="1638" t="s">
        <v>2503</v>
      </c>
      <c r="V222" s="1665" t="s">
        <v>252</v>
      </c>
      <c r="W222" s="1638" t="s">
        <v>307</v>
      </c>
      <c r="X222" s="1638" t="s">
        <v>113</v>
      </c>
      <c r="Y222" s="1656" t="s">
        <v>157</v>
      </c>
      <c r="Z222" s="23">
        <v>681.76</v>
      </c>
      <c r="AA222" s="1694" t="s">
        <v>87</v>
      </c>
      <c r="AB222" s="23">
        <v>786.13</v>
      </c>
      <c r="AC222" s="1697" t="s">
        <v>403</v>
      </c>
      <c r="AD222" s="23">
        <v>475.5</v>
      </c>
      <c r="AE222" s="1712" t="s">
        <v>439</v>
      </c>
      <c r="AF222" s="1650"/>
      <c r="AG222" s="1644"/>
      <c r="AH222" s="2"/>
      <c r="AI222" s="1644"/>
      <c r="AJ222" s="2"/>
      <c r="AK222" s="1662" t="s">
        <v>85</v>
      </c>
      <c r="AL222" s="1662" t="s">
        <v>245</v>
      </c>
      <c r="AM222" s="1662" t="s">
        <v>246</v>
      </c>
      <c r="AN222" s="1638" t="s">
        <v>250</v>
      </c>
      <c r="AO222" s="1638" t="s">
        <v>2490</v>
      </c>
      <c r="AP222" s="1638" t="s">
        <v>2482</v>
      </c>
      <c r="AQ222" s="1697" t="s">
        <v>388</v>
      </c>
      <c r="AR222" s="23">
        <v>56.69</v>
      </c>
      <c r="AS222" s="1638" t="s">
        <v>2493</v>
      </c>
      <c r="AT222" s="1638" t="s">
        <v>2488</v>
      </c>
      <c r="AU222" s="23">
        <v>8.7100000000000009</v>
      </c>
      <c r="AV222" s="23" t="s">
        <v>56</v>
      </c>
      <c r="AW222" s="276" t="s">
        <v>126</v>
      </c>
      <c r="AX222" s="181">
        <v>0.09</v>
      </c>
      <c r="AY222" s="276" t="s">
        <v>58</v>
      </c>
      <c r="AZ222" s="25" t="s">
        <v>59</v>
      </c>
      <c r="BA222" s="277" t="s">
        <v>60</v>
      </c>
      <c r="BB222" s="182" t="s">
        <v>61</v>
      </c>
      <c r="BC222" s="277" t="s">
        <v>58</v>
      </c>
      <c r="BD222" s="23" t="s">
        <v>62</v>
      </c>
      <c r="BE222" s="276" t="s">
        <v>101</v>
      </c>
      <c r="BF222" s="181">
        <v>9.7000000000000003E-2</v>
      </c>
      <c r="BG222" s="276" t="s">
        <v>64</v>
      </c>
      <c r="BH222" s="16"/>
      <c r="BI222" s="264"/>
      <c r="BJ222" s="18"/>
      <c r="BK222" s="264"/>
    </row>
    <row r="223" spans="1:63" s="8" customFormat="1" ht="71.25" customHeight="1">
      <c r="A223" s="1683"/>
      <c r="B223" s="1657"/>
      <c r="C223" s="1660"/>
      <c r="D223" s="1663"/>
      <c r="E223" s="1663"/>
      <c r="F223" s="1663"/>
      <c r="G223" s="1698"/>
      <c r="H223" s="1663"/>
      <c r="I223" s="1669"/>
      <c r="J223" s="1669"/>
      <c r="K223" s="1669"/>
      <c r="L223" s="1676"/>
      <c r="M223" s="1639"/>
      <c r="N223" s="1639"/>
      <c r="O223" s="1657"/>
      <c r="P223" s="1695"/>
      <c r="Q223" s="1695"/>
      <c r="R223" s="1695"/>
      <c r="S223" s="1695"/>
      <c r="T223" s="1639"/>
      <c r="U223" s="1639"/>
      <c r="V223" s="1666"/>
      <c r="W223" s="1639"/>
      <c r="X223" s="1639"/>
      <c r="Y223" s="1657"/>
      <c r="Z223" s="25">
        <v>1493.06</v>
      </c>
      <c r="AA223" s="1695"/>
      <c r="AB223" s="25">
        <v>1721.63</v>
      </c>
      <c r="AC223" s="1657"/>
      <c r="AD223" s="25">
        <v>1041.3499999999999</v>
      </c>
      <c r="AE223" s="1713"/>
      <c r="AF223" s="1651"/>
      <c r="AG223" s="1645"/>
      <c r="AH223" s="10"/>
      <c r="AI223" s="1645"/>
      <c r="AJ223" s="10"/>
      <c r="AK223" s="1700"/>
      <c r="AL223" s="1700"/>
      <c r="AM223" s="1700"/>
      <c r="AN223" s="1639"/>
      <c r="AO223" s="1639"/>
      <c r="AP223" s="1639"/>
      <c r="AQ223" s="1657"/>
      <c r="AR223" s="25">
        <v>115.59</v>
      </c>
      <c r="AS223" s="1639"/>
      <c r="AT223" s="1639"/>
      <c r="AU223" s="25">
        <v>17.45</v>
      </c>
      <c r="AV223" s="25" t="s">
        <v>65</v>
      </c>
      <c r="AW223" s="277" t="s">
        <v>126</v>
      </c>
      <c r="AX223" s="182">
        <v>0.02</v>
      </c>
      <c r="AY223" s="277" t="s">
        <v>58</v>
      </c>
      <c r="AZ223" s="220" t="s">
        <v>66</v>
      </c>
      <c r="BA223" s="277" t="s">
        <v>60</v>
      </c>
      <c r="BB223" s="182" t="s">
        <v>61</v>
      </c>
      <c r="BC223" s="277" t="s">
        <v>58</v>
      </c>
      <c r="BD223" s="25" t="s">
        <v>67</v>
      </c>
      <c r="BE223" s="277" t="s">
        <v>440</v>
      </c>
      <c r="BF223" s="182">
        <v>0.31</v>
      </c>
      <c r="BG223" s="277" t="s">
        <v>69</v>
      </c>
      <c r="BH223" s="20"/>
      <c r="BI223" s="265"/>
      <c r="BJ223" s="22"/>
      <c r="BK223" s="265"/>
    </row>
    <row r="224" spans="1:63" s="8" customFormat="1" ht="71.25" customHeight="1">
      <c r="A224" s="1683"/>
      <c r="B224" s="1657"/>
      <c r="C224" s="1660"/>
      <c r="D224" s="1663"/>
      <c r="E224" s="1663"/>
      <c r="F224" s="1663"/>
      <c r="G224" s="1698"/>
      <c r="H224" s="1663"/>
      <c r="I224" s="1669"/>
      <c r="J224" s="1669"/>
      <c r="K224" s="1669"/>
      <c r="L224" s="1676"/>
      <c r="M224" s="1639"/>
      <c r="N224" s="1639"/>
      <c r="O224" s="1657"/>
      <c r="P224" s="1695"/>
      <c r="Q224" s="1695"/>
      <c r="R224" s="1695"/>
      <c r="S224" s="1695"/>
      <c r="T224" s="1639"/>
      <c r="U224" s="1639"/>
      <c r="V224" s="1666"/>
      <c r="W224" s="1639"/>
      <c r="X224" s="1639"/>
      <c r="Y224" s="1657"/>
      <c r="Z224" s="25">
        <v>1295.3499999999999</v>
      </c>
      <c r="AA224" s="1695"/>
      <c r="AB224" s="25">
        <v>1493.66</v>
      </c>
      <c r="AC224" s="1657"/>
      <c r="AD224" s="25">
        <v>903.45</v>
      </c>
      <c r="AE224" s="1713"/>
      <c r="AF224" s="1651"/>
      <c r="AG224" s="1645"/>
      <c r="AH224" s="10"/>
      <c r="AI224" s="1645"/>
      <c r="AJ224" s="10"/>
      <c r="AK224" s="1700"/>
      <c r="AL224" s="1700"/>
      <c r="AM224" s="1700"/>
      <c r="AN224" s="1639"/>
      <c r="AO224" s="1639"/>
      <c r="AP224" s="1639"/>
      <c r="AQ224" s="1657"/>
      <c r="AR224" s="25">
        <v>135.71</v>
      </c>
      <c r="AS224" s="1639"/>
      <c r="AT224" s="1639"/>
      <c r="AU224" s="25">
        <v>14.78</v>
      </c>
      <c r="AV224" s="10"/>
      <c r="AW224" s="262"/>
      <c r="AX224" s="11"/>
      <c r="AY224" s="262"/>
      <c r="AZ224" s="10"/>
      <c r="BA224" s="262"/>
      <c r="BB224" s="11"/>
      <c r="BC224" s="262"/>
      <c r="BD224" s="25" t="s">
        <v>433</v>
      </c>
      <c r="BE224" s="507" t="s">
        <v>434</v>
      </c>
      <c r="BF224" s="182" t="s">
        <v>435</v>
      </c>
      <c r="BG224" s="507" t="s">
        <v>436</v>
      </c>
      <c r="BH224" s="10"/>
      <c r="BI224" s="262"/>
      <c r="BJ224" s="11"/>
      <c r="BK224" s="262"/>
    </row>
    <row r="225" spans="1:63" s="8" customFormat="1" ht="71.25" customHeight="1" thickBot="1">
      <c r="A225" s="1684"/>
      <c r="B225" s="1658"/>
      <c r="C225" s="1661"/>
      <c r="D225" s="1664"/>
      <c r="E225" s="1664"/>
      <c r="F225" s="1664"/>
      <c r="G225" s="1699"/>
      <c r="H225" s="1664"/>
      <c r="I225" s="1670"/>
      <c r="J225" s="1670"/>
      <c r="K225" s="1670"/>
      <c r="L225" s="1677"/>
      <c r="M225" s="1640"/>
      <c r="N225" s="1640"/>
      <c r="O225" s="1678"/>
      <c r="P225" s="1696"/>
      <c r="Q225" s="1696"/>
      <c r="R225" s="1696"/>
      <c r="S225" s="1696"/>
      <c r="T225" s="1640"/>
      <c r="U225" s="1640"/>
      <c r="V225" s="1667"/>
      <c r="W225" s="1640"/>
      <c r="X225" s="1640"/>
      <c r="Y225" s="1678"/>
      <c r="Z225" s="180">
        <v>2072.56</v>
      </c>
      <c r="AA225" s="1696"/>
      <c r="AB225" s="180">
        <v>2389.85</v>
      </c>
      <c r="AC225" s="1678"/>
      <c r="AD225" s="180">
        <v>1445.53</v>
      </c>
      <c r="AE225" s="1714"/>
      <c r="AF225" s="1652"/>
      <c r="AG225" s="1646"/>
      <c r="AH225" s="13"/>
      <c r="AI225" s="1646"/>
      <c r="AJ225" s="13"/>
      <c r="AK225" s="1701"/>
      <c r="AL225" s="1701"/>
      <c r="AM225" s="1701"/>
      <c r="AN225" s="1640"/>
      <c r="AO225" s="1640"/>
      <c r="AP225" s="1640"/>
      <c r="AQ225" s="1678"/>
      <c r="AR225" s="180">
        <v>209.01</v>
      </c>
      <c r="AS225" s="1640"/>
      <c r="AT225" s="1640"/>
      <c r="AU225" s="180">
        <v>24.36</v>
      </c>
      <c r="AV225" s="13"/>
      <c r="AW225" s="263"/>
      <c r="AX225" s="15"/>
      <c r="AY225" s="263"/>
      <c r="AZ225" s="13"/>
      <c r="BA225" s="263"/>
      <c r="BB225" s="15"/>
      <c r="BC225" s="263"/>
      <c r="BD225" s="13"/>
      <c r="BE225" s="263"/>
      <c r="BF225" s="15"/>
      <c r="BG225" s="263"/>
      <c r="BH225" s="13"/>
      <c r="BI225" s="263"/>
      <c r="BJ225" s="15"/>
      <c r="BK225" s="263"/>
    </row>
    <row r="226" spans="1:63" s="8" customFormat="1" ht="71.25" customHeight="1">
      <c r="A226" s="1653" t="s">
        <v>4354</v>
      </c>
      <c r="B226" s="1656"/>
      <c r="C226" s="1685" t="s">
        <v>4559</v>
      </c>
      <c r="D226" s="1662" t="s">
        <v>4356</v>
      </c>
      <c r="E226" s="1662" t="s">
        <v>4355</v>
      </c>
      <c r="F226" s="1662" t="s">
        <v>4355</v>
      </c>
      <c r="G226" s="1665" t="s">
        <v>3665</v>
      </c>
      <c r="H226" s="1662" t="s">
        <v>4336</v>
      </c>
      <c r="I226" s="1668" t="s">
        <v>2473</v>
      </c>
      <c r="J226" s="1795" t="s">
        <v>3025</v>
      </c>
      <c r="K226" s="1674">
        <v>43466</v>
      </c>
      <c r="L226" s="1675">
        <v>3</v>
      </c>
      <c r="M226" s="1638" t="s">
        <v>48</v>
      </c>
      <c r="N226" s="1638" t="s">
        <v>354</v>
      </c>
      <c r="O226" s="1656"/>
      <c r="P226" s="1679" t="s">
        <v>72</v>
      </c>
      <c r="Q226" s="1694" t="s">
        <v>73</v>
      </c>
      <c r="R226" s="1635" t="s">
        <v>4243</v>
      </c>
      <c r="S226" s="1635" t="s">
        <v>4243</v>
      </c>
      <c r="T226" s="1638" t="s">
        <v>303</v>
      </c>
      <c r="U226" s="1638" t="s">
        <v>2477</v>
      </c>
      <c r="V226" s="1665" t="s">
        <v>252</v>
      </c>
      <c r="W226" s="1638" t="s">
        <v>307</v>
      </c>
      <c r="X226" s="1638" t="s">
        <v>113</v>
      </c>
      <c r="Y226" s="1656" t="s">
        <v>173</v>
      </c>
      <c r="Z226" s="23">
        <v>746.83</v>
      </c>
      <c r="AA226" s="1697" t="s">
        <v>403</v>
      </c>
      <c r="AB226" s="23">
        <v>451.73</v>
      </c>
      <c r="AC226" s="1025"/>
      <c r="AD226" s="1650"/>
      <c r="AE226" s="1644"/>
      <c r="AF226" s="1650"/>
      <c r="AG226" s="1644"/>
      <c r="AH226" s="2"/>
      <c r="AI226" s="1644"/>
      <c r="AJ226" s="2"/>
      <c r="AK226" s="1662" t="s">
        <v>85</v>
      </c>
      <c r="AL226" s="1662" t="s">
        <v>245</v>
      </c>
      <c r="AM226" s="1662" t="s">
        <v>246</v>
      </c>
      <c r="AN226" s="1638" t="s">
        <v>248</v>
      </c>
      <c r="AO226" s="1638" t="s">
        <v>2500</v>
      </c>
      <c r="AP226" s="1638" t="s">
        <v>2495</v>
      </c>
      <c r="AQ226" s="1665" t="s">
        <v>386</v>
      </c>
      <c r="AR226" s="23">
        <v>71.91</v>
      </c>
      <c r="AS226" s="1638" t="s">
        <v>2483</v>
      </c>
      <c r="AT226" s="1638" t="s">
        <v>2486</v>
      </c>
      <c r="AU226" s="23">
        <v>9.6300000000000008</v>
      </c>
      <c r="AV226" s="23" t="s">
        <v>56</v>
      </c>
      <c r="AW226" s="1030" t="s">
        <v>57</v>
      </c>
      <c r="AX226" s="181">
        <v>9.0999999999999998E-2</v>
      </c>
      <c r="AY226" s="1030" t="s">
        <v>58</v>
      </c>
      <c r="AZ226" s="25" t="s">
        <v>59</v>
      </c>
      <c r="BA226" s="1031" t="s">
        <v>60</v>
      </c>
      <c r="BB226" s="182" t="s">
        <v>61</v>
      </c>
      <c r="BC226" s="1031" t="s">
        <v>58</v>
      </c>
      <c r="BD226" s="23" t="s">
        <v>62</v>
      </c>
      <c r="BE226" s="1030" t="s">
        <v>266</v>
      </c>
      <c r="BF226" s="181">
        <v>9.6000000000000002E-2</v>
      </c>
      <c r="BG226" s="1030" t="s">
        <v>64</v>
      </c>
      <c r="BH226" s="16"/>
      <c r="BI226" s="1028"/>
      <c r="BJ226" s="18"/>
      <c r="BK226" s="1028"/>
    </row>
    <row r="227" spans="1:63" s="8" customFormat="1" ht="71.25" customHeight="1">
      <c r="A227" s="1654"/>
      <c r="B227" s="1657"/>
      <c r="C227" s="1686"/>
      <c r="D227" s="1663"/>
      <c r="E227" s="1663"/>
      <c r="F227" s="1663"/>
      <c r="G227" s="1666"/>
      <c r="H227" s="1663"/>
      <c r="I227" s="1669"/>
      <c r="J227" s="1796"/>
      <c r="K227" s="1669"/>
      <c r="L227" s="1676"/>
      <c r="M227" s="1639"/>
      <c r="N227" s="1639"/>
      <c r="O227" s="1657"/>
      <c r="P227" s="1680"/>
      <c r="Q227" s="1695"/>
      <c r="R227" s="1636"/>
      <c r="S227" s="1636"/>
      <c r="T227" s="1639"/>
      <c r="U227" s="1639"/>
      <c r="V227" s="1666"/>
      <c r="W227" s="1639"/>
      <c r="X227" s="1639"/>
      <c r="Y227" s="1657"/>
      <c r="Z227" s="25">
        <v>1635.55</v>
      </c>
      <c r="AA227" s="1657"/>
      <c r="AB227" s="25">
        <v>989.28</v>
      </c>
      <c r="AC227" s="1026"/>
      <c r="AD227" s="1651"/>
      <c r="AE227" s="1645"/>
      <c r="AF227" s="1651"/>
      <c r="AG227" s="1645"/>
      <c r="AH227" s="10"/>
      <c r="AI227" s="1645"/>
      <c r="AJ227" s="10"/>
      <c r="AK227" s="1700"/>
      <c r="AL227" s="1700"/>
      <c r="AM227" s="1700"/>
      <c r="AN227" s="1639"/>
      <c r="AO227" s="1639"/>
      <c r="AP227" s="1639"/>
      <c r="AQ227" s="1666"/>
      <c r="AR227" s="25">
        <v>146.65</v>
      </c>
      <c r="AS227" s="1639"/>
      <c r="AT227" s="1639"/>
      <c r="AU227" s="25">
        <v>19.3</v>
      </c>
      <c r="AV227" s="25" t="s">
        <v>65</v>
      </c>
      <c r="AW227" s="1031" t="s">
        <v>57</v>
      </c>
      <c r="AX227" s="182">
        <v>0.02</v>
      </c>
      <c r="AY227" s="1031" t="s">
        <v>58</v>
      </c>
      <c r="AZ227" s="220" t="s">
        <v>66</v>
      </c>
      <c r="BA227" s="1031" t="s">
        <v>60</v>
      </c>
      <c r="BB227" s="182" t="s">
        <v>61</v>
      </c>
      <c r="BC227" s="1031" t="s">
        <v>58</v>
      </c>
      <c r="BD227" s="25" t="s">
        <v>67</v>
      </c>
      <c r="BE227" s="1031" t="s">
        <v>82</v>
      </c>
      <c r="BF227" s="182">
        <v>0.25</v>
      </c>
      <c r="BG227" s="1031" t="s">
        <v>69</v>
      </c>
      <c r="BH227" s="20"/>
      <c r="BI227" s="1029"/>
      <c r="BJ227" s="22"/>
      <c r="BK227" s="1029"/>
    </row>
    <row r="228" spans="1:63" s="8" customFormat="1" ht="71.25" customHeight="1">
      <c r="A228" s="1654"/>
      <c r="B228" s="1657"/>
      <c r="C228" s="1686"/>
      <c r="D228" s="1663"/>
      <c r="E228" s="1663"/>
      <c r="F228" s="1663"/>
      <c r="G228" s="1666"/>
      <c r="H228" s="1663"/>
      <c r="I228" s="1669"/>
      <c r="J228" s="1796"/>
      <c r="K228" s="1669"/>
      <c r="L228" s="1676"/>
      <c r="M228" s="1639"/>
      <c r="N228" s="1639"/>
      <c r="O228" s="1657"/>
      <c r="P228" s="1680"/>
      <c r="Q228" s="1695"/>
      <c r="R228" s="1636"/>
      <c r="S228" s="1636"/>
      <c r="T228" s="1639"/>
      <c r="U228" s="1639"/>
      <c r="V228" s="1666"/>
      <c r="W228" s="1639"/>
      <c r="X228" s="1639"/>
      <c r="Y228" s="1657"/>
      <c r="Z228" s="25">
        <v>1418.98</v>
      </c>
      <c r="AA228" s="1657"/>
      <c r="AB228" s="25">
        <v>858.28</v>
      </c>
      <c r="AC228" s="1026"/>
      <c r="AD228" s="1651"/>
      <c r="AE228" s="1645"/>
      <c r="AF228" s="1651"/>
      <c r="AG228" s="1645"/>
      <c r="AH228" s="10"/>
      <c r="AI228" s="1645"/>
      <c r="AJ228" s="10"/>
      <c r="AK228" s="1700"/>
      <c r="AL228" s="1700"/>
      <c r="AM228" s="1700"/>
      <c r="AN228" s="1639"/>
      <c r="AO228" s="1639"/>
      <c r="AP228" s="1639"/>
      <c r="AQ228" s="1666"/>
      <c r="AR228" s="25">
        <v>164.51</v>
      </c>
      <c r="AS228" s="1639"/>
      <c r="AT228" s="1639"/>
      <c r="AU228" s="25">
        <v>16.34</v>
      </c>
      <c r="AV228" s="10"/>
      <c r="AW228" s="1023"/>
      <c r="AX228" s="11"/>
      <c r="AY228" s="1023"/>
      <c r="AZ228" s="10"/>
      <c r="BA228" s="1023"/>
      <c r="BB228" s="11"/>
      <c r="BC228" s="1023"/>
      <c r="BD228" s="10"/>
      <c r="BE228" s="1023"/>
      <c r="BF228" s="11"/>
      <c r="BG228" s="1023"/>
      <c r="BH228" s="10"/>
      <c r="BI228" s="1023"/>
      <c r="BJ228" s="11"/>
      <c r="BK228" s="1023"/>
    </row>
    <row r="229" spans="1:63" s="8" customFormat="1" ht="71.25" customHeight="1" thickBot="1">
      <c r="A229" s="1655"/>
      <c r="B229" s="1658"/>
      <c r="C229" s="1687"/>
      <c r="D229" s="1664"/>
      <c r="E229" s="1664"/>
      <c r="F229" s="1664"/>
      <c r="G229" s="1667"/>
      <c r="H229" s="1664"/>
      <c r="I229" s="1670"/>
      <c r="J229" s="1797"/>
      <c r="K229" s="1670"/>
      <c r="L229" s="1677"/>
      <c r="M229" s="1640"/>
      <c r="N229" s="1640"/>
      <c r="O229" s="1678"/>
      <c r="P229" s="1681"/>
      <c r="Q229" s="1696"/>
      <c r="R229" s="1637"/>
      <c r="S229" s="1637"/>
      <c r="T229" s="1640"/>
      <c r="U229" s="1640"/>
      <c r="V229" s="1667"/>
      <c r="W229" s="1640"/>
      <c r="X229" s="1640"/>
      <c r="Y229" s="1678"/>
      <c r="Z229" s="180">
        <v>2270.36</v>
      </c>
      <c r="AA229" s="1678"/>
      <c r="AB229" s="180">
        <v>1373.26</v>
      </c>
      <c r="AC229" s="1027"/>
      <c r="AD229" s="1652"/>
      <c r="AE229" s="1646"/>
      <c r="AF229" s="1652"/>
      <c r="AG229" s="1646"/>
      <c r="AH229" s="13"/>
      <c r="AI229" s="1646"/>
      <c r="AJ229" s="13"/>
      <c r="AK229" s="1701"/>
      <c r="AL229" s="1701"/>
      <c r="AM229" s="1701"/>
      <c r="AN229" s="1640"/>
      <c r="AO229" s="1640"/>
      <c r="AP229" s="1640"/>
      <c r="AQ229" s="1667"/>
      <c r="AR229" s="180">
        <v>256.20999999999998</v>
      </c>
      <c r="AS229" s="1640"/>
      <c r="AT229" s="1640"/>
      <c r="AU229" s="180">
        <v>26.95</v>
      </c>
      <c r="AV229" s="13"/>
      <c r="AW229" s="1024"/>
      <c r="AX229" s="15"/>
      <c r="AY229" s="1024"/>
      <c r="AZ229" s="13"/>
      <c r="BA229" s="1024"/>
      <c r="BB229" s="15"/>
      <c r="BC229" s="1024"/>
      <c r="BD229" s="13"/>
      <c r="BE229" s="1024"/>
      <c r="BF229" s="15"/>
      <c r="BG229" s="1024"/>
      <c r="BH229" s="13"/>
      <c r="BI229" s="1024"/>
      <c r="BJ229" s="15"/>
      <c r="BK229" s="1024"/>
    </row>
    <row r="230" spans="1:63" s="8" customFormat="1" ht="71.25" customHeight="1">
      <c r="A230" s="1726" t="s">
        <v>4173</v>
      </c>
      <c r="B230" s="1697" t="s">
        <v>4076</v>
      </c>
      <c r="C230" s="1685">
        <v>680492065</v>
      </c>
      <c r="D230" s="1638" t="s">
        <v>1285</v>
      </c>
      <c r="E230" s="1638" t="s">
        <v>4226</v>
      </c>
      <c r="F230" s="1638" t="s">
        <v>4226</v>
      </c>
      <c r="G230" s="1665" t="s">
        <v>3659</v>
      </c>
      <c r="H230" s="1638" t="s">
        <v>1292</v>
      </c>
      <c r="I230" s="1668" t="s">
        <v>2473</v>
      </c>
      <c r="J230" s="1674">
        <v>43101</v>
      </c>
      <c r="K230" s="1674">
        <v>43466</v>
      </c>
      <c r="L230" s="1691">
        <v>171</v>
      </c>
      <c r="M230" s="1759" t="s">
        <v>147</v>
      </c>
      <c r="N230" s="1759" t="s">
        <v>409</v>
      </c>
      <c r="O230" s="1656"/>
      <c r="P230" s="1759" t="s">
        <v>147</v>
      </c>
      <c r="Q230" s="1694" t="s">
        <v>73</v>
      </c>
      <c r="R230" s="1697" t="s">
        <v>4293</v>
      </c>
      <c r="S230" s="1632" t="s">
        <v>72</v>
      </c>
      <c r="T230" s="1638" t="s">
        <v>303</v>
      </c>
      <c r="U230" s="1638" t="s">
        <v>2503</v>
      </c>
      <c r="V230" s="1665" t="s">
        <v>252</v>
      </c>
      <c r="W230" s="1638" t="s">
        <v>307</v>
      </c>
      <c r="X230" s="1638" t="s">
        <v>113</v>
      </c>
      <c r="Y230" s="1656" t="s">
        <v>124</v>
      </c>
      <c r="Z230" s="394">
        <v>700.09</v>
      </c>
      <c r="AA230" s="1694" t="s">
        <v>93</v>
      </c>
      <c r="AB230" s="23">
        <v>742.75</v>
      </c>
      <c r="AC230" s="1697" t="s">
        <v>403</v>
      </c>
      <c r="AD230" s="23">
        <v>475.5</v>
      </c>
      <c r="AE230" s="1712" t="s">
        <v>1286</v>
      </c>
      <c r="AF230" s="1650"/>
      <c r="AG230" s="1644"/>
      <c r="AH230" s="2"/>
      <c r="AI230" s="1644"/>
      <c r="AJ230" s="2"/>
      <c r="AK230" s="1632" t="s">
        <v>113</v>
      </c>
      <c r="AL230" s="1632" t="s">
        <v>72</v>
      </c>
      <c r="AM230" s="1632" t="s">
        <v>72</v>
      </c>
      <c r="AN230" s="1632" t="s">
        <v>113</v>
      </c>
      <c r="AO230" s="1632" t="s">
        <v>72</v>
      </c>
      <c r="AP230" s="1632" t="s">
        <v>72</v>
      </c>
      <c r="AQ230" s="1712" t="s">
        <v>1287</v>
      </c>
      <c r="AR230" s="1"/>
      <c r="AS230" s="1632" t="s">
        <v>72</v>
      </c>
      <c r="AT230" s="1632" t="s">
        <v>1288</v>
      </c>
      <c r="AU230" s="1"/>
      <c r="AV230" s="16" t="s">
        <v>56</v>
      </c>
      <c r="AW230" s="384" t="s">
        <v>1289</v>
      </c>
      <c r="AX230" s="18" t="s">
        <v>1290</v>
      </c>
      <c r="AY230" s="384" t="s">
        <v>58</v>
      </c>
      <c r="AZ230" s="20" t="s">
        <v>59</v>
      </c>
      <c r="BA230" s="384" t="s">
        <v>1289</v>
      </c>
      <c r="BB230" s="18" t="s">
        <v>1290</v>
      </c>
      <c r="BC230" s="385" t="s">
        <v>58</v>
      </c>
      <c r="BD230" s="16" t="s">
        <v>62</v>
      </c>
      <c r="BE230" s="384" t="s">
        <v>1289</v>
      </c>
      <c r="BF230" s="18" t="s">
        <v>1290</v>
      </c>
      <c r="BG230" s="384" t="s">
        <v>64</v>
      </c>
      <c r="BH230" s="16"/>
      <c r="BI230" s="384"/>
      <c r="BJ230" s="18"/>
      <c r="BK230" s="384"/>
    </row>
    <row r="231" spans="1:63" s="8" customFormat="1" ht="71.25" customHeight="1">
      <c r="A231" s="1727"/>
      <c r="B231" s="1657"/>
      <c r="C231" s="1686"/>
      <c r="D231" s="1698"/>
      <c r="E231" s="1698"/>
      <c r="F231" s="1698"/>
      <c r="G231" s="1666"/>
      <c r="H231" s="1698"/>
      <c r="I231" s="1669"/>
      <c r="J231" s="1669"/>
      <c r="K231" s="1669"/>
      <c r="L231" s="1692"/>
      <c r="M231" s="1680"/>
      <c r="N231" s="1680"/>
      <c r="O231" s="1657"/>
      <c r="P231" s="1680"/>
      <c r="Q231" s="1695"/>
      <c r="R231" s="1657"/>
      <c r="S231" s="1724"/>
      <c r="T231" s="1639"/>
      <c r="U231" s="1639"/>
      <c r="V231" s="1666"/>
      <c r="W231" s="1639"/>
      <c r="X231" s="1639"/>
      <c r="Y231" s="1657"/>
      <c r="Z231" s="395">
        <v>1533.18</v>
      </c>
      <c r="AA231" s="1695"/>
      <c r="AB231" s="25">
        <v>1626.63</v>
      </c>
      <c r="AC231" s="1657"/>
      <c r="AD231" s="25">
        <v>1041.3499999999999</v>
      </c>
      <c r="AE231" s="1713"/>
      <c r="AF231" s="1651"/>
      <c r="AG231" s="1645"/>
      <c r="AH231" s="10"/>
      <c r="AI231" s="1645"/>
      <c r="AJ231" s="10"/>
      <c r="AK231" s="1633"/>
      <c r="AL231" s="1633"/>
      <c r="AM231" s="1633"/>
      <c r="AN231" s="1633"/>
      <c r="AO231" s="1633"/>
      <c r="AP231" s="1633"/>
      <c r="AQ231" s="1713"/>
      <c r="AR231" s="9"/>
      <c r="AS231" s="1633"/>
      <c r="AT231" s="1633"/>
      <c r="AU231" s="9"/>
      <c r="AV231" s="20" t="s">
        <v>65</v>
      </c>
      <c r="AW231" s="385" t="s">
        <v>1289</v>
      </c>
      <c r="AX231" s="22" t="s">
        <v>1290</v>
      </c>
      <c r="AY231" s="385" t="s">
        <v>58</v>
      </c>
      <c r="AZ231" s="211" t="s">
        <v>66</v>
      </c>
      <c r="BA231" s="385" t="s">
        <v>1289</v>
      </c>
      <c r="BB231" s="22" t="s">
        <v>1290</v>
      </c>
      <c r="BC231" s="385" t="s">
        <v>58</v>
      </c>
      <c r="BD231" s="20" t="s">
        <v>67</v>
      </c>
      <c r="BE231" s="385" t="s">
        <v>1289</v>
      </c>
      <c r="BF231" s="22" t="s">
        <v>1290</v>
      </c>
      <c r="BG231" s="385" t="s">
        <v>69</v>
      </c>
      <c r="BH231" s="20"/>
      <c r="BI231" s="385"/>
      <c r="BJ231" s="22"/>
      <c r="BK231" s="385"/>
    </row>
    <row r="232" spans="1:63" s="8" customFormat="1" ht="71.25" customHeight="1">
      <c r="A232" s="1727"/>
      <c r="B232" s="1657"/>
      <c r="C232" s="1686"/>
      <c r="D232" s="1698"/>
      <c r="E232" s="1698"/>
      <c r="F232" s="1698"/>
      <c r="G232" s="1666"/>
      <c r="H232" s="1698"/>
      <c r="I232" s="1669"/>
      <c r="J232" s="1669"/>
      <c r="K232" s="1669"/>
      <c r="L232" s="1692"/>
      <c r="M232" s="1680"/>
      <c r="N232" s="1680"/>
      <c r="O232" s="1657"/>
      <c r="P232" s="1680"/>
      <c r="Q232" s="1695"/>
      <c r="R232" s="1657"/>
      <c r="S232" s="1724"/>
      <c r="T232" s="1639"/>
      <c r="U232" s="1639"/>
      <c r="V232" s="1666"/>
      <c r="W232" s="1639"/>
      <c r="X232" s="1639"/>
      <c r="Y232" s="1657"/>
      <c r="Z232" s="395">
        <v>1330.16</v>
      </c>
      <c r="AA232" s="1695"/>
      <c r="AB232" s="25">
        <v>1411.23</v>
      </c>
      <c r="AC232" s="1657"/>
      <c r="AD232" s="25">
        <v>903.45</v>
      </c>
      <c r="AE232" s="1713"/>
      <c r="AF232" s="1651"/>
      <c r="AG232" s="1645"/>
      <c r="AH232" s="10"/>
      <c r="AI232" s="1645"/>
      <c r="AJ232" s="10"/>
      <c r="AK232" s="1633"/>
      <c r="AL232" s="1633"/>
      <c r="AM232" s="1633"/>
      <c r="AN232" s="1633"/>
      <c r="AO232" s="1633"/>
      <c r="AP232" s="1633"/>
      <c r="AQ232" s="1713"/>
      <c r="AR232" s="9"/>
      <c r="AS232" s="1633"/>
      <c r="AT232" s="1633"/>
      <c r="AU232" s="9"/>
      <c r="AV232" s="10"/>
      <c r="AW232" s="382"/>
      <c r="AX232" s="11"/>
      <c r="AY232" s="382"/>
      <c r="AZ232" s="10"/>
      <c r="BA232" s="382"/>
      <c r="BB232" s="11"/>
      <c r="BC232" s="382"/>
      <c r="BD232" s="10"/>
      <c r="BE232" s="382"/>
      <c r="BF232" s="11"/>
      <c r="BG232" s="382"/>
      <c r="BH232" s="10"/>
      <c r="BI232" s="382"/>
      <c r="BJ232" s="11"/>
      <c r="BK232" s="382"/>
    </row>
    <row r="233" spans="1:63" s="8" customFormat="1" ht="71.25" customHeight="1" thickBot="1">
      <c r="A233" s="1728"/>
      <c r="B233" s="1658"/>
      <c r="C233" s="1687"/>
      <c r="D233" s="1699"/>
      <c r="E233" s="1699"/>
      <c r="F233" s="1699"/>
      <c r="G233" s="1667"/>
      <c r="H233" s="1699"/>
      <c r="I233" s="1670"/>
      <c r="J233" s="1670"/>
      <c r="K233" s="1670"/>
      <c r="L233" s="1693"/>
      <c r="M233" s="1681"/>
      <c r="N233" s="1681"/>
      <c r="O233" s="1678"/>
      <c r="P233" s="1681"/>
      <c r="Q233" s="1696"/>
      <c r="R233" s="1658"/>
      <c r="S233" s="1725"/>
      <c r="T233" s="1640"/>
      <c r="U233" s="1640"/>
      <c r="V233" s="1667"/>
      <c r="W233" s="1640"/>
      <c r="X233" s="1640"/>
      <c r="Y233" s="1678"/>
      <c r="Z233" s="396">
        <v>2128.2600000000002</v>
      </c>
      <c r="AA233" s="1696"/>
      <c r="AB233" s="180">
        <v>2257.96</v>
      </c>
      <c r="AC233" s="1678"/>
      <c r="AD233" s="180">
        <v>1445.53</v>
      </c>
      <c r="AE233" s="1714"/>
      <c r="AF233" s="1652"/>
      <c r="AG233" s="1646"/>
      <c r="AH233" s="13"/>
      <c r="AI233" s="1646"/>
      <c r="AJ233" s="13"/>
      <c r="AK233" s="1634"/>
      <c r="AL233" s="1634"/>
      <c r="AM233" s="1634"/>
      <c r="AN233" s="1634"/>
      <c r="AO233" s="1634"/>
      <c r="AP233" s="1634"/>
      <c r="AQ233" s="1740"/>
      <c r="AR233" s="12"/>
      <c r="AS233" s="1634"/>
      <c r="AT233" s="1634"/>
      <c r="AU233" s="12"/>
      <c r="AV233" s="13"/>
      <c r="AW233" s="383"/>
      <c r="AX233" s="15"/>
      <c r="AY233" s="383"/>
      <c r="AZ233" s="13"/>
      <c r="BA233" s="383"/>
      <c r="BB233" s="15"/>
      <c r="BC233" s="383"/>
      <c r="BD233" s="13"/>
      <c r="BE233" s="383"/>
      <c r="BF233" s="15"/>
      <c r="BG233" s="383"/>
      <c r="BH233" s="13"/>
      <c r="BI233" s="383"/>
      <c r="BJ233" s="15"/>
      <c r="BK233" s="383"/>
    </row>
    <row r="234" spans="1:63" s="8" customFormat="1" ht="71.25" customHeight="1">
      <c r="A234" s="1726" t="s">
        <v>1283</v>
      </c>
      <c r="B234" s="1656"/>
      <c r="C234" s="1685">
        <v>202814592</v>
      </c>
      <c r="D234" s="1638" t="s">
        <v>1284</v>
      </c>
      <c r="E234" s="1638" t="s">
        <v>1319</v>
      </c>
      <c r="F234" s="1638" t="s">
        <v>1319</v>
      </c>
      <c r="G234" s="1665" t="s">
        <v>3654</v>
      </c>
      <c r="H234" s="1638" t="s">
        <v>432</v>
      </c>
      <c r="I234" s="1668" t="s">
        <v>2473</v>
      </c>
      <c r="J234" s="1674">
        <v>43101</v>
      </c>
      <c r="K234" s="1674">
        <v>43466</v>
      </c>
      <c r="L234" s="1675">
        <v>3</v>
      </c>
      <c r="M234" s="1638" t="s">
        <v>48</v>
      </c>
      <c r="N234" s="1638" t="s">
        <v>354</v>
      </c>
      <c r="O234" s="1656"/>
      <c r="P234" s="1679" t="s">
        <v>72</v>
      </c>
      <c r="Q234" s="1694" t="s">
        <v>73</v>
      </c>
      <c r="R234" s="1694" t="s">
        <v>4244</v>
      </c>
      <c r="S234" s="1694" t="s">
        <v>4244</v>
      </c>
      <c r="T234" s="1638" t="s">
        <v>303</v>
      </c>
      <c r="U234" s="1638" t="s">
        <v>2477</v>
      </c>
      <c r="V234" s="1665" t="s">
        <v>252</v>
      </c>
      <c r="W234" s="1638" t="s">
        <v>307</v>
      </c>
      <c r="X234" s="1638" t="s">
        <v>113</v>
      </c>
      <c r="Y234" s="1656" t="s">
        <v>153</v>
      </c>
      <c r="Z234" s="23">
        <v>680.49</v>
      </c>
      <c r="AA234" s="1656" t="s">
        <v>173</v>
      </c>
      <c r="AB234" s="23">
        <v>746.83</v>
      </c>
      <c r="AC234" s="1697" t="s">
        <v>403</v>
      </c>
      <c r="AD234" s="23">
        <v>451.73</v>
      </c>
      <c r="AE234" s="1647"/>
      <c r="AF234" s="1650"/>
      <c r="AG234" s="1644"/>
      <c r="AH234" s="2"/>
      <c r="AI234" s="1644"/>
      <c r="AJ234" s="2"/>
      <c r="AK234" s="1662" t="s">
        <v>85</v>
      </c>
      <c r="AL234" s="1662" t="s">
        <v>245</v>
      </c>
      <c r="AM234" s="1662" t="s">
        <v>246</v>
      </c>
      <c r="AN234" s="1638" t="s">
        <v>248</v>
      </c>
      <c r="AO234" s="1638" t="s">
        <v>2490</v>
      </c>
      <c r="AP234" s="1638" t="s">
        <v>2495</v>
      </c>
      <c r="AQ234" s="1665" t="s">
        <v>386</v>
      </c>
      <c r="AR234" s="23">
        <v>65.239999999999995</v>
      </c>
      <c r="AS234" s="1638" t="s">
        <v>2483</v>
      </c>
      <c r="AT234" s="1638" t="s">
        <v>2488</v>
      </c>
      <c r="AU234" s="23">
        <v>9.8000000000000007</v>
      </c>
      <c r="AV234" s="23" t="s">
        <v>56</v>
      </c>
      <c r="AW234" s="533" t="s">
        <v>1249</v>
      </c>
      <c r="AX234" s="181">
        <v>9.4E-2</v>
      </c>
      <c r="AY234" s="533" t="s">
        <v>58</v>
      </c>
      <c r="AZ234" s="16"/>
      <c r="BA234" s="535"/>
      <c r="BB234" s="18"/>
      <c r="BC234" s="535"/>
      <c r="BD234" s="16"/>
      <c r="BE234" s="535"/>
      <c r="BF234" s="18"/>
      <c r="BG234" s="535"/>
      <c r="BH234" s="16"/>
      <c r="BI234" s="378"/>
      <c r="BJ234" s="18"/>
      <c r="BK234" s="378"/>
    </row>
    <row r="235" spans="1:63" s="8" customFormat="1" ht="71.25" customHeight="1">
      <c r="A235" s="1727"/>
      <c r="B235" s="1657"/>
      <c r="C235" s="1686"/>
      <c r="D235" s="1698"/>
      <c r="E235" s="1698"/>
      <c r="F235" s="1698"/>
      <c r="G235" s="1666"/>
      <c r="H235" s="1698"/>
      <c r="I235" s="1669"/>
      <c r="J235" s="1669"/>
      <c r="K235" s="1669"/>
      <c r="L235" s="1676"/>
      <c r="M235" s="1639"/>
      <c r="N235" s="1639"/>
      <c r="O235" s="1657"/>
      <c r="P235" s="1680"/>
      <c r="Q235" s="1695"/>
      <c r="R235" s="1695"/>
      <c r="S235" s="1695"/>
      <c r="T235" s="1639"/>
      <c r="U235" s="1639"/>
      <c r="V235" s="1666"/>
      <c r="W235" s="1639"/>
      <c r="X235" s="1639"/>
      <c r="Y235" s="1657"/>
      <c r="Z235" s="25">
        <v>1490.27</v>
      </c>
      <c r="AA235" s="1657"/>
      <c r="AB235" s="25">
        <v>1635.55</v>
      </c>
      <c r="AC235" s="1657"/>
      <c r="AD235" s="25">
        <v>989.28</v>
      </c>
      <c r="AE235" s="1648"/>
      <c r="AF235" s="1651"/>
      <c r="AG235" s="1645"/>
      <c r="AH235" s="10"/>
      <c r="AI235" s="1645"/>
      <c r="AJ235" s="10"/>
      <c r="AK235" s="1700"/>
      <c r="AL235" s="1700"/>
      <c r="AM235" s="1700"/>
      <c r="AN235" s="1639"/>
      <c r="AO235" s="1639"/>
      <c r="AP235" s="1639"/>
      <c r="AQ235" s="1666"/>
      <c r="AR235" s="25">
        <v>133.04</v>
      </c>
      <c r="AS235" s="1639"/>
      <c r="AT235" s="1639"/>
      <c r="AU235" s="25">
        <v>19.63</v>
      </c>
      <c r="AV235" s="25" t="s">
        <v>65</v>
      </c>
      <c r="AW235" s="534" t="s">
        <v>1249</v>
      </c>
      <c r="AX235" s="182">
        <v>0.02</v>
      </c>
      <c r="AY235" s="534" t="s">
        <v>58</v>
      </c>
      <c r="AZ235" s="20"/>
      <c r="BA235" s="536"/>
      <c r="BB235" s="22"/>
      <c r="BC235" s="536"/>
      <c r="BD235" s="25" t="s">
        <v>67</v>
      </c>
      <c r="BE235" s="534" t="s">
        <v>82</v>
      </c>
      <c r="BF235" s="182">
        <v>0.25</v>
      </c>
      <c r="BG235" s="534" t="s">
        <v>69</v>
      </c>
      <c r="BH235" s="20"/>
      <c r="BI235" s="379"/>
      <c r="BJ235" s="22"/>
      <c r="BK235" s="379"/>
    </row>
    <row r="236" spans="1:63" s="8" customFormat="1" ht="71.25" customHeight="1">
      <c r="A236" s="1727"/>
      <c r="B236" s="1657"/>
      <c r="C236" s="1686"/>
      <c r="D236" s="1698"/>
      <c r="E236" s="1698"/>
      <c r="F236" s="1698"/>
      <c r="G236" s="1666"/>
      <c r="H236" s="1698"/>
      <c r="I236" s="1669"/>
      <c r="J236" s="1669"/>
      <c r="K236" s="1669"/>
      <c r="L236" s="1676"/>
      <c r="M236" s="1639"/>
      <c r="N236" s="1639"/>
      <c r="O236" s="1657"/>
      <c r="P236" s="1680"/>
      <c r="Q236" s="1695"/>
      <c r="R236" s="1695"/>
      <c r="S236" s="1695"/>
      <c r="T236" s="1639"/>
      <c r="U236" s="1639"/>
      <c r="V236" s="1666"/>
      <c r="W236" s="1639"/>
      <c r="X236" s="1639"/>
      <c r="Y236" s="1657"/>
      <c r="Z236" s="25">
        <v>1292.93</v>
      </c>
      <c r="AA236" s="1657"/>
      <c r="AB236" s="25">
        <v>1418.98</v>
      </c>
      <c r="AC236" s="1657"/>
      <c r="AD236" s="25">
        <v>858.28</v>
      </c>
      <c r="AE236" s="1648"/>
      <c r="AF236" s="1651"/>
      <c r="AG236" s="1645"/>
      <c r="AH236" s="10"/>
      <c r="AI236" s="1645"/>
      <c r="AJ236" s="10"/>
      <c r="AK236" s="1700"/>
      <c r="AL236" s="1700"/>
      <c r="AM236" s="1700"/>
      <c r="AN236" s="1639"/>
      <c r="AO236" s="1639"/>
      <c r="AP236" s="1639"/>
      <c r="AQ236" s="1666"/>
      <c r="AR236" s="25">
        <v>150.27000000000001</v>
      </c>
      <c r="AS236" s="1639"/>
      <c r="AT236" s="1639"/>
      <c r="AU236" s="25">
        <v>16.62</v>
      </c>
      <c r="AV236" s="10"/>
      <c r="AW236" s="376"/>
      <c r="AX236" s="11"/>
      <c r="AY236" s="376"/>
      <c r="AZ236" s="10"/>
      <c r="BA236" s="376"/>
      <c r="BB236" s="11"/>
      <c r="BC236" s="376"/>
      <c r="BD236" s="10"/>
      <c r="BE236" s="376"/>
      <c r="BF236" s="11"/>
      <c r="BG236" s="376"/>
      <c r="BH236" s="10"/>
      <c r="BI236" s="376"/>
      <c r="BJ236" s="11"/>
      <c r="BK236" s="376"/>
    </row>
    <row r="237" spans="1:63" s="8" customFormat="1" ht="71.25" customHeight="1" thickBot="1">
      <c r="A237" s="1728"/>
      <c r="B237" s="1658"/>
      <c r="C237" s="1687"/>
      <c r="D237" s="1699"/>
      <c r="E237" s="1699"/>
      <c r="F237" s="1699"/>
      <c r="G237" s="1667"/>
      <c r="H237" s="1699"/>
      <c r="I237" s="1670"/>
      <c r="J237" s="1670"/>
      <c r="K237" s="1670"/>
      <c r="L237" s="1677"/>
      <c r="M237" s="1640"/>
      <c r="N237" s="1640"/>
      <c r="O237" s="1678"/>
      <c r="P237" s="1681"/>
      <c r="Q237" s="1696"/>
      <c r="R237" s="1696"/>
      <c r="S237" s="1696"/>
      <c r="T237" s="1640"/>
      <c r="U237" s="1640"/>
      <c r="V237" s="1667"/>
      <c r="W237" s="1640"/>
      <c r="X237" s="1640"/>
      <c r="Y237" s="1678"/>
      <c r="Z237" s="180">
        <v>2068.69</v>
      </c>
      <c r="AA237" s="1678"/>
      <c r="AB237" s="180">
        <v>2270.36</v>
      </c>
      <c r="AC237" s="1678"/>
      <c r="AD237" s="180">
        <v>1373.26</v>
      </c>
      <c r="AE237" s="1649"/>
      <c r="AF237" s="1652"/>
      <c r="AG237" s="1646"/>
      <c r="AH237" s="13"/>
      <c r="AI237" s="1646"/>
      <c r="AJ237" s="13"/>
      <c r="AK237" s="1701"/>
      <c r="AL237" s="1701"/>
      <c r="AM237" s="1701"/>
      <c r="AN237" s="1640"/>
      <c r="AO237" s="1640"/>
      <c r="AP237" s="1640"/>
      <c r="AQ237" s="1667"/>
      <c r="AR237" s="180">
        <v>233.65</v>
      </c>
      <c r="AS237" s="1640"/>
      <c r="AT237" s="1640"/>
      <c r="AU237" s="180">
        <v>27.4</v>
      </c>
      <c r="AV237" s="13"/>
      <c r="AW237" s="377"/>
      <c r="AX237" s="15"/>
      <c r="AY237" s="377"/>
      <c r="AZ237" s="13"/>
      <c r="BA237" s="377"/>
      <c r="BB237" s="15"/>
      <c r="BC237" s="377"/>
      <c r="BD237" s="13"/>
      <c r="BE237" s="377"/>
      <c r="BF237" s="15"/>
      <c r="BG237" s="377"/>
      <c r="BH237" s="13"/>
      <c r="BI237" s="377"/>
      <c r="BJ237" s="15"/>
      <c r="BK237" s="377"/>
    </row>
    <row r="238" spans="1:63" s="8" customFormat="1" ht="71.25" customHeight="1">
      <c r="A238" s="1682" t="s">
        <v>426</v>
      </c>
      <c r="B238" s="1656"/>
      <c r="C238" s="1720">
        <v>274842691</v>
      </c>
      <c r="D238" s="1662" t="s">
        <v>428</v>
      </c>
      <c r="E238" s="1662" t="s">
        <v>429</v>
      </c>
      <c r="F238" s="1662" t="s">
        <v>429</v>
      </c>
      <c r="G238" s="1665" t="s">
        <v>3665</v>
      </c>
      <c r="H238" s="1662" t="s">
        <v>3593</v>
      </c>
      <c r="I238" s="1668" t="s">
        <v>2473</v>
      </c>
      <c r="J238" s="1674">
        <v>43101</v>
      </c>
      <c r="K238" s="1674">
        <v>43466</v>
      </c>
      <c r="L238" s="1691">
        <v>180</v>
      </c>
      <c r="M238" s="1638" t="s">
        <v>48</v>
      </c>
      <c r="N238" s="1632" t="s">
        <v>1302</v>
      </c>
      <c r="O238" s="1656"/>
      <c r="P238" s="1679" t="s">
        <v>4150</v>
      </c>
      <c r="Q238" s="1679" t="s">
        <v>72</v>
      </c>
      <c r="R238" s="1697" t="s">
        <v>4293</v>
      </c>
      <c r="S238" s="1632" t="s">
        <v>72</v>
      </c>
      <c r="T238" s="1638" t="s">
        <v>317</v>
      </c>
      <c r="U238" s="1638" t="s">
        <v>2503</v>
      </c>
      <c r="V238" s="1665" t="s">
        <v>252</v>
      </c>
      <c r="W238" s="1638" t="s">
        <v>315</v>
      </c>
      <c r="X238" s="1638" t="s">
        <v>113</v>
      </c>
      <c r="Y238" s="1656" t="s">
        <v>124</v>
      </c>
      <c r="Z238" s="23">
        <v>583.9</v>
      </c>
      <c r="AA238" s="1694" t="s">
        <v>87</v>
      </c>
      <c r="AB238" s="23">
        <v>753.58</v>
      </c>
      <c r="AC238" s="1647"/>
      <c r="AD238" s="1650"/>
      <c r="AE238" s="1647"/>
      <c r="AF238" s="1650"/>
      <c r="AG238" s="1644"/>
      <c r="AH238" s="2"/>
      <c r="AI238" s="1644"/>
      <c r="AJ238" s="2"/>
      <c r="AK238" s="1632" t="s">
        <v>113</v>
      </c>
      <c r="AL238" s="1632" t="s">
        <v>72</v>
      </c>
      <c r="AM238" s="1632" t="s">
        <v>72</v>
      </c>
      <c r="AN238" s="1632" t="s">
        <v>113</v>
      </c>
      <c r="AO238" s="1632" t="s">
        <v>72</v>
      </c>
      <c r="AP238" s="1632" t="s">
        <v>72</v>
      </c>
      <c r="AQ238" s="1632"/>
      <c r="AR238" s="16"/>
      <c r="AS238" s="1632" t="s">
        <v>72</v>
      </c>
      <c r="AT238" s="1632"/>
      <c r="AU238" s="16"/>
      <c r="AV238" s="1"/>
      <c r="AW238" s="509"/>
      <c r="AX238" s="239"/>
      <c r="AY238" s="509"/>
      <c r="AZ238" s="9"/>
      <c r="BA238" s="510"/>
      <c r="BB238" s="199"/>
      <c r="BC238" s="510"/>
      <c r="BD238" s="1"/>
      <c r="BE238" s="509"/>
      <c r="BF238" s="239"/>
      <c r="BG238" s="509"/>
      <c r="BH238" s="16"/>
      <c r="BI238" s="264"/>
      <c r="BJ238" s="18"/>
      <c r="BK238" s="264"/>
    </row>
    <row r="239" spans="1:63" s="8" customFormat="1" ht="71.25" customHeight="1">
      <c r="A239" s="1683"/>
      <c r="B239" s="1657"/>
      <c r="C239" s="1660"/>
      <c r="D239" s="1663"/>
      <c r="E239" s="1663"/>
      <c r="F239" s="1663"/>
      <c r="G239" s="1666"/>
      <c r="H239" s="1663"/>
      <c r="I239" s="1669"/>
      <c r="J239" s="1669"/>
      <c r="K239" s="1669"/>
      <c r="L239" s="1692"/>
      <c r="M239" s="1639"/>
      <c r="N239" s="1633"/>
      <c r="O239" s="1657"/>
      <c r="P239" s="1680"/>
      <c r="Q239" s="1680"/>
      <c r="R239" s="1657"/>
      <c r="S239" s="1724"/>
      <c r="T239" s="1639"/>
      <c r="U239" s="1639"/>
      <c r="V239" s="1666"/>
      <c r="W239" s="1639"/>
      <c r="X239" s="1639"/>
      <c r="Y239" s="1657"/>
      <c r="Z239" s="25">
        <v>1278.74</v>
      </c>
      <c r="AA239" s="1695"/>
      <c r="AB239" s="25">
        <v>1650.35</v>
      </c>
      <c r="AC239" s="1648"/>
      <c r="AD239" s="1651"/>
      <c r="AE239" s="1648"/>
      <c r="AF239" s="1651"/>
      <c r="AG239" s="1645"/>
      <c r="AH239" s="10"/>
      <c r="AI239" s="1645"/>
      <c r="AJ239" s="10"/>
      <c r="AK239" s="1633"/>
      <c r="AL239" s="1633"/>
      <c r="AM239" s="1633"/>
      <c r="AN239" s="1633"/>
      <c r="AO239" s="1633"/>
      <c r="AP239" s="1633"/>
      <c r="AQ239" s="1633"/>
      <c r="AR239" s="20"/>
      <c r="AS239" s="1633"/>
      <c r="AT239" s="1633"/>
      <c r="AU239" s="20"/>
      <c r="AV239" s="9"/>
      <c r="AW239" s="510"/>
      <c r="AX239" s="199"/>
      <c r="AY239" s="510"/>
      <c r="AZ239" s="397"/>
      <c r="BA239" s="510"/>
      <c r="BB239" s="199"/>
      <c r="BC239" s="510"/>
      <c r="BD239" s="9"/>
      <c r="BE239" s="510"/>
      <c r="BF239" s="199"/>
      <c r="BG239" s="510"/>
      <c r="BH239" s="20"/>
      <c r="BI239" s="265"/>
      <c r="BJ239" s="22"/>
      <c r="BK239" s="265"/>
    </row>
    <row r="240" spans="1:63" s="8" customFormat="1" ht="71.25" customHeight="1">
      <c r="A240" s="1683"/>
      <c r="B240" s="1657"/>
      <c r="C240" s="1660"/>
      <c r="D240" s="1663"/>
      <c r="E240" s="1663"/>
      <c r="F240" s="1663"/>
      <c r="G240" s="1666"/>
      <c r="H240" s="1663"/>
      <c r="I240" s="1669"/>
      <c r="J240" s="1669"/>
      <c r="K240" s="1669"/>
      <c r="L240" s="1692"/>
      <c r="M240" s="1639"/>
      <c r="N240" s="1633"/>
      <c r="O240" s="1657"/>
      <c r="P240" s="1680"/>
      <c r="Q240" s="1680"/>
      <c r="R240" s="1657"/>
      <c r="S240" s="1724"/>
      <c r="T240" s="1639"/>
      <c r="U240" s="1639"/>
      <c r="V240" s="1666"/>
      <c r="W240" s="1639"/>
      <c r="X240" s="1639"/>
      <c r="Y240" s="1657"/>
      <c r="Z240" s="25">
        <v>1109.4100000000001</v>
      </c>
      <c r="AA240" s="1695"/>
      <c r="AB240" s="25">
        <v>1431.81</v>
      </c>
      <c r="AC240" s="1648"/>
      <c r="AD240" s="1651"/>
      <c r="AE240" s="1648"/>
      <c r="AF240" s="1651"/>
      <c r="AG240" s="1645"/>
      <c r="AH240" s="10"/>
      <c r="AI240" s="1645"/>
      <c r="AJ240" s="10"/>
      <c r="AK240" s="1633"/>
      <c r="AL240" s="1633"/>
      <c r="AM240" s="1633"/>
      <c r="AN240" s="1633"/>
      <c r="AO240" s="1633"/>
      <c r="AP240" s="1633"/>
      <c r="AQ240" s="1633"/>
      <c r="AR240" s="20"/>
      <c r="AS240" s="1633"/>
      <c r="AT240" s="1633"/>
      <c r="AU240" s="20"/>
      <c r="AV240" s="10"/>
      <c r="AW240" s="262"/>
      <c r="AX240" s="11"/>
      <c r="AY240" s="262"/>
      <c r="AZ240" s="10"/>
      <c r="BA240" s="262"/>
      <c r="BB240" s="11"/>
      <c r="BC240" s="262"/>
      <c r="BD240" s="10"/>
      <c r="BE240" s="262"/>
      <c r="BF240" s="11"/>
      <c r="BG240" s="262"/>
      <c r="BH240" s="10"/>
      <c r="BI240" s="262"/>
      <c r="BJ240" s="11"/>
      <c r="BK240" s="262"/>
    </row>
    <row r="241" spans="1:63" s="8" customFormat="1" ht="71.25" customHeight="1" thickBot="1">
      <c r="A241" s="1684"/>
      <c r="B241" s="1658"/>
      <c r="C241" s="1661"/>
      <c r="D241" s="1664"/>
      <c r="E241" s="1664"/>
      <c r="F241" s="1664"/>
      <c r="G241" s="1667"/>
      <c r="H241" s="1664"/>
      <c r="I241" s="1670"/>
      <c r="J241" s="1670"/>
      <c r="K241" s="1670"/>
      <c r="L241" s="1693"/>
      <c r="M241" s="1640"/>
      <c r="N241" s="1634"/>
      <c r="O241" s="1678"/>
      <c r="P241" s="1681"/>
      <c r="Q241" s="1681"/>
      <c r="R241" s="1658"/>
      <c r="S241" s="1725"/>
      <c r="T241" s="1640"/>
      <c r="U241" s="1640"/>
      <c r="V241" s="1667"/>
      <c r="W241" s="1640"/>
      <c r="X241" s="1640"/>
      <c r="Y241" s="1678"/>
      <c r="Z241" s="180">
        <v>1775.07</v>
      </c>
      <c r="AA241" s="1696"/>
      <c r="AB241" s="180">
        <v>2290.89</v>
      </c>
      <c r="AC241" s="1649"/>
      <c r="AD241" s="1652"/>
      <c r="AE241" s="1649"/>
      <c r="AF241" s="1652"/>
      <c r="AG241" s="1646"/>
      <c r="AH241" s="13"/>
      <c r="AI241" s="1646"/>
      <c r="AJ241" s="13"/>
      <c r="AK241" s="1634"/>
      <c r="AL241" s="1634"/>
      <c r="AM241" s="1634"/>
      <c r="AN241" s="1634"/>
      <c r="AO241" s="1634"/>
      <c r="AP241" s="1634"/>
      <c r="AQ241" s="1634"/>
      <c r="AR241" s="212"/>
      <c r="AS241" s="1634"/>
      <c r="AT241" s="1634"/>
      <c r="AU241" s="212"/>
      <c r="AV241" s="13"/>
      <c r="AW241" s="263"/>
      <c r="AX241" s="15"/>
      <c r="AY241" s="263"/>
      <c r="AZ241" s="13"/>
      <c r="BA241" s="263"/>
      <c r="BB241" s="15"/>
      <c r="BC241" s="263"/>
      <c r="BD241" s="13"/>
      <c r="BE241" s="263"/>
      <c r="BF241" s="15"/>
      <c r="BG241" s="263"/>
      <c r="BH241" s="13"/>
      <c r="BI241" s="263"/>
      <c r="BJ241" s="15"/>
      <c r="BK241" s="263"/>
    </row>
    <row r="242" spans="1:63" s="8" customFormat="1" ht="71.25" customHeight="1">
      <c r="A242" s="1682" t="s">
        <v>1261</v>
      </c>
      <c r="B242" s="1656"/>
      <c r="C242" s="1720">
        <v>954375699</v>
      </c>
      <c r="D242" s="1662" t="s">
        <v>1311</v>
      </c>
      <c r="E242" s="1662" t="s">
        <v>1300</v>
      </c>
      <c r="F242" s="1662" t="s">
        <v>1300</v>
      </c>
      <c r="G242" s="1665" t="s">
        <v>3666</v>
      </c>
      <c r="H242" s="1638" t="s">
        <v>3594</v>
      </c>
      <c r="I242" s="1668" t="s">
        <v>2473</v>
      </c>
      <c r="J242" s="1674">
        <v>43101</v>
      </c>
      <c r="K242" s="1674">
        <v>43466</v>
      </c>
      <c r="L242" s="1691">
        <v>98</v>
      </c>
      <c r="M242" s="1638" t="s">
        <v>48</v>
      </c>
      <c r="N242" s="1632" t="s">
        <v>1329</v>
      </c>
      <c r="O242" s="1656"/>
      <c r="P242" s="1679" t="s">
        <v>72</v>
      </c>
      <c r="Q242" s="1694" t="s">
        <v>73</v>
      </c>
      <c r="R242" s="1694" t="s">
        <v>4244</v>
      </c>
      <c r="S242" s="1694" t="s">
        <v>4244</v>
      </c>
      <c r="T242" s="1638" t="s">
        <v>317</v>
      </c>
      <c r="U242" s="1638" t="s">
        <v>4545</v>
      </c>
      <c r="V242" s="1665" t="s">
        <v>252</v>
      </c>
      <c r="W242" s="1638" t="s">
        <v>307</v>
      </c>
      <c r="X242" s="1638" t="s">
        <v>113</v>
      </c>
      <c r="Y242" s="1694" t="s">
        <v>153</v>
      </c>
      <c r="Z242" s="23">
        <v>597.25</v>
      </c>
      <c r="AA242" s="1697" t="s">
        <v>1312</v>
      </c>
      <c r="AB242" s="23">
        <v>533.30999999999995</v>
      </c>
      <c r="AC242" s="1694" t="s">
        <v>93</v>
      </c>
      <c r="AD242" s="23">
        <v>687.93</v>
      </c>
      <c r="AE242" s="1697" t="s">
        <v>403</v>
      </c>
      <c r="AF242" s="23">
        <v>432.11</v>
      </c>
      <c r="AG242" s="1644"/>
      <c r="AH242" s="2"/>
      <c r="AI242" s="1644"/>
      <c r="AJ242" s="2"/>
      <c r="AK242" s="1662" t="s">
        <v>85</v>
      </c>
      <c r="AL242" s="1662" t="s">
        <v>245</v>
      </c>
      <c r="AM242" s="1662" t="s">
        <v>246</v>
      </c>
      <c r="AN242" s="1638" t="s">
        <v>248</v>
      </c>
      <c r="AO242" s="1638" t="s">
        <v>2480</v>
      </c>
      <c r="AP242" s="1638" t="s">
        <v>2482</v>
      </c>
      <c r="AQ242" s="1665" t="s">
        <v>386</v>
      </c>
      <c r="AR242" s="23">
        <v>45.81</v>
      </c>
      <c r="AS242" s="1638" t="s">
        <v>2493</v>
      </c>
      <c r="AT242" s="1638" t="s">
        <v>2488</v>
      </c>
      <c r="AU242" s="23">
        <v>8.7100000000000009</v>
      </c>
      <c r="AV242" s="23" t="s">
        <v>56</v>
      </c>
      <c r="AW242" s="511" t="s">
        <v>1249</v>
      </c>
      <c r="AX242" s="181">
        <v>9.4E-2</v>
      </c>
      <c r="AY242" s="511" t="s">
        <v>58</v>
      </c>
      <c r="AZ242" s="9"/>
      <c r="BA242" s="510"/>
      <c r="BB242" s="199"/>
      <c r="BC242" s="510"/>
      <c r="BD242" s="1"/>
      <c r="BE242" s="509"/>
      <c r="BF242" s="239"/>
      <c r="BG242" s="509"/>
      <c r="BH242" s="16"/>
      <c r="BI242" s="346"/>
      <c r="BJ242" s="18"/>
      <c r="BK242" s="346"/>
    </row>
    <row r="243" spans="1:63" s="8" customFormat="1" ht="71.25" customHeight="1">
      <c r="A243" s="1683"/>
      <c r="B243" s="1657"/>
      <c r="C243" s="1660"/>
      <c r="D243" s="1663"/>
      <c r="E243" s="1663"/>
      <c r="F243" s="1663"/>
      <c r="G243" s="1666"/>
      <c r="H243" s="1698"/>
      <c r="I243" s="1669"/>
      <c r="J243" s="1669"/>
      <c r="K243" s="1669"/>
      <c r="L243" s="1692"/>
      <c r="M243" s="1639"/>
      <c r="N243" s="1633"/>
      <c r="O243" s="1657"/>
      <c r="P243" s="1680"/>
      <c r="Q243" s="1695"/>
      <c r="R243" s="1695"/>
      <c r="S243" s="1695"/>
      <c r="T243" s="1639"/>
      <c r="U243" s="1639"/>
      <c r="V243" s="1666"/>
      <c r="W243" s="1639"/>
      <c r="X243" s="1639"/>
      <c r="Y243" s="1695"/>
      <c r="Z243" s="25">
        <v>1307.99</v>
      </c>
      <c r="AA243" s="1657"/>
      <c r="AB243" s="25">
        <v>1167.96</v>
      </c>
      <c r="AC243" s="1695"/>
      <c r="AD243" s="25">
        <v>1506.58</v>
      </c>
      <c r="AE243" s="1657"/>
      <c r="AF243" s="25">
        <v>946.32</v>
      </c>
      <c r="AG243" s="1645"/>
      <c r="AH243" s="10"/>
      <c r="AI243" s="1645"/>
      <c r="AJ243" s="10"/>
      <c r="AK243" s="1700"/>
      <c r="AL243" s="1700"/>
      <c r="AM243" s="1700"/>
      <c r="AN243" s="1639"/>
      <c r="AO243" s="1639"/>
      <c r="AP243" s="1639"/>
      <c r="AQ243" s="1666"/>
      <c r="AR243" s="25">
        <v>93.43</v>
      </c>
      <c r="AS243" s="1639"/>
      <c r="AT243" s="1639"/>
      <c r="AU243" s="25">
        <v>17.45</v>
      </c>
      <c r="AV243" s="25" t="s">
        <v>65</v>
      </c>
      <c r="AW243" s="512" t="s">
        <v>1249</v>
      </c>
      <c r="AX243" s="182">
        <v>0.02</v>
      </c>
      <c r="AY243" s="512" t="s">
        <v>58</v>
      </c>
      <c r="AZ243" s="397"/>
      <c r="BA243" s="510"/>
      <c r="BB243" s="199"/>
      <c r="BC243" s="510"/>
      <c r="BD243" s="9"/>
      <c r="BE243" s="510"/>
      <c r="BF243" s="199"/>
      <c r="BG243" s="510"/>
      <c r="BH243" s="20"/>
      <c r="BI243" s="347"/>
      <c r="BJ243" s="22"/>
      <c r="BK243" s="347"/>
    </row>
    <row r="244" spans="1:63" s="8" customFormat="1" ht="71.25" customHeight="1">
      <c r="A244" s="1683"/>
      <c r="B244" s="1657"/>
      <c r="C244" s="1660"/>
      <c r="D244" s="1663"/>
      <c r="E244" s="1663"/>
      <c r="F244" s="1663"/>
      <c r="G244" s="1666"/>
      <c r="H244" s="1698"/>
      <c r="I244" s="1669"/>
      <c r="J244" s="1669"/>
      <c r="K244" s="1669"/>
      <c r="L244" s="1692"/>
      <c r="M244" s="1639"/>
      <c r="N244" s="1633"/>
      <c r="O244" s="1657"/>
      <c r="P244" s="1680"/>
      <c r="Q244" s="1695"/>
      <c r="R244" s="1695"/>
      <c r="S244" s="1695"/>
      <c r="T244" s="1639"/>
      <c r="U244" s="1639"/>
      <c r="V244" s="1666"/>
      <c r="W244" s="1639"/>
      <c r="X244" s="1639"/>
      <c r="Y244" s="1695"/>
      <c r="Z244" s="25">
        <v>1134.79</v>
      </c>
      <c r="AA244" s="1657"/>
      <c r="AB244" s="25">
        <v>1013.29</v>
      </c>
      <c r="AC244" s="1695"/>
      <c r="AD244" s="25">
        <v>1307.08</v>
      </c>
      <c r="AE244" s="1657"/>
      <c r="AF244" s="25">
        <v>821</v>
      </c>
      <c r="AG244" s="1645"/>
      <c r="AH244" s="10"/>
      <c r="AI244" s="1645"/>
      <c r="AJ244" s="10"/>
      <c r="AK244" s="1700"/>
      <c r="AL244" s="1700"/>
      <c r="AM244" s="1700"/>
      <c r="AN244" s="1639"/>
      <c r="AO244" s="1639"/>
      <c r="AP244" s="1639"/>
      <c r="AQ244" s="1666"/>
      <c r="AR244" s="25">
        <v>108.29</v>
      </c>
      <c r="AS244" s="1639"/>
      <c r="AT244" s="1639"/>
      <c r="AU244" s="25">
        <v>14.78</v>
      </c>
      <c r="AV244" s="10"/>
      <c r="AW244" s="344"/>
      <c r="AX244" s="11"/>
      <c r="AY244" s="344"/>
      <c r="AZ244" s="10"/>
      <c r="BA244" s="508"/>
      <c r="BB244" s="11"/>
      <c r="BC244" s="508"/>
      <c r="BD244" s="10"/>
      <c r="BE244" s="508"/>
      <c r="BF244" s="11"/>
      <c r="BG244" s="508"/>
      <c r="BH244" s="10"/>
      <c r="BI244" s="344"/>
      <c r="BJ244" s="11"/>
      <c r="BK244" s="344"/>
    </row>
    <row r="245" spans="1:63" s="8" customFormat="1" ht="71.25" customHeight="1" thickBot="1">
      <c r="A245" s="1684"/>
      <c r="B245" s="1658"/>
      <c r="C245" s="1661"/>
      <c r="D245" s="1664"/>
      <c r="E245" s="1664"/>
      <c r="F245" s="1664"/>
      <c r="G245" s="1667"/>
      <c r="H245" s="1699"/>
      <c r="I245" s="1670"/>
      <c r="J245" s="1670"/>
      <c r="K245" s="1670"/>
      <c r="L245" s="1693"/>
      <c r="M245" s="1640"/>
      <c r="N245" s="1634"/>
      <c r="O245" s="1678"/>
      <c r="P245" s="1681"/>
      <c r="Q245" s="1696"/>
      <c r="R245" s="1696"/>
      <c r="S245" s="1696"/>
      <c r="T245" s="1640"/>
      <c r="U245" s="1640"/>
      <c r="V245" s="1667"/>
      <c r="W245" s="1640"/>
      <c r="X245" s="1640"/>
      <c r="Y245" s="1696"/>
      <c r="Z245" s="180">
        <v>1815.66</v>
      </c>
      <c r="AA245" s="1678"/>
      <c r="AB245" s="180">
        <v>1621.27</v>
      </c>
      <c r="AC245" s="1696"/>
      <c r="AD245" s="180">
        <v>2091.3200000000002</v>
      </c>
      <c r="AE245" s="1678"/>
      <c r="AF245" s="180">
        <v>1313.61</v>
      </c>
      <c r="AG245" s="1646"/>
      <c r="AH245" s="13"/>
      <c r="AI245" s="1646"/>
      <c r="AJ245" s="13"/>
      <c r="AK245" s="1701"/>
      <c r="AL245" s="1701"/>
      <c r="AM245" s="1701"/>
      <c r="AN245" s="1640"/>
      <c r="AO245" s="1640"/>
      <c r="AP245" s="1640"/>
      <c r="AQ245" s="1667"/>
      <c r="AR245" s="180">
        <v>167.31</v>
      </c>
      <c r="AS245" s="1640"/>
      <c r="AT245" s="1640"/>
      <c r="AU245" s="180">
        <v>24.36</v>
      </c>
      <c r="AV245" s="13"/>
      <c r="AW245" s="345"/>
      <c r="AX245" s="15"/>
      <c r="AY245" s="345"/>
      <c r="AZ245" s="13"/>
      <c r="BA245" s="345"/>
      <c r="BB245" s="15"/>
      <c r="BC245" s="345"/>
      <c r="BD245" s="13"/>
      <c r="BE245" s="345"/>
      <c r="BF245" s="15"/>
      <c r="BG245" s="345"/>
      <c r="BH245" s="13"/>
      <c r="BI245" s="345"/>
      <c r="BJ245" s="15"/>
      <c r="BK245" s="345"/>
    </row>
    <row r="246" spans="1:63" s="8" customFormat="1" ht="71.25" customHeight="1">
      <c r="A246" s="1801" t="s">
        <v>410</v>
      </c>
      <c r="B246" s="1656"/>
      <c r="C246" s="1717">
        <v>473251758</v>
      </c>
      <c r="D246" s="1706" t="s">
        <v>161</v>
      </c>
      <c r="E246" s="1638" t="s">
        <v>400</v>
      </c>
      <c r="F246" s="1638" t="s">
        <v>401</v>
      </c>
      <c r="G246" s="1665" t="s">
        <v>3665</v>
      </c>
      <c r="H246" s="1665" t="s">
        <v>3595</v>
      </c>
      <c r="I246" s="1668" t="s">
        <v>2474</v>
      </c>
      <c r="J246" s="1674">
        <v>42370</v>
      </c>
      <c r="K246" s="1674">
        <v>43466</v>
      </c>
      <c r="L246" s="1691">
        <v>333</v>
      </c>
      <c r="M246" s="1638" t="s">
        <v>48</v>
      </c>
      <c r="N246" s="1632" t="s">
        <v>409</v>
      </c>
      <c r="O246" s="1656"/>
      <c r="P246" s="1694" t="s">
        <v>50</v>
      </c>
      <c r="Q246" s="1694" t="s">
        <v>73</v>
      </c>
      <c r="R246" s="1697" t="s">
        <v>4227</v>
      </c>
      <c r="S246" s="1694" t="s">
        <v>72</v>
      </c>
      <c r="T246" s="1638" t="s">
        <v>317</v>
      </c>
      <c r="U246" s="1638" t="s">
        <v>2477</v>
      </c>
      <c r="V246" s="1665" t="s">
        <v>252</v>
      </c>
      <c r="W246" s="1638" t="s">
        <v>315</v>
      </c>
      <c r="X246" s="1638" t="s">
        <v>85</v>
      </c>
      <c r="Y246" s="1656" t="s">
        <v>124</v>
      </c>
      <c r="Z246" s="23">
        <v>554.71</v>
      </c>
      <c r="AA246" s="1694" t="s">
        <v>402</v>
      </c>
      <c r="AB246" s="23">
        <v>495.35</v>
      </c>
      <c r="AC246" s="1694" t="s">
        <v>403</v>
      </c>
      <c r="AD246" s="23">
        <v>432.63</v>
      </c>
      <c r="AE246" s="1694" t="s">
        <v>404</v>
      </c>
      <c r="AF246" s="23">
        <v>420.37</v>
      </c>
      <c r="AG246" s="1712" t="s">
        <v>165</v>
      </c>
      <c r="AH246" s="16">
        <v>480.4</v>
      </c>
      <c r="AI246" s="1644"/>
      <c r="AJ246" s="2"/>
      <c r="AK246" s="1632" t="s">
        <v>113</v>
      </c>
      <c r="AL246" s="1632" t="s">
        <v>245</v>
      </c>
      <c r="AM246" s="1632" t="s">
        <v>246</v>
      </c>
      <c r="AN246" s="1632" t="s">
        <v>405</v>
      </c>
      <c r="AO246" s="1632" t="s">
        <v>2489</v>
      </c>
      <c r="AP246" s="1632" t="s">
        <v>2482</v>
      </c>
      <c r="AQ246" s="1632" t="s">
        <v>390</v>
      </c>
      <c r="AR246" s="16">
        <v>44.97</v>
      </c>
      <c r="AS246" s="1632" t="s">
        <v>72</v>
      </c>
      <c r="AT246" s="1712" t="s">
        <v>247</v>
      </c>
      <c r="AU246" s="16">
        <v>7.32</v>
      </c>
      <c r="AV246" s="16" t="s">
        <v>56</v>
      </c>
      <c r="AW246" s="788" t="s">
        <v>406</v>
      </c>
      <c r="AX246" s="18">
        <v>0.13</v>
      </c>
      <c r="AY246" s="788" t="s">
        <v>58</v>
      </c>
      <c r="AZ246" s="20" t="s">
        <v>59</v>
      </c>
      <c r="BA246" s="789" t="s">
        <v>60</v>
      </c>
      <c r="BB246" s="22" t="s">
        <v>61</v>
      </c>
      <c r="BC246" s="789" t="s">
        <v>58</v>
      </c>
      <c r="BD246" s="16" t="s">
        <v>62</v>
      </c>
      <c r="BE246" s="788" t="s">
        <v>81</v>
      </c>
      <c r="BF246" s="18">
        <v>9.4E-2</v>
      </c>
      <c r="BG246" s="788" t="s">
        <v>64</v>
      </c>
      <c r="BH246" s="9" t="s">
        <v>168</v>
      </c>
      <c r="BI246" s="218"/>
      <c r="BJ246" s="18"/>
      <c r="BK246" s="218"/>
    </row>
    <row r="247" spans="1:63" s="8" customFormat="1" ht="71.25" customHeight="1">
      <c r="A247" s="1802"/>
      <c r="B247" s="1657"/>
      <c r="C247" s="1718"/>
      <c r="D247" s="1666"/>
      <c r="E247" s="1698"/>
      <c r="F247" s="1698"/>
      <c r="G247" s="1666"/>
      <c r="H247" s="1666"/>
      <c r="I247" s="1669"/>
      <c r="J247" s="1669"/>
      <c r="K247" s="1669"/>
      <c r="L247" s="1692"/>
      <c r="M247" s="1639"/>
      <c r="N247" s="1633"/>
      <c r="O247" s="1657"/>
      <c r="P247" s="1695"/>
      <c r="Q247" s="1695"/>
      <c r="R247" s="1715"/>
      <c r="S247" s="1636"/>
      <c r="T247" s="1639"/>
      <c r="U247" s="1639"/>
      <c r="V247" s="1666"/>
      <c r="W247" s="1639"/>
      <c r="X247" s="1639"/>
      <c r="Y247" s="1657"/>
      <c r="Z247" s="25">
        <v>1214.81</v>
      </c>
      <c r="AA247" s="1695"/>
      <c r="AB247" s="25">
        <v>1084.8</v>
      </c>
      <c r="AC247" s="1695"/>
      <c r="AD247" s="25">
        <v>947.47</v>
      </c>
      <c r="AE247" s="1695"/>
      <c r="AF247" s="25">
        <v>920.6</v>
      </c>
      <c r="AG247" s="1713"/>
      <c r="AH247" s="20">
        <v>1056.8800000000001</v>
      </c>
      <c r="AI247" s="1645"/>
      <c r="AJ247" s="10"/>
      <c r="AK247" s="1633"/>
      <c r="AL247" s="1633"/>
      <c r="AM247" s="1633"/>
      <c r="AN247" s="1633"/>
      <c r="AO247" s="1633"/>
      <c r="AP247" s="1633"/>
      <c r="AQ247" s="1633"/>
      <c r="AR247" s="20">
        <v>91.57</v>
      </c>
      <c r="AS247" s="1633"/>
      <c r="AT247" s="1713"/>
      <c r="AU247" s="20">
        <v>12.55</v>
      </c>
      <c r="AV247" s="20" t="s">
        <v>65</v>
      </c>
      <c r="AW247" s="789" t="s">
        <v>406</v>
      </c>
      <c r="AX247" s="22">
        <v>0.02</v>
      </c>
      <c r="AY247" s="789" t="s">
        <v>58</v>
      </c>
      <c r="AZ247" s="211" t="s">
        <v>66</v>
      </c>
      <c r="BA247" s="789" t="s">
        <v>60</v>
      </c>
      <c r="BB247" s="22" t="s">
        <v>61</v>
      </c>
      <c r="BC247" s="789" t="s">
        <v>58</v>
      </c>
      <c r="BD247" s="791" t="s">
        <v>166</v>
      </c>
      <c r="BE247" s="792" t="s">
        <v>167</v>
      </c>
      <c r="BF247" s="793">
        <v>0.26</v>
      </c>
      <c r="BG247" s="792" t="s">
        <v>64</v>
      </c>
      <c r="BH247" s="9" t="s">
        <v>169</v>
      </c>
      <c r="BI247" s="219"/>
      <c r="BJ247" s="22"/>
      <c r="BK247" s="219"/>
    </row>
    <row r="248" spans="1:63" s="8" customFormat="1" ht="71.25" customHeight="1">
      <c r="A248" s="1802"/>
      <c r="B248" s="1657"/>
      <c r="C248" s="1718"/>
      <c r="D248" s="1666"/>
      <c r="E248" s="1698"/>
      <c r="F248" s="1698"/>
      <c r="G248" s="1666"/>
      <c r="H248" s="1666"/>
      <c r="I248" s="1669"/>
      <c r="J248" s="1669"/>
      <c r="K248" s="1669"/>
      <c r="L248" s="1692"/>
      <c r="M248" s="1639"/>
      <c r="N248" s="1633"/>
      <c r="O248" s="1657"/>
      <c r="P248" s="1695"/>
      <c r="Q248" s="1695"/>
      <c r="R248" s="1715"/>
      <c r="S248" s="1636"/>
      <c r="T248" s="1639"/>
      <c r="U248" s="1639"/>
      <c r="V248" s="1666"/>
      <c r="W248" s="1639"/>
      <c r="X248" s="1639"/>
      <c r="Y248" s="1657"/>
      <c r="Z248" s="25">
        <v>1053.94</v>
      </c>
      <c r="AA248" s="1695"/>
      <c r="AB248" s="25">
        <v>941.16</v>
      </c>
      <c r="AC248" s="1695"/>
      <c r="AD248" s="25">
        <v>822</v>
      </c>
      <c r="AE248" s="1695"/>
      <c r="AF248" s="25">
        <v>798.7</v>
      </c>
      <c r="AG248" s="1713"/>
      <c r="AH248" s="20">
        <v>864.72</v>
      </c>
      <c r="AI248" s="1645"/>
      <c r="AJ248" s="10"/>
      <c r="AK248" s="1633"/>
      <c r="AL248" s="1633"/>
      <c r="AM248" s="1633"/>
      <c r="AN248" s="1633"/>
      <c r="AO248" s="1633"/>
      <c r="AP248" s="1633"/>
      <c r="AQ248" s="1633"/>
      <c r="AR248" s="20">
        <v>107.17</v>
      </c>
      <c r="AS248" s="1633"/>
      <c r="AT248" s="1713"/>
      <c r="AU248" s="20">
        <v>12.82</v>
      </c>
      <c r="AV248" s="20" t="s">
        <v>56</v>
      </c>
      <c r="AW248" s="789" t="s">
        <v>407</v>
      </c>
      <c r="AX248" s="22">
        <v>0.13</v>
      </c>
      <c r="AY248" s="789" t="s">
        <v>58</v>
      </c>
      <c r="AZ248" s="20"/>
      <c r="BA248" s="789"/>
      <c r="BB248" s="22"/>
      <c r="BC248" s="789"/>
      <c r="BD248" s="20" t="s">
        <v>67</v>
      </c>
      <c r="BE248" s="789" t="s">
        <v>82</v>
      </c>
      <c r="BF248" s="22">
        <v>0.25</v>
      </c>
      <c r="BG248" s="789" t="s">
        <v>69</v>
      </c>
      <c r="BH248" s="10"/>
      <c r="BI248" s="216"/>
      <c r="BJ248" s="11"/>
      <c r="BK248" s="216"/>
    </row>
    <row r="249" spans="1:63" s="8" customFormat="1" ht="71.25" customHeight="1" thickBot="1">
      <c r="A249" s="1803"/>
      <c r="B249" s="1658"/>
      <c r="C249" s="1719"/>
      <c r="D249" s="1667"/>
      <c r="E249" s="1699"/>
      <c r="F249" s="1699"/>
      <c r="G249" s="1667"/>
      <c r="H249" s="1667"/>
      <c r="I249" s="1670"/>
      <c r="J249" s="1670"/>
      <c r="K249" s="1670"/>
      <c r="L249" s="1693"/>
      <c r="M249" s="1640"/>
      <c r="N249" s="1634"/>
      <c r="O249" s="1678"/>
      <c r="P249" s="1696"/>
      <c r="Q249" s="1696"/>
      <c r="R249" s="1817"/>
      <c r="S249" s="1637"/>
      <c r="T249" s="1640"/>
      <c r="U249" s="1640"/>
      <c r="V249" s="1667"/>
      <c r="W249" s="1640"/>
      <c r="X249" s="1640"/>
      <c r="Y249" s="1678"/>
      <c r="Z249" s="180">
        <v>1686.31</v>
      </c>
      <c r="AA249" s="1696"/>
      <c r="AB249" s="180">
        <v>1505.85</v>
      </c>
      <c r="AC249" s="1696"/>
      <c r="AD249" s="180">
        <v>1315.2</v>
      </c>
      <c r="AE249" s="1696"/>
      <c r="AF249" s="180">
        <v>1277.9100000000001</v>
      </c>
      <c r="AG249" s="1714"/>
      <c r="AH249" s="212">
        <v>1537.28</v>
      </c>
      <c r="AI249" s="1646"/>
      <c r="AJ249" s="13"/>
      <c r="AK249" s="1634"/>
      <c r="AL249" s="1634"/>
      <c r="AM249" s="1634"/>
      <c r="AN249" s="1634"/>
      <c r="AO249" s="1634"/>
      <c r="AP249" s="1634"/>
      <c r="AQ249" s="1634"/>
      <c r="AR249" s="212">
        <v>165.28</v>
      </c>
      <c r="AS249" s="1634"/>
      <c r="AT249" s="1714"/>
      <c r="AU249" s="212">
        <v>20.67</v>
      </c>
      <c r="AV249" s="212" t="s">
        <v>65</v>
      </c>
      <c r="AW249" s="790" t="s">
        <v>407</v>
      </c>
      <c r="AX249" s="213">
        <v>0.02</v>
      </c>
      <c r="AY249" s="790" t="s">
        <v>58</v>
      </c>
      <c r="AZ249" s="212"/>
      <c r="BA249" s="790"/>
      <c r="BB249" s="213"/>
      <c r="BC249" s="790"/>
      <c r="BD249" s="212"/>
      <c r="BE249" s="790"/>
      <c r="BF249" s="213"/>
      <c r="BG249" s="790"/>
      <c r="BH249" s="13"/>
      <c r="BI249" s="217"/>
      <c r="BJ249" s="15"/>
      <c r="BK249" s="217"/>
    </row>
    <row r="250" spans="1:63" s="8" customFormat="1" ht="71.25" customHeight="1">
      <c r="A250" s="1682" t="s">
        <v>1306</v>
      </c>
      <c r="B250" s="1656"/>
      <c r="C250" s="1685">
        <v>203181818</v>
      </c>
      <c r="D250" s="1638" t="s">
        <v>1310</v>
      </c>
      <c r="E250" s="1638" t="s">
        <v>1331</v>
      </c>
      <c r="F250" s="1638" t="s">
        <v>1331</v>
      </c>
      <c r="G250" s="1665" t="s">
        <v>3654</v>
      </c>
      <c r="H250" s="1638" t="s">
        <v>1330</v>
      </c>
      <c r="I250" s="1668" t="s">
        <v>2473</v>
      </c>
      <c r="J250" s="1674">
        <v>43101</v>
      </c>
      <c r="K250" s="1674">
        <v>43466</v>
      </c>
      <c r="L250" s="1691">
        <v>34</v>
      </c>
      <c r="M250" s="1632" t="s">
        <v>1302</v>
      </c>
      <c r="N250" s="1632" t="s">
        <v>1302</v>
      </c>
      <c r="O250" s="1656"/>
      <c r="P250" s="1798" t="s">
        <v>72</v>
      </c>
      <c r="Q250" s="1694" t="s">
        <v>73</v>
      </c>
      <c r="R250" s="1694" t="s">
        <v>4244</v>
      </c>
      <c r="S250" s="1694" t="s">
        <v>4244</v>
      </c>
      <c r="T250" s="1694" t="s">
        <v>303</v>
      </c>
      <c r="U250" s="1638" t="s">
        <v>2504</v>
      </c>
      <c r="V250" s="1665" t="s">
        <v>252</v>
      </c>
      <c r="W250" s="1638" t="s">
        <v>307</v>
      </c>
      <c r="X250" s="1638" t="s">
        <v>113</v>
      </c>
      <c r="Y250" s="1694" t="s">
        <v>157</v>
      </c>
      <c r="Z250" s="23">
        <v>784.03</v>
      </c>
      <c r="AA250" s="1694" t="s">
        <v>422</v>
      </c>
      <c r="AB250" s="23">
        <v>810.97</v>
      </c>
      <c r="AC250" s="1694" t="s">
        <v>403</v>
      </c>
      <c r="AD250" s="23">
        <v>546.83000000000004</v>
      </c>
      <c r="AE250" s="1647"/>
      <c r="AF250" s="1650"/>
      <c r="AG250" s="1644"/>
      <c r="AH250" s="2"/>
      <c r="AI250" s="1644"/>
      <c r="AJ250" s="2"/>
      <c r="AK250" s="1632" t="s">
        <v>113</v>
      </c>
      <c r="AL250" s="1632" t="s">
        <v>72</v>
      </c>
      <c r="AM250" s="1632" t="s">
        <v>72</v>
      </c>
      <c r="AN250" s="1632" t="s">
        <v>113</v>
      </c>
      <c r="AO250" s="1632" t="s">
        <v>72</v>
      </c>
      <c r="AP250" s="1632" t="s">
        <v>72</v>
      </c>
      <c r="AQ250" s="1632"/>
      <c r="AR250" s="16"/>
      <c r="AS250" s="1638" t="s">
        <v>2483</v>
      </c>
      <c r="AT250" s="1638" t="s">
        <v>2486</v>
      </c>
      <c r="AU250" s="23">
        <v>9.6300000000000008</v>
      </c>
      <c r="AV250" s="16"/>
      <c r="AW250" s="558"/>
      <c r="AX250" s="18"/>
      <c r="AY250" s="558"/>
      <c r="AZ250" s="20"/>
      <c r="BA250" s="559"/>
      <c r="BB250" s="22"/>
      <c r="BC250" s="559"/>
      <c r="BD250" s="16"/>
      <c r="BE250" s="558"/>
      <c r="BF250" s="18"/>
      <c r="BG250" s="558"/>
      <c r="BH250" s="16"/>
      <c r="BI250" s="525"/>
      <c r="BJ250" s="18"/>
      <c r="BK250" s="525"/>
    </row>
    <row r="251" spans="1:63" s="8" customFormat="1" ht="71.25" customHeight="1">
      <c r="A251" s="1683"/>
      <c r="B251" s="1657"/>
      <c r="C251" s="1686"/>
      <c r="D251" s="1698"/>
      <c r="E251" s="1698"/>
      <c r="F251" s="1698"/>
      <c r="G251" s="1666"/>
      <c r="H251" s="1698"/>
      <c r="I251" s="1669"/>
      <c r="J251" s="1669"/>
      <c r="K251" s="1669"/>
      <c r="L251" s="1692"/>
      <c r="M251" s="1633"/>
      <c r="N251" s="1633"/>
      <c r="O251" s="1657"/>
      <c r="P251" s="1799"/>
      <c r="Q251" s="1695"/>
      <c r="R251" s="1695"/>
      <c r="S251" s="1695"/>
      <c r="T251" s="1695"/>
      <c r="U251" s="1639"/>
      <c r="V251" s="1666"/>
      <c r="W251" s="1639"/>
      <c r="X251" s="1639"/>
      <c r="Y251" s="1695"/>
      <c r="Z251" s="25">
        <v>1717.02</v>
      </c>
      <c r="AA251" s="1695"/>
      <c r="AB251" s="25">
        <v>1776.03</v>
      </c>
      <c r="AC251" s="1695"/>
      <c r="AD251" s="25">
        <v>1197.55</v>
      </c>
      <c r="AE251" s="1648"/>
      <c r="AF251" s="1651"/>
      <c r="AG251" s="1645"/>
      <c r="AH251" s="10"/>
      <c r="AI251" s="1645"/>
      <c r="AJ251" s="10"/>
      <c r="AK251" s="1633"/>
      <c r="AL251" s="1633"/>
      <c r="AM251" s="1633"/>
      <c r="AN251" s="1633"/>
      <c r="AO251" s="1633"/>
      <c r="AP251" s="1633"/>
      <c r="AQ251" s="1633"/>
      <c r="AR251" s="20"/>
      <c r="AS251" s="1639"/>
      <c r="AT251" s="1639"/>
      <c r="AU251" s="25">
        <v>19.3</v>
      </c>
      <c r="AV251" s="20"/>
      <c r="AW251" s="559"/>
      <c r="AX251" s="22"/>
      <c r="AY251" s="559"/>
      <c r="AZ251" s="211"/>
      <c r="BA251" s="559"/>
      <c r="BB251" s="22"/>
      <c r="BC251" s="559"/>
      <c r="BD251" s="20"/>
      <c r="BE251" s="559"/>
      <c r="BF251" s="22"/>
      <c r="BG251" s="559"/>
      <c r="BH251" s="20"/>
      <c r="BI251" s="526"/>
      <c r="BJ251" s="22"/>
      <c r="BK251" s="526"/>
    </row>
    <row r="252" spans="1:63" s="8" customFormat="1" ht="71.25" customHeight="1">
      <c r="A252" s="1683"/>
      <c r="B252" s="1657"/>
      <c r="C252" s="1686"/>
      <c r="D252" s="1698"/>
      <c r="E252" s="1698"/>
      <c r="F252" s="1698"/>
      <c r="G252" s="1666"/>
      <c r="H252" s="1698"/>
      <c r="I252" s="1669"/>
      <c r="J252" s="1669"/>
      <c r="K252" s="1669"/>
      <c r="L252" s="1692"/>
      <c r="M252" s="1633"/>
      <c r="N252" s="1633"/>
      <c r="O252" s="1657"/>
      <c r="P252" s="1799"/>
      <c r="Q252" s="1695"/>
      <c r="R252" s="1695"/>
      <c r="S252" s="1695"/>
      <c r="T252" s="1695"/>
      <c r="U252" s="1639"/>
      <c r="V252" s="1666"/>
      <c r="W252" s="1639"/>
      <c r="X252" s="1639"/>
      <c r="Y252" s="1695"/>
      <c r="Z252" s="25">
        <v>1489.65</v>
      </c>
      <c r="AA252" s="1695"/>
      <c r="AB252" s="25">
        <v>1540.85</v>
      </c>
      <c r="AC252" s="1695"/>
      <c r="AD252" s="25">
        <v>1038.97</v>
      </c>
      <c r="AE252" s="1648"/>
      <c r="AF252" s="1651"/>
      <c r="AG252" s="1645"/>
      <c r="AH252" s="10"/>
      <c r="AI252" s="1645"/>
      <c r="AJ252" s="10"/>
      <c r="AK252" s="1633"/>
      <c r="AL252" s="1633"/>
      <c r="AM252" s="1633"/>
      <c r="AN252" s="1633"/>
      <c r="AO252" s="1633"/>
      <c r="AP252" s="1633"/>
      <c r="AQ252" s="1633"/>
      <c r="AR252" s="20"/>
      <c r="AS252" s="1639"/>
      <c r="AT252" s="1639"/>
      <c r="AU252" s="25">
        <v>16.34</v>
      </c>
      <c r="AV252" s="10"/>
      <c r="AW252" s="523"/>
      <c r="AX252" s="11"/>
      <c r="AY252" s="523"/>
      <c r="AZ252" s="10"/>
      <c r="BA252" s="523"/>
      <c r="BB252" s="11"/>
      <c r="BC252" s="523"/>
      <c r="BD252" s="10"/>
      <c r="BE252" s="523"/>
      <c r="BF252" s="11"/>
      <c r="BG252" s="523"/>
      <c r="BH252" s="10"/>
      <c r="BI252" s="523"/>
      <c r="BJ252" s="11"/>
      <c r="BK252" s="523"/>
    </row>
    <row r="253" spans="1:63" s="8" customFormat="1" ht="71.25" customHeight="1" thickBot="1">
      <c r="A253" s="1684"/>
      <c r="B253" s="1658"/>
      <c r="C253" s="1687"/>
      <c r="D253" s="1699"/>
      <c r="E253" s="1699"/>
      <c r="F253" s="1699"/>
      <c r="G253" s="1667"/>
      <c r="H253" s="1699"/>
      <c r="I253" s="1670"/>
      <c r="J253" s="1670"/>
      <c r="K253" s="1670"/>
      <c r="L253" s="1693"/>
      <c r="M253" s="1634"/>
      <c r="N253" s="1634"/>
      <c r="O253" s="1678"/>
      <c r="P253" s="1800"/>
      <c r="Q253" s="1696"/>
      <c r="R253" s="1696"/>
      <c r="S253" s="1696"/>
      <c r="T253" s="1793"/>
      <c r="U253" s="1640"/>
      <c r="V253" s="1667"/>
      <c r="W253" s="1640"/>
      <c r="X253" s="1640"/>
      <c r="Y253" s="1696"/>
      <c r="Z253" s="180">
        <v>2383.44</v>
      </c>
      <c r="AA253" s="1696"/>
      <c r="AB253" s="180">
        <v>2465.36</v>
      </c>
      <c r="AC253" s="1696"/>
      <c r="AD253" s="180">
        <v>1662.36</v>
      </c>
      <c r="AE253" s="1649"/>
      <c r="AF253" s="1652"/>
      <c r="AG253" s="1646"/>
      <c r="AH253" s="13"/>
      <c r="AI253" s="1646"/>
      <c r="AJ253" s="13"/>
      <c r="AK253" s="1634"/>
      <c r="AL253" s="1634"/>
      <c r="AM253" s="1634"/>
      <c r="AN253" s="1634"/>
      <c r="AO253" s="1634"/>
      <c r="AP253" s="1634"/>
      <c r="AQ253" s="1634"/>
      <c r="AR253" s="212"/>
      <c r="AS253" s="1640"/>
      <c r="AT253" s="1640"/>
      <c r="AU253" s="180">
        <v>26.95</v>
      </c>
      <c r="AV253" s="13"/>
      <c r="AW253" s="524"/>
      <c r="AX253" s="15"/>
      <c r="AY253" s="524"/>
      <c r="AZ253" s="13"/>
      <c r="BA253" s="524"/>
      <c r="BB253" s="15"/>
      <c r="BC253" s="524"/>
      <c r="BD253" s="13"/>
      <c r="BE253" s="524"/>
      <c r="BF253" s="15"/>
      <c r="BG253" s="524"/>
      <c r="BH253" s="13"/>
      <c r="BI253" s="524"/>
      <c r="BJ253" s="15"/>
      <c r="BK253" s="524"/>
    </row>
    <row r="254" spans="1:63" s="8" customFormat="1" ht="71.25" customHeight="1">
      <c r="A254" s="1682" t="s">
        <v>3633</v>
      </c>
      <c r="B254" s="1697" t="s">
        <v>3738</v>
      </c>
      <c r="C254" s="1720">
        <v>461798608</v>
      </c>
      <c r="D254" s="1662" t="s">
        <v>3635</v>
      </c>
      <c r="E254" s="1638" t="s">
        <v>3947</v>
      </c>
      <c r="F254" s="1638" t="s">
        <v>3634</v>
      </c>
      <c r="G254" s="1638" t="s">
        <v>3665</v>
      </c>
      <c r="H254" s="1638" t="s">
        <v>4235</v>
      </c>
      <c r="I254" s="1668" t="s">
        <v>2473</v>
      </c>
      <c r="J254" s="1674">
        <v>43132</v>
      </c>
      <c r="K254" s="1674">
        <v>43466</v>
      </c>
      <c r="L254" s="1691">
        <v>88</v>
      </c>
      <c r="M254" s="1638" t="s">
        <v>48</v>
      </c>
      <c r="N254" s="1638" t="s">
        <v>354</v>
      </c>
      <c r="O254" s="1656"/>
      <c r="P254" s="1694" t="s">
        <v>50</v>
      </c>
      <c r="Q254" s="1694" t="s">
        <v>73</v>
      </c>
      <c r="R254" s="1694" t="s">
        <v>4244</v>
      </c>
      <c r="S254" s="1694" t="s">
        <v>4244</v>
      </c>
      <c r="T254" s="1638" t="s">
        <v>317</v>
      </c>
      <c r="U254" s="1638" t="s">
        <v>2477</v>
      </c>
      <c r="V254" s="1665" t="s">
        <v>252</v>
      </c>
      <c r="W254" s="1774" t="s">
        <v>315</v>
      </c>
      <c r="X254" s="1638" t="s">
        <v>113</v>
      </c>
      <c r="Y254" s="1694" t="s">
        <v>93</v>
      </c>
      <c r="Z254" s="23">
        <v>676.41</v>
      </c>
      <c r="AA254" s="1697" t="s">
        <v>403</v>
      </c>
      <c r="AB254" s="23">
        <v>424.87</v>
      </c>
      <c r="AC254" s="1759"/>
      <c r="AD254" s="2"/>
      <c r="AE254" s="1647"/>
      <c r="AF254" s="1650"/>
      <c r="AG254" s="1644"/>
      <c r="AH254" s="2"/>
      <c r="AI254" s="1644"/>
      <c r="AJ254" s="2"/>
      <c r="AK254" s="1662" t="s">
        <v>85</v>
      </c>
      <c r="AL254" s="1662" t="s">
        <v>245</v>
      </c>
      <c r="AM254" s="1662" t="s">
        <v>246</v>
      </c>
      <c r="AN254" s="1638" t="s">
        <v>248</v>
      </c>
      <c r="AO254" s="1638" t="s">
        <v>2489</v>
      </c>
      <c r="AP254" s="1638" t="s">
        <v>2482</v>
      </c>
      <c r="AQ254" s="1665" t="s">
        <v>386</v>
      </c>
      <c r="AR254" s="23">
        <v>41.58</v>
      </c>
      <c r="AS254" s="1638" t="s">
        <v>2493</v>
      </c>
      <c r="AT254" s="1638" t="s">
        <v>2488</v>
      </c>
      <c r="AU254" s="23">
        <v>8.7100000000000009</v>
      </c>
      <c r="AV254" s="23" t="s">
        <v>56</v>
      </c>
      <c r="AW254" s="682" t="s">
        <v>1249</v>
      </c>
      <c r="AX254" s="181">
        <v>9.4E-2</v>
      </c>
      <c r="AY254" s="682" t="s">
        <v>58</v>
      </c>
      <c r="AZ254" s="25" t="s">
        <v>59</v>
      </c>
      <c r="BA254" s="683" t="s">
        <v>60</v>
      </c>
      <c r="BB254" s="182" t="s">
        <v>61</v>
      </c>
      <c r="BC254" s="683" t="s">
        <v>58</v>
      </c>
      <c r="BD254" s="23" t="s">
        <v>62</v>
      </c>
      <c r="BE254" s="682" t="s">
        <v>266</v>
      </c>
      <c r="BF254" s="181">
        <v>9.6000000000000002E-2</v>
      </c>
      <c r="BG254" s="682" t="s">
        <v>64</v>
      </c>
      <c r="BH254" s="23" t="s">
        <v>94</v>
      </c>
      <c r="BI254" s="6" t="s">
        <v>95</v>
      </c>
      <c r="BJ254" s="1193" t="s">
        <v>61</v>
      </c>
      <c r="BK254" s="1191" t="s">
        <v>96</v>
      </c>
    </row>
    <row r="255" spans="1:63" s="8" customFormat="1" ht="71.25" customHeight="1">
      <c r="A255" s="1683"/>
      <c r="B255" s="1657"/>
      <c r="C255" s="1660"/>
      <c r="D255" s="1663"/>
      <c r="E255" s="1698"/>
      <c r="F255" s="1698"/>
      <c r="G255" s="1639"/>
      <c r="H255" s="1639"/>
      <c r="I255" s="1669"/>
      <c r="J255" s="1669"/>
      <c r="K255" s="1669"/>
      <c r="L255" s="1692"/>
      <c r="M255" s="1639"/>
      <c r="N255" s="1639"/>
      <c r="O255" s="1657"/>
      <c r="P255" s="1695"/>
      <c r="Q255" s="1695"/>
      <c r="R255" s="1695"/>
      <c r="S255" s="1695"/>
      <c r="T255" s="1639"/>
      <c r="U255" s="1639"/>
      <c r="V255" s="1666"/>
      <c r="W255" s="1775"/>
      <c r="X255" s="1639"/>
      <c r="Y255" s="1695"/>
      <c r="Z255" s="25">
        <v>1481.34</v>
      </c>
      <c r="AA255" s="1657"/>
      <c r="AB255" s="25">
        <v>930.47</v>
      </c>
      <c r="AC255" s="1680"/>
      <c r="AD255" s="10"/>
      <c r="AE255" s="1648"/>
      <c r="AF255" s="1651"/>
      <c r="AG255" s="1645"/>
      <c r="AH255" s="10"/>
      <c r="AI255" s="1645"/>
      <c r="AJ255" s="10"/>
      <c r="AK255" s="1700"/>
      <c r="AL255" s="1700"/>
      <c r="AM255" s="1700"/>
      <c r="AN255" s="1639"/>
      <c r="AO255" s="1639"/>
      <c r="AP255" s="1639"/>
      <c r="AQ255" s="1666"/>
      <c r="AR255" s="25">
        <v>84.77</v>
      </c>
      <c r="AS255" s="1639"/>
      <c r="AT255" s="1639"/>
      <c r="AU255" s="25">
        <v>17.45</v>
      </c>
      <c r="AV255" s="25" t="s">
        <v>65</v>
      </c>
      <c r="AW255" s="683" t="s">
        <v>1249</v>
      </c>
      <c r="AX255" s="182">
        <v>0.02</v>
      </c>
      <c r="AY255" s="683" t="s">
        <v>58</v>
      </c>
      <c r="AZ255" s="220" t="s">
        <v>66</v>
      </c>
      <c r="BA255" s="683" t="s">
        <v>60</v>
      </c>
      <c r="BB255" s="182" t="s">
        <v>61</v>
      </c>
      <c r="BC255" s="683" t="s">
        <v>58</v>
      </c>
      <c r="BD255" s="10"/>
      <c r="BE255" s="704"/>
      <c r="BF255" s="182">
        <v>0.25</v>
      </c>
      <c r="BG255" s="683" t="s">
        <v>69</v>
      </c>
      <c r="BH255" s="25" t="s">
        <v>97</v>
      </c>
      <c r="BI255" s="6" t="s">
        <v>95</v>
      </c>
      <c r="BJ255" s="1193" t="s">
        <v>61</v>
      </c>
      <c r="BK255" s="1192" t="s">
        <v>96</v>
      </c>
    </row>
    <row r="256" spans="1:63" s="8" customFormat="1" ht="71.25" customHeight="1">
      <c r="A256" s="1683"/>
      <c r="B256" s="1657"/>
      <c r="C256" s="1660"/>
      <c r="D256" s="1663"/>
      <c r="E256" s="1698"/>
      <c r="F256" s="1698"/>
      <c r="G256" s="1639"/>
      <c r="H256" s="1639"/>
      <c r="I256" s="1669"/>
      <c r="J256" s="1669"/>
      <c r="K256" s="1669"/>
      <c r="L256" s="1692"/>
      <c r="M256" s="1639"/>
      <c r="N256" s="1639"/>
      <c r="O256" s="1657"/>
      <c r="P256" s="1695"/>
      <c r="Q256" s="1695"/>
      <c r="R256" s="1695"/>
      <c r="S256" s="1695"/>
      <c r="T256" s="1639"/>
      <c r="U256" s="1639"/>
      <c r="V256" s="1666"/>
      <c r="W256" s="1775"/>
      <c r="X256" s="1639"/>
      <c r="Y256" s="1695"/>
      <c r="Z256" s="25">
        <v>1285.19</v>
      </c>
      <c r="AA256" s="1657"/>
      <c r="AB256" s="25">
        <v>807.25</v>
      </c>
      <c r="AC256" s="1680"/>
      <c r="AD256" s="10"/>
      <c r="AE256" s="1648"/>
      <c r="AF256" s="1651"/>
      <c r="AG256" s="1645"/>
      <c r="AH256" s="10"/>
      <c r="AI256" s="1645"/>
      <c r="AJ256" s="10"/>
      <c r="AK256" s="1700"/>
      <c r="AL256" s="1700"/>
      <c r="AM256" s="1700"/>
      <c r="AN256" s="1639"/>
      <c r="AO256" s="1639"/>
      <c r="AP256" s="1639"/>
      <c r="AQ256" s="1666"/>
      <c r="AR256" s="25">
        <v>97.32</v>
      </c>
      <c r="AS256" s="1639"/>
      <c r="AT256" s="1639"/>
      <c r="AU256" s="25">
        <v>14.78</v>
      </c>
      <c r="AV256" s="10"/>
      <c r="AW256" s="654"/>
      <c r="AX256" s="11"/>
      <c r="AY256" s="654"/>
      <c r="AZ256" s="10"/>
      <c r="BA256" s="654"/>
      <c r="BB256" s="11"/>
      <c r="BC256" s="654"/>
      <c r="BD256" s="10"/>
      <c r="BE256" s="654"/>
      <c r="BF256" s="11"/>
      <c r="BG256" s="654"/>
      <c r="BH256" s="25" t="s">
        <v>98</v>
      </c>
      <c r="BI256" s="182" t="s">
        <v>95</v>
      </c>
      <c r="BJ256" s="1193" t="s">
        <v>61</v>
      </c>
      <c r="BK256" s="1192" t="s">
        <v>79</v>
      </c>
    </row>
    <row r="257" spans="1:63" s="8" customFormat="1" ht="71.25" customHeight="1" thickBot="1">
      <c r="A257" s="1684"/>
      <c r="B257" s="1658"/>
      <c r="C257" s="1661"/>
      <c r="D257" s="1664"/>
      <c r="E257" s="1699"/>
      <c r="F257" s="1699"/>
      <c r="G257" s="1640"/>
      <c r="H257" s="1640"/>
      <c r="I257" s="1670"/>
      <c r="J257" s="1670"/>
      <c r="K257" s="1670"/>
      <c r="L257" s="1693"/>
      <c r="M257" s="1640"/>
      <c r="N257" s="1640"/>
      <c r="O257" s="1678"/>
      <c r="P257" s="1696"/>
      <c r="Q257" s="1696"/>
      <c r="R257" s="1696"/>
      <c r="S257" s="1696"/>
      <c r="T257" s="1640"/>
      <c r="U257" s="1640"/>
      <c r="V257" s="1667"/>
      <c r="W257" s="1776"/>
      <c r="X257" s="1640"/>
      <c r="Y257" s="1696"/>
      <c r="Z257" s="180">
        <v>2056.29</v>
      </c>
      <c r="AA257" s="1678"/>
      <c r="AB257" s="180">
        <v>1291.5999999999999</v>
      </c>
      <c r="AC257" s="1681"/>
      <c r="AD257" s="13"/>
      <c r="AE257" s="1649"/>
      <c r="AF257" s="1652"/>
      <c r="AG257" s="1646"/>
      <c r="AH257" s="13"/>
      <c r="AI257" s="1646"/>
      <c r="AJ257" s="13"/>
      <c r="AK257" s="1701"/>
      <c r="AL257" s="1701"/>
      <c r="AM257" s="1701"/>
      <c r="AN257" s="1640"/>
      <c r="AO257" s="1640"/>
      <c r="AP257" s="1640"/>
      <c r="AQ257" s="1667"/>
      <c r="AR257" s="180">
        <v>150.54</v>
      </c>
      <c r="AS257" s="1640"/>
      <c r="AT257" s="1640"/>
      <c r="AU257" s="180">
        <v>24.36</v>
      </c>
      <c r="AV257" s="13"/>
      <c r="AW257" s="655"/>
      <c r="AX257" s="15"/>
      <c r="AY257" s="655"/>
      <c r="AZ257" s="13"/>
      <c r="BA257" s="655"/>
      <c r="BB257" s="15"/>
      <c r="BC257" s="655"/>
      <c r="BD257" s="13"/>
      <c r="BE257" s="655"/>
      <c r="BF257" s="15"/>
      <c r="BG257" s="655"/>
      <c r="BH257" s="13"/>
      <c r="BI257" s="655"/>
      <c r="BJ257" s="15"/>
      <c r="BK257" s="655"/>
    </row>
    <row r="258" spans="1:63" s="8" customFormat="1" ht="71.25" customHeight="1">
      <c r="A258" s="1682" t="s">
        <v>170</v>
      </c>
      <c r="B258" s="1656"/>
      <c r="C258" s="1717">
        <v>263907550</v>
      </c>
      <c r="D258" s="1665" t="s">
        <v>171</v>
      </c>
      <c r="E258" s="1665" t="s">
        <v>172</v>
      </c>
      <c r="F258" s="1706" t="s">
        <v>172</v>
      </c>
      <c r="G258" s="1665" t="s">
        <v>3665</v>
      </c>
      <c r="H258" s="1665" t="s">
        <v>4240</v>
      </c>
      <c r="I258" s="1668" t="s">
        <v>2474</v>
      </c>
      <c r="J258" s="1674">
        <v>42705</v>
      </c>
      <c r="K258" s="1674">
        <v>43466</v>
      </c>
      <c r="L258" s="1708">
        <v>14</v>
      </c>
      <c r="M258" s="1706" t="s">
        <v>48</v>
      </c>
      <c r="N258" s="1706" t="s">
        <v>49</v>
      </c>
      <c r="O258" s="1656"/>
      <c r="P258" s="1656" t="s">
        <v>50</v>
      </c>
      <c r="Q258" s="1656" t="s">
        <v>73</v>
      </c>
      <c r="R258" s="1694" t="s">
        <v>4244</v>
      </c>
      <c r="S258" s="1694" t="s">
        <v>4244</v>
      </c>
      <c r="T258" s="1665" t="s">
        <v>303</v>
      </c>
      <c r="U258" s="1665" t="s">
        <v>2503</v>
      </c>
      <c r="V258" s="1665" t="s">
        <v>252</v>
      </c>
      <c r="W258" s="1638" t="s">
        <v>307</v>
      </c>
      <c r="X258" s="1638" t="s">
        <v>113</v>
      </c>
      <c r="Y258" s="1656" t="s">
        <v>173</v>
      </c>
      <c r="Z258" s="3">
        <v>786.13</v>
      </c>
      <c r="AA258" s="1697" t="s">
        <v>403</v>
      </c>
      <c r="AB258" s="3">
        <v>475.5</v>
      </c>
      <c r="AC258" s="1759"/>
      <c r="AD258" s="2"/>
      <c r="AE258" s="1647"/>
      <c r="AF258" s="1"/>
      <c r="AG258" s="1647"/>
      <c r="AH258" s="1"/>
      <c r="AI258" s="1647"/>
      <c r="AJ258" s="1"/>
      <c r="AK258" s="1665" t="s">
        <v>85</v>
      </c>
      <c r="AL258" s="1665" t="s">
        <v>245</v>
      </c>
      <c r="AM258" s="1665" t="s">
        <v>246</v>
      </c>
      <c r="AN258" s="1665" t="s">
        <v>250</v>
      </c>
      <c r="AO258" s="1638" t="s">
        <v>2499</v>
      </c>
      <c r="AP258" s="1638" t="s">
        <v>2481</v>
      </c>
      <c r="AQ258" s="1697" t="s">
        <v>388</v>
      </c>
      <c r="AR258" s="5">
        <v>66.400000000000006</v>
      </c>
      <c r="AS258" s="1665" t="s">
        <v>2483</v>
      </c>
      <c r="AT258" s="1665" t="s">
        <v>2484</v>
      </c>
      <c r="AU258" s="3">
        <v>8.85</v>
      </c>
      <c r="AV258" s="3" t="s">
        <v>56</v>
      </c>
      <c r="AW258" s="351" t="s">
        <v>126</v>
      </c>
      <c r="AX258" s="4">
        <v>0.09</v>
      </c>
      <c r="AY258" s="351" t="s">
        <v>58</v>
      </c>
      <c r="AZ258" s="5" t="s">
        <v>59</v>
      </c>
      <c r="BA258" s="350" t="s">
        <v>60</v>
      </c>
      <c r="BB258" s="6" t="s">
        <v>61</v>
      </c>
      <c r="BC258" s="350" t="s">
        <v>58</v>
      </c>
      <c r="BD258" s="3" t="s">
        <v>62</v>
      </c>
      <c r="BE258" s="351" t="s">
        <v>140</v>
      </c>
      <c r="BF258" s="4">
        <v>0.12</v>
      </c>
      <c r="BG258" s="351" t="s">
        <v>64</v>
      </c>
      <c r="BH258" s="23" t="s">
        <v>94</v>
      </c>
      <c r="BI258" s="6" t="s">
        <v>95</v>
      </c>
      <c r="BJ258" s="6" t="s">
        <v>61</v>
      </c>
      <c r="BK258" s="24" t="s">
        <v>96</v>
      </c>
    </row>
    <row r="259" spans="1:63" s="8" customFormat="1" ht="71.25" customHeight="1">
      <c r="A259" s="1683"/>
      <c r="B259" s="1657"/>
      <c r="C259" s="1718"/>
      <c r="D259" s="1666"/>
      <c r="E259" s="1666"/>
      <c r="F259" s="1666"/>
      <c r="G259" s="1666"/>
      <c r="H259" s="1666"/>
      <c r="I259" s="1669"/>
      <c r="J259" s="1669"/>
      <c r="K259" s="1669"/>
      <c r="L259" s="1676"/>
      <c r="M259" s="1666"/>
      <c r="N259" s="1666"/>
      <c r="O259" s="1657"/>
      <c r="P259" s="1657"/>
      <c r="Q259" s="1657"/>
      <c r="R259" s="1695"/>
      <c r="S259" s="1695"/>
      <c r="T259" s="1666"/>
      <c r="U259" s="1666"/>
      <c r="V259" s="1666"/>
      <c r="W259" s="1639"/>
      <c r="X259" s="1639"/>
      <c r="Y259" s="1657"/>
      <c r="Z259" s="5">
        <v>1721.63</v>
      </c>
      <c r="AA259" s="1657"/>
      <c r="AB259" s="5">
        <v>1041.3499999999999</v>
      </c>
      <c r="AC259" s="1680"/>
      <c r="AD259" s="10"/>
      <c r="AE259" s="1648"/>
      <c r="AF259" s="9"/>
      <c r="AG259" s="1648"/>
      <c r="AH259" s="9"/>
      <c r="AI259" s="1648"/>
      <c r="AJ259" s="9"/>
      <c r="AK259" s="1666"/>
      <c r="AL259" s="1666"/>
      <c r="AM259" s="1666"/>
      <c r="AN259" s="1666"/>
      <c r="AO259" s="1639"/>
      <c r="AP259" s="1639"/>
      <c r="AQ259" s="1657"/>
      <c r="AR259" s="5">
        <v>135.4</v>
      </c>
      <c r="AS259" s="1666"/>
      <c r="AT259" s="1666"/>
      <c r="AU259" s="5">
        <v>17.739999999999998</v>
      </c>
      <c r="AV259" s="5" t="s">
        <v>65</v>
      </c>
      <c r="AW259" s="350" t="s">
        <v>126</v>
      </c>
      <c r="AX259" s="6">
        <v>0.02</v>
      </c>
      <c r="AY259" s="350" t="s">
        <v>58</v>
      </c>
      <c r="AZ259" s="19" t="s">
        <v>66</v>
      </c>
      <c r="BA259" s="350" t="s">
        <v>60</v>
      </c>
      <c r="BB259" s="6" t="s">
        <v>61</v>
      </c>
      <c r="BC259" s="350" t="s">
        <v>58</v>
      </c>
      <c r="BD259" s="5" t="s">
        <v>67</v>
      </c>
      <c r="BE259" s="350" t="s">
        <v>68</v>
      </c>
      <c r="BF259" s="6">
        <v>0.35</v>
      </c>
      <c r="BG259" s="350" t="s">
        <v>69</v>
      </c>
      <c r="BH259" s="25" t="s">
        <v>97</v>
      </c>
      <c r="BI259" s="6" t="s">
        <v>95</v>
      </c>
      <c r="BJ259" s="6" t="s">
        <v>61</v>
      </c>
      <c r="BK259" s="26" t="s">
        <v>96</v>
      </c>
    </row>
    <row r="260" spans="1:63" s="8" customFormat="1" ht="71.25" customHeight="1">
      <c r="A260" s="1683"/>
      <c r="B260" s="1657"/>
      <c r="C260" s="1718"/>
      <c r="D260" s="1666"/>
      <c r="E260" s="1666"/>
      <c r="F260" s="1666"/>
      <c r="G260" s="1666"/>
      <c r="H260" s="1666"/>
      <c r="I260" s="1669"/>
      <c r="J260" s="1669"/>
      <c r="K260" s="1669"/>
      <c r="L260" s="1676"/>
      <c r="M260" s="1666"/>
      <c r="N260" s="1666"/>
      <c r="O260" s="1657"/>
      <c r="P260" s="1657"/>
      <c r="Q260" s="1657"/>
      <c r="R260" s="1695"/>
      <c r="S260" s="1695"/>
      <c r="T260" s="1666"/>
      <c r="U260" s="1666"/>
      <c r="V260" s="1666"/>
      <c r="W260" s="1639"/>
      <c r="X260" s="1639"/>
      <c r="Y260" s="1657"/>
      <c r="Z260" s="5">
        <v>1493.66</v>
      </c>
      <c r="AA260" s="1657"/>
      <c r="AB260" s="5">
        <v>903.45</v>
      </c>
      <c r="AC260" s="1680"/>
      <c r="AD260" s="10"/>
      <c r="AE260" s="1648"/>
      <c r="AF260" s="9"/>
      <c r="AG260" s="1648"/>
      <c r="AH260" s="9"/>
      <c r="AI260" s="1648"/>
      <c r="AJ260" s="9"/>
      <c r="AK260" s="1666"/>
      <c r="AL260" s="1666"/>
      <c r="AM260" s="1666"/>
      <c r="AN260" s="1666"/>
      <c r="AO260" s="1639"/>
      <c r="AP260" s="1639"/>
      <c r="AQ260" s="1657"/>
      <c r="AR260" s="5">
        <v>156.18</v>
      </c>
      <c r="AS260" s="1666"/>
      <c r="AT260" s="1666"/>
      <c r="AU260" s="5">
        <v>15.01</v>
      </c>
      <c r="AV260" s="10"/>
      <c r="AW260" s="348"/>
      <c r="AX260" s="11"/>
      <c r="AY260" s="348"/>
      <c r="AZ260" s="10"/>
      <c r="BA260" s="348"/>
      <c r="BB260" s="11"/>
      <c r="BC260" s="348"/>
      <c r="BD260" s="10"/>
      <c r="BE260" s="348"/>
      <c r="BF260" s="11"/>
      <c r="BG260" s="348"/>
      <c r="BH260" s="27" t="s">
        <v>98</v>
      </c>
      <c r="BI260" s="6" t="s">
        <v>95</v>
      </c>
      <c r="BJ260" s="6" t="s">
        <v>61</v>
      </c>
      <c r="BK260" s="26" t="s">
        <v>79</v>
      </c>
    </row>
    <row r="261" spans="1:63" s="8" customFormat="1" ht="71.25" customHeight="1" thickBot="1">
      <c r="A261" s="1684"/>
      <c r="B261" s="1678"/>
      <c r="C261" s="1719"/>
      <c r="D261" s="1667"/>
      <c r="E261" s="1667"/>
      <c r="F261" s="1667"/>
      <c r="G261" s="1667"/>
      <c r="H261" s="1667"/>
      <c r="I261" s="1670"/>
      <c r="J261" s="1670"/>
      <c r="K261" s="1670"/>
      <c r="L261" s="1677"/>
      <c r="M261" s="1667"/>
      <c r="N261" s="1667"/>
      <c r="O261" s="1678"/>
      <c r="P261" s="1678"/>
      <c r="Q261" s="1678"/>
      <c r="R261" s="1696"/>
      <c r="S261" s="1696"/>
      <c r="T261" s="1667"/>
      <c r="U261" s="1667"/>
      <c r="V261" s="1667"/>
      <c r="W261" s="1640"/>
      <c r="X261" s="1640"/>
      <c r="Y261" s="1678"/>
      <c r="Z261" s="14">
        <v>2389.85</v>
      </c>
      <c r="AA261" s="1678"/>
      <c r="AB261" s="14">
        <v>1445.53</v>
      </c>
      <c r="AC261" s="1681"/>
      <c r="AD261" s="13"/>
      <c r="AE261" s="1649"/>
      <c r="AF261" s="12"/>
      <c r="AG261" s="1649"/>
      <c r="AH261" s="12"/>
      <c r="AI261" s="1649"/>
      <c r="AJ261" s="12"/>
      <c r="AK261" s="1667"/>
      <c r="AL261" s="1667"/>
      <c r="AM261" s="1667"/>
      <c r="AN261" s="1667"/>
      <c r="AO261" s="1640"/>
      <c r="AP261" s="1640"/>
      <c r="AQ261" s="1678"/>
      <c r="AR261" s="14">
        <v>241.57</v>
      </c>
      <c r="AS261" s="1667"/>
      <c r="AT261" s="1667"/>
      <c r="AU261" s="14">
        <v>24.76</v>
      </c>
      <c r="AV261" s="13"/>
      <c r="AW261" s="349"/>
      <c r="AX261" s="15"/>
      <c r="AY261" s="349"/>
      <c r="AZ261" s="13"/>
      <c r="BA261" s="349"/>
      <c r="BB261" s="15"/>
      <c r="BC261" s="349"/>
      <c r="BD261" s="13"/>
      <c r="BE261" s="349"/>
      <c r="BF261" s="15"/>
      <c r="BG261" s="349"/>
      <c r="BH261" s="13"/>
      <c r="BI261" s="349"/>
      <c r="BJ261" s="15"/>
      <c r="BK261" s="349"/>
    </row>
    <row r="262" spans="1:63" s="8" customFormat="1" ht="71.25" customHeight="1">
      <c r="A262" s="1682" t="s">
        <v>174</v>
      </c>
      <c r="B262" s="1656"/>
      <c r="C262" s="1717">
        <v>452432371</v>
      </c>
      <c r="D262" s="1665" t="s">
        <v>175</v>
      </c>
      <c r="E262" s="1638" t="s">
        <v>176</v>
      </c>
      <c r="F262" s="1638" t="s">
        <v>176</v>
      </c>
      <c r="G262" s="1665" t="s">
        <v>3665</v>
      </c>
      <c r="H262" s="1665" t="s">
        <v>3591</v>
      </c>
      <c r="I262" s="1668" t="s">
        <v>2474</v>
      </c>
      <c r="J262" s="1674">
        <v>42339</v>
      </c>
      <c r="K262" s="1674">
        <v>43466</v>
      </c>
      <c r="L262" s="1675">
        <v>14</v>
      </c>
      <c r="M262" s="1638" t="s">
        <v>48</v>
      </c>
      <c r="N262" s="1706" t="s">
        <v>49</v>
      </c>
      <c r="O262" s="1656"/>
      <c r="P262" s="1679" t="s">
        <v>177</v>
      </c>
      <c r="Q262" s="1679" t="s">
        <v>72</v>
      </c>
      <c r="R262" s="1694" t="s">
        <v>4244</v>
      </c>
      <c r="S262" s="1694" t="s">
        <v>4244</v>
      </c>
      <c r="T262" s="1632" t="s">
        <v>72</v>
      </c>
      <c r="U262" s="1632" t="s">
        <v>72</v>
      </c>
      <c r="V262" s="1712" t="s">
        <v>72</v>
      </c>
      <c r="W262" s="1712"/>
      <c r="X262" s="1712"/>
      <c r="Y262" s="1712" t="s">
        <v>3583</v>
      </c>
      <c r="Z262" s="16">
        <v>357.26</v>
      </c>
      <c r="AA262" s="1632" t="s">
        <v>3584</v>
      </c>
      <c r="AB262" s="16">
        <v>452.82</v>
      </c>
      <c r="AC262" s="1712" t="s">
        <v>3585</v>
      </c>
      <c r="AD262" s="16">
        <v>404.6</v>
      </c>
      <c r="AE262" s="1647"/>
      <c r="AF262" s="1650"/>
      <c r="AG262" s="1644"/>
      <c r="AH262" s="2"/>
      <c r="AI262" s="1644"/>
      <c r="AJ262" s="2"/>
      <c r="AK262" s="1662" t="s">
        <v>85</v>
      </c>
      <c r="AL262" s="1662" t="s">
        <v>245</v>
      </c>
      <c r="AM262" s="1662" t="s">
        <v>246</v>
      </c>
      <c r="AN262" s="1638" t="s">
        <v>376</v>
      </c>
      <c r="AO262" s="1638" t="s">
        <v>2489</v>
      </c>
      <c r="AP262" s="1638" t="s">
        <v>2481</v>
      </c>
      <c r="AQ262" s="1638" t="s">
        <v>384</v>
      </c>
      <c r="AR262" s="23">
        <v>53.16</v>
      </c>
      <c r="AS262" s="1638" t="s">
        <v>2483</v>
      </c>
      <c r="AT262" s="1638" t="s">
        <v>2486</v>
      </c>
      <c r="AU262" s="23">
        <v>9.6300000000000008</v>
      </c>
      <c r="AV262" s="23" t="s">
        <v>56</v>
      </c>
      <c r="AW262" s="549" t="s">
        <v>1249</v>
      </c>
      <c r="AX262" s="181">
        <v>9.4E-2</v>
      </c>
      <c r="AY262" s="549" t="s">
        <v>58</v>
      </c>
      <c r="AZ262" s="25" t="s">
        <v>59</v>
      </c>
      <c r="BA262" s="550" t="s">
        <v>60</v>
      </c>
      <c r="BB262" s="182" t="s">
        <v>61</v>
      </c>
      <c r="BC262" s="550" t="s">
        <v>58</v>
      </c>
      <c r="BD262" s="2"/>
      <c r="BE262" s="551"/>
      <c r="BF262" s="7"/>
      <c r="BG262" s="551"/>
      <c r="BH262" s="16"/>
      <c r="BI262" s="365"/>
      <c r="BJ262" s="18"/>
      <c r="BK262" s="365"/>
    </row>
    <row r="263" spans="1:63" s="8" customFormat="1" ht="71.25" customHeight="1">
      <c r="A263" s="1683"/>
      <c r="B263" s="1657"/>
      <c r="C263" s="1718"/>
      <c r="D263" s="1666"/>
      <c r="E263" s="1698"/>
      <c r="F263" s="1698"/>
      <c r="G263" s="1666"/>
      <c r="H263" s="1666"/>
      <c r="I263" s="1669"/>
      <c r="J263" s="1669"/>
      <c r="K263" s="1669"/>
      <c r="L263" s="1676"/>
      <c r="M263" s="1639"/>
      <c r="N263" s="1666"/>
      <c r="O263" s="1657"/>
      <c r="P263" s="1680"/>
      <c r="Q263" s="1680"/>
      <c r="R263" s="1636"/>
      <c r="S263" s="1636"/>
      <c r="T263" s="1633"/>
      <c r="U263" s="1633"/>
      <c r="V263" s="1713"/>
      <c r="W263" s="1713"/>
      <c r="X263" s="1713"/>
      <c r="Y263" s="1713"/>
      <c r="Z263" s="20">
        <v>785.98</v>
      </c>
      <c r="AA263" s="1633"/>
      <c r="AB263" s="20">
        <v>996.21</v>
      </c>
      <c r="AC263" s="1713"/>
      <c r="AD263" s="20">
        <v>890.12</v>
      </c>
      <c r="AE263" s="1648"/>
      <c r="AF263" s="1651"/>
      <c r="AG263" s="1645"/>
      <c r="AH263" s="10"/>
      <c r="AI263" s="1645"/>
      <c r="AJ263" s="10"/>
      <c r="AK263" s="1700"/>
      <c r="AL263" s="1700"/>
      <c r="AM263" s="1700"/>
      <c r="AN263" s="1639"/>
      <c r="AO263" s="1639"/>
      <c r="AP263" s="1639"/>
      <c r="AQ263" s="1639"/>
      <c r="AR263" s="25">
        <v>108.38</v>
      </c>
      <c r="AS263" s="1639"/>
      <c r="AT263" s="1639"/>
      <c r="AU263" s="25">
        <v>19.3</v>
      </c>
      <c r="AV263" s="25" t="s">
        <v>65</v>
      </c>
      <c r="AW263" s="550" t="s">
        <v>1249</v>
      </c>
      <c r="AX263" s="182">
        <v>0.02</v>
      </c>
      <c r="AY263" s="550" t="s">
        <v>58</v>
      </c>
      <c r="AZ263" s="220" t="s">
        <v>66</v>
      </c>
      <c r="BA263" s="550" t="s">
        <v>60</v>
      </c>
      <c r="BB263" s="182" t="s">
        <v>61</v>
      </c>
      <c r="BC263" s="550" t="s">
        <v>58</v>
      </c>
      <c r="BD263" s="25" t="s">
        <v>67</v>
      </c>
      <c r="BE263" s="550" t="s">
        <v>82</v>
      </c>
      <c r="BF263" s="182">
        <v>0.25</v>
      </c>
      <c r="BG263" s="550" t="s">
        <v>69</v>
      </c>
      <c r="BH263" s="20"/>
      <c r="BI263" s="366"/>
      <c r="BJ263" s="22"/>
      <c r="BK263" s="366"/>
    </row>
    <row r="264" spans="1:63" s="8" customFormat="1" ht="71.25" customHeight="1">
      <c r="A264" s="1683"/>
      <c r="B264" s="1657"/>
      <c r="C264" s="1718"/>
      <c r="D264" s="1666"/>
      <c r="E264" s="1698"/>
      <c r="F264" s="1698"/>
      <c r="G264" s="1666"/>
      <c r="H264" s="1666"/>
      <c r="I264" s="1669"/>
      <c r="J264" s="1669"/>
      <c r="K264" s="1669"/>
      <c r="L264" s="1676"/>
      <c r="M264" s="1639"/>
      <c r="N264" s="1666"/>
      <c r="O264" s="1657"/>
      <c r="P264" s="1680"/>
      <c r="Q264" s="1680"/>
      <c r="R264" s="1636"/>
      <c r="S264" s="1636"/>
      <c r="T264" s="1633"/>
      <c r="U264" s="1633"/>
      <c r="V264" s="1713"/>
      <c r="W264" s="1713"/>
      <c r="X264" s="1713"/>
      <c r="Y264" s="1713"/>
      <c r="Z264" s="20">
        <v>643.05999999999995</v>
      </c>
      <c r="AA264" s="1633"/>
      <c r="AB264" s="20">
        <v>815.08</v>
      </c>
      <c r="AC264" s="1713"/>
      <c r="AD264" s="20">
        <v>728.28</v>
      </c>
      <c r="AE264" s="1648"/>
      <c r="AF264" s="1651"/>
      <c r="AG264" s="1645"/>
      <c r="AH264" s="10"/>
      <c r="AI264" s="1645"/>
      <c r="AJ264" s="10"/>
      <c r="AK264" s="1700"/>
      <c r="AL264" s="1700"/>
      <c r="AM264" s="1700"/>
      <c r="AN264" s="1639"/>
      <c r="AO264" s="1639"/>
      <c r="AP264" s="1639"/>
      <c r="AQ264" s="1639"/>
      <c r="AR264" s="25">
        <v>123.33</v>
      </c>
      <c r="AS264" s="1639"/>
      <c r="AT264" s="1639"/>
      <c r="AU264" s="25">
        <v>16.34</v>
      </c>
      <c r="AV264" s="10"/>
      <c r="AW264" s="363"/>
      <c r="AX264" s="11"/>
      <c r="AY264" s="363"/>
      <c r="AZ264" s="10"/>
      <c r="BA264" s="363"/>
      <c r="BB264" s="11"/>
      <c r="BC264" s="363"/>
      <c r="BD264" s="10"/>
      <c r="BE264" s="363"/>
      <c r="BF264" s="11"/>
      <c r="BG264" s="363"/>
      <c r="BH264" s="10"/>
      <c r="BI264" s="363"/>
      <c r="BJ264" s="11"/>
      <c r="BK264" s="363"/>
    </row>
    <row r="265" spans="1:63" s="8" customFormat="1" ht="71.25" customHeight="1" thickBot="1">
      <c r="A265" s="1684"/>
      <c r="B265" s="1658"/>
      <c r="C265" s="1719"/>
      <c r="D265" s="1667"/>
      <c r="E265" s="1699"/>
      <c r="F265" s="1699"/>
      <c r="G265" s="1667"/>
      <c r="H265" s="1667"/>
      <c r="I265" s="1670"/>
      <c r="J265" s="1670"/>
      <c r="K265" s="1670"/>
      <c r="L265" s="1677"/>
      <c r="M265" s="1640"/>
      <c r="N265" s="1667"/>
      <c r="O265" s="1678"/>
      <c r="P265" s="1681"/>
      <c r="Q265" s="1681"/>
      <c r="R265" s="1637"/>
      <c r="S265" s="1637"/>
      <c r="T265" s="1634"/>
      <c r="U265" s="1634"/>
      <c r="V265" s="1714"/>
      <c r="W265" s="1714"/>
      <c r="X265" s="1714"/>
      <c r="Y265" s="1714"/>
      <c r="Z265" s="212">
        <v>1107.5</v>
      </c>
      <c r="AA265" s="1634"/>
      <c r="AB265" s="212">
        <v>1403.75</v>
      </c>
      <c r="AC265" s="1714"/>
      <c r="AD265" s="212">
        <v>1254.26</v>
      </c>
      <c r="AE265" s="1649"/>
      <c r="AF265" s="1652"/>
      <c r="AG265" s="1646"/>
      <c r="AH265" s="13"/>
      <c r="AI265" s="1646"/>
      <c r="AJ265" s="13"/>
      <c r="AK265" s="1701"/>
      <c r="AL265" s="1701"/>
      <c r="AM265" s="1701"/>
      <c r="AN265" s="1640"/>
      <c r="AO265" s="1640"/>
      <c r="AP265" s="1640"/>
      <c r="AQ265" s="1640"/>
      <c r="AR265" s="180">
        <v>191.14</v>
      </c>
      <c r="AS265" s="1640"/>
      <c r="AT265" s="1640"/>
      <c r="AU265" s="180">
        <v>26.95</v>
      </c>
      <c r="AV265" s="13"/>
      <c r="AW265" s="364"/>
      <c r="AX265" s="15"/>
      <c r="AY265" s="364"/>
      <c r="AZ265" s="13"/>
      <c r="BA265" s="364"/>
      <c r="BB265" s="15"/>
      <c r="BC265" s="364"/>
      <c r="BD265" s="13"/>
      <c r="BE265" s="364"/>
      <c r="BF265" s="15"/>
      <c r="BG265" s="364"/>
      <c r="BH265" s="13"/>
      <c r="BI265" s="364"/>
      <c r="BJ265" s="15"/>
      <c r="BK265" s="364"/>
    </row>
    <row r="266" spans="1:63" s="8" customFormat="1" ht="71.25" customHeight="1">
      <c r="A266" s="1682" t="s">
        <v>5511</v>
      </c>
      <c r="B266" s="1697" t="s">
        <v>4141</v>
      </c>
      <c r="C266" s="1720">
        <v>200016211</v>
      </c>
      <c r="D266" s="1662" t="s">
        <v>4142</v>
      </c>
      <c r="E266" s="1638" t="s">
        <v>4318</v>
      </c>
      <c r="F266" s="1638" t="s">
        <v>4318</v>
      </c>
      <c r="G266" s="1665" t="s">
        <v>3665</v>
      </c>
      <c r="H266" s="1665" t="s">
        <v>4338</v>
      </c>
      <c r="I266" s="1668" t="s">
        <v>2473</v>
      </c>
      <c r="J266" s="1674">
        <v>43132</v>
      </c>
      <c r="K266" s="1674">
        <v>43466</v>
      </c>
      <c r="L266" s="1675">
        <v>2</v>
      </c>
      <c r="M266" s="1638" t="s">
        <v>48</v>
      </c>
      <c r="N266" s="1638" t="s">
        <v>354</v>
      </c>
      <c r="O266" s="1656"/>
      <c r="P266" s="1679" t="s">
        <v>72</v>
      </c>
      <c r="Q266" s="1694" t="s">
        <v>73</v>
      </c>
      <c r="R266" s="1694" t="s">
        <v>4244</v>
      </c>
      <c r="S266" s="1694" t="s">
        <v>4244</v>
      </c>
      <c r="T266" s="1638" t="s">
        <v>317</v>
      </c>
      <c r="U266" s="1662" t="s">
        <v>2504</v>
      </c>
      <c r="V266" s="1665" t="s">
        <v>252</v>
      </c>
      <c r="W266" s="1638" t="s">
        <v>307</v>
      </c>
      <c r="X266" s="1638" t="s">
        <v>113</v>
      </c>
      <c r="Y266" s="1656" t="s">
        <v>124</v>
      </c>
      <c r="Z266" s="23">
        <v>671.49</v>
      </c>
      <c r="AA266" s="1694" t="s">
        <v>403</v>
      </c>
      <c r="AB266" s="23">
        <v>496.93</v>
      </c>
      <c r="AC266" s="1647"/>
      <c r="AD266" s="1"/>
      <c r="AE266" s="1647"/>
      <c r="AF266" s="1650"/>
      <c r="AG266" s="1644"/>
      <c r="AH266" s="2"/>
      <c r="AI266" s="1644"/>
      <c r="AJ266" s="2"/>
      <c r="AK266" s="1632" t="s">
        <v>113</v>
      </c>
      <c r="AL266" s="1632" t="s">
        <v>72</v>
      </c>
      <c r="AM266" s="1632" t="s">
        <v>72</v>
      </c>
      <c r="AN266" s="1632" t="s">
        <v>113</v>
      </c>
      <c r="AO266" s="1632" t="s">
        <v>2494</v>
      </c>
      <c r="AP266" s="1632" t="s">
        <v>2495</v>
      </c>
      <c r="AQ266" s="1632" t="s">
        <v>72</v>
      </c>
      <c r="AR266" s="1"/>
      <c r="AS266" s="1632" t="s">
        <v>2483</v>
      </c>
      <c r="AT266" s="1632" t="s">
        <v>72</v>
      </c>
      <c r="AU266" s="1"/>
      <c r="AV266" s="16"/>
      <c r="AW266" s="716"/>
      <c r="AX266" s="18"/>
      <c r="AY266" s="716"/>
      <c r="AZ266" s="20"/>
      <c r="BA266" s="717"/>
      <c r="BB266" s="22"/>
      <c r="BC266" s="717"/>
      <c r="BD266" s="16"/>
      <c r="BE266" s="716"/>
      <c r="BF266" s="18"/>
      <c r="BG266" s="716"/>
      <c r="BH266" s="16"/>
      <c r="BI266" s="22"/>
      <c r="BJ266" s="7"/>
      <c r="BK266" s="1181"/>
    </row>
    <row r="267" spans="1:63" s="8" customFormat="1" ht="71.25" customHeight="1">
      <c r="A267" s="1683"/>
      <c r="B267" s="1657"/>
      <c r="C267" s="1660"/>
      <c r="D267" s="1663"/>
      <c r="E267" s="1698"/>
      <c r="F267" s="1698"/>
      <c r="G267" s="1666"/>
      <c r="H267" s="1666"/>
      <c r="I267" s="1669"/>
      <c r="J267" s="1669"/>
      <c r="K267" s="1669"/>
      <c r="L267" s="1676"/>
      <c r="M267" s="1639"/>
      <c r="N267" s="1639"/>
      <c r="O267" s="1657"/>
      <c r="P267" s="1680"/>
      <c r="Q267" s="1695"/>
      <c r="R267" s="1695"/>
      <c r="S267" s="1695"/>
      <c r="T267" s="1639"/>
      <c r="U267" s="1700"/>
      <c r="V267" s="1666"/>
      <c r="W267" s="1639"/>
      <c r="X267" s="1639"/>
      <c r="Y267" s="1657"/>
      <c r="Z267" s="25">
        <v>1470.56</v>
      </c>
      <c r="AA267" s="1695"/>
      <c r="AB267" s="25">
        <v>1088.27</v>
      </c>
      <c r="AC267" s="1648"/>
      <c r="AD267" s="9"/>
      <c r="AE267" s="1648"/>
      <c r="AF267" s="1651"/>
      <c r="AG267" s="1645"/>
      <c r="AH267" s="10"/>
      <c r="AI267" s="1645"/>
      <c r="AJ267" s="10"/>
      <c r="AK267" s="1633"/>
      <c r="AL267" s="1633"/>
      <c r="AM267" s="1633"/>
      <c r="AN267" s="1633"/>
      <c r="AO267" s="1633"/>
      <c r="AP267" s="1633"/>
      <c r="AQ267" s="1633"/>
      <c r="AR267" s="9"/>
      <c r="AS267" s="1633"/>
      <c r="AT267" s="1633"/>
      <c r="AU267" s="9"/>
      <c r="AV267" s="20"/>
      <c r="AW267" s="717"/>
      <c r="AX267" s="22"/>
      <c r="AY267" s="717"/>
      <c r="AZ267" s="211"/>
      <c r="BA267" s="717"/>
      <c r="BB267" s="22"/>
      <c r="BC267" s="717"/>
      <c r="BD267" s="20"/>
      <c r="BE267" s="717"/>
      <c r="BF267" s="22"/>
      <c r="BG267" s="717"/>
      <c r="BH267" s="20"/>
      <c r="BI267" s="22"/>
      <c r="BJ267" s="11"/>
      <c r="BK267" s="1179"/>
    </row>
    <row r="268" spans="1:63" s="8" customFormat="1" ht="71.25" customHeight="1">
      <c r="A268" s="1683"/>
      <c r="B268" s="1657"/>
      <c r="C268" s="1660"/>
      <c r="D268" s="1663"/>
      <c r="E268" s="1698"/>
      <c r="F268" s="1698"/>
      <c r="G268" s="1666"/>
      <c r="H268" s="1666"/>
      <c r="I268" s="1669"/>
      <c r="J268" s="1669"/>
      <c r="K268" s="1669"/>
      <c r="L268" s="1676"/>
      <c r="M268" s="1639"/>
      <c r="N268" s="1639"/>
      <c r="O268" s="1657"/>
      <c r="P268" s="1680"/>
      <c r="Q268" s="1695"/>
      <c r="R268" s="1695"/>
      <c r="S268" s="1695"/>
      <c r="T268" s="1639"/>
      <c r="U268" s="1700"/>
      <c r="V268" s="1666"/>
      <c r="W268" s="1639"/>
      <c r="X268" s="1639"/>
      <c r="Y268" s="1657"/>
      <c r="Z268" s="25">
        <v>1275.82</v>
      </c>
      <c r="AA268" s="1695"/>
      <c r="AB268" s="25">
        <v>944.16</v>
      </c>
      <c r="AC268" s="1648"/>
      <c r="AD268" s="9"/>
      <c r="AE268" s="1648"/>
      <c r="AF268" s="1651"/>
      <c r="AG268" s="1645"/>
      <c r="AH268" s="10"/>
      <c r="AI268" s="1645"/>
      <c r="AJ268" s="10"/>
      <c r="AK268" s="1633"/>
      <c r="AL268" s="1633"/>
      <c r="AM268" s="1633"/>
      <c r="AN268" s="1633"/>
      <c r="AO268" s="1633"/>
      <c r="AP268" s="1633"/>
      <c r="AQ268" s="1633"/>
      <c r="AR268" s="9"/>
      <c r="AS268" s="1633"/>
      <c r="AT268" s="1633"/>
      <c r="AU268" s="9"/>
      <c r="AV268" s="20"/>
      <c r="AW268" s="717"/>
      <c r="AX268" s="22"/>
      <c r="AY268" s="717"/>
      <c r="AZ268" s="20"/>
      <c r="BA268" s="717"/>
      <c r="BB268" s="22"/>
      <c r="BC268" s="717"/>
      <c r="BD268" s="20"/>
      <c r="BE268" s="717"/>
      <c r="BF268" s="22"/>
      <c r="BG268" s="717"/>
      <c r="BH268" s="20"/>
      <c r="BI268" s="22"/>
      <c r="BJ268" s="11"/>
      <c r="BK268" s="1179"/>
    </row>
    <row r="269" spans="1:63" s="8" customFormat="1" ht="71.25" customHeight="1" thickBot="1">
      <c r="A269" s="1684"/>
      <c r="B269" s="1658"/>
      <c r="C269" s="1661"/>
      <c r="D269" s="1664"/>
      <c r="E269" s="1699"/>
      <c r="F269" s="1699"/>
      <c r="G269" s="1667"/>
      <c r="H269" s="1667"/>
      <c r="I269" s="1670"/>
      <c r="J269" s="1670"/>
      <c r="K269" s="1670"/>
      <c r="L269" s="1677"/>
      <c r="M269" s="1640"/>
      <c r="N269" s="1640"/>
      <c r="O269" s="1678"/>
      <c r="P269" s="1681"/>
      <c r="Q269" s="1696"/>
      <c r="R269" s="1696"/>
      <c r="S269" s="1696"/>
      <c r="T269" s="1640"/>
      <c r="U269" s="1701"/>
      <c r="V269" s="1667"/>
      <c r="W269" s="1640"/>
      <c r="X269" s="1640"/>
      <c r="Y269" s="1678"/>
      <c r="Z269" s="180">
        <v>2041.32</v>
      </c>
      <c r="AA269" s="1696"/>
      <c r="AB269" s="180">
        <v>1510.65</v>
      </c>
      <c r="AC269" s="1649"/>
      <c r="AD269" s="12"/>
      <c r="AE269" s="1649"/>
      <c r="AF269" s="1652"/>
      <c r="AG269" s="1646"/>
      <c r="AH269" s="13"/>
      <c r="AI269" s="1646"/>
      <c r="AJ269" s="13"/>
      <c r="AK269" s="1634"/>
      <c r="AL269" s="1634"/>
      <c r="AM269" s="1634"/>
      <c r="AN269" s="1634"/>
      <c r="AO269" s="1634"/>
      <c r="AP269" s="1634"/>
      <c r="AQ269" s="1634"/>
      <c r="AR269" s="12"/>
      <c r="AS269" s="1634"/>
      <c r="AT269" s="1634"/>
      <c r="AU269" s="12"/>
      <c r="AV269" s="13"/>
      <c r="AW269" s="713"/>
      <c r="AX269" s="15"/>
      <c r="AY269" s="713"/>
      <c r="AZ269" s="13"/>
      <c r="BA269" s="713"/>
      <c r="BB269" s="15"/>
      <c r="BC269" s="713"/>
      <c r="BD269" s="13"/>
      <c r="BE269" s="713"/>
      <c r="BF269" s="15"/>
      <c r="BG269" s="713"/>
      <c r="BH269" s="13"/>
      <c r="BI269" s="713"/>
      <c r="BJ269" s="15"/>
      <c r="BK269" s="713"/>
    </row>
    <row r="270" spans="1:63" s="8" customFormat="1" ht="71.25" customHeight="1">
      <c r="A270" s="1682" t="s">
        <v>4201</v>
      </c>
      <c r="B270" s="1656"/>
      <c r="C270" s="1720">
        <v>30424831</v>
      </c>
      <c r="D270" s="1662" t="s">
        <v>4200</v>
      </c>
      <c r="E270" s="1638" t="s">
        <v>4288</v>
      </c>
      <c r="F270" s="1638" t="s">
        <v>4288</v>
      </c>
      <c r="G270" s="1665" t="s">
        <v>3665</v>
      </c>
      <c r="H270" s="1662" t="s">
        <v>4351</v>
      </c>
      <c r="I270" s="1668" t="s">
        <v>2473</v>
      </c>
      <c r="J270" s="1674">
        <v>43191</v>
      </c>
      <c r="K270" s="1674">
        <v>43466</v>
      </c>
      <c r="L270" s="1675">
        <v>54</v>
      </c>
      <c r="M270" s="1638" t="s">
        <v>48</v>
      </c>
      <c r="N270" s="1638" t="s">
        <v>354</v>
      </c>
      <c r="O270" s="1694"/>
      <c r="P270" s="1694" t="s">
        <v>50</v>
      </c>
      <c r="Q270" s="1679" t="s">
        <v>72</v>
      </c>
      <c r="R270" s="1694" t="s">
        <v>4244</v>
      </c>
      <c r="S270" s="1694" t="s">
        <v>4244</v>
      </c>
      <c r="T270" s="1638" t="s">
        <v>317</v>
      </c>
      <c r="U270" s="1638" t="s">
        <v>2477</v>
      </c>
      <c r="V270" s="1665" t="s">
        <v>252</v>
      </c>
      <c r="W270" s="1638" t="s">
        <v>307</v>
      </c>
      <c r="X270" s="1638" t="s">
        <v>113</v>
      </c>
      <c r="Y270" s="1697" t="s">
        <v>124</v>
      </c>
      <c r="Z270" s="23">
        <v>554.71</v>
      </c>
      <c r="AA270" s="1638" t="s">
        <v>158</v>
      </c>
      <c r="AB270" s="23">
        <v>495.35</v>
      </c>
      <c r="AC270" s="1694" t="s">
        <v>93</v>
      </c>
      <c r="AD270" s="23">
        <v>653.54</v>
      </c>
      <c r="AE270" s="1712" t="s">
        <v>439</v>
      </c>
      <c r="AF270" s="1650"/>
      <c r="AG270" s="1644"/>
      <c r="AH270" s="2"/>
      <c r="AI270" s="1644"/>
      <c r="AJ270" s="2"/>
      <c r="AK270" s="1662" t="s">
        <v>85</v>
      </c>
      <c r="AL270" s="1662" t="s">
        <v>245</v>
      </c>
      <c r="AM270" s="1662" t="s">
        <v>246</v>
      </c>
      <c r="AN270" s="1638" t="s">
        <v>376</v>
      </c>
      <c r="AO270" s="1638" t="s">
        <v>2480</v>
      </c>
      <c r="AP270" s="1638" t="s">
        <v>2482</v>
      </c>
      <c r="AQ270" s="1638" t="s">
        <v>384</v>
      </c>
      <c r="AR270" s="23">
        <v>55.11</v>
      </c>
      <c r="AS270" s="1638" t="s">
        <v>2482</v>
      </c>
      <c r="AT270" s="1665" t="s">
        <v>2486</v>
      </c>
      <c r="AU270" s="23">
        <v>8.56</v>
      </c>
      <c r="AV270" s="23" t="s">
        <v>56</v>
      </c>
      <c r="AW270" s="920" t="s">
        <v>1249</v>
      </c>
      <c r="AX270" s="181">
        <v>9.4E-2</v>
      </c>
      <c r="AY270" s="920" t="s">
        <v>58</v>
      </c>
      <c r="AZ270" s="25" t="s">
        <v>59</v>
      </c>
      <c r="BA270" s="921" t="s">
        <v>60</v>
      </c>
      <c r="BB270" s="182" t="s">
        <v>61</v>
      </c>
      <c r="BC270" s="921" t="s">
        <v>58</v>
      </c>
      <c r="BD270" s="23" t="s">
        <v>62</v>
      </c>
      <c r="BE270" s="920" t="s">
        <v>101</v>
      </c>
      <c r="BF270" s="181">
        <v>9.7000000000000003E-2</v>
      </c>
      <c r="BG270" s="920" t="s">
        <v>64</v>
      </c>
      <c r="BH270" s="2"/>
      <c r="BI270" s="926"/>
      <c r="BJ270" s="7"/>
      <c r="BK270" s="1181"/>
    </row>
    <row r="271" spans="1:63" s="8" customFormat="1" ht="71.25" customHeight="1">
      <c r="A271" s="1683"/>
      <c r="B271" s="1657"/>
      <c r="C271" s="1660"/>
      <c r="D271" s="1663"/>
      <c r="E271" s="1698"/>
      <c r="F271" s="1698"/>
      <c r="G271" s="1666"/>
      <c r="H271" s="1663"/>
      <c r="I271" s="1669"/>
      <c r="J271" s="1669"/>
      <c r="K271" s="1669"/>
      <c r="L271" s="1676"/>
      <c r="M271" s="1639"/>
      <c r="N271" s="1639"/>
      <c r="O271" s="1695"/>
      <c r="P271" s="1695"/>
      <c r="Q271" s="1680"/>
      <c r="R271" s="1695"/>
      <c r="S271" s="1695"/>
      <c r="T271" s="1639"/>
      <c r="U271" s="1639"/>
      <c r="V271" s="1666"/>
      <c r="W271" s="1639"/>
      <c r="X271" s="1639"/>
      <c r="Y271" s="1657"/>
      <c r="Z271" s="25">
        <v>1214.81</v>
      </c>
      <c r="AA271" s="1639"/>
      <c r="AB271" s="25">
        <v>1084.8</v>
      </c>
      <c r="AC271" s="1695"/>
      <c r="AD271" s="25">
        <v>1431.25</v>
      </c>
      <c r="AE271" s="1713"/>
      <c r="AF271" s="1651"/>
      <c r="AG271" s="1645"/>
      <c r="AH271" s="10"/>
      <c r="AI271" s="1645"/>
      <c r="AJ271" s="10"/>
      <c r="AK271" s="1700"/>
      <c r="AL271" s="1700"/>
      <c r="AM271" s="1700"/>
      <c r="AN271" s="1639"/>
      <c r="AO271" s="1639"/>
      <c r="AP271" s="1639"/>
      <c r="AQ271" s="1639"/>
      <c r="AR271" s="25">
        <v>112.35</v>
      </c>
      <c r="AS271" s="1639"/>
      <c r="AT271" s="1666"/>
      <c r="AU271" s="25">
        <v>17.149999999999999</v>
      </c>
      <c r="AV271" s="25" t="s">
        <v>65</v>
      </c>
      <c r="AW271" s="921" t="s">
        <v>1249</v>
      </c>
      <c r="AX271" s="182">
        <v>0.02</v>
      </c>
      <c r="AY271" s="921" t="s">
        <v>58</v>
      </c>
      <c r="AZ271" s="220" t="s">
        <v>66</v>
      </c>
      <c r="BA271" s="921" t="s">
        <v>60</v>
      </c>
      <c r="BB271" s="182" t="s">
        <v>61</v>
      </c>
      <c r="BC271" s="921" t="s">
        <v>58</v>
      </c>
      <c r="BD271" s="220" t="s">
        <v>67</v>
      </c>
      <c r="BE271" s="671" t="s">
        <v>82</v>
      </c>
      <c r="BF271" s="670">
        <v>0.25</v>
      </c>
      <c r="BG271" s="671" t="s">
        <v>69</v>
      </c>
      <c r="BH271" s="10"/>
      <c r="BI271" s="927"/>
      <c r="BJ271" s="11"/>
      <c r="BK271" s="1179"/>
    </row>
    <row r="272" spans="1:63" s="8" customFormat="1" ht="71.25" customHeight="1">
      <c r="A272" s="1683"/>
      <c r="B272" s="1657"/>
      <c r="C272" s="1660"/>
      <c r="D272" s="1663"/>
      <c r="E272" s="1698"/>
      <c r="F272" s="1698"/>
      <c r="G272" s="1666"/>
      <c r="H272" s="1663"/>
      <c r="I272" s="1669"/>
      <c r="J272" s="1669"/>
      <c r="K272" s="1669"/>
      <c r="L272" s="1676"/>
      <c r="M272" s="1639"/>
      <c r="N272" s="1639"/>
      <c r="O272" s="1695"/>
      <c r="P272" s="1695"/>
      <c r="Q272" s="1680"/>
      <c r="R272" s="1695"/>
      <c r="S272" s="1695"/>
      <c r="T272" s="1639"/>
      <c r="U272" s="1639"/>
      <c r="V272" s="1666"/>
      <c r="W272" s="1639"/>
      <c r="X272" s="1639"/>
      <c r="Y272" s="1657"/>
      <c r="Z272" s="25">
        <v>1053.94</v>
      </c>
      <c r="AA272" s="1639"/>
      <c r="AB272" s="25">
        <v>941.16</v>
      </c>
      <c r="AC272" s="1695"/>
      <c r="AD272" s="25">
        <v>1241.73</v>
      </c>
      <c r="AE272" s="1713"/>
      <c r="AF272" s="1651"/>
      <c r="AG272" s="1645"/>
      <c r="AH272" s="10"/>
      <c r="AI272" s="1645"/>
      <c r="AJ272" s="10"/>
      <c r="AK272" s="1700"/>
      <c r="AL272" s="1700"/>
      <c r="AM272" s="1700"/>
      <c r="AN272" s="1639"/>
      <c r="AO272" s="1639"/>
      <c r="AP272" s="1639"/>
      <c r="AQ272" s="1639"/>
      <c r="AR272" s="25">
        <v>130.35</v>
      </c>
      <c r="AS272" s="1639"/>
      <c r="AT272" s="1666"/>
      <c r="AU272" s="25">
        <v>14.53</v>
      </c>
      <c r="AV272" s="10"/>
      <c r="AW272" s="779"/>
      <c r="AX272" s="11"/>
      <c r="AY272" s="779"/>
      <c r="AZ272" s="10"/>
      <c r="BA272" s="779"/>
      <c r="BB272" s="11"/>
      <c r="BC272" s="779"/>
      <c r="BD272" s="924" t="s">
        <v>4287</v>
      </c>
      <c r="BE272" s="922" t="s">
        <v>167</v>
      </c>
      <c r="BF272" s="925">
        <v>3.68</v>
      </c>
      <c r="BG272" s="922" t="s">
        <v>64</v>
      </c>
      <c r="BH272" s="10"/>
      <c r="BI272" s="927"/>
      <c r="BJ272" s="11"/>
      <c r="BK272" s="1179"/>
    </row>
    <row r="273" spans="1:63" s="8" customFormat="1" ht="71.25" customHeight="1" thickBot="1">
      <c r="A273" s="1684"/>
      <c r="B273" s="1658"/>
      <c r="C273" s="1661"/>
      <c r="D273" s="1664"/>
      <c r="E273" s="1699"/>
      <c r="F273" s="1699"/>
      <c r="G273" s="1667"/>
      <c r="H273" s="1664"/>
      <c r="I273" s="1670"/>
      <c r="J273" s="1670"/>
      <c r="K273" s="1670"/>
      <c r="L273" s="1677"/>
      <c r="M273" s="1640"/>
      <c r="N273" s="1640"/>
      <c r="O273" s="1696"/>
      <c r="P273" s="1696"/>
      <c r="Q273" s="1681"/>
      <c r="R273" s="1696"/>
      <c r="S273" s="1696"/>
      <c r="T273" s="1640"/>
      <c r="U273" s="1640"/>
      <c r="V273" s="1667"/>
      <c r="W273" s="1640"/>
      <c r="X273" s="1640"/>
      <c r="Y273" s="1678"/>
      <c r="Z273" s="180">
        <v>1686.31</v>
      </c>
      <c r="AA273" s="1640"/>
      <c r="AB273" s="180">
        <v>1505.85</v>
      </c>
      <c r="AC273" s="1696"/>
      <c r="AD273" s="180">
        <v>1986.75</v>
      </c>
      <c r="AE273" s="1714"/>
      <c r="AF273" s="1652"/>
      <c r="AG273" s="1646"/>
      <c r="AH273" s="13"/>
      <c r="AI273" s="1646"/>
      <c r="AJ273" s="13"/>
      <c r="AK273" s="1701"/>
      <c r="AL273" s="1701"/>
      <c r="AM273" s="1701"/>
      <c r="AN273" s="1640"/>
      <c r="AO273" s="1640"/>
      <c r="AP273" s="1640"/>
      <c r="AQ273" s="1640"/>
      <c r="AR273" s="180">
        <v>201.29</v>
      </c>
      <c r="AS273" s="1640"/>
      <c r="AT273" s="1667"/>
      <c r="AU273" s="180">
        <v>23.96</v>
      </c>
      <c r="AV273" s="13"/>
      <c r="AW273" s="780"/>
      <c r="AX273" s="15"/>
      <c r="AY273" s="780"/>
      <c r="AZ273" s="13"/>
      <c r="BA273" s="780"/>
      <c r="BB273" s="15"/>
      <c r="BC273" s="780"/>
      <c r="BD273" s="13"/>
      <c r="BE273" s="780"/>
      <c r="BF273" s="15"/>
      <c r="BG273" s="780"/>
      <c r="BH273" s="13"/>
      <c r="BI273" s="780"/>
      <c r="BJ273" s="15"/>
      <c r="BK273" s="780"/>
    </row>
    <row r="274" spans="1:63" s="8" customFormat="1" ht="71.25" customHeight="1">
      <c r="A274" s="1705" t="s">
        <v>178</v>
      </c>
      <c r="B274" s="1656"/>
      <c r="C274" s="1717">
        <v>264608755</v>
      </c>
      <c r="D274" s="1706" t="s">
        <v>179</v>
      </c>
      <c r="E274" s="1665" t="s">
        <v>1317</v>
      </c>
      <c r="F274" s="1665" t="s">
        <v>1317</v>
      </c>
      <c r="G274" s="1665" t="s">
        <v>3665</v>
      </c>
      <c r="H274" s="1665" t="s">
        <v>4337</v>
      </c>
      <c r="I274" s="1668" t="s">
        <v>2474</v>
      </c>
      <c r="J274" s="1674">
        <v>42795</v>
      </c>
      <c r="K274" s="1674">
        <v>43466</v>
      </c>
      <c r="L274" s="1708">
        <v>4</v>
      </c>
      <c r="M274" s="1706" t="s">
        <v>48</v>
      </c>
      <c r="N274" s="1662" t="s">
        <v>354</v>
      </c>
      <c r="O274" s="1656"/>
      <c r="P274" s="1679" t="s">
        <v>72</v>
      </c>
      <c r="Q274" s="1656" t="s">
        <v>73</v>
      </c>
      <c r="R274" s="1694" t="s">
        <v>4244</v>
      </c>
      <c r="S274" s="1694" t="s">
        <v>4244</v>
      </c>
      <c r="T274" s="1662" t="s">
        <v>317</v>
      </c>
      <c r="U274" s="1662" t="s">
        <v>2503</v>
      </c>
      <c r="V274" s="1665" t="s">
        <v>252</v>
      </c>
      <c r="W274" s="1662" t="s">
        <v>315</v>
      </c>
      <c r="X274" s="1662" t="s">
        <v>113</v>
      </c>
      <c r="Y274" s="1697" t="s">
        <v>403</v>
      </c>
      <c r="Z274" s="81">
        <v>447.23</v>
      </c>
      <c r="AA274" s="1647"/>
      <c r="AB274" s="1"/>
      <c r="AC274" s="1647"/>
      <c r="AD274" s="1"/>
      <c r="AE274" s="1647"/>
      <c r="AF274" s="1"/>
      <c r="AG274" s="1647"/>
      <c r="AH274" s="1"/>
      <c r="AI274" s="1647"/>
      <c r="AJ274" s="1"/>
      <c r="AK274" s="1706" t="s">
        <v>85</v>
      </c>
      <c r="AL274" s="1665" t="s">
        <v>245</v>
      </c>
      <c r="AM274" s="1665" t="s">
        <v>246</v>
      </c>
      <c r="AN274" s="1665" t="s">
        <v>248</v>
      </c>
      <c r="AO274" s="1662" t="s">
        <v>2501</v>
      </c>
      <c r="AP274" s="1662" t="s">
        <v>2495</v>
      </c>
      <c r="AQ274" s="1697" t="s">
        <v>386</v>
      </c>
      <c r="AR274" s="81">
        <v>65.239999999999995</v>
      </c>
      <c r="AS274" s="1662" t="s">
        <v>2483</v>
      </c>
      <c r="AT274" s="1665" t="s">
        <v>2484</v>
      </c>
      <c r="AU274" s="23">
        <v>8.85</v>
      </c>
      <c r="AV274" s="3" t="s">
        <v>56</v>
      </c>
      <c r="AW274" s="597" t="s">
        <v>57</v>
      </c>
      <c r="AX274" s="181">
        <v>9.0999999999999998E-2</v>
      </c>
      <c r="AY274" s="597" t="s">
        <v>58</v>
      </c>
      <c r="AZ274" s="5" t="s">
        <v>59</v>
      </c>
      <c r="BA274" s="593" t="s">
        <v>60</v>
      </c>
      <c r="BB274" s="6" t="s">
        <v>61</v>
      </c>
      <c r="BC274" s="593" t="s">
        <v>58</v>
      </c>
      <c r="BD274" s="3" t="s">
        <v>62</v>
      </c>
      <c r="BE274" s="597" t="s">
        <v>81</v>
      </c>
      <c r="BF274" s="181">
        <v>9.4E-2</v>
      </c>
      <c r="BG274" s="597" t="s">
        <v>64</v>
      </c>
      <c r="BH274" s="2"/>
      <c r="BI274" s="594"/>
      <c r="BJ274" s="7"/>
      <c r="BK274" s="594"/>
    </row>
    <row r="275" spans="1:63" s="8" customFormat="1" ht="71.25" customHeight="1">
      <c r="A275" s="1683"/>
      <c r="B275" s="1657"/>
      <c r="C275" s="1718"/>
      <c r="D275" s="1666"/>
      <c r="E275" s="1666"/>
      <c r="F275" s="1666"/>
      <c r="G275" s="1666"/>
      <c r="H275" s="1666"/>
      <c r="I275" s="1669"/>
      <c r="J275" s="1669"/>
      <c r="K275" s="1669"/>
      <c r="L275" s="1676"/>
      <c r="M275" s="1666"/>
      <c r="N275" s="1700"/>
      <c r="O275" s="1657"/>
      <c r="P275" s="1680"/>
      <c r="Q275" s="1657"/>
      <c r="R275" s="1695"/>
      <c r="S275" s="1695"/>
      <c r="T275" s="1700"/>
      <c r="U275" s="1700"/>
      <c r="V275" s="1666"/>
      <c r="W275" s="1700"/>
      <c r="X275" s="1700"/>
      <c r="Y275" s="1657"/>
      <c r="Z275" s="27">
        <v>979.45</v>
      </c>
      <c r="AA275" s="1648"/>
      <c r="AB275" s="9"/>
      <c r="AC275" s="1648"/>
      <c r="AD275" s="9"/>
      <c r="AE275" s="1648"/>
      <c r="AF275" s="9"/>
      <c r="AG275" s="1648"/>
      <c r="AH275" s="9"/>
      <c r="AI275" s="1648"/>
      <c r="AJ275" s="9"/>
      <c r="AK275" s="1666"/>
      <c r="AL275" s="1666"/>
      <c r="AM275" s="1666"/>
      <c r="AN275" s="1666"/>
      <c r="AO275" s="1700"/>
      <c r="AP275" s="1700"/>
      <c r="AQ275" s="1657"/>
      <c r="AR275" s="27">
        <v>133.04</v>
      </c>
      <c r="AS275" s="1700"/>
      <c r="AT275" s="1666"/>
      <c r="AU275" s="25">
        <v>17.739999999999998</v>
      </c>
      <c r="AV275" s="19" t="s">
        <v>65</v>
      </c>
      <c r="AW275" s="29" t="s">
        <v>57</v>
      </c>
      <c r="AX275" s="182">
        <v>0.02</v>
      </c>
      <c r="AY275" s="29" t="s">
        <v>58</v>
      </c>
      <c r="AZ275" s="19" t="s">
        <v>66</v>
      </c>
      <c r="BA275" s="593" t="s">
        <v>60</v>
      </c>
      <c r="BB275" s="6" t="s">
        <v>61</v>
      </c>
      <c r="BC275" s="593" t="s">
        <v>58</v>
      </c>
      <c r="BD275" s="5" t="s">
        <v>67</v>
      </c>
      <c r="BE275" s="593" t="s">
        <v>82</v>
      </c>
      <c r="BF275" s="182">
        <v>0.25</v>
      </c>
      <c r="BG275" s="593" t="s">
        <v>69</v>
      </c>
      <c r="BH275" s="10"/>
      <c r="BI275" s="595"/>
      <c r="BJ275" s="11"/>
      <c r="BK275" s="595"/>
    </row>
    <row r="276" spans="1:63" s="8" customFormat="1" ht="71.25" customHeight="1">
      <c r="A276" s="1683"/>
      <c r="B276" s="1657"/>
      <c r="C276" s="1718"/>
      <c r="D276" s="1666"/>
      <c r="E276" s="1666"/>
      <c r="F276" s="1666"/>
      <c r="G276" s="1666"/>
      <c r="H276" s="1666"/>
      <c r="I276" s="1669"/>
      <c r="J276" s="1669"/>
      <c r="K276" s="1669"/>
      <c r="L276" s="1676"/>
      <c r="M276" s="1666"/>
      <c r="N276" s="1700"/>
      <c r="O276" s="1657"/>
      <c r="P276" s="1680"/>
      <c r="Q276" s="1657"/>
      <c r="R276" s="1695"/>
      <c r="S276" s="1695"/>
      <c r="T276" s="1700"/>
      <c r="U276" s="1700"/>
      <c r="V276" s="1666"/>
      <c r="W276" s="1700"/>
      <c r="X276" s="1700"/>
      <c r="Y276" s="1657"/>
      <c r="Z276" s="27">
        <v>849.74</v>
      </c>
      <c r="AA276" s="1648"/>
      <c r="AB276" s="9"/>
      <c r="AC276" s="1648"/>
      <c r="AD276" s="9"/>
      <c r="AE276" s="1648"/>
      <c r="AF276" s="9"/>
      <c r="AG276" s="1648"/>
      <c r="AH276" s="9"/>
      <c r="AI276" s="1648"/>
      <c r="AJ276" s="9"/>
      <c r="AK276" s="1666"/>
      <c r="AL276" s="1666"/>
      <c r="AM276" s="1666"/>
      <c r="AN276" s="1666"/>
      <c r="AO276" s="1700"/>
      <c r="AP276" s="1700"/>
      <c r="AQ276" s="1657"/>
      <c r="AR276" s="27">
        <v>150.27000000000001</v>
      </c>
      <c r="AS276" s="1700"/>
      <c r="AT276" s="1666"/>
      <c r="AU276" s="25">
        <v>15.01</v>
      </c>
      <c r="AV276" s="10"/>
      <c r="AW276" s="595"/>
      <c r="AX276" s="11"/>
      <c r="AY276" s="595"/>
      <c r="AZ276" s="10"/>
      <c r="BA276" s="595"/>
      <c r="BB276" s="11"/>
      <c r="BC276" s="595"/>
      <c r="BD276" s="10"/>
      <c r="BE276" s="595"/>
      <c r="BF276" s="11"/>
      <c r="BG276" s="595"/>
      <c r="BH276" s="10"/>
      <c r="BI276" s="595"/>
      <c r="BJ276" s="11"/>
      <c r="BK276" s="595"/>
    </row>
    <row r="277" spans="1:63" s="8" customFormat="1" ht="71.25" customHeight="1" thickBot="1">
      <c r="A277" s="1684"/>
      <c r="B277" s="1678"/>
      <c r="C277" s="1719"/>
      <c r="D277" s="1667"/>
      <c r="E277" s="1667"/>
      <c r="F277" s="1667"/>
      <c r="G277" s="1667"/>
      <c r="H277" s="1667"/>
      <c r="I277" s="1670"/>
      <c r="J277" s="1670"/>
      <c r="K277" s="1670"/>
      <c r="L277" s="1677"/>
      <c r="M277" s="1667"/>
      <c r="N277" s="1701"/>
      <c r="O277" s="1678"/>
      <c r="P277" s="1681"/>
      <c r="Q277" s="1678"/>
      <c r="R277" s="1696"/>
      <c r="S277" s="1696"/>
      <c r="T277" s="1701"/>
      <c r="U277" s="1701"/>
      <c r="V277" s="1667"/>
      <c r="W277" s="1701"/>
      <c r="X277" s="1701"/>
      <c r="Y277" s="1678"/>
      <c r="Z277" s="82">
        <v>1359.58</v>
      </c>
      <c r="AA277" s="1649"/>
      <c r="AB277" s="12"/>
      <c r="AC277" s="1649"/>
      <c r="AD277" s="12"/>
      <c r="AE277" s="1649"/>
      <c r="AF277" s="12"/>
      <c r="AG277" s="1649"/>
      <c r="AH277" s="12"/>
      <c r="AI277" s="1649"/>
      <c r="AJ277" s="12"/>
      <c r="AK277" s="1667"/>
      <c r="AL277" s="1667"/>
      <c r="AM277" s="1667"/>
      <c r="AN277" s="1667"/>
      <c r="AO277" s="1701"/>
      <c r="AP277" s="1701"/>
      <c r="AQ277" s="1678"/>
      <c r="AR277" s="82">
        <v>233.65</v>
      </c>
      <c r="AS277" s="1701"/>
      <c r="AT277" s="1667"/>
      <c r="AU277" s="180">
        <v>24.76</v>
      </c>
      <c r="AV277" s="13"/>
      <c r="AW277" s="596"/>
      <c r="AX277" s="15"/>
      <c r="AY277" s="596"/>
      <c r="AZ277" s="13"/>
      <c r="BA277" s="596"/>
      <c r="BB277" s="15"/>
      <c r="BC277" s="596"/>
      <c r="BD277" s="13"/>
      <c r="BE277" s="596"/>
      <c r="BF277" s="15"/>
      <c r="BG277" s="596"/>
      <c r="BH277" s="13"/>
      <c r="BI277" s="596"/>
      <c r="BJ277" s="15"/>
      <c r="BK277" s="596"/>
    </row>
    <row r="278" spans="1:63" s="8" customFormat="1" ht="71.25" customHeight="1">
      <c r="A278" s="1682" t="s">
        <v>1326</v>
      </c>
      <c r="B278" s="1656"/>
      <c r="C278" s="1659">
        <v>464233385</v>
      </c>
      <c r="D278" s="1662" t="s">
        <v>1327</v>
      </c>
      <c r="E278" s="1662" t="s">
        <v>3566</v>
      </c>
      <c r="F278" s="1662" t="s">
        <v>3567</v>
      </c>
      <c r="G278" s="1665" t="s">
        <v>3654</v>
      </c>
      <c r="H278" s="1638" t="s">
        <v>432</v>
      </c>
      <c r="I278" s="1668" t="s">
        <v>2473</v>
      </c>
      <c r="J278" s="1674">
        <v>43101</v>
      </c>
      <c r="K278" s="1674">
        <v>43466</v>
      </c>
      <c r="L278" s="1675">
        <v>27</v>
      </c>
      <c r="M278" s="1638" t="s">
        <v>48</v>
      </c>
      <c r="N278" s="1638" t="s">
        <v>354</v>
      </c>
      <c r="O278" s="1656"/>
      <c r="P278" s="1694" t="s">
        <v>50</v>
      </c>
      <c r="Q278" s="1694" t="s">
        <v>73</v>
      </c>
      <c r="R278" s="1694" t="s">
        <v>4244</v>
      </c>
      <c r="S278" s="1694" t="s">
        <v>4244</v>
      </c>
      <c r="T278" s="1638" t="s">
        <v>303</v>
      </c>
      <c r="U278" s="1638" t="s">
        <v>2503</v>
      </c>
      <c r="V278" s="1665" t="s">
        <v>252</v>
      </c>
      <c r="W278" s="1638" t="s">
        <v>307</v>
      </c>
      <c r="X278" s="1638" t="s">
        <v>113</v>
      </c>
      <c r="Y278" s="1656" t="s">
        <v>173</v>
      </c>
      <c r="Z278" s="23">
        <v>786.13</v>
      </c>
      <c r="AA278" s="1697" t="s">
        <v>403</v>
      </c>
      <c r="AB278" s="23">
        <v>475.5</v>
      </c>
      <c r="AC278" s="1647"/>
      <c r="AD278" s="1"/>
      <c r="AE278" s="1647"/>
      <c r="AF278" s="1650"/>
      <c r="AG278" s="1644"/>
      <c r="AH278" s="2"/>
      <c r="AI278" s="1644"/>
      <c r="AJ278" s="2"/>
      <c r="AK278" s="1662" t="s">
        <v>85</v>
      </c>
      <c r="AL278" s="1662" t="s">
        <v>245</v>
      </c>
      <c r="AM278" s="1662" t="s">
        <v>246</v>
      </c>
      <c r="AN278" s="1638" t="s">
        <v>248</v>
      </c>
      <c r="AO278" s="1638" t="s">
        <v>2500</v>
      </c>
      <c r="AP278" s="1638" t="s">
        <v>2497</v>
      </c>
      <c r="AQ278" s="1638" t="s">
        <v>386</v>
      </c>
      <c r="AR278" s="23">
        <v>65</v>
      </c>
      <c r="AS278" s="1638" t="s">
        <v>2483</v>
      </c>
      <c r="AT278" s="1665" t="s">
        <v>2484</v>
      </c>
      <c r="AU278" s="23">
        <v>8.85</v>
      </c>
      <c r="AV278" s="23" t="s">
        <v>56</v>
      </c>
      <c r="AW278" s="640" t="s">
        <v>57</v>
      </c>
      <c r="AX278" s="181">
        <v>9.0999999999999998E-2</v>
      </c>
      <c r="AY278" s="640" t="s">
        <v>58</v>
      </c>
      <c r="AZ278" s="2"/>
      <c r="BA278" s="665"/>
      <c r="BB278" s="7"/>
      <c r="BC278" s="665"/>
      <c r="BD278" s="23" t="s">
        <v>62</v>
      </c>
      <c r="BE278" s="640" t="s">
        <v>81</v>
      </c>
      <c r="BF278" s="181">
        <v>9.4E-2</v>
      </c>
      <c r="BG278" s="640" t="s">
        <v>64</v>
      </c>
      <c r="BH278" s="16"/>
      <c r="BI278" s="554"/>
      <c r="BJ278" s="18"/>
      <c r="BK278" s="554"/>
    </row>
    <row r="279" spans="1:63" s="8" customFormat="1" ht="71.25" customHeight="1">
      <c r="A279" s="1683"/>
      <c r="B279" s="1657"/>
      <c r="C279" s="1660"/>
      <c r="D279" s="1663"/>
      <c r="E279" s="1663"/>
      <c r="F279" s="1663"/>
      <c r="G279" s="1666"/>
      <c r="H279" s="1698"/>
      <c r="I279" s="1669"/>
      <c r="J279" s="1669"/>
      <c r="K279" s="1669"/>
      <c r="L279" s="1676"/>
      <c r="M279" s="1639"/>
      <c r="N279" s="1639"/>
      <c r="O279" s="1657"/>
      <c r="P279" s="1695"/>
      <c r="Q279" s="1695"/>
      <c r="R279" s="1695"/>
      <c r="S279" s="1695"/>
      <c r="T279" s="1639"/>
      <c r="U279" s="1639"/>
      <c r="V279" s="1666"/>
      <c r="W279" s="1639"/>
      <c r="X279" s="1639"/>
      <c r="Y279" s="1657"/>
      <c r="Z279" s="25">
        <v>1721.63</v>
      </c>
      <c r="AA279" s="1657"/>
      <c r="AB279" s="25">
        <v>1041.3499999999999</v>
      </c>
      <c r="AC279" s="1648"/>
      <c r="AD279" s="9"/>
      <c r="AE279" s="1648"/>
      <c r="AF279" s="1651"/>
      <c r="AG279" s="1645"/>
      <c r="AH279" s="10"/>
      <c r="AI279" s="1645"/>
      <c r="AJ279" s="10"/>
      <c r="AK279" s="1700"/>
      <c r="AL279" s="1700"/>
      <c r="AM279" s="1700"/>
      <c r="AN279" s="1639"/>
      <c r="AO279" s="1639"/>
      <c r="AP279" s="1639"/>
      <c r="AQ279" s="1639"/>
      <c r="AR279" s="25">
        <v>132.56</v>
      </c>
      <c r="AS279" s="1639"/>
      <c r="AT279" s="1666"/>
      <c r="AU279" s="25">
        <v>17.739999999999998</v>
      </c>
      <c r="AV279" s="25" t="s">
        <v>65</v>
      </c>
      <c r="AW279" s="641" t="s">
        <v>57</v>
      </c>
      <c r="AX279" s="182">
        <v>0.02</v>
      </c>
      <c r="AY279" s="641" t="s">
        <v>58</v>
      </c>
      <c r="AZ279" s="10"/>
      <c r="BA279" s="664"/>
      <c r="BB279" s="11"/>
      <c r="BC279" s="664"/>
      <c r="BD279" s="25" t="s">
        <v>67</v>
      </c>
      <c r="BE279" s="641" t="s">
        <v>82</v>
      </c>
      <c r="BF279" s="182">
        <v>0.25</v>
      </c>
      <c r="BG279" s="641" t="s">
        <v>69</v>
      </c>
      <c r="BH279" s="20"/>
      <c r="BI279" s="555"/>
      <c r="BJ279" s="22"/>
      <c r="BK279" s="555"/>
    </row>
    <row r="280" spans="1:63" s="8" customFormat="1" ht="71.25" customHeight="1">
      <c r="A280" s="1683"/>
      <c r="B280" s="1657"/>
      <c r="C280" s="1660"/>
      <c r="D280" s="1663"/>
      <c r="E280" s="1663"/>
      <c r="F280" s="1663"/>
      <c r="G280" s="1666"/>
      <c r="H280" s="1698"/>
      <c r="I280" s="1669"/>
      <c r="J280" s="1669"/>
      <c r="K280" s="1669"/>
      <c r="L280" s="1676"/>
      <c r="M280" s="1639"/>
      <c r="N280" s="1639"/>
      <c r="O280" s="1657"/>
      <c r="P280" s="1695"/>
      <c r="Q280" s="1695"/>
      <c r="R280" s="1695"/>
      <c r="S280" s="1695"/>
      <c r="T280" s="1639"/>
      <c r="U280" s="1639"/>
      <c r="V280" s="1666"/>
      <c r="W280" s="1639"/>
      <c r="X280" s="1639"/>
      <c r="Y280" s="1657"/>
      <c r="Z280" s="25">
        <v>1493.66</v>
      </c>
      <c r="AA280" s="1657"/>
      <c r="AB280" s="25">
        <v>903.45</v>
      </c>
      <c r="AC280" s="1648"/>
      <c r="AD280" s="9"/>
      <c r="AE280" s="1648"/>
      <c r="AF280" s="1651"/>
      <c r="AG280" s="1645"/>
      <c r="AH280" s="10"/>
      <c r="AI280" s="1645"/>
      <c r="AJ280" s="10"/>
      <c r="AK280" s="1700"/>
      <c r="AL280" s="1700"/>
      <c r="AM280" s="1700"/>
      <c r="AN280" s="1639"/>
      <c r="AO280" s="1639"/>
      <c r="AP280" s="1639"/>
      <c r="AQ280" s="1639"/>
      <c r="AR280" s="25">
        <v>149.32</v>
      </c>
      <c r="AS280" s="1639"/>
      <c r="AT280" s="1666"/>
      <c r="AU280" s="25">
        <v>15.01</v>
      </c>
      <c r="AV280" s="10"/>
      <c r="AW280" s="556"/>
      <c r="AX280" s="11"/>
      <c r="AY280" s="556"/>
      <c r="AZ280" s="10"/>
      <c r="BA280" s="556"/>
      <c r="BB280" s="11"/>
      <c r="BC280" s="556"/>
      <c r="BD280" s="10"/>
      <c r="BE280" s="556"/>
      <c r="BF280" s="11"/>
      <c r="BG280" s="556"/>
      <c r="BH280" s="10"/>
      <c r="BI280" s="556"/>
      <c r="BJ280" s="11"/>
      <c r="BK280" s="556"/>
    </row>
    <row r="281" spans="1:63" s="8" customFormat="1" ht="71.25" customHeight="1" thickBot="1">
      <c r="A281" s="1684"/>
      <c r="B281" s="1658"/>
      <c r="C281" s="1661"/>
      <c r="D281" s="1664"/>
      <c r="E281" s="1664"/>
      <c r="F281" s="1664"/>
      <c r="G281" s="1667"/>
      <c r="H281" s="1699"/>
      <c r="I281" s="1670"/>
      <c r="J281" s="1670"/>
      <c r="K281" s="1670"/>
      <c r="L281" s="1677"/>
      <c r="M281" s="1640"/>
      <c r="N281" s="1640"/>
      <c r="O281" s="1678"/>
      <c r="P281" s="1696"/>
      <c r="Q281" s="1696"/>
      <c r="R281" s="1696"/>
      <c r="S281" s="1696"/>
      <c r="T281" s="1640"/>
      <c r="U281" s="1640"/>
      <c r="V281" s="1667"/>
      <c r="W281" s="1640"/>
      <c r="X281" s="1640"/>
      <c r="Y281" s="1678"/>
      <c r="Z281" s="180">
        <v>2389.85</v>
      </c>
      <c r="AA281" s="1678"/>
      <c r="AB281" s="180">
        <v>1445.53</v>
      </c>
      <c r="AC281" s="1649"/>
      <c r="AD281" s="12"/>
      <c r="AE281" s="1649"/>
      <c r="AF281" s="1652"/>
      <c r="AG281" s="1646"/>
      <c r="AH281" s="13"/>
      <c r="AI281" s="1646"/>
      <c r="AJ281" s="13"/>
      <c r="AK281" s="1701"/>
      <c r="AL281" s="1701"/>
      <c r="AM281" s="1701"/>
      <c r="AN281" s="1640"/>
      <c r="AO281" s="1640"/>
      <c r="AP281" s="1640"/>
      <c r="AQ281" s="1640"/>
      <c r="AR281" s="180">
        <v>232.31</v>
      </c>
      <c r="AS281" s="1640"/>
      <c r="AT281" s="1667"/>
      <c r="AU281" s="180">
        <v>24.76</v>
      </c>
      <c r="AV281" s="13"/>
      <c r="AW281" s="557"/>
      <c r="AX281" s="15"/>
      <c r="AY281" s="557"/>
      <c r="AZ281" s="13"/>
      <c r="BA281" s="557"/>
      <c r="BB281" s="15"/>
      <c r="BC281" s="557"/>
      <c r="BD281" s="13"/>
      <c r="BE281" s="557"/>
      <c r="BF281" s="15"/>
      <c r="BG281" s="557"/>
      <c r="BH281" s="13"/>
      <c r="BI281" s="557"/>
      <c r="BJ281" s="15"/>
      <c r="BK281" s="557"/>
    </row>
    <row r="282" spans="1:63" s="8" customFormat="1" ht="71.25" customHeight="1">
      <c r="A282" s="1682" t="s">
        <v>180</v>
      </c>
      <c r="B282" s="1656"/>
      <c r="C282" s="1717">
        <v>611780047</v>
      </c>
      <c r="D282" s="1706" t="s">
        <v>181</v>
      </c>
      <c r="E282" s="1665" t="s">
        <v>242</v>
      </c>
      <c r="F282" s="1665" t="s">
        <v>4203</v>
      </c>
      <c r="G282" s="1665" t="s">
        <v>3665</v>
      </c>
      <c r="H282" s="1665" t="s">
        <v>4337</v>
      </c>
      <c r="I282" s="1668" t="s">
        <v>2474</v>
      </c>
      <c r="J282" s="1674">
        <v>42826</v>
      </c>
      <c r="K282" s="1674">
        <v>43466</v>
      </c>
      <c r="L282" s="1708">
        <v>3</v>
      </c>
      <c r="M282" s="1706" t="s">
        <v>48</v>
      </c>
      <c r="N282" s="1662" t="s">
        <v>354</v>
      </c>
      <c r="O282" s="1656"/>
      <c r="P282" s="1679" t="s">
        <v>72</v>
      </c>
      <c r="Q282" s="1656" t="s">
        <v>73</v>
      </c>
      <c r="R282" s="1694" t="s">
        <v>4244</v>
      </c>
      <c r="S282" s="1694" t="s">
        <v>4244</v>
      </c>
      <c r="T282" s="1638" t="s">
        <v>303</v>
      </c>
      <c r="U282" s="1638" t="s">
        <v>2502</v>
      </c>
      <c r="V282" s="1665" t="s">
        <v>252</v>
      </c>
      <c r="W282" s="1638" t="s">
        <v>307</v>
      </c>
      <c r="X282" s="1638" t="s">
        <v>113</v>
      </c>
      <c r="Y282" s="1656" t="s">
        <v>124</v>
      </c>
      <c r="Z282" s="81">
        <v>605.22</v>
      </c>
      <c r="AA282" s="1656" t="s">
        <v>173</v>
      </c>
      <c r="AB282" s="23">
        <v>679.61</v>
      </c>
      <c r="AC282" s="1697" t="s">
        <v>403</v>
      </c>
      <c r="AD282" s="23">
        <v>411.07</v>
      </c>
      <c r="AE282" s="1647"/>
      <c r="AF282" s="1"/>
      <c r="AG282" s="1647"/>
      <c r="AH282" s="1"/>
      <c r="AI282" s="1647"/>
      <c r="AJ282" s="1"/>
      <c r="AK282" s="1632" t="s">
        <v>113</v>
      </c>
      <c r="AL282" s="1632" t="s">
        <v>72</v>
      </c>
      <c r="AM282" s="1632" t="s">
        <v>72</v>
      </c>
      <c r="AN282" s="1632" t="s">
        <v>113</v>
      </c>
      <c r="AO282" s="1632" t="s">
        <v>72</v>
      </c>
      <c r="AP282" s="1632" t="s">
        <v>72</v>
      </c>
      <c r="AQ282" s="1632" t="s">
        <v>72</v>
      </c>
      <c r="AR282" s="1"/>
      <c r="AS282" s="1632" t="s">
        <v>72</v>
      </c>
      <c r="AT282" s="1632" t="s">
        <v>72</v>
      </c>
      <c r="AU282" s="1"/>
      <c r="AV282" s="2"/>
      <c r="AW282" s="594"/>
      <c r="AX282" s="7"/>
      <c r="AY282" s="594"/>
      <c r="AZ282" s="2"/>
      <c r="BA282" s="594"/>
      <c r="BB282" s="7"/>
      <c r="BC282" s="594"/>
      <c r="BD282" s="2"/>
      <c r="BE282" s="594"/>
      <c r="BF282" s="7"/>
      <c r="BG282" s="594"/>
      <c r="BH282" s="2"/>
      <c r="BI282" s="594"/>
      <c r="BJ282" s="7"/>
      <c r="BK282" s="594"/>
    </row>
    <row r="283" spans="1:63" s="8" customFormat="1" ht="71.25" customHeight="1">
      <c r="A283" s="1683"/>
      <c r="B283" s="1657"/>
      <c r="C283" s="1718"/>
      <c r="D283" s="1666"/>
      <c r="E283" s="1666"/>
      <c r="F283" s="1666"/>
      <c r="G283" s="1666"/>
      <c r="H283" s="1666"/>
      <c r="I283" s="1669"/>
      <c r="J283" s="1669"/>
      <c r="K283" s="1669"/>
      <c r="L283" s="1676"/>
      <c r="M283" s="1666"/>
      <c r="N283" s="1700"/>
      <c r="O283" s="1657"/>
      <c r="P283" s="1680"/>
      <c r="Q283" s="1657"/>
      <c r="R283" s="1695"/>
      <c r="S283" s="1695"/>
      <c r="T283" s="1639"/>
      <c r="U283" s="1639"/>
      <c r="V283" s="1666"/>
      <c r="W283" s="1639"/>
      <c r="X283" s="1639"/>
      <c r="Y283" s="1657"/>
      <c r="Z283" s="27">
        <v>1325.44</v>
      </c>
      <c r="AA283" s="1657"/>
      <c r="AB283" s="25">
        <v>1488.35</v>
      </c>
      <c r="AC283" s="1657"/>
      <c r="AD283" s="25">
        <v>900.25</v>
      </c>
      <c r="AE283" s="1648"/>
      <c r="AF283" s="9"/>
      <c r="AG283" s="1648"/>
      <c r="AH283" s="9"/>
      <c r="AI283" s="1648"/>
      <c r="AJ283" s="9"/>
      <c r="AK283" s="1633"/>
      <c r="AL283" s="1633"/>
      <c r="AM283" s="1633"/>
      <c r="AN283" s="1633"/>
      <c r="AO283" s="1633"/>
      <c r="AP283" s="1633"/>
      <c r="AQ283" s="1633"/>
      <c r="AR283" s="9"/>
      <c r="AS283" s="1633"/>
      <c r="AT283" s="1633"/>
      <c r="AU283" s="9"/>
      <c r="AV283" s="10"/>
      <c r="AW283" s="595"/>
      <c r="AX283" s="11"/>
      <c r="AY283" s="595"/>
      <c r="AZ283" s="10"/>
      <c r="BA283" s="595"/>
      <c r="BB283" s="11"/>
      <c r="BC283" s="595"/>
      <c r="BD283" s="10"/>
      <c r="BE283" s="595"/>
      <c r="BF283" s="11"/>
      <c r="BG283" s="595"/>
      <c r="BH283" s="10"/>
      <c r="BI283" s="595"/>
      <c r="BJ283" s="11"/>
      <c r="BK283" s="595"/>
    </row>
    <row r="284" spans="1:63" s="8" customFormat="1" ht="71.25" customHeight="1">
      <c r="A284" s="1683"/>
      <c r="B284" s="1657"/>
      <c r="C284" s="1718"/>
      <c r="D284" s="1666"/>
      <c r="E284" s="1666"/>
      <c r="F284" s="1666"/>
      <c r="G284" s="1666"/>
      <c r="H284" s="1666"/>
      <c r="I284" s="1669"/>
      <c r="J284" s="1669"/>
      <c r="K284" s="1669"/>
      <c r="L284" s="1676"/>
      <c r="M284" s="1666"/>
      <c r="N284" s="1700"/>
      <c r="O284" s="1657"/>
      <c r="P284" s="1680"/>
      <c r="Q284" s="1657"/>
      <c r="R284" s="1695"/>
      <c r="S284" s="1695"/>
      <c r="T284" s="1639"/>
      <c r="U284" s="1639"/>
      <c r="V284" s="1666"/>
      <c r="W284" s="1639"/>
      <c r="X284" s="1639"/>
      <c r="Y284" s="1657"/>
      <c r="Z284" s="27">
        <v>1149.92</v>
      </c>
      <c r="AA284" s="1657"/>
      <c r="AB284" s="25">
        <v>1291.27</v>
      </c>
      <c r="AC284" s="1657"/>
      <c r="AD284" s="25">
        <v>781.03</v>
      </c>
      <c r="AE284" s="1648"/>
      <c r="AF284" s="9"/>
      <c r="AG284" s="1648"/>
      <c r="AH284" s="9"/>
      <c r="AI284" s="1648"/>
      <c r="AJ284" s="9"/>
      <c r="AK284" s="1633"/>
      <c r="AL284" s="1633"/>
      <c r="AM284" s="1633"/>
      <c r="AN284" s="1633"/>
      <c r="AO284" s="1633"/>
      <c r="AP284" s="1633"/>
      <c r="AQ284" s="1633"/>
      <c r="AR284" s="9"/>
      <c r="AS284" s="1633"/>
      <c r="AT284" s="1633"/>
      <c r="AU284" s="9"/>
      <c r="AV284" s="10"/>
      <c r="AW284" s="595"/>
      <c r="AX284" s="11"/>
      <c r="AY284" s="595"/>
      <c r="AZ284" s="10"/>
      <c r="BA284" s="595"/>
      <c r="BB284" s="11"/>
      <c r="BC284" s="595"/>
      <c r="BD284" s="10"/>
      <c r="BE284" s="595"/>
      <c r="BF284" s="11"/>
      <c r="BG284" s="595"/>
      <c r="BH284" s="10"/>
      <c r="BI284" s="595"/>
      <c r="BJ284" s="11"/>
      <c r="BK284" s="595"/>
    </row>
    <row r="285" spans="1:63" s="8" customFormat="1" ht="71.25" customHeight="1" thickBot="1">
      <c r="A285" s="1684"/>
      <c r="B285" s="1678"/>
      <c r="C285" s="1719"/>
      <c r="D285" s="1667"/>
      <c r="E285" s="1667"/>
      <c r="F285" s="1667"/>
      <c r="G285" s="1667"/>
      <c r="H285" s="1667"/>
      <c r="I285" s="1670"/>
      <c r="J285" s="1670"/>
      <c r="K285" s="1670"/>
      <c r="L285" s="1677"/>
      <c r="M285" s="1667"/>
      <c r="N285" s="1701"/>
      <c r="O285" s="1678"/>
      <c r="P285" s="1681"/>
      <c r="Q285" s="1678"/>
      <c r="R285" s="1696"/>
      <c r="S285" s="1696"/>
      <c r="T285" s="1640"/>
      <c r="U285" s="1640"/>
      <c r="V285" s="1667"/>
      <c r="W285" s="1640"/>
      <c r="X285" s="1640"/>
      <c r="Y285" s="1678"/>
      <c r="Z285" s="82">
        <v>1839.88</v>
      </c>
      <c r="AA285" s="1678"/>
      <c r="AB285" s="180">
        <v>2066.02</v>
      </c>
      <c r="AC285" s="1678"/>
      <c r="AD285" s="180">
        <v>1249.6600000000001</v>
      </c>
      <c r="AE285" s="1649"/>
      <c r="AF285" s="12"/>
      <c r="AG285" s="1649"/>
      <c r="AH285" s="12"/>
      <c r="AI285" s="1649"/>
      <c r="AJ285" s="12"/>
      <c r="AK285" s="1634"/>
      <c r="AL285" s="1634"/>
      <c r="AM285" s="1634"/>
      <c r="AN285" s="1634"/>
      <c r="AO285" s="1634"/>
      <c r="AP285" s="1634"/>
      <c r="AQ285" s="1634"/>
      <c r="AR285" s="12"/>
      <c r="AS285" s="1634"/>
      <c r="AT285" s="1634"/>
      <c r="AU285" s="12"/>
      <c r="AV285" s="13"/>
      <c r="AW285" s="596"/>
      <c r="AX285" s="15"/>
      <c r="AY285" s="596"/>
      <c r="AZ285" s="13"/>
      <c r="BA285" s="596"/>
      <c r="BB285" s="15"/>
      <c r="BC285" s="596"/>
      <c r="BD285" s="13"/>
      <c r="BE285" s="596"/>
      <c r="BF285" s="15"/>
      <c r="BG285" s="596"/>
      <c r="BH285" s="13"/>
      <c r="BI285" s="596"/>
      <c r="BJ285" s="15"/>
      <c r="BK285" s="596"/>
    </row>
    <row r="286" spans="1:63" s="8" customFormat="1" ht="71.25" customHeight="1">
      <c r="A286" s="1682" t="s">
        <v>3715</v>
      </c>
      <c r="B286" s="1656"/>
      <c r="C286" s="1720">
        <v>261243872</v>
      </c>
      <c r="D286" s="1662" t="s">
        <v>1246</v>
      </c>
      <c r="E286" s="1638" t="s">
        <v>5321</v>
      </c>
      <c r="F286" s="1638" t="s">
        <v>1313</v>
      </c>
      <c r="G286" s="1665" t="s">
        <v>3665</v>
      </c>
      <c r="H286" s="1662" t="s">
        <v>4237</v>
      </c>
      <c r="I286" s="1668" t="s">
        <v>2473</v>
      </c>
      <c r="J286" s="1674">
        <v>43101</v>
      </c>
      <c r="K286" s="1674">
        <v>43466</v>
      </c>
      <c r="L286" s="1691">
        <v>67</v>
      </c>
      <c r="M286" s="1638" t="s">
        <v>48</v>
      </c>
      <c r="N286" s="1638" t="s">
        <v>354</v>
      </c>
      <c r="O286" s="1656"/>
      <c r="P286" s="1679" t="s">
        <v>72</v>
      </c>
      <c r="Q286" s="1712" t="s">
        <v>1314</v>
      </c>
      <c r="R286" s="1697" t="s">
        <v>4293</v>
      </c>
      <c r="S286" s="1632" t="s">
        <v>72</v>
      </c>
      <c r="T286" s="1638" t="s">
        <v>317</v>
      </c>
      <c r="U286" s="1638" t="s">
        <v>2503</v>
      </c>
      <c r="V286" s="1638" t="s">
        <v>252</v>
      </c>
      <c r="W286" s="1638" t="s">
        <v>307</v>
      </c>
      <c r="X286" s="1638" t="s">
        <v>113</v>
      </c>
      <c r="Y286" s="1656" t="s">
        <v>124</v>
      </c>
      <c r="Z286" s="23">
        <v>583.9</v>
      </c>
      <c r="AA286" s="1694" t="s">
        <v>403</v>
      </c>
      <c r="AB286" s="23">
        <v>432.11</v>
      </c>
      <c r="AC286" s="1647"/>
      <c r="AD286" s="1"/>
      <c r="AE286" s="1647"/>
      <c r="AF286" s="1650"/>
      <c r="AG286" s="1644"/>
      <c r="AH286" s="2"/>
      <c r="AI286" s="1644"/>
      <c r="AJ286" s="2"/>
      <c r="AK286" s="1662" t="s">
        <v>85</v>
      </c>
      <c r="AL286" s="1662" t="s">
        <v>245</v>
      </c>
      <c r="AM286" s="1662" t="s">
        <v>246</v>
      </c>
      <c r="AN286" s="1665" t="s">
        <v>250</v>
      </c>
      <c r="AO286" s="1638" t="s">
        <v>2480</v>
      </c>
      <c r="AP286" s="1638" t="s">
        <v>2482</v>
      </c>
      <c r="AQ286" s="1697" t="s">
        <v>388</v>
      </c>
      <c r="AR286" s="23">
        <v>51.09</v>
      </c>
      <c r="AS286" s="1638" t="s">
        <v>2493</v>
      </c>
      <c r="AT286" s="1638" t="s">
        <v>2484</v>
      </c>
      <c r="AU286" s="23">
        <v>7.87</v>
      </c>
      <c r="AV286" s="23" t="s">
        <v>56</v>
      </c>
      <c r="AW286" s="367" t="s">
        <v>1249</v>
      </c>
      <c r="AX286" s="181">
        <v>9.4E-2</v>
      </c>
      <c r="AY286" s="367" t="s">
        <v>58</v>
      </c>
      <c r="AZ286" s="2"/>
      <c r="BA286" s="369"/>
      <c r="BB286" s="7"/>
      <c r="BC286" s="369"/>
      <c r="BD286" s="2"/>
      <c r="BE286" s="369"/>
      <c r="BF286" s="7"/>
      <c r="BG286" s="369"/>
      <c r="BH286" s="2"/>
      <c r="BI286" s="294"/>
      <c r="BJ286" s="18"/>
      <c r="BK286" s="294"/>
    </row>
    <row r="287" spans="1:63" s="8" customFormat="1" ht="71.25" customHeight="1">
      <c r="A287" s="1683"/>
      <c r="B287" s="1657"/>
      <c r="C287" s="1660"/>
      <c r="D287" s="1663"/>
      <c r="E287" s="1698"/>
      <c r="F287" s="1698"/>
      <c r="G287" s="1666"/>
      <c r="H287" s="1663"/>
      <c r="I287" s="1669"/>
      <c r="J287" s="1669"/>
      <c r="K287" s="1669"/>
      <c r="L287" s="1692"/>
      <c r="M287" s="1639"/>
      <c r="N287" s="1639"/>
      <c r="O287" s="1657"/>
      <c r="P287" s="1680"/>
      <c r="Q287" s="1713"/>
      <c r="R287" s="1657"/>
      <c r="S287" s="1724"/>
      <c r="T287" s="1639"/>
      <c r="U287" s="1639"/>
      <c r="V287" s="1639"/>
      <c r="W287" s="1639"/>
      <c r="X287" s="1639"/>
      <c r="Y287" s="1657"/>
      <c r="Z287" s="25">
        <v>1278.74</v>
      </c>
      <c r="AA287" s="1695"/>
      <c r="AB287" s="25">
        <v>946.32</v>
      </c>
      <c r="AC287" s="1648"/>
      <c r="AD287" s="9"/>
      <c r="AE287" s="1648"/>
      <c r="AF287" s="1651"/>
      <c r="AG287" s="1645"/>
      <c r="AH287" s="10"/>
      <c r="AI287" s="1645"/>
      <c r="AJ287" s="10"/>
      <c r="AK287" s="1700"/>
      <c r="AL287" s="1700"/>
      <c r="AM287" s="1700"/>
      <c r="AN287" s="1666"/>
      <c r="AO287" s="1639"/>
      <c r="AP287" s="1639"/>
      <c r="AQ287" s="1657"/>
      <c r="AR287" s="25">
        <v>104.21</v>
      </c>
      <c r="AS287" s="1639"/>
      <c r="AT287" s="1639"/>
      <c r="AU287" s="25">
        <v>15.77</v>
      </c>
      <c r="AV287" s="25" t="s">
        <v>65</v>
      </c>
      <c r="AW287" s="368" t="s">
        <v>1249</v>
      </c>
      <c r="AX287" s="182">
        <v>0.02</v>
      </c>
      <c r="AY287" s="368" t="s">
        <v>58</v>
      </c>
      <c r="AZ287" s="10"/>
      <c r="BA287" s="370"/>
      <c r="BB287" s="11"/>
      <c r="BC287" s="370"/>
      <c r="BD287" s="25" t="s">
        <v>67</v>
      </c>
      <c r="BE287" s="368" t="s">
        <v>440</v>
      </c>
      <c r="BF287" s="182">
        <v>0.31</v>
      </c>
      <c r="BG287" s="368" t="s">
        <v>69</v>
      </c>
      <c r="BH287" s="20"/>
      <c r="BI287" s="295"/>
      <c r="BJ287" s="22"/>
      <c r="BK287" s="295"/>
    </row>
    <row r="288" spans="1:63" s="8" customFormat="1" ht="71.25" customHeight="1">
      <c r="A288" s="1683"/>
      <c r="B288" s="1657"/>
      <c r="C288" s="1660"/>
      <c r="D288" s="1663"/>
      <c r="E288" s="1698"/>
      <c r="F288" s="1698"/>
      <c r="G288" s="1666"/>
      <c r="H288" s="1663"/>
      <c r="I288" s="1669"/>
      <c r="J288" s="1669"/>
      <c r="K288" s="1669"/>
      <c r="L288" s="1692"/>
      <c r="M288" s="1639"/>
      <c r="N288" s="1639"/>
      <c r="O288" s="1657"/>
      <c r="P288" s="1680"/>
      <c r="Q288" s="1713"/>
      <c r="R288" s="1657"/>
      <c r="S288" s="1724"/>
      <c r="T288" s="1639"/>
      <c r="U288" s="1639"/>
      <c r="V288" s="1639"/>
      <c r="W288" s="1639"/>
      <c r="X288" s="1639"/>
      <c r="Y288" s="1657"/>
      <c r="Z288" s="25">
        <v>1109.4100000000001</v>
      </c>
      <c r="AA288" s="1695"/>
      <c r="AB288" s="25">
        <v>821</v>
      </c>
      <c r="AC288" s="1648"/>
      <c r="AD288" s="9"/>
      <c r="AE288" s="1648"/>
      <c r="AF288" s="1651"/>
      <c r="AG288" s="1645"/>
      <c r="AH288" s="10"/>
      <c r="AI288" s="1645"/>
      <c r="AJ288" s="10"/>
      <c r="AK288" s="1700"/>
      <c r="AL288" s="1700"/>
      <c r="AM288" s="1700"/>
      <c r="AN288" s="1666"/>
      <c r="AO288" s="1639"/>
      <c r="AP288" s="1639"/>
      <c r="AQ288" s="1657"/>
      <c r="AR288" s="25">
        <v>124.25</v>
      </c>
      <c r="AS288" s="1639"/>
      <c r="AT288" s="1639"/>
      <c r="AU288" s="25">
        <v>13.34</v>
      </c>
      <c r="AV288" s="10"/>
      <c r="AW288" s="292"/>
      <c r="AX288" s="11"/>
      <c r="AY288" s="292"/>
      <c r="AZ288" s="10"/>
      <c r="BA288" s="370"/>
      <c r="BB288" s="11"/>
      <c r="BC288" s="370"/>
      <c r="BD288" s="10"/>
      <c r="BE288" s="292"/>
      <c r="BF288" s="11"/>
      <c r="BG288" s="292"/>
      <c r="BH288" s="10"/>
      <c r="BI288" s="292"/>
      <c r="BJ288" s="11"/>
      <c r="BK288" s="292"/>
    </row>
    <row r="289" spans="1:63" s="8" customFormat="1" ht="71.25" customHeight="1" thickBot="1">
      <c r="A289" s="1684"/>
      <c r="B289" s="1658"/>
      <c r="C289" s="1661"/>
      <c r="D289" s="1664"/>
      <c r="E289" s="1699"/>
      <c r="F289" s="1699"/>
      <c r="G289" s="1667"/>
      <c r="H289" s="1664"/>
      <c r="I289" s="1670"/>
      <c r="J289" s="1670"/>
      <c r="K289" s="1670"/>
      <c r="L289" s="1693"/>
      <c r="M289" s="1640"/>
      <c r="N289" s="1640"/>
      <c r="O289" s="1678"/>
      <c r="P289" s="1681"/>
      <c r="Q289" s="1714"/>
      <c r="R289" s="1658"/>
      <c r="S289" s="1725"/>
      <c r="T289" s="1640"/>
      <c r="U289" s="1640"/>
      <c r="V289" s="1640"/>
      <c r="W289" s="1640"/>
      <c r="X289" s="1640"/>
      <c r="Y289" s="1678"/>
      <c r="Z289" s="180">
        <v>1775.07</v>
      </c>
      <c r="AA289" s="1696"/>
      <c r="AB289" s="180">
        <v>1313.61</v>
      </c>
      <c r="AC289" s="1649"/>
      <c r="AD289" s="12"/>
      <c r="AE289" s="1649"/>
      <c r="AF289" s="1652"/>
      <c r="AG289" s="1646"/>
      <c r="AH289" s="13"/>
      <c r="AI289" s="1646"/>
      <c r="AJ289" s="13"/>
      <c r="AK289" s="1701"/>
      <c r="AL289" s="1701"/>
      <c r="AM289" s="1701"/>
      <c r="AN289" s="1667"/>
      <c r="AO289" s="1640"/>
      <c r="AP289" s="1640"/>
      <c r="AQ289" s="1678"/>
      <c r="AR289" s="180">
        <v>190.68</v>
      </c>
      <c r="AS289" s="1640"/>
      <c r="AT289" s="1640"/>
      <c r="AU289" s="180">
        <v>22.01</v>
      </c>
      <c r="AV289" s="13"/>
      <c r="AW289" s="293"/>
      <c r="AX289" s="15"/>
      <c r="AY289" s="293"/>
      <c r="AZ289" s="13"/>
      <c r="BA289" s="293"/>
      <c r="BB289" s="15"/>
      <c r="BC289" s="293"/>
      <c r="BD289" s="13"/>
      <c r="BE289" s="293"/>
      <c r="BF289" s="15"/>
      <c r="BG289" s="293"/>
      <c r="BH289" s="13"/>
      <c r="BI289" s="293"/>
      <c r="BJ289" s="15"/>
      <c r="BK289" s="293"/>
    </row>
    <row r="290" spans="1:63" s="8" customFormat="1" ht="71.25" customHeight="1">
      <c r="A290" s="1682" t="s">
        <v>4314</v>
      </c>
      <c r="B290" s="1656"/>
      <c r="C290" s="1720">
        <v>811640884</v>
      </c>
      <c r="D290" s="1662" t="s">
        <v>4315</v>
      </c>
      <c r="E290" s="1662" t="s">
        <v>4316</v>
      </c>
      <c r="F290" s="1662" t="s">
        <v>4317</v>
      </c>
      <c r="G290" s="1665" t="s">
        <v>3665</v>
      </c>
      <c r="H290" s="1638" t="s">
        <v>4339</v>
      </c>
      <c r="I290" s="1688" t="s">
        <v>2473</v>
      </c>
      <c r="J290" s="1688">
        <v>43221</v>
      </c>
      <c r="K290" s="1688">
        <v>43466</v>
      </c>
      <c r="L290" s="1691">
        <v>4</v>
      </c>
      <c r="M290" s="1638" t="s">
        <v>48</v>
      </c>
      <c r="N290" s="1632" t="s">
        <v>112</v>
      </c>
      <c r="O290" s="1656"/>
      <c r="P290" s="1694" t="s">
        <v>50</v>
      </c>
      <c r="Q290" s="1694" t="s">
        <v>73</v>
      </c>
      <c r="R290" s="1694" t="s">
        <v>4244</v>
      </c>
      <c r="S290" s="1694" t="s">
        <v>4244</v>
      </c>
      <c r="T290" s="1638" t="s">
        <v>303</v>
      </c>
      <c r="U290" s="1638" t="s">
        <v>2477</v>
      </c>
      <c r="V290" s="1665" t="s">
        <v>252</v>
      </c>
      <c r="W290" s="1638" t="s">
        <v>307</v>
      </c>
      <c r="X290" s="1638" t="s">
        <v>113</v>
      </c>
      <c r="Y290" s="1697" t="s">
        <v>124</v>
      </c>
      <c r="Z290" s="3">
        <v>665.08</v>
      </c>
      <c r="AA290" s="1697" t="s">
        <v>403</v>
      </c>
      <c r="AB290" s="3">
        <v>451.73</v>
      </c>
      <c r="AC290" s="1647"/>
      <c r="AD290" s="1"/>
      <c r="AE290" s="1647"/>
      <c r="AF290" s="1650"/>
      <c r="AG290" s="1644"/>
      <c r="AH290" s="2"/>
      <c r="AI290" s="1644"/>
      <c r="AJ290" s="2"/>
      <c r="AK290" s="1662" t="s">
        <v>85</v>
      </c>
      <c r="AL290" s="1662" t="s">
        <v>245</v>
      </c>
      <c r="AM290" s="1662" t="s">
        <v>246</v>
      </c>
      <c r="AN290" s="1665" t="s">
        <v>248</v>
      </c>
      <c r="AO290" s="1737" t="s">
        <v>2499</v>
      </c>
      <c r="AP290" s="1737" t="s">
        <v>2495</v>
      </c>
      <c r="AQ290" s="1665" t="s">
        <v>386</v>
      </c>
      <c r="AR290" s="81">
        <v>71.91</v>
      </c>
      <c r="AS290" s="1662" t="s">
        <v>2483</v>
      </c>
      <c r="AT290" s="1665" t="s">
        <v>2484</v>
      </c>
      <c r="AU290" s="81">
        <v>8.85</v>
      </c>
      <c r="AV290" s="23" t="s">
        <v>56</v>
      </c>
      <c r="AW290" s="959" t="s">
        <v>1249</v>
      </c>
      <c r="AX290" s="181">
        <v>9.4E-2</v>
      </c>
      <c r="AY290" s="959" t="s">
        <v>58</v>
      </c>
      <c r="AZ290" s="25" t="s">
        <v>59</v>
      </c>
      <c r="BA290" s="960" t="s">
        <v>60</v>
      </c>
      <c r="BB290" s="182" t="s">
        <v>61</v>
      </c>
      <c r="BC290" s="960" t="s">
        <v>58</v>
      </c>
      <c r="BD290" s="23" t="s">
        <v>62</v>
      </c>
      <c r="BE290" s="959" t="s">
        <v>81</v>
      </c>
      <c r="BF290" s="181">
        <v>9.4E-2</v>
      </c>
      <c r="BG290" s="959" t="s">
        <v>64</v>
      </c>
      <c r="BH290" s="23" t="s">
        <v>94</v>
      </c>
      <c r="BI290" s="182" t="s">
        <v>95</v>
      </c>
      <c r="BJ290" s="182" t="s">
        <v>61</v>
      </c>
      <c r="BK290" s="1191" t="s">
        <v>96</v>
      </c>
    </row>
    <row r="291" spans="1:63" s="8" customFormat="1" ht="71.25" customHeight="1">
      <c r="A291" s="1683"/>
      <c r="B291" s="1657"/>
      <c r="C291" s="1660"/>
      <c r="D291" s="1663"/>
      <c r="E291" s="1663"/>
      <c r="F291" s="1663"/>
      <c r="G291" s="1666"/>
      <c r="H291" s="1698"/>
      <c r="I291" s="1689"/>
      <c r="J291" s="1689"/>
      <c r="K291" s="1689"/>
      <c r="L291" s="1692"/>
      <c r="M291" s="1639"/>
      <c r="N291" s="1633"/>
      <c r="O291" s="1657"/>
      <c r="P291" s="1695"/>
      <c r="Q291" s="1695"/>
      <c r="R291" s="1695"/>
      <c r="S291" s="1695"/>
      <c r="T291" s="1639"/>
      <c r="U291" s="1639"/>
      <c r="V291" s="1666"/>
      <c r="W291" s="1639"/>
      <c r="X291" s="1639"/>
      <c r="Y291" s="1657"/>
      <c r="Z291" s="5">
        <v>1456.52</v>
      </c>
      <c r="AA291" s="1657"/>
      <c r="AB291" s="5">
        <v>989.28</v>
      </c>
      <c r="AC291" s="1648"/>
      <c r="AD291" s="9"/>
      <c r="AE291" s="1648"/>
      <c r="AF291" s="1651"/>
      <c r="AG291" s="1645"/>
      <c r="AH291" s="10"/>
      <c r="AI291" s="1645"/>
      <c r="AJ291" s="10"/>
      <c r="AK291" s="1700"/>
      <c r="AL291" s="1700"/>
      <c r="AM291" s="1700"/>
      <c r="AN291" s="1666"/>
      <c r="AO291" s="1738"/>
      <c r="AP291" s="1738"/>
      <c r="AQ291" s="1666"/>
      <c r="AR291" s="27">
        <v>146.65</v>
      </c>
      <c r="AS291" s="1700"/>
      <c r="AT291" s="1666"/>
      <c r="AU291" s="27">
        <v>17.739999999999998</v>
      </c>
      <c r="AV291" s="25" t="s">
        <v>65</v>
      </c>
      <c r="AW291" s="960" t="s">
        <v>1249</v>
      </c>
      <c r="AX291" s="182">
        <v>0.02</v>
      </c>
      <c r="AY291" s="960" t="s">
        <v>58</v>
      </c>
      <c r="AZ291" s="220" t="s">
        <v>66</v>
      </c>
      <c r="BA291" s="960" t="s">
        <v>60</v>
      </c>
      <c r="BB291" s="182" t="s">
        <v>61</v>
      </c>
      <c r="BC291" s="960" t="s">
        <v>58</v>
      </c>
      <c r="BD291" s="25" t="s">
        <v>67</v>
      </c>
      <c r="BE291" s="960" t="s">
        <v>82</v>
      </c>
      <c r="BF291" s="182">
        <v>0.25</v>
      </c>
      <c r="BG291" s="960" t="s">
        <v>69</v>
      </c>
      <c r="BH291" s="25" t="s">
        <v>97</v>
      </c>
      <c r="BI291" s="182" t="s">
        <v>95</v>
      </c>
      <c r="BJ291" s="182" t="s">
        <v>61</v>
      </c>
      <c r="BK291" s="1192" t="s">
        <v>96</v>
      </c>
    </row>
    <row r="292" spans="1:63" s="8" customFormat="1" ht="71.25" customHeight="1">
      <c r="A292" s="1683"/>
      <c r="B292" s="1657"/>
      <c r="C292" s="1660"/>
      <c r="D292" s="1663"/>
      <c r="E292" s="1663"/>
      <c r="F292" s="1663"/>
      <c r="G292" s="1666"/>
      <c r="H292" s="1698"/>
      <c r="I292" s="1689"/>
      <c r="J292" s="1689"/>
      <c r="K292" s="1689"/>
      <c r="L292" s="1692"/>
      <c r="M292" s="1639"/>
      <c r="N292" s="1633"/>
      <c r="O292" s="1657"/>
      <c r="P292" s="1695"/>
      <c r="Q292" s="1695"/>
      <c r="R292" s="1695"/>
      <c r="S292" s="1695"/>
      <c r="T292" s="1639"/>
      <c r="U292" s="1639"/>
      <c r="V292" s="1666"/>
      <c r="W292" s="1639"/>
      <c r="X292" s="1639"/>
      <c r="Y292" s="1657"/>
      <c r="Z292" s="5">
        <v>1263.6500000000001</v>
      </c>
      <c r="AA292" s="1657"/>
      <c r="AB292" s="5">
        <v>858.28</v>
      </c>
      <c r="AC292" s="1648"/>
      <c r="AD292" s="9"/>
      <c r="AE292" s="1648"/>
      <c r="AF292" s="1651"/>
      <c r="AG292" s="1645"/>
      <c r="AH292" s="10"/>
      <c r="AI292" s="1645"/>
      <c r="AJ292" s="10"/>
      <c r="AK292" s="1700"/>
      <c r="AL292" s="1700"/>
      <c r="AM292" s="1700"/>
      <c r="AN292" s="1666"/>
      <c r="AO292" s="1738"/>
      <c r="AP292" s="1738"/>
      <c r="AQ292" s="1666"/>
      <c r="AR292" s="27">
        <v>164.51</v>
      </c>
      <c r="AS292" s="1700"/>
      <c r="AT292" s="1666"/>
      <c r="AU292" s="27">
        <v>15.01</v>
      </c>
      <c r="AV292" s="10"/>
      <c r="AW292" s="947"/>
      <c r="AX292" s="11"/>
      <c r="AY292" s="947"/>
      <c r="AZ292" s="10"/>
      <c r="BA292" s="947"/>
      <c r="BB292" s="11"/>
      <c r="BC292" s="947"/>
      <c r="BD292" s="10"/>
      <c r="BE292" s="947"/>
      <c r="BF292" s="11"/>
      <c r="BG292" s="947"/>
      <c r="BH292" s="25" t="s">
        <v>98</v>
      </c>
      <c r="BI292" s="182" t="s">
        <v>95</v>
      </c>
      <c r="BJ292" s="182" t="s">
        <v>61</v>
      </c>
      <c r="BK292" s="1192" t="s">
        <v>79</v>
      </c>
    </row>
    <row r="293" spans="1:63" s="8" customFormat="1" ht="71.25" customHeight="1" thickBot="1">
      <c r="A293" s="1684"/>
      <c r="B293" s="1658"/>
      <c r="C293" s="1661"/>
      <c r="D293" s="1664"/>
      <c r="E293" s="1664"/>
      <c r="F293" s="1664"/>
      <c r="G293" s="1667"/>
      <c r="H293" s="1699"/>
      <c r="I293" s="1690"/>
      <c r="J293" s="1690"/>
      <c r="K293" s="1690"/>
      <c r="L293" s="1693"/>
      <c r="M293" s="1640"/>
      <c r="N293" s="1634"/>
      <c r="O293" s="1678"/>
      <c r="P293" s="1696"/>
      <c r="Q293" s="1696"/>
      <c r="R293" s="1696"/>
      <c r="S293" s="1696"/>
      <c r="T293" s="1640"/>
      <c r="U293" s="1640"/>
      <c r="V293" s="1667"/>
      <c r="W293" s="1640"/>
      <c r="X293" s="1640"/>
      <c r="Y293" s="1678"/>
      <c r="Z293" s="14">
        <v>2021.84</v>
      </c>
      <c r="AA293" s="1678"/>
      <c r="AB293" s="14">
        <v>1373.26</v>
      </c>
      <c r="AC293" s="1649"/>
      <c r="AD293" s="12"/>
      <c r="AE293" s="1649"/>
      <c r="AF293" s="1652"/>
      <c r="AG293" s="1646"/>
      <c r="AH293" s="13"/>
      <c r="AI293" s="1646"/>
      <c r="AJ293" s="13"/>
      <c r="AK293" s="1701"/>
      <c r="AL293" s="1701"/>
      <c r="AM293" s="1701"/>
      <c r="AN293" s="1667"/>
      <c r="AO293" s="1739"/>
      <c r="AP293" s="1739"/>
      <c r="AQ293" s="1667"/>
      <c r="AR293" s="82">
        <v>256.20999999999998</v>
      </c>
      <c r="AS293" s="1701"/>
      <c r="AT293" s="1667"/>
      <c r="AU293" s="82">
        <v>24.76</v>
      </c>
      <c r="AV293" s="13"/>
      <c r="AW293" s="948"/>
      <c r="AX293" s="15"/>
      <c r="AY293" s="948"/>
      <c r="AZ293" s="13"/>
      <c r="BA293" s="948"/>
      <c r="BB293" s="15"/>
      <c r="BC293" s="948"/>
      <c r="BD293" s="13"/>
      <c r="BE293" s="948"/>
      <c r="BF293" s="15"/>
      <c r="BG293" s="948"/>
      <c r="BH293" s="13"/>
      <c r="BI293" s="948"/>
      <c r="BJ293" s="15"/>
      <c r="BK293" s="948"/>
    </row>
    <row r="294" spans="1:63" s="8" customFormat="1" ht="71.25" customHeight="1">
      <c r="A294" s="1726" t="s">
        <v>414</v>
      </c>
      <c r="B294" s="1656"/>
      <c r="C294" s="1720">
        <v>203062604</v>
      </c>
      <c r="D294" s="1662" t="s">
        <v>415</v>
      </c>
      <c r="E294" s="1662" t="s">
        <v>431</v>
      </c>
      <c r="F294" s="1662" t="s">
        <v>431</v>
      </c>
      <c r="G294" s="1665" t="s">
        <v>3654</v>
      </c>
      <c r="H294" s="1665" t="s">
        <v>432</v>
      </c>
      <c r="I294" s="1668" t="s">
        <v>2473</v>
      </c>
      <c r="J294" s="1674">
        <v>43070</v>
      </c>
      <c r="K294" s="1674">
        <v>43466</v>
      </c>
      <c r="L294" s="1708">
        <v>38</v>
      </c>
      <c r="M294" s="1638" t="s">
        <v>48</v>
      </c>
      <c r="N294" s="1638" t="s">
        <v>354</v>
      </c>
      <c r="O294" s="1656"/>
      <c r="P294" s="1679" t="s">
        <v>72</v>
      </c>
      <c r="Q294" s="1679" t="s">
        <v>1265</v>
      </c>
      <c r="R294" s="1694" t="s">
        <v>4244</v>
      </c>
      <c r="S294" s="1694" t="s">
        <v>4244</v>
      </c>
      <c r="T294" s="1638" t="s">
        <v>303</v>
      </c>
      <c r="U294" s="1638" t="s">
        <v>2503</v>
      </c>
      <c r="V294" s="1665" t="s">
        <v>252</v>
      </c>
      <c r="W294" s="1638" t="s">
        <v>307</v>
      </c>
      <c r="X294" s="1638" t="s">
        <v>113</v>
      </c>
      <c r="Y294" s="1697" t="s">
        <v>403</v>
      </c>
      <c r="Z294" s="23">
        <v>475.5</v>
      </c>
      <c r="AA294" s="1712" t="s">
        <v>78</v>
      </c>
      <c r="AB294" s="1"/>
      <c r="AC294" s="1647"/>
      <c r="AD294" s="1"/>
      <c r="AE294" s="1647"/>
      <c r="AF294" s="1650"/>
      <c r="AG294" s="1644"/>
      <c r="AH294" s="2"/>
      <c r="AI294" s="1644"/>
      <c r="AJ294" s="2"/>
      <c r="AK294" s="1662" t="s">
        <v>85</v>
      </c>
      <c r="AL294" s="1662" t="s">
        <v>245</v>
      </c>
      <c r="AM294" s="1662" t="s">
        <v>246</v>
      </c>
      <c r="AN294" s="1638" t="s">
        <v>248</v>
      </c>
      <c r="AO294" s="1638" t="s">
        <v>2500</v>
      </c>
      <c r="AP294" s="1638" t="s">
        <v>2481</v>
      </c>
      <c r="AQ294" s="1638" t="s">
        <v>386</v>
      </c>
      <c r="AR294" s="23">
        <v>61.3</v>
      </c>
      <c r="AS294" s="1638" t="s">
        <v>2483</v>
      </c>
      <c r="AT294" s="1638" t="s">
        <v>2488</v>
      </c>
      <c r="AU294" s="23">
        <v>9.8000000000000007</v>
      </c>
      <c r="AV294" s="23" t="s">
        <v>56</v>
      </c>
      <c r="AW294" s="271" t="s">
        <v>1249</v>
      </c>
      <c r="AX294" s="181">
        <v>9.4E-2</v>
      </c>
      <c r="AY294" s="271" t="s">
        <v>58</v>
      </c>
      <c r="AZ294" s="2"/>
      <c r="BA294" s="267"/>
      <c r="BB294" s="7"/>
      <c r="BC294" s="267"/>
      <c r="BD294" s="2"/>
      <c r="BE294" s="267"/>
      <c r="BF294" s="7"/>
      <c r="BG294" s="267"/>
      <c r="BH294" s="16"/>
      <c r="BI294" s="225"/>
      <c r="BJ294" s="18"/>
      <c r="BK294" s="225"/>
    </row>
    <row r="295" spans="1:63" s="8" customFormat="1" ht="71.25" customHeight="1">
      <c r="A295" s="1727"/>
      <c r="B295" s="1657"/>
      <c r="C295" s="1660"/>
      <c r="D295" s="1663"/>
      <c r="E295" s="1663"/>
      <c r="F295" s="1663"/>
      <c r="G295" s="1666"/>
      <c r="H295" s="1666"/>
      <c r="I295" s="1669"/>
      <c r="J295" s="1669"/>
      <c r="K295" s="1669"/>
      <c r="L295" s="1676"/>
      <c r="M295" s="1639"/>
      <c r="N295" s="1639"/>
      <c r="O295" s="1657"/>
      <c r="P295" s="1680"/>
      <c r="Q295" s="1680"/>
      <c r="R295" s="1695"/>
      <c r="S295" s="1695"/>
      <c r="T295" s="1639"/>
      <c r="U295" s="1639"/>
      <c r="V295" s="1666"/>
      <c r="W295" s="1639"/>
      <c r="X295" s="1639"/>
      <c r="Y295" s="1657"/>
      <c r="Z295" s="25">
        <v>1041.3499999999999</v>
      </c>
      <c r="AA295" s="1713"/>
      <c r="AB295" s="9"/>
      <c r="AC295" s="1648"/>
      <c r="AD295" s="9"/>
      <c r="AE295" s="1648"/>
      <c r="AF295" s="1651"/>
      <c r="AG295" s="1645"/>
      <c r="AH295" s="10"/>
      <c r="AI295" s="1645"/>
      <c r="AJ295" s="10"/>
      <c r="AK295" s="1700"/>
      <c r="AL295" s="1700"/>
      <c r="AM295" s="1700"/>
      <c r="AN295" s="1639"/>
      <c r="AO295" s="1639"/>
      <c r="AP295" s="1639"/>
      <c r="AQ295" s="1639"/>
      <c r="AR295" s="25">
        <v>124.99</v>
      </c>
      <c r="AS295" s="1639"/>
      <c r="AT295" s="1639"/>
      <c r="AU295" s="25">
        <v>19.63</v>
      </c>
      <c r="AV295" s="25" t="s">
        <v>65</v>
      </c>
      <c r="AW295" s="272" t="s">
        <v>1249</v>
      </c>
      <c r="AX295" s="182">
        <v>0.02</v>
      </c>
      <c r="AY295" s="272" t="s">
        <v>58</v>
      </c>
      <c r="AZ295" s="10"/>
      <c r="BA295" s="268"/>
      <c r="BB295" s="11"/>
      <c r="BC295" s="268"/>
      <c r="BD295" s="25" t="s">
        <v>67</v>
      </c>
      <c r="BE295" s="272" t="s">
        <v>82</v>
      </c>
      <c r="BF295" s="182">
        <v>0.25</v>
      </c>
      <c r="BG295" s="272" t="s">
        <v>69</v>
      </c>
      <c r="BH295" s="20"/>
      <c r="BI295" s="226"/>
      <c r="BJ295" s="22"/>
      <c r="BK295" s="226"/>
    </row>
    <row r="296" spans="1:63" s="8" customFormat="1" ht="71.25" customHeight="1">
      <c r="A296" s="1727"/>
      <c r="B296" s="1657"/>
      <c r="C296" s="1660"/>
      <c r="D296" s="1663"/>
      <c r="E296" s="1663"/>
      <c r="F296" s="1663"/>
      <c r="G296" s="1666"/>
      <c r="H296" s="1666"/>
      <c r="I296" s="1669"/>
      <c r="J296" s="1669"/>
      <c r="K296" s="1669"/>
      <c r="L296" s="1676"/>
      <c r="M296" s="1639"/>
      <c r="N296" s="1639"/>
      <c r="O296" s="1657"/>
      <c r="P296" s="1680"/>
      <c r="Q296" s="1680"/>
      <c r="R296" s="1695"/>
      <c r="S296" s="1695"/>
      <c r="T296" s="1639"/>
      <c r="U296" s="1639"/>
      <c r="V296" s="1666"/>
      <c r="W296" s="1639"/>
      <c r="X296" s="1639"/>
      <c r="Y296" s="1657"/>
      <c r="Z296" s="25">
        <v>903.45</v>
      </c>
      <c r="AA296" s="1713"/>
      <c r="AB296" s="9"/>
      <c r="AC296" s="1648"/>
      <c r="AD296" s="9"/>
      <c r="AE296" s="1648"/>
      <c r="AF296" s="1651"/>
      <c r="AG296" s="1645"/>
      <c r="AH296" s="10"/>
      <c r="AI296" s="1645"/>
      <c r="AJ296" s="10"/>
      <c r="AK296" s="1700"/>
      <c r="AL296" s="1700"/>
      <c r="AM296" s="1700"/>
      <c r="AN296" s="1639"/>
      <c r="AO296" s="1639"/>
      <c r="AP296" s="1639"/>
      <c r="AQ296" s="1639"/>
      <c r="AR296" s="25">
        <v>140.88</v>
      </c>
      <c r="AS296" s="1639"/>
      <c r="AT296" s="1639"/>
      <c r="AU296" s="25">
        <v>16.62</v>
      </c>
      <c r="AV296" s="10"/>
      <c r="AW296" s="223"/>
      <c r="AX296" s="11"/>
      <c r="AY296" s="223"/>
      <c r="AZ296" s="10"/>
      <c r="BA296" s="223"/>
      <c r="BB296" s="11"/>
      <c r="BC296" s="223"/>
      <c r="BD296" s="20" t="s">
        <v>3736</v>
      </c>
      <c r="BE296" s="676"/>
      <c r="BF296" s="22"/>
      <c r="BG296" s="676"/>
      <c r="BH296" s="10"/>
      <c r="BI296" s="223"/>
      <c r="BJ296" s="11"/>
      <c r="BK296" s="223"/>
    </row>
    <row r="297" spans="1:63" s="8" customFormat="1" ht="71.25" customHeight="1" thickBot="1">
      <c r="A297" s="1728"/>
      <c r="B297" s="1658"/>
      <c r="C297" s="1661"/>
      <c r="D297" s="1664"/>
      <c r="E297" s="1664"/>
      <c r="F297" s="1664"/>
      <c r="G297" s="1667"/>
      <c r="H297" s="1667"/>
      <c r="I297" s="1670"/>
      <c r="J297" s="1670"/>
      <c r="K297" s="1670"/>
      <c r="L297" s="1677"/>
      <c r="M297" s="1640"/>
      <c r="N297" s="1640"/>
      <c r="O297" s="1678"/>
      <c r="P297" s="1760"/>
      <c r="Q297" s="1760"/>
      <c r="R297" s="1696"/>
      <c r="S297" s="1696"/>
      <c r="T297" s="1640"/>
      <c r="U297" s="1640"/>
      <c r="V297" s="1667"/>
      <c r="W297" s="1640"/>
      <c r="X297" s="1640"/>
      <c r="Y297" s="1678"/>
      <c r="Z297" s="180">
        <v>1445.53</v>
      </c>
      <c r="AA297" s="1714"/>
      <c r="AB297" s="12"/>
      <c r="AC297" s="1649"/>
      <c r="AD297" s="12"/>
      <c r="AE297" s="1649"/>
      <c r="AF297" s="1652"/>
      <c r="AG297" s="1646"/>
      <c r="AH297" s="13"/>
      <c r="AI297" s="1646"/>
      <c r="AJ297" s="13"/>
      <c r="AK297" s="1701"/>
      <c r="AL297" s="1701"/>
      <c r="AM297" s="1701"/>
      <c r="AN297" s="1640"/>
      <c r="AO297" s="1640"/>
      <c r="AP297" s="1640"/>
      <c r="AQ297" s="1640"/>
      <c r="AR297" s="180">
        <v>219.17</v>
      </c>
      <c r="AS297" s="1640"/>
      <c r="AT297" s="1640"/>
      <c r="AU297" s="180">
        <v>27.4</v>
      </c>
      <c r="AV297" s="13"/>
      <c r="AW297" s="224"/>
      <c r="AX297" s="15"/>
      <c r="AY297" s="224"/>
      <c r="AZ297" s="13"/>
      <c r="BA297" s="224"/>
      <c r="BB297" s="15"/>
      <c r="BC297" s="224"/>
      <c r="BD297" s="13"/>
      <c r="BE297" s="224"/>
      <c r="BF297" s="15"/>
      <c r="BG297" s="224"/>
      <c r="BH297" s="13"/>
      <c r="BI297" s="224"/>
      <c r="BJ297" s="15"/>
      <c r="BK297" s="224"/>
    </row>
    <row r="298" spans="1:63" s="8" customFormat="1" ht="71.25" customHeight="1">
      <c r="A298" s="1682" t="s">
        <v>1248</v>
      </c>
      <c r="B298" s="1656"/>
      <c r="C298" s="1720">
        <v>202232203</v>
      </c>
      <c r="D298" s="1662" t="s">
        <v>1247</v>
      </c>
      <c r="E298" s="1662" t="s">
        <v>1267</v>
      </c>
      <c r="F298" s="1662" t="s">
        <v>1267</v>
      </c>
      <c r="G298" s="1665" t="s">
        <v>3654</v>
      </c>
      <c r="H298" s="1662" t="s">
        <v>1268</v>
      </c>
      <c r="I298" s="1668" t="s">
        <v>2473</v>
      </c>
      <c r="J298" s="1674">
        <v>43070</v>
      </c>
      <c r="K298" s="1674">
        <v>43466</v>
      </c>
      <c r="L298" s="1691">
        <v>73</v>
      </c>
      <c r="M298" s="1632" t="s">
        <v>246</v>
      </c>
      <c r="N298" s="1632" t="s">
        <v>1302</v>
      </c>
      <c r="O298" s="1656"/>
      <c r="P298" s="1679" t="s">
        <v>72</v>
      </c>
      <c r="Q298" s="1759" t="s">
        <v>1270</v>
      </c>
      <c r="R298" s="1694" t="s">
        <v>4244</v>
      </c>
      <c r="S298" s="1694" t="s">
        <v>4244</v>
      </c>
      <c r="T298" s="1638" t="s">
        <v>303</v>
      </c>
      <c r="U298" s="1638" t="s">
        <v>2503</v>
      </c>
      <c r="V298" s="1665" t="s">
        <v>252</v>
      </c>
      <c r="W298" s="1638" t="s">
        <v>307</v>
      </c>
      <c r="X298" s="1638" t="s">
        <v>113</v>
      </c>
      <c r="Y298" s="1694" t="s">
        <v>93</v>
      </c>
      <c r="Z298" s="23">
        <v>742.75</v>
      </c>
      <c r="AA298" s="1638" t="s">
        <v>403</v>
      </c>
      <c r="AB298" s="23">
        <v>475.5</v>
      </c>
      <c r="AC298" s="1712" t="s">
        <v>1269</v>
      </c>
      <c r="AD298" s="1"/>
      <c r="AE298" s="1647"/>
      <c r="AF298" s="1650"/>
      <c r="AG298" s="1644"/>
      <c r="AH298" s="2"/>
      <c r="AI298" s="1644"/>
      <c r="AJ298" s="2"/>
      <c r="AK298" s="1632" t="s">
        <v>113</v>
      </c>
      <c r="AL298" s="1632" t="s">
        <v>72</v>
      </c>
      <c r="AM298" s="1632" t="s">
        <v>72</v>
      </c>
      <c r="AN298" s="1632" t="s">
        <v>113</v>
      </c>
      <c r="AO298" s="1632" t="s">
        <v>72</v>
      </c>
      <c r="AP298" s="1632" t="s">
        <v>72</v>
      </c>
      <c r="AQ298" s="1632" t="s">
        <v>72</v>
      </c>
      <c r="AR298" s="1"/>
      <c r="AS298" s="1632" t="s">
        <v>2493</v>
      </c>
      <c r="AT298" s="1632" t="s">
        <v>72</v>
      </c>
      <c r="AU298" s="1"/>
      <c r="AV298" s="2"/>
      <c r="AW298" s="362"/>
      <c r="AX298" s="7"/>
      <c r="AY298" s="362"/>
      <c r="AZ298" s="2"/>
      <c r="BA298" s="362"/>
      <c r="BB298" s="7"/>
      <c r="BC298" s="362"/>
      <c r="BD298" s="2"/>
      <c r="BE298" s="362"/>
      <c r="BF298" s="7"/>
      <c r="BG298" s="362"/>
      <c r="BH298" s="2"/>
      <c r="BI298" s="362"/>
      <c r="BJ298" s="18"/>
      <c r="BK298" s="303"/>
    </row>
    <row r="299" spans="1:63" s="8" customFormat="1" ht="71.25" customHeight="1">
      <c r="A299" s="1683"/>
      <c r="B299" s="1657"/>
      <c r="C299" s="1660"/>
      <c r="D299" s="1663"/>
      <c r="E299" s="1663"/>
      <c r="F299" s="1663"/>
      <c r="G299" s="1666"/>
      <c r="H299" s="1663"/>
      <c r="I299" s="1669"/>
      <c r="J299" s="1669"/>
      <c r="K299" s="1669"/>
      <c r="L299" s="1692"/>
      <c r="M299" s="1633"/>
      <c r="N299" s="1633"/>
      <c r="O299" s="1657"/>
      <c r="P299" s="1680"/>
      <c r="Q299" s="1680"/>
      <c r="R299" s="1695"/>
      <c r="S299" s="1695"/>
      <c r="T299" s="1639"/>
      <c r="U299" s="1639"/>
      <c r="V299" s="1666"/>
      <c r="W299" s="1639"/>
      <c r="X299" s="1639"/>
      <c r="Y299" s="1695"/>
      <c r="Z299" s="25">
        <v>1626.63</v>
      </c>
      <c r="AA299" s="1639"/>
      <c r="AB299" s="25">
        <v>1041.3499999999999</v>
      </c>
      <c r="AC299" s="1713"/>
      <c r="AD299" s="9"/>
      <c r="AE299" s="1648"/>
      <c r="AF299" s="1651"/>
      <c r="AG299" s="1645"/>
      <c r="AH299" s="10"/>
      <c r="AI299" s="1645"/>
      <c r="AJ299" s="10"/>
      <c r="AK299" s="1633"/>
      <c r="AL299" s="1633"/>
      <c r="AM299" s="1633"/>
      <c r="AN299" s="1633"/>
      <c r="AO299" s="1633"/>
      <c r="AP299" s="1633"/>
      <c r="AQ299" s="1633"/>
      <c r="AR299" s="9"/>
      <c r="AS299" s="1633"/>
      <c r="AT299" s="1633"/>
      <c r="AU299" s="9"/>
      <c r="AV299" s="10"/>
      <c r="AW299" s="363"/>
      <c r="AX299" s="11"/>
      <c r="AY299" s="363"/>
      <c r="AZ299" s="10"/>
      <c r="BA299" s="363"/>
      <c r="BB299" s="11"/>
      <c r="BC299" s="363"/>
      <c r="BD299" s="10"/>
      <c r="BE299" s="363"/>
      <c r="BF299" s="11"/>
      <c r="BG299" s="363"/>
      <c r="BH299" s="10"/>
      <c r="BI299" s="363"/>
      <c r="BJ299" s="22"/>
      <c r="BK299" s="304"/>
    </row>
    <row r="300" spans="1:63" s="8" customFormat="1" ht="71.25" customHeight="1">
      <c r="A300" s="1683"/>
      <c r="B300" s="1657"/>
      <c r="C300" s="1660"/>
      <c r="D300" s="1663"/>
      <c r="E300" s="1663"/>
      <c r="F300" s="1663"/>
      <c r="G300" s="1666"/>
      <c r="H300" s="1663"/>
      <c r="I300" s="1669"/>
      <c r="J300" s="1669"/>
      <c r="K300" s="1669"/>
      <c r="L300" s="1692"/>
      <c r="M300" s="1633"/>
      <c r="N300" s="1633"/>
      <c r="O300" s="1657"/>
      <c r="P300" s="1680"/>
      <c r="Q300" s="1680"/>
      <c r="R300" s="1695"/>
      <c r="S300" s="1695"/>
      <c r="T300" s="1639"/>
      <c r="U300" s="1639"/>
      <c r="V300" s="1666"/>
      <c r="W300" s="1639"/>
      <c r="X300" s="1639"/>
      <c r="Y300" s="1695"/>
      <c r="Z300" s="25">
        <v>1411.23</v>
      </c>
      <c r="AA300" s="1639"/>
      <c r="AB300" s="25">
        <v>903.45</v>
      </c>
      <c r="AC300" s="1713"/>
      <c r="AD300" s="9"/>
      <c r="AE300" s="1648"/>
      <c r="AF300" s="1651"/>
      <c r="AG300" s="1645"/>
      <c r="AH300" s="10"/>
      <c r="AI300" s="1645"/>
      <c r="AJ300" s="10"/>
      <c r="AK300" s="1633"/>
      <c r="AL300" s="1633"/>
      <c r="AM300" s="1633"/>
      <c r="AN300" s="1633"/>
      <c r="AO300" s="1633"/>
      <c r="AP300" s="1633"/>
      <c r="AQ300" s="1633"/>
      <c r="AR300" s="9"/>
      <c r="AS300" s="1633"/>
      <c r="AT300" s="1633"/>
      <c r="AU300" s="9"/>
      <c r="AV300" s="10"/>
      <c r="AW300" s="363"/>
      <c r="AX300" s="11"/>
      <c r="AY300" s="363"/>
      <c r="AZ300" s="10"/>
      <c r="BA300" s="363"/>
      <c r="BB300" s="11"/>
      <c r="BC300" s="363"/>
      <c r="BD300" s="10"/>
      <c r="BE300" s="363"/>
      <c r="BF300" s="11"/>
      <c r="BG300" s="363"/>
      <c r="BH300" s="10"/>
      <c r="BI300" s="363"/>
      <c r="BJ300" s="11"/>
      <c r="BK300" s="299"/>
    </row>
    <row r="301" spans="1:63" s="8" customFormat="1" ht="71.25" customHeight="1" thickBot="1">
      <c r="A301" s="1684"/>
      <c r="B301" s="1658"/>
      <c r="C301" s="1661"/>
      <c r="D301" s="1664"/>
      <c r="E301" s="1664"/>
      <c r="F301" s="1664"/>
      <c r="G301" s="1667"/>
      <c r="H301" s="1664"/>
      <c r="I301" s="1670"/>
      <c r="J301" s="1670"/>
      <c r="K301" s="1670"/>
      <c r="L301" s="1693"/>
      <c r="M301" s="1634"/>
      <c r="N301" s="1634"/>
      <c r="O301" s="1678"/>
      <c r="P301" s="1760"/>
      <c r="Q301" s="1760"/>
      <c r="R301" s="1696"/>
      <c r="S301" s="1696"/>
      <c r="T301" s="1640"/>
      <c r="U301" s="1640"/>
      <c r="V301" s="1667"/>
      <c r="W301" s="1640"/>
      <c r="X301" s="1640"/>
      <c r="Y301" s="1696"/>
      <c r="Z301" s="180">
        <v>2257.96</v>
      </c>
      <c r="AA301" s="1640"/>
      <c r="AB301" s="180">
        <v>1445.53</v>
      </c>
      <c r="AC301" s="1714"/>
      <c r="AD301" s="12"/>
      <c r="AE301" s="1649"/>
      <c r="AF301" s="1652"/>
      <c r="AG301" s="1646"/>
      <c r="AH301" s="13"/>
      <c r="AI301" s="1646"/>
      <c r="AJ301" s="13"/>
      <c r="AK301" s="1634"/>
      <c r="AL301" s="1634"/>
      <c r="AM301" s="1634"/>
      <c r="AN301" s="1634"/>
      <c r="AO301" s="1634"/>
      <c r="AP301" s="1634"/>
      <c r="AQ301" s="1634"/>
      <c r="AR301" s="12"/>
      <c r="AS301" s="1634"/>
      <c r="AT301" s="1634"/>
      <c r="AU301" s="12"/>
      <c r="AV301" s="13"/>
      <c r="AW301" s="364"/>
      <c r="AX301" s="15"/>
      <c r="AY301" s="364"/>
      <c r="AZ301" s="13"/>
      <c r="BA301" s="364"/>
      <c r="BB301" s="15"/>
      <c r="BC301" s="364"/>
      <c r="BD301" s="13"/>
      <c r="BE301" s="364"/>
      <c r="BF301" s="15"/>
      <c r="BG301" s="364"/>
      <c r="BH301" s="13"/>
      <c r="BI301" s="364"/>
      <c r="BJ301" s="15"/>
      <c r="BK301" s="300"/>
    </row>
    <row r="302" spans="1:63" s="8" customFormat="1" ht="71.25" customHeight="1">
      <c r="A302" s="1682" t="s">
        <v>416</v>
      </c>
      <c r="B302" s="1656"/>
      <c r="C302" s="1720">
        <v>812744449</v>
      </c>
      <c r="D302" s="1662" t="s">
        <v>417</v>
      </c>
      <c r="E302" s="1662" t="s">
        <v>418</v>
      </c>
      <c r="F302" s="1662" t="s">
        <v>419</v>
      </c>
      <c r="G302" s="1665" t="s">
        <v>3665</v>
      </c>
      <c r="H302" s="1638" t="s">
        <v>4334</v>
      </c>
      <c r="I302" s="1668" t="s">
        <v>2473</v>
      </c>
      <c r="J302" s="1674">
        <v>43101</v>
      </c>
      <c r="K302" s="1674">
        <v>43466</v>
      </c>
      <c r="L302" s="1675">
        <v>17</v>
      </c>
      <c r="M302" s="1638" t="s">
        <v>48</v>
      </c>
      <c r="N302" s="1638" t="s">
        <v>354</v>
      </c>
      <c r="O302" s="1694"/>
      <c r="P302" s="1694" t="s">
        <v>50</v>
      </c>
      <c r="Q302" s="1694" t="s">
        <v>73</v>
      </c>
      <c r="R302" s="1694" t="s">
        <v>4244</v>
      </c>
      <c r="S302" s="1694" t="s">
        <v>4244</v>
      </c>
      <c r="T302" s="1638" t="s">
        <v>303</v>
      </c>
      <c r="U302" s="1638" t="s">
        <v>2503</v>
      </c>
      <c r="V302" s="1665" t="s">
        <v>252</v>
      </c>
      <c r="W302" s="1638" t="s">
        <v>307</v>
      </c>
      <c r="X302" s="1638" t="s">
        <v>113</v>
      </c>
      <c r="Y302" s="1697" t="s">
        <v>422</v>
      </c>
      <c r="Z302" s="23">
        <v>705.19</v>
      </c>
      <c r="AA302" s="1697" t="s">
        <v>403</v>
      </c>
      <c r="AB302" s="23">
        <v>475.5</v>
      </c>
      <c r="AC302" s="1712" t="s">
        <v>78</v>
      </c>
      <c r="AD302" s="1"/>
      <c r="AE302" s="1647"/>
      <c r="AF302" s="1650"/>
      <c r="AG302" s="1644"/>
      <c r="AH302" s="2"/>
      <c r="AI302" s="1644"/>
      <c r="AJ302" s="2"/>
      <c r="AK302" s="1662" t="s">
        <v>85</v>
      </c>
      <c r="AL302" s="1662" t="s">
        <v>245</v>
      </c>
      <c r="AM302" s="1662" t="s">
        <v>246</v>
      </c>
      <c r="AN302" s="1638" t="s">
        <v>423</v>
      </c>
      <c r="AO302" s="1638" t="s">
        <v>2490</v>
      </c>
      <c r="AP302" s="1638" t="s">
        <v>2497</v>
      </c>
      <c r="AQ302" s="1638" t="s">
        <v>389</v>
      </c>
      <c r="AR302" s="23">
        <v>57.72</v>
      </c>
      <c r="AS302" s="1638" t="s">
        <v>2483</v>
      </c>
      <c r="AT302" s="1665" t="s">
        <v>2484</v>
      </c>
      <c r="AU302" s="23">
        <v>8.85</v>
      </c>
      <c r="AV302" s="23" t="s">
        <v>56</v>
      </c>
      <c r="AW302" s="227" t="s">
        <v>1249</v>
      </c>
      <c r="AX302" s="181">
        <v>9.4E-2</v>
      </c>
      <c r="AY302" s="227" t="s">
        <v>58</v>
      </c>
      <c r="AZ302" s="25" t="s">
        <v>59</v>
      </c>
      <c r="BA302" s="228" t="s">
        <v>60</v>
      </c>
      <c r="BB302" s="182" t="s">
        <v>61</v>
      </c>
      <c r="BC302" s="228" t="s">
        <v>58</v>
      </c>
      <c r="BD302" s="23" t="s">
        <v>62</v>
      </c>
      <c r="BE302" s="227" t="s">
        <v>81</v>
      </c>
      <c r="BF302" s="181">
        <v>9.4E-2</v>
      </c>
      <c r="BG302" s="227" t="s">
        <v>64</v>
      </c>
      <c r="BH302" s="16"/>
      <c r="BI302" s="225"/>
      <c r="BJ302" s="18"/>
      <c r="BK302" s="225"/>
    </row>
    <row r="303" spans="1:63" s="8" customFormat="1" ht="71.25" customHeight="1">
      <c r="A303" s="1683"/>
      <c r="B303" s="1657"/>
      <c r="C303" s="1660"/>
      <c r="D303" s="1663"/>
      <c r="E303" s="1663"/>
      <c r="F303" s="1663"/>
      <c r="G303" s="1666"/>
      <c r="H303" s="1639"/>
      <c r="I303" s="1669"/>
      <c r="J303" s="1669"/>
      <c r="K303" s="1669"/>
      <c r="L303" s="1676"/>
      <c r="M303" s="1639"/>
      <c r="N303" s="1639"/>
      <c r="O303" s="1695"/>
      <c r="P303" s="1695"/>
      <c r="Q303" s="1695"/>
      <c r="R303" s="1695"/>
      <c r="S303" s="1695"/>
      <c r="T303" s="1639"/>
      <c r="U303" s="1639"/>
      <c r="V303" s="1666"/>
      <c r="W303" s="1639"/>
      <c r="X303" s="1639"/>
      <c r="Y303" s="1657"/>
      <c r="Z303" s="25">
        <v>1544.37</v>
      </c>
      <c r="AA303" s="1657"/>
      <c r="AB303" s="25">
        <v>1041.3499999999999</v>
      </c>
      <c r="AC303" s="1713"/>
      <c r="AD303" s="9"/>
      <c r="AE303" s="1648"/>
      <c r="AF303" s="1651"/>
      <c r="AG303" s="1645"/>
      <c r="AH303" s="10"/>
      <c r="AI303" s="1645"/>
      <c r="AJ303" s="10"/>
      <c r="AK303" s="1700"/>
      <c r="AL303" s="1700"/>
      <c r="AM303" s="1700"/>
      <c r="AN303" s="1639"/>
      <c r="AO303" s="1639"/>
      <c r="AP303" s="1639"/>
      <c r="AQ303" s="1639"/>
      <c r="AR303" s="25">
        <v>117.96000000000001</v>
      </c>
      <c r="AS303" s="1639"/>
      <c r="AT303" s="1666"/>
      <c r="AU303" s="25">
        <v>17.739999999999998</v>
      </c>
      <c r="AV303" s="25" t="s">
        <v>65</v>
      </c>
      <c r="AW303" s="228" t="s">
        <v>1249</v>
      </c>
      <c r="AX303" s="182">
        <v>0.02</v>
      </c>
      <c r="AY303" s="228" t="s">
        <v>58</v>
      </c>
      <c r="AZ303" s="220" t="s">
        <v>66</v>
      </c>
      <c r="BA303" s="228" t="s">
        <v>60</v>
      </c>
      <c r="BB303" s="182" t="s">
        <v>61</v>
      </c>
      <c r="BC303" s="228" t="s">
        <v>58</v>
      </c>
      <c r="BD303" s="25" t="s">
        <v>67</v>
      </c>
      <c r="BE303" s="228" t="s">
        <v>82</v>
      </c>
      <c r="BF303" s="182">
        <v>0.25</v>
      </c>
      <c r="BG303" s="228" t="s">
        <v>69</v>
      </c>
      <c r="BH303" s="20"/>
      <c r="BI303" s="226"/>
      <c r="BJ303" s="22"/>
      <c r="BK303" s="226"/>
    </row>
    <row r="304" spans="1:63" s="8" customFormat="1" ht="71.25" customHeight="1">
      <c r="A304" s="1683"/>
      <c r="B304" s="1657"/>
      <c r="C304" s="1660"/>
      <c r="D304" s="1663"/>
      <c r="E304" s="1663"/>
      <c r="F304" s="1663"/>
      <c r="G304" s="1666"/>
      <c r="H304" s="1639"/>
      <c r="I304" s="1669"/>
      <c r="J304" s="1669"/>
      <c r="K304" s="1669"/>
      <c r="L304" s="1676"/>
      <c r="M304" s="1639"/>
      <c r="N304" s="1639"/>
      <c r="O304" s="1695"/>
      <c r="P304" s="1695"/>
      <c r="Q304" s="1695"/>
      <c r="R304" s="1695"/>
      <c r="S304" s="1695"/>
      <c r="T304" s="1639"/>
      <c r="U304" s="1639"/>
      <c r="V304" s="1666"/>
      <c r="W304" s="1639"/>
      <c r="X304" s="1639"/>
      <c r="Y304" s="1657"/>
      <c r="Z304" s="25">
        <v>1339.87</v>
      </c>
      <c r="AA304" s="1657"/>
      <c r="AB304" s="25">
        <v>903.45</v>
      </c>
      <c r="AC304" s="1713"/>
      <c r="AD304" s="9"/>
      <c r="AE304" s="1648"/>
      <c r="AF304" s="1651"/>
      <c r="AG304" s="1645"/>
      <c r="AH304" s="10"/>
      <c r="AI304" s="1645"/>
      <c r="AJ304" s="10"/>
      <c r="AK304" s="1700"/>
      <c r="AL304" s="1700"/>
      <c r="AM304" s="1700"/>
      <c r="AN304" s="1639"/>
      <c r="AO304" s="1639"/>
      <c r="AP304" s="1639"/>
      <c r="AQ304" s="1639"/>
      <c r="AR304" s="25">
        <v>125.44</v>
      </c>
      <c r="AS304" s="1639"/>
      <c r="AT304" s="1666"/>
      <c r="AU304" s="25">
        <v>15.01</v>
      </c>
      <c r="AV304" s="10"/>
      <c r="AW304" s="223"/>
      <c r="AX304" s="11"/>
      <c r="AY304" s="223"/>
      <c r="AZ304" s="10"/>
      <c r="BA304" s="223"/>
      <c r="BB304" s="11"/>
      <c r="BC304" s="223"/>
      <c r="BD304" s="10"/>
      <c r="BE304" s="223"/>
      <c r="BF304" s="11"/>
      <c r="BG304" s="223"/>
      <c r="BH304" s="10"/>
      <c r="BI304" s="223"/>
      <c r="BJ304" s="11"/>
      <c r="BK304" s="223"/>
    </row>
    <row r="305" spans="1:63" s="8" customFormat="1" ht="71.25" customHeight="1" thickBot="1">
      <c r="A305" s="1684"/>
      <c r="B305" s="1658"/>
      <c r="C305" s="1661"/>
      <c r="D305" s="1664"/>
      <c r="E305" s="1664"/>
      <c r="F305" s="1664"/>
      <c r="G305" s="1667"/>
      <c r="H305" s="1640"/>
      <c r="I305" s="1670"/>
      <c r="J305" s="1670"/>
      <c r="K305" s="1670"/>
      <c r="L305" s="1677"/>
      <c r="M305" s="1640"/>
      <c r="N305" s="1640"/>
      <c r="O305" s="1696"/>
      <c r="P305" s="1696"/>
      <c r="Q305" s="1696"/>
      <c r="R305" s="1696"/>
      <c r="S305" s="1696"/>
      <c r="T305" s="1640"/>
      <c r="U305" s="1640"/>
      <c r="V305" s="1667"/>
      <c r="W305" s="1640"/>
      <c r="X305" s="1640"/>
      <c r="Y305" s="1678"/>
      <c r="Z305" s="180">
        <v>2143.79</v>
      </c>
      <c r="AA305" s="1678"/>
      <c r="AB305" s="180">
        <v>1445.53</v>
      </c>
      <c r="AC305" s="1714"/>
      <c r="AD305" s="12"/>
      <c r="AE305" s="1649"/>
      <c r="AF305" s="1652"/>
      <c r="AG305" s="1646"/>
      <c r="AH305" s="13"/>
      <c r="AI305" s="1646"/>
      <c r="AJ305" s="13"/>
      <c r="AK305" s="1701"/>
      <c r="AL305" s="1701"/>
      <c r="AM305" s="1701"/>
      <c r="AN305" s="1640"/>
      <c r="AO305" s="1640"/>
      <c r="AP305" s="1640"/>
      <c r="AQ305" s="1640"/>
      <c r="AR305" s="180">
        <v>199.42</v>
      </c>
      <c r="AS305" s="1640"/>
      <c r="AT305" s="1667"/>
      <c r="AU305" s="180">
        <v>24.76</v>
      </c>
      <c r="AV305" s="13"/>
      <c r="AW305" s="224"/>
      <c r="AX305" s="15"/>
      <c r="AY305" s="224"/>
      <c r="AZ305" s="13"/>
      <c r="BA305" s="224"/>
      <c r="BB305" s="15"/>
      <c r="BC305" s="224"/>
      <c r="BD305" s="13"/>
      <c r="BE305" s="224"/>
      <c r="BF305" s="15"/>
      <c r="BG305" s="224"/>
      <c r="BH305" s="13"/>
      <c r="BI305" s="224"/>
      <c r="BJ305" s="15"/>
      <c r="BK305" s="224"/>
    </row>
    <row r="306" spans="1:63" s="8" customFormat="1" ht="71.25" customHeight="1">
      <c r="A306" s="1682" t="s">
        <v>3590</v>
      </c>
      <c r="B306" s="1656"/>
      <c r="C306" s="1720">
        <v>474996745</v>
      </c>
      <c r="D306" s="1662" t="s">
        <v>3606</v>
      </c>
      <c r="E306" s="1662" t="s">
        <v>3605</v>
      </c>
      <c r="F306" s="1638" t="s">
        <v>3605</v>
      </c>
      <c r="G306" s="1665" t="s">
        <v>3665</v>
      </c>
      <c r="H306" s="1638" t="s">
        <v>4333</v>
      </c>
      <c r="I306" s="1668" t="s">
        <v>2473</v>
      </c>
      <c r="J306" s="1674">
        <v>43101</v>
      </c>
      <c r="K306" s="1674">
        <v>43466</v>
      </c>
      <c r="L306" s="1675">
        <v>13</v>
      </c>
      <c r="M306" s="1638" t="s">
        <v>48</v>
      </c>
      <c r="N306" s="1638" t="s">
        <v>354</v>
      </c>
      <c r="O306" s="1656"/>
      <c r="P306" s="1712" t="s">
        <v>72</v>
      </c>
      <c r="Q306" s="1694" t="s">
        <v>73</v>
      </c>
      <c r="R306" s="1694" t="s">
        <v>4244</v>
      </c>
      <c r="S306" s="1694" t="s">
        <v>4244</v>
      </c>
      <c r="T306" s="1638" t="s">
        <v>317</v>
      </c>
      <c r="U306" s="1638" t="s">
        <v>2477</v>
      </c>
      <c r="V306" s="1665" t="s">
        <v>252</v>
      </c>
      <c r="W306" s="1638" t="s">
        <v>307</v>
      </c>
      <c r="X306" s="1638" t="s">
        <v>113</v>
      </c>
      <c r="Y306" s="1656" t="s">
        <v>124</v>
      </c>
      <c r="Z306" s="23">
        <v>554.71</v>
      </c>
      <c r="AA306" s="1694" t="s">
        <v>93</v>
      </c>
      <c r="AB306" s="23">
        <v>653.54</v>
      </c>
      <c r="AC306" s="1638" t="s">
        <v>403</v>
      </c>
      <c r="AD306" s="23">
        <v>410.5</v>
      </c>
      <c r="AE306" s="1647"/>
      <c r="AF306" s="1650"/>
      <c r="AG306" s="1644"/>
      <c r="AH306" s="2"/>
      <c r="AI306" s="1644"/>
      <c r="AJ306" s="2"/>
      <c r="AK306" s="1662" t="s">
        <v>85</v>
      </c>
      <c r="AL306" s="1662" t="s">
        <v>245</v>
      </c>
      <c r="AM306" s="1662" t="s">
        <v>246</v>
      </c>
      <c r="AN306" s="1638" t="s">
        <v>376</v>
      </c>
      <c r="AO306" s="1638" t="s">
        <v>2480</v>
      </c>
      <c r="AP306" s="1638" t="s">
        <v>2497</v>
      </c>
      <c r="AQ306" s="1638" t="s">
        <v>384</v>
      </c>
      <c r="AR306" s="23">
        <v>62.28</v>
      </c>
      <c r="AS306" s="1638" t="s">
        <v>2483</v>
      </c>
      <c r="AT306" s="1638" t="s">
        <v>2488</v>
      </c>
      <c r="AU306" s="23">
        <v>9.8000000000000007</v>
      </c>
      <c r="AV306" s="23" t="s">
        <v>56</v>
      </c>
      <c r="AW306" s="651" t="s">
        <v>1249</v>
      </c>
      <c r="AX306" s="181">
        <v>9.4E-2</v>
      </c>
      <c r="AY306" s="651" t="s">
        <v>58</v>
      </c>
      <c r="AZ306" s="2"/>
      <c r="BA306" s="653"/>
      <c r="BB306" s="7"/>
      <c r="BC306" s="653"/>
      <c r="BD306" s="2"/>
      <c r="BE306" s="653"/>
      <c r="BF306" s="7"/>
      <c r="BG306" s="653"/>
      <c r="BH306" s="16"/>
      <c r="BI306" s="649"/>
      <c r="BJ306" s="18"/>
      <c r="BK306" s="649"/>
    </row>
    <row r="307" spans="1:63" s="8" customFormat="1" ht="71.25" customHeight="1">
      <c r="A307" s="1683"/>
      <c r="B307" s="1657"/>
      <c r="C307" s="1660"/>
      <c r="D307" s="1663"/>
      <c r="E307" s="1663"/>
      <c r="F307" s="1698"/>
      <c r="G307" s="1666"/>
      <c r="H307" s="1639"/>
      <c r="I307" s="1669"/>
      <c r="J307" s="1669"/>
      <c r="K307" s="1669"/>
      <c r="L307" s="1676"/>
      <c r="M307" s="1639"/>
      <c r="N307" s="1639"/>
      <c r="O307" s="1657"/>
      <c r="P307" s="1713"/>
      <c r="Q307" s="1695"/>
      <c r="R307" s="1695"/>
      <c r="S307" s="1695"/>
      <c r="T307" s="1639"/>
      <c r="U307" s="1639"/>
      <c r="V307" s="1666"/>
      <c r="W307" s="1639"/>
      <c r="X307" s="1639"/>
      <c r="Y307" s="1657"/>
      <c r="Z307" s="25">
        <v>1214.81</v>
      </c>
      <c r="AA307" s="1695"/>
      <c r="AB307" s="25">
        <v>1431.25</v>
      </c>
      <c r="AC307" s="1639"/>
      <c r="AD307" s="25">
        <v>899.01</v>
      </c>
      <c r="AE307" s="1648"/>
      <c r="AF307" s="1651"/>
      <c r="AG307" s="1645"/>
      <c r="AH307" s="10"/>
      <c r="AI307" s="1645"/>
      <c r="AJ307" s="10"/>
      <c r="AK307" s="1700"/>
      <c r="AL307" s="1700"/>
      <c r="AM307" s="1700"/>
      <c r="AN307" s="1639"/>
      <c r="AO307" s="1639"/>
      <c r="AP307" s="1639"/>
      <c r="AQ307" s="1639"/>
      <c r="AR307" s="25">
        <v>127</v>
      </c>
      <c r="AS307" s="1639"/>
      <c r="AT307" s="1639"/>
      <c r="AU307" s="25">
        <v>19.63</v>
      </c>
      <c r="AV307" s="25" t="s">
        <v>65</v>
      </c>
      <c r="AW307" s="652" t="s">
        <v>1249</v>
      </c>
      <c r="AX307" s="182">
        <v>0.02</v>
      </c>
      <c r="AY307" s="652" t="s">
        <v>58</v>
      </c>
      <c r="AZ307" s="10"/>
      <c r="BA307" s="654"/>
      <c r="BB307" s="11"/>
      <c r="BC307" s="654"/>
      <c r="BD307" s="10"/>
      <c r="BE307" s="654"/>
      <c r="BF307" s="11"/>
      <c r="BG307" s="654"/>
      <c r="BH307" s="20"/>
      <c r="BI307" s="650"/>
      <c r="BJ307" s="22"/>
      <c r="BK307" s="650"/>
    </row>
    <row r="308" spans="1:63" s="8" customFormat="1" ht="71.25" customHeight="1">
      <c r="A308" s="1683"/>
      <c r="B308" s="1657"/>
      <c r="C308" s="1660"/>
      <c r="D308" s="1663"/>
      <c r="E308" s="1663"/>
      <c r="F308" s="1698"/>
      <c r="G308" s="1666"/>
      <c r="H308" s="1639"/>
      <c r="I308" s="1669"/>
      <c r="J308" s="1669"/>
      <c r="K308" s="1669"/>
      <c r="L308" s="1676"/>
      <c r="M308" s="1639"/>
      <c r="N308" s="1639"/>
      <c r="O308" s="1657"/>
      <c r="P308" s="1713"/>
      <c r="Q308" s="1695"/>
      <c r="R308" s="1695"/>
      <c r="S308" s="1695"/>
      <c r="T308" s="1639"/>
      <c r="U308" s="1639"/>
      <c r="V308" s="1666"/>
      <c r="W308" s="1639"/>
      <c r="X308" s="1639"/>
      <c r="Y308" s="1657"/>
      <c r="Z308" s="25">
        <v>1053.94</v>
      </c>
      <c r="AA308" s="1695"/>
      <c r="AB308" s="25">
        <v>1241.73</v>
      </c>
      <c r="AC308" s="1639"/>
      <c r="AD308" s="25">
        <v>779.95</v>
      </c>
      <c r="AE308" s="1648"/>
      <c r="AF308" s="1651"/>
      <c r="AG308" s="1645"/>
      <c r="AH308" s="10"/>
      <c r="AI308" s="1645"/>
      <c r="AJ308" s="10"/>
      <c r="AK308" s="1700"/>
      <c r="AL308" s="1700"/>
      <c r="AM308" s="1700"/>
      <c r="AN308" s="1639"/>
      <c r="AO308" s="1639"/>
      <c r="AP308" s="1639"/>
      <c r="AQ308" s="1639"/>
      <c r="AR308" s="25">
        <v>146.02000000000001</v>
      </c>
      <c r="AS308" s="1639"/>
      <c r="AT308" s="1639"/>
      <c r="AU308" s="25">
        <v>16.62</v>
      </c>
      <c r="AV308" s="10"/>
      <c r="AW308" s="647"/>
      <c r="AX308" s="11"/>
      <c r="AY308" s="647"/>
      <c r="AZ308" s="10"/>
      <c r="BA308" s="647"/>
      <c r="BB308" s="11"/>
      <c r="BC308" s="647"/>
      <c r="BD308" s="10"/>
      <c r="BE308" s="647"/>
      <c r="BF308" s="11"/>
      <c r="BG308" s="647"/>
      <c r="BH308" s="10"/>
      <c r="BI308" s="647"/>
      <c r="BJ308" s="11"/>
      <c r="BK308" s="647"/>
    </row>
    <row r="309" spans="1:63" s="8" customFormat="1" ht="71.25" customHeight="1" thickBot="1">
      <c r="A309" s="1684"/>
      <c r="B309" s="1658"/>
      <c r="C309" s="1661"/>
      <c r="D309" s="1664"/>
      <c r="E309" s="1664"/>
      <c r="F309" s="1699"/>
      <c r="G309" s="1667"/>
      <c r="H309" s="1640"/>
      <c r="I309" s="1670"/>
      <c r="J309" s="1670"/>
      <c r="K309" s="1670"/>
      <c r="L309" s="1677"/>
      <c r="M309" s="1640"/>
      <c r="N309" s="1640"/>
      <c r="O309" s="1678"/>
      <c r="P309" s="1714"/>
      <c r="Q309" s="1696"/>
      <c r="R309" s="1696"/>
      <c r="S309" s="1696"/>
      <c r="T309" s="1640"/>
      <c r="U309" s="1640"/>
      <c r="V309" s="1667"/>
      <c r="W309" s="1640"/>
      <c r="X309" s="1640"/>
      <c r="Y309" s="1678"/>
      <c r="Z309" s="180">
        <v>1686.31</v>
      </c>
      <c r="AA309" s="1696"/>
      <c r="AB309" s="180">
        <v>1986.75</v>
      </c>
      <c r="AC309" s="1640"/>
      <c r="AD309" s="180">
        <v>1247.93</v>
      </c>
      <c r="AE309" s="1649"/>
      <c r="AF309" s="1652"/>
      <c r="AG309" s="1646"/>
      <c r="AH309" s="13"/>
      <c r="AI309" s="1646"/>
      <c r="AJ309" s="13"/>
      <c r="AK309" s="1701"/>
      <c r="AL309" s="1701"/>
      <c r="AM309" s="1701"/>
      <c r="AN309" s="1640"/>
      <c r="AO309" s="1640"/>
      <c r="AP309" s="1640"/>
      <c r="AQ309" s="1640"/>
      <c r="AR309" s="180">
        <v>225.98</v>
      </c>
      <c r="AS309" s="1640"/>
      <c r="AT309" s="1640"/>
      <c r="AU309" s="180">
        <v>27.4</v>
      </c>
      <c r="AV309" s="13"/>
      <c r="AW309" s="648"/>
      <c r="AX309" s="15"/>
      <c r="AY309" s="648"/>
      <c r="AZ309" s="13"/>
      <c r="BA309" s="648"/>
      <c r="BB309" s="15"/>
      <c r="BC309" s="648"/>
      <c r="BD309" s="13"/>
      <c r="BE309" s="648"/>
      <c r="BF309" s="15"/>
      <c r="BG309" s="648"/>
      <c r="BH309" s="13"/>
      <c r="BI309" s="648"/>
      <c r="BJ309" s="15"/>
      <c r="BK309" s="648"/>
    </row>
    <row r="310" spans="1:63" s="8" customFormat="1" ht="71.25" customHeight="1">
      <c r="A310" s="1726" t="s">
        <v>3662</v>
      </c>
      <c r="B310" s="1656"/>
      <c r="C310" s="1720">
        <v>954767945</v>
      </c>
      <c r="D310" s="1662" t="s">
        <v>1263</v>
      </c>
      <c r="E310" s="1662" t="s">
        <v>1245</v>
      </c>
      <c r="F310" s="1662" t="s">
        <v>1264</v>
      </c>
      <c r="G310" s="1665" t="s">
        <v>3665</v>
      </c>
      <c r="H310" s="1662" t="s">
        <v>4335</v>
      </c>
      <c r="I310" s="1668" t="s">
        <v>2473</v>
      </c>
      <c r="J310" s="1674">
        <v>43101</v>
      </c>
      <c r="K310" s="1674">
        <v>43466</v>
      </c>
      <c r="L310" s="1691">
        <v>28</v>
      </c>
      <c r="M310" s="1638" t="s">
        <v>48</v>
      </c>
      <c r="N310" s="1638" t="s">
        <v>354</v>
      </c>
      <c r="O310" s="1656"/>
      <c r="P310" s="1759" t="s">
        <v>1266</v>
      </c>
      <c r="Q310" s="1694" t="s">
        <v>4202</v>
      </c>
      <c r="R310" s="1694" t="s">
        <v>4244</v>
      </c>
      <c r="S310" s="1694" t="s">
        <v>4244</v>
      </c>
      <c r="T310" s="1638" t="s">
        <v>303</v>
      </c>
      <c r="U310" s="1638" t="s">
        <v>2503</v>
      </c>
      <c r="V310" s="1665" t="s">
        <v>252</v>
      </c>
      <c r="W310" s="1638" t="s">
        <v>307</v>
      </c>
      <c r="X310" s="1638" t="s">
        <v>113</v>
      </c>
      <c r="Y310" s="1697" t="s">
        <v>403</v>
      </c>
      <c r="Z310" s="23">
        <v>475.5</v>
      </c>
      <c r="AA310" s="1647"/>
      <c r="AB310" s="1"/>
      <c r="AC310" s="1647"/>
      <c r="AD310" s="1"/>
      <c r="AE310" s="1647"/>
      <c r="AF310" s="1650"/>
      <c r="AG310" s="1644"/>
      <c r="AH310" s="2"/>
      <c r="AI310" s="1644"/>
      <c r="AJ310" s="2"/>
      <c r="AK310" s="1662" t="s">
        <v>85</v>
      </c>
      <c r="AL310" s="1662" t="s">
        <v>245</v>
      </c>
      <c r="AM310" s="1662" t="s">
        <v>246</v>
      </c>
      <c r="AN310" s="1665" t="s">
        <v>250</v>
      </c>
      <c r="AO310" s="1638" t="s">
        <v>2500</v>
      </c>
      <c r="AP310" s="1638" t="s">
        <v>2481</v>
      </c>
      <c r="AQ310" s="1697" t="s">
        <v>388</v>
      </c>
      <c r="AR310" s="23">
        <v>66.400000000000006</v>
      </c>
      <c r="AS310" s="1638" t="s">
        <v>2483</v>
      </c>
      <c r="AT310" s="1665" t="s">
        <v>2486</v>
      </c>
      <c r="AU310" s="3">
        <v>9.6300000000000008</v>
      </c>
      <c r="AV310" s="23" t="s">
        <v>56</v>
      </c>
      <c r="AW310" s="354" t="s">
        <v>148</v>
      </c>
      <c r="AX310" s="181">
        <v>0.09</v>
      </c>
      <c r="AY310" s="354" t="s">
        <v>58</v>
      </c>
      <c r="AZ310" s="2"/>
      <c r="BA310" s="356"/>
      <c r="BB310" s="7"/>
      <c r="BC310" s="356"/>
      <c r="BD310" s="23" t="s">
        <v>62</v>
      </c>
      <c r="BE310" s="354" t="s">
        <v>81</v>
      </c>
      <c r="BF310" s="181">
        <v>9.4E-2</v>
      </c>
      <c r="BG310" s="354" t="s">
        <v>64</v>
      </c>
      <c r="BH310" s="16"/>
      <c r="BI310" s="294"/>
      <c r="BJ310" s="18"/>
      <c r="BK310" s="294"/>
    </row>
    <row r="311" spans="1:63" s="8" customFormat="1" ht="71.25" customHeight="1">
      <c r="A311" s="1727"/>
      <c r="B311" s="1657"/>
      <c r="C311" s="1660"/>
      <c r="D311" s="1663"/>
      <c r="E311" s="1663"/>
      <c r="F311" s="1663"/>
      <c r="G311" s="1666"/>
      <c r="H311" s="1663"/>
      <c r="I311" s="1669"/>
      <c r="J311" s="1669"/>
      <c r="K311" s="1669"/>
      <c r="L311" s="1692"/>
      <c r="M311" s="1639"/>
      <c r="N311" s="1639"/>
      <c r="O311" s="1657"/>
      <c r="P311" s="1680"/>
      <c r="Q311" s="1695"/>
      <c r="R311" s="1695"/>
      <c r="S311" s="1695"/>
      <c r="T311" s="1639"/>
      <c r="U311" s="1639"/>
      <c r="V311" s="1666"/>
      <c r="W311" s="1639"/>
      <c r="X311" s="1639"/>
      <c r="Y311" s="1657"/>
      <c r="Z311" s="25">
        <v>1041.3499999999999</v>
      </c>
      <c r="AA311" s="1648"/>
      <c r="AB311" s="9"/>
      <c r="AC311" s="1648"/>
      <c r="AD311" s="9"/>
      <c r="AE311" s="1648"/>
      <c r="AF311" s="1651"/>
      <c r="AG311" s="1645"/>
      <c r="AH311" s="10"/>
      <c r="AI311" s="1645"/>
      <c r="AJ311" s="10"/>
      <c r="AK311" s="1700"/>
      <c r="AL311" s="1700"/>
      <c r="AM311" s="1700"/>
      <c r="AN311" s="1666"/>
      <c r="AO311" s="1639"/>
      <c r="AP311" s="1639"/>
      <c r="AQ311" s="1657"/>
      <c r="AR311" s="25">
        <v>135.4</v>
      </c>
      <c r="AS311" s="1639"/>
      <c r="AT311" s="1666"/>
      <c r="AU311" s="5">
        <v>19.3</v>
      </c>
      <c r="AV311" s="25" t="s">
        <v>65</v>
      </c>
      <c r="AW311" s="355" t="s">
        <v>148</v>
      </c>
      <c r="AX311" s="182">
        <v>2.3E-2</v>
      </c>
      <c r="AY311" s="355" t="s">
        <v>58</v>
      </c>
      <c r="AZ311" s="10"/>
      <c r="BA311" s="357"/>
      <c r="BB311" s="11"/>
      <c r="BC311" s="357"/>
      <c r="BD311" s="25" t="s">
        <v>67</v>
      </c>
      <c r="BE311" s="355" t="s">
        <v>102</v>
      </c>
      <c r="BF311" s="182">
        <v>0.26</v>
      </c>
      <c r="BG311" s="355" t="s">
        <v>69</v>
      </c>
      <c r="BH311" s="358"/>
      <c r="BI311" s="295"/>
      <c r="BJ311" s="22"/>
      <c r="BK311" s="295"/>
    </row>
    <row r="312" spans="1:63" s="8" customFormat="1" ht="71.25" customHeight="1">
      <c r="A312" s="1727"/>
      <c r="B312" s="1657"/>
      <c r="C312" s="1660"/>
      <c r="D312" s="1663"/>
      <c r="E312" s="1663"/>
      <c r="F312" s="1663"/>
      <c r="G312" s="1666"/>
      <c r="H312" s="1663"/>
      <c r="I312" s="1669"/>
      <c r="J312" s="1669"/>
      <c r="K312" s="1669"/>
      <c r="L312" s="1692"/>
      <c r="M312" s="1639"/>
      <c r="N312" s="1639"/>
      <c r="O312" s="1657"/>
      <c r="P312" s="1680"/>
      <c r="Q312" s="1695"/>
      <c r="R312" s="1695"/>
      <c r="S312" s="1695"/>
      <c r="T312" s="1639"/>
      <c r="U312" s="1639"/>
      <c r="V312" s="1666"/>
      <c r="W312" s="1639"/>
      <c r="X312" s="1639"/>
      <c r="Y312" s="1657"/>
      <c r="Z312" s="25">
        <v>903.45</v>
      </c>
      <c r="AA312" s="1648"/>
      <c r="AB312" s="9"/>
      <c r="AC312" s="1648"/>
      <c r="AD312" s="9"/>
      <c r="AE312" s="1648"/>
      <c r="AF312" s="1651"/>
      <c r="AG312" s="1645"/>
      <c r="AH312" s="10"/>
      <c r="AI312" s="1645"/>
      <c r="AJ312" s="10"/>
      <c r="AK312" s="1700"/>
      <c r="AL312" s="1700"/>
      <c r="AM312" s="1700"/>
      <c r="AN312" s="1666"/>
      <c r="AO312" s="1639"/>
      <c r="AP312" s="1639"/>
      <c r="AQ312" s="1657"/>
      <c r="AR312" s="25">
        <v>156.18</v>
      </c>
      <c r="AS312" s="1639"/>
      <c r="AT312" s="1666"/>
      <c r="AU312" s="5">
        <v>16.34</v>
      </c>
      <c r="AV312" s="10"/>
      <c r="AW312" s="292"/>
      <c r="AX312" s="11"/>
      <c r="AY312" s="292"/>
      <c r="AZ312" s="10"/>
      <c r="BA312" s="292"/>
      <c r="BB312" s="11"/>
      <c r="BC312" s="292"/>
      <c r="BD312" s="25" t="s">
        <v>433</v>
      </c>
      <c r="BE312" s="355" t="s">
        <v>434</v>
      </c>
      <c r="BF312" s="182" t="s">
        <v>435</v>
      </c>
      <c r="BG312" s="355" t="s">
        <v>436</v>
      </c>
      <c r="BH312" s="10"/>
      <c r="BI312" s="292"/>
      <c r="BJ312" s="11"/>
      <c r="BK312" s="292"/>
    </row>
    <row r="313" spans="1:63" s="8" customFormat="1" ht="71.25" customHeight="1" thickBot="1">
      <c r="A313" s="1728"/>
      <c r="B313" s="1658"/>
      <c r="C313" s="1661"/>
      <c r="D313" s="1664"/>
      <c r="E313" s="1664"/>
      <c r="F313" s="1664"/>
      <c r="G313" s="1667"/>
      <c r="H313" s="1664"/>
      <c r="I313" s="1670"/>
      <c r="J313" s="1670"/>
      <c r="K313" s="1670"/>
      <c r="L313" s="1693"/>
      <c r="M313" s="1640"/>
      <c r="N313" s="1640"/>
      <c r="O313" s="1678"/>
      <c r="P313" s="1760"/>
      <c r="Q313" s="1696"/>
      <c r="R313" s="1696"/>
      <c r="S313" s="1696"/>
      <c r="T313" s="1640"/>
      <c r="U313" s="1640"/>
      <c r="V313" s="1667"/>
      <c r="W313" s="1640"/>
      <c r="X313" s="1640"/>
      <c r="Y313" s="1678"/>
      <c r="Z313" s="180">
        <v>1445.53</v>
      </c>
      <c r="AA313" s="1649"/>
      <c r="AB313" s="12"/>
      <c r="AC313" s="1649"/>
      <c r="AD313" s="12"/>
      <c r="AE313" s="1649"/>
      <c r="AF313" s="1652"/>
      <c r="AG313" s="1646"/>
      <c r="AH313" s="13"/>
      <c r="AI313" s="1646"/>
      <c r="AJ313" s="13"/>
      <c r="AK313" s="1701"/>
      <c r="AL313" s="1701"/>
      <c r="AM313" s="1701"/>
      <c r="AN313" s="1667"/>
      <c r="AO313" s="1640"/>
      <c r="AP313" s="1640"/>
      <c r="AQ313" s="1678"/>
      <c r="AR313" s="180">
        <v>241.57</v>
      </c>
      <c r="AS313" s="1640"/>
      <c r="AT313" s="1667"/>
      <c r="AU313" s="14">
        <v>26.95</v>
      </c>
      <c r="AV313" s="13"/>
      <c r="AW313" s="293"/>
      <c r="AX313" s="15"/>
      <c r="AY313" s="293"/>
      <c r="AZ313" s="13"/>
      <c r="BA313" s="293"/>
      <c r="BB313" s="15"/>
      <c r="BC313" s="293"/>
      <c r="BD313" s="13"/>
      <c r="BE313" s="293"/>
      <c r="BF313" s="15"/>
      <c r="BG313" s="293"/>
      <c r="BH313" s="13"/>
      <c r="BI313" s="293"/>
      <c r="BJ313" s="15"/>
      <c r="BK313" s="293"/>
    </row>
    <row r="314" spans="1:63" s="8" customFormat="1" ht="71.25" customHeight="1">
      <c r="A314" s="1801" t="s">
        <v>1250</v>
      </c>
      <c r="B314" s="1656"/>
      <c r="C314" s="1717">
        <v>562358443</v>
      </c>
      <c r="D314" s="1706" t="s">
        <v>1251</v>
      </c>
      <c r="E314" s="1706" t="s">
        <v>1252</v>
      </c>
      <c r="F314" s="1706" t="s">
        <v>1252</v>
      </c>
      <c r="G314" s="1665" t="s">
        <v>3665</v>
      </c>
      <c r="H314" s="1665" t="s">
        <v>4144</v>
      </c>
      <c r="I314" s="1668" t="s">
        <v>2474</v>
      </c>
      <c r="J314" s="1674">
        <v>42675</v>
      </c>
      <c r="K314" s="1674">
        <v>43101</v>
      </c>
      <c r="L314" s="1708">
        <v>85</v>
      </c>
      <c r="M314" s="1759" t="s">
        <v>3672</v>
      </c>
      <c r="N314" s="1747" t="s">
        <v>3671</v>
      </c>
      <c r="O314" s="1656"/>
      <c r="P314" s="1759" t="s">
        <v>3672</v>
      </c>
      <c r="Q314" s="1656" t="s">
        <v>51</v>
      </c>
      <c r="R314" s="1632" t="s">
        <v>72</v>
      </c>
      <c r="S314" s="1632" t="s">
        <v>72</v>
      </c>
      <c r="T314" s="1632" t="s">
        <v>72</v>
      </c>
      <c r="U314" s="1632" t="s">
        <v>72</v>
      </c>
      <c r="V314" s="1712" t="s">
        <v>72</v>
      </c>
      <c r="W314" s="1712" t="s">
        <v>72</v>
      </c>
      <c r="X314" s="1712" t="s">
        <v>72</v>
      </c>
      <c r="Y314" s="1712" t="s">
        <v>162</v>
      </c>
      <c r="Z314" s="16">
        <v>559.02</v>
      </c>
      <c r="AA314" s="1712" t="s">
        <v>163</v>
      </c>
      <c r="AB314" s="16">
        <v>446.4</v>
      </c>
      <c r="AC314" s="1712" t="s">
        <v>1253</v>
      </c>
      <c r="AD314" s="16">
        <v>815.81</v>
      </c>
      <c r="AE314" s="1712" t="s">
        <v>164</v>
      </c>
      <c r="AF314" s="16">
        <v>592.03</v>
      </c>
      <c r="AG314" s="1647"/>
      <c r="AH314" s="1"/>
      <c r="AI314" s="1647"/>
      <c r="AJ314" s="1"/>
      <c r="AK314" s="1632" t="s">
        <v>113</v>
      </c>
      <c r="AL314" s="1632" t="s">
        <v>72</v>
      </c>
      <c r="AM314" s="1632" t="s">
        <v>72</v>
      </c>
      <c r="AN314" s="1632" t="s">
        <v>113</v>
      </c>
      <c r="AO314" s="1632" t="s">
        <v>72</v>
      </c>
      <c r="AP314" s="1632" t="s">
        <v>72</v>
      </c>
      <c r="AQ314" s="1712" t="s">
        <v>1254</v>
      </c>
      <c r="AR314" s="1"/>
      <c r="AS314" s="1632" t="s">
        <v>72</v>
      </c>
      <c r="AT314" s="1712" t="s">
        <v>182</v>
      </c>
      <c r="AU314" s="16"/>
      <c r="AV314" s="2"/>
      <c r="AW314" s="321"/>
      <c r="AX314" s="7"/>
      <c r="AY314" s="321"/>
      <c r="AZ314" s="2"/>
      <c r="BA314" s="321"/>
      <c r="BB314" s="7"/>
      <c r="BC314" s="321"/>
      <c r="BD314" s="2"/>
      <c r="BE314" s="321"/>
      <c r="BF314" s="7"/>
      <c r="BG314" s="321"/>
      <c r="BH314" s="2"/>
      <c r="BI314" s="321"/>
      <c r="BJ314" s="7"/>
      <c r="BK314" s="321"/>
    </row>
    <row r="315" spans="1:63" s="8" customFormat="1" ht="71.25" customHeight="1">
      <c r="A315" s="1804"/>
      <c r="B315" s="1657"/>
      <c r="C315" s="1813"/>
      <c r="D315" s="1806"/>
      <c r="E315" s="1806"/>
      <c r="F315" s="1806"/>
      <c r="G315" s="1666"/>
      <c r="H315" s="1806"/>
      <c r="I315" s="1808"/>
      <c r="J315" s="1808"/>
      <c r="K315" s="1808"/>
      <c r="L315" s="1811"/>
      <c r="M315" s="1680"/>
      <c r="N315" s="1815"/>
      <c r="O315" s="1657"/>
      <c r="P315" s="1680"/>
      <c r="Q315" s="1657"/>
      <c r="R315" s="1724"/>
      <c r="S315" s="1724"/>
      <c r="T315" s="1724"/>
      <c r="U315" s="1724"/>
      <c r="V315" s="1703"/>
      <c r="W315" s="1703"/>
      <c r="X315" s="1703"/>
      <c r="Y315" s="1713"/>
      <c r="Z315" s="645">
        <v>1285.76</v>
      </c>
      <c r="AA315" s="1713"/>
      <c r="AB315" s="645">
        <v>1026.73</v>
      </c>
      <c r="AC315" s="1713"/>
      <c r="AD315" s="645">
        <v>1876.38</v>
      </c>
      <c r="AE315" s="1713"/>
      <c r="AF315" s="645">
        <v>1361.67</v>
      </c>
      <c r="AG315" s="1648"/>
      <c r="AH315" s="330"/>
      <c r="AI315" s="1648"/>
      <c r="AJ315" s="330"/>
      <c r="AK315" s="1633"/>
      <c r="AL315" s="1633"/>
      <c r="AM315" s="1633"/>
      <c r="AN315" s="1633"/>
      <c r="AO315" s="1633"/>
      <c r="AP315" s="1633"/>
      <c r="AQ315" s="1713"/>
      <c r="AR315" s="330"/>
      <c r="AS315" s="1724"/>
      <c r="AT315" s="1713"/>
      <c r="AU315" s="645"/>
      <c r="AV315" s="331"/>
      <c r="AW315" s="332"/>
      <c r="AX315" s="333"/>
      <c r="AY315" s="332"/>
      <c r="AZ315" s="331"/>
      <c r="BA315" s="332"/>
      <c r="BB315" s="333"/>
      <c r="BC315" s="332"/>
      <c r="BD315" s="331"/>
      <c r="BE315" s="332"/>
      <c r="BF315" s="333"/>
      <c r="BG315" s="332"/>
      <c r="BH315" s="331"/>
      <c r="BI315" s="332"/>
      <c r="BJ315" s="333"/>
      <c r="BK315" s="332"/>
    </row>
    <row r="316" spans="1:63" s="8" customFormat="1" ht="71.25" customHeight="1">
      <c r="A316" s="1804"/>
      <c r="B316" s="1657"/>
      <c r="C316" s="1813"/>
      <c r="D316" s="1806"/>
      <c r="E316" s="1806"/>
      <c r="F316" s="1806"/>
      <c r="G316" s="1666"/>
      <c r="H316" s="1806"/>
      <c r="I316" s="1808"/>
      <c r="J316" s="1808"/>
      <c r="K316" s="1808"/>
      <c r="L316" s="1811"/>
      <c r="M316" s="1680"/>
      <c r="N316" s="1815"/>
      <c r="O316" s="1657"/>
      <c r="P316" s="1680"/>
      <c r="Q316" s="1657"/>
      <c r="R316" s="1724"/>
      <c r="S316" s="1724"/>
      <c r="T316" s="1724"/>
      <c r="U316" s="1724"/>
      <c r="V316" s="1703"/>
      <c r="W316" s="1703"/>
      <c r="X316" s="1703"/>
      <c r="Y316" s="1713"/>
      <c r="Z316" s="645">
        <v>950.34</v>
      </c>
      <c r="AA316" s="1713"/>
      <c r="AB316" s="645">
        <v>758.89</v>
      </c>
      <c r="AC316" s="1713"/>
      <c r="AD316" s="645">
        <v>1386.89</v>
      </c>
      <c r="AE316" s="1713"/>
      <c r="AF316" s="645">
        <v>1006.44</v>
      </c>
      <c r="AG316" s="1648"/>
      <c r="AH316" s="330"/>
      <c r="AI316" s="1648"/>
      <c r="AJ316" s="330"/>
      <c r="AK316" s="1633"/>
      <c r="AL316" s="1633"/>
      <c r="AM316" s="1633"/>
      <c r="AN316" s="1633"/>
      <c r="AO316" s="1633"/>
      <c r="AP316" s="1633"/>
      <c r="AQ316" s="1713"/>
      <c r="AR316" s="330"/>
      <c r="AS316" s="1724"/>
      <c r="AT316" s="1713"/>
      <c r="AU316" s="645"/>
      <c r="AV316" s="331"/>
      <c r="AW316" s="332"/>
      <c r="AX316" s="333"/>
      <c r="AY316" s="332"/>
      <c r="AZ316" s="331"/>
      <c r="BA316" s="332"/>
      <c r="BB316" s="333"/>
      <c r="BC316" s="332"/>
      <c r="BD316" s="331"/>
      <c r="BE316" s="332"/>
      <c r="BF316" s="333"/>
      <c r="BG316" s="332"/>
      <c r="BH316" s="331"/>
      <c r="BI316" s="332"/>
      <c r="BJ316" s="333"/>
      <c r="BK316" s="332"/>
    </row>
    <row r="317" spans="1:63" s="8" customFormat="1" ht="71.25" customHeight="1" thickBot="1">
      <c r="A317" s="1805"/>
      <c r="B317" s="1658"/>
      <c r="C317" s="1814"/>
      <c r="D317" s="1807"/>
      <c r="E317" s="1807"/>
      <c r="F317" s="1807"/>
      <c r="G317" s="1667"/>
      <c r="H317" s="1807"/>
      <c r="I317" s="1809"/>
      <c r="J317" s="1809"/>
      <c r="K317" s="1809"/>
      <c r="L317" s="1812"/>
      <c r="M317" s="1760"/>
      <c r="N317" s="1816"/>
      <c r="O317" s="1658"/>
      <c r="P317" s="1760"/>
      <c r="Q317" s="1658"/>
      <c r="R317" s="1725"/>
      <c r="S317" s="1725"/>
      <c r="T317" s="1725"/>
      <c r="U317" s="1725"/>
      <c r="V317" s="1810"/>
      <c r="W317" s="1810"/>
      <c r="X317" s="1810"/>
      <c r="Y317" s="1740"/>
      <c r="Z317" s="646">
        <v>1621.17</v>
      </c>
      <c r="AA317" s="1740"/>
      <c r="AB317" s="646">
        <v>1294.57</v>
      </c>
      <c r="AC317" s="1740"/>
      <c r="AD317" s="646">
        <v>2365.87</v>
      </c>
      <c r="AE317" s="1740"/>
      <c r="AF317" s="646">
        <v>1716.89</v>
      </c>
      <c r="AG317" s="1794"/>
      <c r="AH317" s="337"/>
      <c r="AI317" s="1794"/>
      <c r="AJ317" s="337"/>
      <c r="AK317" s="1634"/>
      <c r="AL317" s="1634"/>
      <c r="AM317" s="1634"/>
      <c r="AN317" s="1634"/>
      <c r="AO317" s="1634"/>
      <c r="AP317" s="1634"/>
      <c r="AQ317" s="1740"/>
      <c r="AR317" s="337"/>
      <c r="AS317" s="1725"/>
      <c r="AT317" s="1740"/>
      <c r="AU317" s="646"/>
      <c r="AV317" s="336"/>
      <c r="AW317" s="335"/>
      <c r="AX317" s="334"/>
      <c r="AY317" s="335"/>
      <c r="AZ317" s="336"/>
      <c r="BA317" s="335"/>
      <c r="BB317" s="334"/>
      <c r="BC317" s="335"/>
      <c r="BD317" s="336"/>
      <c r="BE317" s="335"/>
      <c r="BF317" s="334"/>
      <c r="BG317" s="335"/>
      <c r="BH317" s="336"/>
      <c r="BI317" s="335"/>
      <c r="BJ317" s="334"/>
      <c r="BK317" s="335"/>
    </row>
    <row r="318" spans="1:63" s="8" customFormat="1" ht="71.25" customHeight="1">
      <c r="A318" s="1682" t="s">
        <v>4132</v>
      </c>
      <c r="B318" s="1656"/>
      <c r="C318" s="1685">
        <v>522154069</v>
      </c>
      <c r="D318" s="1638" t="s">
        <v>1323</v>
      </c>
      <c r="E318" s="1638" t="s">
        <v>1304</v>
      </c>
      <c r="F318" s="1638" t="s">
        <v>1304</v>
      </c>
      <c r="G318" s="1665" t="s">
        <v>3654</v>
      </c>
      <c r="H318" s="1665" t="s">
        <v>432</v>
      </c>
      <c r="I318" s="1668" t="s">
        <v>2473</v>
      </c>
      <c r="J318" s="1674">
        <v>43101</v>
      </c>
      <c r="K318" s="1674">
        <v>43466</v>
      </c>
      <c r="L318" s="1691">
        <v>13</v>
      </c>
      <c r="M318" s="1638" t="s">
        <v>48</v>
      </c>
      <c r="N318" s="1638" t="s">
        <v>354</v>
      </c>
      <c r="O318" s="1694"/>
      <c r="P318" s="1694" t="s">
        <v>50</v>
      </c>
      <c r="Q318" s="1679" t="s">
        <v>72</v>
      </c>
      <c r="R318" s="1697" t="s">
        <v>4293</v>
      </c>
      <c r="S318" s="1632" t="s">
        <v>72</v>
      </c>
      <c r="T318" s="1638" t="s">
        <v>303</v>
      </c>
      <c r="U318" s="1638" t="s">
        <v>2503</v>
      </c>
      <c r="V318" s="1665" t="s">
        <v>252</v>
      </c>
      <c r="W318" s="1638" t="s">
        <v>307</v>
      </c>
      <c r="X318" s="1638" t="s">
        <v>113</v>
      </c>
      <c r="Y318" s="1656" t="s">
        <v>173</v>
      </c>
      <c r="Z318" s="23">
        <v>786.13</v>
      </c>
      <c r="AA318" s="1721"/>
      <c r="AB318" s="1"/>
      <c r="AC318" s="1647"/>
      <c r="AD318" s="1"/>
      <c r="AE318" s="1647"/>
      <c r="AF318" s="1650"/>
      <c r="AG318" s="1644"/>
      <c r="AH318" s="2"/>
      <c r="AI318" s="1644"/>
      <c r="AJ318" s="2"/>
      <c r="AK318" s="1662" t="s">
        <v>85</v>
      </c>
      <c r="AL318" s="1662" t="s">
        <v>245</v>
      </c>
      <c r="AM318" s="1662" t="s">
        <v>246</v>
      </c>
      <c r="AN318" s="1638" t="s">
        <v>248</v>
      </c>
      <c r="AO318" s="1638" t="s">
        <v>2490</v>
      </c>
      <c r="AP318" s="1638" t="s">
        <v>2497</v>
      </c>
      <c r="AQ318" s="1638" t="s">
        <v>386</v>
      </c>
      <c r="AR318" s="23">
        <v>58.97</v>
      </c>
      <c r="AS318" s="1638" t="s">
        <v>2483</v>
      </c>
      <c r="AT318" s="1665" t="s">
        <v>2486</v>
      </c>
      <c r="AU318" s="23">
        <v>9.6300000000000008</v>
      </c>
      <c r="AV318" s="23" t="s">
        <v>56</v>
      </c>
      <c r="AW318" s="380" t="s">
        <v>126</v>
      </c>
      <c r="AX318" s="181">
        <v>0.09</v>
      </c>
      <c r="AY318" s="380" t="s">
        <v>58</v>
      </c>
      <c r="AZ318" s="25" t="s">
        <v>59</v>
      </c>
      <c r="BA318" s="381" t="s">
        <v>60</v>
      </c>
      <c r="BB318" s="182" t="s">
        <v>61</v>
      </c>
      <c r="BC318" s="381" t="s">
        <v>58</v>
      </c>
      <c r="BD318" s="23" t="s">
        <v>62</v>
      </c>
      <c r="BE318" s="380" t="s">
        <v>256</v>
      </c>
      <c r="BF318" s="181">
        <v>0.12</v>
      </c>
      <c r="BG318" s="380" t="s">
        <v>64</v>
      </c>
      <c r="BH318" s="23" t="s">
        <v>94</v>
      </c>
      <c r="BI318" s="6" t="s">
        <v>95</v>
      </c>
      <c r="BJ318" s="6" t="s">
        <v>61</v>
      </c>
      <c r="BK318" s="24" t="s">
        <v>96</v>
      </c>
    </row>
    <row r="319" spans="1:63" s="8" customFormat="1" ht="71.25" customHeight="1">
      <c r="A319" s="1683"/>
      <c r="B319" s="1657"/>
      <c r="C319" s="1686"/>
      <c r="D319" s="1698"/>
      <c r="E319" s="1698"/>
      <c r="F319" s="1698"/>
      <c r="G319" s="1666"/>
      <c r="H319" s="1666"/>
      <c r="I319" s="1669"/>
      <c r="J319" s="1669"/>
      <c r="K319" s="1669"/>
      <c r="L319" s="1692"/>
      <c r="M319" s="1639"/>
      <c r="N319" s="1639"/>
      <c r="O319" s="1695"/>
      <c r="P319" s="1695"/>
      <c r="Q319" s="1680"/>
      <c r="R319" s="1657"/>
      <c r="S319" s="1724"/>
      <c r="T319" s="1639"/>
      <c r="U319" s="1639"/>
      <c r="V319" s="1666"/>
      <c r="W319" s="1639"/>
      <c r="X319" s="1639"/>
      <c r="Y319" s="1657"/>
      <c r="Z319" s="25">
        <v>1721.63</v>
      </c>
      <c r="AA319" s="1722"/>
      <c r="AB319" s="9"/>
      <c r="AC319" s="1648"/>
      <c r="AD319" s="9"/>
      <c r="AE319" s="1648"/>
      <c r="AF319" s="1651"/>
      <c r="AG319" s="1645"/>
      <c r="AH319" s="10"/>
      <c r="AI319" s="1645"/>
      <c r="AJ319" s="10"/>
      <c r="AK319" s="1700"/>
      <c r="AL319" s="1700"/>
      <c r="AM319" s="1700"/>
      <c r="AN319" s="1639"/>
      <c r="AO319" s="1639"/>
      <c r="AP319" s="1639"/>
      <c r="AQ319" s="1639"/>
      <c r="AR319" s="25">
        <v>120.26</v>
      </c>
      <c r="AS319" s="1639"/>
      <c r="AT319" s="1666"/>
      <c r="AU319" s="25">
        <v>19.3</v>
      </c>
      <c r="AV319" s="25" t="s">
        <v>65</v>
      </c>
      <c r="AW319" s="381" t="s">
        <v>126</v>
      </c>
      <c r="AX319" s="182">
        <v>0.02</v>
      </c>
      <c r="AY319" s="381" t="s">
        <v>58</v>
      </c>
      <c r="AZ319" s="220" t="s">
        <v>66</v>
      </c>
      <c r="BA319" s="381" t="s">
        <v>60</v>
      </c>
      <c r="BB319" s="182" t="s">
        <v>61</v>
      </c>
      <c r="BC319" s="381" t="s">
        <v>58</v>
      </c>
      <c r="BD319" s="25" t="s">
        <v>67</v>
      </c>
      <c r="BE319" s="381" t="s">
        <v>68</v>
      </c>
      <c r="BF319" s="182">
        <v>0.35</v>
      </c>
      <c r="BG319" s="381" t="s">
        <v>69</v>
      </c>
      <c r="BH319" s="25" t="s">
        <v>97</v>
      </c>
      <c r="BI319" s="6" t="s">
        <v>95</v>
      </c>
      <c r="BJ319" s="6" t="s">
        <v>61</v>
      </c>
      <c r="BK319" s="26" t="s">
        <v>96</v>
      </c>
    </row>
    <row r="320" spans="1:63" s="8" customFormat="1" ht="71.25" customHeight="1">
      <c r="A320" s="1683"/>
      <c r="B320" s="1657"/>
      <c r="C320" s="1686"/>
      <c r="D320" s="1698"/>
      <c r="E320" s="1698"/>
      <c r="F320" s="1698"/>
      <c r="G320" s="1666"/>
      <c r="H320" s="1666"/>
      <c r="I320" s="1669"/>
      <c r="J320" s="1669"/>
      <c r="K320" s="1669"/>
      <c r="L320" s="1692"/>
      <c r="M320" s="1639"/>
      <c r="N320" s="1639"/>
      <c r="O320" s="1695"/>
      <c r="P320" s="1695"/>
      <c r="Q320" s="1680"/>
      <c r="R320" s="1657"/>
      <c r="S320" s="1724"/>
      <c r="T320" s="1639"/>
      <c r="U320" s="1639"/>
      <c r="V320" s="1666"/>
      <c r="W320" s="1639"/>
      <c r="X320" s="1639"/>
      <c r="Y320" s="1657"/>
      <c r="Z320" s="25">
        <v>1493.66</v>
      </c>
      <c r="AA320" s="1722"/>
      <c r="AB320" s="9"/>
      <c r="AC320" s="1648"/>
      <c r="AD320" s="9"/>
      <c r="AE320" s="1648"/>
      <c r="AF320" s="1651"/>
      <c r="AG320" s="1645"/>
      <c r="AH320" s="10"/>
      <c r="AI320" s="1645"/>
      <c r="AJ320" s="10"/>
      <c r="AK320" s="1700"/>
      <c r="AL320" s="1700"/>
      <c r="AM320" s="1700"/>
      <c r="AN320" s="1639"/>
      <c r="AO320" s="1639"/>
      <c r="AP320" s="1639"/>
      <c r="AQ320" s="1639"/>
      <c r="AR320" s="25">
        <v>136.44</v>
      </c>
      <c r="AS320" s="1639"/>
      <c r="AT320" s="1666"/>
      <c r="AU320" s="25">
        <v>16.34</v>
      </c>
      <c r="AV320" s="10"/>
      <c r="AW320" s="382"/>
      <c r="AX320" s="11"/>
      <c r="AY320" s="382"/>
      <c r="AZ320" s="10"/>
      <c r="BA320" s="382"/>
      <c r="BB320" s="11"/>
      <c r="BC320" s="382"/>
      <c r="BD320" s="10"/>
      <c r="BE320" s="382"/>
      <c r="BF320" s="11"/>
      <c r="BG320" s="382"/>
      <c r="BH320" s="27" t="s">
        <v>98</v>
      </c>
      <c r="BI320" s="6" t="s">
        <v>95</v>
      </c>
      <c r="BJ320" s="6" t="s">
        <v>61</v>
      </c>
      <c r="BK320" s="26" t="s">
        <v>79</v>
      </c>
    </row>
    <row r="321" spans="1:63" s="8" customFormat="1" ht="71.25" customHeight="1" thickBot="1">
      <c r="A321" s="1684"/>
      <c r="B321" s="1658"/>
      <c r="C321" s="1687"/>
      <c r="D321" s="1699"/>
      <c r="E321" s="1699"/>
      <c r="F321" s="1699"/>
      <c r="G321" s="1667"/>
      <c r="H321" s="1667"/>
      <c r="I321" s="1670"/>
      <c r="J321" s="1670"/>
      <c r="K321" s="1670"/>
      <c r="L321" s="1693"/>
      <c r="M321" s="1640"/>
      <c r="N321" s="1640"/>
      <c r="O321" s="1696"/>
      <c r="P321" s="1696"/>
      <c r="Q321" s="1760"/>
      <c r="R321" s="1658"/>
      <c r="S321" s="1725"/>
      <c r="T321" s="1640"/>
      <c r="U321" s="1640"/>
      <c r="V321" s="1667"/>
      <c r="W321" s="1640"/>
      <c r="X321" s="1640"/>
      <c r="Y321" s="1678"/>
      <c r="Z321" s="180">
        <v>2389.85</v>
      </c>
      <c r="AA321" s="1723"/>
      <c r="AB321" s="12"/>
      <c r="AC321" s="1649"/>
      <c r="AD321" s="12"/>
      <c r="AE321" s="1649"/>
      <c r="AF321" s="1652"/>
      <c r="AG321" s="1646"/>
      <c r="AH321" s="13"/>
      <c r="AI321" s="1646"/>
      <c r="AJ321" s="13"/>
      <c r="AK321" s="1701"/>
      <c r="AL321" s="1701"/>
      <c r="AM321" s="1701"/>
      <c r="AN321" s="1640"/>
      <c r="AO321" s="1640"/>
      <c r="AP321" s="1640"/>
      <c r="AQ321" s="1640"/>
      <c r="AR321" s="180">
        <v>211.92</v>
      </c>
      <c r="AS321" s="1640"/>
      <c r="AT321" s="1667"/>
      <c r="AU321" s="180">
        <v>26.95</v>
      </c>
      <c r="AV321" s="13"/>
      <c r="AW321" s="383"/>
      <c r="AX321" s="15"/>
      <c r="AY321" s="383"/>
      <c r="AZ321" s="13"/>
      <c r="BA321" s="383"/>
      <c r="BB321" s="15"/>
      <c r="BC321" s="383"/>
      <c r="BD321" s="13"/>
      <c r="BE321" s="383"/>
      <c r="BF321" s="15"/>
      <c r="BG321" s="383"/>
      <c r="BH321" s="13"/>
      <c r="BI321" s="383"/>
      <c r="BJ321" s="15"/>
      <c r="BK321" s="383"/>
    </row>
    <row r="322" spans="1:63">
      <c r="L322" s="932"/>
    </row>
    <row r="323" spans="1:63">
      <c r="L323" s="932"/>
    </row>
    <row r="324" spans="1:63">
      <c r="L324" s="932"/>
    </row>
    <row r="325" spans="1:63">
      <c r="L325" s="932"/>
    </row>
    <row r="326" spans="1:63">
      <c r="L326" s="932"/>
    </row>
    <row r="327" spans="1:63">
      <c r="L327" s="932"/>
    </row>
    <row r="328" spans="1:63">
      <c r="L328" s="932"/>
    </row>
    <row r="329" spans="1:63">
      <c r="L329" s="932"/>
    </row>
    <row r="330" spans="1:63">
      <c r="L330" s="932"/>
    </row>
    <row r="331" spans="1:63">
      <c r="L331" s="932"/>
    </row>
    <row r="332" spans="1:63">
      <c r="L332" s="932"/>
    </row>
    <row r="333" spans="1:63">
      <c r="L333" s="932"/>
    </row>
    <row r="334" spans="1:63">
      <c r="L334" s="932"/>
    </row>
    <row r="335" spans="1:63">
      <c r="L335" s="932"/>
    </row>
    <row r="336" spans="1:63">
      <c r="L336" s="932"/>
    </row>
    <row r="337" spans="12:12">
      <c r="L337" s="932"/>
    </row>
    <row r="338" spans="12:12">
      <c r="L338" s="932"/>
    </row>
    <row r="339" spans="12:12">
      <c r="L339" s="932"/>
    </row>
    <row r="340" spans="12:12">
      <c r="L340" s="932"/>
    </row>
    <row r="341" spans="12:12">
      <c r="L341" s="932"/>
    </row>
    <row r="342" spans="12:12">
      <c r="L342" s="932"/>
    </row>
    <row r="343" spans="12:12">
      <c r="L343" s="932"/>
    </row>
    <row r="344" spans="12:12">
      <c r="L344" s="932"/>
    </row>
    <row r="345" spans="12:12">
      <c r="L345" s="932"/>
    </row>
    <row r="346" spans="12:12">
      <c r="L346" s="932"/>
    </row>
    <row r="347" spans="12:12">
      <c r="L347" s="932"/>
    </row>
    <row r="348" spans="12:12">
      <c r="L348" s="932"/>
    </row>
    <row r="349" spans="12:12">
      <c r="L349" s="932"/>
    </row>
    <row r="350" spans="12:12">
      <c r="L350" s="932"/>
    </row>
    <row r="351" spans="12:12">
      <c r="L351" s="932"/>
    </row>
    <row r="352" spans="12:12">
      <c r="L352" s="932"/>
    </row>
    <row r="353" spans="12:12">
      <c r="L353" s="932"/>
    </row>
    <row r="354" spans="12:12">
      <c r="L354" s="932"/>
    </row>
    <row r="355" spans="12:12">
      <c r="L355" s="932"/>
    </row>
    <row r="356" spans="12:12">
      <c r="L356" s="932"/>
    </row>
    <row r="357" spans="12:12">
      <c r="L357" s="932"/>
    </row>
    <row r="358" spans="12:12">
      <c r="L358" s="932"/>
    </row>
    <row r="359" spans="12:12">
      <c r="L359" s="932"/>
    </row>
    <row r="360" spans="12:12">
      <c r="L360" s="932"/>
    </row>
    <row r="361" spans="12:12">
      <c r="L361" s="932"/>
    </row>
    <row r="362" spans="12:12">
      <c r="L362" s="932"/>
    </row>
    <row r="363" spans="12:12">
      <c r="L363" s="932"/>
    </row>
    <row r="364" spans="12:12">
      <c r="L364" s="932"/>
    </row>
    <row r="365" spans="12:12">
      <c r="L365" s="932"/>
    </row>
    <row r="366" spans="12:12">
      <c r="L366" s="932"/>
    </row>
    <row r="367" spans="12:12">
      <c r="L367" s="932"/>
    </row>
    <row r="368" spans="12:12">
      <c r="L368" s="932"/>
    </row>
    <row r="369" spans="12:12">
      <c r="L369" s="932"/>
    </row>
    <row r="370" spans="12:12">
      <c r="L370" s="932"/>
    </row>
    <row r="371" spans="12:12">
      <c r="L371" s="932"/>
    </row>
    <row r="372" spans="12:12">
      <c r="L372" s="932"/>
    </row>
    <row r="373" spans="12:12">
      <c r="L373" s="932"/>
    </row>
    <row r="374" spans="12:12">
      <c r="L374" s="932"/>
    </row>
    <row r="375" spans="12:12">
      <c r="L375" s="932"/>
    </row>
    <row r="376" spans="12:12">
      <c r="L376" s="932"/>
    </row>
    <row r="377" spans="12:12">
      <c r="L377" s="932"/>
    </row>
    <row r="378" spans="12:12">
      <c r="L378" s="932"/>
    </row>
    <row r="379" spans="12:12">
      <c r="L379" s="932"/>
    </row>
    <row r="380" spans="12:12">
      <c r="L380" s="932"/>
    </row>
    <row r="381" spans="12:12">
      <c r="L381" s="932"/>
    </row>
    <row r="382" spans="12:12">
      <c r="L382" s="932"/>
    </row>
    <row r="383" spans="12:12">
      <c r="L383" s="932"/>
    </row>
    <row r="384" spans="12:12">
      <c r="L384" s="932"/>
    </row>
    <row r="385" spans="12:12">
      <c r="L385" s="932"/>
    </row>
    <row r="386" spans="12:12">
      <c r="L386" s="932"/>
    </row>
    <row r="387" spans="12:12">
      <c r="L387" s="932"/>
    </row>
    <row r="388" spans="12:12">
      <c r="L388" s="932"/>
    </row>
    <row r="389" spans="12:12">
      <c r="L389" s="932"/>
    </row>
    <row r="390" spans="12:12">
      <c r="L390" s="932"/>
    </row>
    <row r="391" spans="12:12">
      <c r="L391" s="932"/>
    </row>
    <row r="392" spans="12:12">
      <c r="L392" s="932"/>
    </row>
    <row r="393" spans="12:12">
      <c r="L393" s="932"/>
    </row>
    <row r="394" spans="12:12">
      <c r="L394" s="932"/>
    </row>
    <row r="395" spans="12:12">
      <c r="L395" s="932"/>
    </row>
    <row r="396" spans="12:12">
      <c r="L396" s="932"/>
    </row>
    <row r="397" spans="12:12">
      <c r="L397" s="932"/>
    </row>
    <row r="398" spans="12:12">
      <c r="L398" s="932"/>
    </row>
    <row r="399" spans="12:12">
      <c r="L399" s="932"/>
    </row>
    <row r="400" spans="12:12">
      <c r="L400" s="932"/>
    </row>
    <row r="401" spans="12:12">
      <c r="L401" s="932"/>
    </row>
    <row r="402" spans="12:12">
      <c r="L402" s="932"/>
    </row>
    <row r="403" spans="12:12">
      <c r="L403" s="932"/>
    </row>
    <row r="404" spans="12:12">
      <c r="L404" s="932"/>
    </row>
    <row r="405" spans="12:12">
      <c r="L405" s="932"/>
    </row>
    <row r="406" spans="12:12">
      <c r="L406" s="932"/>
    </row>
    <row r="407" spans="12:12">
      <c r="L407" s="932"/>
    </row>
    <row r="408" spans="12:12">
      <c r="L408" s="932"/>
    </row>
    <row r="409" spans="12:12">
      <c r="L409" s="932"/>
    </row>
    <row r="410" spans="12:12">
      <c r="L410" s="932"/>
    </row>
    <row r="411" spans="12:12">
      <c r="L411" s="932"/>
    </row>
    <row r="412" spans="12:12">
      <c r="L412" s="932"/>
    </row>
    <row r="413" spans="12:12">
      <c r="L413" s="932"/>
    </row>
    <row r="414" spans="12:12">
      <c r="L414" s="932"/>
    </row>
    <row r="415" spans="12:12">
      <c r="L415" s="932"/>
    </row>
    <row r="416" spans="12:12">
      <c r="L416" s="932"/>
    </row>
    <row r="417" spans="12:12">
      <c r="L417" s="932"/>
    </row>
    <row r="418" spans="12:12">
      <c r="L418" s="932"/>
    </row>
    <row r="419" spans="12:12">
      <c r="L419" s="932"/>
    </row>
    <row r="420" spans="12:12">
      <c r="L420" s="932"/>
    </row>
    <row r="421" spans="12:12">
      <c r="L421" s="932"/>
    </row>
    <row r="422" spans="12:12">
      <c r="L422" s="932"/>
    </row>
    <row r="423" spans="12:12">
      <c r="L423" s="932"/>
    </row>
    <row r="424" spans="12:12">
      <c r="L424" s="932"/>
    </row>
    <row r="425" spans="12:12">
      <c r="L425" s="932"/>
    </row>
    <row r="426" spans="12:12">
      <c r="L426" s="932"/>
    </row>
    <row r="427" spans="12:12">
      <c r="L427" s="932"/>
    </row>
    <row r="428" spans="12:12">
      <c r="L428" s="932"/>
    </row>
    <row r="429" spans="12:12">
      <c r="L429" s="932"/>
    </row>
    <row r="430" spans="12:12">
      <c r="L430" s="932"/>
    </row>
    <row r="431" spans="12:12">
      <c r="L431" s="932"/>
    </row>
    <row r="432" spans="12:12">
      <c r="L432" s="932"/>
    </row>
    <row r="433" spans="12:12">
      <c r="L433" s="932"/>
    </row>
    <row r="434" spans="12:12">
      <c r="L434" s="932"/>
    </row>
    <row r="435" spans="12:12">
      <c r="L435" s="932"/>
    </row>
    <row r="436" spans="12:12">
      <c r="L436" s="932"/>
    </row>
    <row r="437" spans="12:12">
      <c r="L437" s="932"/>
    </row>
    <row r="438" spans="12:12">
      <c r="L438" s="932"/>
    </row>
    <row r="439" spans="12:12">
      <c r="L439" s="932"/>
    </row>
    <row r="440" spans="12:12">
      <c r="L440" s="932"/>
    </row>
    <row r="441" spans="12:12">
      <c r="L441" s="932"/>
    </row>
    <row r="442" spans="12:12">
      <c r="L442" s="932"/>
    </row>
    <row r="443" spans="12:12">
      <c r="L443" s="932"/>
    </row>
    <row r="444" spans="12:12">
      <c r="L444" s="932"/>
    </row>
    <row r="445" spans="12:12">
      <c r="L445" s="932"/>
    </row>
    <row r="446" spans="12:12">
      <c r="L446" s="932"/>
    </row>
    <row r="447" spans="12:12">
      <c r="L447" s="932"/>
    </row>
    <row r="448" spans="12:12">
      <c r="L448" s="932"/>
    </row>
    <row r="449" spans="12:12">
      <c r="L449" s="932"/>
    </row>
    <row r="450" spans="12:12">
      <c r="L450" s="932"/>
    </row>
    <row r="451" spans="12:12">
      <c r="L451" s="932"/>
    </row>
    <row r="452" spans="12:12">
      <c r="L452" s="932"/>
    </row>
    <row r="453" spans="12:12">
      <c r="L453" s="932"/>
    </row>
    <row r="454" spans="12:12">
      <c r="L454" s="932"/>
    </row>
    <row r="455" spans="12:12">
      <c r="L455" s="932"/>
    </row>
    <row r="456" spans="12:12">
      <c r="L456" s="932"/>
    </row>
    <row r="457" spans="12:12">
      <c r="L457" s="932"/>
    </row>
    <row r="458" spans="12:12">
      <c r="L458" s="932"/>
    </row>
    <row r="459" spans="12:12">
      <c r="L459" s="932"/>
    </row>
    <row r="460" spans="12:12">
      <c r="L460" s="932"/>
    </row>
    <row r="461" spans="12:12">
      <c r="L461" s="932"/>
    </row>
    <row r="462" spans="12:12">
      <c r="L462" s="932"/>
    </row>
    <row r="463" spans="12:12">
      <c r="L463" s="932"/>
    </row>
    <row r="464" spans="12:12">
      <c r="L464" s="932"/>
    </row>
    <row r="465" spans="12:12">
      <c r="L465" s="932"/>
    </row>
    <row r="466" spans="12:12">
      <c r="L466" s="932"/>
    </row>
    <row r="467" spans="12:12">
      <c r="L467" s="932"/>
    </row>
    <row r="468" spans="12:12">
      <c r="L468" s="932"/>
    </row>
    <row r="469" spans="12:12">
      <c r="L469" s="932"/>
    </row>
    <row r="470" spans="12:12">
      <c r="L470" s="932"/>
    </row>
    <row r="471" spans="12:12">
      <c r="L471" s="932"/>
    </row>
    <row r="472" spans="12:12">
      <c r="L472" s="932"/>
    </row>
    <row r="473" spans="12:12">
      <c r="L473" s="932"/>
    </row>
    <row r="474" spans="12:12">
      <c r="L474" s="932"/>
    </row>
    <row r="475" spans="12:12">
      <c r="L475" s="932"/>
    </row>
    <row r="476" spans="12:12">
      <c r="L476" s="932"/>
    </row>
    <row r="477" spans="12:12">
      <c r="L477" s="932"/>
    </row>
    <row r="478" spans="12:12">
      <c r="L478" s="932"/>
    </row>
    <row r="479" spans="12:12">
      <c r="L479" s="932"/>
    </row>
    <row r="480" spans="12:12">
      <c r="L480" s="932"/>
    </row>
    <row r="481" spans="12:12">
      <c r="L481" s="932"/>
    </row>
    <row r="482" spans="12:12">
      <c r="L482" s="932"/>
    </row>
    <row r="483" spans="12:12">
      <c r="L483" s="932"/>
    </row>
    <row r="484" spans="12:12">
      <c r="L484" s="932"/>
    </row>
    <row r="485" spans="12:12">
      <c r="L485" s="932"/>
    </row>
    <row r="486" spans="12:12">
      <c r="L486" s="932"/>
    </row>
    <row r="487" spans="12:12">
      <c r="L487" s="932"/>
    </row>
    <row r="488" spans="12:12">
      <c r="L488" s="932"/>
    </row>
    <row r="489" spans="12:12">
      <c r="L489" s="932"/>
    </row>
    <row r="490" spans="12:12">
      <c r="L490" s="932"/>
    </row>
    <row r="491" spans="12:12">
      <c r="L491" s="932"/>
    </row>
    <row r="492" spans="12:12">
      <c r="L492" s="932"/>
    </row>
    <row r="493" spans="12:12">
      <c r="L493" s="932"/>
    </row>
    <row r="494" spans="12:12">
      <c r="L494" s="932"/>
    </row>
    <row r="495" spans="12:12">
      <c r="L495" s="932"/>
    </row>
    <row r="496" spans="12:12">
      <c r="L496" s="932"/>
    </row>
    <row r="497" spans="12:12">
      <c r="L497" s="932"/>
    </row>
    <row r="498" spans="12:12">
      <c r="L498" s="932"/>
    </row>
    <row r="499" spans="12:12">
      <c r="L499" s="932"/>
    </row>
    <row r="500" spans="12:12">
      <c r="L500" s="932"/>
    </row>
    <row r="501" spans="12:12">
      <c r="L501" s="932"/>
    </row>
    <row r="502" spans="12:12">
      <c r="L502" s="932"/>
    </row>
    <row r="503" spans="12:12">
      <c r="L503" s="932"/>
    </row>
    <row r="504" spans="12:12">
      <c r="L504" s="932"/>
    </row>
    <row r="505" spans="12:12">
      <c r="L505" s="932"/>
    </row>
    <row r="506" spans="12:12">
      <c r="L506" s="932"/>
    </row>
    <row r="507" spans="12:12">
      <c r="L507" s="932"/>
    </row>
    <row r="508" spans="12:12">
      <c r="L508" s="932"/>
    </row>
    <row r="509" spans="12:12">
      <c r="L509" s="932"/>
    </row>
    <row r="510" spans="12:12">
      <c r="L510" s="932"/>
    </row>
    <row r="511" spans="12:12">
      <c r="L511" s="932"/>
    </row>
    <row r="512" spans="12:12">
      <c r="L512" s="932"/>
    </row>
    <row r="513" spans="12:12">
      <c r="L513" s="932"/>
    </row>
    <row r="514" spans="12:12">
      <c r="L514" s="932"/>
    </row>
    <row r="515" spans="12:12">
      <c r="L515" s="932"/>
    </row>
    <row r="516" spans="12:12">
      <c r="L516" s="932"/>
    </row>
    <row r="517" spans="12:12">
      <c r="L517" s="932"/>
    </row>
    <row r="518" spans="12:12">
      <c r="L518" s="932"/>
    </row>
    <row r="519" spans="12:12">
      <c r="L519" s="932"/>
    </row>
    <row r="520" spans="12:12">
      <c r="L520" s="932"/>
    </row>
    <row r="521" spans="12:12">
      <c r="L521" s="932"/>
    </row>
    <row r="522" spans="12:12">
      <c r="L522" s="932"/>
    </row>
    <row r="523" spans="12:12">
      <c r="L523" s="932"/>
    </row>
    <row r="524" spans="12:12">
      <c r="L524" s="932"/>
    </row>
    <row r="525" spans="12:12">
      <c r="L525" s="932"/>
    </row>
    <row r="526" spans="12:12">
      <c r="L526" s="932"/>
    </row>
    <row r="527" spans="12:12">
      <c r="L527" s="932"/>
    </row>
    <row r="528" spans="12:12">
      <c r="L528" s="932"/>
    </row>
    <row r="529" spans="12:12">
      <c r="L529" s="932"/>
    </row>
    <row r="530" spans="12:12">
      <c r="L530" s="932"/>
    </row>
    <row r="531" spans="12:12">
      <c r="L531" s="932"/>
    </row>
    <row r="532" spans="12:12">
      <c r="L532" s="932"/>
    </row>
    <row r="533" spans="12:12">
      <c r="L533" s="932"/>
    </row>
    <row r="534" spans="12:12">
      <c r="L534" s="932"/>
    </row>
    <row r="535" spans="12:12">
      <c r="L535" s="932"/>
    </row>
    <row r="536" spans="12:12">
      <c r="L536" s="932"/>
    </row>
    <row r="537" spans="12:12">
      <c r="L537" s="932"/>
    </row>
    <row r="538" spans="12:12">
      <c r="L538" s="932"/>
    </row>
    <row r="539" spans="12:12">
      <c r="L539" s="932"/>
    </row>
    <row r="540" spans="12:12">
      <c r="L540" s="932"/>
    </row>
    <row r="541" spans="12:12">
      <c r="L541" s="932"/>
    </row>
    <row r="542" spans="12:12">
      <c r="L542" s="932"/>
    </row>
    <row r="543" spans="12:12">
      <c r="L543" s="932"/>
    </row>
    <row r="544" spans="12:12">
      <c r="L544" s="932"/>
    </row>
    <row r="545" spans="12:12">
      <c r="L545" s="932"/>
    </row>
    <row r="546" spans="12:12">
      <c r="L546" s="932"/>
    </row>
    <row r="547" spans="12:12">
      <c r="L547" s="932"/>
    </row>
    <row r="548" spans="12:12">
      <c r="L548" s="932"/>
    </row>
    <row r="549" spans="12:12">
      <c r="L549" s="932"/>
    </row>
    <row r="550" spans="12:12">
      <c r="L550" s="932"/>
    </row>
    <row r="551" spans="12:12">
      <c r="L551" s="932"/>
    </row>
    <row r="552" spans="12:12">
      <c r="L552" s="932"/>
    </row>
    <row r="553" spans="12:12">
      <c r="L553" s="932"/>
    </row>
    <row r="554" spans="12:12">
      <c r="L554" s="932"/>
    </row>
    <row r="555" spans="12:12">
      <c r="L555" s="932"/>
    </row>
    <row r="556" spans="12:12">
      <c r="L556" s="932"/>
    </row>
    <row r="557" spans="12:12">
      <c r="L557" s="932"/>
    </row>
    <row r="558" spans="12:12">
      <c r="L558" s="932"/>
    </row>
    <row r="559" spans="12:12">
      <c r="L559" s="932"/>
    </row>
    <row r="560" spans="12:12">
      <c r="L560" s="932"/>
    </row>
    <row r="561" spans="12:12">
      <c r="L561" s="932"/>
    </row>
    <row r="562" spans="12:12">
      <c r="L562" s="932"/>
    </row>
    <row r="563" spans="12:12">
      <c r="L563" s="932"/>
    </row>
    <row r="564" spans="12:12">
      <c r="L564" s="932"/>
    </row>
    <row r="565" spans="12:12">
      <c r="L565" s="932"/>
    </row>
    <row r="566" spans="12:12">
      <c r="L566" s="932"/>
    </row>
    <row r="567" spans="12:12">
      <c r="L567" s="932"/>
    </row>
    <row r="568" spans="12:12">
      <c r="L568" s="932"/>
    </row>
    <row r="569" spans="12:12">
      <c r="L569" s="932"/>
    </row>
    <row r="570" spans="12:12">
      <c r="L570" s="932"/>
    </row>
    <row r="571" spans="12:12">
      <c r="L571" s="932"/>
    </row>
    <row r="572" spans="12:12">
      <c r="L572" s="932"/>
    </row>
    <row r="573" spans="12:12">
      <c r="L573" s="932"/>
    </row>
    <row r="574" spans="12:12">
      <c r="L574" s="932"/>
    </row>
    <row r="575" spans="12:12">
      <c r="L575" s="932"/>
    </row>
    <row r="576" spans="12:12">
      <c r="L576" s="932"/>
    </row>
    <row r="577" spans="12:12">
      <c r="L577" s="932"/>
    </row>
    <row r="578" spans="12:12">
      <c r="L578" s="932"/>
    </row>
    <row r="579" spans="12:12">
      <c r="L579" s="932"/>
    </row>
    <row r="580" spans="12:12">
      <c r="L580" s="932"/>
    </row>
    <row r="581" spans="12:12">
      <c r="L581" s="932"/>
    </row>
    <row r="582" spans="12:12">
      <c r="L582" s="932"/>
    </row>
    <row r="583" spans="12:12">
      <c r="L583" s="932"/>
    </row>
    <row r="584" spans="12:12">
      <c r="L584" s="932"/>
    </row>
    <row r="585" spans="12:12">
      <c r="L585" s="932"/>
    </row>
    <row r="586" spans="12:12">
      <c r="L586" s="932"/>
    </row>
    <row r="587" spans="12:12">
      <c r="L587" s="932"/>
    </row>
    <row r="588" spans="12:12">
      <c r="L588" s="932"/>
    </row>
    <row r="589" spans="12:12">
      <c r="L589" s="932"/>
    </row>
    <row r="590" spans="12:12">
      <c r="L590" s="932"/>
    </row>
    <row r="591" spans="12:12">
      <c r="L591" s="932"/>
    </row>
    <row r="592" spans="12:12">
      <c r="L592" s="932"/>
    </row>
    <row r="593" spans="12:12">
      <c r="L593" s="932"/>
    </row>
    <row r="594" spans="12:12">
      <c r="L594" s="932"/>
    </row>
    <row r="595" spans="12:12">
      <c r="L595" s="932"/>
    </row>
    <row r="596" spans="12:12">
      <c r="L596" s="932"/>
    </row>
    <row r="597" spans="12:12">
      <c r="L597" s="932"/>
    </row>
    <row r="598" spans="12:12">
      <c r="L598" s="932"/>
    </row>
    <row r="599" spans="12:12">
      <c r="L599" s="932"/>
    </row>
    <row r="600" spans="12:12">
      <c r="L600" s="932"/>
    </row>
    <row r="601" spans="12:12">
      <c r="L601" s="932"/>
    </row>
    <row r="602" spans="12:12">
      <c r="L602" s="932"/>
    </row>
    <row r="603" spans="12:12">
      <c r="L603" s="932"/>
    </row>
    <row r="604" spans="12:12">
      <c r="L604" s="932"/>
    </row>
    <row r="605" spans="12:12">
      <c r="L605" s="932"/>
    </row>
    <row r="606" spans="12:12">
      <c r="L606" s="932"/>
    </row>
    <row r="607" spans="12:12">
      <c r="L607" s="932"/>
    </row>
    <row r="608" spans="12:12">
      <c r="L608" s="932"/>
    </row>
    <row r="609" spans="12:12">
      <c r="L609" s="932"/>
    </row>
    <row r="610" spans="12:12">
      <c r="L610" s="932"/>
    </row>
    <row r="611" spans="12:12">
      <c r="L611" s="932"/>
    </row>
    <row r="612" spans="12:12">
      <c r="L612" s="932"/>
    </row>
    <row r="613" spans="12:12">
      <c r="L613" s="932"/>
    </row>
    <row r="614" spans="12:12">
      <c r="L614" s="932"/>
    </row>
    <row r="615" spans="12:12">
      <c r="L615" s="932"/>
    </row>
    <row r="616" spans="12:12">
      <c r="L616" s="932"/>
    </row>
    <row r="617" spans="12:12">
      <c r="L617" s="932"/>
    </row>
    <row r="618" spans="12:12">
      <c r="L618" s="932"/>
    </row>
    <row r="619" spans="12:12">
      <c r="L619" s="932"/>
    </row>
    <row r="620" spans="12:12">
      <c r="L620" s="932"/>
    </row>
    <row r="621" spans="12:12">
      <c r="L621" s="932"/>
    </row>
    <row r="622" spans="12:12">
      <c r="L622" s="932"/>
    </row>
    <row r="623" spans="12:12">
      <c r="L623" s="932"/>
    </row>
    <row r="624" spans="12:12">
      <c r="L624" s="932"/>
    </row>
    <row r="625" spans="12:12">
      <c r="L625" s="932"/>
    </row>
    <row r="626" spans="12:12">
      <c r="L626" s="932"/>
    </row>
    <row r="627" spans="12:12">
      <c r="L627" s="932"/>
    </row>
    <row r="628" spans="12:12">
      <c r="L628" s="932"/>
    </row>
    <row r="629" spans="12:12">
      <c r="L629" s="932"/>
    </row>
    <row r="630" spans="12:12">
      <c r="L630" s="932"/>
    </row>
    <row r="631" spans="12:12">
      <c r="L631" s="932"/>
    </row>
    <row r="632" spans="12:12">
      <c r="L632" s="932"/>
    </row>
    <row r="633" spans="12:12">
      <c r="L633" s="932"/>
    </row>
    <row r="634" spans="12:12">
      <c r="L634" s="932"/>
    </row>
    <row r="635" spans="12:12">
      <c r="L635" s="932"/>
    </row>
    <row r="636" spans="12:12">
      <c r="L636" s="932"/>
    </row>
    <row r="637" spans="12:12">
      <c r="L637" s="932"/>
    </row>
    <row r="638" spans="12:12">
      <c r="L638" s="932"/>
    </row>
    <row r="639" spans="12:12">
      <c r="L639" s="932"/>
    </row>
    <row r="640" spans="12:12">
      <c r="L640" s="932"/>
    </row>
    <row r="641" spans="12:12">
      <c r="L641" s="932"/>
    </row>
    <row r="642" spans="12:12">
      <c r="L642" s="932"/>
    </row>
    <row r="643" spans="12:12">
      <c r="L643" s="932"/>
    </row>
    <row r="644" spans="12:12">
      <c r="L644" s="932"/>
    </row>
    <row r="645" spans="12:12">
      <c r="L645" s="932"/>
    </row>
    <row r="646" spans="12:12">
      <c r="L646" s="932"/>
    </row>
    <row r="647" spans="12:12">
      <c r="L647" s="932"/>
    </row>
    <row r="648" spans="12:12">
      <c r="L648" s="932"/>
    </row>
    <row r="649" spans="12:12">
      <c r="L649" s="932"/>
    </row>
    <row r="650" spans="12:12">
      <c r="L650" s="932"/>
    </row>
    <row r="651" spans="12:12">
      <c r="L651" s="932"/>
    </row>
    <row r="652" spans="12:12">
      <c r="L652" s="932"/>
    </row>
    <row r="653" spans="12:12">
      <c r="L653" s="932"/>
    </row>
    <row r="654" spans="12:12">
      <c r="L654" s="932"/>
    </row>
    <row r="655" spans="12:12">
      <c r="L655" s="932"/>
    </row>
    <row r="656" spans="12:12">
      <c r="L656" s="932"/>
    </row>
    <row r="657" spans="12:12">
      <c r="L657" s="932"/>
    </row>
    <row r="658" spans="12:12">
      <c r="L658" s="932"/>
    </row>
    <row r="659" spans="12:12">
      <c r="L659" s="932"/>
    </row>
    <row r="660" spans="12:12">
      <c r="L660" s="932"/>
    </row>
    <row r="661" spans="12:12">
      <c r="L661" s="932"/>
    </row>
    <row r="662" spans="12:12">
      <c r="L662" s="932"/>
    </row>
    <row r="663" spans="12:12">
      <c r="L663" s="932"/>
    </row>
    <row r="664" spans="12:12">
      <c r="L664" s="932"/>
    </row>
    <row r="665" spans="12:12">
      <c r="L665" s="932"/>
    </row>
    <row r="666" spans="12:12">
      <c r="L666" s="932"/>
    </row>
    <row r="667" spans="12:12">
      <c r="L667" s="932"/>
    </row>
    <row r="668" spans="12:12">
      <c r="L668" s="932"/>
    </row>
    <row r="669" spans="12:12">
      <c r="L669" s="932"/>
    </row>
    <row r="670" spans="12:12">
      <c r="L670" s="932"/>
    </row>
    <row r="671" spans="12:12">
      <c r="L671" s="932"/>
    </row>
    <row r="672" spans="12:12">
      <c r="L672" s="932"/>
    </row>
    <row r="673" spans="12:12">
      <c r="L673" s="932"/>
    </row>
    <row r="674" spans="12:12">
      <c r="L674" s="932"/>
    </row>
    <row r="675" spans="12:12">
      <c r="L675" s="932"/>
    </row>
    <row r="676" spans="12:12">
      <c r="L676" s="932"/>
    </row>
    <row r="677" spans="12:12">
      <c r="L677" s="932"/>
    </row>
    <row r="678" spans="12:12">
      <c r="L678" s="932"/>
    </row>
    <row r="679" spans="12:12">
      <c r="L679" s="932"/>
    </row>
    <row r="680" spans="12:12">
      <c r="L680" s="932"/>
    </row>
    <row r="681" spans="12:12">
      <c r="L681" s="932"/>
    </row>
    <row r="682" spans="12:12">
      <c r="L682" s="932"/>
    </row>
    <row r="683" spans="12:12">
      <c r="L683" s="932"/>
    </row>
    <row r="684" spans="12:12">
      <c r="L684" s="932"/>
    </row>
    <row r="685" spans="12:12">
      <c r="L685" s="932"/>
    </row>
    <row r="686" spans="12:12">
      <c r="L686" s="932"/>
    </row>
    <row r="687" spans="12:12">
      <c r="L687" s="932"/>
    </row>
    <row r="688" spans="12:12">
      <c r="L688" s="932"/>
    </row>
    <row r="689" spans="12:12">
      <c r="L689" s="932"/>
    </row>
    <row r="690" spans="12:12">
      <c r="L690" s="932"/>
    </row>
    <row r="691" spans="12:12">
      <c r="L691" s="932"/>
    </row>
    <row r="692" spans="12:12">
      <c r="L692" s="932"/>
    </row>
    <row r="693" spans="12:12">
      <c r="L693" s="932"/>
    </row>
    <row r="694" spans="12:12">
      <c r="L694" s="932"/>
    </row>
    <row r="695" spans="12:12">
      <c r="L695" s="932"/>
    </row>
    <row r="696" spans="12:12">
      <c r="L696" s="932"/>
    </row>
    <row r="697" spans="12:12">
      <c r="L697" s="932"/>
    </row>
    <row r="698" spans="12:12">
      <c r="L698" s="932"/>
    </row>
    <row r="699" spans="12:12">
      <c r="L699" s="932"/>
    </row>
    <row r="700" spans="12:12">
      <c r="L700" s="932"/>
    </row>
    <row r="701" spans="12:12">
      <c r="L701" s="932"/>
    </row>
    <row r="702" spans="12:12">
      <c r="L702" s="932"/>
    </row>
    <row r="703" spans="12:12">
      <c r="L703" s="932"/>
    </row>
    <row r="704" spans="12:12">
      <c r="L704" s="932"/>
    </row>
    <row r="705" spans="12:12">
      <c r="L705" s="932"/>
    </row>
    <row r="706" spans="12:12">
      <c r="L706" s="932"/>
    </row>
    <row r="707" spans="12:12">
      <c r="L707" s="932"/>
    </row>
    <row r="708" spans="12:12">
      <c r="L708" s="932"/>
    </row>
    <row r="709" spans="12:12">
      <c r="L709" s="932"/>
    </row>
    <row r="710" spans="12:12">
      <c r="L710" s="932"/>
    </row>
    <row r="711" spans="12:12">
      <c r="L711" s="932"/>
    </row>
    <row r="712" spans="12:12">
      <c r="L712" s="932"/>
    </row>
    <row r="713" spans="12:12">
      <c r="L713" s="932"/>
    </row>
    <row r="714" spans="12:12">
      <c r="L714" s="932"/>
    </row>
    <row r="715" spans="12:12">
      <c r="L715" s="932"/>
    </row>
    <row r="716" spans="12:12">
      <c r="L716" s="932"/>
    </row>
    <row r="717" spans="12:12">
      <c r="L717" s="932"/>
    </row>
    <row r="718" spans="12:12">
      <c r="L718" s="932"/>
    </row>
    <row r="719" spans="12:12">
      <c r="L719" s="932"/>
    </row>
    <row r="720" spans="12:12">
      <c r="L720" s="932"/>
    </row>
    <row r="721" spans="12:12">
      <c r="L721" s="932"/>
    </row>
    <row r="722" spans="12:12">
      <c r="L722" s="932"/>
    </row>
    <row r="723" spans="12:12">
      <c r="L723" s="932"/>
    </row>
    <row r="724" spans="12:12">
      <c r="L724" s="932"/>
    </row>
    <row r="725" spans="12:12">
      <c r="L725" s="932"/>
    </row>
    <row r="726" spans="12:12">
      <c r="L726" s="932"/>
    </row>
    <row r="727" spans="12:12">
      <c r="L727" s="932"/>
    </row>
    <row r="728" spans="12:12">
      <c r="L728" s="932"/>
    </row>
    <row r="729" spans="12:12">
      <c r="L729" s="932"/>
    </row>
    <row r="730" spans="12:12">
      <c r="L730" s="932"/>
    </row>
    <row r="731" spans="12:12">
      <c r="L731" s="932"/>
    </row>
    <row r="732" spans="12:12">
      <c r="L732" s="932"/>
    </row>
    <row r="733" spans="12:12">
      <c r="L733" s="932"/>
    </row>
    <row r="734" spans="12:12">
      <c r="L734" s="932"/>
    </row>
    <row r="735" spans="12:12">
      <c r="L735" s="932"/>
    </row>
    <row r="736" spans="12:12">
      <c r="L736" s="932"/>
    </row>
    <row r="737" spans="12:12">
      <c r="L737" s="932"/>
    </row>
    <row r="738" spans="12:12">
      <c r="L738" s="932"/>
    </row>
    <row r="739" spans="12:12">
      <c r="L739" s="932"/>
    </row>
    <row r="740" spans="12:12">
      <c r="L740" s="932"/>
    </row>
    <row r="741" spans="12:12">
      <c r="L741" s="932"/>
    </row>
    <row r="742" spans="12:12">
      <c r="L742" s="932"/>
    </row>
    <row r="743" spans="12:12">
      <c r="L743" s="932"/>
    </row>
    <row r="744" spans="12:12">
      <c r="L744" s="932"/>
    </row>
    <row r="745" spans="12:12">
      <c r="L745" s="932"/>
    </row>
    <row r="746" spans="12:12">
      <c r="L746" s="932"/>
    </row>
    <row r="747" spans="12:12">
      <c r="L747" s="932"/>
    </row>
    <row r="748" spans="12:12">
      <c r="L748" s="932"/>
    </row>
    <row r="749" spans="12:12">
      <c r="L749" s="932"/>
    </row>
    <row r="750" spans="12:12">
      <c r="L750" s="932"/>
    </row>
    <row r="751" spans="12:12">
      <c r="L751" s="932"/>
    </row>
    <row r="752" spans="12:12">
      <c r="L752" s="932"/>
    </row>
    <row r="753" spans="12:12">
      <c r="L753" s="932"/>
    </row>
    <row r="754" spans="12:12">
      <c r="L754" s="932"/>
    </row>
    <row r="755" spans="12:12">
      <c r="L755" s="932"/>
    </row>
    <row r="756" spans="12:12">
      <c r="L756" s="932"/>
    </row>
    <row r="757" spans="12:12">
      <c r="L757" s="932"/>
    </row>
    <row r="758" spans="12:12">
      <c r="L758" s="932"/>
    </row>
    <row r="759" spans="12:12">
      <c r="L759" s="932"/>
    </row>
    <row r="760" spans="12:12">
      <c r="L760" s="932"/>
    </row>
    <row r="761" spans="12:12">
      <c r="L761" s="932"/>
    </row>
    <row r="762" spans="12:12">
      <c r="L762" s="932"/>
    </row>
    <row r="763" spans="12:12">
      <c r="L763" s="932"/>
    </row>
    <row r="764" spans="12:12">
      <c r="L764" s="932"/>
    </row>
    <row r="765" spans="12:12">
      <c r="L765" s="932"/>
    </row>
    <row r="766" spans="12:12">
      <c r="L766" s="932"/>
    </row>
    <row r="767" spans="12:12">
      <c r="L767" s="932"/>
    </row>
    <row r="768" spans="12:12">
      <c r="L768" s="932"/>
    </row>
    <row r="769" spans="12:12">
      <c r="L769" s="932"/>
    </row>
    <row r="770" spans="12:12">
      <c r="L770" s="932"/>
    </row>
    <row r="771" spans="12:12">
      <c r="L771" s="932"/>
    </row>
    <row r="772" spans="12:12">
      <c r="L772" s="932"/>
    </row>
    <row r="773" spans="12:12">
      <c r="L773" s="932"/>
    </row>
    <row r="774" spans="12:12">
      <c r="L774" s="932"/>
    </row>
    <row r="775" spans="12:12">
      <c r="L775" s="932"/>
    </row>
    <row r="776" spans="12:12">
      <c r="L776" s="932"/>
    </row>
    <row r="777" spans="12:12">
      <c r="L777" s="932"/>
    </row>
    <row r="778" spans="12:12">
      <c r="L778" s="932"/>
    </row>
    <row r="779" spans="12:12">
      <c r="L779" s="932"/>
    </row>
    <row r="780" spans="12:12">
      <c r="L780" s="932"/>
    </row>
    <row r="781" spans="12:12">
      <c r="L781" s="932"/>
    </row>
    <row r="782" spans="12:12">
      <c r="L782" s="932"/>
    </row>
    <row r="783" spans="12:12">
      <c r="L783" s="932"/>
    </row>
    <row r="784" spans="12:12">
      <c r="L784" s="932"/>
    </row>
    <row r="785" spans="12:12">
      <c r="L785" s="932"/>
    </row>
    <row r="786" spans="12:12">
      <c r="L786" s="932"/>
    </row>
    <row r="787" spans="12:12">
      <c r="L787" s="932"/>
    </row>
    <row r="788" spans="12:12">
      <c r="L788" s="932"/>
    </row>
    <row r="789" spans="12:12">
      <c r="L789" s="932"/>
    </row>
    <row r="790" spans="12:12">
      <c r="L790" s="932"/>
    </row>
    <row r="791" spans="12:12">
      <c r="L791" s="932"/>
    </row>
    <row r="792" spans="12:12">
      <c r="L792" s="932"/>
    </row>
    <row r="793" spans="12:12">
      <c r="L793" s="932"/>
    </row>
    <row r="794" spans="12:12">
      <c r="L794" s="932"/>
    </row>
    <row r="795" spans="12:12">
      <c r="L795" s="932"/>
    </row>
    <row r="796" spans="12:12">
      <c r="L796" s="932"/>
    </row>
    <row r="797" spans="12:12">
      <c r="L797" s="932"/>
    </row>
    <row r="798" spans="12:12">
      <c r="L798" s="932"/>
    </row>
    <row r="799" spans="12:12">
      <c r="L799" s="932"/>
    </row>
    <row r="800" spans="12:12">
      <c r="L800" s="932"/>
    </row>
    <row r="801" spans="12:12">
      <c r="L801" s="932"/>
    </row>
    <row r="802" spans="12:12">
      <c r="L802" s="932"/>
    </row>
    <row r="803" spans="12:12">
      <c r="L803" s="932"/>
    </row>
    <row r="804" spans="12:12">
      <c r="L804" s="932"/>
    </row>
    <row r="805" spans="12:12">
      <c r="L805" s="932"/>
    </row>
    <row r="806" spans="12:12">
      <c r="L806" s="932"/>
    </row>
    <row r="807" spans="12:12">
      <c r="L807" s="932"/>
    </row>
    <row r="808" spans="12:12">
      <c r="L808" s="932"/>
    </row>
    <row r="809" spans="12:12">
      <c r="L809" s="932"/>
    </row>
    <row r="810" spans="12:12">
      <c r="L810" s="932"/>
    </row>
    <row r="811" spans="12:12">
      <c r="L811" s="932"/>
    </row>
    <row r="812" spans="12:12">
      <c r="L812" s="932"/>
    </row>
    <row r="813" spans="12:12">
      <c r="L813" s="932"/>
    </row>
    <row r="814" spans="12:12">
      <c r="L814" s="932"/>
    </row>
    <row r="815" spans="12:12">
      <c r="L815" s="932"/>
    </row>
    <row r="816" spans="12:12">
      <c r="L816" s="932"/>
    </row>
    <row r="817" spans="12:12">
      <c r="L817" s="932"/>
    </row>
    <row r="818" spans="12:12">
      <c r="L818" s="932"/>
    </row>
    <row r="819" spans="12:12">
      <c r="L819" s="932"/>
    </row>
    <row r="820" spans="12:12">
      <c r="L820" s="932"/>
    </row>
    <row r="821" spans="12:12">
      <c r="L821" s="932"/>
    </row>
    <row r="822" spans="12:12">
      <c r="L822" s="932"/>
    </row>
    <row r="823" spans="12:12">
      <c r="L823" s="932"/>
    </row>
    <row r="824" spans="12:12">
      <c r="L824" s="932"/>
    </row>
    <row r="825" spans="12:12">
      <c r="L825" s="932"/>
    </row>
    <row r="826" spans="12:12">
      <c r="L826" s="932"/>
    </row>
    <row r="827" spans="12:12">
      <c r="L827" s="932"/>
    </row>
    <row r="828" spans="12:12">
      <c r="L828" s="932"/>
    </row>
    <row r="829" spans="12:12">
      <c r="L829" s="932"/>
    </row>
    <row r="830" spans="12:12">
      <c r="L830" s="932"/>
    </row>
    <row r="831" spans="12:12">
      <c r="L831" s="932"/>
    </row>
    <row r="832" spans="12:12">
      <c r="L832" s="932"/>
    </row>
    <row r="833" spans="12:12">
      <c r="L833" s="932"/>
    </row>
    <row r="834" spans="12:12">
      <c r="L834" s="932"/>
    </row>
    <row r="835" spans="12:12">
      <c r="L835" s="932"/>
    </row>
    <row r="836" spans="12:12">
      <c r="L836" s="932"/>
    </row>
    <row r="837" spans="12:12">
      <c r="L837" s="932"/>
    </row>
    <row r="838" spans="12:12">
      <c r="L838" s="932"/>
    </row>
    <row r="839" spans="12:12">
      <c r="L839" s="932"/>
    </row>
    <row r="840" spans="12:12">
      <c r="L840" s="932"/>
    </row>
    <row r="841" spans="12:12">
      <c r="L841" s="932"/>
    </row>
    <row r="842" spans="12:12">
      <c r="L842" s="932"/>
    </row>
    <row r="843" spans="12:12">
      <c r="L843" s="932"/>
    </row>
    <row r="844" spans="12:12">
      <c r="L844" s="932"/>
    </row>
    <row r="845" spans="12:12">
      <c r="L845" s="932"/>
    </row>
    <row r="846" spans="12:12">
      <c r="L846" s="932"/>
    </row>
    <row r="847" spans="12:12">
      <c r="L847" s="932"/>
    </row>
    <row r="848" spans="12:12">
      <c r="L848" s="932"/>
    </row>
    <row r="849" spans="12:12">
      <c r="L849" s="932"/>
    </row>
    <row r="850" spans="12:12">
      <c r="L850" s="932"/>
    </row>
    <row r="851" spans="12:12">
      <c r="L851" s="932"/>
    </row>
    <row r="852" spans="12:12">
      <c r="L852" s="932"/>
    </row>
    <row r="853" spans="12:12">
      <c r="L853" s="932"/>
    </row>
    <row r="854" spans="12:12">
      <c r="L854" s="932"/>
    </row>
    <row r="855" spans="12:12">
      <c r="L855" s="932"/>
    </row>
    <row r="856" spans="12:12">
      <c r="L856" s="932"/>
    </row>
    <row r="857" spans="12:12">
      <c r="L857" s="932"/>
    </row>
    <row r="858" spans="12:12">
      <c r="L858" s="932"/>
    </row>
    <row r="859" spans="12:12">
      <c r="L859" s="932"/>
    </row>
    <row r="860" spans="12:12">
      <c r="L860" s="932"/>
    </row>
    <row r="861" spans="12:12">
      <c r="L861" s="932"/>
    </row>
    <row r="862" spans="12:12">
      <c r="L862" s="932"/>
    </row>
    <row r="863" spans="12:12">
      <c r="L863" s="932"/>
    </row>
    <row r="864" spans="12:12">
      <c r="L864" s="932"/>
    </row>
    <row r="865" spans="12:12">
      <c r="L865" s="932"/>
    </row>
    <row r="866" spans="12:12">
      <c r="L866" s="932"/>
    </row>
    <row r="867" spans="12:12">
      <c r="L867" s="932"/>
    </row>
    <row r="868" spans="12:12">
      <c r="L868" s="932"/>
    </row>
    <row r="869" spans="12:12">
      <c r="L869" s="932"/>
    </row>
    <row r="870" spans="12:12">
      <c r="L870" s="932"/>
    </row>
    <row r="871" spans="12:12">
      <c r="L871" s="932"/>
    </row>
    <row r="872" spans="12:12">
      <c r="L872" s="932"/>
    </row>
    <row r="873" spans="12:12">
      <c r="L873" s="932"/>
    </row>
    <row r="874" spans="12:12">
      <c r="L874" s="932"/>
    </row>
    <row r="875" spans="12:12">
      <c r="L875" s="932"/>
    </row>
    <row r="876" spans="12:12">
      <c r="L876" s="932"/>
    </row>
    <row r="877" spans="12:12">
      <c r="L877" s="932"/>
    </row>
    <row r="878" spans="12:12">
      <c r="L878" s="932"/>
    </row>
    <row r="879" spans="12:12">
      <c r="L879" s="932"/>
    </row>
    <row r="880" spans="12:12">
      <c r="L880" s="932"/>
    </row>
    <row r="881" spans="12:12">
      <c r="L881" s="932"/>
    </row>
    <row r="882" spans="12:12">
      <c r="L882" s="932"/>
    </row>
    <row r="883" spans="12:12">
      <c r="L883" s="932"/>
    </row>
    <row r="884" spans="12:12">
      <c r="L884" s="932"/>
    </row>
    <row r="885" spans="12:12">
      <c r="L885" s="932"/>
    </row>
    <row r="886" spans="12:12">
      <c r="L886" s="932"/>
    </row>
    <row r="887" spans="12:12">
      <c r="L887" s="932"/>
    </row>
    <row r="888" spans="12:12">
      <c r="L888" s="932"/>
    </row>
    <row r="889" spans="12:12">
      <c r="L889" s="932"/>
    </row>
    <row r="890" spans="12:12">
      <c r="L890" s="932"/>
    </row>
    <row r="891" spans="12:12">
      <c r="L891" s="932"/>
    </row>
    <row r="892" spans="12:12">
      <c r="L892" s="932"/>
    </row>
    <row r="893" spans="12:12">
      <c r="L893" s="932"/>
    </row>
    <row r="894" spans="12:12">
      <c r="L894" s="932"/>
    </row>
    <row r="895" spans="12:12">
      <c r="L895" s="932"/>
    </row>
    <row r="896" spans="12:12">
      <c r="L896" s="932"/>
    </row>
    <row r="897" spans="12:12">
      <c r="L897" s="932"/>
    </row>
    <row r="898" spans="12:12">
      <c r="L898" s="932"/>
    </row>
    <row r="899" spans="12:12">
      <c r="L899" s="932"/>
    </row>
    <row r="900" spans="12:12">
      <c r="L900" s="932"/>
    </row>
    <row r="901" spans="12:12">
      <c r="L901" s="932"/>
    </row>
    <row r="902" spans="12:12">
      <c r="L902" s="932"/>
    </row>
    <row r="903" spans="12:12">
      <c r="L903" s="932"/>
    </row>
    <row r="904" spans="12:12">
      <c r="L904" s="932"/>
    </row>
    <row r="905" spans="12:12">
      <c r="L905" s="932"/>
    </row>
    <row r="906" spans="12:12">
      <c r="L906" s="932"/>
    </row>
    <row r="907" spans="12:12">
      <c r="L907" s="932"/>
    </row>
    <row r="908" spans="12:12">
      <c r="L908" s="932"/>
    </row>
    <row r="909" spans="12:12">
      <c r="L909" s="932"/>
    </row>
    <row r="910" spans="12:12">
      <c r="L910" s="932"/>
    </row>
    <row r="911" spans="12:12">
      <c r="L911" s="932"/>
    </row>
    <row r="912" spans="12:12">
      <c r="L912" s="932"/>
    </row>
    <row r="913" spans="12:12">
      <c r="L913" s="932"/>
    </row>
    <row r="914" spans="12:12">
      <c r="L914" s="932"/>
    </row>
    <row r="915" spans="12:12">
      <c r="L915" s="932"/>
    </row>
    <row r="916" spans="12:12">
      <c r="L916" s="932"/>
    </row>
    <row r="917" spans="12:12">
      <c r="L917" s="932"/>
    </row>
    <row r="918" spans="12:12">
      <c r="L918" s="932"/>
    </row>
    <row r="919" spans="12:12">
      <c r="L919" s="932"/>
    </row>
    <row r="920" spans="12:12">
      <c r="L920" s="932"/>
    </row>
    <row r="921" spans="12:12">
      <c r="L921" s="932"/>
    </row>
    <row r="922" spans="12:12">
      <c r="L922" s="932"/>
    </row>
    <row r="923" spans="12:12">
      <c r="L923" s="932"/>
    </row>
    <row r="924" spans="12:12">
      <c r="L924" s="932"/>
    </row>
    <row r="925" spans="12:12">
      <c r="L925" s="932"/>
    </row>
    <row r="926" spans="12:12">
      <c r="L926" s="932"/>
    </row>
    <row r="927" spans="12:12">
      <c r="L927" s="932"/>
    </row>
    <row r="928" spans="12:12">
      <c r="L928" s="932"/>
    </row>
    <row r="929" spans="12:12">
      <c r="L929" s="932"/>
    </row>
    <row r="930" spans="12:12">
      <c r="L930" s="932"/>
    </row>
    <row r="931" spans="12:12">
      <c r="L931" s="932"/>
    </row>
    <row r="932" spans="12:12">
      <c r="L932" s="932"/>
    </row>
    <row r="933" spans="12:12">
      <c r="L933" s="932"/>
    </row>
    <row r="934" spans="12:12">
      <c r="L934" s="932"/>
    </row>
    <row r="935" spans="12:12">
      <c r="L935" s="932"/>
    </row>
    <row r="936" spans="12:12">
      <c r="L936" s="932"/>
    </row>
    <row r="937" spans="12:12">
      <c r="L937" s="932"/>
    </row>
    <row r="938" spans="12:12">
      <c r="L938" s="932"/>
    </row>
    <row r="939" spans="12:12">
      <c r="L939" s="932"/>
    </row>
    <row r="940" spans="12:12">
      <c r="L940" s="932"/>
    </row>
    <row r="941" spans="12:12">
      <c r="L941" s="932"/>
    </row>
    <row r="942" spans="12:12">
      <c r="L942" s="932"/>
    </row>
    <row r="943" spans="12:12">
      <c r="L943" s="932"/>
    </row>
    <row r="944" spans="12:12">
      <c r="L944" s="932"/>
    </row>
    <row r="945" spans="12:12">
      <c r="L945" s="932"/>
    </row>
    <row r="946" spans="12:12">
      <c r="L946" s="932"/>
    </row>
    <row r="947" spans="12:12">
      <c r="L947" s="932"/>
    </row>
    <row r="948" spans="12:12">
      <c r="L948" s="932"/>
    </row>
    <row r="949" spans="12:12">
      <c r="L949" s="932"/>
    </row>
    <row r="950" spans="12:12">
      <c r="L950" s="932"/>
    </row>
    <row r="951" spans="12:12">
      <c r="L951" s="932"/>
    </row>
    <row r="952" spans="12:12">
      <c r="L952" s="932"/>
    </row>
    <row r="953" spans="12:12">
      <c r="L953" s="932"/>
    </row>
    <row r="954" spans="12:12">
      <c r="L954" s="932"/>
    </row>
    <row r="955" spans="12:12">
      <c r="L955" s="932"/>
    </row>
    <row r="956" spans="12:12">
      <c r="L956" s="932"/>
    </row>
    <row r="957" spans="12:12">
      <c r="L957" s="932"/>
    </row>
    <row r="958" spans="12:12">
      <c r="L958" s="932"/>
    </row>
    <row r="959" spans="12:12">
      <c r="L959" s="932"/>
    </row>
    <row r="960" spans="12:12">
      <c r="L960" s="932"/>
    </row>
    <row r="961" spans="12:12">
      <c r="L961" s="932"/>
    </row>
    <row r="962" spans="12:12">
      <c r="L962" s="932"/>
    </row>
    <row r="963" spans="12:12">
      <c r="L963" s="932"/>
    </row>
    <row r="964" spans="12:12">
      <c r="L964" s="932"/>
    </row>
    <row r="965" spans="12:12">
      <c r="L965" s="932"/>
    </row>
    <row r="966" spans="12:12">
      <c r="L966" s="932"/>
    </row>
    <row r="967" spans="12:12">
      <c r="L967" s="932"/>
    </row>
    <row r="968" spans="12:12">
      <c r="L968" s="932"/>
    </row>
    <row r="969" spans="12:12">
      <c r="L969" s="932"/>
    </row>
    <row r="970" spans="12:12">
      <c r="L970" s="932"/>
    </row>
    <row r="971" spans="12:12">
      <c r="L971" s="932"/>
    </row>
    <row r="972" spans="12:12">
      <c r="L972" s="932"/>
    </row>
    <row r="973" spans="12:12">
      <c r="L973" s="932"/>
    </row>
    <row r="974" spans="12:12">
      <c r="L974" s="932"/>
    </row>
    <row r="975" spans="12:12">
      <c r="L975" s="932"/>
    </row>
    <row r="976" spans="12:12">
      <c r="L976" s="932"/>
    </row>
    <row r="977" spans="12:12">
      <c r="L977" s="932"/>
    </row>
    <row r="978" spans="12:12">
      <c r="L978" s="932"/>
    </row>
    <row r="979" spans="12:12">
      <c r="L979" s="932"/>
    </row>
    <row r="980" spans="12:12">
      <c r="L980" s="932"/>
    </row>
    <row r="981" spans="12:12">
      <c r="L981" s="932"/>
    </row>
    <row r="982" spans="12:12">
      <c r="L982" s="932"/>
    </row>
    <row r="983" spans="12:12">
      <c r="L983" s="932"/>
    </row>
    <row r="984" spans="12:12">
      <c r="L984" s="932"/>
    </row>
    <row r="985" spans="12:12">
      <c r="L985" s="932"/>
    </row>
    <row r="986" spans="12:12">
      <c r="L986" s="932"/>
    </row>
    <row r="987" spans="12:12">
      <c r="L987" s="932"/>
    </row>
    <row r="988" spans="12:12">
      <c r="L988" s="932"/>
    </row>
    <row r="989" spans="12:12">
      <c r="L989" s="932"/>
    </row>
    <row r="990" spans="12:12">
      <c r="L990" s="932"/>
    </row>
    <row r="991" spans="12:12">
      <c r="L991" s="932"/>
    </row>
    <row r="992" spans="12:12">
      <c r="L992" s="932"/>
    </row>
    <row r="993" spans="12:12">
      <c r="L993" s="932"/>
    </row>
    <row r="994" spans="12:12">
      <c r="L994" s="932"/>
    </row>
    <row r="995" spans="12:12">
      <c r="L995" s="932"/>
    </row>
    <row r="996" spans="12:12">
      <c r="L996" s="932"/>
    </row>
    <row r="997" spans="12:12">
      <c r="L997" s="932"/>
    </row>
    <row r="998" spans="12:12">
      <c r="L998" s="932"/>
    </row>
    <row r="999" spans="12:12">
      <c r="L999" s="932"/>
    </row>
    <row r="1000" spans="12:12">
      <c r="L1000" s="932"/>
    </row>
    <row r="1001" spans="12:12">
      <c r="L1001" s="932"/>
    </row>
    <row r="1002" spans="12:12">
      <c r="L1002" s="932"/>
    </row>
    <row r="1003" spans="12:12">
      <c r="L1003" s="932"/>
    </row>
    <row r="1004" spans="12:12">
      <c r="L1004" s="932"/>
    </row>
    <row r="1005" spans="12:12">
      <c r="L1005" s="932"/>
    </row>
    <row r="1006" spans="12:12">
      <c r="L1006" s="932"/>
    </row>
    <row r="1007" spans="12:12">
      <c r="L1007" s="932"/>
    </row>
    <row r="1008" spans="12:12">
      <c r="L1008" s="932"/>
    </row>
    <row r="1009" spans="12:12">
      <c r="L1009" s="932"/>
    </row>
    <row r="1010" spans="12:12">
      <c r="L1010" s="932"/>
    </row>
    <row r="1011" spans="12:12">
      <c r="L1011" s="932"/>
    </row>
    <row r="1012" spans="12:12">
      <c r="L1012" s="932"/>
    </row>
    <row r="1013" spans="12:12">
      <c r="L1013" s="932"/>
    </row>
    <row r="1014" spans="12:12">
      <c r="L1014" s="932"/>
    </row>
    <row r="1015" spans="12:12">
      <c r="L1015" s="932"/>
    </row>
    <row r="1016" spans="12:12">
      <c r="L1016" s="932"/>
    </row>
    <row r="1017" spans="12:12">
      <c r="L1017" s="932"/>
    </row>
    <row r="1018" spans="12:12">
      <c r="L1018" s="932"/>
    </row>
    <row r="1019" spans="12:12">
      <c r="L1019" s="932"/>
    </row>
    <row r="1020" spans="12:12">
      <c r="L1020" s="932"/>
    </row>
    <row r="1021" spans="12:12">
      <c r="L1021" s="932"/>
    </row>
    <row r="1022" spans="12:12">
      <c r="L1022" s="932"/>
    </row>
    <row r="1023" spans="12:12">
      <c r="L1023" s="932"/>
    </row>
    <row r="1024" spans="12:12">
      <c r="L1024" s="932"/>
    </row>
    <row r="1025" spans="12:12">
      <c r="L1025" s="932"/>
    </row>
    <row r="1026" spans="12:12">
      <c r="L1026" s="932"/>
    </row>
    <row r="1027" spans="12:12">
      <c r="L1027" s="932"/>
    </row>
    <row r="1028" spans="12:12">
      <c r="L1028" s="932"/>
    </row>
    <row r="1029" spans="12:12">
      <c r="L1029" s="932"/>
    </row>
    <row r="1030" spans="12:12">
      <c r="L1030" s="932"/>
    </row>
    <row r="1031" spans="12:12">
      <c r="L1031" s="932"/>
    </row>
    <row r="1032" spans="12:12">
      <c r="L1032" s="932"/>
    </row>
    <row r="1033" spans="12:12">
      <c r="L1033" s="932"/>
    </row>
    <row r="1034" spans="12:12">
      <c r="L1034" s="932"/>
    </row>
    <row r="1035" spans="12:12">
      <c r="L1035" s="932"/>
    </row>
    <row r="1036" spans="12:12">
      <c r="L1036" s="932"/>
    </row>
    <row r="1037" spans="12:12">
      <c r="L1037" s="932"/>
    </row>
    <row r="1038" spans="12:12">
      <c r="L1038" s="932"/>
    </row>
    <row r="1039" spans="12:12">
      <c r="L1039" s="932"/>
    </row>
    <row r="1040" spans="12:12">
      <c r="L1040" s="932"/>
    </row>
    <row r="1041" spans="12:12">
      <c r="L1041" s="932"/>
    </row>
    <row r="1042" spans="12:12">
      <c r="L1042" s="932"/>
    </row>
    <row r="1043" spans="12:12">
      <c r="L1043" s="932"/>
    </row>
    <row r="1044" spans="12:12">
      <c r="L1044" s="932"/>
    </row>
    <row r="1045" spans="12:12">
      <c r="L1045" s="932"/>
    </row>
    <row r="1046" spans="12:12">
      <c r="L1046" s="932"/>
    </row>
    <row r="1047" spans="12:12">
      <c r="L1047" s="932"/>
    </row>
    <row r="1048" spans="12:12">
      <c r="L1048" s="932"/>
    </row>
    <row r="1049" spans="12:12">
      <c r="L1049" s="932"/>
    </row>
    <row r="1050" spans="12:12">
      <c r="L1050" s="932"/>
    </row>
    <row r="1051" spans="12:12">
      <c r="L1051" s="932"/>
    </row>
    <row r="1052" spans="12:12">
      <c r="L1052" s="932"/>
    </row>
    <row r="1053" spans="12:12">
      <c r="L1053" s="932"/>
    </row>
    <row r="1054" spans="12:12">
      <c r="L1054" s="932"/>
    </row>
    <row r="1055" spans="12:12">
      <c r="L1055" s="932"/>
    </row>
    <row r="1056" spans="12:12">
      <c r="L1056" s="932"/>
    </row>
    <row r="1057" spans="12:12">
      <c r="L1057" s="932"/>
    </row>
    <row r="1058" spans="12:12">
      <c r="L1058" s="932"/>
    </row>
    <row r="1059" spans="12:12">
      <c r="L1059" s="932"/>
    </row>
    <row r="1060" spans="12:12">
      <c r="L1060" s="932"/>
    </row>
    <row r="1061" spans="12:12">
      <c r="L1061" s="932"/>
    </row>
    <row r="1062" spans="12:12">
      <c r="L1062" s="932"/>
    </row>
    <row r="1063" spans="12:12">
      <c r="L1063" s="932"/>
    </row>
    <row r="1064" spans="12:12">
      <c r="L1064" s="932"/>
    </row>
    <row r="1065" spans="12:12">
      <c r="L1065" s="932"/>
    </row>
    <row r="1066" spans="12:12">
      <c r="L1066" s="932"/>
    </row>
  </sheetData>
  <autoFilter ref="A1:BL321" xr:uid="{00000000-0009-0000-0000-000000000000}"/>
  <customSheetViews>
    <customSheetView guid="{141C9473-79E8-40AC-A2DD-D2D896AD155D}" scale="70" showPageBreaks="1" printArea="1" showAutoFilter="1" hiddenRows="1" hiddenColumns="1" view="pageBreakPreview">
      <pane xSplit="1" ySplit="1" topLeftCell="H174" activePane="bottomRight" state="frozenSplit"/>
      <selection pane="bottomRight" activeCell="Y174" sqref="Y174:Y177"/>
      <rowBreaks count="2" manualBreakCount="2">
        <brk id="205" max="62" man="1"/>
        <brk id="249" max="62" man="1"/>
      </rowBreaks>
      <colBreaks count="3" manualBreakCount="3">
        <brk id="14" max="256" man="1"/>
        <brk id="27" max="256" man="1"/>
        <brk id="44" max="1048575" man="1"/>
      </colBreaks>
      <pageMargins left="0.7" right="0.7" top="0.75" bottom="0.75" header="0.3" footer="0.3"/>
      <pageSetup scale="30" orientation="portrait" r:id="rId1"/>
      <autoFilter ref="A1:BL285" xr:uid="{00000000-0000-0000-0000-000000000000}"/>
    </customSheetView>
  </customSheetViews>
  <mergeCells count="3173">
    <mergeCell ref="W46:W49"/>
    <mergeCell ref="W50:W53"/>
    <mergeCell ref="AM50:AM53"/>
    <mergeCell ref="AN50:AN53"/>
    <mergeCell ref="AO50:AO53"/>
    <mergeCell ref="AP50:AP53"/>
    <mergeCell ref="AQ50:AQ53"/>
    <mergeCell ref="AS50:AS53"/>
    <mergeCell ref="AT50:AT53"/>
    <mergeCell ref="AE90:AE93"/>
    <mergeCell ref="T90:T93"/>
    <mergeCell ref="W114:W117"/>
    <mergeCell ref="X114:X117"/>
    <mergeCell ref="A50:A53"/>
    <mergeCell ref="B50:B53"/>
    <mergeCell ref="C50:C53"/>
    <mergeCell ref="D50:D53"/>
    <mergeCell ref="E50:E53"/>
    <mergeCell ref="F50:F53"/>
    <mergeCell ref="G50:G53"/>
    <mergeCell ref="H50:H53"/>
    <mergeCell ref="I50:I53"/>
    <mergeCell ref="J50:J53"/>
    <mergeCell ref="K50:K53"/>
    <mergeCell ref="L50:L53"/>
    <mergeCell ref="M50:M53"/>
    <mergeCell ref="N50:N53"/>
    <mergeCell ref="O50:O53"/>
    <mergeCell ref="P50:P53"/>
    <mergeCell ref="AD50:AD53"/>
    <mergeCell ref="AI46:AI49"/>
    <mergeCell ref="Y58:Y61"/>
    <mergeCell ref="AG226:AG229"/>
    <mergeCell ref="Q110:Q113"/>
    <mergeCell ref="T110:T113"/>
    <mergeCell ref="U90:U93"/>
    <mergeCell ref="Y82:Y85"/>
    <mergeCell ref="X82:X85"/>
    <mergeCell ref="W90:W93"/>
    <mergeCell ref="O106:O109"/>
    <mergeCell ref="X226:X229"/>
    <mergeCell ref="Y226:Y229"/>
    <mergeCell ref="AA226:AA229"/>
    <mergeCell ref="S146:S149"/>
    <mergeCell ref="Q86:Q89"/>
    <mergeCell ref="Q122:Q125"/>
    <mergeCell ref="Q94:Q97"/>
    <mergeCell ref="P94:P97"/>
    <mergeCell ref="R94:R97"/>
    <mergeCell ref="R126:R129"/>
    <mergeCell ref="P90:P93"/>
    <mergeCell ref="O122:O125"/>
    <mergeCell ref="V82:V85"/>
    <mergeCell ref="T122:T125"/>
    <mergeCell ref="U106:U109"/>
    <mergeCell ref="X150:X153"/>
    <mergeCell ref="V122:V125"/>
    <mergeCell ref="T146:T149"/>
    <mergeCell ref="V98:V101"/>
    <mergeCell ref="AC174:AC177"/>
    <mergeCell ref="V166:V169"/>
    <mergeCell ref="V146:V149"/>
    <mergeCell ref="P186:P189"/>
    <mergeCell ref="O174:O177"/>
    <mergeCell ref="T10:T13"/>
    <mergeCell ref="Y6:Y9"/>
    <mergeCell ref="Y18:Y21"/>
    <mergeCell ref="W34:W37"/>
    <mergeCell ref="Y26:Y29"/>
    <mergeCell ref="AC90:AC93"/>
    <mergeCell ref="AG62:AG65"/>
    <mergeCell ref="AG58:AG61"/>
    <mergeCell ref="AA62:AA65"/>
    <mergeCell ref="T66:T69"/>
    <mergeCell ref="AA58:AA61"/>
    <mergeCell ref="AC46:AC49"/>
    <mergeCell ref="W66:W69"/>
    <mergeCell ref="AF50:AF53"/>
    <mergeCell ref="AG50:AG53"/>
    <mergeCell ref="AI50:AI53"/>
    <mergeCell ref="AK50:AK53"/>
    <mergeCell ref="AI34:AI37"/>
    <mergeCell ref="AK42:AK45"/>
    <mergeCell ref="AF66:AF69"/>
    <mergeCell ref="Y42:Y45"/>
    <mergeCell ref="AC62:AC65"/>
    <mergeCell ref="AG42:AG45"/>
    <mergeCell ref="X50:X53"/>
    <mergeCell ref="Y50:Y53"/>
    <mergeCell ref="AA50:AA53"/>
    <mergeCell ref="AC50:AC53"/>
    <mergeCell ref="AE50:AE53"/>
    <mergeCell ref="X58:X61"/>
    <mergeCell ref="T58:T61"/>
    <mergeCell ref="X46:X49"/>
    <mergeCell ref="T78:T81"/>
    <mergeCell ref="Y46:Y49"/>
    <mergeCell ref="AI62:AI65"/>
    <mergeCell ref="AE42:AE45"/>
    <mergeCell ref="AA46:AA49"/>
    <mergeCell ref="AP2:AP5"/>
    <mergeCell ref="AP6:AP9"/>
    <mergeCell ref="AP10:AP13"/>
    <mergeCell ref="AP14:AP17"/>
    <mergeCell ref="AP18:AP21"/>
    <mergeCell ref="AP26:AP29"/>
    <mergeCell ref="AP30:AP33"/>
    <mergeCell ref="AP42:AP45"/>
    <mergeCell ref="AO6:AO9"/>
    <mergeCell ref="AO2:AO5"/>
    <mergeCell ref="AN6:AN9"/>
    <mergeCell ref="AO14:AO17"/>
    <mergeCell ref="AM30:AM33"/>
    <mergeCell ref="AI14:AI17"/>
    <mergeCell ref="AC14:AC17"/>
    <mergeCell ref="AL30:AL33"/>
    <mergeCell ref="AM2:AM5"/>
    <mergeCell ref="AN18:AN21"/>
    <mergeCell ref="AK2:AK5"/>
    <mergeCell ref="AK6:AK9"/>
    <mergeCell ref="AL2:AL5"/>
    <mergeCell ref="AM6:AM9"/>
    <mergeCell ref="AL6:AL9"/>
    <mergeCell ref="AL50:AL53"/>
    <mergeCell ref="AG14:AG17"/>
    <mergeCell ref="AL10:AL13"/>
    <mergeCell ref="AM26:AM29"/>
    <mergeCell ref="AJ14:AJ17"/>
    <mergeCell ref="AK30:AK33"/>
    <mergeCell ref="AG26:AG29"/>
    <mergeCell ref="AI2:AI5"/>
    <mergeCell ref="AN2:AN5"/>
    <mergeCell ref="L174:L177"/>
    <mergeCell ref="P170:P173"/>
    <mergeCell ref="N114:N117"/>
    <mergeCell ref="P78:P81"/>
    <mergeCell ref="AC106:AC109"/>
    <mergeCell ref="V106:V109"/>
    <mergeCell ref="X106:X109"/>
    <mergeCell ref="AA90:AA93"/>
    <mergeCell ref="W82:W85"/>
    <mergeCell ref="V78:V81"/>
    <mergeCell ref="X94:X97"/>
    <mergeCell ref="AA86:AA89"/>
    <mergeCell ref="U110:U113"/>
    <mergeCell ref="V110:V113"/>
    <mergeCell ref="Y138:Y141"/>
    <mergeCell ref="W126:W129"/>
    <mergeCell ref="O70:O73"/>
    <mergeCell ref="AE62:AE65"/>
    <mergeCell ref="AE58:AE61"/>
    <mergeCell ref="AC58:AC61"/>
    <mergeCell ref="N142:N145"/>
    <mergeCell ref="W162:W165"/>
    <mergeCell ref="AE34:AE37"/>
    <mergeCell ref="AA34:AA37"/>
    <mergeCell ref="L166:L169"/>
    <mergeCell ref="W58:W61"/>
    <mergeCell ref="M110:M113"/>
    <mergeCell ref="L78:L81"/>
    <mergeCell ref="S102:S105"/>
    <mergeCell ref="P162:P165"/>
    <mergeCell ref="P150:P153"/>
    <mergeCell ref="P154:P157"/>
    <mergeCell ref="AA158:AA161"/>
    <mergeCell ref="X142:X145"/>
    <mergeCell ref="S142:S145"/>
    <mergeCell ref="V142:V145"/>
    <mergeCell ref="T142:T145"/>
    <mergeCell ref="AC154:AC157"/>
    <mergeCell ref="AC150:AC153"/>
    <mergeCell ref="S78:S81"/>
    <mergeCell ref="S58:S61"/>
    <mergeCell ref="R58:R61"/>
    <mergeCell ref="U102:U105"/>
    <mergeCell ref="Q98:Q101"/>
    <mergeCell ref="R98:R101"/>
    <mergeCell ref="W106:W109"/>
    <mergeCell ref="Y114:Y117"/>
    <mergeCell ref="Y110:Y113"/>
    <mergeCell ref="S138:S141"/>
    <mergeCell ref="U126:U129"/>
    <mergeCell ref="V114:V117"/>
    <mergeCell ref="V138:V141"/>
    <mergeCell ref="U122:U125"/>
    <mergeCell ref="V150:V153"/>
    <mergeCell ref="R158:R161"/>
    <mergeCell ref="Q158:Q161"/>
    <mergeCell ref="W146:W149"/>
    <mergeCell ref="S94:S97"/>
    <mergeCell ref="T98:T101"/>
    <mergeCell ref="W94:W97"/>
    <mergeCell ref="V118:V121"/>
    <mergeCell ref="W118:W121"/>
    <mergeCell ref="X118:X121"/>
    <mergeCell ref="O162:O165"/>
    <mergeCell ref="R146:R149"/>
    <mergeCell ref="Y126:Y129"/>
    <mergeCell ref="P158:P161"/>
    <mergeCell ref="S106:S109"/>
    <mergeCell ref="Y154:Y157"/>
    <mergeCell ref="L114:L117"/>
    <mergeCell ref="Q114:Q117"/>
    <mergeCell ref="M102:M105"/>
    <mergeCell ref="N150:N153"/>
    <mergeCell ref="AG110:AG113"/>
    <mergeCell ref="T134:T137"/>
    <mergeCell ref="X122:X125"/>
    <mergeCell ref="X98:X101"/>
    <mergeCell ref="T150:T153"/>
    <mergeCell ref="R162:R165"/>
    <mergeCell ref="V154:V157"/>
    <mergeCell ref="V158:V161"/>
    <mergeCell ref="O138:O141"/>
    <mergeCell ref="O126:O129"/>
    <mergeCell ref="P106:P109"/>
    <mergeCell ref="R114:R117"/>
    <mergeCell ref="S114:S117"/>
    <mergeCell ref="T114:T117"/>
    <mergeCell ref="T118:T121"/>
    <mergeCell ref="P122:P125"/>
    <mergeCell ref="Q106:Q109"/>
    <mergeCell ref="O110:O113"/>
    <mergeCell ref="AA110:AA113"/>
    <mergeCell ref="X254:X257"/>
    <mergeCell ref="AC214:AC217"/>
    <mergeCell ref="AC170:AC173"/>
    <mergeCell ref="Y166:Y169"/>
    <mergeCell ref="AE202:AE205"/>
    <mergeCell ref="AE178:AE181"/>
    <mergeCell ref="O158:O161"/>
    <mergeCell ref="O154:O157"/>
    <mergeCell ref="AA146:AA149"/>
    <mergeCell ref="W154:W157"/>
    <mergeCell ref="X154:X157"/>
    <mergeCell ref="V126:V129"/>
    <mergeCell ref="R150:R153"/>
    <mergeCell ref="X162:X165"/>
    <mergeCell ref="AA150:AA153"/>
    <mergeCell ref="W110:W113"/>
    <mergeCell ref="X158:X161"/>
    <mergeCell ref="U114:U117"/>
    <mergeCell ref="R110:R113"/>
    <mergeCell ref="X110:X113"/>
    <mergeCell ref="Y122:Y125"/>
    <mergeCell ref="S162:S165"/>
    <mergeCell ref="AC110:AC113"/>
    <mergeCell ref="AE194:AE197"/>
    <mergeCell ref="W254:W257"/>
    <mergeCell ref="W250:W253"/>
    <mergeCell ref="X246:X249"/>
    <mergeCell ref="Y242:Y245"/>
    <mergeCell ref="X250:X253"/>
    <mergeCell ref="W194:W197"/>
    <mergeCell ref="W170:W173"/>
    <mergeCell ref="AA114:AA117"/>
    <mergeCell ref="X178:X181"/>
    <mergeCell ref="AE226:AE229"/>
    <mergeCell ref="AA210:AA213"/>
    <mergeCell ref="AE198:AE201"/>
    <mergeCell ref="AE214:AE217"/>
    <mergeCell ref="AE234:AE237"/>
    <mergeCell ref="AE170:AE173"/>
    <mergeCell ref="W174:W177"/>
    <mergeCell ref="X234:X237"/>
    <mergeCell ref="AE174:AE177"/>
    <mergeCell ref="AE190:AE193"/>
    <mergeCell ref="AC186:AC189"/>
    <mergeCell ref="Y174:Y177"/>
    <mergeCell ref="Y178:Y181"/>
    <mergeCell ref="AE182:AE185"/>
    <mergeCell ref="AC194:AC197"/>
    <mergeCell ref="AE186:AE189"/>
    <mergeCell ref="W182:W185"/>
    <mergeCell ref="X206:X209"/>
    <mergeCell ref="U170:U173"/>
    <mergeCell ref="S186:S189"/>
    <mergeCell ref="V194:V197"/>
    <mergeCell ref="AA206:AA209"/>
    <mergeCell ref="AA198:AA201"/>
    <mergeCell ref="V162:V165"/>
    <mergeCell ref="U162:U165"/>
    <mergeCell ref="V170:V173"/>
    <mergeCell ref="AA166:AA169"/>
    <mergeCell ref="AA162:AA165"/>
    <mergeCell ref="Y194:Y197"/>
    <mergeCell ref="X194:X197"/>
    <mergeCell ref="V174:V177"/>
    <mergeCell ref="X174:X177"/>
    <mergeCell ref="W186:W189"/>
    <mergeCell ref="X170:X173"/>
    <mergeCell ref="Y170:Y173"/>
    <mergeCell ref="W178:W181"/>
    <mergeCell ref="X186:X189"/>
    <mergeCell ref="AA182:AA185"/>
    <mergeCell ref="V186:V189"/>
    <mergeCell ref="W190:W193"/>
    <mergeCell ref="AA202:AA205"/>
    <mergeCell ref="AA174:AA177"/>
    <mergeCell ref="T162:T165"/>
    <mergeCell ref="AA194:AA197"/>
    <mergeCell ref="AA190:AA193"/>
    <mergeCell ref="Y186:Y189"/>
    <mergeCell ref="AA186:AA189"/>
    <mergeCell ref="Y202:Y205"/>
    <mergeCell ref="T206:T209"/>
    <mergeCell ref="T186:T189"/>
    <mergeCell ref="V182:V185"/>
    <mergeCell ref="W226:W229"/>
    <mergeCell ref="W218:W221"/>
    <mergeCell ref="Y218:Y221"/>
    <mergeCell ref="Y222:Y225"/>
    <mergeCell ref="Y214:Y217"/>
    <mergeCell ref="U186:U189"/>
    <mergeCell ref="Y206:Y209"/>
    <mergeCell ref="T194:T197"/>
    <mergeCell ref="R190:R193"/>
    <mergeCell ref="Q190:Q193"/>
    <mergeCell ref="W206:W209"/>
    <mergeCell ref="T198:T201"/>
    <mergeCell ref="X182:X185"/>
    <mergeCell ref="Y182:Y185"/>
    <mergeCell ref="W198:W201"/>
    <mergeCell ref="V198:V201"/>
    <mergeCell ref="V206:V209"/>
    <mergeCell ref="Y210:Y213"/>
    <mergeCell ref="W210:W213"/>
    <mergeCell ref="U198:U201"/>
    <mergeCell ref="X198:X201"/>
    <mergeCell ref="X210:X213"/>
    <mergeCell ref="Q218:Q221"/>
    <mergeCell ref="W202:W205"/>
    <mergeCell ref="X190:X193"/>
    <mergeCell ref="Y198:Y201"/>
    <mergeCell ref="T202:T205"/>
    <mergeCell ref="S198:S201"/>
    <mergeCell ref="Q206:Q209"/>
    <mergeCell ref="X218:X221"/>
    <mergeCell ref="X222:X225"/>
    <mergeCell ref="N186:N189"/>
    <mergeCell ref="U242:U245"/>
    <mergeCell ref="Y250:Y253"/>
    <mergeCell ref="V250:V253"/>
    <mergeCell ref="X270:X273"/>
    <mergeCell ref="AA250:AA253"/>
    <mergeCell ref="AA230:AA233"/>
    <mergeCell ref="Y230:Y233"/>
    <mergeCell ref="X242:X245"/>
    <mergeCell ref="AA222:AA225"/>
    <mergeCell ref="Y238:Y241"/>
    <mergeCell ref="AA242:AA245"/>
    <mergeCell ref="AA238:AA241"/>
    <mergeCell ref="W222:W225"/>
    <mergeCell ref="X258:X261"/>
    <mergeCell ref="V210:V213"/>
    <mergeCell ref="Q210:Q213"/>
    <mergeCell ref="R246:R249"/>
    <mergeCell ref="S246:S249"/>
    <mergeCell ref="V234:V237"/>
    <mergeCell ref="R254:R257"/>
    <mergeCell ref="Q242:Q245"/>
    <mergeCell ref="R250:R253"/>
    <mergeCell ref="W242:W245"/>
    <mergeCell ref="S202:S205"/>
    <mergeCell ref="Y246:Y249"/>
    <mergeCell ref="Q266:Q269"/>
    <mergeCell ref="T230:T233"/>
    <mergeCell ref="N222:N225"/>
    <mergeCell ref="V214:V217"/>
    <mergeCell ref="N218:N221"/>
    <mergeCell ref="AA218:AA221"/>
    <mergeCell ref="L222:L225"/>
    <mergeCell ref="V218:V221"/>
    <mergeCell ref="S222:S225"/>
    <mergeCell ref="R218:R221"/>
    <mergeCell ref="R226:R229"/>
    <mergeCell ref="S226:S229"/>
    <mergeCell ref="M222:M225"/>
    <mergeCell ref="V222:V225"/>
    <mergeCell ref="T214:T217"/>
    <mergeCell ref="M218:M221"/>
    <mergeCell ref="L214:L217"/>
    <mergeCell ref="N214:N217"/>
    <mergeCell ref="M214:M217"/>
    <mergeCell ref="R214:R217"/>
    <mergeCell ref="L218:L221"/>
    <mergeCell ref="R234:R237"/>
    <mergeCell ref="P222:P225"/>
    <mergeCell ref="S230:S233"/>
    <mergeCell ref="R222:R225"/>
    <mergeCell ref="O218:O221"/>
    <mergeCell ref="AQ318:AQ321"/>
    <mergeCell ref="K198:K201"/>
    <mergeCell ref="M194:M197"/>
    <mergeCell ref="L198:L201"/>
    <mergeCell ref="P194:P197"/>
    <mergeCell ref="J202:J205"/>
    <mergeCell ref="O202:O205"/>
    <mergeCell ref="M202:M205"/>
    <mergeCell ref="R202:R205"/>
    <mergeCell ref="J194:J197"/>
    <mergeCell ref="J206:J209"/>
    <mergeCell ref="J222:J225"/>
    <mergeCell ref="Q214:Q217"/>
    <mergeCell ref="S218:S221"/>
    <mergeCell ref="S194:S197"/>
    <mergeCell ref="K194:K197"/>
    <mergeCell ref="N194:N197"/>
    <mergeCell ref="Q194:Q197"/>
    <mergeCell ref="K202:K205"/>
    <mergeCell ref="K210:K213"/>
    <mergeCell ref="P202:P205"/>
    <mergeCell ref="O198:O201"/>
    <mergeCell ref="O222:O225"/>
    <mergeCell ref="N206:N209"/>
    <mergeCell ref="L226:L229"/>
    <mergeCell ref="M226:M229"/>
    <mergeCell ref="N226:N229"/>
    <mergeCell ref="O226:O229"/>
    <mergeCell ref="P226:P229"/>
    <mergeCell ref="U218:U221"/>
    <mergeCell ref="U246:U249"/>
    <mergeCell ref="R266:R269"/>
    <mergeCell ref="L206:L209"/>
    <mergeCell ref="L202:L205"/>
    <mergeCell ref="AT318:AT321"/>
    <mergeCell ref="A230:A233"/>
    <mergeCell ref="B230:B233"/>
    <mergeCell ref="C230:C233"/>
    <mergeCell ref="D230:D233"/>
    <mergeCell ref="E230:E233"/>
    <mergeCell ref="F230:F233"/>
    <mergeCell ref="H230:H233"/>
    <mergeCell ref="K230:K233"/>
    <mergeCell ref="J230:J233"/>
    <mergeCell ref="L230:L233"/>
    <mergeCell ref="M230:M233"/>
    <mergeCell ref="N230:N233"/>
    <mergeCell ref="O230:O233"/>
    <mergeCell ref="P230:P233"/>
    <mergeCell ref="Q230:Q233"/>
    <mergeCell ref="R230:R233"/>
    <mergeCell ref="A318:A321"/>
    <mergeCell ref="AS318:AS321"/>
    <mergeCell ref="T242:T245"/>
    <mergeCell ref="R262:R265"/>
    <mergeCell ref="W230:W233"/>
    <mergeCell ref="Q246:Q249"/>
    <mergeCell ref="U234:U237"/>
    <mergeCell ref="N234:N237"/>
    <mergeCell ref="L234:L237"/>
    <mergeCell ref="Q226:Q229"/>
    <mergeCell ref="W214:W217"/>
    <mergeCell ref="AA246:AA249"/>
    <mergeCell ref="U250:U253"/>
    <mergeCell ref="W238:W241"/>
    <mergeCell ref="V242:V245"/>
    <mergeCell ref="Q278:Q281"/>
    <mergeCell ref="U274:U277"/>
    <mergeCell ref="V274:V277"/>
    <mergeCell ref="T270:T273"/>
    <mergeCell ref="U270:U273"/>
    <mergeCell ref="T238:T241"/>
    <mergeCell ref="S258:S261"/>
    <mergeCell ref="AC202:AC205"/>
    <mergeCell ref="AC198:AC201"/>
    <mergeCell ref="O194:O197"/>
    <mergeCell ref="T218:T221"/>
    <mergeCell ref="R210:R213"/>
    <mergeCell ref="S214:S217"/>
    <mergeCell ref="S206:S209"/>
    <mergeCell ref="S210:S213"/>
    <mergeCell ref="V254:V257"/>
    <mergeCell ref="W246:W249"/>
    <mergeCell ref="V262:V265"/>
    <mergeCell ref="V246:V249"/>
    <mergeCell ref="U254:U257"/>
    <mergeCell ref="V238:V241"/>
    <mergeCell ref="U258:U261"/>
    <mergeCell ref="W234:W237"/>
    <mergeCell ref="W270:W273"/>
    <mergeCell ref="W274:W277"/>
    <mergeCell ref="P206:P209"/>
    <mergeCell ref="Q202:Q205"/>
    <mergeCell ref="AA254:AA257"/>
    <mergeCell ref="T210:T213"/>
    <mergeCell ref="T222:T225"/>
    <mergeCell ref="P198:P201"/>
    <mergeCell ref="X202:X205"/>
    <mergeCell ref="Q198:Q201"/>
    <mergeCell ref="V202:V205"/>
    <mergeCell ref="O234:O237"/>
    <mergeCell ref="T226:T229"/>
    <mergeCell ref="U226:U229"/>
    <mergeCell ref="V226:V229"/>
    <mergeCell ref="P218:P221"/>
    <mergeCell ref="U206:U209"/>
    <mergeCell ref="U210:U213"/>
    <mergeCell ref="P214:P217"/>
    <mergeCell ref="O206:O209"/>
    <mergeCell ref="R206:R209"/>
    <mergeCell ref="R198:R201"/>
    <mergeCell ref="U222:U225"/>
    <mergeCell ref="Q222:Q225"/>
    <mergeCell ref="U202:U205"/>
    <mergeCell ref="U230:U233"/>
    <mergeCell ref="T234:T237"/>
    <mergeCell ref="P234:P237"/>
    <mergeCell ref="U214:U217"/>
    <mergeCell ref="AP318:AP321"/>
    <mergeCell ref="AN318:AN321"/>
    <mergeCell ref="AA234:AA237"/>
    <mergeCell ref="AE258:AE261"/>
    <mergeCell ref="AC262:AC265"/>
    <mergeCell ref="AE310:AE313"/>
    <mergeCell ref="AM274:AM277"/>
    <mergeCell ref="AL294:AL297"/>
    <mergeCell ref="AA282:AA285"/>
    <mergeCell ref="AG318:AG321"/>
    <mergeCell ref="AI318:AI321"/>
    <mergeCell ref="AL318:AL321"/>
    <mergeCell ref="AL306:AL309"/>
    <mergeCell ref="AE286:AE289"/>
    <mergeCell ref="AE306:AE309"/>
    <mergeCell ref="Y314:Y317"/>
    <mergeCell ref="AC266:AC269"/>
    <mergeCell ref="AL310:AL313"/>
    <mergeCell ref="Y262:Y265"/>
    <mergeCell ref="AA258:AA261"/>
    <mergeCell ref="Y258:Y261"/>
    <mergeCell ref="AM266:AM269"/>
    <mergeCell ref="AM318:AM321"/>
    <mergeCell ref="Y306:Y309"/>
    <mergeCell ref="AA306:AA309"/>
    <mergeCell ref="AC282:AC285"/>
    <mergeCell ref="AC254:AC257"/>
    <mergeCell ref="AI266:AI269"/>
    <mergeCell ref="AG266:AG269"/>
    <mergeCell ref="AN306:AN309"/>
    <mergeCell ref="Y290:Y293"/>
    <mergeCell ref="AO318:AO321"/>
    <mergeCell ref="AK318:AK321"/>
    <mergeCell ref="U318:U321"/>
    <mergeCell ref="X298:X301"/>
    <mergeCell ref="AC258:AC261"/>
    <mergeCell ref="AG310:AG313"/>
    <mergeCell ref="Q310:Q313"/>
    <mergeCell ref="S306:S309"/>
    <mergeCell ref="S302:S305"/>
    <mergeCell ref="Y310:Y313"/>
    <mergeCell ref="AA310:AA313"/>
    <mergeCell ref="AK302:AK305"/>
    <mergeCell ref="AG306:AG309"/>
    <mergeCell ref="U286:U289"/>
    <mergeCell ref="W278:W281"/>
    <mergeCell ref="W302:W305"/>
    <mergeCell ref="AI302:AI305"/>
    <mergeCell ref="AE302:AE305"/>
    <mergeCell ref="S294:S297"/>
    <mergeCell ref="U298:U301"/>
    <mergeCell ref="AK306:AK309"/>
    <mergeCell ref="S310:S313"/>
    <mergeCell ref="X290:X293"/>
    <mergeCell ref="X278:X281"/>
    <mergeCell ref="Y278:Y281"/>
    <mergeCell ref="AG314:AG317"/>
    <mergeCell ref="V286:V289"/>
    <mergeCell ref="AF318:AF321"/>
    <mergeCell ref="AI310:AI313"/>
    <mergeCell ref="AA302:AA305"/>
    <mergeCell ref="AE290:AE293"/>
    <mergeCell ref="AF290:AF293"/>
    <mergeCell ref="R290:R293"/>
    <mergeCell ref="AF294:AF297"/>
    <mergeCell ref="Y302:Y305"/>
    <mergeCell ref="AC302:AC305"/>
    <mergeCell ref="AF302:AF305"/>
    <mergeCell ref="AE294:AE297"/>
    <mergeCell ref="W298:W301"/>
    <mergeCell ref="W294:W297"/>
    <mergeCell ref="T302:T305"/>
    <mergeCell ref="AA294:AA297"/>
    <mergeCell ref="X294:X297"/>
    <mergeCell ref="W314:W317"/>
    <mergeCell ref="T310:T313"/>
    <mergeCell ref="X314:X317"/>
    <mergeCell ref="AC310:AC313"/>
    <mergeCell ref="X310:X313"/>
    <mergeCell ref="AC306:AC309"/>
    <mergeCell ref="X282:X285"/>
    <mergeCell ref="W282:W285"/>
    <mergeCell ref="AA290:AA293"/>
    <mergeCell ref="T290:T293"/>
    <mergeCell ref="U290:U293"/>
    <mergeCell ref="V290:V293"/>
    <mergeCell ref="AE314:AE317"/>
    <mergeCell ref="U314:U317"/>
    <mergeCell ref="T306:T309"/>
    <mergeCell ref="AF286:AF289"/>
    <mergeCell ref="Y282:Y285"/>
    <mergeCell ref="X286:X289"/>
    <mergeCell ref="AC294:AC297"/>
    <mergeCell ref="W286:W289"/>
    <mergeCell ref="T282:T285"/>
    <mergeCell ref="AF306:AF309"/>
    <mergeCell ref="AE318:AE321"/>
    <mergeCell ref="R314:R317"/>
    <mergeCell ref="Q306:Q309"/>
    <mergeCell ref="Q314:Q317"/>
    <mergeCell ref="X302:X305"/>
    <mergeCell ref="T286:T289"/>
    <mergeCell ref="R306:R309"/>
    <mergeCell ref="R302:R305"/>
    <mergeCell ref="AA314:AA317"/>
    <mergeCell ref="AC314:AC317"/>
    <mergeCell ref="U278:U281"/>
    <mergeCell ref="Y294:Y297"/>
    <mergeCell ref="Y298:Y301"/>
    <mergeCell ref="S314:S317"/>
    <mergeCell ref="S298:S301"/>
    <mergeCell ref="AE298:AE301"/>
    <mergeCell ref="AA298:AA301"/>
    <mergeCell ref="W310:W313"/>
    <mergeCell ref="U302:U305"/>
    <mergeCell ref="U310:U313"/>
    <mergeCell ref="R278:R281"/>
    <mergeCell ref="Q282:Q285"/>
    <mergeCell ref="T318:T321"/>
    <mergeCell ref="AC318:AC321"/>
    <mergeCell ref="V302:V305"/>
    <mergeCell ref="Q302:Q305"/>
    <mergeCell ref="T278:T281"/>
    <mergeCell ref="AA318:AA321"/>
    <mergeCell ref="X318:X321"/>
    <mergeCell ref="V306:V309"/>
    <mergeCell ref="AC298:AC301"/>
    <mergeCell ref="S290:S293"/>
    <mergeCell ref="R310:R313"/>
    <mergeCell ref="W306:W309"/>
    <mergeCell ref="X306:X309"/>
    <mergeCell ref="V310:V313"/>
    <mergeCell ref="Y318:Y321"/>
    <mergeCell ref="P318:P321"/>
    <mergeCell ref="K310:K313"/>
    <mergeCell ref="J310:J313"/>
    <mergeCell ref="K314:K317"/>
    <mergeCell ref="J314:J317"/>
    <mergeCell ref="F314:F317"/>
    <mergeCell ref="G302:G305"/>
    <mergeCell ref="P314:P317"/>
    <mergeCell ref="T314:T317"/>
    <mergeCell ref="U294:U297"/>
    <mergeCell ref="F310:F313"/>
    <mergeCell ref="I318:I321"/>
    <mergeCell ref="F294:F297"/>
    <mergeCell ref="M314:M317"/>
    <mergeCell ref="N314:N317"/>
    <mergeCell ref="L306:L309"/>
    <mergeCell ref="O298:O301"/>
    <mergeCell ref="P302:P305"/>
    <mergeCell ref="J298:J301"/>
    <mergeCell ref="M294:M297"/>
    <mergeCell ref="O294:O297"/>
    <mergeCell ref="O302:O305"/>
    <mergeCell ref="K306:K309"/>
    <mergeCell ref="N302:N305"/>
    <mergeCell ref="S318:S321"/>
    <mergeCell ref="M318:M321"/>
    <mergeCell ref="L318:L321"/>
    <mergeCell ref="B318:B321"/>
    <mergeCell ref="C318:C321"/>
    <mergeCell ref="C310:C313"/>
    <mergeCell ref="C314:C317"/>
    <mergeCell ref="AC270:AC273"/>
    <mergeCell ref="Y274:Y277"/>
    <mergeCell ref="AA278:AA281"/>
    <mergeCell ref="AA270:AA273"/>
    <mergeCell ref="U282:U285"/>
    <mergeCell ref="Q274:Q277"/>
    <mergeCell ref="T274:T277"/>
    <mergeCell ref="V270:V273"/>
    <mergeCell ref="Y270:Y273"/>
    <mergeCell ref="S286:S289"/>
    <mergeCell ref="Y286:Y289"/>
    <mergeCell ref="H298:H301"/>
    <mergeCell ref="K318:K321"/>
    <mergeCell ref="J318:J321"/>
    <mergeCell ref="K298:K301"/>
    <mergeCell ref="I306:I309"/>
    <mergeCell ref="R294:R297"/>
    <mergeCell ref="V318:V321"/>
    <mergeCell ref="W318:W321"/>
    <mergeCell ref="P306:P309"/>
    <mergeCell ref="W290:W293"/>
    <mergeCell ref="T294:T297"/>
    <mergeCell ref="U306:U309"/>
    <mergeCell ref="H306:H309"/>
    <mergeCell ref="H286:H289"/>
    <mergeCell ref="O318:O321"/>
    <mergeCell ref="O314:O317"/>
    <mergeCell ref="O310:O313"/>
    <mergeCell ref="I314:I317"/>
    <mergeCell ref="D294:D297"/>
    <mergeCell ref="E294:E297"/>
    <mergeCell ref="I294:I297"/>
    <mergeCell ref="M310:M313"/>
    <mergeCell ref="N310:N313"/>
    <mergeCell ref="N318:N321"/>
    <mergeCell ref="L302:L305"/>
    <mergeCell ref="L310:L313"/>
    <mergeCell ref="G318:G321"/>
    <mergeCell ref="R298:R301"/>
    <mergeCell ref="V314:V317"/>
    <mergeCell ref="F306:F309"/>
    <mergeCell ref="K302:K305"/>
    <mergeCell ref="P294:P297"/>
    <mergeCell ref="G310:G313"/>
    <mergeCell ref="E314:E317"/>
    <mergeCell ref="N298:N301"/>
    <mergeCell ref="Q318:Q321"/>
    <mergeCell ref="R318:R321"/>
    <mergeCell ref="P310:P313"/>
    <mergeCell ref="O306:O309"/>
    <mergeCell ref="M298:M301"/>
    <mergeCell ref="J294:J297"/>
    <mergeCell ref="L314:L317"/>
    <mergeCell ref="E318:E321"/>
    <mergeCell ref="F318:F321"/>
    <mergeCell ref="H318:H321"/>
    <mergeCell ref="D318:D321"/>
    <mergeCell ref="G306:G309"/>
    <mergeCell ref="H302:H305"/>
    <mergeCell ref="D314:D317"/>
    <mergeCell ref="C294:C297"/>
    <mergeCell ref="B286:B289"/>
    <mergeCell ref="F286:F289"/>
    <mergeCell ref="H310:H313"/>
    <mergeCell ref="E302:E305"/>
    <mergeCell ref="F302:F305"/>
    <mergeCell ref="E298:E301"/>
    <mergeCell ref="I302:I305"/>
    <mergeCell ref="H294:H297"/>
    <mergeCell ref="I286:I289"/>
    <mergeCell ref="D286:D289"/>
    <mergeCell ref="D310:D313"/>
    <mergeCell ref="E286:E289"/>
    <mergeCell ref="G294:G297"/>
    <mergeCell ref="B314:B317"/>
    <mergeCell ref="B294:B297"/>
    <mergeCell ref="C286:C289"/>
    <mergeCell ref="B298:B301"/>
    <mergeCell ref="C298:C301"/>
    <mergeCell ref="B306:B309"/>
    <mergeCell ref="C306:C309"/>
    <mergeCell ref="D306:D309"/>
    <mergeCell ref="H314:H317"/>
    <mergeCell ref="E306:E309"/>
    <mergeCell ref="G286:G289"/>
    <mergeCell ref="G314:G317"/>
    <mergeCell ref="D302:D305"/>
    <mergeCell ref="F298:F301"/>
    <mergeCell ref="B302:B305"/>
    <mergeCell ref="G298:G301"/>
    <mergeCell ref="C302:C305"/>
    <mergeCell ref="B310:B313"/>
    <mergeCell ref="J282:J285"/>
    <mergeCell ref="A278:A281"/>
    <mergeCell ref="I298:I301"/>
    <mergeCell ref="G290:G293"/>
    <mergeCell ref="H290:H293"/>
    <mergeCell ref="L298:L301"/>
    <mergeCell ref="L286:L289"/>
    <mergeCell ref="M286:M289"/>
    <mergeCell ref="N294:N297"/>
    <mergeCell ref="K294:K297"/>
    <mergeCell ref="E310:E313"/>
    <mergeCell ref="A294:A297"/>
    <mergeCell ref="A302:A305"/>
    <mergeCell ref="A310:A313"/>
    <mergeCell ref="M306:M309"/>
    <mergeCell ref="K286:K289"/>
    <mergeCell ref="L294:L297"/>
    <mergeCell ref="J302:J305"/>
    <mergeCell ref="J286:J289"/>
    <mergeCell ref="D298:D301"/>
    <mergeCell ref="J306:J309"/>
    <mergeCell ref="N290:N293"/>
    <mergeCell ref="I290:I293"/>
    <mergeCell ref="J290:J293"/>
    <mergeCell ref="K290:K293"/>
    <mergeCell ref="A286:A289"/>
    <mergeCell ref="C282:C285"/>
    <mergeCell ref="D282:D285"/>
    <mergeCell ref="E282:E285"/>
    <mergeCell ref="I278:I281"/>
    <mergeCell ref="N278:N281"/>
    <mergeCell ref="M278:M281"/>
    <mergeCell ref="A314:A317"/>
    <mergeCell ref="L278:L281"/>
    <mergeCell ref="N306:N309"/>
    <mergeCell ref="M302:M305"/>
    <mergeCell ref="A298:A301"/>
    <mergeCell ref="A262:A265"/>
    <mergeCell ref="D262:D265"/>
    <mergeCell ref="C266:C269"/>
    <mergeCell ref="D266:D269"/>
    <mergeCell ref="E270:E273"/>
    <mergeCell ref="B258:B261"/>
    <mergeCell ref="B282:B285"/>
    <mergeCell ref="G282:G285"/>
    <mergeCell ref="I282:I285"/>
    <mergeCell ref="F282:F285"/>
    <mergeCell ref="H282:H285"/>
    <mergeCell ref="L290:L293"/>
    <mergeCell ref="M290:M293"/>
    <mergeCell ref="A258:A261"/>
    <mergeCell ref="H258:H261"/>
    <mergeCell ref="M262:M265"/>
    <mergeCell ref="M266:M269"/>
    <mergeCell ref="L274:L277"/>
    <mergeCell ref="M258:M261"/>
    <mergeCell ref="G258:G261"/>
    <mergeCell ref="N286:N289"/>
    <mergeCell ref="I310:I313"/>
    <mergeCell ref="A306:A309"/>
    <mergeCell ref="F290:F293"/>
    <mergeCell ref="C274:C277"/>
    <mergeCell ref="F270:F273"/>
    <mergeCell ref="G270:G273"/>
    <mergeCell ref="K278:K281"/>
    <mergeCell ref="O278:O281"/>
    <mergeCell ref="A282:A285"/>
    <mergeCell ref="K282:K285"/>
    <mergeCell ref="L282:L285"/>
    <mergeCell ref="G278:G281"/>
    <mergeCell ref="A290:A293"/>
    <mergeCell ref="O290:O293"/>
    <mergeCell ref="J278:J281"/>
    <mergeCell ref="B290:B293"/>
    <mergeCell ref="C290:C293"/>
    <mergeCell ref="D290:D293"/>
    <mergeCell ref="E290:E293"/>
    <mergeCell ref="A254:A257"/>
    <mergeCell ref="A250:A253"/>
    <mergeCell ref="F254:F257"/>
    <mergeCell ref="C258:C261"/>
    <mergeCell ref="K254:K257"/>
    <mergeCell ref="G250:G253"/>
    <mergeCell ref="H254:H257"/>
    <mergeCell ref="B262:B265"/>
    <mergeCell ref="J254:J257"/>
    <mergeCell ref="B278:B281"/>
    <mergeCell ref="C278:C281"/>
    <mergeCell ref="D278:D281"/>
    <mergeCell ref="E278:E281"/>
    <mergeCell ref="F278:F281"/>
    <mergeCell ref="H278:H281"/>
    <mergeCell ref="E266:E269"/>
    <mergeCell ref="I266:I269"/>
    <mergeCell ref="G274:G277"/>
    <mergeCell ref="L266:L269"/>
    <mergeCell ref="A246:A249"/>
    <mergeCell ref="I274:I277"/>
    <mergeCell ref="I270:I273"/>
    <mergeCell ref="A274:A277"/>
    <mergeCell ref="B270:B273"/>
    <mergeCell ref="A270:A273"/>
    <mergeCell ref="B274:B277"/>
    <mergeCell ref="A266:A269"/>
    <mergeCell ref="D258:D261"/>
    <mergeCell ref="C262:C265"/>
    <mergeCell ref="K270:K273"/>
    <mergeCell ref="D250:D253"/>
    <mergeCell ref="J266:J269"/>
    <mergeCell ref="D246:D249"/>
    <mergeCell ref="F246:F249"/>
    <mergeCell ref="B254:B257"/>
    <mergeCell ref="B266:B269"/>
    <mergeCell ref="C270:C273"/>
    <mergeCell ref="D270:D273"/>
    <mergeCell ref="H266:H269"/>
    <mergeCell ref="H274:H277"/>
    <mergeCell ref="J270:J273"/>
    <mergeCell ref="E254:E257"/>
    <mergeCell ref="I254:I257"/>
    <mergeCell ref="F266:F269"/>
    <mergeCell ref="E246:E249"/>
    <mergeCell ref="C246:C249"/>
    <mergeCell ref="B250:B253"/>
    <mergeCell ref="C250:C253"/>
    <mergeCell ref="D274:D277"/>
    <mergeCell ref="E274:E277"/>
    <mergeCell ref="F274:F277"/>
    <mergeCell ref="J274:J277"/>
    <mergeCell ref="G262:G265"/>
    <mergeCell ref="F258:F261"/>
    <mergeCell ref="H246:H249"/>
    <mergeCell ref="C254:C257"/>
    <mergeCell ref="D254:D257"/>
    <mergeCell ref="B246:B249"/>
    <mergeCell ref="K266:K269"/>
    <mergeCell ref="H262:H265"/>
    <mergeCell ref="G266:G269"/>
    <mergeCell ref="N270:N273"/>
    <mergeCell ref="R270:R273"/>
    <mergeCell ref="E250:E253"/>
    <mergeCell ref="N250:N253"/>
    <mergeCell ref="N266:N269"/>
    <mergeCell ref="L270:L273"/>
    <mergeCell ref="Q270:Q273"/>
    <mergeCell ref="E258:E261"/>
    <mergeCell ref="I262:I265"/>
    <mergeCell ref="J262:J265"/>
    <mergeCell ref="G246:G249"/>
    <mergeCell ref="J250:J253"/>
    <mergeCell ref="G254:G257"/>
    <mergeCell ref="M254:M257"/>
    <mergeCell ref="P246:P249"/>
    <mergeCell ref="Q254:Q257"/>
    <mergeCell ref="K250:K253"/>
    <mergeCell ref="L250:L253"/>
    <mergeCell ref="J258:J261"/>
    <mergeCell ref="H270:H273"/>
    <mergeCell ref="L246:L249"/>
    <mergeCell ref="J242:J245"/>
    <mergeCell ref="H242:H245"/>
    <mergeCell ref="O246:O249"/>
    <mergeCell ref="S242:S245"/>
    <mergeCell ref="R242:R245"/>
    <mergeCell ref="I246:I249"/>
    <mergeCell ref="E262:E265"/>
    <mergeCell ref="P250:P253"/>
    <mergeCell ref="P262:P265"/>
    <mergeCell ref="H250:H253"/>
    <mergeCell ref="K262:K265"/>
    <mergeCell ref="I250:I253"/>
    <mergeCell ref="O258:O261"/>
    <mergeCell ref="L254:L257"/>
    <mergeCell ref="F262:F265"/>
    <mergeCell ref="N262:N265"/>
    <mergeCell ref="Q238:Q241"/>
    <mergeCell ref="R238:R241"/>
    <mergeCell ref="S262:S265"/>
    <mergeCell ref="L258:L261"/>
    <mergeCell ref="L262:L265"/>
    <mergeCell ref="O238:O241"/>
    <mergeCell ref="J246:J249"/>
    <mergeCell ref="N238:N241"/>
    <mergeCell ref="M246:M249"/>
    <mergeCell ref="J238:J241"/>
    <mergeCell ref="J226:J229"/>
    <mergeCell ref="K226:K229"/>
    <mergeCell ref="I258:I261"/>
    <mergeCell ref="N242:N245"/>
    <mergeCell ref="P238:P241"/>
    <mergeCell ref="K274:K277"/>
    <mergeCell ref="Q258:Q261"/>
    <mergeCell ref="M270:M273"/>
    <mergeCell ref="O250:O253"/>
    <mergeCell ref="I238:I241"/>
    <mergeCell ref="K246:K249"/>
    <mergeCell ref="O274:O277"/>
    <mergeCell ref="M274:M277"/>
    <mergeCell ref="N274:N277"/>
    <mergeCell ref="I234:I237"/>
    <mergeCell ref="I230:I233"/>
    <mergeCell ref="T254:T257"/>
    <mergeCell ref="T246:T249"/>
    <mergeCell ref="P254:P257"/>
    <mergeCell ref="P258:P261"/>
    <mergeCell ref="L238:L241"/>
    <mergeCell ref="K258:K261"/>
    <mergeCell ref="N254:N257"/>
    <mergeCell ref="T258:T261"/>
    <mergeCell ref="M234:M237"/>
    <mergeCell ref="J234:J237"/>
    <mergeCell ref="K234:K237"/>
    <mergeCell ref="O254:O257"/>
    <mergeCell ref="L242:L245"/>
    <mergeCell ref="N246:N249"/>
    <mergeCell ref="K238:K241"/>
    <mergeCell ref="T250:T253"/>
    <mergeCell ref="AF310:AF313"/>
    <mergeCell ref="AC286:AC289"/>
    <mergeCell ref="P266:P269"/>
    <mergeCell ref="S270:S273"/>
    <mergeCell ref="S254:S257"/>
    <mergeCell ref="O266:O269"/>
    <mergeCell ref="R258:R261"/>
    <mergeCell ref="AE274:AE277"/>
    <mergeCell ref="Q262:Q265"/>
    <mergeCell ref="M250:M253"/>
    <mergeCell ref="N258:N261"/>
    <mergeCell ref="AC278:AC281"/>
    <mergeCell ref="AA266:AA269"/>
    <mergeCell ref="U266:U269"/>
    <mergeCell ref="X266:X269"/>
    <mergeCell ref="W258:W261"/>
    <mergeCell ref="U262:U265"/>
    <mergeCell ref="T266:T269"/>
    <mergeCell ref="V258:V261"/>
    <mergeCell ref="V266:V269"/>
    <mergeCell ref="W262:W265"/>
    <mergeCell ref="W266:W269"/>
    <mergeCell ref="Y266:Y269"/>
    <mergeCell ref="Y254:Y257"/>
    <mergeCell ref="P270:P273"/>
    <mergeCell ref="P278:P281"/>
    <mergeCell ref="AE278:AE281"/>
    <mergeCell ref="AE262:AE265"/>
    <mergeCell ref="S266:S269"/>
    <mergeCell ref="AF298:AF301"/>
    <mergeCell ref="S282:S285"/>
    <mergeCell ref="P282:P285"/>
    <mergeCell ref="R282:R285"/>
    <mergeCell ref="AC274:AC277"/>
    <mergeCell ref="P274:P277"/>
    <mergeCell ref="O270:O273"/>
    <mergeCell ref="O262:O265"/>
    <mergeCell ref="Q298:Q301"/>
    <mergeCell ref="Q286:Q289"/>
    <mergeCell ref="AA286:AA289"/>
    <mergeCell ref="V282:V285"/>
    <mergeCell ref="V294:V297"/>
    <mergeCell ref="M282:M285"/>
    <mergeCell ref="N282:N285"/>
    <mergeCell ref="T298:T301"/>
    <mergeCell ref="V298:V301"/>
    <mergeCell ref="R286:R289"/>
    <mergeCell ref="AA274:AA277"/>
    <mergeCell ref="Q294:Q297"/>
    <mergeCell ref="V278:V281"/>
    <mergeCell ref="P298:P301"/>
    <mergeCell ref="S278:S281"/>
    <mergeCell ref="X274:X277"/>
    <mergeCell ref="R274:R277"/>
    <mergeCell ref="AA262:AA265"/>
    <mergeCell ref="P286:P289"/>
    <mergeCell ref="Q290:Q293"/>
    <mergeCell ref="AC290:AC293"/>
    <mergeCell ref="T262:T265"/>
    <mergeCell ref="X262:X265"/>
    <mergeCell ref="S274:S277"/>
    <mergeCell ref="O282:O285"/>
    <mergeCell ref="O286:O289"/>
    <mergeCell ref="P290:P293"/>
    <mergeCell ref="AT314:AT317"/>
    <mergeCell ref="AK314:AK317"/>
    <mergeCell ref="AL314:AL317"/>
    <mergeCell ref="AM314:AM317"/>
    <mergeCell ref="AN314:AN317"/>
    <mergeCell ref="AO314:AO317"/>
    <mergeCell ref="AQ314:AQ317"/>
    <mergeCell ref="AS314:AS317"/>
    <mergeCell ref="AI314:AI317"/>
    <mergeCell ref="AT310:AT313"/>
    <mergeCell ref="AK310:AK313"/>
    <mergeCell ref="AP310:AP313"/>
    <mergeCell ref="AO286:AO289"/>
    <mergeCell ref="AT306:AT309"/>
    <mergeCell ref="AM302:AM305"/>
    <mergeCell ref="AN302:AN305"/>
    <mergeCell ref="AQ298:AQ301"/>
    <mergeCell ref="AQ286:AQ289"/>
    <mergeCell ref="AS310:AS313"/>
    <mergeCell ref="AN310:AN313"/>
    <mergeCell ref="AS290:AS293"/>
    <mergeCell ref="AI306:AI309"/>
    <mergeCell ref="AI294:AI297"/>
    <mergeCell ref="AO302:AO305"/>
    <mergeCell ref="AQ302:AQ305"/>
    <mergeCell ref="AP314:AP317"/>
    <mergeCell ref="AQ310:AQ313"/>
    <mergeCell ref="AS302:AS305"/>
    <mergeCell ref="AT302:AT305"/>
    <mergeCell ref="AT294:AT297"/>
    <mergeCell ref="AM310:AM313"/>
    <mergeCell ref="AO310:AO313"/>
    <mergeCell ref="AO306:AO309"/>
    <mergeCell ref="B162:B165"/>
    <mergeCell ref="A146:A149"/>
    <mergeCell ref="D158:D161"/>
    <mergeCell ref="H150:H153"/>
    <mergeCell ref="H162:H165"/>
    <mergeCell ref="I126:I129"/>
    <mergeCell ref="B154:B157"/>
    <mergeCell ref="E158:E161"/>
    <mergeCell ref="F158:F161"/>
    <mergeCell ref="C138:C141"/>
    <mergeCell ref="D138:D141"/>
    <mergeCell ref="E150:E153"/>
    <mergeCell ref="E126:E129"/>
    <mergeCell ref="B142:B145"/>
    <mergeCell ref="B146:B149"/>
    <mergeCell ref="D146:D149"/>
    <mergeCell ref="C154:C157"/>
    <mergeCell ref="A138:A141"/>
    <mergeCell ref="A150:A153"/>
    <mergeCell ref="A154:A157"/>
    <mergeCell ref="A158:A161"/>
    <mergeCell ref="A126:A129"/>
    <mergeCell ref="E146:E149"/>
    <mergeCell ref="E138:E141"/>
    <mergeCell ref="D126:D129"/>
    <mergeCell ref="G126:G129"/>
    <mergeCell ref="A142:A145"/>
    <mergeCell ref="C162:C165"/>
    <mergeCell ref="M238:M241"/>
    <mergeCell ref="F150:F153"/>
    <mergeCell ref="K222:K225"/>
    <mergeCell ref="C146:C149"/>
    <mergeCell ref="N138:N141"/>
    <mergeCell ref="H146:H149"/>
    <mergeCell ref="I146:I149"/>
    <mergeCell ref="G138:G141"/>
    <mergeCell ref="L146:L149"/>
    <mergeCell ref="M142:M145"/>
    <mergeCell ref="N146:N149"/>
    <mergeCell ref="C158:C161"/>
    <mergeCell ref="E122:E125"/>
    <mergeCell ref="F122:F125"/>
    <mergeCell ref="I122:I125"/>
    <mergeCell ref="H122:H125"/>
    <mergeCell ref="E162:E165"/>
    <mergeCell ref="H154:H157"/>
    <mergeCell ref="J150:J153"/>
    <mergeCell ref="J138:J141"/>
    <mergeCell ref="D162:D165"/>
    <mergeCell ref="E154:E157"/>
    <mergeCell ref="F154:F157"/>
    <mergeCell ref="I138:I141"/>
    <mergeCell ref="D142:D145"/>
    <mergeCell ref="G142:G145"/>
    <mergeCell ref="G150:G153"/>
    <mergeCell ref="H142:H145"/>
    <mergeCell ref="G154:G157"/>
    <mergeCell ref="G162:G165"/>
    <mergeCell ref="G122:G125"/>
    <mergeCell ref="J126:J129"/>
    <mergeCell ref="K154:K157"/>
    <mergeCell ref="N122:N125"/>
    <mergeCell ref="L122:L125"/>
    <mergeCell ref="D154:D157"/>
    <mergeCell ref="F162:F165"/>
    <mergeCell ref="L154:L157"/>
    <mergeCell ref="M158:M161"/>
    <mergeCell ref="N158:N161"/>
    <mergeCell ref="M154:M157"/>
    <mergeCell ref="N162:N165"/>
    <mergeCell ref="L150:L153"/>
    <mergeCell ref="L142:L145"/>
    <mergeCell ref="M150:M153"/>
    <mergeCell ref="K150:K153"/>
    <mergeCell ref="M138:M141"/>
    <mergeCell ref="I162:I165"/>
    <mergeCell ref="I154:I157"/>
    <mergeCell ref="I150:I153"/>
    <mergeCell ref="K158:K161"/>
    <mergeCell ref="J154:J157"/>
    <mergeCell ref="J162:J165"/>
    <mergeCell ref="J158:J161"/>
    <mergeCell ref="G146:G149"/>
    <mergeCell ref="I142:I145"/>
    <mergeCell ref="M146:M149"/>
    <mergeCell ref="L138:L141"/>
    <mergeCell ref="M162:M165"/>
    <mergeCell ref="L162:L165"/>
    <mergeCell ref="K146:K149"/>
    <mergeCell ref="K142:K145"/>
    <mergeCell ref="N154:N157"/>
    <mergeCell ref="L158:L161"/>
    <mergeCell ref="K138:K141"/>
    <mergeCell ref="K162:K165"/>
    <mergeCell ref="B150:B153"/>
    <mergeCell ref="B138:B141"/>
    <mergeCell ref="H98:H101"/>
    <mergeCell ref="J98:J101"/>
    <mergeCell ref="B94:B97"/>
    <mergeCell ref="G94:G97"/>
    <mergeCell ref="I94:I97"/>
    <mergeCell ref="B126:B129"/>
    <mergeCell ref="F126:F129"/>
    <mergeCell ref="K90:K93"/>
    <mergeCell ref="E110:E113"/>
    <mergeCell ref="F90:F93"/>
    <mergeCell ref="I98:I101"/>
    <mergeCell ref="L126:L129"/>
    <mergeCell ref="K122:K125"/>
    <mergeCell ref="D122:D125"/>
    <mergeCell ref="F138:F141"/>
    <mergeCell ref="B110:B113"/>
    <mergeCell ref="F106:F109"/>
    <mergeCell ref="H90:H93"/>
    <mergeCell ref="H126:H129"/>
    <mergeCell ref="I110:I113"/>
    <mergeCell ref="E94:E97"/>
    <mergeCell ref="J94:J97"/>
    <mergeCell ref="B90:B93"/>
    <mergeCell ref="D150:D153"/>
    <mergeCell ref="H138:H141"/>
    <mergeCell ref="F142:F145"/>
    <mergeCell ref="C150:C153"/>
    <mergeCell ref="C142:C145"/>
    <mergeCell ref="F146:F149"/>
    <mergeCell ref="C126:C129"/>
    <mergeCell ref="A122:A125"/>
    <mergeCell ref="D110:D113"/>
    <mergeCell ref="C122:C125"/>
    <mergeCell ref="H102:H105"/>
    <mergeCell ref="G102:G105"/>
    <mergeCell ref="D102:D105"/>
    <mergeCell ref="E102:E105"/>
    <mergeCell ref="G110:G113"/>
    <mergeCell ref="J122:J125"/>
    <mergeCell ref="H106:H109"/>
    <mergeCell ref="A118:A121"/>
    <mergeCell ref="B118:B121"/>
    <mergeCell ref="C118:C121"/>
    <mergeCell ref="J110:J113"/>
    <mergeCell ref="I106:I109"/>
    <mergeCell ref="G106:G109"/>
    <mergeCell ref="D118:D121"/>
    <mergeCell ref="E118:E121"/>
    <mergeCell ref="F118:F121"/>
    <mergeCell ref="G118:G121"/>
    <mergeCell ref="H118:H121"/>
    <mergeCell ref="I118:I121"/>
    <mergeCell ref="A114:A117"/>
    <mergeCell ref="J102:J105"/>
    <mergeCell ref="A110:A113"/>
    <mergeCell ref="J118:J121"/>
    <mergeCell ref="H110:H113"/>
    <mergeCell ref="F102:F105"/>
    <mergeCell ref="A106:A109"/>
    <mergeCell ref="B106:B109"/>
    <mergeCell ref="B102:B105"/>
    <mergeCell ref="C106:C109"/>
    <mergeCell ref="G98:G101"/>
    <mergeCell ref="G90:G93"/>
    <mergeCell ref="K94:K97"/>
    <mergeCell ref="X102:X105"/>
    <mergeCell ref="B122:B125"/>
    <mergeCell ref="D106:D109"/>
    <mergeCell ref="E106:E109"/>
    <mergeCell ref="C110:C113"/>
    <mergeCell ref="F110:F113"/>
    <mergeCell ref="I102:I105"/>
    <mergeCell ref="N98:N101"/>
    <mergeCell ref="O98:O101"/>
    <mergeCell ref="B114:B117"/>
    <mergeCell ref="C114:C117"/>
    <mergeCell ref="D114:D117"/>
    <mergeCell ref="E114:E117"/>
    <mergeCell ref="F114:F117"/>
    <mergeCell ref="G114:G117"/>
    <mergeCell ref="H114:H117"/>
    <mergeCell ref="I114:I117"/>
    <mergeCell ref="J114:J117"/>
    <mergeCell ref="J106:J109"/>
    <mergeCell ref="N110:N113"/>
    <mergeCell ref="M98:M101"/>
    <mergeCell ref="M106:M109"/>
    <mergeCell ref="M114:M117"/>
    <mergeCell ref="K106:K109"/>
    <mergeCell ref="M122:M125"/>
    <mergeCell ref="P110:P113"/>
    <mergeCell ref="R106:R109"/>
    <mergeCell ref="V102:V105"/>
    <mergeCell ref="T102:T105"/>
    <mergeCell ref="AT102:AT105"/>
    <mergeCell ref="V86:V89"/>
    <mergeCell ref="AS86:AS89"/>
    <mergeCell ref="E98:E101"/>
    <mergeCell ref="F98:F101"/>
    <mergeCell ref="F94:F97"/>
    <mergeCell ref="O102:O105"/>
    <mergeCell ref="I90:I93"/>
    <mergeCell ref="J90:J93"/>
    <mergeCell ref="M90:M93"/>
    <mergeCell ref="U98:U101"/>
    <mergeCell ref="AA102:AA105"/>
    <mergeCell ref="R102:R105"/>
    <mergeCell ref="K98:K101"/>
    <mergeCell ref="P98:P101"/>
    <mergeCell ref="P102:P105"/>
    <mergeCell ref="L102:L105"/>
    <mergeCell ref="K102:K105"/>
    <mergeCell ref="E90:E93"/>
    <mergeCell ref="Q102:Q105"/>
    <mergeCell ref="Y102:Y105"/>
    <mergeCell ref="R90:R93"/>
    <mergeCell ref="X90:X93"/>
    <mergeCell ref="AT86:AT89"/>
    <mergeCell ref="P86:P89"/>
    <mergeCell ref="L98:L101"/>
    <mergeCell ref="H94:H97"/>
    <mergeCell ref="AK98:AK101"/>
    <mergeCell ref="AF102:AF105"/>
    <mergeCell ref="AT90:AT93"/>
    <mergeCell ref="AI98:AI101"/>
    <mergeCell ref="Y98:Y101"/>
    <mergeCell ref="A98:A101"/>
    <mergeCell ref="B98:B101"/>
    <mergeCell ref="C98:C101"/>
    <mergeCell ref="A94:A97"/>
    <mergeCell ref="B74:B77"/>
    <mergeCell ref="A90:A93"/>
    <mergeCell ref="C78:C81"/>
    <mergeCell ref="B78:B81"/>
    <mergeCell ref="A82:A85"/>
    <mergeCell ref="B82:B85"/>
    <mergeCell ref="A86:A89"/>
    <mergeCell ref="B86:B89"/>
    <mergeCell ref="A102:A105"/>
    <mergeCell ref="D74:D77"/>
    <mergeCell ref="C82:C85"/>
    <mergeCell ref="D86:D89"/>
    <mergeCell ref="C86:C89"/>
    <mergeCell ref="A74:A77"/>
    <mergeCell ref="A78:A81"/>
    <mergeCell ref="D94:D97"/>
    <mergeCell ref="C102:C105"/>
    <mergeCell ref="C74:C77"/>
    <mergeCell ref="D98:D101"/>
    <mergeCell ref="D78:D81"/>
    <mergeCell ref="D90:D93"/>
    <mergeCell ref="C94:C97"/>
    <mergeCell ref="C90:C93"/>
    <mergeCell ref="AS158:AS161"/>
    <mergeCell ref="AN98:AN101"/>
    <mergeCell ref="AN94:AN97"/>
    <mergeCell ref="AC162:AC165"/>
    <mergeCell ref="W150:W153"/>
    <mergeCell ref="O146:O149"/>
    <mergeCell ref="O150:O153"/>
    <mergeCell ref="P142:P145"/>
    <mergeCell ref="AA118:AA121"/>
    <mergeCell ref="AC118:AC121"/>
    <mergeCell ref="N126:N129"/>
    <mergeCell ref="J142:J145"/>
    <mergeCell ref="J146:J149"/>
    <mergeCell ref="Y162:Y165"/>
    <mergeCell ref="U150:U153"/>
    <mergeCell ref="W142:W145"/>
    <mergeCell ref="AA122:AA125"/>
    <mergeCell ref="Y146:Y149"/>
    <mergeCell ref="X146:X149"/>
    <mergeCell ref="L106:L109"/>
    <mergeCell ref="T158:T161"/>
    <mergeCell ref="U94:U97"/>
    <mergeCell ref="T94:T97"/>
    <mergeCell ref="N94:N97"/>
    <mergeCell ref="AG98:AG101"/>
    <mergeCell ref="AG94:AG97"/>
    <mergeCell ref="AE98:AE101"/>
    <mergeCell ref="N102:N105"/>
    <mergeCell ref="W98:W101"/>
    <mergeCell ref="Y94:Y97"/>
    <mergeCell ref="AA94:AA97"/>
    <mergeCell ref="AE158:AE161"/>
    <mergeCell ref="AK170:AK173"/>
    <mergeCell ref="AP150:AP153"/>
    <mergeCell ref="AK158:AK161"/>
    <mergeCell ref="AN162:AN165"/>
    <mergeCell ref="AO162:AO165"/>
    <mergeCell ref="AT162:AT165"/>
    <mergeCell ref="AT150:AT153"/>
    <mergeCell ref="AL126:AL129"/>
    <mergeCell ref="AK110:AK113"/>
    <mergeCell ref="AO142:AO145"/>
    <mergeCell ref="T138:T141"/>
    <mergeCell ref="S110:S113"/>
    <mergeCell ref="R122:R125"/>
    <mergeCell ref="AK150:AK153"/>
    <mergeCell ref="AT170:AT173"/>
    <mergeCell ref="AS166:AS169"/>
    <mergeCell ref="AT166:AT169"/>
    <mergeCell ref="AG142:AG145"/>
    <mergeCell ref="AE110:AE113"/>
    <mergeCell ref="AI158:AI161"/>
    <mergeCell ref="AO158:AO161"/>
    <mergeCell ref="AF162:AF165"/>
    <mergeCell ref="S154:S157"/>
    <mergeCell ref="S158:S161"/>
    <mergeCell ref="AE114:AE117"/>
    <mergeCell ref="AA126:AA129"/>
    <mergeCell ref="AA154:AA157"/>
    <mergeCell ref="AA142:AA145"/>
    <mergeCell ref="Y142:Y145"/>
    <mergeCell ref="Y158:Y161"/>
    <mergeCell ref="W158:W161"/>
    <mergeCell ref="U154:U157"/>
    <mergeCell ref="AT146:AT149"/>
    <mergeCell ref="AQ126:AQ129"/>
    <mergeCell ref="AP126:AP129"/>
    <mergeCell ref="AO110:AO113"/>
    <mergeCell ref="AM106:AM109"/>
    <mergeCell ref="AQ86:AQ89"/>
    <mergeCell ref="AQ90:AQ93"/>
    <mergeCell ref="AL86:AL89"/>
    <mergeCell ref="Y106:Y109"/>
    <mergeCell ref="W102:W105"/>
    <mergeCell ref="AC114:AC117"/>
    <mergeCell ref="AE142:AE145"/>
    <mergeCell ref="S98:S101"/>
    <mergeCell ref="AD130:AD133"/>
    <mergeCell ref="Q162:Q165"/>
    <mergeCell ref="U158:U161"/>
    <mergeCell ref="U146:U149"/>
    <mergeCell ref="Q146:Q149"/>
    <mergeCell ref="Y118:Y121"/>
    <mergeCell ref="U118:U121"/>
    <mergeCell ref="AT154:AT157"/>
    <mergeCell ref="AC158:AC161"/>
    <mergeCell ref="Q138:Q141"/>
    <mergeCell ref="R138:R141"/>
    <mergeCell ref="Y150:Y153"/>
    <mergeCell ref="X126:X129"/>
    <mergeCell ref="X138:X141"/>
    <mergeCell ref="S122:S125"/>
    <mergeCell ref="U138:U141"/>
    <mergeCell ref="U142:U145"/>
    <mergeCell ref="AC138:AC141"/>
    <mergeCell ref="AC122:AC125"/>
    <mergeCell ref="AQ142:AQ145"/>
    <mergeCell ref="AP106:AP109"/>
    <mergeCell ref="AP110:AP113"/>
    <mergeCell ref="AO122:AO125"/>
    <mergeCell ref="AS102:AS105"/>
    <mergeCell ref="AS94:AS97"/>
    <mergeCell ref="AM70:AM73"/>
    <mergeCell ref="AP70:AP73"/>
    <mergeCell ref="AM102:AM105"/>
    <mergeCell ref="AI78:AI81"/>
    <mergeCell ref="AI90:AI93"/>
    <mergeCell ref="AT82:AT85"/>
    <mergeCell ref="AS134:AS137"/>
    <mergeCell ref="AT130:AT133"/>
    <mergeCell ref="AT134:AT137"/>
    <mergeCell ref="AO134:AO137"/>
    <mergeCell ref="AP134:AP137"/>
    <mergeCell ref="AM94:AM97"/>
    <mergeCell ref="AQ138:AQ141"/>
    <mergeCell ref="AS138:AS141"/>
    <mergeCell ref="AQ122:AQ125"/>
    <mergeCell ref="AT110:AT113"/>
    <mergeCell ref="AS110:AS113"/>
    <mergeCell ref="AT122:AT125"/>
    <mergeCell ref="AT114:AT117"/>
    <mergeCell ref="AQ134:AQ137"/>
    <mergeCell ref="AN114:AN117"/>
    <mergeCell ref="AT142:AT145"/>
    <mergeCell ref="AT138:AT141"/>
    <mergeCell ref="AT126:AT129"/>
    <mergeCell ref="AT94:AT97"/>
    <mergeCell ref="AT106:AT109"/>
    <mergeCell ref="AS78:AS81"/>
    <mergeCell ref="AM90:AM93"/>
    <mergeCell ref="Q82:Q85"/>
    <mergeCell ref="J86:J89"/>
    <mergeCell ref="AH102:AH105"/>
    <mergeCell ref="AL110:AL113"/>
    <mergeCell ref="AN106:AN109"/>
    <mergeCell ref="AP122:AP125"/>
    <mergeCell ref="AT118:AT121"/>
    <mergeCell ref="AK126:AK129"/>
    <mergeCell ref="AQ110:AQ113"/>
    <mergeCell ref="O114:O117"/>
    <mergeCell ref="P114:P117"/>
    <mergeCell ref="AC102:AC105"/>
    <mergeCell ref="AP102:AP105"/>
    <mergeCell ref="AE102:AE105"/>
    <mergeCell ref="AG102:AG105"/>
    <mergeCell ref="AK94:AK97"/>
    <mergeCell ref="AN90:AN93"/>
    <mergeCell ref="AM86:AM89"/>
    <mergeCell ref="AN86:AN89"/>
    <mergeCell ref="AC82:AC85"/>
    <mergeCell ref="AF98:AF101"/>
    <mergeCell ref="V90:V93"/>
    <mergeCell ref="S86:S89"/>
    <mergeCell ref="O86:O89"/>
    <mergeCell ref="R86:R89"/>
    <mergeCell ref="S90:S93"/>
    <mergeCell ref="K82:K85"/>
    <mergeCell ref="O90:O93"/>
    <mergeCell ref="W86:W89"/>
    <mergeCell ref="AT98:AT101"/>
    <mergeCell ref="W122:W125"/>
    <mergeCell ref="AC126:AC129"/>
    <mergeCell ref="AQ106:AQ109"/>
    <mergeCell ref="AA74:AA77"/>
    <mergeCell ref="AN102:AN105"/>
    <mergeCell ref="AO102:AO105"/>
    <mergeCell ref="AM98:AM101"/>
    <mergeCell ref="AP98:AP101"/>
    <mergeCell ref="AP94:AP97"/>
    <mergeCell ref="AG70:AG73"/>
    <mergeCell ref="AC74:AC77"/>
    <mergeCell ref="AC78:AC81"/>
    <mergeCell ref="AE78:AE81"/>
    <mergeCell ref="Q74:Q77"/>
    <mergeCell ref="L74:L77"/>
    <mergeCell ref="N106:N109"/>
    <mergeCell ref="K118:K121"/>
    <mergeCell ref="L118:L121"/>
    <mergeCell ref="M118:M121"/>
    <mergeCell ref="N118:N121"/>
    <mergeCell ref="O118:O121"/>
    <mergeCell ref="P118:P121"/>
    <mergeCell ref="Q118:Q121"/>
    <mergeCell ref="R118:R121"/>
    <mergeCell ref="S118:S121"/>
    <mergeCell ref="K126:K129"/>
    <mergeCell ref="T126:T129"/>
    <mergeCell ref="K74:K77"/>
    <mergeCell ref="P74:P77"/>
    <mergeCell ref="W74:W77"/>
    <mergeCell ref="AF78:AF81"/>
    <mergeCell ref="AF82:AF85"/>
    <mergeCell ref="AP66:AP69"/>
    <mergeCell ref="AI82:AI85"/>
    <mergeCell ref="AN70:AN73"/>
    <mergeCell ref="AE106:AE109"/>
    <mergeCell ref="AA98:AA101"/>
    <mergeCell ref="AI86:AI89"/>
    <mergeCell ref="AQ94:AQ97"/>
    <mergeCell ref="AA78:AA81"/>
    <mergeCell ref="AI70:AI73"/>
    <mergeCell ref="AC70:AC73"/>
    <mergeCell ref="AI66:AI69"/>
    <mergeCell ref="AG74:AG77"/>
    <mergeCell ref="AG82:AG85"/>
    <mergeCell ref="AA106:AA109"/>
    <mergeCell ref="T70:T73"/>
    <mergeCell ref="T86:T89"/>
    <mergeCell ref="U86:U89"/>
    <mergeCell ref="Y70:Y73"/>
    <mergeCell ref="AM74:AM77"/>
    <mergeCell ref="AC94:AC97"/>
    <mergeCell ref="AE74:AE77"/>
    <mergeCell ref="AA82:AA85"/>
    <mergeCell ref="AK78:AK81"/>
    <mergeCell ref="W78:W81"/>
    <mergeCell ref="Y86:Y89"/>
    <mergeCell ref="V94:V97"/>
    <mergeCell ref="T106:T109"/>
    <mergeCell ref="Y74:Y77"/>
    <mergeCell ref="F82:F85"/>
    <mergeCell ref="F78:F81"/>
    <mergeCell ref="G82:G85"/>
    <mergeCell ref="M82:M85"/>
    <mergeCell ref="W62:W65"/>
    <mergeCell ref="V62:V65"/>
    <mergeCell ref="AK90:AK93"/>
    <mergeCell ref="V66:V69"/>
    <mergeCell ref="AC86:AC89"/>
    <mergeCell ref="AF90:AF93"/>
    <mergeCell ref="AG90:AG93"/>
    <mergeCell ref="X62:X65"/>
    <mergeCell ref="X66:X69"/>
    <mergeCell ref="L82:L85"/>
    <mergeCell ref="Q62:Q65"/>
    <mergeCell ref="U74:U77"/>
    <mergeCell ref="F86:F89"/>
    <mergeCell ref="AG66:AG69"/>
    <mergeCell ref="AG78:AG81"/>
    <mergeCell ref="AE82:AE85"/>
    <mergeCell ref="H70:H73"/>
    <mergeCell ref="U82:U85"/>
    <mergeCell ref="O74:O77"/>
    <mergeCell ref="I78:I81"/>
    <mergeCell ref="I74:I77"/>
    <mergeCell ref="G78:G81"/>
    <mergeCell ref="I82:I85"/>
    <mergeCell ref="N90:N93"/>
    <mergeCell ref="N74:N77"/>
    <mergeCell ref="N82:N85"/>
    <mergeCell ref="L90:L93"/>
    <mergeCell ref="Y62:Y65"/>
    <mergeCell ref="E78:E81"/>
    <mergeCell ref="K86:K89"/>
    <mergeCell ref="E74:E77"/>
    <mergeCell ref="E86:E89"/>
    <mergeCell ref="D82:D85"/>
    <mergeCell ref="E66:E69"/>
    <mergeCell ref="E82:E85"/>
    <mergeCell ref="O66:O69"/>
    <mergeCell ref="N66:N69"/>
    <mergeCell ref="T74:T77"/>
    <mergeCell ref="V70:V73"/>
    <mergeCell ref="Y78:Y81"/>
    <mergeCell ref="I86:I89"/>
    <mergeCell ref="H86:H89"/>
    <mergeCell ref="J74:J77"/>
    <mergeCell ref="S70:S73"/>
    <mergeCell ref="X86:X89"/>
    <mergeCell ref="Q78:Q81"/>
    <mergeCell ref="H82:H85"/>
    <mergeCell ref="L86:L89"/>
    <mergeCell ref="K78:K81"/>
    <mergeCell ref="O78:O81"/>
    <mergeCell ref="T82:T85"/>
    <mergeCell ref="P82:P85"/>
    <mergeCell ref="J78:J81"/>
    <mergeCell ref="R78:R81"/>
    <mergeCell ref="H78:H81"/>
    <mergeCell ref="G74:G77"/>
    <mergeCell ref="X78:X81"/>
    <mergeCell ref="V74:V77"/>
    <mergeCell ref="Y66:Y69"/>
    <mergeCell ref="U66:U69"/>
    <mergeCell ref="R50:R53"/>
    <mergeCell ref="S50:S53"/>
    <mergeCell ref="T50:T53"/>
    <mergeCell ref="U50:U53"/>
    <mergeCell ref="Q66:Q69"/>
    <mergeCell ref="K66:K69"/>
    <mergeCell ref="U78:U81"/>
    <mergeCell ref="N86:N89"/>
    <mergeCell ref="S82:S85"/>
    <mergeCell ref="S74:S77"/>
    <mergeCell ref="R82:R85"/>
    <mergeCell ref="O94:O97"/>
    <mergeCell ref="R74:R77"/>
    <mergeCell ref="AE94:AE97"/>
    <mergeCell ref="L94:L97"/>
    <mergeCell ref="M94:M97"/>
    <mergeCell ref="AC98:AC101"/>
    <mergeCell ref="Y90:Y93"/>
    <mergeCell ref="R66:R69"/>
    <mergeCell ref="R70:R73"/>
    <mergeCell ref="Q70:Q73"/>
    <mergeCell ref="U70:U73"/>
    <mergeCell ref="W70:W73"/>
    <mergeCell ref="AE70:AE73"/>
    <mergeCell ref="X70:X73"/>
    <mergeCell ref="X74:X77"/>
    <mergeCell ref="AE86:AE89"/>
    <mergeCell ref="P66:P69"/>
    <mergeCell ref="AA66:AA69"/>
    <mergeCell ref="AA70:AA73"/>
    <mergeCell ref="AC66:AC69"/>
    <mergeCell ref="Q90:Q93"/>
    <mergeCell ref="A58:A61"/>
    <mergeCell ref="O58:O61"/>
    <mergeCell ref="U62:U65"/>
    <mergeCell ref="S66:S69"/>
    <mergeCell ref="N46:N49"/>
    <mergeCell ref="L66:L69"/>
    <mergeCell ref="M66:M69"/>
    <mergeCell ref="M62:M65"/>
    <mergeCell ref="P46:P49"/>
    <mergeCell ref="K58:K61"/>
    <mergeCell ref="J62:J65"/>
    <mergeCell ref="L62:L65"/>
    <mergeCell ref="V58:V61"/>
    <mergeCell ref="D46:D49"/>
    <mergeCell ref="C62:C65"/>
    <mergeCell ref="U46:U49"/>
    <mergeCell ref="L70:L73"/>
    <mergeCell ref="S62:S65"/>
    <mergeCell ref="H58:H61"/>
    <mergeCell ref="N62:N65"/>
    <mergeCell ref="T62:T65"/>
    <mergeCell ref="O62:O65"/>
    <mergeCell ref="P62:P65"/>
    <mergeCell ref="R62:R65"/>
    <mergeCell ref="J70:J73"/>
    <mergeCell ref="M70:M73"/>
    <mergeCell ref="V50:V53"/>
    <mergeCell ref="G58:G61"/>
    <mergeCell ref="P70:P73"/>
    <mergeCell ref="U58:U61"/>
    <mergeCell ref="R46:R49"/>
    <mergeCell ref="Q50:Q53"/>
    <mergeCell ref="B62:B65"/>
    <mergeCell ref="D42:D45"/>
    <mergeCell ref="I42:I45"/>
    <mergeCell ref="C42:C45"/>
    <mergeCell ref="B58:B61"/>
    <mergeCell ref="F62:F65"/>
    <mergeCell ref="I70:I73"/>
    <mergeCell ref="C66:C69"/>
    <mergeCell ref="I62:I65"/>
    <mergeCell ref="B70:B73"/>
    <mergeCell ref="C70:C73"/>
    <mergeCell ref="F66:F69"/>
    <mergeCell ref="K62:K65"/>
    <mergeCell ref="E58:E61"/>
    <mergeCell ref="G70:G73"/>
    <mergeCell ref="H66:H69"/>
    <mergeCell ref="C46:C49"/>
    <mergeCell ref="K46:K49"/>
    <mergeCell ref="G62:G65"/>
    <mergeCell ref="F70:F73"/>
    <mergeCell ref="B42:B45"/>
    <mergeCell ref="G66:G69"/>
    <mergeCell ref="G42:G45"/>
    <mergeCell ref="J42:J45"/>
    <mergeCell ref="B66:B69"/>
    <mergeCell ref="J58:J61"/>
    <mergeCell ref="E46:E49"/>
    <mergeCell ref="F46:F49"/>
    <mergeCell ref="D70:D73"/>
    <mergeCell ref="E70:E73"/>
    <mergeCell ref="J38:J41"/>
    <mergeCell ref="F74:F77"/>
    <mergeCell ref="H74:H77"/>
    <mergeCell ref="C58:C61"/>
    <mergeCell ref="D58:D61"/>
    <mergeCell ref="G34:G37"/>
    <mergeCell ref="H62:H65"/>
    <mergeCell ref="I66:I69"/>
    <mergeCell ref="E62:E65"/>
    <mergeCell ref="A38:A41"/>
    <mergeCell ref="B38:B41"/>
    <mergeCell ref="C38:C41"/>
    <mergeCell ref="D38:D41"/>
    <mergeCell ref="E38:E41"/>
    <mergeCell ref="H46:H49"/>
    <mergeCell ref="J66:J69"/>
    <mergeCell ref="G38:G41"/>
    <mergeCell ref="F38:F41"/>
    <mergeCell ref="F58:F61"/>
    <mergeCell ref="J46:J49"/>
    <mergeCell ref="I58:I61"/>
    <mergeCell ref="B46:B49"/>
    <mergeCell ref="D62:D65"/>
    <mergeCell ref="I38:I41"/>
    <mergeCell ref="H38:H41"/>
    <mergeCell ref="D66:D69"/>
    <mergeCell ref="G46:G49"/>
    <mergeCell ref="A42:A45"/>
    <mergeCell ref="A70:A73"/>
    <mergeCell ref="A66:A69"/>
    <mergeCell ref="A62:A65"/>
    <mergeCell ref="A46:A49"/>
    <mergeCell ref="V6:V9"/>
    <mergeCell ref="K6:K9"/>
    <mergeCell ref="AA10:AA13"/>
    <mergeCell ref="AC26:AC29"/>
    <mergeCell ref="A34:A37"/>
    <mergeCell ref="B34:B37"/>
    <mergeCell ref="C34:C37"/>
    <mergeCell ref="D34:D37"/>
    <mergeCell ref="E34:E37"/>
    <mergeCell ref="F34:F37"/>
    <mergeCell ref="H34:H37"/>
    <mergeCell ref="AA42:AA45"/>
    <mergeCell ref="D30:D33"/>
    <mergeCell ref="E30:E33"/>
    <mergeCell ref="J26:J29"/>
    <mergeCell ref="K26:K29"/>
    <mergeCell ref="K42:K45"/>
    <mergeCell ref="R42:R45"/>
    <mergeCell ref="L30:L33"/>
    <mergeCell ref="L38:L41"/>
    <mergeCell ref="N38:N41"/>
    <mergeCell ref="N42:N45"/>
    <mergeCell ref="T42:T45"/>
    <mergeCell ref="Y14:Y17"/>
    <mergeCell ref="A26:A29"/>
    <mergeCell ref="C26:C29"/>
    <mergeCell ref="D26:D29"/>
    <mergeCell ref="D10:D13"/>
    <mergeCell ref="S30:S33"/>
    <mergeCell ref="X38:X41"/>
    <mergeCell ref="AC30:AC33"/>
    <mergeCell ref="E42:E45"/>
    <mergeCell ref="T38:T41"/>
    <mergeCell ref="X34:X37"/>
    <mergeCell ref="V38:V41"/>
    <mergeCell ref="V42:V45"/>
    <mergeCell ref="Q42:Q45"/>
    <mergeCell ref="M46:M49"/>
    <mergeCell ref="M42:M45"/>
    <mergeCell ref="K14:K17"/>
    <mergeCell ref="P38:P41"/>
    <mergeCell ref="P30:P33"/>
    <mergeCell ref="O46:O49"/>
    <mergeCell ref="M30:M33"/>
    <mergeCell ref="M34:M37"/>
    <mergeCell ref="L34:L37"/>
    <mergeCell ref="S34:S37"/>
    <mergeCell ref="P26:P29"/>
    <mergeCell ref="O14:O17"/>
    <mergeCell ref="Q38:Q41"/>
    <mergeCell ref="R38:R41"/>
    <mergeCell ref="Q46:Q49"/>
    <mergeCell ref="O38:O41"/>
    <mergeCell ref="N34:N37"/>
    <mergeCell ref="R34:R37"/>
    <mergeCell ref="K38:K41"/>
    <mergeCell ref="W38:W41"/>
    <mergeCell ref="U34:U37"/>
    <mergeCell ref="S42:S45"/>
    <mergeCell ref="X42:X45"/>
    <mergeCell ref="P42:P45"/>
    <mergeCell ref="R30:R33"/>
    <mergeCell ref="U38:U41"/>
    <mergeCell ref="U42:U45"/>
    <mergeCell ref="AM14:AM17"/>
    <mergeCell ref="AO26:AO29"/>
    <mergeCell ref="AI18:AI21"/>
    <mergeCell ref="AE30:AE33"/>
    <mergeCell ref="AK26:AK29"/>
    <mergeCell ref="AO30:AO33"/>
    <mergeCell ref="U18:U21"/>
    <mergeCell ref="P18:P21"/>
    <mergeCell ref="O18:O21"/>
    <mergeCell ref="Q26:Q29"/>
    <mergeCell ref="T14:T17"/>
    <mergeCell ref="G30:G33"/>
    <mergeCell ref="H26:H29"/>
    <mergeCell ref="S26:S29"/>
    <mergeCell ref="N26:N29"/>
    <mergeCell ref="H30:H33"/>
    <mergeCell ref="AM18:AM21"/>
    <mergeCell ref="AL26:AL29"/>
    <mergeCell ref="AL18:AL21"/>
    <mergeCell ref="AG30:AG33"/>
    <mergeCell ref="AA14:AA17"/>
    <mergeCell ref="K30:K33"/>
    <mergeCell ref="AG18:AG21"/>
    <mergeCell ref="AN26:AN29"/>
    <mergeCell ref="AN30:AN33"/>
    <mergeCell ref="AI30:AI33"/>
    <mergeCell ref="N30:N33"/>
    <mergeCell ref="R18:R21"/>
    <mergeCell ref="T18:T21"/>
    <mergeCell ref="W26:W29"/>
    <mergeCell ref="AE18:AE21"/>
    <mergeCell ref="AF18:AF21"/>
    <mergeCell ref="AT14:AT17"/>
    <mergeCell ref="AO18:AO21"/>
    <mergeCell ref="AN10:AN13"/>
    <mergeCell ref="AT30:AT33"/>
    <mergeCell ref="O34:O37"/>
    <mergeCell ref="AQ30:AQ33"/>
    <mergeCell ref="X26:X29"/>
    <mergeCell ref="X30:X33"/>
    <mergeCell ref="Y30:Y33"/>
    <mergeCell ref="V18:V21"/>
    <mergeCell ref="U30:U33"/>
    <mergeCell ref="AM10:AM13"/>
    <mergeCell ref="AK14:AK17"/>
    <mergeCell ref="W18:W21"/>
    <mergeCell ref="AK10:AK13"/>
    <mergeCell ref="AO10:AO13"/>
    <mergeCell ref="AI22:AI25"/>
    <mergeCell ref="AQ18:AQ21"/>
    <mergeCell ref="R26:R29"/>
    <mergeCell ref="AT10:AT13"/>
    <mergeCell ref="AT26:AT29"/>
    <mergeCell ref="AT18:AT21"/>
    <mergeCell ref="X10:X13"/>
    <mergeCell ref="AG10:AG13"/>
    <mergeCell ref="AI10:AI13"/>
    <mergeCell ref="W10:W13"/>
    <mergeCell ref="AE14:AE17"/>
    <mergeCell ref="T34:T37"/>
    <mergeCell ref="AM34:AM37"/>
    <mergeCell ref="O30:O33"/>
    <mergeCell ref="Y34:Y37"/>
    <mergeCell ref="AA26:AA29"/>
    <mergeCell ref="AE26:AE29"/>
    <mergeCell ref="AS26:AS29"/>
    <mergeCell ref="AQ10:AQ13"/>
    <mergeCell ref="T46:T49"/>
    <mergeCell ref="AC38:AC41"/>
    <mergeCell ref="V46:V49"/>
    <mergeCell ref="W42:W45"/>
    <mergeCell ref="V34:V37"/>
    <mergeCell ref="AC18:AC21"/>
    <mergeCell ref="AI42:AI45"/>
    <mergeCell ref="AL38:AL41"/>
    <mergeCell ref="AA38:AA41"/>
    <mergeCell ref="Q34:Q37"/>
    <mergeCell ref="S38:S41"/>
    <mergeCell ref="V30:V33"/>
    <mergeCell ref="AA30:AA33"/>
    <mergeCell ref="Y38:Y41"/>
    <mergeCell ref="AS38:AS41"/>
    <mergeCell ref="AQ46:AQ49"/>
    <mergeCell ref="AM38:AM41"/>
    <mergeCell ref="AP46:AP49"/>
    <mergeCell ref="AM42:AM45"/>
    <mergeCell ref="AO38:AO41"/>
    <mergeCell ref="AK46:AK49"/>
    <mergeCell ref="U22:U25"/>
    <mergeCell ref="V22:V25"/>
    <mergeCell ref="AO34:AO37"/>
    <mergeCell ref="AC34:AC37"/>
    <mergeCell ref="AE46:AE49"/>
    <mergeCell ref="AC42:AC45"/>
    <mergeCell ref="AQ14:AQ17"/>
    <mergeCell ref="AL14:AL17"/>
    <mergeCell ref="O42:O45"/>
    <mergeCell ref="V26:V29"/>
    <mergeCell ref="F42:F45"/>
    <mergeCell ref="I46:I49"/>
    <mergeCell ref="J82:J85"/>
    <mergeCell ref="G86:G89"/>
    <mergeCell ref="M38:M41"/>
    <mergeCell ref="Q58:Q61"/>
    <mergeCell ref="J34:J37"/>
    <mergeCell ref="N78:N81"/>
    <mergeCell ref="O82:O85"/>
    <mergeCell ref="N70:N73"/>
    <mergeCell ref="M78:M81"/>
    <mergeCell ref="M74:M77"/>
    <mergeCell ref="K70:K73"/>
    <mergeCell ref="P58:P61"/>
    <mergeCell ref="N58:N61"/>
    <mergeCell ref="L42:L45"/>
    <mergeCell ref="L46:L49"/>
    <mergeCell ref="L58:L61"/>
    <mergeCell ref="M58:M61"/>
    <mergeCell ref="M86:M89"/>
    <mergeCell ref="F30:F33"/>
    <mergeCell ref="F26:F29"/>
    <mergeCell ref="T26:T29"/>
    <mergeCell ref="T30:T33"/>
    <mergeCell ref="I30:I33"/>
    <mergeCell ref="J30:J33"/>
    <mergeCell ref="S46:S49"/>
    <mergeCell ref="Q30:Q33"/>
    <mergeCell ref="U26:U29"/>
    <mergeCell ref="H42:H45"/>
    <mergeCell ref="E26:E29"/>
    <mergeCell ref="L10:L13"/>
    <mergeCell ref="S18:S21"/>
    <mergeCell ref="E22:E25"/>
    <mergeCell ref="N10:N13"/>
    <mergeCell ref="Q10:Q13"/>
    <mergeCell ref="I22:I25"/>
    <mergeCell ref="N18:N21"/>
    <mergeCell ref="K18:K21"/>
    <mergeCell ref="I14:I17"/>
    <mergeCell ref="L14:L17"/>
    <mergeCell ref="G18:G21"/>
    <mergeCell ref="P22:P25"/>
    <mergeCell ref="Q22:Q25"/>
    <mergeCell ref="R22:R25"/>
    <mergeCell ref="S22:S25"/>
    <mergeCell ref="L26:L29"/>
    <mergeCell ref="G26:G29"/>
    <mergeCell ref="M26:M29"/>
    <mergeCell ref="H22:H25"/>
    <mergeCell ref="O26:O29"/>
    <mergeCell ref="M14:M17"/>
    <mergeCell ref="F22:F25"/>
    <mergeCell ref="F18:F21"/>
    <mergeCell ref="H14:H17"/>
    <mergeCell ref="K34:K37"/>
    <mergeCell ref="P34:P37"/>
    <mergeCell ref="I34:I37"/>
    <mergeCell ref="T22:T25"/>
    <mergeCell ref="J22:J25"/>
    <mergeCell ref="K22:K25"/>
    <mergeCell ref="L22:L25"/>
    <mergeCell ref="M22:M25"/>
    <mergeCell ref="J14:J17"/>
    <mergeCell ref="T2:T5"/>
    <mergeCell ref="T6:T9"/>
    <mergeCell ref="N2:N5"/>
    <mergeCell ref="O2:O5"/>
    <mergeCell ref="N6:N9"/>
    <mergeCell ref="O6:O9"/>
    <mergeCell ref="G22:G25"/>
    <mergeCell ref="U14:U17"/>
    <mergeCell ref="P14:P17"/>
    <mergeCell ref="H18:H21"/>
    <mergeCell ref="S10:S13"/>
    <mergeCell ref="S6:S9"/>
    <mergeCell ref="I6:I9"/>
    <mergeCell ref="L6:L9"/>
    <mergeCell ref="G6:G9"/>
    <mergeCell ref="G14:G17"/>
    <mergeCell ref="R10:R13"/>
    <mergeCell ref="S2:S5"/>
    <mergeCell ref="R6:R9"/>
    <mergeCell ref="Q14:Q17"/>
    <mergeCell ref="U10:U13"/>
    <mergeCell ref="R14:R17"/>
    <mergeCell ref="S14:S17"/>
    <mergeCell ref="B26:B29"/>
    <mergeCell ref="C14:C17"/>
    <mergeCell ref="K10:K13"/>
    <mergeCell ref="J10:J13"/>
    <mergeCell ref="A10:A13"/>
    <mergeCell ref="B10:B13"/>
    <mergeCell ref="C10:C13"/>
    <mergeCell ref="E14:E17"/>
    <mergeCell ref="F14:F17"/>
    <mergeCell ref="I26:I29"/>
    <mergeCell ref="N14:N17"/>
    <mergeCell ref="Q18:Q21"/>
    <mergeCell ref="I10:I13"/>
    <mergeCell ref="M18:M21"/>
    <mergeCell ref="N22:N25"/>
    <mergeCell ref="O22:O25"/>
    <mergeCell ref="Y2:Y5"/>
    <mergeCell ref="D6:D9"/>
    <mergeCell ref="E6:E9"/>
    <mergeCell ref="I2:I5"/>
    <mergeCell ref="A18:A21"/>
    <mergeCell ref="B18:B21"/>
    <mergeCell ref="D14:D17"/>
    <mergeCell ref="M10:M13"/>
    <mergeCell ref="F10:F13"/>
    <mergeCell ref="H10:H13"/>
    <mergeCell ref="G10:G13"/>
    <mergeCell ref="U2:U5"/>
    <mergeCell ref="C2:C5"/>
    <mergeCell ref="D2:D5"/>
    <mergeCell ref="O10:O13"/>
    <mergeCell ref="P10:P13"/>
    <mergeCell ref="AA2:AA5"/>
    <mergeCell ref="AC2:AC5"/>
    <mergeCell ref="AE2:AE5"/>
    <mergeCell ref="AE10:AE13"/>
    <mergeCell ref="W30:W33"/>
    <mergeCell ref="AF2:AF5"/>
    <mergeCell ref="AC22:AC25"/>
    <mergeCell ref="AC10:AC13"/>
    <mergeCell ref="Y10:Y13"/>
    <mergeCell ref="X6:X9"/>
    <mergeCell ref="AH14:AH17"/>
    <mergeCell ref="X18:X21"/>
    <mergeCell ref="AK22:AK25"/>
    <mergeCell ref="AE22:AE25"/>
    <mergeCell ref="AF22:AF25"/>
    <mergeCell ref="AG22:AG25"/>
    <mergeCell ref="AG6:AG9"/>
    <mergeCell ref="AA18:AA21"/>
    <mergeCell ref="AG2:AG5"/>
    <mergeCell ref="W6:W9"/>
    <mergeCell ref="X14:X17"/>
    <mergeCell ref="W14:W17"/>
    <mergeCell ref="AA6:AA9"/>
    <mergeCell ref="AC6:AC9"/>
    <mergeCell ref="AE6:AE9"/>
    <mergeCell ref="AI6:AI9"/>
    <mergeCell ref="W2:W5"/>
    <mergeCell ref="X2:X5"/>
    <mergeCell ref="W22:W25"/>
    <mergeCell ref="X22:X25"/>
    <mergeCell ref="Y22:Y25"/>
    <mergeCell ref="AA22:AA25"/>
    <mergeCell ref="M6:M9"/>
    <mergeCell ref="V2:V5"/>
    <mergeCell ref="V10:V13"/>
    <mergeCell ref="E10:E13"/>
    <mergeCell ref="P2:P5"/>
    <mergeCell ref="Q2:Q5"/>
    <mergeCell ref="P6:P9"/>
    <mergeCell ref="Q6:Q9"/>
    <mergeCell ref="R2:R5"/>
    <mergeCell ref="U6:U9"/>
    <mergeCell ref="F6:F9"/>
    <mergeCell ref="V14:V17"/>
    <mergeCell ref="AG46:AG49"/>
    <mergeCell ref="AK58:AK61"/>
    <mergeCell ref="A30:A33"/>
    <mergeCell ref="B30:B33"/>
    <mergeCell ref="C18:C21"/>
    <mergeCell ref="D18:D21"/>
    <mergeCell ref="B14:B17"/>
    <mergeCell ref="E2:E5"/>
    <mergeCell ref="F2:F5"/>
    <mergeCell ref="H2:H5"/>
    <mergeCell ref="K2:K5"/>
    <mergeCell ref="J2:J5"/>
    <mergeCell ref="L2:L5"/>
    <mergeCell ref="M2:M5"/>
    <mergeCell ref="H6:H9"/>
    <mergeCell ref="J6:J9"/>
    <mergeCell ref="I18:I21"/>
    <mergeCell ref="E18:E21"/>
    <mergeCell ref="A6:A9"/>
    <mergeCell ref="B6:B9"/>
    <mergeCell ref="C6:C9"/>
    <mergeCell ref="A22:A25"/>
    <mergeCell ref="B22:B25"/>
    <mergeCell ref="C22:C25"/>
    <mergeCell ref="D22:D25"/>
    <mergeCell ref="A14:A17"/>
    <mergeCell ref="C30:C33"/>
    <mergeCell ref="G2:G5"/>
    <mergeCell ref="A2:A5"/>
    <mergeCell ref="B2:B5"/>
    <mergeCell ref="J18:J21"/>
    <mergeCell ref="L18:L21"/>
    <mergeCell ref="AT34:AT37"/>
    <mergeCell ref="AT66:AT69"/>
    <mergeCell ref="AS66:AS69"/>
    <mergeCell ref="AS70:AS73"/>
    <mergeCell ref="AM62:AM65"/>
    <mergeCell ref="AN62:AN65"/>
    <mergeCell ref="AK66:AK69"/>
    <mergeCell ref="AL62:AL65"/>
    <mergeCell ref="AT58:AT61"/>
    <mergeCell ref="AO58:AO61"/>
    <mergeCell ref="AQ42:AQ45"/>
    <mergeCell ref="AK34:AK37"/>
    <mergeCell ref="AL66:AL69"/>
    <mergeCell ref="AT70:AT73"/>
    <mergeCell ref="AF62:AF65"/>
    <mergeCell ref="AT22:AT25"/>
    <mergeCell ref="AO46:AO49"/>
    <mergeCell ref="AS42:AS45"/>
    <mergeCell ref="AT46:AT49"/>
    <mergeCell ref="AS34:AS37"/>
    <mergeCell ref="AK234:AK237"/>
    <mergeCell ref="AF266:AF269"/>
    <mergeCell ref="AL262:AL265"/>
    <mergeCell ref="AI274:AI277"/>
    <mergeCell ref="AF262:AF265"/>
    <mergeCell ref="AE270:AE273"/>
    <mergeCell ref="AG242:AG245"/>
    <mergeCell ref="AL238:AL241"/>
    <mergeCell ref="AS90:AS93"/>
    <mergeCell ref="AM138:AM141"/>
    <mergeCell ref="AS126:AS129"/>
    <mergeCell ref="AS98:AS101"/>
    <mergeCell ref="AI106:AI109"/>
    <mergeCell ref="AS82:AS85"/>
    <mergeCell ref="AT2:AT5"/>
    <mergeCell ref="AQ2:AQ5"/>
    <mergeCell ref="AK70:AK73"/>
    <mergeCell ref="AE66:AE69"/>
    <mergeCell ref="AO66:AO69"/>
    <mergeCell ref="AT6:AT9"/>
    <mergeCell ref="AE38:AE41"/>
    <mergeCell ref="AI38:AI41"/>
    <mergeCell ref="AP34:AP37"/>
    <mergeCell ref="AP38:AP41"/>
    <mergeCell ref="AK18:AK21"/>
    <mergeCell ref="AS30:AS33"/>
    <mergeCell ref="AQ6:AQ9"/>
    <mergeCell ref="AS6:AS9"/>
    <mergeCell ref="AS18:AS21"/>
    <mergeCell ref="AN14:AN17"/>
    <mergeCell ref="AE206:AE209"/>
    <mergeCell ref="AS10:AS13"/>
    <mergeCell ref="AP206:AP209"/>
    <mergeCell ref="AG198:AG201"/>
    <mergeCell ref="AI210:AI213"/>
    <mergeCell ref="AK142:AK145"/>
    <mergeCell ref="AK122:AK125"/>
    <mergeCell ref="AS2:AS5"/>
    <mergeCell ref="AQ34:AQ37"/>
    <mergeCell ref="AS14:AS17"/>
    <mergeCell ref="AQ26:AQ29"/>
    <mergeCell ref="AN78:AN81"/>
    <mergeCell ref="AP86:AP89"/>
    <mergeCell ref="AG86:AG89"/>
    <mergeCell ref="AI74:AI77"/>
    <mergeCell ref="AS74:AS77"/>
    <mergeCell ref="AP58:AP61"/>
    <mergeCell ref="AI58:AI61"/>
    <mergeCell ref="AN34:AN37"/>
    <mergeCell ref="AG34:AG37"/>
    <mergeCell ref="AL34:AL37"/>
    <mergeCell ref="AG38:AG41"/>
    <mergeCell ref="AN46:AN49"/>
    <mergeCell ref="AL210:AL213"/>
    <mergeCell ref="AL162:AL165"/>
    <mergeCell ref="AP154:AP157"/>
    <mergeCell ref="AI94:AI97"/>
    <mergeCell ref="AN74:AN77"/>
    <mergeCell ref="AK82:AK85"/>
    <mergeCell ref="AQ78:AQ81"/>
    <mergeCell ref="AL102:AL105"/>
    <mergeCell ref="AQ102:AQ105"/>
    <mergeCell ref="AS22:AS25"/>
    <mergeCell ref="AI26:AI29"/>
    <mergeCell ref="AL278:AL281"/>
    <mergeCell ref="AG286:AG289"/>
    <mergeCell ref="AG262:AG265"/>
    <mergeCell ref="AG274:AG277"/>
    <mergeCell ref="AL258:AL261"/>
    <mergeCell ref="AG254:AG257"/>
    <mergeCell ref="AL206:AL209"/>
    <mergeCell ref="AL202:AL205"/>
    <mergeCell ref="AC210:AC213"/>
    <mergeCell ref="AF250:AF253"/>
    <mergeCell ref="AK222:AK225"/>
    <mergeCell ref="AE250:AE253"/>
    <mergeCell ref="AC218:AC221"/>
    <mergeCell ref="AL214:AL217"/>
    <mergeCell ref="AG218:AG221"/>
    <mergeCell ref="AC246:AC249"/>
    <mergeCell ref="AG238:AG241"/>
    <mergeCell ref="AF238:AF241"/>
    <mergeCell ref="AE238:AE241"/>
    <mergeCell ref="AG246:AG249"/>
    <mergeCell ref="AG250:AG253"/>
    <mergeCell ref="AD238:AD241"/>
    <mergeCell ref="AE246:AE249"/>
    <mergeCell ref="AI222:AI225"/>
    <mergeCell ref="AK246:AK249"/>
    <mergeCell ref="AI250:AI253"/>
    <mergeCell ref="AE230:AE233"/>
    <mergeCell ref="AL234:AL237"/>
    <mergeCell ref="AL242:AL245"/>
    <mergeCell ref="AK238:AK241"/>
    <mergeCell ref="AC238:AC241"/>
    <mergeCell ref="AF278:AF281"/>
    <mergeCell ref="AE266:AE269"/>
    <mergeCell ref="AL222:AL225"/>
    <mergeCell ref="AG234:AG237"/>
    <mergeCell ref="AK274:AK277"/>
    <mergeCell ref="AF270:AF273"/>
    <mergeCell ref="AI226:AI229"/>
    <mergeCell ref="AK226:AK229"/>
    <mergeCell ref="AG258:AG261"/>
    <mergeCell ref="AC242:AC245"/>
    <mergeCell ref="AL230:AL233"/>
    <mergeCell ref="AE282:AE285"/>
    <mergeCell ref="AM282:AM285"/>
    <mergeCell ref="AG270:AG273"/>
    <mergeCell ref="AE210:AE213"/>
    <mergeCell ref="AG210:AG213"/>
    <mergeCell ref="AK214:AK217"/>
    <mergeCell ref="AC250:AC253"/>
    <mergeCell ref="AF254:AF257"/>
    <mergeCell ref="AE242:AE245"/>
    <mergeCell ref="AE254:AE257"/>
    <mergeCell ref="AE222:AE225"/>
    <mergeCell ref="AG230:AG233"/>
    <mergeCell ref="AI230:AI233"/>
    <mergeCell ref="AL250:AL253"/>
    <mergeCell ref="AL226:AL229"/>
    <mergeCell ref="AD226:AD229"/>
    <mergeCell ref="AL218:AL221"/>
    <mergeCell ref="AI234:AI237"/>
    <mergeCell ref="AG222:AG225"/>
    <mergeCell ref="AK230:AK233"/>
    <mergeCell ref="AC222:AC225"/>
    <mergeCell ref="AM234:AM237"/>
    <mergeCell ref="AS294:AS297"/>
    <mergeCell ref="AN294:AN297"/>
    <mergeCell ref="AL302:AL305"/>
    <mergeCell ref="AO278:AO281"/>
    <mergeCell ref="AO294:AO297"/>
    <mergeCell ref="AS282:AS285"/>
    <mergeCell ref="AS286:AS289"/>
    <mergeCell ref="AG294:AG297"/>
    <mergeCell ref="AG282:AG285"/>
    <mergeCell ref="AG302:AG305"/>
    <mergeCell ref="AS266:AS269"/>
    <mergeCell ref="AN262:AN265"/>
    <mergeCell ref="AQ262:AQ265"/>
    <mergeCell ref="AO290:AO293"/>
    <mergeCell ref="AQ274:AQ277"/>
    <mergeCell ref="AG278:AG281"/>
    <mergeCell ref="AG290:AG293"/>
    <mergeCell ref="AK262:AK265"/>
    <mergeCell ref="AS270:AS273"/>
    <mergeCell ref="AO282:AO285"/>
    <mergeCell ref="AQ282:AQ285"/>
    <mergeCell ref="AI286:AI289"/>
    <mergeCell ref="AN266:AN269"/>
    <mergeCell ref="AP282:AP285"/>
    <mergeCell ref="AI270:AI273"/>
    <mergeCell ref="AK270:AK273"/>
    <mergeCell ref="AL270:AL273"/>
    <mergeCell ref="AM270:AM273"/>
    <mergeCell ref="AG298:AG301"/>
    <mergeCell ref="AK278:AK281"/>
    <mergeCell ref="AK290:AK293"/>
    <mergeCell ref="AK294:AK297"/>
    <mergeCell ref="AQ306:AQ309"/>
    <mergeCell ref="AS306:AS309"/>
    <mergeCell ref="AI262:AI265"/>
    <mergeCell ref="AK282:AK285"/>
    <mergeCell ref="AK258:AK261"/>
    <mergeCell ref="AL274:AL277"/>
    <mergeCell ref="AL246:AL249"/>
    <mergeCell ref="AK250:AK253"/>
    <mergeCell ref="AM278:AM281"/>
    <mergeCell ref="AL298:AL301"/>
    <mergeCell ref="AS274:AS277"/>
    <mergeCell ref="AT278:AT281"/>
    <mergeCell ref="AT298:AT301"/>
    <mergeCell ref="AK298:AK301"/>
    <mergeCell ref="AK286:AK289"/>
    <mergeCell ref="AI282:AI285"/>
    <mergeCell ref="AS278:AS281"/>
    <mergeCell ref="AQ258:AQ261"/>
    <mergeCell ref="AS262:AS265"/>
    <mergeCell ref="AT286:AT289"/>
    <mergeCell ref="AT266:AT269"/>
    <mergeCell ref="AT282:AT285"/>
    <mergeCell ref="AP298:AP301"/>
    <mergeCell ref="AI298:AI301"/>
    <mergeCell ref="AK254:AK257"/>
    <mergeCell ref="AO254:AO257"/>
    <mergeCell ref="AL286:AL289"/>
    <mergeCell ref="AP286:AP289"/>
    <mergeCell ref="AP290:AP293"/>
    <mergeCell ref="AP294:AP297"/>
    <mergeCell ref="AO270:AO273"/>
    <mergeCell ref="AN274:AN277"/>
    <mergeCell ref="AI290:AI293"/>
    <mergeCell ref="AN270:AN273"/>
    <mergeCell ref="AM298:AM301"/>
    <mergeCell ref="AT274:AT277"/>
    <mergeCell ref="AT270:AT273"/>
    <mergeCell ref="AT262:AT265"/>
    <mergeCell ref="AT290:AT293"/>
    <mergeCell ref="AK242:AK245"/>
    <mergeCell ref="AM286:AM289"/>
    <mergeCell ref="AO274:AO277"/>
    <mergeCell ref="AM294:AM297"/>
    <mergeCell ref="AL290:AL293"/>
    <mergeCell ref="AM290:AM293"/>
    <mergeCell ref="AN282:AN285"/>
    <mergeCell ref="AN298:AN301"/>
    <mergeCell ref="AM262:AM265"/>
    <mergeCell ref="AN278:AN281"/>
    <mergeCell ref="AO258:AO261"/>
    <mergeCell ref="AQ266:AQ269"/>
    <mergeCell ref="AL282:AL285"/>
    <mergeCell ref="AL266:AL269"/>
    <mergeCell ref="AS258:AS261"/>
    <mergeCell ref="AI258:AI261"/>
    <mergeCell ref="AI254:AI257"/>
    <mergeCell ref="AP254:AP257"/>
    <mergeCell ref="AK266:AK269"/>
    <mergeCell ref="AM258:AM261"/>
    <mergeCell ref="AN258:AN261"/>
    <mergeCell ref="AM246:AM249"/>
    <mergeCell ref="AO266:AO269"/>
    <mergeCell ref="AQ270:AQ273"/>
    <mergeCell ref="AS298:AS301"/>
    <mergeCell ref="AP306:AP309"/>
    <mergeCell ref="AI242:AI245"/>
    <mergeCell ref="AI246:AI249"/>
    <mergeCell ref="AO298:AO301"/>
    <mergeCell ref="AM306:AM309"/>
    <mergeCell ref="AP302:AP305"/>
    <mergeCell ref="AS190:AS193"/>
    <mergeCell ref="AM186:AM189"/>
    <mergeCell ref="AQ206:AQ209"/>
    <mergeCell ref="AO230:AO233"/>
    <mergeCell ref="AQ234:AQ237"/>
    <mergeCell ref="AS254:AS257"/>
    <mergeCell ref="AM254:AM257"/>
    <mergeCell ref="AQ254:AQ257"/>
    <mergeCell ref="AS246:AS249"/>
    <mergeCell ref="AS250:AS253"/>
    <mergeCell ref="AM250:AM253"/>
    <mergeCell ref="AQ250:AQ253"/>
    <mergeCell ref="AP246:AP249"/>
    <mergeCell ref="AP214:AP217"/>
    <mergeCell ref="AO222:AO225"/>
    <mergeCell ref="AO218:AO221"/>
    <mergeCell ref="AS234:AS237"/>
    <mergeCell ref="AI238:AI241"/>
    <mergeCell ref="AL254:AL257"/>
    <mergeCell ref="AP262:AP265"/>
    <mergeCell ref="AP274:AP277"/>
    <mergeCell ref="AP258:AP261"/>
    <mergeCell ref="AQ294:AQ297"/>
    <mergeCell ref="AI278:AI281"/>
    <mergeCell ref="AP270:AP273"/>
    <mergeCell ref="AN290:AN293"/>
    <mergeCell ref="AQ278:AQ281"/>
    <mergeCell ref="AO226:AO229"/>
    <mergeCell ref="AP226:AP229"/>
    <mergeCell ref="AQ226:AQ229"/>
    <mergeCell ref="AS226:AS229"/>
    <mergeCell ref="AT226:AT229"/>
    <mergeCell ref="AS230:AS233"/>
    <mergeCell ref="AN254:AN257"/>
    <mergeCell ref="AT258:AT261"/>
    <mergeCell ref="AQ290:AQ293"/>
    <mergeCell ref="AT242:AT245"/>
    <mergeCell ref="AP242:AP245"/>
    <mergeCell ref="AT254:AT257"/>
    <mergeCell ref="AS242:AS245"/>
    <mergeCell ref="AO262:AO265"/>
    <mergeCell ref="AP278:AP281"/>
    <mergeCell ref="AP266:AP269"/>
    <mergeCell ref="AN286:AN289"/>
    <mergeCell ref="AT234:AT237"/>
    <mergeCell ref="AS238:AS241"/>
    <mergeCell ref="AO250:AO253"/>
    <mergeCell ref="AP238:AP241"/>
    <mergeCell ref="AQ242:AQ245"/>
    <mergeCell ref="AT238:AT241"/>
    <mergeCell ref="AO238:AO241"/>
    <mergeCell ref="AQ246:AQ249"/>
    <mergeCell ref="AP250:AP253"/>
    <mergeCell ref="AO242:AO245"/>
    <mergeCell ref="AT250:AT253"/>
    <mergeCell ref="AN238:AN241"/>
    <mergeCell ref="AT246:AT249"/>
    <mergeCell ref="AN226:AN229"/>
    <mergeCell ref="AN250:AN253"/>
    <mergeCell ref="AN246:AN249"/>
    <mergeCell ref="AO246:AO249"/>
    <mergeCell ref="AN230:AN233"/>
    <mergeCell ref="AQ238:AQ241"/>
    <mergeCell ref="AO234:AO237"/>
    <mergeCell ref="AS222:AS225"/>
    <mergeCell ref="AM242:AM245"/>
    <mergeCell ref="AM222:AM225"/>
    <mergeCell ref="AM238:AM241"/>
    <mergeCell ref="AN242:AN245"/>
    <mergeCell ref="AP234:AP237"/>
    <mergeCell ref="AN234:AN237"/>
    <mergeCell ref="AQ230:AQ233"/>
    <mergeCell ref="AP222:AP225"/>
    <mergeCell ref="AP230:AP233"/>
    <mergeCell ref="AN222:AN225"/>
    <mergeCell ref="AT174:AT177"/>
    <mergeCell ref="AS198:AS201"/>
    <mergeCell ref="AM210:AM213"/>
    <mergeCell ref="AT198:AT201"/>
    <mergeCell ref="AQ198:AQ201"/>
    <mergeCell ref="AT194:AT197"/>
    <mergeCell ref="AO214:AO217"/>
    <mergeCell ref="AS194:AS197"/>
    <mergeCell ref="AN218:AN221"/>
    <mergeCell ref="AN214:AN217"/>
    <mergeCell ref="AN190:AN193"/>
    <mergeCell ref="AN198:AN201"/>
    <mergeCell ref="AO190:AO193"/>
    <mergeCell ref="AO202:AO205"/>
    <mergeCell ref="AP194:AP197"/>
    <mergeCell ref="AM202:AM205"/>
    <mergeCell ref="AQ178:AQ181"/>
    <mergeCell ref="AS218:AS221"/>
    <mergeCell ref="AP190:AP193"/>
    <mergeCell ref="AP210:AP213"/>
    <mergeCell ref="AM182:AM185"/>
    <mergeCell ref="AN182:AN185"/>
    <mergeCell ref="AO182:AO185"/>
    <mergeCell ref="AP182:AP185"/>
    <mergeCell ref="AO186:AO189"/>
    <mergeCell ref="AQ182:AQ185"/>
    <mergeCell ref="AM206:AM209"/>
    <mergeCell ref="AS214:AS217"/>
    <mergeCell ref="AM218:AM221"/>
    <mergeCell ref="AN206:AN209"/>
    <mergeCell ref="AT206:AT209"/>
    <mergeCell ref="AN202:AN205"/>
    <mergeCell ref="AT230:AT233"/>
    <mergeCell ref="AQ214:AQ217"/>
    <mergeCell ref="AO210:AO213"/>
    <mergeCell ref="AT222:AT225"/>
    <mergeCell ref="AQ222:AQ225"/>
    <mergeCell ref="AM230:AM233"/>
    <mergeCell ref="AS202:AS205"/>
    <mergeCell ref="AQ218:AQ221"/>
    <mergeCell ref="AS186:AS189"/>
    <mergeCell ref="AM214:AM217"/>
    <mergeCell ref="AS178:AS181"/>
    <mergeCell ref="AT178:AT181"/>
    <mergeCell ref="AT182:AT185"/>
    <mergeCell ref="AT186:AT189"/>
    <mergeCell ref="AT202:AT205"/>
    <mergeCell ref="AP178:AP181"/>
    <mergeCell ref="AS206:AS209"/>
    <mergeCell ref="AM190:AM193"/>
    <mergeCell ref="AQ210:AQ213"/>
    <mergeCell ref="AT210:AT213"/>
    <mergeCell ref="AT214:AT217"/>
    <mergeCell ref="AM178:AM181"/>
    <mergeCell ref="AQ186:AQ189"/>
    <mergeCell ref="AP198:AP201"/>
    <mergeCell ref="AO178:AO181"/>
    <mergeCell ref="AT218:AT221"/>
    <mergeCell ref="AP218:AP221"/>
    <mergeCell ref="AO206:AO209"/>
    <mergeCell ref="AM198:AM201"/>
    <mergeCell ref="AN178:AN181"/>
    <mergeCell ref="AM226:AM229"/>
    <mergeCell ref="AO198:AO201"/>
    <mergeCell ref="AI202:AI205"/>
    <mergeCell ref="AK202:AK205"/>
    <mergeCell ref="AL178:AL181"/>
    <mergeCell ref="AQ162:AQ165"/>
    <mergeCell ref="AN186:AN189"/>
    <mergeCell ref="AS182:AS185"/>
    <mergeCell ref="AH218:AH221"/>
    <mergeCell ref="AI166:AI169"/>
    <mergeCell ref="AN158:AN161"/>
    <mergeCell ref="AS174:AS177"/>
    <mergeCell ref="AN210:AN213"/>
    <mergeCell ref="AM166:AM169"/>
    <mergeCell ref="AP186:AP189"/>
    <mergeCell ref="AO174:AO177"/>
    <mergeCell ref="AK174:AK177"/>
    <mergeCell ref="AK198:AK201"/>
    <mergeCell ref="AP170:AP173"/>
    <mergeCell ref="AO166:AO169"/>
    <mergeCell ref="AN166:AN169"/>
    <mergeCell ref="AQ158:AQ161"/>
    <mergeCell ref="AQ166:AQ169"/>
    <mergeCell ref="AQ170:AQ173"/>
    <mergeCell ref="AL186:AL189"/>
    <mergeCell ref="AL194:AL197"/>
    <mergeCell ref="AK166:AK169"/>
    <mergeCell ref="AN170:AN173"/>
    <mergeCell ref="AM170:AM173"/>
    <mergeCell ref="AL170:AL173"/>
    <mergeCell ref="AS210:AS213"/>
    <mergeCell ref="AM174:AM177"/>
    <mergeCell ref="AI206:AI209"/>
    <mergeCell ref="AK210:AK213"/>
    <mergeCell ref="AO62:AO65"/>
    <mergeCell ref="AO94:AO97"/>
    <mergeCell ref="AI218:AI221"/>
    <mergeCell ref="AK218:AK221"/>
    <mergeCell ref="AI214:AI217"/>
    <mergeCell ref="AP166:AP169"/>
    <mergeCell ref="AS170:AS173"/>
    <mergeCell ref="AI174:AI177"/>
    <mergeCell ref="AI186:AI189"/>
    <mergeCell ref="AK186:AK189"/>
    <mergeCell ref="AP174:AP177"/>
    <mergeCell ref="AN150:AN153"/>
    <mergeCell ref="AM154:AM157"/>
    <mergeCell ref="AN154:AN157"/>
    <mergeCell ref="AO150:AO153"/>
    <mergeCell ref="AQ154:AQ157"/>
    <mergeCell ref="AO126:AO129"/>
    <mergeCell ref="AN126:AN129"/>
    <mergeCell ref="AL90:AL93"/>
    <mergeCell ref="AS146:AS149"/>
    <mergeCell ref="AQ146:AQ149"/>
    <mergeCell ref="AO114:AO117"/>
    <mergeCell ref="AN138:AN141"/>
    <mergeCell ref="AQ98:AQ101"/>
    <mergeCell ref="AS106:AS109"/>
    <mergeCell ref="AN110:AN113"/>
    <mergeCell ref="AS122:AS125"/>
    <mergeCell ref="AO98:AO101"/>
    <mergeCell ref="AI194:AI197"/>
    <mergeCell ref="AK106:AK109"/>
    <mergeCell ref="AL106:AL109"/>
    <mergeCell ref="AP138:AP141"/>
    <mergeCell ref="AL154:AL157"/>
    <mergeCell ref="AM126:AM129"/>
    <mergeCell ref="AI146:AI149"/>
    <mergeCell ref="AE154:AE157"/>
    <mergeCell ref="AG122:AG125"/>
    <mergeCell ref="AF114:AF117"/>
    <mergeCell ref="AG114:AG117"/>
    <mergeCell ref="AM122:AM125"/>
    <mergeCell ref="AM142:AM145"/>
    <mergeCell ref="AN122:AN125"/>
    <mergeCell ref="AG126:AG129"/>
    <mergeCell ref="AK154:AK157"/>
    <mergeCell ref="AI150:AI153"/>
    <mergeCell ref="AK130:AK133"/>
    <mergeCell ref="AL130:AL133"/>
    <mergeCell ref="AM130:AM133"/>
    <mergeCell ref="AN130:AN133"/>
    <mergeCell ref="AE146:AE149"/>
    <mergeCell ref="AK134:AK137"/>
    <mergeCell ref="AL134:AL137"/>
    <mergeCell ref="AM134:AM137"/>
    <mergeCell ref="AN134:AN137"/>
    <mergeCell ref="AE118:AE121"/>
    <mergeCell ref="AI130:AI133"/>
    <mergeCell ref="AL142:AL145"/>
    <mergeCell ref="AI134:AI137"/>
    <mergeCell ref="AI122:AI125"/>
    <mergeCell ref="AF142:AF145"/>
    <mergeCell ref="AE126:AE129"/>
    <mergeCell ref="AE138:AE141"/>
    <mergeCell ref="AS46:AS49"/>
    <mergeCell ref="AM58:AM61"/>
    <mergeCell ref="AO70:AO73"/>
    <mergeCell ref="AM46:AM49"/>
    <mergeCell ref="AL46:AL49"/>
    <mergeCell ref="AL82:AL85"/>
    <mergeCell ref="AP62:AP65"/>
    <mergeCell ref="AL58:AL61"/>
    <mergeCell ref="AK62:AK65"/>
    <mergeCell ref="AQ66:AQ69"/>
    <mergeCell ref="AL98:AL101"/>
    <mergeCell ref="AL94:AL97"/>
    <mergeCell ref="AI102:AI105"/>
    <mergeCell ref="AN58:AN61"/>
    <mergeCell ref="AG150:AG153"/>
    <mergeCell ref="AI126:AI129"/>
    <mergeCell ref="AI142:AI145"/>
    <mergeCell ref="AP142:AP145"/>
    <mergeCell ref="AL122:AL125"/>
    <mergeCell ref="AQ150:AQ153"/>
    <mergeCell ref="AK146:AK149"/>
    <mergeCell ref="AM150:AM153"/>
    <mergeCell ref="AL150:AL153"/>
    <mergeCell ref="AP146:AP149"/>
    <mergeCell ref="AO138:AO141"/>
    <mergeCell ref="AO146:AO149"/>
    <mergeCell ref="AM110:AM113"/>
    <mergeCell ref="AO106:AO109"/>
    <mergeCell ref="AS142:AS145"/>
    <mergeCell ref="AP114:AP117"/>
    <mergeCell ref="AK102:AK105"/>
    <mergeCell ref="AL146:AL149"/>
    <mergeCell ref="AT38:AT41"/>
    <mergeCell ref="AN38:AN41"/>
    <mergeCell ref="AQ58:AQ61"/>
    <mergeCell ref="AN42:AN45"/>
    <mergeCell ref="AS62:AS65"/>
    <mergeCell ref="AS58:AS61"/>
    <mergeCell ref="AM66:AM69"/>
    <mergeCell ref="AN66:AN69"/>
    <mergeCell ref="AT74:AT77"/>
    <mergeCell ref="AP78:AP81"/>
    <mergeCell ref="AT42:AT45"/>
    <mergeCell ref="AO82:AO85"/>
    <mergeCell ref="AM82:AM85"/>
    <mergeCell ref="AL74:AL77"/>
    <mergeCell ref="AQ74:AQ77"/>
    <mergeCell ref="AK74:AK77"/>
    <mergeCell ref="AO42:AO45"/>
    <mergeCell ref="AN82:AN85"/>
    <mergeCell ref="AQ38:AQ41"/>
    <mergeCell ref="AL42:AL45"/>
    <mergeCell ref="AK38:AK41"/>
    <mergeCell ref="AL78:AL81"/>
    <mergeCell ref="AP74:AP77"/>
    <mergeCell ref="AQ82:AQ85"/>
    <mergeCell ref="AQ70:AQ73"/>
    <mergeCell ref="AQ62:AQ65"/>
    <mergeCell ref="AP82:AP85"/>
    <mergeCell ref="AL70:AL73"/>
    <mergeCell ref="AO74:AO77"/>
    <mergeCell ref="AT78:AT81"/>
    <mergeCell ref="AT62:AT65"/>
    <mergeCell ref="AO78:AO81"/>
    <mergeCell ref="K114:K117"/>
    <mergeCell ref="L110:L113"/>
    <mergeCell ref="R134:R137"/>
    <mergeCell ref="S134:S137"/>
    <mergeCell ref="S150:S153"/>
    <mergeCell ref="O142:O145"/>
    <mergeCell ref="P126:P129"/>
    <mergeCell ref="Q126:Q129"/>
    <mergeCell ref="Q150:Q153"/>
    <mergeCell ref="P146:P149"/>
    <mergeCell ref="S170:S173"/>
    <mergeCell ref="R170:R173"/>
    <mergeCell ref="Q170:Q173"/>
    <mergeCell ref="P138:P141"/>
    <mergeCell ref="K214:K217"/>
    <mergeCell ref="J178:J181"/>
    <mergeCell ref="K206:K209"/>
    <mergeCell ref="N210:N213"/>
    <mergeCell ref="M126:M129"/>
    <mergeCell ref="L194:L197"/>
    <mergeCell ref="K110:K113"/>
    <mergeCell ref="S126:S129"/>
    <mergeCell ref="L210:L213"/>
    <mergeCell ref="N198:N201"/>
    <mergeCell ref="N202:N205"/>
    <mergeCell ref="M206:M209"/>
    <mergeCell ref="M198:M201"/>
    <mergeCell ref="M210:M213"/>
    <mergeCell ref="O210:O213"/>
    <mergeCell ref="P210:P213"/>
    <mergeCell ref="Q142:Q145"/>
    <mergeCell ref="R142:R145"/>
    <mergeCell ref="A202:A205"/>
    <mergeCell ref="E190:E193"/>
    <mergeCell ref="E198:E201"/>
    <mergeCell ref="B174:B177"/>
    <mergeCell ref="G174:G177"/>
    <mergeCell ref="F190:F193"/>
    <mergeCell ref="H214:H217"/>
    <mergeCell ref="G190:G193"/>
    <mergeCell ref="F174:F177"/>
    <mergeCell ref="A162:A165"/>
    <mergeCell ref="I178:I181"/>
    <mergeCell ref="F166:F169"/>
    <mergeCell ref="D170:D173"/>
    <mergeCell ref="I194:I197"/>
    <mergeCell ref="A210:A213"/>
    <mergeCell ref="C206:C209"/>
    <mergeCell ref="D190:D193"/>
    <mergeCell ref="G166:G169"/>
    <mergeCell ref="C166:C169"/>
    <mergeCell ref="G214:G217"/>
    <mergeCell ref="E202:E205"/>
    <mergeCell ref="D198:D201"/>
    <mergeCell ref="E178:E181"/>
    <mergeCell ref="D166:D169"/>
    <mergeCell ref="A214:A217"/>
    <mergeCell ref="B214:B217"/>
    <mergeCell ref="C174:C177"/>
    <mergeCell ref="H174:H177"/>
    <mergeCell ref="C186:C189"/>
    <mergeCell ref="I166:I169"/>
    <mergeCell ref="D206:D209"/>
    <mergeCell ref="F206:F209"/>
    <mergeCell ref="B158:B161"/>
    <mergeCell ref="J190:J193"/>
    <mergeCell ref="J186:J189"/>
    <mergeCell ref="F178:F181"/>
    <mergeCell ref="J166:J169"/>
    <mergeCell ref="F214:F217"/>
    <mergeCell ref="E170:E173"/>
    <mergeCell ref="D174:D177"/>
    <mergeCell ref="F218:F221"/>
    <mergeCell ref="B218:B221"/>
    <mergeCell ref="D218:D221"/>
    <mergeCell ref="D214:D217"/>
    <mergeCell ref="J210:J213"/>
    <mergeCell ref="J214:J217"/>
    <mergeCell ref="I210:I213"/>
    <mergeCell ref="F210:F213"/>
    <mergeCell ref="G178:G181"/>
    <mergeCell ref="F170:F173"/>
    <mergeCell ref="G186:G189"/>
    <mergeCell ref="J174:J177"/>
    <mergeCell ref="H210:H213"/>
    <mergeCell ref="B186:B189"/>
    <mergeCell ref="J198:J201"/>
    <mergeCell ref="G206:G209"/>
    <mergeCell ref="E210:E213"/>
    <mergeCell ref="C170:C173"/>
    <mergeCell ref="C178:C181"/>
    <mergeCell ref="I158:I161"/>
    <mergeCell ref="H158:H161"/>
    <mergeCell ref="G158:G161"/>
    <mergeCell ref="H198:H201"/>
    <mergeCell ref="C190:C193"/>
    <mergeCell ref="B222:B225"/>
    <mergeCell ref="C234:C237"/>
    <mergeCell ref="C242:C245"/>
    <mergeCell ref="I190:I193"/>
    <mergeCell ref="H190:H193"/>
    <mergeCell ref="G234:G237"/>
    <mergeCell ref="H218:H221"/>
    <mergeCell ref="B198:B201"/>
    <mergeCell ref="B202:B205"/>
    <mergeCell ref="D202:D205"/>
    <mergeCell ref="H206:H209"/>
    <mergeCell ref="G210:G213"/>
    <mergeCell ref="E206:E209"/>
    <mergeCell ref="G218:G221"/>
    <mergeCell ref="G226:G229"/>
    <mergeCell ref="C218:C221"/>
    <mergeCell ref="G198:G201"/>
    <mergeCell ref="C210:C213"/>
    <mergeCell ref="H222:H225"/>
    <mergeCell ref="H202:H205"/>
    <mergeCell ref="I206:I209"/>
    <mergeCell ref="I202:I205"/>
    <mergeCell ref="G202:G205"/>
    <mergeCell ref="H226:H229"/>
    <mergeCell ref="I226:I229"/>
    <mergeCell ref="I222:I225"/>
    <mergeCell ref="G238:G241"/>
    <mergeCell ref="H194:H197"/>
    <mergeCell ref="E242:E245"/>
    <mergeCell ref="I242:I245"/>
    <mergeCell ref="A206:A209"/>
    <mergeCell ref="A198:A201"/>
    <mergeCell ref="B206:B209"/>
    <mergeCell ref="B190:B193"/>
    <mergeCell ref="A222:A225"/>
    <mergeCell ref="F242:F245"/>
    <mergeCell ref="A234:A237"/>
    <mergeCell ref="D242:D245"/>
    <mergeCell ref="B234:B237"/>
    <mergeCell ref="E238:E241"/>
    <mergeCell ref="A226:A229"/>
    <mergeCell ref="B226:B229"/>
    <mergeCell ref="C226:C229"/>
    <mergeCell ref="D226:D229"/>
    <mergeCell ref="E226:E229"/>
    <mergeCell ref="F226:F229"/>
    <mergeCell ref="A238:A241"/>
    <mergeCell ref="C202:C205"/>
    <mergeCell ref="D222:D225"/>
    <mergeCell ref="E214:E217"/>
    <mergeCell ref="F194:F197"/>
    <mergeCell ref="B194:B197"/>
    <mergeCell ref="C194:C197"/>
    <mergeCell ref="A218:A221"/>
    <mergeCell ref="A242:A245"/>
    <mergeCell ref="F198:F201"/>
    <mergeCell ref="E218:E221"/>
    <mergeCell ref="C214:C217"/>
    <mergeCell ref="C238:C241"/>
    <mergeCell ref="D210:D213"/>
    <mergeCell ref="B242:B245"/>
    <mergeCell ref="F222:F225"/>
    <mergeCell ref="AF230:AF233"/>
    <mergeCell ref="AE218:AE221"/>
    <mergeCell ref="AA214:AA217"/>
    <mergeCell ref="K218:K221"/>
    <mergeCell ref="X238:X241"/>
    <mergeCell ref="S250:S253"/>
    <mergeCell ref="H234:H237"/>
    <mergeCell ref="G230:G233"/>
    <mergeCell ref="D234:D237"/>
    <mergeCell ref="E234:E237"/>
    <mergeCell ref="F234:F237"/>
    <mergeCell ref="G222:G225"/>
    <mergeCell ref="J218:J221"/>
    <mergeCell ref="AF214:AF217"/>
    <mergeCell ref="S238:S241"/>
    <mergeCell ref="O214:O217"/>
    <mergeCell ref="F250:F253"/>
    <mergeCell ref="AF226:AF229"/>
    <mergeCell ref="F238:F241"/>
    <mergeCell ref="D238:D241"/>
    <mergeCell ref="G242:G245"/>
    <mergeCell ref="K242:K245"/>
    <mergeCell ref="M242:M245"/>
    <mergeCell ref="I214:I217"/>
    <mergeCell ref="X230:X233"/>
    <mergeCell ref="O242:O245"/>
    <mergeCell ref="X214:X217"/>
    <mergeCell ref="V230:V233"/>
    <mergeCell ref="P242:P245"/>
    <mergeCell ref="Q250:Q253"/>
    <mergeCell ref="H238:H241"/>
    <mergeCell ref="I218:I221"/>
    <mergeCell ref="AQ174:AQ177"/>
    <mergeCell ref="AL182:AL185"/>
    <mergeCell ref="AF182:AF185"/>
    <mergeCell ref="B238:B241"/>
    <mergeCell ref="B210:B213"/>
    <mergeCell ref="C198:C201"/>
    <mergeCell ref="F202:F205"/>
    <mergeCell ref="AG214:AG217"/>
    <mergeCell ref="AF222:AF225"/>
    <mergeCell ref="AF234:AF237"/>
    <mergeCell ref="U238:U241"/>
    <mergeCell ref="Q234:Q237"/>
    <mergeCell ref="S234:S237"/>
    <mergeCell ref="E222:E225"/>
    <mergeCell ref="AC230:AC233"/>
    <mergeCell ref="AG206:AG209"/>
    <mergeCell ref="I186:I189"/>
    <mergeCell ref="H186:H189"/>
    <mergeCell ref="I174:I177"/>
    <mergeCell ref="E174:E177"/>
    <mergeCell ref="C222:C225"/>
    <mergeCell ref="AC234:AC237"/>
    <mergeCell ref="Y234:Y237"/>
    <mergeCell ref="AK206:AK209"/>
    <mergeCell ref="AC206:AC209"/>
    <mergeCell ref="F186:F189"/>
    <mergeCell ref="D186:D189"/>
    <mergeCell ref="I198:I201"/>
    <mergeCell ref="G194:G197"/>
    <mergeCell ref="E194:E197"/>
    <mergeCell ref="AC178:AC181"/>
    <mergeCell ref="U194:U197"/>
    <mergeCell ref="AT158:AT161"/>
    <mergeCell ref="AL158:AL161"/>
    <mergeCell ref="AK178:AK181"/>
    <mergeCell ref="AK162:AK165"/>
    <mergeCell ref="AQ202:AQ205"/>
    <mergeCell ref="AM194:AM197"/>
    <mergeCell ref="AF194:AF197"/>
    <mergeCell ref="AM158:AM161"/>
    <mergeCell ref="AO170:AO173"/>
    <mergeCell ref="AN174:AN177"/>
    <mergeCell ref="AF186:AF189"/>
    <mergeCell ref="AM162:AM165"/>
    <mergeCell ref="AT190:AT193"/>
    <mergeCell ref="AQ194:AQ197"/>
    <mergeCell ref="AQ190:AQ193"/>
    <mergeCell ref="AI198:AI201"/>
    <mergeCell ref="AP162:AP165"/>
    <mergeCell ref="AP158:AP161"/>
    <mergeCell ref="AP202:AP205"/>
    <mergeCell ref="AN194:AN197"/>
    <mergeCell ref="AO194:AO197"/>
    <mergeCell ref="AF158:AF161"/>
    <mergeCell ref="AS162:AS165"/>
    <mergeCell ref="AG178:AG181"/>
    <mergeCell ref="AK190:AK193"/>
    <mergeCell ref="AG202:AG205"/>
    <mergeCell ref="AI178:AI181"/>
    <mergeCell ref="AG158:AG161"/>
    <mergeCell ref="AG166:AG169"/>
    <mergeCell ref="AK194:AK197"/>
    <mergeCell ref="AL198:AL201"/>
    <mergeCell ref="AG194:AG197"/>
    <mergeCell ref="AQ22:AQ25"/>
    <mergeCell ref="AL22:AL25"/>
    <mergeCell ref="AM22:AM25"/>
    <mergeCell ref="AN22:AN25"/>
    <mergeCell ref="AO22:AO25"/>
    <mergeCell ref="AP22:AP25"/>
    <mergeCell ref="AG170:AG173"/>
    <mergeCell ref="AF118:AF121"/>
    <mergeCell ref="AG118:AG121"/>
    <mergeCell ref="AI118:AI121"/>
    <mergeCell ref="AK118:AK121"/>
    <mergeCell ref="AL118:AL121"/>
    <mergeCell ref="AM118:AM121"/>
    <mergeCell ref="AN118:AN121"/>
    <mergeCell ref="AO118:AO121"/>
    <mergeCell ref="AP118:AP121"/>
    <mergeCell ref="AL190:AL193"/>
    <mergeCell ref="AG190:AG193"/>
    <mergeCell ref="AI190:AI193"/>
    <mergeCell ref="AI170:AI173"/>
    <mergeCell ref="AL166:AL169"/>
    <mergeCell ref="AL174:AL177"/>
    <mergeCell ref="AG174:AG177"/>
    <mergeCell ref="AQ118:AQ121"/>
    <mergeCell ref="AI114:AI117"/>
    <mergeCell ref="AK114:AK117"/>
    <mergeCell ref="AL114:AL117"/>
    <mergeCell ref="AM114:AM117"/>
    <mergeCell ref="AG154:AG157"/>
    <mergeCell ref="AN146:AN149"/>
    <mergeCell ref="AK138:AK141"/>
    <mergeCell ref="AG130:AG133"/>
    <mergeCell ref="AS154:AS157"/>
    <mergeCell ref="AS114:AS117"/>
    <mergeCell ref="AM146:AM149"/>
    <mergeCell ref="AG138:AG141"/>
    <mergeCell ref="AI138:AI141"/>
    <mergeCell ref="AI110:AI113"/>
    <mergeCell ref="AG146:AG149"/>
    <mergeCell ref="AG106:AG109"/>
    <mergeCell ref="AI162:AI165"/>
    <mergeCell ref="AG162:AG165"/>
    <mergeCell ref="AK86:AK89"/>
    <mergeCell ref="AO90:AO93"/>
    <mergeCell ref="AO86:AO89"/>
    <mergeCell ref="AP90:AP93"/>
    <mergeCell ref="AM78:AM81"/>
    <mergeCell ref="AQ114:AQ117"/>
    <mergeCell ref="AE162:AE165"/>
    <mergeCell ref="AF154:AF157"/>
    <mergeCell ref="AF146:AF149"/>
    <mergeCell ref="AI154:AI157"/>
    <mergeCell ref="AF150:AF153"/>
    <mergeCell ref="AO130:AO133"/>
    <mergeCell ref="AP130:AP133"/>
    <mergeCell ref="AQ130:AQ133"/>
    <mergeCell ref="AS130:AS133"/>
    <mergeCell ref="AE150:AE153"/>
    <mergeCell ref="AE122:AE125"/>
    <mergeCell ref="AS118:AS121"/>
    <mergeCell ref="AS150:AS153"/>
    <mergeCell ref="AL138:AL141"/>
    <mergeCell ref="AN142:AN145"/>
    <mergeCell ref="AO154:AO157"/>
    <mergeCell ref="G170:G173"/>
    <mergeCell ref="N166:N169"/>
    <mergeCell ref="J170:J173"/>
    <mergeCell ref="I170:I173"/>
    <mergeCell ref="K170:K173"/>
    <mergeCell ref="M166:M169"/>
    <mergeCell ref="E186:E189"/>
    <mergeCell ref="H178:H181"/>
    <mergeCell ref="O178:O181"/>
    <mergeCell ref="R178:R181"/>
    <mergeCell ref="S174:S177"/>
    <mergeCell ref="S130:S133"/>
    <mergeCell ref="S182:S185"/>
    <mergeCell ref="K186:K189"/>
    <mergeCell ref="N190:N193"/>
    <mergeCell ref="M186:M189"/>
    <mergeCell ref="P190:P193"/>
    <mergeCell ref="L170:L173"/>
    <mergeCell ref="N170:N173"/>
    <mergeCell ref="R154:R157"/>
    <mergeCell ref="Q154:Q157"/>
    <mergeCell ref="E142:E145"/>
    <mergeCell ref="P166:P169"/>
    <mergeCell ref="O186:O189"/>
    <mergeCell ref="K166:K169"/>
    <mergeCell ref="L190:L193"/>
    <mergeCell ref="L178:L181"/>
    <mergeCell ref="P174:P177"/>
    <mergeCell ref="R186:R189"/>
    <mergeCell ref="R182:R185"/>
    <mergeCell ref="O170:O173"/>
    <mergeCell ref="O190:O193"/>
    <mergeCell ref="AC166:AC169"/>
    <mergeCell ref="H166:H169"/>
    <mergeCell ref="E166:E169"/>
    <mergeCell ref="U190:U193"/>
    <mergeCell ref="V178:V181"/>
    <mergeCell ref="Y190:Y193"/>
    <mergeCell ref="X166:X169"/>
    <mergeCell ref="W166:W169"/>
    <mergeCell ref="V190:V193"/>
    <mergeCell ref="S190:S193"/>
    <mergeCell ref="P178:P181"/>
    <mergeCell ref="S178:S181"/>
    <mergeCell ref="AC182:AC185"/>
    <mergeCell ref="AB130:AB133"/>
    <mergeCell ref="Q182:Q185"/>
    <mergeCell ref="AC146:AC149"/>
    <mergeCell ref="AA138:AA141"/>
    <mergeCell ref="T154:T157"/>
    <mergeCell ref="AC142:AC145"/>
    <mergeCell ref="W138:W141"/>
    <mergeCell ref="T170:T173"/>
    <mergeCell ref="U174:U177"/>
    <mergeCell ref="H170:H173"/>
    <mergeCell ref="U178:U181"/>
    <mergeCell ref="Q178:Q181"/>
    <mergeCell ref="R174:R177"/>
    <mergeCell ref="M178:M181"/>
    <mergeCell ref="M174:M177"/>
    <mergeCell ref="M170:M173"/>
    <mergeCell ref="T166:T169"/>
    <mergeCell ref="AA170:AA173"/>
    <mergeCell ref="U166:U169"/>
    <mergeCell ref="A190:A193"/>
    <mergeCell ref="A178:A181"/>
    <mergeCell ref="A194:A197"/>
    <mergeCell ref="A186:A189"/>
    <mergeCell ref="R166:R169"/>
    <mergeCell ref="S166:S169"/>
    <mergeCell ref="O166:O169"/>
    <mergeCell ref="Q166:Q169"/>
    <mergeCell ref="Q186:Q189"/>
    <mergeCell ref="D178:D181"/>
    <mergeCell ref="B170:B173"/>
    <mergeCell ref="R194:R197"/>
    <mergeCell ref="T190:T193"/>
    <mergeCell ref="D194:D197"/>
    <mergeCell ref="B178:B181"/>
    <mergeCell ref="AI182:AI185"/>
    <mergeCell ref="AK182:AK185"/>
    <mergeCell ref="B182:B185"/>
    <mergeCell ref="C182:C185"/>
    <mergeCell ref="D182:D185"/>
    <mergeCell ref="E182:E185"/>
    <mergeCell ref="F182:F185"/>
    <mergeCell ref="G182:G185"/>
    <mergeCell ref="H182:H185"/>
    <mergeCell ref="I182:I185"/>
    <mergeCell ref="J182:J185"/>
    <mergeCell ref="K182:K185"/>
    <mergeCell ref="L182:L185"/>
    <mergeCell ref="M182:M185"/>
    <mergeCell ref="N182:N185"/>
    <mergeCell ref="O182:O185"/>
    <mergeCell ref="P182:P185"/>
    <mergeCell ref="AG186:AG189"/>
    <mergeCell ref="A182:A185"/>
    <mergeCell ref="K178:K181"/>
    <mergeCell ref="K190:K193"/>
    <mergeCell ref="A174:A177"/>
    <mergeCell ref="T182:T185"/>
    <mergeCell ref="U182:U185"/>
    <mergeCell ref="B166:B169"/>
    <mergeCell ref="U134:U137"/>
    <mergeCell ref="V134:V137"/>
    <mergeCell ref="W134:W137"/>
    <mergeCell ref="X134:X137"/>
    <mergeCell ref="Y134:Y137"/>
    <mergeCell ref="AA134:AA137"/>
    <mergeCell ref="AC134:AC137"/>
    <mergeCell ref="AE134:AE137"/>
    <mergeCell ref="AF134:AF137"/>
    <mergeCell ref="AG134:AG137"/>
    <mergeCell ref="A166:A169"/>
    <mergeCell ref="A170:A173"/>
    <mergeCell ref="AG182:AG185"/>
    <mergeCell ref="AE166:AE169"/>
    <mergeCell ref="K174:K177"/>
    <mergeCell ref="L186:L189"/>
    <mergeCell ref="N178:N181"/>
    <mergeCell ref="Q174:Q177"/>
    <mergeCell ref="M190:M193"/>
    <mergeCell ref="N174:N177"/>
    <mergeCell ref="T178:T181"/>
    <mergeCell ref="T174:T177"/>
    <mergeCell ref="AA178:AA181"/>
    <mergeCell ref="AC190:AC193"/>
    <mergeCell ref="A134:A137"/>
    <mergeCell ref="B134:B137"/>
    <mergeCell ref="C134:C137"/>
    <mergeCell ref="D134:D137"/>
    <mergeCell ref="E134:E137"/>
    <mergeCell ref="F134:F137"/>
    <mergeCell ref="G134:G137"/>
    <mergeCell ref="H134:H137"/>
    <mergeCell ref="I134:I137"/>
    <mergeCell ref="J134:J137"/>
    <mergeCell ref="K134:K137"/>
    <mergeCell ref="L134:L137"/>
    <mergeCell ref="M134:M137"/>
    <mergeCell ref="N134:N137"/>
    <mergeCell ref="O134:O137"/>
    <mergeCell ref="P134:P137"/>
    <mergeCell ref="Q134:Q137"/>
    <mergeCell ref="A130:A133"/>
    <mergeCell ref="U130:U133"/>
    <mergeCell ref="V130:V133"/>
    <mergeCell ref="W130:W133"/>
    <mergeCell ref="X130:X133"/>
    <mergeCell ref="AA130:AA133"/>
    <mergeCell ref="AC130:AC133"/>
    <mergeCell ref="AE130:AE133"/>
    <mergeCell ref="AF130:AF133"/>
    <mergeCell ref="B130:B133"/>
    <mergeCell ref="C130:C133"/>
    <mergeCell ref="D130:D133"/>
    <mergeCell ref="E130:E133"/>
    <mergeCell ref="F130:F133"/>
    <mergeCell ref="G130:G133"/>
    <mergeCell ref="H130:H133"/>
    <mergeCell ref="I130:I133"/>
    <mergeCell ref="J130:J133"/>
    <mergeCell ref="K130:K133"/>
    <mergeCell ref="L130:L133"/>
    <mergeCell ref="M130:M133"/>
    <mergeCell ref="N130:N133"/>
    <mergeCell ref="O130:O133"/>
    <mergeCell ref="P130:P133"/>
    <mergeCell ref="Q130:Q133"/>
    <mergeCell ref="R130:R133"/>
    <mergeCell ref="Y130:Y133"/>
    <mergeCell ref="T130:T133"/>
    <mergeCell ref="A54:A57"/>
    <mergeCell ref="B54:B57"/>
    <mergeCell ref="C54:C57"/>
    <mergeCell ref="D54:D57"/>
    <mergeCell ref="E54:E57"/>
    <mergeCell ref="F54:F57"/>
    <mergeCell ref="G54:G57"/>
    <mergeCell ref="H54:H57"/>
    <mergeCell ref="I54:I57"/>
    <mergeCell ref="J54:J57"/>
    <mergeCell ref="K54:K57"/>
    <mergeCell ref="L54:L57"/>
    <mergeCell ref="M54:M57"/>
    <mergeCell ref="N54:N57"/>
    <mergeCell ref="O54:O57"/>
    <mergeCell ref="P54:P57"/>
    <mergeCell ref="Q54:Q57"/>
    <mergeCell ref="AN54:AN57"/>
    <mergeCell ref="AO54:AO57"/>
    <mergeCell ref="AP54:AP57"/>
    <mergeCell ref="AQ54:AQ57"/>
    <mergeCell ref="AS54:AS57"/>
    <mergeCell ref="AT54:AT57"/>
    <mergeCell ref="R54:R57"/>
    <mergeCell ref="S54:S57"/>
    <mergeCell ref="T54:T57"/>
    <mergeCell ref="U54:U57"/>
    <mergeCell ref="V54:V57"/>
    <mergeCell ref="W54:W57"/>
    <mergeCell ref="X54:X57"/>
    <mergeCell ref="Y54:Y57"/>
    <mergeCell ref="AA54:AA57"/>
    <mergeCell ref="AC54:AC57"/>
    <mergeCell ref="AE54:AE57"/>
    <mergeCell ref="AF54:AF57"/>
    <mergeCell ref="AG54:AG57"/>
    <mergeCell ref="AI54:AI57"/>
    <mergeCell ref="AK54:AK57"/>
    <mergeCell ref="AL54:AL57"/>
    <mergeCell ref="AM54:AM57"/>
  </mergeCells>
  <phoneticPr fontId="88" type="noConversion"/>
  <conditionalFormatting sqref="W2:W13 W158:W169 W258:W265 W286:W289 W214:W225 W110:W113 W18:W21 W126:W129 W274:W281 W174:W181 W294:W1048576 W30:W49 W230:W253 W186:W209 W138:W153 W58:W101">
    <cfRule type="containsText" dxfId="1721" priority="48" operator="containsText" text="Access">
      <formula>NOT(ISERROR(SEARCH("Access",W2)))</formula>
    </cfRule>
  </conditionalFormatting>
  <conditionalFormatting sqref="X1:X13 X158:X169 X258:X265 X286:X289 X214:X225 X110:X113 X18:X21 X126:X129 X274:X281 X174:X181 X294:X1048576 X30:X49 X230:X253 X186:X209 X138:X153 X58:X101">
    <cfRule type="containsText" dxfId="1720" priority="47" operator="containsText" text="Yes">
      <formula>NOT(ISERROR(SEARCH("Yes",X1)))</formula>
    </cfRule>
  </conditionalFormatting>
  <conditionalFormatting sqref="W154:W157">
    <cfRule type="containsText" dxfId="1719" priority="46" operator="containsText" text="Access">
      <formula>NOT(ISERROR(SEARCH("Access",W154)))</formula>
    </cfRule>
  </conditionalFormatting>
  <conditionalFormatting sqref="X154:X157">
    <cfRule type="containsText" dxfId="1718" priority="45" operator="containsText" text="Yes">
      <formula>NOT(ISERROR(SEARCH("Yes",X154)))</formula>
    </cfRule>
  </conditionalFormatting>
  <conditionalFormatting sqref="W254:W257">
    <cfRule type="containsText" dxfId="1717" priority="44" operator="containsText" text="Access">
      <formula>NOT(ISERROR(SEARCH("Access",W254)))</formula>
    </cfRule>
  </conditionalFormatting>
  <conditionalFormatting sqref="X254:X257">
    <cfRule type="containsText" dxfId="1716" priority="43" operator="containsText" text="Yes">
      <formula>NOT(ISERROR(SEARCH("Yes",X254)))</formula>
    </cfRule>
  </conditionalFormatting>
  <conditionalFormatting sqref="W282:W285">
    <cfRule type="containsText" dxfId="1715" priority="42" operator="containsText" text="Access">
      <formula>NOT(ISERROR(SEARCH("Access",W282)))</formula>
    </cfRule>
  </conditionalFormatting>
  <conditionalFormatting sqref="X282:X285">
    <cfRule type="containsText" dxfId="1714" priority="41" operator="containsText" text="Yes">
      <formula>NOT(ISERROR(SEARCH("Yes",X282)))</formula>
    </cfRule>
  </conditionalFormatting>
  <conditionalFormatting sqref="W210:W213">
    <cfRule type="containsText" dxfId="1713" priority="40" operator="containsText" text="Access">
      <formula>NOT(ISERROR(SEARCH("Access",W210)))</formula>
    </cfRule>
  </conditionalFormatting>
  <conditionalFormatting sqref="X210:X213">
    <cfRule type="containsText" dxfId="1712" priority="39" operator="containsText" text="Yes">
      <formula>NOT(ISERROR(SEARCH("Yes",X210)))</formula>
    </cfRule>
  </conditionalFormatting>
  <conditionalFormatting sqref="W102:W105">
    <cfRule type="containsText" dxfId="1711" priority="38" operator="containsText" text="Access">
      <formula>NOT(ISERROR(SEARCH("Access",W102)))</formula>
    </cfRule>
  </conditionalFormatting>
  <conditionalFormatting sqref="X102:X105">
    <cfRule type="containsText" dxfId="1710" priority="37" operator="containsText" text="Yes">
      <formula>NOT(ISERROR(SEARCH("Yes",X102)))</formula>
    </cfRule>
  </conditionalFormatting>
  <conditionalFormatting sqref="W106:W109">
    <cfRule type="containsText" dxfId="1709" priority="36" operator="containsText" text="Access">
      <formula>NOT(ISERROR(SEARCH("Access",W106)))</formula>
    </cfRule>
  </conditionalFormatting>
  <conditionalFormatting sqref="X106:X109">
    <cfRule type="containsText" dxfId="1708" priority="35" operator="containsText" text="Yes">
      <formula>NOT(ISERROR(SEARCH("Yes",X106)))</formula>
    </cfRule>
  </conditionalFormatting>
  <conditionalFormatting sqref="W170:W173">
    <cfRule type="containsText" dxfId="1707" priority="34" operator="containsText" text="Access">
      <formula>NOT(ISERROR(SEARCH("Access",W170)))</formula>
    </cfRule>
  </conditionalFormatting>
  <conditionalFormatting sqref="X170:X173">
    <cfRule type="containsText" dxfId="1706" priority="33" operator="containsText" text="Yes">
      <formula>NOT(ISERROR(SEARCH("Yes",X170)))</formula>
    </cfRule>
  </conditionalFormatting>
  <conditionalFormatting sqref="W122:W125">
    <cfRule type="containsText" dxfId="1705" priority="32" operator="containsText" text="Access">
      <formula>NOT(ISERROR(SEARCH("Access",W122)))</formula>
    </cfRule>
  </conditionalFormatting>
  <conditionalFormatting sqref="X122:X125">
    <cfRule type="containsText" dxfId="1704" priority="31" operator="containsText" text="Yes">
      <formula>NOT(ISERROR(SEARCH("Yes",X122)))</formula>
    </cfRule>
  </conditionalFormatting>
  <conditionalFormatting sqref="W266:W269">
    <cfRule type="containsText" dxfId="1703" priority="30" operator="containsText" text="Access">
      <formula>NOT(ISERROR(SEARCH("Access",W266)))</formula>
    </cfRule>
  </conditionalFormatting>
  <conditionalFormatting sqref="X266:X269">
    <cfRule type="containsText" dxfId="1702" priority="29" operator="containsText" text="Yes">
      <formula>NOT(ISERROR(SEARCH("Yes",X266)))</formula>
    </cfRule>
  </conditionalFormatting>
  <conditionalFormatting sqref="W270:W273">
    <cfRule type="containsText" dxfId="1701" priority="28" operator="containsText" text="Access">
      <formula>NOT(ISERROR(SEARCH("Access",W270)))</formula>
    </cfRule>
  </conditionalFormatting>
  <conditionalFormatting sqref="X270:X273">
    <cfRule type="containsText" dxfId="1700" priority="27" operator="containsText" text="Yes">
      <formula>NOT(ISERROR(SEARCH("Yes",X270)))</formula>
    </cfRule>
  </conditionalFormatting>
  <conditionalFormatting sqref="W290:W293">
    <cfRule type="containsText" dxfId="1699" priority="24" operator="containsText" text="Access">
      <formula>NOT(ISERROR(SEARCH("Access",W290)))</formula>
    </cfRule>
  </conditionalFormatting>
  <conditionalFormatting sqref="X290:X293">
    <cfRule type="containsText" dxfId="1698" priority="23" operator="containsText" text="Yes">
      <formula>NOT(ISERROR(SEARCH("Yes",X290)))</formula>
    </cfRule>
  </conditionalFormatting>
  <conditionalFormatting sqref="W26:W29">
    <cfRule type="containsText" dxfId="1697" priority="20" operator="containsText" text="Access">
      <formula>NOT(ISERROR(SEARCH("Access",W26)))</formula>
    </cfRule>
  </conditionalFormatting>
  <conditionalFormatting sqref="X26:X29">
    <cfRule type="containsText" dxfId="1696" priority="19" operator="containsText" text="Yes">
      <formula>NOT(ISERROR(SEARCH("Yes",X26)))</formula>
    </cfRule>
  </conditionalFormatting>
  <conditionalFormatting sqref="W22:W25">
    <cfRule type="containsText" dxfId="1695" priority="18" operator="containsText" text="Access">
      <formula>NOT(ISERROR(SEARCH("Access",W22)))</formula>
    </cfRule>
  </conditionalFormatting>
  <conditionalFormatting sqref="X22:X25">
    <cfRule type="containsText" dxfId="1694" priority="17" operator="containsText" text="Yes">
      <formula>NOT(ISERROR(SEARCH("Yes",X22)))</formula>
    </cfRule>
  </conditionalFormatting>
  <conditionalFormatting sqref="W114:W117">
    <cfRule type="containsText" dxfId="1693" priority="16" operator="containsText" text="Access">
      <formula>NOT(ISERROR(SEARCH("Access",W114)))</formula>
    </cfRule>
  </conditionalFormatting>
  <conditionalFormatting sqref="X114:X117">
    <cfRule type="containsText" dxfId="1692" priority="15" operator="containsText" text="Yes">
      <formula>NOT(ISERROR(SEARCH("Yes",X114)))</formula>
    </cfRule>
  </conditionalFormatting>
  <conditionalFormatting sqref="W226:W229">
    <cfRule type="containsText" dxfId="1691" priority="14" operator="containsText" text="Access">
      <formula>NOT(ISERROR(SEARCH("Access",W226)))</formula>
    </cfRule>
  </conditionalFormatting>
  <conditionalFormatting sqref="X226:X229">
    <cfRule type="containsText" dxfId="1690" priority="13" operator="containsText" text="Yes">
      <formula>NOT(ISERROR(SEARCH("Yes",X226)))</formula>
    </cfRule>
  </conditionalFormatting>
  <conditionalFormatting sqref="W182:W185">
    <cfRule type="containsText" dxfId="1689" priority="12" operator="containsText" text="Access">
      <formula>NOT(ISERROR(SEARCH("Access",W182)))</formula>
    </cfRule>
  </conditionalFormatting>
  <conditionalFormatting sqref="X182:X185">
    <cfRule type="containsText" dxfId="1688" priority="11" operator="containsText" text="Yes">
      <formula>NOT(ISERROR(SEARCH("Yes",X182)))</formula>
    </cfRule>
  </conditionalFormatting>
  <conditionalFormatting sqref="W118:W121">
    <cfRule type="containsText" dxfId="1687" priority="10" operator="containsText" text="Access">
      <formula>NOT(ISERROR(SEARCH("Access",W118)))</formula>
    </cfRule>
  </conditionalFormatting>
  <conditionalFormatting sqref="X118:X121">
    <cfRule type="containsText" dxfId="1686" priority="9" operator="containsText" text="Yes">
      <formula>NOT(ISERROR(SEARCH("Yes",X118)))</formula>
    </cfRule>
  </conditionalFormatting>
  <conditionalFormatting sqref="W134:W137">
    <cfRule type="containsText" dxfId="1685" priority="8" operator="containsText" text="Access">
      <formula>NOT(ISERROR(SEARCH("Access",W134)))</formula>
    </cfRule>
  </conditionalFormatting>
  <conditionalFormatting sqref="X134:X137">
    <cfRule type="containsText" dxfId="1684" priority="7" operator="containsText" text="Yes">
      <formula>NOT(ISERROR(SEARCH("Yes",X134)))</formula>
    </cfRule>
  </conditionalFormatting>
  <conditionalFormatting sqref="W130:W133">
    <cfRule type="containsText" dxfId="1683" priority="6" operator="containsText" text="Access">
      <formula>NOT(ISERROR(SEARCH("Access",W130)))</formula>
    </cfRule>
  </conditionalFormatting>
  <conditionalFormatting sqref="X130:X133">
    <cfRule type="containsText" dxfId="1682" priority="5" operator="containsText" text="Yes">
      <formula>NOT(ISERROR(SEARCH("Yes",X130)))</formula>
    </cfRule>
  </conditionalFormatting>
  <conditionalFormatting sqref="W50:W53">
    <cfRule type="containsText" dxfId="1681" priority="4" operator="containsText" text="Access">
      <formula>NOT(ISERROR(SEARCH("Access",W50)))</formula>
    </cfRule>
  </conditionalFormatting>
  <conditionalFormatting sqref="X50:X53">
    <cfRule type="containsText" dxfId="1680" priority="3" operator="containsText" text="Yes">
      <formula>NOT(ISERROR(SEARCH("Yes",X50)))</formula>
    </cfRule>
  </conditionalFormatting>
  <conditionalFormatting sqref="W54:W57">
    <cfRule type="containsText" dxfId="1679" priority="2" operator="containsText" text="Access">
      <formula>NOT(ISERROR(SEARCH("Access",W54)))</formula>
    </cfRule>
  </conditionalFormatting>
  <conditionalFormatting sqref="X54:X57">
    <cfRule type="containsText" dxfId="1678" priority="1" operator="containsText" text="Yes">
      <formula>NOT(ISERROR(SEARCH("Yes",X54)))</formula>
    </cfRule>
  </conditionalFormatting>
  <pageMargins left="0.7" right="0.7" top="0.75" bottom="0.75" header="0.3" footer="0.3"/>
  <pageSetup scale="30" orientation="portrait" r:id="rId2"/>
  <rowBreaks count="2" manualBreakCount="2">
    <brk id="237" max="62" man="1"/>
    <brk id="281" max="62" man="1"/>
  </rowBreaks>
  <colBreaks count="3" manualBreakCount="3">
    <brk id="14" max="256" man="1"/>
    <brk id="27" max="256" man="1"/>
    <brk id="44" max="1048575" man="1"/>
  </colBreak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50"/>
  </sheetPr>
  <dimension ref="A1:BK1180"/>
  <sheetViews>
    <sheetView view="pageBreakPreview" zoomScale="85" zoomScaleNormal="90" zoomScaleSheetLayoutView="85" zoomScalePageLayoutView="70" workbookViewId="0">
      <pane xSplit="23" ySplit="3" topLeftCell="X4" activePane="bottomRight" state="frozen"/>
      <selection activeCell="B22" sqref="B22"/>
      <selection pane="topRight" activeCell="B22" sqref="B22"/>
      <selection pane="bottomLeft" activeCell="B22" sqref="B22"/>
      <selection pane="bottomRight" activeCell="A5" sqref="A5"/>
    </sheetView>
  </sheetViews>
  <sheetFormatPr defaultColWidth="8" defaultRowHeight="12.75"/>
  <cols>
    <col min="1" max="1" width="9.375" style="1265" customWidth="1"/>
    <col min="2" max="2" width="7" style="1265" hidden="1" customWidth="1"/>
    <col min="3" max="3" width="10.375" style="1265" customWidth="1"/>
    <col min="4" max="6" width="10.375" style="1265" hidden="1" customWidth="1"/>
    <col min="7" max="7" width="10.375" style="1265" customWidth="1"/>
    <col min="8" max="11" width="10.375" style="1265" hidden="1" customWidth="1"/>
    <col min="12" max="12" width="12.625" style="1268" customWidth="1"/>
    <col min="13" max="13" width="13.125" style="1268" customWidth="1"/>
    <col min="14" max="14" width="38" style="1268" customWidth="1"/>
    <col min="15" max="16" width="21.625" style="1269" customWidth="1"/>
    <col min="17" max="23" width="10.375" style="1265" hidden="1" customWidth="1"/>
    <col min="24" max="24" width="9.375" style="1270" customWidth="1"/>
    <col min="25" max="25" width="7.625" style="1270" customWidth="1"/>
    <col min="26" max="26" width="8.5" style="1271" hidden="1" customWidth="1"/>
    <col min="27" max="27" width="13.875" style="1271" hidden="1" customWidth="1"/>
    <col min="28" max="28" width="15.625" style="1272" hidden="1" customWidth="1"/>
    <col min="29" max="31" width="14.125" style="1272" hidden="1" customWidth="1"/>
    <col min="32" max="32" width="14.125" style="1273" hidden="1" customWidth="1"/>
    <col min="33" max="34" width="14.375" style="1266" hidden="1" customWidth="1"/>
    <col min="35" max="35" width="13" style="1513" hidden="1" customWidth="1"/>
    <col min="36" max="36" width="10.875" style="1267" hidden="1" customWidth="1"/>
    <col min="37" max="37" width="13" style="1267" hidden="1" customWidth="1"/>
    <col min="38" max="38" width="13.875" style="1273" hidden="1" customWidth="1"/>
    <col min="39" max="39" width="13.875" style="1272" hidden="1" customWidth="1"/>
    <col min="40" max="40" width="13.875" style="1513" hidden="1" customWidth="1"/>
    <col min="41" max="41" width="13.875" style="1272" hidden="1" customWidth="1"/>
    <col min="42" max="42" width="13.875" style="1513" hidden="1" customWidth="1"/>
    <col min="43" max="43" width="13.875" style="1272" hidden="1" customWidth="1"/>
    <col min="44" max="44" width="13.875" style="1513" hidden="1" customWidth="1"/>
    <col min="45" max="45" width="13.875" style="1272" hidden="1" customWidth="1"/>
    <col min="46" max="46" width="13.875" style="1513" hidden="1" customWidth="1"/>
    <col min="47" max="47" width="13.875" style="1272" hidden="1" customWidth="1"/>
    <col min="48" max="48" width="13.875" style="1513" hidden="1" customWidth="1"/>
    <col min="49" max="49" width="13.875" style="1272" hidden="1" customWidth="1"/>
    <col min="50" max="50" width="13.875" style="1513" hidden="1" customWidth="1"/>
    <col min="51" max="51" width="13.875" style="1272" hidden="1" customWidth="1"/>
    <col min="52" max="52" width="13.875" style="1513" hidden="1" customWidth="1"/>
    <col min="53" max="53" width="13.875" style="1272" hidden="1" customWidth="1"/>
    <col min="54" max="54" width="13.875" style="1514" hidden="1" customWidth="1"/>
    <col min="55" max="55" width="13.125" style="1271" customWidth="1"/>
    <col min="56" max="57" width="11.625" style="1271" customWidth="1"/>
    <col min="58" max="58" width="13" style="1271" customWidth="1"/>
    <col min="59" max="59" width="13.125" style="1517" customWidth="1"/>
    <col min="60" max="63" width="8" style="1265" customWidth="1"/>
    <col min="64" max="16384" width="8" style="1265"/>
  </cols>
  <sheetData>
    <row r="1" spans="1:59" hidden="1">
      <c r="A1" s="1265">
        <v>1</v>
      </c>
      <c r="C1" s="1265">
        <v>7</v>
      </c>
      <c r="D1" s="1265">
        <v>8</v>
      </c>
      <c r="F1" s="1265">
        <v>5</v>
      </c>
      <c r="G1" s="1265">
        <v>3</v>
      </c>
      <c r="H1" s="1265">
        <v>4</v>
      </c>
      <c r="I1" s="1265">
        <v>6</v>
      </c>
      <c r="L1" s="1265">
        <v>9</v>
      </c>
      <c r="M1" s="1265">
        <v>10</v>
      </c>
      <c r="N1" s="1265">
        <v>11</v>
      </c>
      <c r="O1" s="1265">
        <v>12</v>
      </c>
      <c r="P1" s="1265"/>
      <c r="X1" s="1265">
        <v>13</v>
      </c>
      <c r="Y1" s="1265">
        <v>14</v>
      </c>
      <c r="Z1" s="1265">
        <v>15</v>
      </c>
      <c r="AA1" s="1265">
        <v>42</v>
      </c>
      <c r="AB1" s="1265">
        <v>17</v>
      </c>
      <c r="AC1" s="1265">
        <v>18</v>
      </c>
      <c r="AD1" s="1265">
        <v>19</v>
      </c>
      <c r="AE1" s="1265">
        <v>20</v>
      </c>
      <c r="AF1" s="1265">
        <v>21</v>
      </c>
      <c r="AH1" s="1266">
        <v>22</v>
      </c>
      <c r="AI1" s="1265">
        <v>23</v>
      </c>
      <c r="AJ1" s="1267">
        <v>24</v>
      </c>
      <c r="AK1" s="1267">
        <v>24</v>
      </c>
      <c r="AL1" s="1265">
        <v>25</v>
      </c>
      <c r="AM1" s="1265">
        <v>26</v>
      </c>
      <c r="AN1" s="1265">
        <v>27</v>
      </c>
      <c r="AO1" s="1265">
        <v>28</v>
      </c>
      <c r="AP1" s="1265">
        <v>29</v>
      </c>
      <c r="AQ1" s="1265">
        <v>30</v>
      </c>
      <c r="AR1" s="1265">
        <v>31</v>
      </c>
      <c r="AS1" s="1265">
        <v>32</v>
      </c>
      <c r="AT1" s="1265">
        <v>33</v>
      </c>
      <c r="AU1" s="1265">
        <v>34</v>
      </c>
      <c r="AV1" s="1265">
        <v>35</v>
      </c>
      <c r="AW1" s="1265">
        <v>36</v>
      </c>
      <c r="AX1" s="1265">
        <v>37</v>
      </c>
      <c r="AY1" s="1265">
        <v>38</v>
      </c>
      <c r="AZ1" s="1265">
        <v>39</v>
      </c>
      <c r="BA1" s="1265">
        <v>40</v>
      </c>
      <c r="BB1" s="1265">
        <v>41</v>
      </c>
      <c r="BC1" s="1265">
        <v>72</v>
      </c>
      <c r="BD1" s="1265">
        <v>73</v>
      </c>
      <c r="BE1" s="1265">
        <v>74</v>
      </c>
      <c r="BF1" s="1265">
        <v>75</v>
      </c>
      <c r="BG1" s="1265">
        <v>78</v>
      </c>
    </row>
    <row r="2" spans="1:59" ht="24.75" hidden="1" customHeight="1">
      <c r="AI2" s="1863" t="s">
        <v>4603</v>
      </c>
      <c r="AJ2" s="1863"/>
      <c r="AK2" s="1863"/>
      <c r="AL2" s="1864" t="s">
        <v>4604</v>
      </c>
      <c r="AM2" s="1865"/>
      <c r="AN2" s="1866" t="s">
        <v>4605</v>
      </c>
      <c r="AO2" s="1867"/>
      <c r="AP2" s="1868" t="s">
        <v>4606</v>
      </c>
      <c r="AQ2" s="1869"/>
      <c r="AR2" s="1870" t="s">
        <v>4607</v>
      </c>
      <c r="AS2" s="1871"/>
      <c r="AT2" s="1871"/>
      <c r="AU2" s="1871"/>
      <c r="AV2" s="1871"/>
      <c r="AW2" s="1872"/>
      <c r="AX2" s="1873" t="s">
        <v>4608</v>
      </c>
      <c r="AY2" s="1874"/>
      <c r="AZ2" s="1875" t="s">
        <v>4609</v>
      </c>
      <c r="BA2" s="1876"/>
      <c r="BB2" s="1274" t="s">
        <v>4610</v>
      </c>
      <c r="BC2" s="1877" t="s">
        <v>4611</v>
      </c>
      <c r="BD2" s="1878"/>
      <c r="BE2" s="1878"/>
      <c r="BF2" s="1878"/>
      <c r="BG2" s="1275" t="s">
        <v>4612</v>
      </c>
    </row>
    <row r="3" spans="1:59" s="1315" customFormat="1" ht="50.25" customHeight="1">
      <c r="A3" s="1276" t="s">
        <v>3641</v>
      </c>
      <c r="B3" s="1276" t="s">
        <v>4613</v>
      </c>
      <c r="C3" s="1276" t="s">
        <v>4614</v>
      </c>
      <c r="D3" s="1277" t="s">
        <v>4615</v>
      </c>
      <c r="E3" s="1277" t="s">
        <v>4616</v>
      </c>
      <c r="F3" s="1278" t="s">
        <v>4617</v>
      </c>
      <c r="G3" s="1279" t="s">
        <v>4618</v>
      </c>
      <c r="H3" s="1279" t="s">
        <v>4619</v>
      </c>
      <c r="I3" s="1280" t="s">
        <v>4620</v>
      </c>
      <c r="J3" s="1277" t="s">
        <v>284</v>
      </c>
      <c r="K3" s="1277" t="s">
        <v>4621</v>
      </c>
      <c r="L3" s="1278" t="s">
        <v>2506</v>
      </c>
      <c r="M3" s="1281" t="s">
        <v>4622</v>
      </c>
      <c r="N3" s="1281" t="s">
        <v>4623</v>
      </c>
      <c r="O3" s="1282" t="s">
        <v>4624</v>
      </c>
      <c r="P3" s="1283" t="s">
        <v>4625</v>
      </c>
      <c r="Q3" s="1277" t="s">
        <v>2475</v>
      </c>
      <c r="R3" s="1277" t="s">
        <v>3642</v>
      </c>
      <c r="S3" s="1277" t="s">
        <v>3643</v>
      </c>
      <c r="T3" s="1277" t="s">
        <v>3644</v>
      </c>
      <c r="U3" s="1277" t="s">
        <v>4626</v>
      </c>
      <c r="V3" s="1277" t="s">
        <v>4627</v>
      </c>
      <c r="W3" s="1277" t="s">
        <v>4628</v>
      </c>
      <c r="X3" s="1284" t="s">
        <v>3645</v>
      </c>
      <c r="Y3" s="1284" t="s">
        <v>3646</v>
      </c>
      <c r="Z3" s="1285" t="s">
        <v>4629</v>
      </c>
      <c r="AA3" s="1285" t="s">
        <v>4630</v>
      </c>
      <c r="AB3" s="1286" t="s">
        <v>4631</v>
      </c>
      <c r="AC3" s="1286" t="s">
        <v>4632</v>
      </c>
      <c r="AD3" s="1287" t="s">
        <v>4633</v>
      </c>
      <c r="AE3" s="1287" t="s">
        <v>4634</v>
      </c>
      <c r="AF3" s="1288" t="s">
        <v>4635</v>
      </c>
      <c r="AG3" s="1289" t="s">
        <v>4636</v>
      </c>
      <c r="AH3" s="1290" t="s">
        <v>4637</v>
      </c>
      <c r="AI3" s="1291" t="s">
        <v>4638</v>
      </c>
      <c r="AJ3" s="1292" t="s">
        <v>4639</v>
      </c>
      <c r="AK3" s="1293" t="s">
        <v>4640</v>
      </c>
      <c r="AL3" s="1294" t="s">
        <v>4641</v>
      </c>
      <c r="AM3" s="1295" t="s">
        <v>4642</v>
      </c>
      <c r="AN3" s="1296" t="s">
        <v>4643</v>
      </c>
      <c r="AO3" s="1297" t="s">
        <v>4644</v>
      </c>
      <c r="AP3" s="1298" t="s">
        <v>4645</v>
      </c>
      <c r="AQ3" s="1299" t="s">
        <v>4646</v>
      </c>
      <c r="AR3" s="1300" t="s">
        <v>4647</v>
      </c>
      <c r="AS3" s="1301" t="s">
        <v>4648</v>
      </c>
      <c r="AT3" s="1302" t="s">
        <v>4649</v>
      </c>
      <c r="AU3" s="1303" t="s">
        <v>4650</v>
      </c>
      <c r="AV3" s="1304" t="s">
        <v>4651</v>
      </c>
      <c r="AW3" s="1305" t="s">
        <v>4652</v>
      </c>
      <c r="AX3" s="1306" t="s">
        <v>4653</v>
      </c>
      <c r="AY3" s="1307" t="s">
        <v>4654</v>
      </c>
      <c r="AZ3" s="1308" t="s">
        <v>4655</v>
      </c>
      <c r="BA3" s="1309" t="s">
        <v>4656</v>
      </c>
      <c r="BB3" s="1310" t="s">
        <v>4657</v>
      </c>
      <c r="BC3" s="1311" t="s">
        <v>4658</v>
      </c>
      <c r="BD3" s="1311" t="s">
        <v>20</v>
      </c>
      <c r="BE3" s="1312" t="s">
        <v>21</v>
      </c>
      <c r="BF3" s="1313" t="s">
        <v>22</v>
      </c>
      <c r="BG3" s="1314" t="s">
        <v>4659</v>
      </c>
    </row>
    <row r="4" spans="1:59" s="1315" customFormat="1" ht="42.75" customHeight="1">
      <c r="A4" s="1277" t="str">
        <f t="shared" ref="A4:A19" si="0">$L$4</f>
        <v>ActivX Biosciences, Inc.</v>
      </c>
      <c r="B4" s="1277" t="s">
        <v>4660</v>
      </c>
      <c r="C4" s="1316">
        <f t="shared" ref="C4:C19" si="1">$Z$4</f>
        <v>31</v>
      </c>
      <c r="D4" s="1317">
        <v>42736</v>
      </c>
      <c r="E4" s="1317"/>
      <c r="F4" s="1277" t="s">
        <v>72</v>
      </c>
      <c r="G4" s="1277" t="s">
        <v>72</v>
      </c>
      <c r="H4" s="1277" t="s">
        <v>72</v>
      </c>
      <c r="I4" s="1277" t="s">
        <v>113</v>
      </c>
      <c r="J4" s="1317"/>
      <c r="K4" s="1317"/>
      <c r="L4" s="1318" t="s">
        <v>3608</v>
      </c>
      <c r="M4" s="1319"/>
      <c r="N4" s="1320" t="s">
        <v>4661</v>
      </c>
      <c r="O4" s="1321" t="s">
        <v>2474</v>
      </c>
      <c r="P4" s="1321"/>
      <c r="Q4" s="1322"/>
      <c r="R4" s="1322"/>
      <c r="S4" s="1322"/>
      <c r="T4" s="1322"/>
      <c r="U4" s="1322"/>
      <c r="V4" s="1322"/>
      <c r="W4" s="1322"/>
      <c r="X4" s="1317">
        <v>43101</v>
      </c>
      <c r="Y4" s="1317">
        <v>43466</v>
      </c>
      <c r="Z4" s="1316">
        <v>31</v>
      </c>
      <c r="AA4" s="1316" t="s">
        <v>4662</v>
      </c>
      <c r="AB4" s="1323">
        <f>SUM(AB5:AB20)</f>
        <v>0</v>
      </c>
      <c r="AC4" s="1323">
        <f>SUM(AC5:AC20)</f>
        <v>0</v>
      </c>
      <c r="AD4" s="1323">
        <f>SUM(AD5:AD20)</f>
        <v>0</v>
      </c>
      <c r="AE4" s="1324">
        <f>AD4-AB4</f>
        <v>0</v>
      </c>
      <c r="AF4" s="1325" t="str">
        <f>IFERROR((AE4/AB4),"")</f>
        <v/>
      </c>
      <c r="AG4" s="1326">
        <f t="shared" ref="AG4:AG79" si="2">AH4/12</f>
        <v>33061.762400000007</v>
      </c>
      <c r="AH4" s="1326">
        <f>SUM(AH5:AH20)</f>
        <v>396741.14880000008</v>
      </c>
      <c r="AI4" s="1327"/>
      <c r="AJ4" s="1328">
        <f>SUM(AJ5:AJ20)</f>
        <v>2910.6029599999993</v>
      </c>
      <c r="AK4" s="1328">
        <f>SUM(AK5:AK20)</f>
        <v>34927.235520000002</v>
      </c>
      <c r="AL4" s="1329"/>
      <c r="AM4" s="1330">
        <f>SUM(AM5:AM20)</f>
        <v>1592.4432000000002</v>
      </c>
      <c r="AN4" s="1331"/>
      <c r="AO4" s="1332">
        <f>SUM(AO5:AO20)</f>
        <v>0</v>
      </c>
      <c r="AP4" s="1333"/>
      <c r="AQ4" s="1334">
        <f>SUM(AQ5:AQ20)</f>
        <v>0</v>
      </c>
      <c r="AR4" s="1335"/>
      <c r="AS4" s="1336">
        <f>SUM(AS5:AS20)</f>
        <v>19648.903679999999</v>
      </c>
      <c r="AT4" s="1337"/>
      <c r="AU4" s="1338">
        <f>SUM(AU5:AU20)</f>
        <v>7962.2160000000003</v>
      </c>
      <c r="AV4" s="1339"/>
      <c r="AW4" s="1340">
        <f>SUM(AW5:AW20)</f>
        <v>5723.6726399999989</v>
      </c>
      <c r="AX4" s="1306"/>
      <c r="AY4" s="1307">
        <f>SUM(AW4+AS4+AU4)</f>
        <v>33334.79232</v>
      </c>
      <c r="AZ4" s="1341"/>
      <c r="BA4" s="1309">
        <f>SUM(AY4+AQ4)</f>
        <v>33334.79232</v>
      </c>
      <c r="BB4" s="1342">
        <f>(AW4+AU4)/(AK4-AM4)</f>
        <v>0.41055868921039673</v>
      </c>
      <c r="BC4" s="1343"/>
      <c r="BD4" s="1343"/>
      <c r="BE4" s="1344"/>
      <c r="BF4" s="1345" t="s">
        <v>4663</v>
      </c>
      <c r="BG4" s="1346"/>
    </row>
    <row r="5" spans="1:59" s="1378" customFormat="1" ht="65.25" customHeight="1">
      <c r="A5" s="1347" t="str">
        <f t="shared" si="0"/>
        <v>ActivX Biosciences, Inc.</v>
      </c>
      <c r="B5" s="1347" t="s">
        <v>4660</v>
      </c>
      <c r="C5" s="1348">
        <f t="shared" si="1"/>
        <v>31</v>
      </c>
      <c r="D5" s="1349">
        <v>42736</v>
      </c>
      <c r="E5" s="1349"/>
      <c r="F5" s="1347" t="s">
        <v>85</v>
      </c>
      <c r="G5" s="1347" t="s">
        <v>85</v>
      </c>
      <c r="H5" s="1347" t="s">
        <v>85</v>
      </c>
      <c r="I5" s="1347" t="s">
        <v>113</v>
      </c>
      <c r="J5" s="1349"/>
      <c r="K5" s="1349" t="s">
        <v>254</v>
      </c>
      <c r="L5" s="1350" t="s">
        <v>2661</v>
      </c>
      <c r="M5" s="1350" t="s">
        <v>3647</v>
      </c>
      <c r="N5" s="1351" t="s">
        <v>4664</v>
      </c>
      <c r="O5" s="1352" t="s">
        <v>4665</v>
      </c>
      <c r="P5" s="1352" t="s">
        <v>4666</v>
      </c>
      <c r="Q5" s="1353" t="s">
        <v>317</v>
      </c>
      <c r="R5" s="1353" t="s">
        <v>3648</v>
      </c>
      <c r="S5" s="1353" t="s">
        <v>307</v>
      </c>
      <c r="T5" s="1353" t="s">
        <v>113</v>
      </c>
      <c r="U5" s="1354"/>
      <c r="V5" s="1354"/>
      <c r="W5" s="1354"/>
      <c r="X5" s="1353">
        <v>43101</v>
      </c>
      <c r="Y5" s="1353">
        <v>43466</v>
      </c>
      <c r="Z5" s="1355"/>
      <c r="AA5" s="1355" t="s">
        <v>4667</v>
      </c>
      <c r="AB5" s="1356"/>
      <c r="AC5" s="1356"/>
      <c r="AD5" s="1356"/>
      <c r="AE5" s="1356"/>
      <c r="AF5" s="1357" t="str">
        <f t="shared" ref="AF5:AF92" si="3">IFERROR((AE5/AB5),"")</f>
        <v/>
      </c>
      <c r="AG5" s="1358">
        <f t="shared" si="2"/>
        <v>26540.720000000001</v>
      </c>
      <c r="AH5" s="1358">
        <v>318488.64</v>
      </c>
      <c r="AI5" s="1359">
        <v>0.08</v>
      </c>
      <c r="AJ5" s="1360">
        <f t="shared" ref="AJ5:AJ20" si="4">$AI5*$AG5</f>
        <v>2123.2575999999999</v>
      </c>
      <c r="AK5" s="1361">
        <f t="shared" ref="AK5:AK20" si="5">AI5*$AH5</f>
        <v>25479.091200000003</v>
      </c>
      <c r="AL5" s="1362">
        <v>5.0000000000000001E-3</v>
      </c>
      <c r="AM5" s="1363">
        <f t="shared" ref="AM5:AM20" si="6">AL5*$AH5</f>
        <v>1592.4432000000002</v>
      </c>
      <c r="AN5" s="1364">
        <v>0</v>
      </c>
      <c r="AO5" s="1365">
        <f t="shared" ref="AO5:AO20" si="7">AN5*$AH5</f>
        <v>0</v>
      </c>
      <c r="AP5" s="1366">
        <v>0</v>
      </c>
      <c r="AQ5" s="1367">
        <f t="shared" ref="AQ5:AQ20" si="8">AP5*$AH5</f>
        <v>0</v>
      </c>
      <c r="AR5" s="1368">
        <v>0.04</v>
      </c>
      <c r="AS5" s="1369">
        <f t="shared" ref="AS5:AS20" si="9">AR5*$AH5</f>
        <v>12739.545600000001</v>
      </c>
      <c r="AT5" s="1370">
        <v>2.5000000000000001E-2</v>
      </c>
      <c r="AU5" s="1371">
        <f t="shared" ref="AU5:AU20" si="10">AT5*$AH5</f>
        <v>7962.2160000000003</v>
      </c>
      <c r="AV5" s="1359">
        <f t="shared" ref="AV5:AV20" si="11">AZ5-AR5-AT5-AP5</f>
        <v>9.999999999999995E-3</v>
      </c>
      <c r="AW5" s="1372">
        <f t="shared" ref="AW5:AW20" si="12">AV5*$AH5</f>
        <v>3184.8863999999985</v>
      </c>
      <c r="AX5" s="1373">
        <f t="shared" ref="AX5:AX20" si="13">$AZ5-$AP5</f>
        <v>7.4999999999999997E-2</v>
      </c>
      <c r="AY5" s="1374">
        <f t="shared" ref="AY5:AY20" si="14">AX5*$AH5</f>
        <v>23886.648000000001</v>
      </c>
      <c r="AZ5" s="1375">
        <f t="shared" ref="AZ5:AZ20" si="15">$AI5-$AL5-$AN5</f>
        <v>7.4999999999999997E-2</v>
      </c>
      <c r="BA5" s="1376">
        <f t="shared" ref="BA5:BA20" si="16">AZ5*$AH5</f>
        <v>23886.648000000001</v>
      </c>
      <c r="BB5" s="1377"/>
      <c r="BC5" s="1819" t="s">
        <v>1315</v>
      </c>
      <c r="BD5" s="1819" t="s">
        <v>4668</v>
      </c>
      <c r="BE5" s="1822" t="s">
        <v>232</v>
      </c>
      <c r="BF5" s="1825" t="s">
        <v>4669</v>
      </c>
      <c r="BG5" s="1828">
        <v>330831285</v>
      </c>
    </row>
    <row r="6" spans="1:59" s="1378" customFormat="1" ht="38.25">
      <c r="A6" s="1347" t="str">
        <f t="shared" si="0"/>
        <v>ActivX Biosciences, Inc.</v>
      </c>
      <c r="B6" s="1347" t="s">
        <v>4660</v>
      </c>
      <c r="C6" s="1348">
        <f t="shared" si="1"/>
        <v>31</v>
      </c>
      <c r="D6" s="1349">
        <v>42736</v>
      </c>
      <c r="E6" s="1349"/>
      <c r="F6" s="1347" t="s">
        <v>72</v>
      </c>
      <c r="G6" s="1347" t="s">
        <v>85</v>
      </c>
      <c r="H6" s="1347" t="s">
        <v>72</v>
      </c>
      <c r="I6" s="1347" t="s">
        <v>72</v>
      </c>
      <c r="J6" s="1349" t="s">
        <v>4670</v>
      </c>
      <c r="K6" s="1349" t="s">
        <v>254</v>
      </c>
      <c r="L6" s="1350" t="s">
        <v>4671</v>
      </c>
      <c r="M6" s="1350" t="s">
        <v>3649</v>
      </c>
      <c r="N6" s="1379" t="s">
        <v>4672</v>
      </c>
      <c r="O6" s="1352" t="s">
        <v>4673</v>
      </c>
      <c r="P6" s="1352"/>
      <c r="Q6" s="1354"/>
      <c r="R6" s="1354"/>
      <c r="S6" s="1354"/>
      <c r="T6" s="1354"/>
      <c r="U6" s="1354"/>
      <c r="V6" s="1354"/>
      <c r="W6" s="1354"/>
      <c r="X6" s="1353">
        <v>43101</v>
      </c>
      <c r="Y6" s="1353">
        <v>43466</v>
      </c>
      <c r="Z6" s="1355"/>
      <c r="AA6" s="1355" t="s">
        <v>4674</v>
      </c>
      <c r="AB6" s="1356"/>
      <c r="AC6" s="1356"/>
      <c r="AD6" s="1356"/>
      <c r="AE6" s="1356"/>
      <c r="AF6" s="1357" t="str">
        <f t="shared" si="3"/>
        <v/>
      </c>
      <c r="AG6" s="1380"/>
      <c r="AH6" s="1380"/>
      <c r="AI6" s="1381">
        <v>0</v>
      </c>
      <c r="AJ6" s="1382">
        <f t="shared" si="4"/>
        <v>0</v>
      </c>
      <c r="AK6" s="1383">
        <f t="shared" si="5"/>
        <v>0</v>
      </c>
      <c r="AL6" s="1384">
        <v>0</v>
      </c>
      <c r="AM6" s="1363">
        <f t="shared" si="6"/>
        <v>0</v>
      </c>
      <c r="AN6" s="1364">
        <v>0</v>
      </c>
      <c r="AO6" s="1365">
        <f t="shared" si="7"/>
        <v>0</v>
      </c>
      <c r="AP6" s="1366">
        <v>0</v>
      </c>
      <c r="AQ6" s="1367">
        <f t="shared" si="8"/>
        <v>0</v>
      </c>
      <c r="AR6" s="1368">
        <v>0</v>
      </c>
      <c r="AS6" s="1369">
        <f t="shared" si="9"/>
        <v>0</v>
      </c>
      <c r="AT6" s="1370">
        <v>0</v>
      </c>
      <c r="AU6" s="1371">
        <f t="shared" si="10"/>
        <v>0</v>
      </c>
      <c r="AV6" s="1359">
        <f t="shared" si="11"/>
        <v>0</v>
      </c>
      <c r="AW6" s="1372">
        <f t="shared" si="12"/>
        <v>0</v>
      </c>
      <c r="AX6" s="1373">
        <f t="shared" si="13"/>
        <v>0</v>
      </c>
      <c r="AY6" s="1374">
        <f t="shared" si="14"/>
        <v>0</v>
      </c>
      <c r="AZ6" s="1375">
        <f t="shared" si="15"/>
        <v>0</v>
      </c>
      <c r="BA6" s="1376">
        <f t="shared" si="16"/>
        <v>0</v>
      </c>
      <c r="BB6" s="1377"/>
      <c r="BC6" s="1820"/>
      <c r="BD6" s="1820"/>
      <c r="BE6" s="1823"/>
      <c r="BF6" s="1826"/>
      <c r="BG6" s="1829"/>
    </row>
    <row r="7" spans="1:59" s="1378" customFormat="1" ht="38.25" customHeight="1">
      <c r="A7" s="1347" t="str">
        <f t="shared" si="0"/>
        <v>ActivX Biosciences, Inc.</v>
      </c>
      <c r="B7" s="1347" t="s">
        <v>4660</v>
      </c>
      <c r="C7" s="1348">
        <f t="shared" si="1"/>
        <v>31</v>
      </c>
      <c r="D7" s="1349">
        <v>42736</v>
      </c>
      <c r="E7" s="1349"/>
      <c r="F7" s="1347" t="s">
        <v>113</v>
      </c>
      <c r="G7" s="1347" t="s">
        <v>85</v>
      </c>
      <c r="H7" s="1347" t="s">
        <v>85</v>
      </c>
      <c r="I7" s="1347" t="s">
        <v>113</v>
      </c>
      <c r="J7" s="1349"/>
      <c r="K7" s="1349" t="s">
        <v>254</v>
      </c>
      <c r="L7" s="1350" t="s">
        <v>4675</v>
      </c>
      <c r="M7" s="1350" t="s">
        <v>3650</v>
      </c>
      <c r="N7" s="1385" t="s">
        <v>4676</v>
      </c>
      <c r="O7" s="1352" t="s">
        <v>4677</v>
      </c>
      <c r="P7" s="1352"/>
      <c r="Q7" s="1354"/>
      <c r="R7" s="1354"/>
      <c r="S7" s="1354"/>
      <c r="T7" s="1354"/>
      <c r="U7" s="1353" t="s">
        <v>4678</v>
      </c>
      <c r="V7" s="1353" t="s">
        <v>2481</v>
      </c>
      <c r="W7" s="1354"/>
      <c r="X7" s="1353">
        <v>43101</v>
      </c>
      <c r="Y7" s="1353">
        <v>43466</v>
      </c>
      <c r="Z7" s="1355"/>
      <c r="AA7" s="1355" t="s">
        <v>4679</v>
      </c>
      <c r="AB7" s="1356"/>
      <c r="AC7" s="1356"/>
      <c r="AD7" s="1356"/>
      <c r="AE7" s="1356"/>
      <c r="AF7" s="1357" t="str">
        <f t="shared" si="3"/>
        <v/>
      </c>
      <c r="AG7" s="1358">
        <f t="shared" si="2"/>
        <v>3326.47</v>
      </c>
      <c r="AH7" s="1358">
        <v>39917.64</v>
      </c>
      <c r="AI7" s="1359">
        <v>0.1</v>
      </c>
      <c r="AJ7" s="1360">
        <f t="shared" si="4"/>
        <v>332.64699999999999</v>
      </c>
      <c r="AK7" s="1361">
        <f t="shared" si="5"/>
        <v>3991.7640000000001</v>
      </c>
      <c r="AL7" s="1384">
        <v>0</v>
      </c>
      <c r="AM7" s="1363">
        <f t="shared" si="6"/>
        <v>0</v>
      </c>
      <c r="AN7" s="1364">
        <v>0</v>
      </c>
      <c r="AO7" s="1365">
        <f t="shared" si="7"/>
        <v>0</v>
      </c>
      <c r="AP7" s="1366">
        <v>0</v>
      </c>
      <c r="AQ7" s="1367">
        <f t="shared" si="8"/>
        <v>0</v>
      </c>
      <c r="AR7" s="1368">
        <v>0.08</v>
      </c>
      <c r="AS7" s="1369">
        <f t="shared" si="9"/>
        <v>3193.4112</v>
      </c>
      <c r="AT7" s="1370">
        <v>0</v>
      </c>
      <c r="AU7" s="1371">
        <f t="shared" si="10"/>
        <v>0</v>
      </c>
      <c r="AV7" s="1359">
        <f t="shared" si="11"/>
        <v>2.0000000000000004E-2</v>
      </c>
      <c r="AW7" s="1372">
        <f t="shared" si="12"/>
        <v>798.35280000000012</v>
      </c>
      <c r="AX7" s="1373">
        <f t="shared" si="13"/>
        <v>0.1</v>
      </c>
      <c r="AY7" s="1374">
        <f t="shared" si="14"/>
        <v>3991.7640000000001</v>
      </c>
      <c r="AZ7" s="1375">
        <f t="shared" si="15"/>
        <v>0.1</v>
      </c>
      <c r="BA7" s="1376">
        <f t="shared" si="16"/>
        <v>3991.7640000000001</v>
      </c>
      <c r="BB7" s="1377"/>
      <c r="BC7" s="1820"/>
      <c r="BD7" s="1820"/>
      <c r="BE7" s="1823"/>
      <c r="BF7" s="1826"/>
      <c r="BG7" s="1829"/>
    </row>
    <row r="8" spans="1:59" s="1378" customFormat="1" ht="38.25" customHeight="1">
      <c r="A8" s="1347" t="str">
        <f t="shared" si="0"/>
        <v>ActivX Biosciences, Inc.</v>
      </c>
      <c r="B8" s="1347" t="s">
        <v>4660</v>
      </c>
      <c r="C8" s="1348">
        <f t="shared" si="1"/>
        <v>31</v>
      </c>
      <c r="D8" s="1349">
        <v>42736</v>
      </c>
      <c r="E8" s="1349"/>
      <c r="F8" s="1347" t="s">
        <v>113</v>
      </c>
      <c r="G8" s="1347" t="s">
        <v>85</v>
      </c>
      <c r="H8" s="1347" t="s">
        <v>85</v>
      </c>
      <c r="I8" s="1347" t="s">
        <v>113</v>
      </c>
      <c r="J8" s="1349"/>
      <c r="K8" s="1349" t="s">
        <v>254</v>
      </c>
      <c r="L8" s="1350" t="s">
        <v>4675</v>
      </c>
      <c r="M8" s="1350" t="s">
        <v>3651</v>
      </c>
      <c r="N8" s="1351" t="s">
        <v>4680</v>
      </c>
      <c r="O8" s="1352" t="s">
        <v>4681</v>
      </c>
      <c r="P8" s="1352"/>
      <c r="Q8" s="1354"/>
      <c r="R8" s="1354"/>
      <c r="S8" s="1354"/>
      <c r="T8" s="1354"/>
      <c r="U8" s="1354"/>
      <c r="V8" s="1354"/>
      <c r="W8" s="1353" t="s">
        <v>2482</v>
      </c>
      <c r="X8" s="1353">
        <v>43101</v>
      </c>
      <c r="Y8" s="1353">
        <v>43466</v>
      </c>
      <c r="Z8" s="1355"/>
      <c r="AA8" s="1355" t="s">
        <v>4679</v>
      </c>
      <c r="AB8" s="1356"/>
      <c r="AC8" s="1356"/>
      <c r="AD8" s="1356"/>
      <c r="AE8" s="1356"/>
      <c r="AF8" s="1357" t="str">
        <f t="shared" si="3"/>
        <v/>
      </c>
      <c r="AG8" s="1358">
        <f t="shared" si="2"/>
        <v>489.75</v>
      </c>
      <c r="AH8" s="1358">
        <v>5877</v>
      </c>
      <c r="AI8" s="1359">
        <v>0.1</v>
      </c>
      <c r="AJ8" s="1360">
        <f t="shared" si="4"/>
        <v>48.975000000000001</v>
      </c>
      <c r="AK8" s="1361">
        <f t="shared" si="5"/>
        <v>587.70000000000005</v>
      </c>
      <c r="AL8" s="1384">
        <v>0</v>
      </c>
      <c r="AM8" s="1363">
        <f t="shared" si="6"/>
        <v>0</v>
      </c>
      <c r="AN8" s="1364">
        <v>0</v>
      </c>
      <c r="AO8" s="1365">
        <f t="shared" si="7"/>
        <v>0</v>
      </c>
      <c r="AP8" s="1366">
        <v>0</v>
      </c>
      <c r="AQ8" s="1367">
        <f t="shared" si="8"/>
        <v>0</v>
      </c>
      <c r="AR8" s="1368">
        <v>0.08</v>
      </c>
      <c r="AS8" s="1369">
        <f t="shared" si="9"/>
        <v>470.16</v>
      </c>
      <c r="AT8" s="1370">
        <v>0</v>
      </c>
      <c r="AU8" s="1371">
        <f t="shared" si="10"/>
        <v>0</v>
      </c>
      <c r="AV8" s="1359">
        <f t="shared" si="11"/>
        <v>2.0000000000000004E-2</v>
      </c>
      <c r="AW8" s="1372">
        <f t="shared" si="12"/>
        <v>117.54000000000002</v>
      </c>
      <c r="AX8" s="1373">
        <f t="shared" si="13"/>
        <v>0.1</v>
      </c>
      <c r="AY8" s="1374">
        <f t="shared" si="14"/>
        <v>587.70000000000005</v>
      </c>
      <c r="AZ8" s="1375">
        <f t="shared" si="15"/>
        <v>0.1</v>
      </c>
      <c r="BA8" s="1376">
        <f t="shared" si="16"/>
        <v>587.70000000000005</v>
      </c>
      <c r="BB8" s="1377"/>
      <c r="BC8" s="1820"/>
      <c r="BD8" s="1820"/>
      <c r="BE8" s="1823"/>
      <c r="BF8" s="1826"/>
      <c r="BG8" s="1829"/>
    </row>
    <row r="9" spans="1:59" s="1378" customFormat="1" ht="38.25">
      <c r="A9" s="1347" t="str">
        <f t="shared" si="0"/>
        <v>ActivX Biosciences, Inc.</v>
      </c>
      <c r="B9" s="1347" t="s">
        <v>4660</v>
      </c>
      <c r="C9" s="1348">
        <f t="shared" si="1"/>
        <v>31</v>
      </c>
      <c r="D9" s="1349">
        <v>42736</v>
      </c>
      <c r="E9" s="1349"/>
      <c r="F9" s="1347" t="s">
        <v>113</v>
      </c>
      <c r="G9" s="1347" t="s">
        <v>85</v>
      </c>
      <c r="H9" s="1347" t="s">
        <v>85</v>
      </c>
      <c r="I9" s="1347" t="s">
        <v>113</v>
      </c>
      <c r="J9" s="1349"/>
      <c r="K9" s="1349" t="s">
        <v>254</v>
      </c>
      <c r="L9" s="1350" t="s">
        <v>4682</v>
      </c>
      <c r="M9" s="1350" t="s">
        <v>4683</v>
      </c>
      <c r="N9" s="1386" t="s">
        <v>57</v>
      </c>
      <c r="O9" s="1352" t="s">
        <v>4684</v>
      </c>
      <c r="P9" s="1387"/>
      <c r="Q9" s="1354"/>
      <c r="R9" s="1354"/>
      <c r="S9" s="1354"/>
      <c r="T9" s="1354"/>
      <c r="U9" s="1354"/>
      <c r="V9" s="1354"/>
      <c r="W9" s="1354"/>
      <c r="X9" s="1353">
        <v>43101</v>
      </c>
      <c r="Y9" s="1353">
        <v>43466</v>
      </c>
      <c r="Z9" s="1355"/>
      <c r="AA9" s="1355" t="s">
        <v>4685</v>
      </c>
      <c r="AB9" s="1356"/>
      <c r="AC9" s="1356"/>
      <c r="AD9" s="1356"/>
      <c r="AE9" s="1356"/>
      <c r="AF9" s="1357" t="str">
        <f t="shared" si="3"/>
        <v/>
      </c>
      <c r="AG9" s="1358">
        <f t="shared" si="2"/>
        <v>767.10990000000004</v>
      </c>
      <c r="AH9" s="1358">
        <f>1658.616+7546.7028</f>
        <v>9205.3188000000009</v>
      </c>
      <c r="AI9" s="1359">
        <v>0.15</v>
      </c>
      <c r="AJ9" s="1360">
        <f t="shared" si="4"/>
        <v>115.066485</v>
      </c>
      <c r="AK9" s="1361">
        <f t="shared" si="5"/>
        <v>1380.79782</v>
      </c>
      <c r="AL9" s="1384">
        <v>0</v>
      </c>
      <c r="AM9" s="1363">
        <f t="shared" si="6"/>
        <v>0</v>
      </c>
      <c r="AN9" s="1364">
        <v>0</v>
      </c>
      <c r="AO9" s="1365">
        <f t="shared" si="7"/>
        <v>0</v>
      </c>
      <c r="AP9" s="1366">
        <v>0</v>
      </c>
      <c r="AQ9" s="1367">
        <f t="shared" si="8"/>
        <v>0</v>
      </c>
      <c r="AR9" s="1368">
        <v>0.1</v>
      </c>
      <c r="AS9" s="1369">
        <f t="shared" si="9"/>
        <v>920.53188000000011</v>
      </c>
      <c r="AT9" s="1370">
        <v>0</v>
      </c>
      <c r="AU9" s="1371">
        <f t="shared" si="10"/>
        <v>0</v>
      </c>
      <c r="AV9" s="1359">
        <f t="shared" si="11"/>
        <v>4.9999999999999989E-2</v>
      </c>
      <c r="AW9" s="1372">
        <f t="shared" si="12"/>
        <v>460.26593999999994</v>
      </c>
      <c r="AX9" s="1373">
        <f t="shared" si="13"/>
        <v>0.15</v>
      </c>
      <c r="AY9" s="1374">
        <f t="shared" si="14"/>
        <v>1380.79782</v>
      </c>
      <c r="AZ9" s="1375">
        <f t="shared" si="15"/>
        <v>0.15</v>
      </c>
      <c r="BA9" s="1376">
        <f t="shared" si="16"/>
        <v>1380.79782</v>
      </c>
      <c r="BB9" s="1377"/>
      <c r="BC9" s="1820"/>
      <c r="BD9" s="1820"/>
      <c r="BE9" s="1823"/>
      <c r="BF9" s="1826"/>
      <c r="BG9" s="1829"/>
    </row>
    <row r="10" spans="1:59" s="1378" customFormat="1" ht="38.25">
      <c r="A10" s="1347" t="str">
        <f t="shared" si="0"/>
        <v>ActivX Biosciences, Inc.</v>
      </c>
      <c r="B10" s="1347" t="s">
        <v>4660</v>
      </c>
      <c r="C10" s="1348">
        <f t="shared" si="1"/>
        <v>31</v>
      </c>
      <c r="D10" s="1349">
        <v>42736</v>
      </c>
      <c r="E10" s="1349"/>
      <c r="F10" s="1347" t="s">
        <v>113</v>
      </c>
      <c r="G10" s="1347" t="s">
        <v>85</v>
      </c>
      <c r="H10" s="1347" t="s">
        <v>85</v>
      </c>
      <c r="I10" s="1347" t="s">
        <v>113</v>
      </c>
      <c r="J10" s="1349"/>
      <c r="K10" s="1349" t="s">
        <v>254</v>
      </c>
      <c r="L10" s="1350" t="s">
        <v>4682</v>
      </c>
      <c r="M10" s="1350" t="s">
        <v>4686</v>
      </c>
      <c r="N10" s="1386" t="s">
        <v>60</v>
      </c>
      <c r="O10" s="1352" t="s">
        <v>4687</v>
      </c>
      <c r="P10" s="1387"/>
      <c r="Q10" s="1354"/>
      <c r="R10" s="1354"/>
      <c r="S10" s="1354"/>
      <c r="T10" s="1354"/>
      <c r="U10" s="1354"/>
      <c r="V10" s="1354"/>
      <c r="W10" s="1354"/>
      <c r="X10" s="1353">
        <v>43101</v>
      </c>
      <c r="Y10" s="1353">
        <v>43466</v>
      </c>
      <c r="Z10" s="1355"/>
      <c r="AA10" s="1355" t="s">
        <v>4685</v>
      </c>
      <c r="AB10" s="1356"/>
      <c r="AC10" s="1356"/>
      <c r="AD10" s="1356"/>
      <c r="AE10" s="1356"/>
      <c r="AF10" s="1357" t="str">
        <f t="shared" si="3"/>
        <v/>
      </c>
      <c r="AG10" s="1358">
        <f t="shared" si="2"/>
        <v>103.83</v>
      </c>
      <c r="AH10" s="1358">
        <f>195.72+1050.24</f>
        <v>1245.96</v>
      </c>
      <c r="AI10" s="1359">
        <v>0.15</v>
      </c>
      <c r="AJ10" s="1360">
        <f t="shared" si="4"/>
        <v>15.574499999999999</v>
      </c>
      <c r="AK10" s="1361">
        <f t="shared" si="5"/>
        <v>186.89400000000001</v>
      </c>
      <c r="AL10" s="1384">
        <v>0</v>
      </c>
      <c r="AM10" s="1363">
        <f t="shared" si="6"/>
        <v>0</v>
      </c>
      <c r="AN10" s="1364">
        <v>0</v>
      </c>
      <c r="AO10" s="1365">
        <f t="shared" si="7"/>
        <v>0</v>
      </c>
      <c r="AP10" s="1366">
        <v>0</v>
      </c>
      <c r="AQ10" s="1367">
        <f t="shared" si="8"/>
        <v>0</v>
      </c>
      <c r="AR10" s="1368">
        <v>0.1</v>
      </c>
      <c r="AS10" s="1369">
        <f t="shared" si="9"/>
        <v>124.596</v>
      </c>
      <c r="AT10" s="1370">
        <v>0</v>
      </c>
      <c r="AU10" s="1371">
        <f t="shared" si="10"/>
        <v>0</v>
      </c>
      <c r="AV10" s="1359">
        <f t="shared" si="11"/>
        <v>4.9999999999999989E-2</v>
      </c>
      <c r="AW10" s="1372">
        <f t="shared" si="12"/>
        <v>62.297999999999988</v>
      </c>
      <c r="AX10" s="1373">
        <f t="shared" si="13"/>
        <v>0.15</v>
      </c>
      <c r="AY10" s="1374">
        <f t="shared" si="14"/>
        <v>186.89400000000001</v>
      </c>
      <c r="AZ10" s="1375">
        <f t="shared" si="15"/>
        <v>0.15</v>
      </c>
      <c r="BA10" s="1376">
        <f t="shared" si="16"/>
        <v>186.89400000000001</v>
      </c>
      <c r="BB10" s="1377"/>
      <c r="BC10" s="1820"/>
      <c r="BD10" s="1820"/>
      <c r="BE10" s="1823"/>
      <c r="BF10" s="1826"/>
      <c r="BG10" s="1829"/>
    </row>
    <row r="11" spans="1:59" s="1378" customFormat="1" ht="38.25">
      <c r="A11" s="1347" t="str">
        <f t="shared" si="0"/>
        <v>ActivX Biosciences, Inc.</v>
      </c>
      <c r="B11" s="1347" t="s">
        <v>4660</v>
      </c>
      <c r="C11" s="1348">
        <f t="shared" si="1"/>
        <v>31</v>
      </c>
      <c r="D11" s="1349">
        <v>42736</v>
      </c>
      <c r="E11" s="1349"/>
      <c r="F11" s="1347" t="s">
        <v>113</v>
      </c>
      <c r="G11" s="1347" t="s">
        <v>85</v>
      </c>
      <c r="H11" s="1347" t="s">
        <v>85</v>
      </c>
      <c r="I11" s="1347" t="s">
        <v>113</v>
      </c>
      <c r="J11" s="1349"/>
      <c r="K11" s="1349" t="s">
        <v>254</v>
      </c>
      <c r="L11" s="1350" t="s">
        <v>4682</v>
      </c>
      <c r="M11" s="1350" t="s">
        <v>62</v>
      </c>
      <c r="N11" s="1351" t="s">
        <v>63</v>
      </c>
      <c r="O11" s="1352" t="s">
        <v>4688</v>
      </c>
      <c r="P11" s="1352"/>
      <c r="Q11" s="1354"/>
      <c r="R11" s="1354"/>
      <c r="S11" s="1354"/>
      <c r="T11" s="1354"/>
      <c r="U11" s="1354"/>
      <c r="V11" s="1354"/>
      <c r="W11" s="1354"/>
      <c r="X11" s="1353">
        <v>43101</v>
      </c>
      <c r="Y11" s="1353">
        <v>43466</v>
      </c>
      <c r="Z11" s="1355"/>
      <c r="AA11" s="1355" t="s">
        <v>4685</v>
      </c>
      <c r="AB11" s="1356"/>
      <c r="AC11" s="1356"/>
      <c r="AD11" s="1356"/>
      <c r="AE11" s="1356"/>
      <c r="AF11" s="1357" t="str">
        <f t="shared" si="3"/>
        <v/>
      </c>
      <c r="AG11" s="1358">
        <f t="shared" si="2"/>
        <v>549.37333333333333</v>
      </c>
      <c r="AH11" s="1358">
        <v>6592.48</v>
      </c>
      <c r="AI11" s="1359">
        <v>0.15</v>
      </c>
      <c r="AJ11" s="1360">
        <f t="shared" si="4"/>
        <v>82.405999999999992</v>
      </c>
      <c r="AK11" s="1361">
        <f t="shared" si="5"/>
        <v>988.87199999999984</v>
      </c>
      <c r="AL11" s="1384">
        <v>0</v>
      </c>
      <c r="AM11" s="1363">
        <f t="shared" si="6"/>
        <v>0</v>
      </c>
      <c r="AN11" s="1364">
        <v>0</v>
      </c>
      <c r="AO11" s="1365">
        <f t="shared" si="7"/>
        <v>0</v>
      </c>
      <c r="AP11" s="1366">
        <v>0</v>
      </c>
      <c r="AQ11" s="1367">
        <f t="shared" si="8"/>
        <v>0</v>
      </c>
      <c r="AR11" s="1368">
        <v>0.1</v>
      </c>
      <c r="AS11" s="1369">
        <f t="shared" si="9"/>
        <v>659.24800000000005</v>
      </c>
      <c r="AT11" s="1370">
        <v>0</v>
      </c>
      <c r="AU11" s="1371">
        <f t="shared" si="10"/>
        <v>0</v>
      </c>
      <c r="AV11" s="1359">
        <f t="shared" si="11"/>
        <v>4.9999999999999989E-2</v>
      </c>
      <c r="AW11" s="1372">
        <f t="shared" si="12"/>
        <v>329.62399999999991</v>
      </c>
      <c r="AX11" s="1373">
        <f t="shared" si="13"/>
        <v>0.15</v>
      </c>
      <c r="AY11" s="1374">
        <f t="shared" si="14"/>
        <v>988.87199999999984</v>
      </c>
      <c r="AZ11" s="1375">
        <f t="shared" si="15"/>
        <v>0.15</v>
      </c>
      <c r="BA11" s="1376">
        <f t="shared" si="16"/>
        <v>988.87199999999984</v>
      </c>
      <c r="BB11" s="1377"/>
      <c r="BC11" s="1820"/>
      <c r="BD11" s="1820"/>
      <c r="BE11" s="1823"/>
      <c r="BF11" s="1826"/>
      <c r="BG11" s="1829"/>
    </row>
    <row r="12" spans="1:59" s="1378" customFormat="1" ht="38.25">
      <c r="A12" s="1347" t="str">
        <f t="shared" si="0"/>
        <v>ActivX Biosciences, Inc.</v>
      </c>
      <c r="B12" s="1347" t="s">
        <v>4660</v>
      </c>
      <c r="C12" s="1348">
        <f t="shared" si="1"/>
        <v>31</v>
      </c>
      <c r="D12" s="1349">
        <v>42736</v>
      </c>
      <c r="E12" s="1349"/>
      <c r="F12" s="1347" t="s">
        <v>113</v>
      </c>
      <c r="G12" s="1347" t="s">
        <v>85</v>
      </c>
      <c r="H12" s="1347" t="s">
        <v>85</v>
      </c>
      <c r="I12" s="1347" t="s">
        <v>113</v>
      </c>
      <c r="J12" s="1349"/>
      <c r="K12" s="1349" t="s">
        <v>254</v>
      </c>
      <c r="L12" s="1350" t="s">
        <v>4682</v>
      </c>
      <c r="M12" s="1350" t="s">
        <v>67</v>
      </c>
      <c r="N12" s="1351" t="s">
        <v>68</v>
      </c>
      <c r="O12" s="1352" t="s">
        <v>4689</v>
      </c>
      <c r="P12" s="1352"/>
      <c r="Q12" s="1354"/>
      <c r="R12" s="1354"/>
      <c r="S12" s="1354"/>
      <c r="T12" s="1354"/>
      <c r="U12" s="1354"/>
      <c r="V12" s="1354"/>
      <c r="W12" s="1354"/>
      <c r="X12" s="1353">
        <v>43101</v>
      </c>
      <c r="Y12" s="1353">
        <v>43466</v>
      </c>
      <c r="Z12" s="1355"/>
      <c r="AA12" s="1355" t="s">
        <v>4685</v>
      </c>
      <c r="AB12" s="1356"/>
      <c r="AC12" s="1356"/>
      <c r="AD12" s="1356"/>
      <c r="AE12" s="1356"/>
      <c r="AF12" s="1357" t="str">
        <f t="shared" si="3"/>
        <v/>
      </c>
      <c r="AG12" s="1358">
        <f t="shared" si="2"/>
        <v>1097.4691666666665</v>
      </c>
      <c r="AH12" s="1358">
        <v>13169.63</v>
      </c>
      <c r="AI12" s="1359">
        <v>0.15</v>
      </c>
      <c r="AJ12" s="1360">
        <f t="shared" si="4"/>
        <v>164.62037499999997</v>
      </c>
      <c r="AK12" s="1361">
        <f t="shared" si="5"/>
        <v>1975.4444999999998</v>
      </c>
      <c r="AL12" s="1384">
        <v>0</v>
      </c>
      <c r="AM12" s="1363">
        <f t="shared" si="6"/>
        <v>0</v>
      </c>
      <c r="AN12" s="1364">
        <v>0</v>
      </c>
      <c r="AO12" s="1365">
        <f t="shared" si="7"/>
        <v>0</v>
      </c>
      <c r="AP12" s="1366">
        <v>0</v>
      </c>
      <c r="AQ12" s="1367">
        <f t="shared" si="8"/>
        <v>0</v>
      </c>
      <c r="AR12" s="1368">
        <v>0.1</v>
      </c>
      <c r="AS12" s="1369">
        <f t="shared" si="9"/>
        <v>1316.963</v>
      </c>
      <c r="AT12" s="1370">
        <v>0</v>
      </c>
      <c r="AU12" s="1371">
        <f t="shared" si="10"/>
        <v>0</v>
      </c>
      <c r="AV12" s="1359">
        <f t="shared" si="11"/>
        <v>4.9999999999999989E-2</v>
      </c>
      <c r="AW12" s="1372">
        <f t="shared" si="12"/>
        <v>658.48149999999987</v>
      </c>
      <c r="AX12" s="1373">
        <f t="shared" si="13"/>
        <v>0.15</v>
      </c>
      <c r="AY12" s="1374">
        <f t="shared" si="14"/>
        <v>1975.4444999999998</v>
      </c>
      <c r="AZ12" s="1375">
        <f t="shared" si="15"/>
        <v>0.15</v>
      </c>
      <c r="BA12" s="1376">
        <f t="shared" si="16"/>
        <v>1975.4444999999998</v>
      </c>
      <c r="BB12" s="1377"/>
      <c r="BC12" s="1820"/>
      <c r="BD12" s="1820"/>
      <c r="BE12" s="1823"/>
      <c r="BF12" s="1826"/>
      <c r="BG12" s="1829"/>
    </row>
    <row r="13" spans="1:59" s="1378" customFormat="1" ht="38.25">
      <c r="A13" s="1347" t="str">
        <f>L$4</f>
        <v>ActivX Biosciences, Inc.</v>
      </c>
      <c r="B13" s="1348" t="str">
        <f>N$4</f>
        <v>HUB SD</v>
      </c>
      <c r="C13" s="1348">
        <f>Z$4</f>
        <v>31</v>
      </c>
      <c r="D13" s="1349">
        <v>43101</v>
      </c>
      <c r="E13" s="1349"/>
      <c r="F13" s="1347" t="s">
        <v>113</v>
      </c>
      <c r="G13" s="1347" t="s">
        <v>85</v>
      </c>
      <c r="H13" s="1347" t="s">
        <v>85</v>
      </c>
      <c r="I13" s="1347" t="s">
        <v>113</v>
      </c>
      <c r="J13" s="1349" t="s">
        <v>4690</v>
      </c>
      <c r="K13" s="1349" t="s">
        <v>254</v>
      </c>
      <c r="L13" s="1350" t="s">
        <v>4682</v>
      </c>
      <c r="M13" s="1350" t="s">
        <v>4691</v>
      </c>
      <c r="N13" s="1351" t="s">
        <v>94</v>
      </c>
      <c r="O13" s="1352" t="s">
        <v>4692</v>
      </c>
      <c r="P13" s="1388"/>
      <c r="Q13" s="1354"/>
      <c r="R13" s="1354"/>
      <c r="S13" s="1354"/>
      <c r="T13" s="1354"/>
      <c r="U13" s="1354"/>
      <c r="V13" s="1354"/>
      <c r="W13" s="1354"/>
      <c r="X13" s="1353">
        <v>43101</v>
      </c>
      <c r="Y13" s="1353">
        <v>43466</v>
      </c>
      <c r="Z13" s="1355">
        <v>3</v>
      </c>
      <c r="AA13" s="1355" t="s">
        <v>4685</v>
      </c>
      <c r="AB13" s="1356"/>
      <c r="AC13" s="1356"/>
      <c r="AD13" s="1356"/>
      <c r="AE13" s="1356"/>
      <c r="AF13" s="1357" t="str">
        <f t="shared" si="3"/>
        <v/>
      </c>
      <c r="AG13" s="1358">
        <v>56.86</v>
      </c>
      <c r="AH13" s="1358">
        <f>AG13*12</f>
        <v>682.31999999999994</v>
      </c>
      <c r="AI13" s="1359">
        <v>0.15</v>
      </c>
      <c r="AJ13" s="1360">
        <f t="shared" si="4"/>
        <v>8.5289999999999999</v>
      </c>
      <c r="AK13" s="1361">
        <f t="shared" si="5"/>
        <v>102.34799999999998</v>
      </c>
      <c r="AL13" s="1384">
        <v>0</v>
      </c>
      <c r="AM13" s="1363">
        <f t="shared" si="6"/>
        <v>0</v>
      </c>
      <c r="AN13" s="1364">
        <v>0</v>
      </c>
      <c r="AO13" s="1365">
        <f t="shared" si="7"/>
        <v>0</v>
      </c>
      <c r="AP13" s="1366">
        <v>0</v>
      </c>
      <c r="AQ13" s="1367">
        <f t="shared" si="8"/>
        <v>0</v>
      </c>
      <c r="AR13" s="1368">
        <v>0.1</v>
      </c>
      <c r="AS13" s="1369">
        <f t="shared" si="9"/>
        <v>68.231999999999999</v>
      </c>
      <c r="AT13" s="1370">
        <v>0</v>
      </c>
      <c r="AU13" s="1371">
        <f t="shared" si="10"/>
        <v>0</v>
      </c>
      <c r="AV13" s="1359">
        <f t="shared" si="11"/>
        <v>4.9999999999999989E-2</v>
      </c>
      <c r="AW13" s="1372">
        <f t="shared" si="12"/>
        <v>34.115999999999993</v>
      </c>
      <c r="AX13" s="1373">
        <f t="shared" si="13"/>
        <v>0.15</v>
      </c>
      <c r="AY13" s="1374">
        <f t="shared" si="14"/>
        <v>102.34799999999998</v>
      </c>
      <c r="AZ13" s="1375">
        <f t="shared" si="15"/>
        <v>0.15</v>
      </c>
      <c r="BA13" s="1376">
        <f t="shared" si="16"/>
        <v>102.34799999999998</v>
      </c>
      <c r="BB13" s="1377"/>
      <c r="BC13" s="1820"/>
      <c r="BD13" s="1820"/>
      <c r="BE13" s="1823"/>
      <c r="BF13" s="1826"/>
      <c r="BG13" s="1829"/>
    </row>
    <row r="14" spans="1:59" s="1378" customFormat="1" ht="38.25">
      <c r="A14" s="1347" t="str">
        <f>L$4</f>
        <v>ActivX Biosciences, Inc.</v>
      </c>
      <c r="B14" s="1348" t="str">
        <f>N$4</f>
        <v>HUB SD</v>
      </c>
      <c r="C14" s="1348">
        <f>Z$4</f>
        <v>31</v>
      </c>
      <c r="D14" s="1349">
        <v>43101</v>
      </c>
      <c r="E14" s="1349"/>
      <c r="F14" s="1347" t="s">
        <v>113</v>
      </c>
      <c r="G14" s="1347" t="s">
        <v>85</v>
      </c>
      <c r="H14" s="1347" t="s">
        <v>85</v>
      </c>
      <c r="I14" s="1347" t="s">
        <v>113</v>
      </c>
      <c r="J14" s="1349" t="s">
        <v>4690</v>
      </c>
      <c r="K14" s="1349" t="s">
        <v>254</v>
      </c>
      <c r="L14" s="1350" t="s">
        <v>4682</v>
      </c>
      <c r="M14" s="1350" t="s">
        <v>4691</v>
      </c>
      <c r="N14" s="1351" t="s">
        <v>98</v>
      </c>
      <c r="O14" s="1352" t="s">
        <v>4693</v>
      </c>
      <c r="P14" s="1388"/>
      <c r="Q14" s="1354"/>
      <c r="R14" s="1354"/>
      <c r="S14" s="1354"/>
      <c r="T14" s="1354"/>
      <c r="U14" s="1354"/>
      <c r="V14" s="1354"/>
      <c r="W14" s="1354"/>
      <c r="X14" s="1353">
        <v>43101</v>
      </c>
      <c r="Y14" s="1353">
        <v>43466</v>
      </c>
      <c r="Z14" s="1355">
        <v>6</v>
      </c>
      <c r="AA14" s="1355" t="s">
        <v>4685</v>
      </c>
      <c r="AB14" s="1356"/>
      <c r="AC14" s="1356"/>
      <c r="AD14" s="1356"/>
      <c r="AE14" s="1356"/>
      <c r="AF14" s="1357" t="str">
        <f t="shared" si="3"/>
        <v/>
      </c>
      <c r="AG14" s="1358">
        <v>44.86</v>
      </c>
      <c r="AH14" s="1358">
        <f>AG14*12</f>
        <v>538.31999999999994</v>
      </c>
      <c r="AI14" s="1359">
        <v>0.15</v>
      </c>
      <c r="AJ14" s="1360">
        <f t="shared" si="4"/>
        <v>6.7290000000000001</v>
      </c>
      <c r="AK14" s="1361">
        <f t="shared" si="5"/>
        <v>80.74799999999999</v>
      </c>
      <c r="AL14" s="1384">
        <v>0</v>
      </c>
      <c r="AM14" s="1363">
        <f t="shared" si="6"/>
        <v>0</v>
      </c>
      <c r="AN14" s="1364">
        <v>0</v>
      </c>
      <c r="AO14" s="1365">
        <f t="shared" si="7"/>
        <v>0</v>
      </c>
      <c r="AP14" s="1366">
        <v>0</v>
      </c>
      <c r="AQ14" s="1367">
        <f t="shared" si="8"/>
        <v>0</v>
      </c>
      <c r="AR14" s="1368">
        <v>0.1</v>
      </c>
      <c r="AS14" s="1369">
        <f t="shared" si="9"/>
        <v>53.831999999999994</v>
      </c>
      <c r="AT14" s="1370">
        <v>0</v>
      </c>
      <c r="AU14" s="1371">
        <f t="shared" si="10"/>
        <v>0</v>
      </c>
      <c r="AV14" s="1359">
        <f t="shared" si="11"/>
        <v>4.9999999999999989E-2</v>
      </c>
      <c r="AW14" s="1372">
        <f t="shared" si="12"/>
        <v>26.91599999999999</v>
      </c>
      <c r="AX14" s="1373">
        <f t="shared" si="13"/>
        <v>0.15</v>
      </c>
      <c r="AY14" s="1374">
        <f t="shared" si="14"/>
        <v>80.74799999999999</v>
      </c>
      <c r="AZ14" s="1375">
        <f t="shared" si="15"/>
        <v>0.15</v>
      </c>
      <c r="BA14" s="1376">
        <f t="shared" si="16"/>
        <v>80.74799999999999</v>
      </c>
      <c r="BB14" s="1377"/>
      <c r="BC14" s="1820"/>
      <c r="BD14" s="1820"/>
      <c r="BE14" s="1823"/>
      <c r="BF14" s="1826"/>
      <c r="BG14" s="1829"/>
    </row>
    <row r="15" spans="1:59" s="1378" customFormat="1" ht="38.25">
      <c r="A15" s="1347" t="str">
        <f>L$4</f>
        <v>ActivX Biosciences, Inc.</v>
      </c>
      <c r="B15" s="1348" t="str">
        <f>N$4</f>
        <v>HUB SD</v>
      </c>
      <c r="C15" s="1348">
        <f>Z$4</f>
        <v>31</v>
      </c>
      <c r="D15" s="1349">
        <v>43101</v>
      </c>
      <c r="E15" s="1349"/>
      <c r="F15" s="1347" t="s">
        <v>113</v>
      </c>
      <c r="G15" s="1347" t="s">
        <v>85</v>
      </c>
      <c r="H15" s="1347" t="s">
        <v>85</v>
      </c>
      <c r="I15" s="1347" t="s">
        <v>113</v>
      </c>
      <c r="J15" s="1349" t="s">
        <v>4690</v>
      </c>
      <c r="K15" s="1349" t="s">
        <v>254</v>
      </c>
      <c r="L15" s="1350" t="s">
        <v>4682</v>
      </c>
      <c r="M15" s="1350" t="s">
        <v>4691</v>
      </c>
      <c r="N15" s="1351" t="s">
        <v>4694</v>
      </c>
      <c r="O15" s="1352" t="s">
        <v>4695</v>
      </c>
      <c r="P15" s="1388"/>
      <c r="Q15" s="1354"/>
      <c r="R15" s="1354"/>
      <c r="S15" s="1354"/>
      <c r="T15" s="1354"/>
      <c r="U15" s="1354"/>
      <c r="V15" s="1354"/>
      <c r="W15" s="1354"/>
      <c r="X15" s="1353">
        <v>43101</v>
      </c>
      <c r="Y15" s="1353">
        <v>43466</v>
      </c>
      <c r="Z15" s="1355">
        <v>4</v>
      </c>
      <c r="AA15" s="1355" t="s">
        <v>4685</v>
      </c>
      <c r="AB15" s="1356"/>
      <c r="AC15" s="1356"/>
      <c r="AD15" s="1356"/>
      <c r="AE15" s="1356"/>
      <c r="AF15" s="1357" t="str">
        <f t="shared" si="3"/>
        <v/>
      </c>
      <c r="AG15" s="1358">
        <v>85.32</v>
      </c>
      <c r="AH15" s="1358">
        <f>AG15*12</f>
        <v>1023.8399999999999</v>
      </c>
      <c r="AI15" s="1359">
        <v>0.15</v>
      </c>
      <c r="AJ15" s="1360">
        <f t="shared" si="4"/>
        <v>12.797999999999998</v>
      </c>
      <c r="AK15" s="1361">
        <f t="shared" si="5"/>
        <v>153.57599999999999</v>
      </c>
      <c r="AL15" s="1384">
        <v>0</v>
      </c>
      <c r="AM15" s="1363">
        <f t="shared" si="6"/>
        <v>0</v>
      </c>
      <c r="AN15" s="1364">
        <v>0</v>
      </c>
      <c r="AO15" s="1365">
        <f t="shared" si="7"/>
        <v>0</v>
      </c>
      <c r="AP15" s="1366">
        <v>0</v>
      </c>
      <c r="AQ15" s="1367">
        <f t="shared" si="8"/>
        <v>0</v>
      </c>
      <c r="AR15" s="1368">
        <v>0.1</v>
      </c>
      <c r="AS15" s="1369">
        <f t="shared" si="9"/>
        <v>102.384</v>
      </c>
      <c r="AT15" s="1370">
        <v>0</v>
      </c>
      <c r="AU15" s="1371">
        <f t="shared" si="10"/>
        <v>0</v>
      </c>
      <c r="AV15" s="1359">
        <f t="shared" si="11"/>
        <v>4.9999999999999989E-2</v>
      </c>
      <c r="AW15" s="1372">
        <f t="shared" si="12"/>
        <v>51.191999999999986</v>
      </c>
      <c r="AX15" s="1373">
        <f t="shared" si="13"/>
        <v>0.15</v>
      </c>
      <c r="AY15" s="1374">
        <f t="shared" si="14"/>
        <v>153.57599999999999</v>
      </c>
      <c r="AZ15" s="1375">
        <f t="shared" si="15"/>
        <v>0.15</v>
      </c>
      <c r="BA15" s="1376">
        <f t="shared" si="16"/>
        <v>153.57599999999999</v>
      </c>
      <c r="BB15" s="1377"/>
      <c r="BC15" s="1820"/>
      <c r="BD15" s="1820"/>
      <c r="BE15" s="1823"/>
      <c r="BF15" s="1826"/>
      <c r="BG15" s="1829"/>
    </row>
    <row r="16" spans="1:59" s="1378" customFormat="1" ht="27.75" customHeight="1">
      <c r="A16" s="1347" t="str">
        <f t="shared" si="0"/>
        <v>ActivX Biosciences, Inc.</v>
      </c>
      <c r="B16" s="1347" t="s">
        <v>4660</v>
      </c>
      <c r="C16" s="1348">
        <f t="shared" si="1"/>
        <v>31</v>
      </c>
      <c r="D16" s="1349">
        <v>42736</v>
      </c>
      <c r="E16" s="1349"/>
      <c r="F16" s="1347" t="s">
        <v>72</v>
      </c>
      <c r="G16" s="1347" t="s">
        <v>85</v>
      </c>
      <c r="H16" s="1347" t="s">
        <v>72</v>
      </c>
      <c r="I16" s="1347" t="s">
        <v>72</v>
      </c>
      <c r="J16" s="1349" t="s">
        <v>4670</v>
      </c>
      <c r="K16" s="1349" t="s">
        <v>254</v>
      </c>
      <c r="L16" s="1350" t="s">
        <v>4696</v>
      </c>
      <c r="M16" s="1350" t="s">
        <v>4697</v>
      </c>
      <c r="N16" s="1389" t="s">
        <v>4698</v>
      </c>
      <c r="O16" s="1352" t="s">
        <v>4699</v>
      </c>
      <c r="P16" s="1352"/>
      <c r="Q16" s="1354"/>
      <c r="R16" s="1354"/>
      <c r="S16" s="1354"/>
      <c r="T16" s="1354"/>
      <c r="U16" s="1354"/>
      <c r="V16" s="1354"/>
      <c r="W16" s="1354"/>
      <c r="X16" s="1353">
        <v>43101</v>
      </c>
      <c r="Y16" s="1353">
        <v>43466</v>
      </c>
      <c r="Z16" s="1355"/>
      <c r="AA16" s="1355" t="s">
        <v>4674</v>
      </c>
      <c r="AB16" s="1356"/>
      <c r="AC16" s="1356"/>
      <c r="AD16" s="1356"/>
      <c r="AE16" s="1356"/>
      <c r="AF16" s="1357" t="str">
        <f t="shared" si="3"/>
        <v/>
      </c>
      <c r="AG16" s="1380"/>
      <c r="AH16" s="1380"/>
      <c r="AI16" s="1381">
        <v>0</v>
      </c>
      <c r="AJ16" s="1382">
        <f t="shared" si="4"/>
        <v>0</v>
      </c>
      <c r="AK16" s="1383">
        <f t="shared" si="5"/>
        <v>0</v>
      </c>
      <c r="AL16" s="1384">
        <v>0</v>
      </c>
      <c r="AM16" s="1363">
        <f t="shared" si="6"/>
        <v>0</v>
      </c>
      <c r="AN16" s="1364">
        <v>0</v>
      </c>
      <c r="AO16" s="1365">
        <f t="shared" si="7"/>
        <v>0</v>
      </c>
      <c r="AP16" s="1366">
        <v>0</v>
      </c>
      <c r="AQ16" s="1367">
        <f t="shared" si="8"/>
        <v>0</v>
      </c>
      <c r="AR16" s="1368">
        <v>0</v>
      </c>
      <c r="AS16" s="1369">
        <f t="shared" si="9"/>
        <v>0</v>
      </c>
      <c r="AT16" s="1370">
        <v>0</v>
      </c>
      <c r="AU16" s="1371">
        <f t="shared" si="10"/>
        <v>0</v>
      </c>
      <c r="AV16" s="1359">
        <f t="shared" si="11"/>
        <v>0</v>
      </c>
      <c r="AW16" s="1372">
        <f t="shared" si="12"/>
        <v>0</v>
      </c>
      <c r="AX16" s="1373">
        <f t="shared" si="13"/>
        <v>0</v>
      </c>
      <c r="AY16" s="1374">
        <f t="shared" si="14"/>
        <v>0</v>
      </c>
      <c r="AZ16" s="1375">
        <f t="shared" si="15"/>
        <v>0</v>
      </c>
      <c r="BA16" s="1376">
        <f t="shared" si="16"/>
        <v>0</v>
      </c>
      <c r="BB16" s="1377"/>
      <c r="BC16" s="1820"/>
      <c r="BD16" s="1820"/>
      <c r="BE16" s="1823"/>
      <c r="BF16" s="1826"/>
      <c r="BG16" s="1829"/>
    </row>
    <row r="17" spans="1:59" s="1378" customFormat="1" ht="38.25">
      <c r="A17" s="1347" t="str">
        <f t="shared" si="0"/>
        <v>ActivX Biosciences, Inc.</v>
      </c>
      <c r="B17" s="1347" t="s">
        <v>4660</v>
      </c>
      <c r="C17" s="1348">
        <f t="shared" si="1"/>
        <v>31</v>
      </c>
      <c r="D17" s="1349">
        <v>42736</v>
      </c>
      <c r="E17" s="1349"/>
      <c r="F17" s="1347" t="s">
        <v>72</v>
      </c>
      <c r="G17" s="1347" t="s">
        <v>4700</v>
      </c>
      <c r="H17" s="1347" t="s">
        <v>72</v>
      </c>
      <c r="I17" s="1347" t="s">
        <v>72</v>
      </c>
      <c r="J17" s="1349" t="s">
        <v>4670</v>
      </c>
      <c r="K17" s="1349"/>
      <c r="L17" s="1350" t="s">
        <v>48</v>
      </c>
      <c r="M17" s="1350" t="s">
        <v>3652</v>
      </c>
      <c r="N17" s="1390" t="s">
        <v>4701</v>
      </c>
      <c r="O17" s="1352" t="s">
        <v>4702</v>
      </c>
      <c r="P17" s="1352"/>
      <c r="Q17" s="1354"/>
      <c r="R17" s="1354"/>
      <c r="S17" s="1354"/>
      <c r="T17" s="1354"/>
      <c r="U17" s="1354"/>
      <c r="V17" s="1354"/>
      <c r="W17" s="1354"/>
      <c r="X17" s="1353">
        <v>43101</v>
      </c>
      <c r="Y17" s="1353">
        <v>43466</v>
      </c>
      <c r="Z17" s="1355"/>
      <c r="AA17" s="1355" t="s">
        <v>4674</v>
      </c>
      <c r="AB17" s="1356"/>
      <c r="AC17" s="1356"/>
      <c r="AD17" s="1356"/>
      <c r="AE17" s="1356"/>
      <c r="AF17" s="1357" t="str">
        <f t="shared" si="3"/>
        <v/>
      </c>
      <c r="AG17" s="1380"/>
      <c r="AH17" s="1380"/>
      <c r="AI17" s="1381">
        <v>0</v>
      </c>
      <c r="AJ17" s="1382">
        <f t="shared" si="4"/>
        <v>0</v>
      </c>
      <c r="AK17" s="1383">
        <f t="shared" si="5"/>
        <v>0</v>
      </c>
      <c r="AL17" s="1384">
        <v>0</v>
      </c>
      <c r="AM17" s="1363">
        <f t="shared" si="6"/>
        <v>0</v>
      </c>
      <c r="AN17" s="1364">
        <v>0</v>
      </c>
      <c r="AO17" s="1365">
        <f t="shared" si="7"/>
        <v>0</v>
      </c>
      <c r="AP17" s="1366">
        <v>0</v>
      </c>
      <c r="AQ17" s="1367">
        <f t="shared" si="8"/>
        <v>0</v>
      </c>
      <c r="AR17" s="1368">
        <v>0</v>
      </c>
      <c r="AS17" s="1369">
        <f t="shared" si="9"/>
        <v>0</v>
      </c>
      <c r="AT17" s="1370">
        <v>0</v>
      </c>
      <c r="AU17" s="1371">
        <f t="shared" si="10"/>
        <v>0</v>
      </c>
      <c r="AV17" s="1359">
        <f t="shared" si="11"/>
        <v>0</v>
      </c>
      <c r="AW17" s="1372">
        <f t="shared" si="12"/>
        <v>0</v>
      </c>
      <c r="AX17" s="1373">
        <f t="shared" si="13"/>
        <v>0</v>
      </c>
      <c r="AY17" s="1374">
        <f t="shared" si="14"/>
        <v>0</v>
      </c>
      <c r="AZ17" s="1375">
        <f t="shared" si="15"/>
        <v>0</v>
      </c>
      <c r="BA17" s="1376">
        <f t="shared" si="16"/>
        <v>0</v>
      </c>
      <c r="BB17" s="1377"/>
      <c r="BC17" s="1820"/>
      <c r="BD17" s="1820"/>
      <c r="BE17" s="1823"/>
      <c r="BF17" s="1826"/>
      <c r="BG17" s="1829"/>
    </row>
    <row r="18" spans="1:59" s="1378" customFormat="1" ht="38.25">
      <c r="A18" s="1347" t="str">
        <f t="shared" si="0"/>
        <v>ActivX Biosciences, Inc.</v>
      </c>
      <c r="B18" s="1347" t="s">
        <v>4660</v>
      </c>
      <c r="C18" s="1348">
        <f t="shared" si="1"/>
        <v>31</v>
      </c>
      <c r="D18" s="1349">
        <v>42736</v>
      </c>
      <c r="E18" s="1349"/>
      <c r="F18" s="1347" t="s">
        <v>72</v>
      </c>
      <c r="G18" s="1347" t="s">
        <v>85</v>
      </c>
      <c r="H18" s="1347" t="s">
        <v>72</v>
      </c>
      <c r="I18" s="1347" t="s">
        <v>72</v>
      </c>
      <c r="J18" s="1349" t="s">
        <v>4670</v>
      </c>
      <c r="K18" s="1349" t="s">
        <v>254</v>
      </c>
      <c r="L18" s="1350" t="s">
        <v>48</v>
      </c>
      <c r="M18" s="1350" t="s">
        <v>253</v>
      </c>
      <c r="N18" s="1390" t="s">
        <v>4703</v>
      </c>
      <c r="O18" s="1352" t="s">
        <v>4704</v>
      </c>
      <c r="P18" s="1352"/>
      <c r="Q18" s="1354"/>
      <c r="R18" s="1354"/>
      <c r="S18" s="1354"/>
      <c r="T18" s="1354"/>
      <c r="U18" s="1354"/>
      <c r="V18" s="1354"/>
      <c r="W18" s="1354"/>
      <c r="X18" s="1353">
        <v>43101</v>
      </c>
      <c r="Y18" s="1353">
        <v>43466</v>
      </c>
      <c r="Z18" s="1355"/>
      <c r="AA18" s="1355" t="s">
        <v>4674</v>
      </c>
      <c r="AB18" s="1356"/>
      <c r="AC18" s="1356"/>
      <c r="AD18" s="1356"/>
      <c r="AE18" s="1356"/>
      <c r="AF18" s="1357" t="str">
        <f t="shared" si="3"/>
        <v/>
      </c>
      <c r="AG18" s="1380"/>
      <c r="AH18" s="1380"/>
      <c r="AI18" s="1381">
        <v>0</v>
      </c>
      <c r="AJ18" s="1382">
        <f t="shared" si="4"/>
        <v>0</v>
      </c>
      <c r="AK18" s="1383">
        <f t="shared" si="5"/>
        <v>0</v>
      </c>
      <c r="AL18" s="1384">
        <v>0</v>
      </c>
      <c r="AM18" s="1363">
        <f t="shared" si="6"/>
        <v>0</v>
      </c>
      <c r="AN18" s="1364">
        <v>0</v>
      </c>
      <c r="AO18" s="1365">
        <f t="shared" si="7"/>
        <v>0</v>
      </c>
      <c r="AP18" s="1366">
        <v>0</v>
      </c>
      <c r="AQ18" s="1367">
        <f t="shared" si="8"/>
        <v>0</v>
      </c>
      <c r="AR18" s="1368">
        <v>0</v>
      </c>
      <c r="AS18" s="1369">
        <f t="shared" si="9"/>
        <v>0</v>
      </c>
      <c r="AT18" s="1370">
        <v>0</v>
      </c>
      <c r="AU18" s="1371">
        <f t="shared" si="10"/>
        <v>0</v>
      </c>
      <c r="AV18" s="1359">
        <f t="shared" si="11"/>
        <v>0</v>
      </c>
      <c r="AW18" s="1372">
        <f t="shared" si="12"/>
        <v>0</v>
      </c>
      <c r="AX18" s="1373">
        <f t="shared" si="13"/>
        <v>0</v>
      </c>
      <c r="AY18" s="1374">
        <f t="shared" si="14"/>
        <v>0</v>
      </c>
      <c r="AZ18" s="1375">
        <f t="shared" si="15"/>
        <v>0</v>
      </c>
      <c r="BA18" s="1376">
        <f t="shared" si="16"/>
        <v>0</v>
      </c>
      <c r="BB18" s="1377"/>
      <c r="BC18" s="1820"/>
      <c r="BD18" s="1820"/>
      <c r="BE18" s="1823"/>
      <c r="BF18" s="1826"/>
      <c r="BG18" s="1829"/>
    </row>
    <row r="19" spans="1:59" s="1378" customFormat="1" ht="25.5" customHeight="1">
      <c r="A19" s="1347" t="str">
        <f t="shared" si="0"/>
        <v>ActivX Biosciences, Inc.</v>
      </c>
      <c r="B19" s="1347" t="s">
        <v>4660</v>
      </c>
      <c r="C19" s="1348">
        <f t="shared" si="1"/>
        <v>31</v>
      </c>
      <c r="D19" s="1349">
        <v>42736</v>
      </c>
      <c r="E19" s="1349"/>
      <c r="F19" s="1347" t="s">
        <v>72</v>
      </c>
      <c r="G19" s="1347" t="s">
        <v>85</v>
      </c>
      <c r="H19" s="1347" t="s">
        <v>72</v>
      </c>
      <c r="I19" s="1347" t="s">
        <v>72</v>
      </c>
      <c r="J19" s="1349" t="s">
        <v>4670</v>
      </c>
      <c r="K19" s="1349" t="s">
        <v>254</v>
      </c>
      <c r="L19" s="1350" t="s">
        <v>49</v>
      </c>
      <c r="M19" s="1350" t="s">
        <v>4705</v>
      </c>
      <c r="N19" s="1390" t="s">
        <v>4706</v>
      </c>
      <c r="O19" s="1352" t="s">
        <v>4707</v>
      </c>
      <c r="P19" s="1352"/>
      <c r="Q19" s="1354"/>
      <c r="R19" s="1354"/>
      <c r="S19" s="1354"/>
      <c r="T19" s="1354"/>
      <c r="U19" s="1354"/>
      <c r="V19" s="1354"/>
      <c r="W19" s="1354"/>
      <c r="X19" s="1353">
        <v>43101</v>
      </c>
      <c r="Y19" s="1353">
        <v>43466</v>
      </c>
      <c r="Z19" s="1355"/>
      <c r="AA19" s="1355" t="s">
        <v>4674</v>
      </c>
      <c r="AB19" s="1356"/>
      <c r="AC19" s="1356"/>
      <c r="AD19" s="1356"/>
      <c r="AE19" s="1356"/>
      <c r="AF19" s="1357" t="str">
        <f t="shared" si="3"/>
        <v/>
      </c>
      <c r="AG19" s="1380"/>
      <c r="AH19" s="1380"/>
      <c r="AI19" s="1381">
        <v>0</v>
      </c>
      <c r="AJ19" s="1382">
        <f t="shared" si="4"/>
        <v>0</v>
      </c>
      <c r="AK19" s="1383">
        <f t="shared" si="5"/>
        <v>0</v>
      </c>
      <c r="AL19" s="1384">
        <v>0</v>
      </c>
      <c r="AM19" s="1363">
        <f t="shared" si="6"/>
        <v>0</v>
      </c>
      <c r="AN19" s="1364">
        <v>0</v>
      </c>
      <c r="AO19" s="1365">
        <f t="shared" si="7"/>
        <v>0</v>
      </c>
      <c r="AP19" s="1366">
        <v>0</v>
      </c>
      <c r="AQ19" s="1367">
        <f t="shared" si="8"/>
        <v>0</v>
      </c>
      <c r="AR19" s="1368">
        <v>0</v>
      </c>
      <c r="AS19" s="1369">
        <f t="shared" si="9"/>
        <v>0</v>
      </c>
      <c r="AT19" s="1370">
        <v>0</v>
      </c>
      <c r="AU19" s="1371">
        <f t="shared" si="10"/>
        <v>0</v>
      </c>
      <c r="AV19" s="1359">
        <f t="shared" si="11"/>
        <v>0</v>
      </c>
      <c r="AW19" s="1372">
        <f t="shared" si="12"/>
        <v>0</v>
      </c>
      <c r="AX19" s="1373">
        <f t="shared" si="13"/>
        <v>0</v>
      </c>
      <c r="AY19" s="1374">
        <f t="shared" si="14"/>
        <v>0</v>
      </c>
      <c r="AZ19" s="1375">
        <f t="shared" si="15"/>
        <v>0</v>
      </c>
      <c r="BA19" s="1376">
        <f t="shared" si="16"/>
        <v>0</v>
      </c>
      <c r="BB19" s="1377"/>
      <c r="BC19" s="1820"/>
      <c r="BD19" s="1820"/>
      <c r="BE19" s="1823"/>
      <c r="BF19" s="1826"/>
      <c r="BG19" s="1829"/>
    </row>
    <row r="20" spans="1:59" s="1378" customFormat="1" ht="22.5" customHeight="1">
      <c r="A20" s="1347" t="str">
        <f>A19</f>
        <v>ActivX Biosciences, Inc.</v>
      </c>
      <c r="B20" s="1348" t="str">
        <f>B19</f>
        <v xml:space="preserve">HUB SD </v>
      </c>
      <c r="C20" s="1348">
        <f>Z4</f>
        <v>31</v>
      </c>
      <c r="D20" s="1349">
        <v>42736</v>
      </c>
      <c r="E20" s="1349"/>
      <c r="F20" s="1347" t="s">
        <v>72</v>
      </c>
      <c r="G20" s="1347" t="s">
        <v>85</v>
      </c>
      <c r="H20" s="1347" t="s">
        <v>72</v>
      </c>
      <c r="I20" s="1347" t="s">
        <v>72</v>
      </c>
      <c r="J20" s="1349" t="s">
        <v>4670</v>
      </c>
      <c r="K20" s="1349" t="s">
        <v>254</v>
      </c>
      <c r="L20" s="1350" t="s">
        <v>3056</v>
      </c>
      <c r="M20" s="1350" t="s">
        <v>4708</v>
      </c>
      <c r="N20" s="1390" t="s">
        <v>4709</v>
      </c>
      <c r="O20" s="1352" t="s">
        <v>4710</v>
      </c>
      <c r="P20" s="1352"/>
      <c r="Q20" s="1354"/>
      <c r="R20" s="1354"/>
      <c r="S20" s="1354"/>
      <c r="T20" s="1354"/>
      <c r="U20" s="1354"/>
      <c r="V20" s="1354"/>
      <c r="W20" s="1354"/>
      <c r="X20" s="1353">
        <v>43101</v>
      </c>
      <c r="Y20" s="1353">
        <v>43466</v>
      </c>
      <c r="Z20" s="1355"/>
      <c r="AA20" s="1355" t="s">
        <v>4674</v>
      </c>
      <c r="AB20" s="1356"/>
      <c r="AC20" s="1356"/>
      <c r="AD20" s="1356"/>
      <c r="AE20" s="1356"/>
      <c r="AF20" s="1357" t="str">
        <f t="shared" si="3"/>
        <v/>
      </c>
      <c r="AG20" s="1380"/>
      <c r="AH20" s="1380"/>
      <c r="AI20" s="1381">
        <v>0</v>
      </c>
      <c r="AJ20" s="1382">
        <f t="shared" si="4"/>
        <v>0</v>
      </c>
      <c r="AK20" s="1383">
        <f t="shared" si="5"/>
        <v>0</v>
      </c>
      <c r="AL20" s="1384">
        <v>0</v>
      </c>
      <c r="AM20" s="1363">
        <f t="shared" si="6"/>
        <v>0</v>
      </c>
      <c r="AN20" s="1364">
        <v>0</v>
      </c>
      <c r="AO20" s="1365">
        <f t="shared" si="7"/>
        <v>0</v>
      </c>
      <c r="AP20" s="1366">
        <v>0</v>
      </c>
      <c r="AQ20" s="1367">
        <f t="shared" si="8"/>
        <v>0</v>
      </c>
      <c r="AR20" s="1368">
        <v>0</v>
      </c>
      <c r="AS20" s="1369">
        <f t="shared" si="9"/>
        <v>0</v>
      </c>
      <c r="AT20" s="1370">
        <v>0</v>
      </c>
      <c r="AU20" s="1371">
        <f t="shared" si="10"/>
        <v>0</v>
      </c>
      <c r="AV20" s="1359">
        <f t="shared" si="11"/>
        <v>0</v>
      </c>
      <c r="AW20" s="1372">
        <f t="shared" si="12"/>
        <v>0</v>
      </c>
      <c r="AX20" s="1373">
        <f t="shared" si="13"/>
        <v>0</v>
      </c>
      <c r="AY20" s="1374">
        <f t="shared" si="14"/>
        <v>0</v>
      </c>
      <c r="AZ20" s="1375">
        <f t="shared" si="15"/>
        <v>0</v>
      </c>
      <c r="BA20" s="1376">
        <f t="shared" si="16"/>
        <v>0</v>
      </c>
      <c r="BB20" s="1391"/>
      <c r="BC20" s="1821"/>
      <c r="BD20" s="1821"/>
      <c r="BE20" s="1824"/>
      <c r="BF20" s="1827"/>
      <c r="BG20" s="1830"/>
    </row>
    <row r="21" spans="1:59" s="1315" customFormat="1" ht="51">
      <c r="A21" s="1277" t="str">
        <f t="shared" ref="A21:A28" si="17">$L$21</f>
        <v>Advanced Brain Monitoring, Inc.</v>
      </c>
      <c r="B21" s="1277" t="s">
        <v>3653</v>
      </c>
      <c r="C21" s="1316">
        <f t="shared" ref="C21:C28" si="18">$Z$21</f>
        <v>25</v>
      </c>
      <c r="D21" s="1317">
        <v>42705</v>
      </c>
      <c r="E21" s="1317"/>
      <c r="F21" s="1277" t="s">
        <v>72</v>
      </c>
      <c r="G21" s="1277" t="s">
        <v>72</v>
      </c>
      <c r="H21" s="1277" t="s">
        <v>72</v>
      </c>
      <c r="I21" s="1277" t="s">
        <v>4711</v>
      </c>
      <c r="J21" s="1317"/>
      <c r="K21" s="1317"/>
      <c r="L21" s="1318" t="s">
        <v>70</v>
      </c>
      <c r="M21" s="1319"/>
      <c r="N21" s="1281" t="s">
        <v>3653</v>
      </c>
      <c r="O21" s="1392" t="s">
        <v>2474</v>
      </c>
      <c r="P21" s="1392"/>
      <c r="Q21" s="1322"/>
      <c r="R21" s="1322"/>
      <c r="S21" s="1322"/>
      <c r="T21" s="1322"/>
      <c r="U21" s="1322"/>
      <c r="V21" s="1322"/>
      <c r="W21" s="1322"/>
      <c r="X21" s="1317">
        <v>43101</v>
      </c>
      <c r="Y21" s="1317">
        <v>43466</v>
      </c>
      <c r="Z21" s="1316">
        <v>25</v>
      </c>
      <c r="AA21" s="1316" t="s">
        <v>4712</v>
      </c>
      <c r="AB21" s="1323">
        <f>SUM(AB22:AB29)</f>
        <v>0</v>
      </c>
      <c r="AC21" s="1323">
        <f>SUM(AC22:AC29)</f>
        <v>0</v>
      </c>
      <c r="AD21" s="1323">
        <f>SUM(AD22:AD29)</f>
        <v>0</v>
      </c>
      <c r="AE21" s="1324">
        <f t="shared" ref="AE21:AE85" si="19">AD21-AB21</f>
        <v>0</v>
      </c>
      <c r="AF21" s="1325" t="str">
        <f t="shared" si="3"/>
        <v/>
      </c>
      <c r="AG21" s="1326">
        <f t="shared" si="2"/>
        <v>9086.64</v>
      </c>
      <c r="AH21" s="1326">
        <f>SUM(AH22:AH29)</f>
        <v>109039.67999999999</v>
      </c>
      <c r="AI21" s="1327"/>
      <c r="AJ21" s="1328">
        <f>SUM(AJ22:AJ29)</f>
        <v>749.05439999999999</v>
      </c>
      <c r="AK21" s="1328">
        <f>SUM(AK22:AK29)</f>
        <v>8988.6527999999998</v>
      </c>
      <c r="AL21" s="1294"/>
      <c r="AM21" s="1295">
        <f>SUM(AM22:AM29)</f>
        <v>478.8288</v>
      </c>
      <c r="AN21" s="1331"/>
      <c r="AO21" s="1332">
        <f>SUM(AO22:AO29)</f>
        <v>0</v>
      </c>
      <c r="AP21" s="1333"/>
      <c r="AQ21" s="1334">
        <f>SUM(AQ22:AQ29)</f>
        <v>4892.5440000000008</v>
      </c>
      <c r="AR21" s="1335"/>
      <c r="AS21" s="1336">
        <f>SUM(AS22:AS29)</f>
        <v>0</v>
      </c>
      <c r="AT21" s="1337"/>
      <c r="AU21" s="1338">
        <f>SUM(AU22:AU29)</f>
        <v>2394.1439999999998</v>
      </c>
      <c r="AV21" s="1339"/>
      <c r="AW21" s="1340">
        <f>SUM(AW22:AW29)</f>
        <v>1223.1359999999995</v>
      </c>
      <c r="AX21" s="1306"/>
      <c r="AY21" s="1307">
        <f>SUM(AW21+AS21+AU21)</f>
        <v>3617.2799999999993</v>
      </c>
      <c r="AZ21" s="1341"/>
      <c r="BA21" s="1309">
        <f>SUM(AY21+AQ21)</f>
        <v>8509.8240000000005</v>
      </c>
      <c r="BB21" s="1342">
        <f>(AW21+AU21)/(AK21-AM21)</f>
        <v>0.42507107080005402</v>
      </c>
      <c r="BC21" s="1343"/>
      <c r="BD21" s="1343"/>
      <c r="BE21" s="1344"/>
      <c r="BF21" s="1393" t="s">
        <v>4713</v>
      </c>
      <c r="BG21" s="1346"/>
    </row>
    <row r="22" spans="1:59" s="1378" customFormat="1" ht="51" customHeight="1">
      <c r="A22" s="1347" t="str">
        <f t="shared" si="17"/>
        <v>Advanced Brain Monitoring, Inc.</v>
      </c>
      <c r="B22" s="1347" t="s">
        <v>3653</v>
      </c>
      <c r="C22" s="1348">
        <f t="shared" si="18"/>
        <v>25</v>
      </c>
      <c r="D22" s="1349">
        <v>42705</v>
      </c>
      <c r="E22" s="1349"/>
      <c r="F22" s="1347" t="s">
        <v>85</v>
      </c>
      <c r="G22" s="1347" t="s">
        <v>85</v>
      </c>
      <c r="H22" s="1347" t="s">
        <v>85</v>
      </c>
      <c r="I22" s="1347" t="s">
        <v>113</v>
      </c>
      <c r="J22" s="1349"/>
      <c r="K22" s="1349" t="s">
        <v>254</v>
      </c>
      <c r="L22" s="1350" t="s">
        <v>2661</v>
      </c>
      <c r="M22" s="1350" t="s">
        <v>3647</v>
      </c>
      <c r="N22" s="1351" t="s">
        <v>4714</v>
      </c>
      <c r="O22" s="1352" t="s">
        <v>4715</v>
      </c>
      <c r="P22" s="1352" t="s">
        <v>4716</v>
      </c>
      <c r="Q22" s="1353" t="s">
        <v>317</v>
      </c>
      <c r="R22" s="1353" t="s">
        <v>3648</v>
      </c>
      <c r="S22" s="1353" t="s">
        <v>307</v>
      </c>
      <c r="T22" s="1353" t="s">
        <v>113</v>
      </c>
      <c r="U22" s="1354"/>
      <c r="V22" s="1354"/>
      <c r="W22" s="1354"/>
      <c r="X22" s="1353">
        <v>43101</v>
      </c>
      <c r="Y22" s="1353">
        <v>43466</v>
      </c>
      <c r="Z22" s="1355"/>
      <c r="AA22" s="1355" t="s">
        <v>4667</v>
      </c>
      <c r="AB22" s="1356"/>
      <c r="AC22" s="1356"/>
      <c r="AD22" s="1356"/>
      <c r="AE22" s="1356"/>
      <c r="AF22" s="1357"/>
      <c r="AG22" s="1358">
        <f t="shared" si="2"/>
        <v>7980.48</v>
      </c>
      <c r="AH22" s="1358">
        <f>76061.76+19704</f>
        <v>95765.759999999995</v>
      </c>
      <c r="AI22" s="1359">
        <v>0.08</v>
      </c>
      <c r="AJ22" s="1360">
        <f t="shared" ref="AJ22:AJ29" si="20">$AI22*$AG22</f>
        <v>638.4384</v>
      </c>
      <c r="AK22" s="1361">
        <f t="shared" ref="AK22:AK29" si="21">AI22*$AH22</f>
        <v>7661.2608</v>
      </c>
      <c r="AL22" s="1362">
        <v>5.0000000000000001E-3</v>
      </c>
      <c r="AM22" s="1363">
        <f t="shared" ref="AM22:AM29" si="22">AL22*$AH22</f>
        <v>478.8288</v>
      </c>
      <c r="AN22" s="1364">
        <v>0</v>
      </c>
      <c r="AO22" s="1365">
        <f t="shared" ref="AO22:AO29" si="23">AN22*$AH22</f>
        <v>0</v>
      </c>
      <c r="AP22" s="1366">
        <v>0.04</v>
      </c>
      <c r="AQ22" s="1367">
        <f t="shared" ref="AQ22:AQ29" si="24">AP22*$AH22</f>
        <v>3830.6304</v>
      </c>
      <c r="AR22" s="1368">
        <v>0</v>
      </c>
      <c r="AS22" s="1369">
        <f t="shared" ref="AS22:AS29" si="25">AR22*$AH22</f>
        <v>0</v>
      </c>
      <c r="AT22" s="1370">
        <v>2.5000000000000001E-2</v>
      </c>
      <c r="AU22" s="1371">
        <f t="shared" ref="AU22:AU29" si="26">AT22*$AH22</f>
        <v>2394.1439999999998</v>
      </c>
      <c r="AV22" s="1359">
        <f t="shared" ref="AV22:AV29" si="27">AZ22-AR22-AT22-AP22</f>
        <v>9.999999999999995E-3</v>
      </c>
      <c r="AW22" s="1372">
        <f t="shared" ref="AW22:AW29" si="28">AV22*$AH22</f>
        <v>957.65759999999943</v>
      </c>
      <c r="AX22" s="1373">
        <f t="shared" ref="AX22:AX29" si="29">$AZ22-$AP22</f>
        <v>3.4999999999999996E-2</v>
      </c>
      <c r="AY22" s="1374">
        <f t="shared" ref="AY22:AY29" si="30">AX22*$AH22</f>
        <v>3351.8015999999993</v>
      </c>
      <c r="AZ22" s="1375">
        <f t="shared" ref="AZ22:AZ29" si="31">$AI22-$AL22-$AN22</f>
        <v>7.4999999999999997E-2</v>
      </c>
      <c r="BA22" s="1376">
        <f t="shared" ref="BA22:BA29" si="32">AZ22*$AH22</f>
        <v>7182.4319999999998</v>
      </c>
      <c r="BB22" s="1377"/>
      <c r="BC22" s="1819" t="s">
        <v>71</v>
      </c>
      <c r="BD22" s="1819" t="s">
        <v>4717</v>
      </c>
      <c r="BE22" s="1822" t="s">
        <v>4717</v>
      </c>
      <c r="BF22" s="1825" t="s">
        <v>4718</v>
      </c>
      <c r="BG22" s="1828">
        <v>330886301</v>
      </c>
    </row>
    <row r="23" spans="1:59" s="1378" customFormat="1" ht="51">
      <c r="A23" s="1347" t="str">
        <f t="shared" si="17"/>
        <v>Advanced Brain Monitoring, Inc.</v>
      </c>
      <c r="B23" s="1347" t="s">
        <v>3653</v>
      </c>
      <c r="C23" s="1348">
        <f t="shared" si="18"/>
        <v>25</v>
      </c>
      <c r="D23" s="1349">
        <v>42705</v>
      </c>
      <c r="E23" s="1349"/>
      <c r="F23" s="1347" t="s">
        <v>72</v>
      </c>
      <c r="G23" s="1347" t="s">
        <v>85</v>
      </c>
      <c r="H23" s="1347" t="s">
        <v>72</v>
      </c>
      <c r="I23" s="1347" t="s">
        <v>72</v>
      </c>
      <c r="J23" s="1349" t="s">
        <v>4670</v>
      </c>
      <c r="K23" s="1349" t="s">
        <v>254</v>
      </c>
      <c r="L23" s="1350" t="s">
        <v>4671</v>
      </c>
      <c r="M23" s="1350" t="s">
        <v>3649</v>
      </c>
      <c r="N23" s="1379" t="s">
        <v>4719</v>
      </c>
      <c r="O23" s="1352" t="s">
        <v>4720</v>
      </c>
      <c r="P23" s="1352"/>
      <c r="Q23" s="1354"/>
      <c r="R23" s="1354"/>
      <c r="S23" s="1354"/>
      <c r="T23" s="1354"/>
      <c r="U23" s="1354"/>
      <c r="V23" s="1354"/>
      <c r="W23" s="1354"/>
      <c r="X23" s="1353">
        <v>43101</v>
      </c>
      <c r="Y23" s="1353">
        <v>43466</v>
      </c>
      <c r="Z23" s="1355"/>
      <c r="AA23" s="1355" t="s">
        <v>4674</v>
      </c>
      <c r="AB23" s="1356"/>
      <c r="AC23" s="1356"/>
      <c r="AD23" s="1356"/>
      <c r="AE23" s="1356"/>
      <c r="AF23" s="1357" t="str">
        <f t="shared" si="3"/>
        <v/>
      </c>
      <c r="AG23" s="1380"/>
      <c r="AH23" s="1380"/>
      <c r="AI23" s="1381">
        <v>0</v>
      </c>
      <c r="AJ23" s="1382">
        <f t="shared" si="20"/>
        <v>0</v>
      </c>
      <c r="AK23" s="1383">
        <f t="shared" si="21"/>
        <v>0</v>
      </c>
      <c r="AL23" s="1384">
        <v>0</v>
      </c>
      <c r="AM23" s="1363">
        <f t="shared" si="22"/>
        <v>0</v>
      </c>
      <c r="AN23" s="1364">
        <v>0</v>
      </c>
      <c r="AO23" s="1365">
        <f t="shared" si="23"/>
        <v>0</v>
      </c>
      <c r="AP23" s="1366">
        <v>0</v>
      </c>
      <c r="AQ23" s="1367">
        <f t="shared" si="24"/>
        <v>0</v>
      </c>
      <c r="AR23" s="1368">
        <v>0</v>
      </c>
      <c r="AS23" s="1369">
        <f t="shared" si="25"/>
        <v>0</v>
      </c>
      <c r="AT23" s="1370">
        <v>0</v>
      </c>
      <c r="AU23" s="1371">
        <f t="shared" si="26"/>
        <v>0</v>
      </c>
      <c r="AV23" s="1359">
        <f t="shared" si="27"/>
        <v>0</v>
      </c>
      <c r="AW23" s="1372">
        <f t="shared" si="28"/>
        <v>0</v>
      </c>
      <c r="AX23" s="1373">
        <f t="shared" si="29"/>
        <v>0</v>
      </c>
      <c r="AY23" s="1374">
        <f t="shared" si="30"/>
        <v>0</v>
      </c>
      <c r="AZ23" s="1375">
        <f t="shared" si="31"/>
        <v>0</v>
      </c>
      <c r="BA23" s="1376">
        <f t="shared" si="32"/>
        <v>0</v>
      </c>
      <c r="BB23" s="1377"/>
      <c r="BC23" s="1820"/>
      <c r="BD23" s="1820"/>
      <c r="BE23" s="1823"/>
      <c r="BF23" s="1826"/>
      <c r="BG23" s="1829"/>
    </row>
    <row r="24" spans="1:59" s="1378" customFormat="1" ht="51">
      <c r="A24" s="1347" t="str">
        <f t="shared" si="17"/>
        <v>Advanced Brain Monitoring, Inc.</v>
      </c>
      <c r="B24" s="1347" t="s">
        <v>3653</v>
      </c>
      <c r="C24" s="1348">
        <f t="shared" si="18"/>
        <v>25</v>
      </c>
      <c r="D24" s="1349">
        <v>42705</v>
      </c>
      <c r="E24" s="1349"/>
      <c r="F24" s="1347" t="s">
        <v>113</v>
      </c>
      <c r="G24" s="1347" t="s">
        <v>85</v>
      </c>
      <c r="H24" s="1347" t="s">
        <v>85</v>
      </c>
      <c r="I24" s="1347" t="s">
        <v>72</v>
      </c>
      <c r="J24" s="1349"/>
      <c r="K24" s="1349" t="s">
        <v>254</v>
      </c>
      <c r="L24" s="1350" t="s">
        <v>4675</v>
      </c>
      <c r="M24" s="1350" t="s">
        <v>4721</v>
      </c>
      <c r="N24" s="1351" t="s">
        <v>4722</v>
      </c>
      <c r="O24" s="1352" t="s">
        <v>4677</v>
      </c>
      <c r="P24" s="1352"/>
      <c r="Q24" s="1354"/>
      <c r="R24" s="1354"/>
      <c r="S24" s="1354"/>
      <c r="T24" s="1354"/>
      <c r="U24" s="1353" t="s">
        <v>4723</v>
      </c>
      <c r="V24" s="1353" t="s">
        <v>2481</v>
      </c>
      <c r="W24" s="1354"/>
      <c r="X24" s="1353">
        <v>43101</v>
      </c>
      <c r="Y24" s="1353">
        <v>43466</v>
      </c>
      <c r="Z24" s="1355"/>
      <c r="AA24" s="1355" t="s">
        <v>4679</v>
      </c>
      <c r="AB24" s="1356"/>
      <c r="AC24" s="1356"/>
      <c r="AD24" s="1356"/>
      <c r="AE24" s="1356"/>
      <c r="AF24" s="1357"/>
      <c r="AG24" s="1358">
        <f t="shared" si="2"/>
        <v>1010.6</v>
      </c>
      <c r="AH24" s="1358">
        <v>12127.2</v>
      </c>
      <c r="AI24" s="1359">
        <v>0.1</v>
      </c>
      <c r="AJ24" s="1360">
        <f t="shared" si="20"/>
        <v>101.06</v>
      </c>
      <c r="AK24" s="1361">
        <f t="shared" si="21"/>
        <v>1212.72</v>
      </c>
      <c r="AL24" s="1384">
        <v>0</v>
      </c>
      <c r="AM24" s="1363">
        <f t="shared" si="22"/>
        <v>0</v>
      </c>
      <c r="AN24" s="1364">
        <v>0</v>
      </c>
      <c r="AO24" s="1365">
        <f t="shared" si="23"/>
        <v>0</v>
      </c>
      <c r="AP24" s="1366">
        <v>0.08</v>
      </c>
      <c r="AQ24" s="1367">
        <f t="shared" si="24"/>
        <v>970.17600000000004</v>
      </c>
      <c r="AR24" s="1368">
        <v>0</v>
      </c>
      <c r="AS24" s="1369">
        <f t="shared" si="25"/>
        <v>0</v>
      </c>
      <c r="AT24" s="1370">
        <v>0</v>
      </c>
      <c r="AU24" s="1371">
        <f t="shared" si="26"/>
        <v>0</v>
      </c>
      <c r="AV24" s="1359">
        <f t="shared" si="27"/>
        <v>2.0000000000000004E-2</v>
      </c>
      <c r="AW24" s="1372">
        <f t="shared" si="28"/>
        <v>242.54400000000007</v>
      </c>
      <c r="AX24" s="1373">
        <f t="shared" si="29"/>
        <v>2.0000000000000004E-2</v>
      </c>
      <c r="AY24" s="1374">
        <f t="shared" si="30"/>
        <v>242.54400000000007</v>
      </c>
      <c r="AZ24" s="1375">
        <f t="shared" si="31"/>
        <v>0.1</v>
      </c>
      <c r="BA24" s="1376">
        <f t="shared" si="32"/>
        <v>1212.72</v>
      </c>
      <c r="BB24" s="1377"/>
      <c r="BC24" s="1820"/>
      <c r="BD24" s="1820"/>
      <c r="BE24" s="1823"/>
      <c r="BF24" s="1826"/>
      <c r="BG24" s="1829"/>
    </row>
    <row r="25" spans="1:59" s="1378" customFormat="1" ht="51">
      <c r="A25" s="1347" t="str">
        <f t="shared" si="17"/>
        <v>Advanced Brain Monitoring, Inc.</v>
      </c>
      <c r="B25" s="1347" t="s">
        <v>3653</v>
      </c>
      <c r="C25" s="1348">
        <f t="shared" si="18"/>
        <v>25</v>
      </c>
      <c r="D25" s="1349">
        <v>42705</v>
      </c>
      <c r="E25" s="1349"/>
      <c r="F25" s="1347" t="s">
        <v>113</v>
      </c>
      <c r="G25" s="1347" t="s">
        <v>85</v>
      </c>
      <c r="H25" s="1347" t="s">
        <v>85</v>
      </c>
      <c r="I25" s="1347" t="s">
        <v>72</v>
      </c>
      <c r="J25" s="1349"/>
      <c r="K25" s="1349" t="s">
        <v>254</v>
      </c>
      <c r="L25" s="1350" t="s">
        <v>4675</v>
      </c>
      <c r="M25" s="1350" t="s">
        <v>4724</v>
      </c>
      <c r="N25" s="1351" t="s">
        <v>4725</v>
      </c>
      <c r="O25" s="1352" t="s">
        <v>4681</v>
      </c>
      <c r="P25" s="1352"/>
      <c r="Q25" s="1354"/>
      <c r="R25" s="1354"/>
      <c r="S25" s="1354"/>
      <c r="T25" s="1354"/>
      <c r="U25" s="1354"/>
      <c r="V25" s="1354"/>
      <c r="W25" s="1353" t="s">
        <v>2492</v>
      </c>
      <c r="X25" s="1353">
        <v>43101</v>
      </c>
      <c r="Y25" s="1353">
        <v>43466</v>
      </c>
      <c r="Z25" s="1355"/>
      <c r="AA25" s="1355" t="s">
        <v>4679</v>
      </c>
      <c r="AB25" s="1356"/>
      <c r="AC25" s="1356"/>
      <c r="AD25" s="1356"/>
      <c r="AE25" s="1356"/>
      <c r="AF25" s="1357"/>
      <c r="AG25" s="1358">
        <f t="shared" si="2"/>
        <v>95.56</v>
      </c>
      <c r="AH25" s="1358">
        <v>1146.72</v>
      </c>
      <c r="AI25" s="1359">
        <v>0.1</v>
      </c>
      <c r="AJ25" s="1360">
        <f t="shared" si="20"/>
        <v>9.5560000000000009</v>
      </c>
      <c r="AK25" s="1361">
        <f t="shared" si="21"/>
        <v>114.67200000000001</v>
      </c>
      <c r="AL25" s="1384">
        <v>0</v>
      </c>
      <c r="AM25" s="1363">
        <f t="shared" si="22"/>
        <v>0</v>
      </c>
      <c r="AN25" s="1364">
        <v>0</v>
      </c>
      <c r="AO25" s="1365">
        <f t="shared" si="23"/>
        <v>0</v>
      </c>
      <c r="AP25" s="1366">
        <v>0.08</v>
      </c>
      <c r="AQ25" s="1367">
        <f t="shared" si="24"/>
        <v>91.7376</v>
      </c>
      <c r="AR25" s="1368">
        <v>0</v>
      </c>
      <c r="AS25" s="1369">
        <f t="shared" si="25"/>
        <v>0</v>
      </c>
      <c r="AT25" s="1370">
        <v>0</v>
      </c>
      <c r="AU25" s="1371">
        <f t="shared" si="26"/>
        <v>0</v>
      </c>
      <c r="AV25" s="1359">
        <f t="shared" si="27"/>
        <v>2.0000000000000004E-2</v>
      </c>
      <c r="AW25" s="1372">
        <f t="shared" si="28"/>
        <v>22.934400000000004</v>
      </c>
      <c r="AX25" s="1373">
        <f t="shared" si="29"/>
        <v>2.0000000000000004E-2</v>
      </c>
      <c r="AY25" s="1374">
        <f t="shared" si="30"/>
        <v>22.934400000000004</v>
      </c>
      <c r="AZ25" s="1375">
        <f t="shared" si="31"/>
        <v>0.1</v>
      </c>
      <c r="BA25" s="1376">
        <f t="shared" si="32"/>
        <v>114.67200000000001</v>
      </c>
      <c r="BB25" s="1377"/>
      <c r="BC25" s="1820"/>
      <c r="BD25" s="1820"/>
      <c r="BE25" s="1823"/>
      <c r="BF25" s="1826"/>
      <c r="BG25" s="1829"/>
    </row>
    <row r="26" spans="1:59" s="1378" customFormat="1" ht="27.75" customHeight="1">
      <c r="A26" s="1347" t="str">
        <f t="shared" si="17"/>
        <v>Advanced Brain Monitoring, Inc.</v>
      </c>
      <c r="B26" s="1347" t="s">
        <v>3653</v>
      </c>
      <c r="C26" s="1348">
        <f t="shared" si="18"/>
        <v>25</v>
      </c>
      <c r="D26" s="1349">
        <v>42705</v>
      </c>
      <c r="E26" s="1349"/>
      <c r="F26" s="1347" t="s">
        <v>72</v>
      </c>
      <c r="G26" s="1347" t="s">
        <v>85</v>
      </c>
      <c r="H26" s="1347" t="s">
        <v>72</v>
      </c>
      <c r="I26" s="1347" t="s">
        <v>72</v>
      </c>
      <c r="J26" s="1349" t="s">
        <v>4670</v>
      </c>
      <c r="K26" s="1349" t="s">
        <v>254</v>
      </c>
      <c r="L26" s="1350" t="s">
        <v>4696</v>
      </c>
      <c r="M26" s="1350" t="s">
        <v>4697</v>
      </c>
      <c r="N26" s="1389" t="s">
        <v>4698</v>
      </c>
      <c r="O26" s="1352" t="s">
        <v>4699</v>
      </c>
      <c r="P26" s="1352"/>
      <c r="Q26" s="1354"/>
      <c r="R26" s="1354"/>
      <c r="S26" s="1354"/>
      <c r="T26" s="1354"/>
      <c r="U26" s="1354"/>
      <c r="V26" s="1354"/>
      <c r="W26" s="1354"/>
      <c r="X26" s="1353">
        <v>43101</v>
      </c>
      <c r="Y26" s="1353">
        <v>43466</v>
      </c>
      <c r="Z26" s="1355"/>
      <c r="AA26" s="1355" t="s">
        <v>4674</v>
      </c>
      <c r="AB26" s="1356"/>
      <c r="AC26" s="1356"/>
      <c r="AD26" s="1356"/>
      <c r="AE26" s="1356"/>
      <c r="AF26" s="1357" t="str">
        <f t="shared" ref="AF26" si="33">IFERROR((AE26/AB26),"")</f>
        <v/>
      </c>
      <c r="AG26" s="1380"/>
      <c r="AH26" s="1380"/>
      <c r="AI26" s="1381">
        <v>0</v>
      </c>
      <c r="AJ26" s="1382">
        <f t="shared" si="20"/>
        <v>0</v>
      </c>
      <c r="AK26" s="1383">
        <f t="shared" si="21"/>
        <v>0</v>
      </c>
      <c r="AL26" s="1384">
        <v>0</v>
      </c>
      <c r="AM26" s="1363">
        <f t="shared" si="22"/>
        <v>0</v>
      </c>
      <c r="AN26" s="1364">
        <v>0</v>
      </c>
      <c r="AO26" s="1365">
        <f t="shared" si="23"/>
        <v>0</v>
      </c>
      <c r="AP26" s="1366">
        <v>0</v>
      </c>
      <c r="AQ26" s="1367">
        <f t="shared" si="24"/>
        <v>0</v>
      </c>
      <c r="AR26" s="1368">
        <v>0</v>
      </c>
      <c r="AS26" s="1369">
        <f t="shared" si="25"/>
        <v>0</v>
      </c>
      <c r="AT26" s="1370">
        <v>0</v>
      </c>
      <c r="AU26" s="1371">
        <f t="shared" si="26"/>
        <v>0</v>
      </c>
      <c r="AV26" s="1359">
        <f t="shared" si="27"/>
        <v>0</v>
      </c>
      <c r="AW26" s="1372">
        <f t="shared" si="28"/>
        <v>0</v>
      </c>
      <c r="AX26" s="1373">
        <f t="shared" si="29"/>
        <v>0</v>
      </c>
      <c r="AY26" s="1374">
        <f t="shared" si="30"/>
        <v>0</v>
      </c>
      <c r="AZ26" s="1375">
        <f t="shared" si="31"/>
        <v>0</v>
      </c>
      <c r="BA26" s="1376">
        <f t="shared" si="32"/>
        <v>0</v>
      </c>
      <c r="BB26" s="1377"/>
      <c r="BC26" s="1820"/>
      <c r="BD26" s="1820"/>
      <c r="BE26" s="1823"/>
      <c r="BF26" s="1826"/>
      <c r="BG26" s="1829"/>
    </row>
    <row r="27" spans="1:59" s="1378" customFormat="1" ht="51">
      <c r="A27" s="1347" t="str">
        <f t="shared" si="17"/>
        <v>Advanced Brain Monitoring, Inc.</v>
      </c>
      <c r="B27" s="1347" t="s">
        <v>3653</v>
      </c>
      <c r="C27" s="1348">
        <f t="shared" si="18"/>
        <v>25</v>
      </c>
      <c r="D27" s="1349">
        <v>42705</v>
      </c>
      <c r="E27" s="1349"/>
      <c r="F27" s="1347" t="s">
        <v>72</v>
      </c>
      <c r="G27" s="1347" t="s">
        <v>85</v>
      </c>
      <c r="H27" s="1347" t="s">
        <v>72</v>
      </c>
      <c r="I27" s="1347" t="s">
        <v>72</v>
      </c>
      <c r="J27" s="1349" t="s">
        <v>4670</v>
      </c>
      <c r="K27" s="1349" t="s">
        <v>254</v>
      </c>
      <c r="L27" s="1350" t="s">
        <v>48</v>
      </c>
      <c r="M27" s="1350" t="s">
        <v>253</v>
      </c>
      <c r="N27" s="1390" t="s">
        <v>4703</v>
      </c>
      <c r="O27" s="1352" t="s">
        <v>4704</v>
      </c>
      <c r="P27" s="1352"/>
      <c r="Q27" s="1354"/>
      <c r="R27" s="1354"/>
      <c r="S27" s="1354"/>
      <c r="T27" s="1354"/>
      <c r="U27" s="1354"/>
      <c r="V27" s="1354"/>
      <c r="W27" s="1354"/>
      <c r="X27" s="1353">
        <v>43101</v>
      </c>
      <c r="Y27" s="1353">
        <v>43466</v>
      </c>
      <c r="Z27" s="1355"/>
      <c r="AA27" s="1355" t="s">
        <v>4674</v>
      </c>
      <c r="AB27" s="1356"/>
      <c r="AC27" s="1356"/>
      <c r="AD27" s="1356"/>
      <c r="AE27" s="1356"/>
      <c r="AF27" s="1357" t="str">
        <f t="shared" si="3"/>
        <v/>
      </c>
      <c r="AG27" s="1380"/>
      <c r="AH27" s="1380"/>
      <c r="AI27" s="1381">
        <v>0</v>
      </c>
      <c r="AJ27" s="1382">
        <f t="shared" si="20"/>
        <v>0</v>
      </c>
      <c r="AK27" s="1383">
        <f t="shared" si="21"/>
        <v>0</v>
      </c>
      <c r="AL27" s="1384">
        <v>0</v>
      </c>
      <c r="AM27" s="1363">
        <f t="shared" si="22"/>
        <v>0</v>
      </c>
      <c r="AN27" s="1364">
        <v>0</v>
      </c>
      <c r="AO27" s="1365">
        <f t="shared" si="23"/>
        <v>0</v>
      </c>
      <c r="AP27" s="1366">
        <v>0</v>
      </c>
      <c r="AQ27" s="1367">
        <f t="shared" si="24"/>
        <v>0</v>
      </c>
      <c r="AR27" s="1368">
        <v>0</v>
      </c>
      <c r="AS27" s="1369">
        <f t="shared" si="25"/>
        <v>0</v>
      </c>
      <c r="AT27" s="1370">
        <v>0</v>
      </c>
      <c r="AU27" s="1371">
        <f t="shared" si="26"/>
        <v>0</v>
      </c>
      <c r="AV27" s="1359">
        <f t="shared" si="27"/>
        <v>0</v>
      </c>
      <c r="AW27" s="1372">
        <f t="shared" si="28"/>
        <v>0</v>
      </c>
      <c r="AX27" s="1373">
        <f t="shared" si="29"/>
        <v>0</v>
      </c>
      <c r="AY27" s="1374">
        <f t="shared" si="30"/>
        <v>0</v>
      </c>
      <c r="AZ27" s="1375">
        <f t="shared" si="31"/>
        <v>0</v>
      </c>
      <c r="BA27" s="1376">
        <f t="shared" si="32"/>
        <v>0</v>
      </c>
      <c r="BB27" s="1377"/>
      <c r="BC27" s="1820"/>
      <c r="BD27" s="1820"/>
      <c r="BE27" s="1823"/>
      <c r="BF27" s="1826"/>
      <c r="BG27" s="1829"/>
    </row>
    <row r="28" spans="1:59" s="1378" customFormat="1" ht="51">
      <c r="A28" s="1347" t="str">
        <f t="shared" si="17"/>
        <v>Advanced Brain Monitoring, Inc.</v>
      </c>
      <c r="B28" s="1347" t="s">
        <v>3653</v>
      </c>
      <c r="C28" s="1348">
        <f t="shared" si="18"/>
        <v>25</v>
      </c>
      <c r="D28" s="1349">
        <v>42705</v>
      </c>
      <c r="E28" s="1349"/>
      <c r="F28" s="1347" t="s">
        <v>72</v>
      </c>
      <c r="G28" s="1347" t="s">
        <v>85</v>
      </c>
      <c r="H28" s="1347" t="s">
        <v>72</v>
      </c>
      <c r="I28" s="1347" t="s">
        <v>72</v>
      </c>
      <c r="J28" s="1349" t="s">
        <v>4670</v>
      </c>
      <c r="K28" s="1349" t="s">
        <v>254</v>
      </c>
      <c r="L28" s="1350" t="s">
        <v>49</v>
      </c>
      <c r="M28" s="1350" t="s">
        <v>4705</v>
      </c>
      <c r="N28" s="1390" t="s">
        <v>4706</v>
      </c>
      <c r="O28" s="1352" t="s">
        <v>4707</v>
      </c>
      <c r="P28" s="1352"/>
      <c r="Q28" s="1354"/>
      <c r="R28" s="1354"/>
      <c r="S28" s="1354"/>
      <c r="T28" s="1354"/>
      <c r="U28" s="1354"/>
      <c r="V28" s="1354"/>
      <c r="W28" s="1354"/>
      <c r="X28" s="1353">
        <v>43101</v>
      </c>
      <c r="Y28" s="1353">
        <v>43466</v>
      </c>
      <c r="Z28" s="1355"/>
      <c r="AA28" s="1355" t="s">
        <v>4674</v>
      </c>
      <c r="AB28" s="1356"/>
      <c r="AC28" s="1356"/>
      <c r="AD28" s="1356"/>
      <c r="AE28" s="1356"/>
      <c r="AF28" s="1357" t="str">
        <f t="shared" si="3"/>
        <v/>
      </c>
      <c r="AG28" s="1380"/>
      <c r="AH28" s="1380"/>
      <c r="AI28" s="1381">
        <v>0</v>
      </c>
      <c r="AJ28" s="1382">
        <f t="shared" si="20"/>
        <v>0</v>
      </c>
      <c r="AK28" s="1383">
        <f t="shared" si="21"/>
        <v>0</v>
      </c>
      <c r="AL28" s="1384">
        <v>0</v>
      </c>
      <c r="AM28" s="1363">
        <f t="shared" si="22"/>
        <v>0</v>
      </c>
      <c r="AN28" s="1364">
        <v>0</v>
      </c>
      <c r="AO28" s="1365">
        <f t="shared" si="23"/>
        <v>0</v>
      </c>
      <c r="AP28" s="1366">
        <v>0</v>
      </c>
      <c r="AQ28" s="1367">
        <f t="shared" si="24"/>
        <v>0</v>
      </c>
      <c r="AR28" s="1368">
        <v>0</v>
      </c>
      <c r="AS28" s="1369">
        <f t="shared" si="25"/>
        <v>0</v>
      </c>
      <c r="AT28" s="1370">
        <v>0</v>
      </c>
      <c r="AU28" s="1371">
        <f t="shared" si="26"/>
        <v>0</v>
      </c>
      <c r="AV28" s="1359">
        <f t="shared" si="27"/>
        <v>0</v>
      </c>
      <c r="AW28" s="1372">
        <f t="shared" si="28"/>
        <v>0</v>
      </c>
      <c r="AX28" s="1373">
        <f t="shared" si="29"/>
        <v>0</v>
      </c>
      <c r="AY28" s="1374">
        <f t="shared" si="30"/>
        <v>0</v>
      </c>
      <c r="AZ28" s="1375">
        <f t="shared" si="31"/>
        <v>0</v>
      </c>
      <c r="BA28" s="1376">
        <f t="shared" si="32"/>
        <v>0</v>
      </c>
      <c r="BB28" s="1377"/>
      <c r="BC28" s="1820"/>
      <c r="BD28" s="1820"/>
      <c r="BE28" s="1823"/>
      <c r="BF28" s="1826"/>
      <c r="BG28" s="1829"/>
    </row>
    <row r="29" spans="1:59" s="1378" customFormat="1" ht="22.5" customHeight="1">
      <c r="A29" s="1347" t="str">
        <f>A28</f>
        <v>Advanced Brain Monitoring, Inc.</v>
      </c>
      <c r="B29" s="1347" t="s">
        <v>3653</v>
      </c>
      <c r="C29" s="1348">
        <f>C28</f>
        <v>25</v>
      </c>
      <c r="D29" s="1349">
        <v>42705</v>
      </c>
      <c r="E29" s="1349"/>
      <c r="F29" s="1347" t="s">
        <v>72</v>
      </c>
      <c r="G29" s="1347" t="s">
        <v>85</v>
      </c>
      <c r="H29" s="1347" t="s">
        <v>72</v>
      </c>
      <c r="I29" s="1347" t="s">
        <v>72</v>
      </c>
      <c r="J29" s="1349" t="s">
        <v>4670</v>
      </c>
      <c r="K29" s="1349" t="s">
        <v>254</v>
      </c>
      <c r="L29" s="1350" t="s">
        <v>3056</v>
      </c>
      <c r="M29" s="1350" t="s">
        <v>4708</v>
      </c>
      <c r="N29" s="1390" t="s">
        <v>4709</v>
      </c>
      <c r="O29" s="1352" t="s">
        <v>4710</v>
      </c>
      <c r="P29" s="1352"/>
      <c r="Q29" s="1354"/>
      <c r="R29" s="1354"/>
      <c r="S29" s="1354"/>
      <c r="T29" s="1354"/>
      <c r="U29" s="1354"/>
      <c r="V29" s="1354"/>
      <c r="W29" s="1354"/>
      <c r="X29" s="1353">
        <v>43101</v>
      </c>
      <c r="Y29" s="1353">
        <v>43466</v>
      </c>
      <c r="Z29" s="1355"/>
      <c r="AA29" s="1355" t="s">
        <v>4674</v>
      </c>
      <c r="AB29" s="1356"/>
      <c r="AC29" s="1356"/>
      <c r="AD29" s="1356"/>
      <c r="AE29" s="1356"/>
      <c r="AF29" s="1357" t="str">
        <f t="shared" si="3"/>
        <v/>
      </c>
      <c r="AG29" s="1380"/>
      <c r="AH29" s="1380"/>
      <c r="AI29" s="1381">
        <v>0</v>
      </c>
      <c r="AJ29" s="1382">
        <f t="shared" si="20"/>
        <v>0</v>
      </c>
      <c r="AK29" s="1383">
        <f t="shared" si="21"/>
        <v>0</v>
      </c>
      <c r="AL29" s="1384">
        <v>0</v>
      </c>
      <c r="AM29" s="1363">
        <f t="shared" si="22"/>
        <v>0</v>
      </c>
      <c r="AN29" s="1364">
        <v>0</v>
      </c>
      <c r="AO29" s="1365">
        <f t="shared" si="23"/>
        <v>0</v>
      </c>
      <c r="AP29" s="1366">
        <v>0</v>
      </c>
      <c r="AQ29" s="1367">
        <f t="shared" si="24"/>
        <v>0</v>
      </c>
      <c r="AR29" s="1368">
        <v>0</v>
      </c>
      <c r="AS29" s="1369">
        <f t="shared" si="25"/>
        <v>0</v>
      </c>
      <c r="AT29" s="1370">
        <v>0</v>
      </c>
      <c r="AU29" s="1371">
        <f t="shared" si="26"/>
        <v>0</v>
      </c>
      <c r="AV29" s="1359">
        <f t="shared" si="27"/>
        <v>0</v>
      </c>
      <c r="AW29" s="1372">
        <f t="shared" si="28"/>
        <v>0</v>
      </c>
      <c r="AX29" s="1373">
        <f t="shared" si="29"/>
        <v>0</v>
      </c>
      <c r="AY29" s="1374">
        <f t="shared" si="30"/>
        <v>0</v>
      </c>
      <c r="AZ29" s="1375">
        <f t="shared" si="31"/>
        <v>0</v>
      </c>
      <c r="BA29" s="1376">
        <f t="shared" si="32"/>
        <v>0</v>
      </c>
      <c r="BB29" s="1391"/>
      <c r="BC29" s="1821"/>
      <c r="BD29" s="1821"/>
      <c r="BE29" s="1824"/>
      <c r="BF29" s="1827"/>
      <c r="BG29" s="1830"/>
    </row>
    <row r="30" spans="1:59" s="1315" customFormat="1" ht="45" customHeight="1">
      <c r="A30" s="1277" t="str">
        <f t="shared" ref="A30:A45" si="34">$L$30</f>
        <v>AirXpanders, Inc.</v>
      </c>
      <c r="B30" s="1277" t="s">
        <v>4726</v>
      </c>
      <c r="C30" s="1316">
        <f t="shared" ref="C30:C45" si="35">$Z$30</f>
        <v>105</v>
      </c>
      <c r="D30" s="1317">
        <v>42736</v>
      </c>
      <c r="E30" s="1317"/>
      <c r="F30" s="1277" t="s">
        <v>72</v>
      </c>
      <c r="G30" s="1277" t="s">
        <v>72</v>
      </c>
      <c r="H30" s="1277" t="s">
        <v>72</v>
      </c>
      <c r="I30" s="1277" t="s">
        <v>113</v>
      </c>
      <c r="J30" s="1317"/>
      <c r="K30" s="1317"/>
      <c r="L30" s="1318" t="s">
        <v>75</v>
      </c>
      <c r="M30" s="1319"/>
      <c r="N30" s="1281" t="s">
        <v>3653</v>
      </c>
      <c r="O30" s="1392" t="s">
        <v>2474</v>
      </c>
      <c r="P30" s="1392"/>
      <c r="Q30" s="1322"/>
      <c r="R30" s="1322"/>
      <c r="S30" s="1322"/>
      <c r="T30" s="1322"/>
      <c r="U30" s="1322"/>
      <c r="V30" s="1322"/>
      <c r="W30" s="1322"/>
      <c r="X30" s="1317">
        <v>43101</v>
      </c>
      <c r="Y30" s="1317">
        <v>43466</v>
      </c>
      <c r="Z30" s="1316">
        <v>105</v>
      </c>
      <c r="AA30" s="1316" t="s">
        <v>4727</v>
      </c>
      <c r="AB30" s="1323">
        <f>SUM(AB31:AB44)</f>
        <v>0</v>
      </c>
      <c r="AC30" s="1323">
        <f>SUM(AC31:AC44)</f>
        <v>0</v>
      </c>
      <c r="AD30" s="1323">
        <f>SUM(AD31:AD44)</f>
        <v>0</v>
      </c>
      <c r="AE30" s="1324">
        <f t="shared" si="19"/>
        <v>0</v>
      </c>
      <c r="AF30" s="1325" t="str">
        <f t="shared" si="3"/>
        <v/>
      </c>
      <c r="AG30" s="1326">
        <f t="shared" si="2"/>
        <v>123622.33166666667</v>
      </c>
      <c r="AH30" s="1326">
        <f>SUM(AH31:AH44)</f>
        <v>1483467.98</v>
      </c>
      <c r="AI30" s="1327"/>
      <c r="AJ30" s="1328">
        <f>SUM(AJ31:AJ44)</f>
        <v>9026.6497500000005</v>
      </c>
      <c r="AK30" s="1328">
        <f>SUM(AK31:AK44)</f>
        <v>108319.79700000001</v>
      </c>
      <c r="AL30" s="1329"/>
      <c r="AM30" s="1330">
        <f>SUM(AM31:AM44)</f>
        <v>6132.8159999999998</v>
      </c>
      <c r="AN30" s="1331"/>
      <c r="AO30" s="1332">
        <f>SUM(AO31:AO44)</f>
        <v>0</v>
      </c>
      <c r="AP30" s="1333"/>
      <c r="AQ30" s="1334">
        <f>SUM(AQ31:AQ44)</f>
        <v>70775.9948</v>
      </c>
      <c r="AR30" s="1335"/>
      <c r="AS30" s="1336">
        <f>SUM(AS31:AS44)</f>
        <v>0</v>
      </c>
      <c r="AT30" s="1337"/>
      <c r="AU30" s="1338">
        <f>SUM(AU31:AU44)</f>
        <v>12265.632</v>
      </c>
      <c r="AV30" s="1339"/>
      <c r="AW30" s="1340">
        <f>SUM(AW31:AW44)</f>
        <v>19145.354200000002</v>
      </c>
      <c r="AX30" s="1306"/>
      <c r="AY30" s="1307">
        <f>SUM(AW30+AS30+AU30)</f>
        <v>31410.986199999999</v>
      </c>
      <c r="AZ30" s="1341"/>
      <c r="BA30" s="1309">
        <f>SUM(AY30+AQ30)</f>
        <v>102186.981</v>
      </c>
      <c r="BB30" s="1342">
        <f>(AW30+AU30)/(AK30-AM30)</f>
        <v>0.3073873588652159</v>
      </c>
      <c r="BC30" s="1343"/>
      <c r="BD30" s="1343"/>
      <c r="BE30" s="1344"/>
      <c r="BF30" s="1393" t="s">
        <v>4728</v>
      </c>
      <c r="BG30" s="1346"/>
    </row>
    <row r="31" spans="1:59" s="1396" customFormat="1" ht="54.75" customHeight="1">
      <c r="A31" s="1347" t="str">
        <f t="shared" si="34"/>
        <v>AirXpanders, Inc.</v>
      </c>
      <c r="B31" s="1347" t="s">
        <v>4726</v>
      </c>
      <c r="C31" s="1348">
        <f t="shared" si="35"/>
        <v>105</v>
      </c>
      <c r="D31" s="1349">
        <v>42736</v>
      </c>
      <c r="E31" s="1349"/>
      <c r="F31" s="1347" t="s">
        <v>85</v>
      </c>
      <c r="G31" s="1347" t="s">
        <v>479</v>
      </c>
      <c r="H31" s="1347" t="s">
        <v>479</v>
      </c>
      <c r="I31" s="1347" t="s">
        <v>113</v>
      </c>
      <c r="J31" s="1349"/>
      <c r="K31" s="1349" t="s">
        <v>254</v>
      </c>
      <c r="L31" s="1350" t="s">
        <v>4729</v>
      </c>
      <c r="M31" s="1350" t="s">
        <v>3647</v>
      </c>
      <c r="N31" s="1351" t="s">
        <v>4730</v>
      </c>
      <c r="O31" s="1352" t="s">
        <v>4731</v>
      </c>
      <c r="P31" s="1352"/>
      <c r="Q31" s="1354"/>
      <c r="R31" s="1354"/>
      <c r="S31" s="1354"/>
      <c r="T31" s="1354"/>
      <c r="U31" s="1354"/>
      <c r="V31" s="1354"/>
      <c r="W31" s="1354"/>
      <c r="X31" s="1353">
        <v>43101</v>
      </c>
      <c r="Y31" s="1353">
        <v>43466</v>
      </c>
      <c r="Z31" s="1355"/>
      <c r="AA31" s="1355" t="s">
        <v>4732</v>
      </c>
      <c r="AB31" s="1356"/>
      <c r="AC31" s="1394"/>
      <c r="AD31" s="1356"/>
      <c r="AE31" s="1356"/>
      <c r="AF31" s="1395"/>
      <c r="AG31" s="1358">
        <f t="shared" si="2"/>
        <v>102213.59999999999</v>
      </c>
      <c r="AH31" s="1358">
        <v>1226563.2</v>
      </c>
      <c r="AI31" s="1359">
        <v>6.5000000000000002E-2</v>
      </c>
      <c r="AJ31" s="1360">
        <f>$AI31*$AG31</f>
        <v>6643.884</v>
      </c>
      <c r="AK31" s="1361">
        <f t="shared" ref="AK31" si="36">AI31*$AH31</f>
        <v>79726.607999999993</v>
      </c>
      <c r="AL31" s="1362">
        <v>5.0000000000000001E-3</v>
      </c>
      <c r="AM31" s="1363">
        <f t="shared" ref="AM31:AM45" si="37">AL31*$AH31</f>
        <v>6132.8159999999998</v>
      </c>
      <c r="AN31" s="1364">
        <v>0</v>
      </c>
      <c r="AO31" s="1365">
        <f t="shared" ref="AO31:AO45" si="38">AN31*$AH31</f>
        <v>0</v>
      </c>
      <c r="AP31" s="1366">
        <v>0.04</v>
      </c>
      <c r="AQ31" s="1367">
        <f t="shared" ref="AQ31:AQ45" si="39">AP31*$AH31</f>
        <v>49062.527999999998</v>
      </c>
      <c r="AR31" s="1368">
        <v>0</v>
      </c>
      <c r="AS31" s="1369">
        <f t="shared" ref="AS31:AS45" si="40">AR31*$AH31</f>
        <v>0</v>
      </c>
      <c r="AT31" s="1370">
        <v>0.01</v>
      </c>
      <c r="AU31" s="1371">
        <f t="shared" ref="AU31:AU45" si="41">AT31*$AH31</f>
        <v>12265.632</v>
      </c>
      <c r="AV31" s="1359">
        <f t="shared" ref="AV31:AV45" si="42">AZ31-AR31-AT31-AP31</f>
        <v>1.0000000000000002E-2</v>
      </c>
      <c r="AW31" s="1372">
        <f t="shared" ref="AW31:AW45" si="43">AV31*$AH31</f>
        <v>12265.632000000001</v>
      </c>
      <c r="AX31" s="1373">
        <f t="shared" ref="AX31:AX45" si="44">$AZ31-$AP31</f>
        <v>2.0000000000000004E-2</v>
      </c>
      <c r="AY31" s="1374">
        <f t="shared" ref="AY31:AY45" si="45">AX31*$AH31</f>
        <v>24531.264000000003</v>
      </c>
      <c r="AZ31" s="1375">
        <f t="shared" ref="AZ31:AZ45" si="46">$AI31-$AL31-$AN31</f>
        <v>6.0000000000000005E-2</v>
      </c>
      <c r="BA31" s="1376">
        <f t="shared" ref="BA31:BA45" si="47">AZ31*$AH31</f>
        <v>73593.792000000001</v>
      </c>
      <c r="BB31" s="1377"/>
      <c r="BC31" s="1819" t="s">
        <v>1262</v>
      </c>
      <c r="BD31" s="1819" t="s">
        <v>5504</v>
      </c>
      <c r="BE31" s="1822" t="s">
        <v>5504</v>
      </c>
      <c r="BF31" s="1825" t="s">
        <v>4733</v>
      </c>
      <c r="BG31" s="1828">
        <v>202555438</v>
      </c>
    </row>
    <row r="32" spans="1:59" s="1396" customFormat="1" ht="54.75" customHeight="1">
      <c r="A32" s="1347" t="str">
        <f t="shared" si="34"/>
        <v>AirXpanders, Inc.</v>
      </c>
      <c r="B32" s="1347" t="s">
        <v>4726</v>
      </c>
      <c r="C32" s="1348">
        <f t="shared" si="35"/>
        <v>105</v>
      </c>
      <c r="D32" s="1349">
        <v>42736</v>
      </c>
      <c r="E32" s="1349"/>
      <c r="F32" s="1347" t="s">
        <v>113</v>
      </c>
      <c r="G32" s="1347" t="s">
        <v>113</v>
      </c>
      <c r="H32" s="1347" t="s">
        <v>113</v>
      </c>
      <c r="I32" s="1347" t="s">
        <v>113</v>
      </c>
      <c r="J32" s="1349"/>
      <c r="K32" s="1349" t="s">
        <v>254</v>
      </c>
      <c r="L32" s="1397" t="s">
        <v>4734</v>
      </c>
      <c r="M32" s="1397" t="s">
        <v>3647</v>
      </c>
      <c r="N32" s="1398" t="s">
        <v>4735</v>
      </c>
      <c r="O32" s="1399">
        <v>715868</v>
      </c>
      <c r="P32" s="1399"/>
      <c r="Q32" s="1400"/>
      <c r="R32" s="1400"/>
      <c r="S32" s="1400"/>
      <c r="T32" s="1400"/>
      <c r="U32" s="1400"/>
      <c r="V32" s="1400"/>
      <c r="W32" s="1400"/>
      <c r="X32" s="1400">
        <v>43101</v>
      </c>
      <c r="Y32" s="1400">
        <v>43466</v>
      </c>
      <c r="Z32" s="1401"/>
      <c r="AA32" s="1401" t="s">
        <v>4736</v>
      </c>
      <c r="AB32" s="1369"/>
      <c r="AC32" s="1402"/>
      <c r="AD32" s="1369"/>
      <c r="AE32" s="1369"/>
      <c r="AF32" s="1403" t="str">
        <f t="shared" ref="AF32" si="48">IFERROR((AE32/AB32),"")</f>
        <v/>
      </c>
      <c r="AG32" s="1404"/>
      <c r="AH32" s="1404"/>
      <c r="AI32" s="1405">
        <v>0.05</v>
      </c>
      <c r="AJ32" s="1406">
        <v>0</v>
      </c>
      <c r="AK32" s="1406">
        <v>0</v>
      </c>
      <c r="AL32" s="1384">
        <v>0</v>
      </c>
      <c r="AM32" s="1363">
        <f t="shared" si="37"/>
        <v>0</v>
      </c>
      <c r="AN32" s="1364">
        <v>0</v>
      </c>
      <c r="AO32" s="1365">
        <f t="shared" si="38"/>
        <v>0</v>
      </c>
      <c r="AP32" s="1366">
        <f>AI32</f>
        <v>0.05</v>
      </c>
      <c r="AQ32" s="1367">
        <f t="shared" si="39"/>
        <v>0</v>
      </c>
      <c r="AR32" s="1368">
        <v>0</v>
      </c>
      <c r="AS32" s="1369">
        <f t="shared" si="40"/>
        <v>0</v>
      </c>
      <c r="AT32" s="1407">
        <v>0</v>
      </c>
      <c r="AU32" s="1371">
        <f t="shared" si="41"/>
        <v>0</v>
      </c>
      <c r="AV32" s="1408">
        <f t="shared" si="42"/>
        <v>0</v>
      </c>
      <c r="AW32" s="1372">
        <f t="shared" si="43"/>
        <v>0</v>
      </c>
      <c r="AX32" s="1409">
        <f t="shared" si="44"/>
        <v>0</v>
      </c>
      <c r="AY32" s="1374">
        <f t="shared" si="45"/>
        <v>0</v>
      </c>
      <c r="AZ32" s="1375">
        <f t="shared" si="46"/>
        <v>0.05</v>
      </c>
      <c r="BA32" s="1376">
        <f t="shared" si="47"/>
        <v>0</v>
      </c>
      <c r="BB32" s="1377"/>
      <c r="BC32" s="1820"/>
      <c r="BD32" s="1820"/>
      <c r="BE32" s="1823"/>
      <c r="BF32" s="1826"/>
      <c r="BG32" s="1829"/>
    </row>
    <row r="33" spans="1:59" s="1378" customFormat="1" ht="38.25">
      <c r="A33" s="1347" t="str">
        <f t="shared" si="34"/>
        <v>AirXpanders, Inc.</v>
      </c>
      <c r="B33" s="1347" t="s">
        <v>4726</v>
      </c>
      <c r="C33" s="1348">
        <f t="shared" si="35"/>
        <v>105</v>
      </c>
      <c r="D33" s="1349">
        <v>42736</v>
      </c>
      <c r="E33" s="1349"/>
      <c r="F33" s="1347" t="s">
        <v>72</v>
      </c>
      <c r="G33" s="1347" t="s">
        <v>113</v>
      </c>
      <c r="H33" s="1347" t="s">
        <v>72</v>
      </c>
      <c r="I33" s="1347" t="s">
        <v>113</v>
      </c>
      <c r="J33" s="1349" t="s">
        <v>4670</v>
      </c>
      <c r="K33" s="1349" t="s">
        <v>254</v>
      </c>
      <c r="L33" s="1397" t="s">
        <v>4737</v>
      </c>
      <c r="M33" s="1397" t="s">
        <v>3649</v>
      </c>
      <c r="N33" s="1410" t="s">
        <v>3649</v>
      </c>
      <c r="O33" s="1399">
        <v>32506</v>
      </c>
      <c r="P33" s="1399"/>
      <c r="Q33" s="1400"/>
      <c r="R33" s="1400"/>
      <c r="S33" s="1400"/>
      <c r="T33" s="1400"/>
      <c r="U33" s="1400"/>
      <c r="V33" s="1400"/>
      <c r="W33" s="1400"/>
      <c r="X33" s="1400">
        <v>43101</v>
      </c>
      <c r="Y33" s="1400">
        <v>43466</v>
      </c>
      <c r="Z33" s="1401"/>
      <c r="AA33" s="1401" t="s">
        <v>4738</v>
      </c>
      <c r="AB33" s="1369"/>
      <c r="AC33" s="1369"/>
      <c r="AD33" s="1369"/>
      <c r="AE33" s="1369"/>
      <c r="AF33" s="1403" t="str">
        <f t="shared" si="3"/>
        <v/>
      </c>
      <c r="AG33" s="1404"/>
      <c r="AH33" s="1404"/>
      <c r="AI33" s="1405">
        <v>0</v>
      </c>
      <c r="AJ33" s="1411">
        <f t="shared" ref="AJ33:AJ43" si="49">$AI33*$AG33</f>
        <v>0</v>
      </c>
      <c r="AK33" s="1406">
        <f t="shared" ref="AK33:AK43" si="50">AI33*$AH33</f>
        <v>0</v>
      </c>
      <c r="AL33" s="1384">
        <v>0</v>
      </c>
      <c r="AM33" s="1363">
        <f t="shared" si="37"/>
        <v>0</v>
      </c>
      <c r="AN33" s="1364">
        <v>0</v>
      </c>
      <c r="AO33" s="1365">
        <f t="shared" si="38"/>
        <v>0</v>
      </c>
      <c r="AP33" s="1366">
        <v>0</v>
      </c>
      <c r="AQ33" s="1367">
        <f t="shared" si="39"/>
        <v>0</v>
      </c>
      <c r="AR33" s="1368">
        <v>0</v>
      </c>
      <c r="AS33" s="1369">
        <f t="shared" si="40"/>
        <v>0</v>
      </c>
      <c r="AT33" s="1370">
        <v>0</v>
      </c>
      <c r="AU33" s="1371">
        <f t="shared" si="41"/>
        <v>0</v>
      </c>
      <c r="AV33" s="1359">
        <f t="shared" si="42"/>
        <v>0</v>
      </c>
      <c r="AW33" s="1372">
        <f t="shared" si="43"/>
        <v>0</v>
      </c>
      <c r="AX33" s="1373">
        <f t="shared" si="44"/>
        <v>0</v>
      </c>
      <c r="AY33" s="1374">
        <f t="shared" si="45"/>
        <v>0</v>
      </c>
      <c r="AZ33" s="1375">
        <f t="shared" si="46"/>
        <v>0</v>
      </c>
      <c r="BA33" s="1376">
        <f t="shared" si="47"/>
        <v>0</v>
      </c>
      <c r="BB33" s="1377"/>
      <c r="BC33" s="1820"/>
      <c r="BD33" s="1820"/>
      <c r="BE33" s="1823"/>
      <c r="BF33" s="1826"/>
      <c r="BG33" s="1829"/>
    </row>
    <row r="34" spans="1:59" s="1378" customFormat="1" ht="38.25">
      <c r="A34" s="1347" t="str">
        <f t="shared" si="34"/>
        <v>AirXpanders, Inc.</v>
      </c>
      <c r="B34" s="1347" t="s">
        <v>4726</v>
      </c>
      <c r="C34" s="1348">
        <f t="shared" si="35"/>
        <v>105</v>
      </c>
      <c r="D34" s="1349">
        <v>42736</v>
      </c>
      <c r="E34" s="1349"/>
      <c r="F34" s="1347" t="s">
        <v>113</v>
      </c>
      <c r="G34" s="1347" t="s">
        <v>85</v>
      </c>
      <c r="H34" s="1347" t="s">
        <v>85</v>
      </c>
      <c r="I34" s="1347" t="s">
        <v>113</v>
      </c>
      <c r="J34" s="1349"/>
      <c r="K34" s="1349" t="s">
        <v>254</v>
      </c>
      <c r="L34" s="1350" t="s">
        <v>4675</v>
      </c>
      <c r="M34" s="1350" t="s">
        <v>3650</v>
      </c>
      <c r="N34" s="1385" t="s">
        <v>4739</v>
      </c>
      <c r="O34" s="1352" t="s">
        <v>4677</v>
      </c>
      <c r="P34" s="1352"/>
      <c r="Q34" s="1354"/>
      <c r="R34" s="1354"/>
      <c r="S34" s="1354"/>
      <c r="T34" s="1354"/>
      <c r="U34" s="1353" t="s">
        <v>4723</v>
      </c>
      <c r="V34" s="1353" t="s">
        <v>2481</v>
      </c>
      <c r="W34" s="1354"/>
      <c r="X34" s="1353">
        <v>43101</v>
      </c>
      <c r="Y34" s="1353">
        <v>43466</v>
      </c>
      <c r="Z34" s="1355"/>
      <c r="AA34" s="1355" t="s">
        <v>4679</v>
      </c>
      <c r="AB34" s="1356"/>
      <c r="AC34" s="1356"/>
      <c r="AD34" s="1356"/>
      <c r="AE34" s="1356"/>
      <c r="AF34" s="1357" t="str">
        <f t="shared" si="3"/>
        <v/>
      </c>
      <c r="AG34" s="1358">
        <f t="shared" si="2"/>
        <v>15130.62</v>
      </c>
      <c r="AH34" s="1358">
        <v>181567.44</v>
      </c>
      <c r="AI34" s="1359">
        <v>0.1</v>
      </c>
      <c r="AJ34" s="1360">
        <f t="shared" si="49"/>
        <v>1513.0620000000001</v>
      </c>
      <c r="AK34" s="1361">
        <f t="shared" si="50"/>
        <v>18156.744000000002</v>
      </c>
      <c r="AL34" s="1384">
        <v>0</v>
      </c>
      <c r="AM34" s="1363">
        <f t="shared" si="37"/>
        <v>0</v>
      </c>
      <c r="AN34" s="1364">
        <v>0</v>
      </c>
      <c r="AO34" s="1365">
        <f t="shared" si="38"/>
        <v>0</v>
      </c>
      <c r="AP34" s="1366">
        <v>0.08</v>
      </c>
      <c r="AQ34" s="1367">
        <f t="shared" si="39"/>
        <v>14525.395200000001</v>
      </c>
      <c r="AR34" s="1368">
        <v>0</v>
      </c>
      <c r="AS34" s="1369">
        <f t="shared" si="40"/>
        <v>0</v>
      </c>
      <c r="AT34" s="1370">
        <v>0</v>
      </c>
      <c r="AU34" s="1371">
        <f t="shared" si="41"/>
        <v>0</v>
      </c>
      <c r="AV34" s="1359">
        <f t="shared" si="42"/>
        <v>2.0000000000000004E-2</v>
      </c>
      <c r="AW34" s="1372">
        <f t="shared" si="43"/>
        <v>3631.3488000000007</v>
      </c>
      <c r="AX34" s="1373">
        <f t="shared" si="44"/>
        <v>2.0000000000000004E-2</v>
      </c>
      <c r="AY34" s="1374">
        <f t="shared" si="45"/>
        <v>3631.3488000000007</v>
      </c>
      <c r="AZ34" s="1375">
        <f t="shared" si="46"/>
        <v>0.1</v>
      </c>
      <c r="BA34" s="1376">
        <f t="shared" si="47"/>
        <v>18156.744000000002</v>
      </c>
      <c r="BB34" s="1377"/>
      <c r="BC34" s="1820"/>
      <c r="BD34" s="1820"/>
      <c r="BE34" s="1823"/>
      <c r="BF34" s="1826"/>
      <c r="BG34" s="1829"/>
    </row>
    <row r="35" spans="1:59" s="1378" customFormat="1" ht="30.75" customHeight="1">
      <c r="A35" s="1347" t="str">
        <f t="shared" si="34"/>
        <v>AirXpanders, Inc.</v>
      </c>
      <c r="B35" s="1347" t="s">
        <v>4726</v>
      </c>
      <c r="C35" s="1348">
        <f t="shared" si="35"/>
        <v>105</v>
      </c>
      <c r="D35" s="1349">
        <v>42736</v>
      </c>
      <c r="E35" s="1349"/>
      <c r="F35" s="1347" t="s">
        <v>113</v>
      </c>
      <c r="G35" s="1347" t="s">
        <v>85</v>
      </c>
      <c r="H35" s="1347" t="s">
        <v>85</v>
      </c>
      <c r="I35" s="1347" t="s">
        <v>113</v>
      </c>
      <c r="J35" s="1349"/>
      <c r="K35" s="1349" t="s">
        <v>254</v>
      </c>
      <c r="L35" s="1350" t="s">
        <v>4675</v>
      </c>
      <c r="M35" s="1350" t="s">
        <v>3651</v>
      </c>
      <c r="N35" s="1351" t="s">
        <v>4740</v>
      </c>
      <c r="O35" s="1352" t="s">
        <v>4681</v>
      </c>
      <c r="P35" s="1352"/>
      <c r="Q35" s="1354"/>
      <c r="R35" s="1354"/>
      <c r="S35" s="1354"/>
      <c r="T35" s="1354"/>
      <c r="U35" s="1354"/>
      <c r="V35" s="1354"/>
      <c r="W35" s="1353" t="s">
        <v>2482</v>
      </c>
      <c r="X35" s="1353">
        <v>43101</v>
      </c>
      <c r="Y35" s="1353">
        <v>43466</v>
      </c>
      <c r="Z35" s="1355"/>
      <c r="AA35" s="1355" t="s">
        <v>4679</v>
      </c>
      <c r="AB35" s="1356"/>
      <c r="AC35" s="1356"/>
      <c r="AD35" s="1356"/>
      <c r="AE35" s="1356"/>
      <c r="AF35" s="1357" t="str">
        <f t="shared" si="3"/>
        <v/>
      </c>
      <c r="AG35" s="1358">
        <f t="shared" si="2"/>
        <v>1436.96</v>
      </c>
      <c r="AH35" s="1358">
        <v>17243.52</v>
      </c>
      <c r="AI35" s="1359">
        <v>0.1</v>
      </c>
      <c r="AJ35" s="1360">
        <f t="shared" si="49"/>
        <v>143.696</v>
      </c>
      <c r="AK35" s="1361">
        <f t="shared" si="50"/>
        <v>1724.3520000000001</v>
      </c>
      <c r="AL35" s="1384">
        <v>0</v>
      </c>
      <c r="AM35" s="1363">
        <f t="shared" si="37"/>
        <v>0</v>
      </c>
      <c r="AN35" s="1364">
        <v>0</v>
      </c>
      <c r="AO35" s="1365">
        <f t="shared" si="38"/>
        <v>0</v>
      </c>
      <c r="AP35" s="1366">
        <v>0.08</v>
      </c>
      <c r="AQ35" s="1367">
        <f t="shared" si="39"/>
        <v>1379.4816000000001</v>
      </c>
      <c r="AR35" s="1368">
        <v>0</v>
      </c>
      <c r="AS35" s="1369">
        <f t="shared" si="40"/>
        <v>0</v>
      </c>
      <c r="AT35" s="1370">
        <v>0</v>
      </c>
      <c r="AU35" s="1371">
        <f t="shared" si="41"/>
        <v>0</v>
      </c>
      <c r="AV35" s="1359">
        <f t="shared" si="42"/>
        <v>2.0000000000000004E-2</v>
      </c>
      <c r="AW35" s="1372">
        <f t="shared" si="43"/>
        <v>344.87040000000007</v>
      </c>
      <c r="AX35" s="1373">
        <f t="shared" si="44"/>
        <v>2.0000000000000004E-2</v>
      </c>
      <c r="AY35" s="1374">
        <f t="shared" si="45"/>
        <v>344.87040000000007</v>
      </c>
      <c r="AZ35" s="1375">
        <f t="shared" si="46"/>
        <v>0.1</v>
      </c>
      <c r="BA35" s="1376">
        <f t="shared" si="47"/>
        <v>1724.3520000000001</v>
      </c>
      <c r="BB35" s="1377"/>
      <c r="BC35" s="1820"/>
      <c r="BD35" s="1820"/>
      <c r="BE35" s="1823"/>
      <c r="BF35" s="1826"/>
      <c r="BG35" s="1829"/>
    </row>
    <row r="36" spans="1:59" s="1378" customFormat="1" ht="38.25" customHeight="1">
      <c r="A36" s="1347" t="str">
        <f t="shared" si="34"/>
        <v>AirXpanders, Inc.</v>
      </c>
      <c r="B36" s="1347" t="s">
        <v>4726</v>
      </c>
      <c r="C36" s="1348">
        <f t="shared" si="35"/>
        <v>105</v>
      </c>
      <c r="D36" s="1349">
        <v>42736</v>
      </c>
      <c r="E36" s="1349"/>
      <c r="F36" s="1347" t="s">
        <v>113</v>
      </c>
      <c r="G36" s="1347" t="s">
        <v>85</v>
      </c>
      <c r="H36" s="1347" t="s">
        <v>85</v>
      </c>
      <c r="I36" s="1347" t="s">
        <v>113</v>
      </c>
      <c r="J36" s="1349"/>
      <c r="K36" s="1349" t="s">
        <v>254</v>
      </c>
      <c r="L36" s="1350" t="s">
        <v>4682</v>
      </c>
      <c r="M36" s="1350" t="s">
        <v>4683</v>
      </c>
      <c r="N36" s="1386" t="s">
        <v>1249</v>
      </c>
      <c r="O36" s="1352" t="s">
        <v>4684</v>
      </c>
      <c r="P36" s="1387"/>
      <c r="Q36" s="1354"/>
      <c r="R36" s="1354"/>
      <c r="S36" s="1354"/>
      <c r="T36" s="1354"/>
      <c r="U36" s="1354"/>
      <c r="V36" s="1354"/>
      <c r="W36" s="1354"/>
      <c r="X36" s="1353">
        <v>43101</v>
      </c>
      <c r="Y36" s="1353">
        <v>43466</v>
      </c>
      <c r="Z36" s="1355"/>
      <c r="AA36" s="1355" t="s">
        <v>4685</v>
      </c>
      <c r="AB36" s="1356"/>
      <c r="AC36" s="1356"/>
      <c r="AD36" s="1356"/>
      <c r="AE36" s="1356"/>
      <c r="AF36" s="1357" t="str">
        <f t="shared" si="3"/>
        <v/>
      </c>
      <c r="AG36" s="1358">
        <f t="shared" si="2"/>
        <v>1168.915</v>
      </c>
      <c r="AH36" s="1358">
        <v>14026.98</v>
      </c>
      <c r="AI36" s="1359">
        <v>0.15</v>
      </c>
      <c r="AJ36" s="1360">
        <f t="shared" si="49"/>
        <v>175.33724999999998</v>
      </c>
      <c r="AK36" s="1361">
        <f t="shared" si="50"/>
        <v>2104.047</v>
      </c>
      <c r="AL36" s="1384">
        <v>0</v>
      </c>
      <c r="AM36" s="1363">
        <f t="shared" si="37"/>
        <v>0</v>
      </c>
      <c r="AN36" s="1364">
        <v>0</v>
      </c>
      <c r="AO36" s="1365">
        <f t="shared" si="38"/>
        <v>0</v>
      </c>
      <c r="AP36" s="1366">
        <v>0.1</v>
      </c>
      <c r="AQ36" s="1367">
        <f t="shared" si="39"/>
        <v>1402.6980000000001</v>
      </c>
      <c r="AR36" s="1368">
        <v>0</v>
      </c>
      <c r="AS36" s="1369">
        <f t="shared" si="40"/>
        <v>0</v>
      </c>
      <c r="AT36" s="1370">
        <v>0</v>
      </c>
      <c r="AU36" s="1371">
        <f t="shared" si="41"/>
        <v>0</v>
      </c>
      <c r="AV36" s="1359">
        <f t="shared" si="42"/>
        <v>4.9999999999999989E-2</v>
      </c>
      <c r="AW36" s="1372">
        <f t="shared" si="43"/>
        <v>701.34899999999982</v>
      </c>
      <c r="AX36" s="1373">
        <f t="shared" si="44"/>
        <v>4.9999999999999989E-2</v>
      </c>
      <c r="AY36" s="1374">
        <f t="shared" si="45"/>
        <v>701.34899999999982</v>
      </c>
      <c r="AZ36" s="1375">
        <f t="shared" si="46"/>
        <v>0.15</v>
      </c>
      <c r="BA36" s="1376">
        <f t="shared" si="47"/>
        <v>2104.047</v>
      </c>
      <c r="BB36" s="1377"/>
      <c r="BC36" s="1820"/>
      <c r="BD36" s="1820"/>
      <c r="BE36" s="1823"/>
      <c r="BF36" s="1826"/>
      <c r="BG36" s="1829"/>
    </row>
    <row r="37" spans="1:59" s="1378" customFormat="1" ht="38.25" customHeight="1">
      <c r="A37" s="1347" t="str">
        <f t="shared" si="34"/>
        <v>AirXpanders, Inc.</v>
      </c>
      <c r="B37" s="1347" t="s">
        <v>4726</v>
      </c>
      <c r="C37" s="1348">
        <f t="shared" si="35"/>
        <v>105</v>
      </c>
      <c r="D37" s="1349">
        <v>42736</v>
      </c>
      <c r="E37" s="1349"/>
      <c r="F37" s="1347" t="s">
        <v>113</v>
      </c>
      <c r="G37" s="1347" t="s">
        <v>85</v>
      </c>
      <c r="H37" s="1347" t="s">
        <v>85</v>
      </c>
      <c r="I37" s="1347" t="s">
        <v>113</v>
      </c>
      <c r="J37" s="1349"/>
      <c r="K37" s="1349" t="s">
        <v>254</v>
      </c>
      <c r="L37" s="1350" t="s">
        <v>4682</v>
      </c>
      <c r="M37" s="1350" t="s">
        <v>4686</v>
      </c>
      <c r="N37" s="1386" t="s">
        <v>60</v>
      </c>
      <c r="O37" s="1352" t="s">
        <v>4687</v>
      </c>
      <c r="P37" s="1387"/>
      <c r="Q37" s="1354"/>
      <c r="R37" s="1354"/>
      <c r="S37" s="1354"/>
      <c r="T37" s="1354"/>
      <c r="U37" s="1354"/>
      <c r="V37" s="1354"/>
      <c r="W37" s="1354"/>
      <c r="X37" s="1353">
        <v>43101</v>
      </c>
      <c r="Y37" s="1353">
        <v>43466</v>
      </c>
      <c r="Z37" s="1355"/>
      <c r="AA37" s="1355" t="s">
        <v>4685</v>
      </c>
      <c r="AB37" s="1356"/>
      <c r="AC37" s="1356"/>
      <c r="AD37" s="1356"/>
      <c r="AE37" s="1356"/>
      <c r="AF37" s="1357"/>
      <c r="AG37" s="1358">
        <f t="shared" si="2"/>
        <v>494.42</v>
      </c>
      <c r="AH37" s="1358">
        <v>5933.04</v>
      </c>
      <c r="AI37" s="1359">
        <v>0.15</v>
      </c>
      <c r="AJ37" s="1360">
        <f t="shared" si="49"/>
        <v>74.162999999999997</v>
      </c>
      <c r="AK37" s="1361">
        <f t="shared" si="50"/>
        <v>889.95600000000002</v>
      </c>
      <c r="AL37" s="1384">
        <v>0</v>
      </c>
      <c r="AM37" s="1363">
        <f t="shared" si="37"/>
        <v>0</v>
      </c>
      <c r="AN37" s="1364">
        <v>0</v>
      </c>
      <c r="AO37" s="1365">
        <f t="shared" si="38"/>
        <v>0</v>
      </c>
      <c r="AP37" s="1366">
        <v>0.1</v>
      </c>
      <c r="AQ37" s="1367">
        <f t="shared" si="39"/>
        <v>593.30399999999997</v>
      </c>
      <c r="AR37" s="1368">
        <v>0</v>
      </c>
      <c r="AS37" s="1369">
        <f t="shared" si="40"/>
        <v>0</v>
      </c>
      <c r="AT37" s="1370">
        <v>0</v>
      </c>
      <c r="AU37" s="1371">
        <f t="shared" si="41"/>
        <v>0</v>
      </c>
      <c r="AV37" s="1359">
        <f t="shared" si="42"/>
        <v>4.9999999999999989E-2</v>
      </c>
      <c r="AW37" s="1372">
        <f t="shared" si="43"/>
        <v>296.65199999999993</v>
      </c>
      <c r="AX37" s="1373">
        <f t="shared" si="44"/>
        <v>4.9999999999999989E-2</v>
      </c>
      <c r="AY37" s="1374">
        <f t="shared" si="45"/>
        <v>296.65199999999993</v>
      </c>
      <c r="AZ37" s="1375">
        <f t="shared" si="46"/>
        <v>0.15</v>
      </c>
      <c r="BA37" s="1376">
        <f t="shared" si="47"/>
        <v>889.95600000000002</v>
      </c>
      <c r="BB37" s="1377"/>
      <c r="BC37" s="1820"/>
      <c r="BD37" s="1820"/>
      <c r="BE37" s="1823"/>
      <c r="BF37" s="1826"/>
      <c r="BG37" s="1829"/>
    </row>
    <row r="38" spans="1:59" s="1378" customFormat="1" ht="38.25" customHeight="1">
      <c r="A38" s="1347" t="str">
        <f t="shared" si="34"/>
        <v>AirXpanders, Inc.</v>
      </c>
      <c r="B38" s="1347" t="s">
        <v>4726</v>
      </c>
      <c r="C38" s="1348">
        <f t="shared" si="35"/>
        <v>105</v>
      </c>
      <c r="D38" s="1349">
        <v>42736</v>
      </c>
      <c r="E38" s="1349"/>
      <c r="F38" s="1347" t="s">
        <v>113</v>
      </c>
      <c r="G38" s="1347" t="s">
        <v>85</v>
      </c>
      <c r="H38" s="1347" t="s">
        <v>85</v>
      </c>
      <c r="I38" s="1347" t="s">
        <v>113</v>
      </c>
      <c r="J38" s="1349"/>
      <c r="K38" s="1349" t="s">
        <v>254</v>
      </c>
      <c r="L38" s="1350" t="s">
        <v>4682</v>
      </c>
      <c r="M38" s="1350" t="s">
        <v>62</v>
      </c>
      <c r="N38" s="1351" t="s">
        <v>81</v>
      </c>
      <c r="O38" s="1352" t="s">
        <v>4688</v>
      </c>
      <c r="P38" s="1352"/>
      <c r="Q38" s="1354"/>
      <c r="R38" s="1354"/>
      <c r="S38" s="1354"/>
      <c r="T38" s="1354"/>
      <c r="U38" s="1354"/>
      <c r="V38" s="1354"/>
      <c r="W38" s="1354"/>
      <c r="X38" s="1353">
        <v>43101</v>
      </c>
      <c r="Y38" s="1353">
        <v>43466</v>
      </c>
      <c r="Z38" s="1355"/>
      <c r="AA38" s="1355" t="s">
        <v>4685</v>
      </c>
      <c r="AB38" s="1356"/>
      <c r="AC38" s="1356"/>
      <c r="AD38" s="1356"/>
      <c r="AE38" s="1356"/>
      <c r="AF38" s="1357"/>
      <c r="AG38" s="1358">
        <f t="shared" si="2"/>
        <v>1091.5</v>
      </c>
      <c r="AH38" s="1358">
        <v>13098</v>
      </c>
      <c r="AI38" s="1359">
        <v>0.15</v>
      </c>
      <c r="AJ38" s="1360">
        <f t="shared" si="49"/>
        <v>163.72499999999999</v>
      </c>
      <c r="AK38" s="1361">
        <f t="shared" si="50"/>
        <v>1964.6999999999998</v>
      </c>
      <c r="AL38" s="1384">
        <v>0</v>
      </c>
      <c r="AM38" s="1363">
        <f t="shared" si="37"/>
        <v>0</v>
      </c>
      <c r="AN38" s="1364">
        <v>0</v>
      </c>
      <c r="AO38" s="1365">
        <f t="shared" si="38"/>
        <v>0</v>
      </c>
      <c r="AP38" s="1366">
        <v>0.1</v>
      </c>
      <c r="AQ38" s="1367">
        <f t="shared" si="39"/>
        <v>1309.8000000000002</v>
      </c>
      <c r="AR38" s="1368">
        <v>0</v>
      </c>
      <c r="AS38" s="1369">
        <f t="shared" si="40"/>
        <v>0</v>
      </c>
      <c r="AT38" s="1370">
        <v>0</v>
      </c>
      <c r="AU38" s="1371">
        <f t="shared" si="41"/>
        <v>0</v>
      </c>
      <c r="AV38" s="1359">
        <f t="shared" si="42"/>
        <v>4.9999999999999989E-2</v>
      </c>
      <c r="AW38" s="1372">
        <f t="shared" si="43"/>
        <v>654.89999999999986</v>
      </c>
      <c r="AX38" s="1373">
        <f t="shared" si="44"/>
        <v>4.9999999999999989E-2</v>
      </c>
      <c r="AY38" s="1374">
        <f t="shared" si="45"/>
        <v>654.89999999999986</v>
      </c>
      <c r="AZ38" s="1375">
        <f t="shared" si="46"/>
        <v>0.15</v>
      </c>
      <c r="BA38" s="1376">
        <f t="shared" si="47"/>
        <v>1964.6999999999998</v>
      </c>
      <c r="BB38" s="1377"/>
      <c r="BC38" s="1820"/>
      <c r="BD38" s="1820"/>
      <c r="BE38" s="1823"/>
      <c r="BF38" s="1826"/>
      <c r="BG38" s="1829"/>
    </row>
    <row r="39" spans="1:59" s="1378" customFormat="1" ht="38.25">
      <c r="A39" s="1347" t="str">
        <f>L$30</f>
        <v>AirXpanders, Inc.</v>
      </c>
      <c r="B39" s="1348" t="str">
        <f>N$30</f>
        <v>HUB</v>
      </c>
      <c r="C39" s="1348">
        <f>Z$30</f>
        <v>105</v>
      </c>
      <c r="D39" s="1349">
        <v>42736</v>
      </c>
      <c r="E39" s="1349"/>
      <c r="F39" s="1347" t="s">
        <v>113</v>
      </c>
      <c r="G39" s="1347" t="s">
        <v>85</v>
      </c>
      <c r="H39" s="1347" t="s">
        <v>85</v>
      </c>
      <c r="I39" s="1347" t="s">
        <v>113</v>
      </c>
      <c r="J39" s="1349"/>
      <c r="K39" s="1349"/>
      <c r="L39" s="1350" t="s">
        <v>4682</v>
      </c>
      <c r="M39" s="1350" t="s">
        <v>4741</v>
      </c>
      <c r="N39" s="1351" t="s">
        <v>4742</v>
      </c>
      <c r="O39" s="1352" t="s">
        <v>4743</v>
      </c>
      <c r="P39" s="1352"/>
      <c r="Q39" s="1354"/>
      <c r="R39" s="1354"/>
      <c r="S39" s="1354"/>
      <c r="T39" s="1354"/>
      <c r="U39" s="1354"/>
      <c r="V39" s="1354"/>
      <c r="W39" s="1354"/>
      <c r="X39" s="1353">
        <v>43101</v>
      </c>
      <c r="Y39" s="1353">
        <v>43466</v>
      </c>
      <c r="Z39" s="1355"/>
      <c r="AA39" s="1355" t="s">
        <v>4679</v>
      </c>
      <c r="AB39" s="1356"/>
      <c r="AC39" s="1356"/>
      <c r="AD39" s="1356"/>
      <c r="AE39" s="1356"/>
      <c r="AF39" s="1357"/>
      <c r="AG39" s="1358">
        <f t="shared" si="2"/>
        <v>3.3000000000000003</v>
      </c>
      <c r="AH39" s="1358">
        <v>39.6</v>
      </c>
      <c r="AI39" s="1359">
        <v>0.1</v>
      </c>
      <c r="AJ39" s="1360">
        <f t="shared" si="49"/>
        <v>0.33000000000000007</v>
      </c>
      <c r="AK39" s="1361">
        <f t="shared" si="50"/>
        <v>3.9600000000000004</v>
      </c>
      <c r="AL39" s="1384">
        <v>0</v>
      </c>
      <c r="AM39" s="1363">
        <f t="shared" si="37"/>
        <v>0</v>
      </c>
      <c r="AN39" s="1364">
        <v>0</v>
      </c>
      <c r="AO39" s="1365">
        <f t="shared" si="38"/>
        <v>0</v>
      </c>
      <c r="AP39" s="1366">
        <v>0.08</v>
      </c>
      <c r="AQ39" s="1367">
        <f t="shared" si="39"/>
        <v>3.1680000000000001</v>
      </c>
      <c r="AR39" s="1368">
        <v>0</v>
      </c>
      <c r="AS39" s="1369">
        <f t="shared" si="40"/>
        <v>0</v>
      </c>
      <c r="AT39" s="1370">
        <v>0</v>
      </c>
      <c r="AU39" s="1371">
        <f t="shared" si="41"/>
        <v>0</v>
      </c>
      <c r="AV39" s="1359">
        <f t="shared" si="42"/>
        <v>2.0000000000000004E-2</v>
      </c>
      <c r="AW39" s="1372">
        <f t="shared" si="43"/>
        <v>0.79200000000000015</v>
      </c>
      <c r="AX39" s="1373">
        <f t="shared" si="44"/>
        <v>2.0000000000000004E-2</v>
      </c>
      <c r="AY39" s="1374">
        <f t="shared" si="45"/>
        <v>0.79200000000000015</v>
      </c>
      <c r="AZ39" s="1375">
        <f t="shared" si="46"/>
        <v>0.1</v>
      </c>
      <c r="BA39" s="1376">
        <f t="shared" si="47"/>
        <v>3.9600000000000004</v>
      </c>
      <c r="BB39" s="1377"/>
      <c r="BC39" s="1820"/>
      <c r="BD39" s="1820"/>
      <c r="BE39" s="1823"/>
      <c r="BF39" s="1826"/>
      <c r="BG39" s="1829"/>
    </row>
    <row r="40" spans="1:59" s="1378" customFormat="1" ht="38.25" customHeight="1">
      <c r="A40" s="1347" t="str">
        <f t="shared" si="34"/>
        <v>AirXpanders, Inc.</v>
      </c>
      <c r="B40" s="1347" t="s">
        <v>4726</v>
      </c>
      <c r="C40" s="1348">
        <f t="shared" si="35"/>
        <v>105</v>
      </c>
      <c r="D40" s="1349">
        <v>42736</v>
      </c>
      <c r="E40" s="1349"/>
      <c r="F40" s="1347" t="s">
        <v>113</v>
      </c>
      <c r="G40" s="1347" t="s">
        <v>85</v>
      </c>
      <c r="H40" s="1347" t="s">
        <v>85</v>
      </c>
      <c r="I40" s="1347" t="s">
        <v>113</v>
      </c>
      <c r="J40" s="1349"/>
      <c r="K40" s="1349" t="s">
        <v>254</v>
      </c>
      <c r="L40" s="1350" t="s">
        <v>4682</v>
      </c>
      <c r="M40" s="1350" t="s">
        <v>67</v>
      </c>
      <c r="N40" s="1351" t="s">
        <v>82</v>
      </c>
      <c r="O40" s="1352" t="s">
        <v>4689</v>
      </c>
      <c r="P40" s="1352"/>
      <c r="Q40" s="1354"/>
      <c r="R40" s="1354"/>
      <c r="S40" s="1354"/>
      <c r="T40" s="1354"/>
      <c r="U40" s="1354"/>
      <c r="V40" s="1354"/>
      <c r="W40" s="1354"/>
      <c r="X40" s="1353">
        <v>43101</v>
      </c>
      <c r="Y40" s="1353">
        <v>43466</v>
      </c>
      <c r="Z40" s="1355"/>
      <c r="AA40" s="1355" t="s">
        <v>4685</v>
      </c>
      <c r="AB40" s="1356"/>
      <c r="AC40" s="1356"/>
      <c r="AD40" s="1356"/>
      <c r="AE40" s="1356"/>
      <c r="AF40" s="1357"/>
      <c r="AG40" s="1358">
        <f t="shared" si="2"/>
        <v>2083.0166666666669</v>
      </c>
      <c r="AH40" s="1358">
        <v>24996.2</v>
      </c>
      <c r="AI40" s="1359">
        <v>0.15</v>
      </c>
      <c r="AJ40" s="1360">
        <f t="shared" si="49"/>
        <v>312.45250000000004</v>
      </c>
      <c r="AK40" s="1361">
        <f t="shared" si="50"/>
        <v>3749.43</v>
      </c>
      <c r="AL40" s="1384">
        <v>0</v>
      </c>
      <c r="AM40" s="1363">
        <f t="shared" si="37"/>
        <v>0</v>
      </c>
      <c r="AN40" s="1364">
        <v>0</v>
      </c>
      <c r="AO40" s="1365">
        <f t="shared" si="38"/>
        <v>0</v>
      </c>
      <c r="AP40" s="1366">
        <v>0.1</v>
      </c>
      <c r="AQ40" s="1367">
        <f t="shared" si="39"/>
        <v>2499.6200000000003</v>
      </c>
      <c r="AR40" s="1368">
        <v>0</v>
      </c>
      <c r="AS40" s="1369">
        <f t="shared" si="40"/>
        <v>0</v>
      </c>
      <c r="AT40" s="1370">
        <v>0</v>
      </c>
      <c r="AU40" s="1371">
        <f t="shared" si="41"/>
        <v>0</v>
      </c>
      <c r="AV40" s="1359">
        <f t="shared" si="42"/>
        <v>4.9999999999999989E-2</v>
      </c>
      <c r="AW40" s="1372">
        <f t="shared" si="43"/>
        <v>1249.8099999999997</v>
      </c>
      <c r="AX40" s="1373">
        <f t="shared" si="44"/>
        <v>4.9999999999999989E-2</v>
      </c>
      <c r="AY40" s="1374">
        <f t="shared" si="45"/>
        <v>1249.8099999999997</v>
      </c>
      <c r="AZ40" s="1375">
        <f t="shared" si="46"/>
        <v>0.15</v>
      </c>
      <c r="BA40" s="1376">
        <f t="shared" si="47"/>
        <v>3749.43</v>
      </c>
      <c r="BB40" s="1377"/>
      <c r="BC40" s="1820"/>
      <c r="BD40" s="1820"/>
      <c r="BE40" s="1823"/>
      <c r="BF40" s="1826"/>
      <c r="BG40" s="1829"/>
    </row>
    <row r="41" spans="1:59" s="1378" customFormat="1" ht="27.75" customHeight="1">
      <c r="A41" s="1347" t="str">
        <f t="shared" si="34"/>
        <v>AirXpanders, Inc.</v>
      </c>
      <c r="B41" s="1347" t="s">
        <v>4726</v>
      </c>
      <c r="C41" s="1348">
        <f t="shared" si="35"/>
        <v>105</v>
      </c>
      <c r="D41" s="1349">
        <v>42736</v>
      </c>
      <c r="E41" s="1349"/>
      <c r="F41" s="1347" t="s">
        <v>72</v>
      </c>
      <c r="G41" s="1347" t="s">
        <v>85</v>
      </c>
      <c r="H41" s="1347" t="s">
        <v>72</v>
      </c>
      <c r="I41" s="1347" t="s">
        <v>72</v>
      </c>
      <c r="J41" s="1349" t="s">
        <v>4670</v>
      </c>
      <c r="K41" s="1349" t="s">
        <v>254</v>
      </c>
      <c r="L41" s="1350" t="s">
        <v>4696</v>
      </c>
      <c r="M41" s="1350" t="s">
        <v>4697</v>
      </c>
      <c r="N41" s="1389" t="s">
        <v>4744</v>
      </c>
      <c r="O41" s="1352" t="s">
        <v>4699</v>
      </c>
      <c r="P41" s="1352"/>
      <c r="Q41" s="1354"/>
      <c r="R41" s="1354"/>
      <c r="S41" s="1354"/>
      <c r="T41" s="1354"/>
      <c r="U41" s="1354"/>
      <c r="V41" s="1354"/>
      <c r="W41" s="1354"/>
      <c r="X41" s="1353">
        <v>43101</v>
      </c>
      <c r="Y41" s="1353">
        <v>43466</v>
      </c>
      <c r="Z41" s="1355"/>
      <c r="AA41" s="1355" t="s">
        <v>4674</v>
      </c>
      <c r="AB41" s="1356"/>
      <c r="AC41" s="1356"/>
      <c r="AD41" s="1356"/>
      <c r="AE41" s="1356"/>
      <c r="AF41" s="1357"/>
      <c r="AG41" s="1380"/>
      <c r="AH41" s="1380"/>
      <c r="AI41" s="1381">
        <v>0</v>
      </c>
      <c r="AJ41" s="1382">
        <f t="shared" si="49"/>
        <v>0</v>
      </c>
      <c r="AK41" s="1383">
        <f t="shared" si="50"/>
        <v>0</v>
      </c>
      <c r="AL41" s="1384">
        <v>0</v>
      </c>
      <c r="AM41" s="1363">
        <f t="shared" si="37"/>
        <v>0</v>
      </c>
      <c r="AN41" s="1364">
        <v>0</v>
      </c>
      <c r="AO41" s="1365">
        <f t="shared" si="38"/>
        <v>0</v>
      </c>
      <c r="AP41" s="1366">
        <v>0</v>
      </c>
      <c r="AQ41" s="1367">
        <f t="shared" si="39"/>
        <v>0</v>
      </c>
      <c r="AR41" s="1368">
        <v>0</v>
      </c>
      <c r="AS41" s="1369">
        <f t="shared" si="40"/>
        <v>0</v>
      </c>
      <c r="AT41" s="1370">
        <v>0</v>
      </c>
      <c r="AU41" s="1371">
        <f t="shared" si="41"/>
        <v>0</v>
      </c>
      <c r="AV41" s="1359">
        <f t="shared" si="42"/>
        <v>0</v>
      </c>
      <c r="AW41" s="1372">
        <f t="shared" si="43"/>
        <v>0</v>
      </c>
      <c r="AX41" s="1373">
        <f t="shared" si="44"/>
        <v>0</v>
      </c>
      <c r="AY41" s="1374">
        <f t="shared" si="45"/>
        <v>0</v>
      </c>
      <c r="AZ41" s="1375">
        <f t="shared" si="46"/>
        <v>0</v>
      </c>
      <c r="BA41" s="1376">
        <f t="shared" si="47"/>
        <v>0</v>
      </c>
      <c r="BB41" s="1377"/>
      <c r="BC41" s="1820"/>
      <c r="BD41" s="1820"/>
      <c r="BE41" s="1823"/>
      <c r="BF41" s="1826"/>
      <c r="BG41" s="1829"/>
    </row>
    <row r="42" spans="1:59" s="1378" customFormat="1" ht="38.25" customHeight="1">
      <c r="A42" s="1347" t="str">
        <f t="shared" si="34"/>
        <v>AirXpanders, Inc.</v>
      </c>
      <c r="B42" s="1347" t="s">
        <v>4726</v>
      </c>
      <c r="C42" s="1348">
        <f t="shared" si="35"/>
        <v>105</v>
      </c>
      <c r="D42" s="1349">
        <v>42736</v>
      </c>
      <c r="E42" s="1349"/>
      <c r="F42" s="1347" t="s">
        <v>72</v>
      </c>
      <c r="G42" s="1347" t="s">
        <v>4700</v>
      </c>
      <c r="H42" s="1347" t="s">
        <v>72</v>
      </c>
      <c r="I42" s="1347" t="s">
        <v>72</v>
      </c>
      <c r="J42" s="1349" t="s">
        <v>4670</v>
      </c>
      <c r="K42" s="1349" t="s">
        <v>254</v>
      </c>
      <c r="L42" s="1350" t="s">
        <v>48</v>
      </c>
      <c r="M42" s="1350" t="s">
        <v>3652</v>
      </c>
      <c r="N42" s="1390" t="s">
        <v>4745</v>
      </c>
      <c r="O42" s="1352" t="s">
        <v>4702</v>
      </c>
      <c r="P42" s="1352"/>
      <c r="Q42" s="1354"/>
      <c r="R42" s="1354"/>
      <c r="S42" s="1354"/>
      <c r="T42" s="1354"/>
      <c r="U42" s="1354"/>
      <c r="V42" s="1354"/>
      <c r="W42" s="1354"/>
      <c r="X42" s="1353">
        <v>43101</v>
      </c>
      <c r="Y42" s="1353">
        <v>43466</v>
      </c>
      <c r="Z42" s="1355"/>
      <c r="AA42" s="1355" t="s">
        <v>4674</v>
      </c>
      <c r="AB42" s="1356"/>
      <c r="AC42" s="1356"/>
      <c r="AD42" s="1356"/>
      <c r="AE42" s="1356"/>
      <c r="AF42" s="1357" t="str">
        <f t="shared" si="3"/>
        <v/>
      </c>
      <c r="AG42" s="1380"/>
      <c r="AH42" s="1380"/>
      <c r="AI42" s="1381">
        <v>0</v>
      </c>
      <c r="AJ42" s="1382">
        <f t="shared" si="49"/>
        <v>0</v>
      </c>
      <c r="AK42" s="1383">
        <f t="shared" si="50"/>
        <v>0</v>
      </c>
      <c r="AL42" s="1384">
        <v>0</v>
      </c>
      <c r="AM42" s="1363">
        <f t="shared" si="37"/>
        <v>0</v>
      </c>
      <c r="AN42" s="1364">
        <v>0</v>
      </c>
      <c r="AO42" s="1365">
        <f t="shared" si="38"/>
        <v>0</v>
      </c>
      <c r="AP42" s="1366">
        <v>0</v>
      </c>
      <c r="AQ42" s="1367">
        <f t="shared" si="39"/>
        <v>0</v>
      </c>
      <c r="AR42" s="1368">
        <v>0</v>
      </c>
      <c r="AS42" s="1369">
        <f t="shared" si="40"/>
        <v>0</v>
      </c>
      <c r="AT42" s="1370">
        <v>0</v>
      </c>
      <c r="AU42" s="1371">
        <f t="shared" si="41"/>
        <v>0</v>
      </c>
      <c r="AV42" s="1359">
        <f t="shared" si="42"/>
        <v>0</v>
      </c>
      <c r="AW42" s="1372">
        <f t="shared" si="43"/>
        <v>0</v>
      </c>
      <c r="AX42" s="1373">
        <f t="shared" si="44"/>
        <v>0</v>
      </c>
      <c r="AY42" s="1374">
        <f t="shared" si="45"/>
        <v>0</v>
      </c>
      <c r="AZ42" s="1375">
        <f t="shared" si="46"/>
        <v>0</v>
      </c>
      <c r="BA42" s="1376">
        <f t="shared" si="47"/>
        <v>0</v>
      </c>
      <c r="BB42" s="1377"/>
      <c r="BC42" s="1820"/>
      <c r="BD42" s="1820"/>
      <c r="BE42" s="1823"/>
      <c r="BF42" s="1826"/>
      <c r="BG42" s="1829"/>
    </row>
    <row r="43" spans="1:59" s="1378" customFormat="1" ht="38.25" customHeight="1">
      <c r="A43" s="1347" t="str">
        <f t="shared" si="34"/>
        <v>AirXpanders, Inc.</v>
      </c>
      <c r="B43" s="1347" t="s">
        <v>4726</v>
      </c>
      <c r="C43" s="1348">
        <f t="shared" si="35"/>
        <v>105</v>
      </c>
      <c r="D43" s="1349">
        <v>42736</v>
      </c>
      <c r="E43" s="1349"/>
      <c r="F43" s="1347" t="s">
        <v>72</v>
      </c>
      <c r="G43" s="1347" t="s">
        <v>85</v>
      </c>
      <c r="H43" s="1347" t="s">
        <v>72</v>
      </c>
      <c r="I43" s="1347" t="s">
        <v>72</v>
      </c>
      <c r="J43" s="1349" t="s">
        <v>4670</v>
      </c>
      <c r="K43" s="1349" t="s">
        <v>254</v>
      </c>
      <c r="L43" s="1350" t="s">
        <v>48</v>
      </c>
      <c r="M43" s="1350" t="s">
        <v>253</v>
      </c>
      <c r="N43" s="1390" t="s">
        <v>4703</v>
      </c>
      <c r="O43" s="1352" t="s">
        <v>4704</v>
      </c>
      <c r="P43" s="1352"/>
      <c r="Q43" s="1354"/>
      <c r="R43" s="1354"/>
      <c r="S43" s="1354"/>
      <c r="T43" s="1354"/>
      <c r="U43" s="1354"/>
      <c r="V43" s="1354"/>
      <c r="W43" s="1354"/>
      <c r="X43" s="1353">
        <v>43101</v>
      </c>
      <c r="Y43" s="1353">
        <v>43466</v>
      </c>
      <c r="Z43" s="1355"/>
      <c r="AA43" s="1355" t="s">
        <v>4674</v>
      </c>
      <c r="AB43" s="1356"/>
      <c r="AC43" s="1356"/>
      <c r="AD43" s="1356"/>
      <c r="AE43" s="1356"/>
      <c r="AF43" s="1357" t="str">
        <f t="shared" si="3"/>
        <v/>
      </c>
      <c r="AG43" s="1380"/>
      <c r="AH43" s="1380"/>
      <c r="AI43" s="1381">
        <v>0</v>
      </c>
      <c r="AJ43" s="1382">
        <f t="shared" si="49"/>
        <v>0</v>
      </c>
      <c r="AK43" s="1383">
        <f t="shared" si="50"/>
        <v>0</v>
      </c>
      <c r="AL43" s="1384">
        <v>0</v>
      </c>
      <c r="AM43" s="1363">
        <f t="shared" si="37"/>
        <v>0</v>
      </c>
      <c r="AN43" s="1364">
        <v>0</v>
      </c>
      <c r="AO43" s="1365">
        <f t="shared" si="38"/>
        <v>0</v>
      </c>
      <c r="AP43" s="1366">
        <v>0</v>
      </c>
      <c r="AQ43" s="1367">
        <f t="shared" si="39"/>
        <v>0</v>
      </c>
      <c r="AR43" s="1368">
        <v>0</v>
      </c>
      <c r="AS43" s="1369">
        <f t="shared" si="40"/>
        <v>0</v>
      </c>
      <c r="AT43" s="1370">
        <v>0</v>
      </c>
      <c r="AU43" s="1371">
        <f t="shared" si="41"/>
        <v>0</v>
      </c>
      <c r="AV43" s="1359">
        <f t="shared" si="42"/>
        <v>0</v>
      </c>
      <c r="AW43" s="1372">
        <f t="shared" si="43"/>
        <v>0</v>
      </c>
      <c r="AX43" s="1373">
        <f t="shared" si="44"/>
        <v>0</v>
      </c>
      <c r="AY43" s="1374">
        <f t="shared" si="45"/>
        <v>0</v>
      </c>
      <c r="AZ43" s="1375">
        <f t="shared" si="46"/>
        <v>0</v>
      </c>
      <c r="BA43" s="1376">
        <f t="shared" si="47"/>
        <v>0</v>
      </c>
      <c r="BB43" s="1377"/>
      <c r="BC43" s="1820"/>
      <c r="BD43" s="1820"/>
      <c r="BE43" s="1823"/>
      <c r="BF43" s="1826"/>
      <c r="BG43" s="1829"/>
    </row>
    <row r="44" spans="1:59" s="1378" customFormat="1" ht="38.25" customHeight="1">
      <c r="A44" s="1347" t="str">
        <f t="shared" si="34"/>
        <v>AirXpanders, Inc.</v>
      </c>
      <c r="B44" s="1347" t="s">
        <v>4726</v>
      </c>
      <c r="C44" s="1348">
        <f t="shared" si="35"/>
        <v>105</v>
      </c>
      <c r="D44" s="1349">
        <v>42736</v>
      </c>
      <c r="E44" s="1349"/>
      <c r="F44" s="1347" t="s">
        <v>72</v>
      </c>
      <c r="G44" s="1347" t="s">
        <v>113</v>
      </c>
      <c r="H44" s="1347" t="s">
        <v>72</v>
      </c>
      <c r="I44" s="1347" t="s">
        <v>113</v>
      </c>
      <c r="J44" s="1349" t="s">
        <v>4670</v>
      </c>
      <c r="K44" s="1349" t="s">
        <v>254</v>
      </c>
      <c r="L44" s="1397" t="s">
        <v>77</v>
      </c>
      <c r="M44" s="1397" t="s">
        <v>4705</v>
      </c>
      <c r="N44" s="1412" t="s">
        <v>4746</v>
      </c>
      <c r="O44" s="1399" t="s">
        <v>4747</v>
      </c>
      <c r="P44" s="1399"/>
      <c r="Q44" s="1400"/>
      <c r="R44" s="1400"/>
      <c r="S44" s="1400"/>
      <c r="T44" s="1400"/>
      <c r="U44" s="1400"/>
      <c r="V44" s="1400"/>
      <c r="W44" s="1400"/>
      <c r="X44" s="1400">
        <v>43101</v>
      </c>
      <c r="Y44" s="1400">
        <v>43466</v>
      </c>
      <c r="Z44" s="1401"/>
      <c r="AA44" s="1401" t="s">
        <v>4738</v>
      </c>
      <c r="AB44" s="1369"/>
      <c r="AC44" s="1369"/>
      <c r="AD44" s="1369"/>
      <c r="AE44" s="1369"/>
      <c r="AF44" s="1403" t="str">
        <f t="shared" si="3"/>
        <v/>
      </c>
      <c r="AG44" s="1404"/>
      <c r="AH44" s="1404"/>
      <c r="AI44" s="1405">
        <v>0</v>
      </c>
      <c r="AJ44" s="1406">
        <v>0</v>
      </c>
      <c r="AK44" s="1406">
        <v>0</v>
      </c>
      <c r="AL44" s="1384">
        <v>0</v>
      </c>
      <c r="AM44" s="1363">
        <f t="shared" si="37"/>
        <v>0</v>
      </c>
      <c r="AN44" s="1364">
        <v>0</v>
      </c>
      <c r="AO44" s="1365">
        <f t="shared" si="38"/>
        <v>0</v>
      </c>
      <c r="AP44" s="1366">
        <v>0</v>
      </c>
      <c r="AQ44" s="1367">
        <f t="shared" si="39"/>
        <v>0</v>
      </c>
      <c r="AR44" s="1368">
        <v>0</v>
      </c>
      <c r="AS44" s="1369">
        <f t="shared" si="40"/>
        <v>0</v>
      </c>
      <c r="AT44" s="1370">
        <v>0</v>
      </c>
      <c r="AU44" s="1371">
        <f t="shared" si="41"/>
        <v>0</v>
      </c>
      <c r="AV44" s="1359">
        <f t="shared" si="42"/>
        <v>0</v>
      </c>
      <c r="AW44" s="1372">
        <f t="shared" si="43"/>
        <v>0</v>
      </c>
      <c r="AX44" s="1373">
        <f t="shared" si="44"/>
        <v>0</v>
      </c>
      <c r="AY44" s="1374">
        <f t="shared" si="45"/>
        <v>0</v>
      </c>
      <c r="AZ44" s="1375">
        <f t="shared" si="46"/>
        <v>0</v>
      </c>
      <c r="BA44" s="1376">
        <f t="shared" si="47"/>
        <v>0</v>
      </c>
      <c r="BB44" s="1377"/>
      <c r="BC44" s="1820"/>
      <c r="BD44" s="1820"/>
      <c r="BE44" s="1823"/>
      <c r="BF44" s="1826"/>
      <c r="BG44" s="1829"/>
    </row>
    <row r="45" spans="1:59" s="1378" customFormat="1" ht="21.75" customHeight="1">
      <c r="A45" s="1347" t="str">
        <f t="shared" si="34"/>
        <v>AirXpanders, Inc.</v>
      </c>
      <c r="B45" s="1347" t="s">
        <v>4726</v>
      </c>
      <c r="C45" s="1348">
        <f t="shared" si="35"/>
        <v>105</v>
      </c>
      <c r="D45" s="1349">
        <v>42736</v>
      </c>
      <c r="E45" s="1349"/>
      <c r="F45" s="1347" t="s">
        <v>72</v>
      </c>
      <c r="G45" s="1347" t="s">
        <v>85</v>
      </c>
      <c r="H45" s="1347" t="s">
        <v>72</v>
      </c>
      <c r="I45" s="1347" t="s">
        <v>72</v>
      </c>
      <c r="J45" s="1349" t="s">
        <v>4670</v>
      </c>
      <c r="K45" s="1349" t="s">
        <v>254</v>
      </c>
      <c r="L45" s="1350" t="s">
        <v>3056</v>
      </c>
      <c r="M45" s="1350" t="s">
        <v>4708</v>
      </c>
      <c r="N45" s="1390" t="s">
        <v>4709</v>
      </c>
      <c r="O45" s="1352" t="s">
        <v>4710</v>
      </c>
      <c r="P45" s="1352"/>
      <c r="Q45" s="1354"/>
      <c r="R45" s="1354"/>
      <c r="S45" s="1354"/>
      <c r="T45" s="1354"/>
      <c r="U45" s="1354"/>
      <c r="V45" s="1354"/>
      <c r="W45" s="1354"/>
      <c r="X45" s="1353">
        <v>43101</v>
      </c>
      <c r="Y45" s="1353">
        <v>43466</v>
      </c>
      <c r="Z45" s="1355"/>
      <c r="AA45" s="1355" t="s">
        <v>4674</v>
      </c>
      <c r="AB45" s="1356"/>
      <c r="AC45" s="1356"/>
      <c r="AD45" s="1356"/>
      <c r="AE45" s="1356"/>
      <c r="AF45" s="1357" t="str">
        <f t="shared" si="3"/>
        <v/>
      </c>
      <c r="AG45" s="1380"/>
      <c r="AH45" s="1380"/>
      <c r="AI45" s="1381">
        <v>0</v>
      </c>
      <c r="AJ45" s="1382">
        <f>$AI45*$AG45</f>
        <v>0</v>
      </c>
      <c r="AK45" s="1383">
        <f t="shared" ref="AK45" si="51">AI45*$AH45</f>
        <v>0</v>
      </c>
      <c r="AL45" s="1384">
        <v>0</v>
      </c>
      <c r="AM45" s="1363">
        <f t="shared" si="37"/>
        <v>0</v>
      </c>
      <c r="AN45" s="1364">
        <v>0</v>
      </c>
      <c r="AO45" s="1365">
        <f t="shared" si="38"/>
        <v>0</v>
      </c>
      <c r="AP45" s="1366">
        <v>0</v>
      </c>
      <c r="AQ45" s="1367">
        <f t="shared" si="39"/>
        <v>0</v>
      </c>
      <c r="AR45" s="1368">
        <v>0</v>
      </c>
      <c r="AS45" s="1369">
        <f t="shared" si="40"/>
        <v>0</v>
      </c>
      <c r="AT45" s="1370">
        <v>0</v>
      </c>
      <c r="AU45" s="1371">
        <f t="shared" si="41"/>
        <v>0</v>
      </c>
      <c r="AV45" s="1359">
        <f t="shared" si="42"/>
        <v>0</v>
      </c>
      <c r="AW45" s="1372">
        <f t="shared" si="43"/>
        <v>0</v>
      </c>
      <c r="AX45" s="1373">
        <f t="shared" si="44"/>
        <v>0</v>
      </c>
      <c r="AY45" s="1374">
        <f t="shared" si="45"/>
        <v>0</v>
      </c>
      <c r="AZ45" s="1375">
        <f t="shared" si="46"/>
        <v>0</v>
      </c>
      <c r="BA45" s="1376">
        <f t="shared" si="47"/>
        <v>0</v>
      </c>
      <c r="BB45" s="1391"/>
      <c r="BC45" s="1413"/>
      <c r="BD45" s="1413"/>
      <c r="BE45" s="1414"/>
      <c r="BF45" s="1415"/>
      <c r="BG45" s="1416"/>
    </row>
    <row r="46" spans="1:59" s="1315" customFormat="1" ht="38.25">
      <c r="A46" s="1277" t="str">
        <f t="shared" ref="A46:A57" si="52">L$46</f>
        <v>Aligos Therapeutics, Inc.</v>
      </c>
      <c r="B46" s="1316" t="str">
        <f t="shared" ref="B46:B57" si="53">N$46</f>
        <v>ABD</v>
      </c>
      <c r="C46" s="1316">
        <f>Z46</f>
        <v>5</v>
      </c>
      <c r="D46" s="1317">
        <v>43191</v>
      </c>
      <c r="E46" s="1317"/>
      <c r="F46" s="1277" t="s">
        <v>72</v>
      </c>
      <c r="G46" s="1277" t="s">
        <v>72</v>
      </c>
      <c r="H46" s="1277" t="s">
        <v>72</v>
      </c>
      <c r="I46" s="1277" t="s">
        <v>4711</v>
      </c>
      <c r="J46" s="1317"/>
      <c r="K46" s="1317"/>
      <c r="L46" s="1318" t="s">
        <v>4321</v>
      </c>
      <c r="M46" s="1319"/>
      <c r="N46" s="1417" t="s">
        <v>3654</v>
      </c>
      <c r="O46" s="1418" t="s">
        <v>2473</v>
      </c>
      <c r="P46" s="1419"/>
      <c r="Q46" s="1322"/>
      <c r="R46" s="1322"/>
      <c r="S46" s="1322"/>
      <c r="T46" s="1322"/>
      <c r="U46" s="1322"/>
      <c r="V46" s="1322"/>
      <c r="W46" s="1322"/>
      <c r="X46" s="1317">
        <v>43191</v>
      </c>
      <c r="Y46" s="1317">
        <v>43466</v>
      </c>
      <c r="Z46" s="1316">
        <v>5</v>
      </c>
      <c r="AA46" s="1316" t="s">
        <v>4748</v>
      </c>
      <c r="AB46" s="1323">
        <f>SUM(AB47:AB57)</f>
        <v>0</v>
      </c>
      <c r="AC46" s="1323">
        <f>SUM(AC47:AC57)</f>
        <v>0</v>
      </c>
      <c r="AD46" s="1323">
        <f>SUM(AD47:AD57)</f>
        <v>0</v>
      </c>
      <c r="AE46" s="1324">
        <f t="shared" ref="AE46:AE59" si="54">AD46-AB46</f>
        <v>0</v>
      </c>
      <c r="AF46" s="1325" t="str">
        <f t="shared" si="3"/>
        <v/>
      </c>
      <c r="AG46" s="1326"/>
      <c r="AH46" s="1326">
        <f>SUM(AH47:AH57)</f>
        <v>101235.95999999999</v>
      </c>
      <c r="AI46" s="1339"/>
      <c r="AJ46" s="1328">
        <f>SUM(AJ47:AJ57)</f>
        <v>738.24900000000002</v>
      </c>
      <c r="AK46" s="1328">
        <f>SUM(AK47:AK57)</f>
        <v>8858.9880000000012</v>
      </c>
      <c r="AL46" s="1329"/>
      <c r="AM46" s="1330">
        <f>SUM(AM47:AM57)</f>
        <v>425.685</v>
      </c>
      <c r="AN46" s="1331"/>
      <c r="AO46" s="1332">
        <f>SUM(AO47:AO57)</f>
        <v>4868.6496000000006</v>
      </c>
      <c r="AP46" s="1333"/>
      <c r="AQ46" s="1334">
        <f>SUM(AQ47:AQ57)</f>
        <v>0</v>
      </c>
      <c r="AR46" s="1335"/>
      <c r="AS46" s="1336">
        <f>SUM(AS47:AS57)</f>
        <v>0</v>
      </c>
      <c r="AT46" s="1337"/>
      <c r="AU46" s="1338">
        <f>SUM(AU47:AU57)</f>
        <v>2128.4250000000002</v>
      </c>
      <c r="AV46" s="1339"/>
      <c r="AW46" s="1340">
        <f>SUM(AW47:AW57)</f>
        <v>1436.2283999999995</v>
      </c>
      <c r="AX46" s="1306"/>
      <c r="AY46" s="1307">
        <f>SUM(AW46+AS46+AU46)</f>
        <v>3564.6533999999997</v>
      </c>
      <c r="AZ46" s="1341"/>
      <c r="BA46" s="1309">
        <f>SUM(AY46+AQ46)</f>
        <v>3564.6533999999997</v>
      </c>
      <c r="BB46" s="1342">
        <f>(AW46+AU46)/(AK46-AM46)</f>
        <v>0.42268769425218078</v>
      </c>
      <c r="BC46" s="1343"/>
      <c r="BD46" s="1343"/>
      <c r="BE46" s="1344"/>
      <c r="BF46" s="1420" t="s">
        <v>4749</v>
      </c>
      <c r="BG46" s="1346"/>
    </row>
    <row r="47" spans="1:59" s="1378" customFormat="1" ht="76.5">
      <c r="A47" s="1347" t="str">
        <f t="shared" si="52"/>
        <v>Aligos Therapeutics, Inc.</v>
      </c>
      <c r="B47" s="1348" t="str">
        <f t="shared" si="53"/>
        <v>ABD</v>
      </c>
      <c r="C47" s="1348">
        <f t="shared" ref="C47:C57" si="55">Z$46</f>
        <v>5</v>
      </c>
      <c r="D47" s="1349">
        <f t="shared" ref="D47:D57" si="56">D$46</f>
        <v>43191</v>
      </c>
      <c r="E47" s="1349"/>
      <c r="F47" s="1347" t="s">
        <v>85</v>
      </c>
      <c r="G47" s="1347" t="s">
        <v>85</v>
      </c>
      <c r="H47" s="1347" t="s">
        <v>85</v>
      </c>
      <c r="I47" s="1347" t="s">
        <v>113</v>
      </c>
      <c r="J47" s="1349"/>
      <c r="K47" s="1349" t="s">
        <v>254</v>
      </c>
      <c r="L47" s="1350" t="s">
        <v>2661</v>
      </c>
      <c r="M47" s="1350" t="s">
        <v>3647</v>
      </c>
      <c r="N47" s="1351" t="s">
        <v>4750</v>
      </c>
      <c r="O47" s="1352" t="s">
        <v>4751</v>
      </c>
      <c r="P47" s="1352" t="s">
        <v>4752</v>
      </c>
      <c r="Q47" s="1353" t="s">
        <v>303</v>
      </c>
      <c r="R47" s="1353" t="s">
        <v>3656</v>
      </c>
      <c r="S47" s="1353" t="s">
        <v>307</v>
      </c>
      <c r="T47" s="1353" t="s">
        <v>113</v>
      </c>
      <c r="U47" s="1354"/>
      <c r="V47" s="1354"/>
      <c r="W47" s="1354"/>
      <c r="X47" s="1353">
        <f t="shared" ref="X47:Y57" si="57">X$46</f>
        <v>43191</v>
      </c>
      <c r="Y47" s="1353">
        <f t="shared" si="57"/>
        <v>43466</v>
      </c>
      <c r="Z47" s="1355">
        <v>5</v>
      </c>
      <c r="AA47" s="1355" t="s">
        <v>4667</v>
      </c>
      <c r="AB47" s="1356"/>
      <c r="AC47" s="1356"/>
      <c r="AD47" s="1356"/>
      <c r="AE47" s="1356"/>
      <c r="AF47" s="1357" t="str">
        <f t="shared" si="3"/>
        <v/>
      </c>
      <c r="AG47" s="1358">
        <v>7094.75</v>
      </c>
      <c r="AH47" s="1358">
        <f t="shared" ref="AH47" si="58">AG47*12</f>
        <v>85137</v>
      </c>
      <c r="AI47" s="1359">
        <v>0.08</v>
      </c>
      <c r="AJ47" s="1360">
        <f t="shared" ref="AJ47:AJ57" si="59">$AI47*$AG47</f>
        <v>567.58000000000004</v>
      </c>
      <c r="AK47" s="1361">
        <f t="shared" ref="AK47" si="60">AI47*$AH47</f>
        <v>6810.96</v>
      </c>
      <c r="AL47" s="1362">
        <v>5.0000000000000001E-3</v>
      </c>
      <c r="AM47" s="1363">
        <f t="shared" ref="AM47:AM57" si="61">AL47*$AH47</f>
        <v>425.685</v>
      </c>
      <c r="AN47" s="1364">
        <v>0.04</v>
      </c>
      <c r="AO47" s="1365">
        <f t="shared" ref="AO47:AO57" si="62">AN47*$AH47</f>
        <v>3405.48</v>
      </c>
      <c r="AP47" s="1366">
        <v>0</v>
      </c>
      <c r="AQ47" s="1367">
        <f t="shared" ref="AQ47:AQ57" si="63">AP47*$AH47</f>
        <v>0</v>
      </c>
      <c r="AR47" s="1368">
        <v>0</v>
      </c>
      <c r="AS47" s="1369">
        <f t="shared" ref="AS47:AS57" si="64">AR47*$AH47</f>
        <v>0</v>
      </c>
      <c r="AT47" s="1370">
        <v>2.5000000000000001E-2</v>
      </c>
      <c r="AU47" s="1371">
        <f t="shared" ref="AU47:AU57" si="65">AT47*$AH47</f>
        <v>2128.4250000000002</v>
      </c>
      <c r="AV47" s="1359">
        <f t="shared" ref="AV47:AV57" si="66">AZ47-AR47-AT47-AP47</f>
        <v>9.999999999999995E-3</v>
      </c>
      <c r="AW47" s="1372">
        <f t="shared" ref="AW47:AW57" si="67">AV47*$AH47</f>
        <v>851.36999999999955</v>
      </c>
      <c r="AX47" s="1373">
        <f t="shared" ref="AX47:AX57" si="68">$AZ47-$AP47</f>
        <v>3.4999999999999996E-2</v>
      </c>
      <c r="AY47" s="1374">
        <f t="shared" ref="AY47:AY57" si="69">AX47*$AH47</f>
        <v>2979.7949999999996</v>
      </c>
      <c r="AZ47" s="1375">
        <f t="shared" ref="AZ47:AZ57" si="70">$AI47-$AL47-$AN47</f>
        <v>3.4999999999999996E-2</v>
      </c>
      <c r="BA47" s="1376">
        <f t="shared" ref="BA47:BA57" si="71">AZ47*$AH47</f>
        <v>2979.7949999999996</v>
      </c>
      <c r="BB47" s="1377"/>
      <c r="BC47" s="1819" t="s">
        <v>4753</v>
      </c>
      <c r="BD47" s="1819" t="s">
        <v>4323</v>
      </c>
      <c r="BE47" s="1822" t="s">
        <v>4323</v>
      </c>
      <c r="BF47" s="1825" t="s">
        <v>4754</v>
      </c>
      <c r="BG47" s="1828">
        <v>824724808</v>
      </c>
    </row>
    <row r="48" spans="1:59" s="1378" customFormat="1" ht="38.25">
      <c r="A48" s="1347" t="str">
        <f t="shared" si="52"/>
        <v>Aligos Therapeutics, Inc.</v>
      </c>
      <c r="B48" s="1348" t="str">
        <f t="shared" si="53"/>
        <v>ABD</v>
      </c>
      <c r="C48" s="1348">
        <f t="shared" si="55"/>
        <v>5</v>
      </c>
      <c r="D48" s="1349">
        <f t="shared" si="56"/>
        <v>43191</v>
      </c>
      <c r="E48" s="1349"/>
      <c r="F48" s="1347" t="s">
        <v>72</v>
      </c>
      <c r="G48" s="1347" t="s">
        <v>85</v>
      </c>
      <c r="H48" s="1347" t="s">
        <v>72</v>
      </c>
      <c r="I48" s="1347" t="s">
        <v>72</v>
      </c>
      <c r="J48" s="1349" t="s">
        <v>4670</v>
      </c>
      <c r="K48" s="1349" t="s">
        <v>254</v>
      </c>
      <c r="L48" s="1350" t="s">
        <v>4671</v>
      </c>
      <c r="M48" s="1350" t="s">
        <v>3649</v>
      </c>
      <c r="N48" s="1379" t="s">
        <v>4755</v>
      </c>
      <c r="O48" s="1352" t="s">
        <v>4756</v>
      </c>
      <c r="P48" s="1388"/>
      <c r="Q48" s="1354"/>
      <c r="R48" s="1354"/>
      <c r="S48" s="1354"/>
      <c r="T48" s="1354"/>
      <c r="U48" s="1354"/>
      <c r="V48" s="1354"/>
      <c r="W48" s="1354"/>
      <c r="X48" s="1353">
        <f t="shared" si="57"/>
        <v>43191</v>
      </c>
      <c r="Y48" s="1353">
        <f t="shared" si="57"/>
        <v>43466</v>
      </c>
      <c r="Z48" s="1355"/>
      <c r="AA48" s="1355" t="s">
        <v>4674</v>
      </c>
      <c r="AB48" s="1356"/>
      <c r="AC48" s="1356"/>
      <c r="AD48" s="1356"/>
      <c r="AE48" s="1356"/>
      <c r="AF48" s="1357" t="str">
        <f t="shared" si="3"/>
        <v/>
      </c>
      <c r="AG48" s="1380"/>
      <c r="AH48" s="1380"/>
      <c r="AI48" s="1381">
        <v>0</v>
      </c>
      <c r="AJ48" s="1382">
        <f t="shared" si="59"/>
        <v>0</v>
      </c>
      <c r="AK48" s="1383">
        <f>AI48*$AH48</f>
        <v>0</v>
      </c>
      <c r="AL48" s="1384">
        <v>0</v>
      </c>
      <c r="AM48" s="1363">
        <f t="shared" si="61"/>
        <v>0</v>
      </c>
      <c r="AN48" s="1364">
        <v>0</v>
      </c>
      <c r="AO48" s="1365">
        <f t="shared" si="62"/>
        <v>0</v>
      </c>
      <c r="AP48" s="1366">
        <v>0</v>
      </c>
      <c r="AQ48" s="1367">
        <f t="shared" si="63"/>
        <v>0</v>
      </c>
      <c r="AR48" s="1368">
        <v>0</v>
      </c>
      <c r="AS48" s="1369">
        <f t="shared" si="64"/>
        <v>0</v>
      </c>
      <c r="AT48" s="1370">
        <v>0</v>
      </c>
      <c r="AU48" s="1371">
        <f t="shared" si="65"/>
        <v>0</v>
      </c>
      <c r="AV48" s="1359">
        <f t="shared" si="66"/>
        <v>0</v>
      </c>
      <c r="AW48" s="1372">
        <f t="shared" si="67"/>
        <v>0</v>
      </c>
      <c r="AX48" s="1373">
        <f t="shared" si="68"/>
        <v>0</v>
      </c>
      <c r="AY48" s="1374">
        <f t="shared" si="69"/>
        <v>0</v>
      </c>
      <c r="AZ48" s="1375">
        <f t="shared" si="70"/>
        <v>0</v>
      </c>
      <c r="BA48" s="1376">
        <f t="shared" si="71"/>
        <v>0</v>
      </c>
      <c r="BB48" s="1377"/>
      <c r="BC48" s="1820"/>
      <c r="BD48" s="1820"/>
      <c r="BE48" s="1823"/>
      <c r="BF48" s="1826"/>
      <c r="BG48" s="1829"/>
    </row>
    <row r="49" spans="1:59" s="1378" customFormat="1" ht="38.25">
      <c r="A49" s="1347" t="str">
        <f t="shared" si="52"/>
        <v>Aligos Therapeutics, Inc.</v>
      </c>
      <c r="B49" s="1348" t="str">
        <f t="shared" si="53"/>
        <v>ABD</v>
      </c>
      <c r="C49" s="1348">
        <f t="shared" si="55"/>
        <v>5</v>
      </c>
      <c r="D49" s="1349">
        <f t="shared" si="56"/>
        <v>43191</v>
      </c>
      <c r="E49" s="1349"/>
      <c r="F49" s="1347" t="s">
        <v>113</v>
      </c>
      <c r="G49" s="1347" t="s">
        <v>85</v>
      </c>
      <c r="H49" s="1347" t="s">
        <v>85</v>
      </c>
      <c r="I49" s="1347" t="s">
        <v>113</v>
      </c>
      <c r="J49" s="1349"/>
      <c r="K49" s="1349" t="s">
        <v>254</v>
      </c>
      <c r="L49" s="1350" t="s">
        <v>4675</v>
      </c>
      <c r="M49" s="1350" t="s">
        <v>3650</v>
      </c>
      <c r="N49" s="1385" t="s">
        <v>4757</v>
      </c>
      <c r="O49" s="1352" t="s">
        <v>4677</v>
      </c>
      <c r="P49" s="1388"/>
      <c r="Q49" s="1354"/>
      <c r="R49" s="1354"/>
      <c r="S49" s="1354"/>
      <c r="T49" s="1354"/>
      <c r="U49" s="1353" t="s">
        <v>4723</v>
      </c>
      <c r="V49" s="1353" t="s">
        <v>2495</v>
      </c>
      <c r="W49" s="1354"/>
      <c r="X49" s="1353">
        <f t="shared" si="57"/>
        <v>43191</v>
      </c>
      <c r="Y49" s="1353">
        <f t="shared" si="57"/>
        <v>43466</v>
      </c>
      <c r="Z49" s="1355">
        <v>4</v>
      </c>
      <c r="AA49" s="1355" t="s">
        <v>4679</v>
      </c>
      <c r="AB49" s="1356"/>
      <c r="AC49" s="1356"/>
      <c r="AD49" s="1356"/>
      <c r="AE49" s="1356"/>
      <c r="AF49" s="1357" t="str">
        <f t="shared" si="3"/>
        <v/>
      </c>
      <c r="AG49" s="1358">
        <v>544.73</v>
      </c>
      <c r="AH49" s="1358">
        <f t="shared" ref="AH49:AH53" si="72">AG49*12</f>
        <v>6536.76</v>
      </c>
      <c r="AI49" s="1359">
        <v>0.1</v>
      </c>
      <c r="AJ49" s="1360">
        <f t="shared" si="59"/>
        <v>54.473000000000006</v>
      </c>
      <c r="AK49" s="1361">
        <f t="shared" ref="AK49:AK57" si="73">AI49*$AH49</f>
        <v>653.67600000000004</v>
      </c>
      <c r="AL49" s="1384">
        <v>0</v>
      </c>
      <c r="AM49" s="1363">
        <f t="shared" si="61"/>
        <v>0</v>
      </c>
      <c r="AN49" s="1364">
        <v>0.08</v>
      </c>
      <c r="AO49" s="1365">
        <f t="shared" si="62"/>
        <v>522.94080000000008</v>
      </c>
      <c r="AP49" s="1366">
        <v>0</v>
      </c>
      <c r="AQ49" s="1367">
        <f t="shared" si="63"/>
        <v>0</v>
      </c>
      <c r="AR49" s="1368">
        <v>0</v>
      </c>
      <c r="AS49" s="1369">
        <f t="shared" si="64"/>
        <v>0</v>
      </c>
      <c r="AT49" s="1370">
        <v>0</v>
      </c>
      <c r="AU49" s="1371">
        <f t="shared" si="65"/>
        <v>0</v>
      </c>
      <c r="AV49" s="1359">
        <f t="shared" si="66"/>
        <v>2.0000000000000004E-2</v>
      </c>
      <c r="AW49" s="1372">
        <f t="shared" si="67"/>
        <v>130.73520000000002</v>
      </c>
      <c r="AX49" s="1373">
        <f t="shared" si="68"/>
        <v>2.0000000000000004E-2</v>
      </c>
      <c r="AY49" s="1374">
        <f t="shared" si="69"/>
        <v>130.73520000000002</v>
      </c>
      <c r="AZ49" s="1375">
        <f t="shared" si="70"/>
        <v>2.0000000000000004E-2</v>
      </c>
      <c r="BA49" s="1376">
        <f t="shared" si="71"/>
        <v>130.73520000000002</v>
      </c>
      <c r="BB49" s="1377"/>
      <c r="BC49" s="1820"/>
      <c r="BD49" s="1820"/>
      <c r="BE49" s="1823"/>
      <c r="BF49" s="1826"/>
      <c r="BG49" s="1829"/>
    </row>
    <row r="50" spans="1:59" s="1378" customFormat="1" ht="38.25">
      <c r="A50" s="1347" t="str">
        <f t="shared" si="52"/>
        <v>Aligos Therapeutics, Inc.</v>
      </c>
      <c r="B50" s="1348" t="str">
        <f t="shared" si="53"/>
        <v>ABD</v>
      </c>
      <c r="C50" s="1348">
        <f t="shared" si="55"/>
        <v>5</v>
      </c>
      <c r="D50" s="1349">
        <f t="shared" si="56"/>
        <v>43191</v>
      </c>
      <c r="E50" s="1349"/>
      <c r="F50" s="1347" t="s">
        <v>113</v>
      </c>
      <c r="G50" s="1347" t="s">
        <v>85</v>
      </c>
      <c r="H50" s="1347" t="s">
        <v>85</v>
      </c>
      <c r="I50" s="1347" t="s">
        <v>113</v>
      </c>
      <c r="J50" s="1349"/>
      <c r="K50" s="1349" t="s">
        <v>254</v>
      </c>
      <c r="L50" s="1350" t="s">
        <v>4675</v>
      </c>
      <c r="M50" s="1350" t="s">
        <v>3651</v>
      </c>
      <c r="N50" s="1351" t="s">
        <v>4758</v>
      </c>
      <c r="O50" s="1352" t="s">
        <v>4681</v>
      </c>
      <c r="P50" s="1388"/>
      <c r="Q50" s="1354"/>
      <c r="R50" s="1354"/>
      <c r="S50" s="1354"/>
      <c r="T50" s="1354"/>
      <c r="U50" s="1354"/>
      <c r="V50" s="1354"/>
      <c r="W50" s="1353" t="s">
        <v>2492</v>
      </c>
      <c r="X50" s="1353">
        <f t="shared" si="57"/>
        <v>43191</v>
      </c>
      <c r="Y50" s="1353">
        <f t="shared" si="57"/>
        <v>43466</v>
      </c>
      <c r="Z50" s="1355">
        <v>4</v>
      </c>
      <c r="AA50" s="1355" t="s">
        <v>4679</v>
      </c>
      <c r="AB50" s="1356"/>
      <c r="AC50" s="1356"/>
      <c r="AD50" s="1356"/>
      <c r="AE50" s="1356"/>
      <c r="AF50" s="1357" t="str">
        <f t="shared" si="3"/>
        <v/>
      </c>
      <c r="AG50" s="1358">
        <v>66.63</v>
      </c>
      <c r="AH50" s="1358">
        <f t="shared" si="72"/>
        <v>799.56</v>
      </c>
      <c r="AI50" s="1359">
        <v>0.1</v>
      </c>
      <c r="AJ50" s="1360">
        <f t="shared" si="59"/>
        <v>6.6630000000000003</v>
      </c>
      <c r="AK50" s="1361">
        <f t="shared" si="73"/>
        <v>79.956000000000003</v>
      </c>
      <c r="AL50" s="1384">
        <v>0</v>
      </c>
      <c r="AM50" s="1363">
        <f t="shared" si="61"/>
        <v>0</v>
      </c>
      <c r="AN50" s="1364">
        <v>0.08</v>
      </c>
      <c r="AO50" s="1365">
        <f t="shared" si="62"/>
        <v>63.964799999999997</v>
      </c>
      <c r="AP50" s="1366">
        <v>0</v>
      </c>
      <c r="AQ50" s="1367">
        <f t="shared" si="63"/>
        <v>0</v>
      </c>
      <c r="AR50" s="1368">
        <v>0</v>
      </c>
      <c r="AS50" s="1369">
        <f t="shared" si="64"/>
        <v>0</v>
      </c>
      <c r="AT50" s="1370">
        <v>0</v>
      </c>
      <c r="AU50" s="1371">
        <f t="shared" si="65"/>
        <v>0</v>
      </c>
      <c r="AV50" s="1359">
        <f t="shared" si="66"/>
        <v>2.0000000000000004E-2</v>
      </c>
      <c r="AW50" s="1372">
        <f t="shared" si="67"/>
        <v>15.991200000000003</v>
      </c>
      <c r="AX50" s="1373">
        <f t="shared" si="68"/>
        <v>2.0000000000000004E-2</v>
      </c>
      <c r="AY50" s="1374">
        <f t="shared" si="69"/>
        <v>15.991200000000003</v>
      </c>
      <c r="AZ50" s="1375">
        <f t="shared" si="70"/>
        <v>2.0000000000000004E-2</v>
      </c>
      <c r="BA50" s="1376">
        <f t="shared" si="71"/>
        <v>15.991200000000003</v>
      </c>
      <c r="BB50" s="1377"/>
      <c r="BC50" s="1820"/>
      <c r="BD50" s="1820"/>
      <c r="BE50" s="1823"/>
      <c r="BF50" s="1826"/>
      <c r="BG50" s="1829"/>
    </row>
    <row r="51" spans="1:59" s="1378" customFormat="1" ht="38.25">
      <c r="A51" s="1347" t="str">
        <f t="shared" si="52"/>
        <v>Aligos Therapeutics, Inc.</v>
      </c>
      <c r="B51" s="1348" t="str">
        <f t="shared" si="53"/>
        <v>ABD</v>
      </c>
      <c r="C51" s="1348">
        <f t="shared" si="55"/>
        <v>5</v>
      </c>
      <c r="D51" s="1349">
        <f t="shared" si="56"/>
        <v>43191</v>
      </c>
      <c r="E51" s="1349"/>
      <c r="F51" s="1347" t="s">
        <v>113</v>
      </c>
      <c r="G51" s="1347" t="s">
        <v>85</v>
      </c>
      <c r="H51" s="1347" t="s">
        <v>85</v>
      </c>
      <c r="I51" s="1347" t="s">
        <v>113</v>
      </c>
      <c r="J51" s="1349"/>
      <c r="K51" s="1349" t="s">
        <v>254</v>
      </c>
      <c r="L51" s="1350" t="s">
        <v>4682</v>
      </c>
      <c r="M51" s="1350" t="s">
        <v>4683</v>
      </c>
      <c r="N51" s="1386" t="s">
        <v>126</v>
      </c>
      <c r="O51" s="1352" t="s">
        <v>4684</v>
      </c>
      <c r="P51" s="1421"/>
      <c r="Q51" s="1354"/>
      <c r="R51" s="1354"/>
      <c r="S51" s="1354"/>
      <c r="T51" s="1354"/>
      <c r="U51" s="1354"/>
      <c r="V51" s="1354"/>
      <c r="W51" s="1354"/>
      <c r="X51" s="1353">
        <f t="shared" si="57"/>
        <v>43191</v>
      </c>
      <c r="Y51" s="1353">
        <f t="shared" si="57"/>
        <v>43466</v>
      </c>
      <c r="Z51" s="1355">
        <v>4</v>
      </c>
      <c r="AA51" s="1355" t="s">
        <v>4685</v>
      </c>
      <c r="AB51" s="1356"/>
      <c r="AC51" s="1356"/>
      <c r="AD51" s="1356"/>
      <c r="AE51" s="1356"/>
      <c r="AF51" s="1357" t="str">
        <f t="shared" si="3"/>
        <v/>
      </c>
      <c r="AG51" s="1358">
        <v>306.89999999999998</v>
      </c>
      <c r="AH51" s="1358">
        <f t="shared" si="72"/>
        <v>3682.7999999999997</v>
      </c>
      <c r="AI51" s="1359">
        <v>0.15</v>
      </c>
      <c r="AJ51" s="1360">
        <f t="shared" si="59"/>
        <v>46.034999999999997</v>
      </c>
      <c r="AK51" s="1361">
        <f t="shared" si="73"/>
        <v>552.41999999999996</v>
      </c>
      <c r="AL51" s="1384">
        <v>0</v>
      </c>
      <c r="AM51" s="1363">
        <f t="shared" si="61"/>
        <v>0</v>
      </c>
      <c r="AN51" s="1364">
        <v>0.1</v>
      </c>
      <c r="AO51" s="1365">
        <f t="shared" si="62"/>
        <v>368.28</v>
      </c>
      <c r="AP51" s="1366">
        <v>0</v>
      </c>
      <c r="AQ51" s="1367">
        <f t="shared" si="63"/>
        <v>0</v>
      </c>
      <c r="AR51" s="1368">
        <v>0</v>
      </c>
      <c r="AS51" s="1369">
        <f t="shared" si="64"/>
        <v>0</v>
      </c>
      <c r="AT51" s="1370">
        <v>0</v>
      </c>
      <c r="AU51" s="1371">
        <f t="shared" si="65"/>
        <v>0</v>
      </c>
      <c r="AV51" s="1359">
        <f t="shared" si="66"/>
        <v>4.9999999999999989E-2</v>
      </c>
      <c r="AW51" s="1372">
        <f t="shared" si="67"/>
        <v>184.13999999999996</v>
      </c>
      <c r="AX51" s="1373">
        <f t="shared" si="68"/>
        <v>4.9999999999999989E-2</v>
      </c>
      <c r="AY51" s="1374">
        <f t="shared" si="69"/>
        <v>184.13999999999996</v>
      </c>
      <c r="AZ51" s="1375">
        <f t="shared" si="70"/>
        <v>4.9999999999999989E-2</v>
      </c>
      <c r="BA51" s="1376">
        <f t="shared" si="71"/>
        <v>184.13999999999996</v>
      </c>
      <c r="BB51" s="1377"/>
      <c r="BC51" s="1820"/>
      <c r="BD51" s="1820"/>
      <c r="BE51" s="1823"/>
      <c r="BF51" s="1826"/>
      <c r="BG51" s="1829"/>
    </row>
    <row r="52" spans="1:59" s="1378" customFormat="1" ht="38.25">
      <c r="A52" s="1347" t="str">
        <f t="shared" si="52"/>
        <v>Aligos Therapeutics, Inc.</v>
      </c>
      <c r="B52" s="1348" t="str">
        <f t="shared" si="53"/>
        <v>ABD</v>
      </c>
      <c r="C52" s="1348">
        <f t="shared" si="55"/>
        <v>5</v>
      </c>
      <c r="D52" s="1349">
        <f t="shared" si="56"/>
        <v>43191</v>
      </c>
      <c r="E52" s="1349"/>
      <c r="F52" s="1347" t="s">
        <v>113</v>
      </c>
      <c r="G52" s="1347" t="s">
        <v>85</v>
      </c>
      <c r="H52" s="1347" t="s">
        <v>85</v>
      </c>
      <c r="I52" s="1347" t="s">
        <v>113</v>
      </c>
      <c r="J52" s="1349"/>
      <c r="K52" s="1349" t="s">
        <v>254</v>
      </c>
      <c r="L52" s="1350" t="s">
        <v>4682</v>
      </c>
      <c r="M52" s="1350" t="s">
        <v>62</v>
      </c>
      <c r="N52" s="1351" t="s">
        <v>63</v>
      </c>
      <c r="O52" s="1352" t="s">
        <v>4688</v>
      </c>
      <c r="P52" s="1388"/>
      <c r="Q52" s="1354"/>
      <c r="R52" s="1354"/>
      <c r="S52" s="1354"/>
      <c r="T52" s="1354"/>
      <c r="U52" s="1354"/>
      <c r="V52" s="1354"/>
      <c r="W52" s="1354"/>
      <c r="X52" s="1353">
        <f t="shared" si="57"/>
        <v>43191</v>
      </c>
      <c r="Y52" s="1353">
        <f t="shared" si="57"/>
        <v>43466</v>
      </c>
      <c r="Z52" s="1355">
        <v>4</v>
      </c>
      <c r="AA52" s="1355" t="s">
        <v>4685</v>
      </c>
      <c r="AB52" s="1356"/>
      <c r="AC52" s="1356"/>
      <c r="AD52" s="1356"/>
      <c r="AE52" s="1356"/>
      <c r="AF52" s="1357" t="str">
        <f t="shared" si="3"/>
        <v/>
      </c>
      <c r="AG52" s="1358">
        <v>134.57</v>
      </c>
      <c r="AH52" s="1358">
        <f t="shared" si="72"/>
        <v>1614.84</v>
      </c>
      <c r="AI52" s="1359">
        <v>0.15</v>
      </c>
      <c r="AJ52" s="1360">
        <f t="shared" si="59"/>
        <v>20.185499999999998</v>
      </c>
      <c r="AK52" s="1361">
        <f t="shared" si="73"/>
        <v>242.22599999999997</v>
      </c>
      <c r="AL52" s="1384">
        <v>0</v>
      </c>
      <c r="AM52" s="1363">
        <f t="shared" si="61"/>
        <v>0</v>
      </c>
      <c r="AN52" s="1364">
        <v>0.1</v>
      </c>
      <c r="AO52" s="1365">
        <f t="shared" si="62"/>
        <v>161.48400000000001</v>
      </c>
      <c r="AP52" s="1366">
        <v>0</v>
      </c>
      <c r="AQ52" s="1367">
        <f t="shared" si="63"/>
        <v>0</v>
      </c>
      <c r="AR52" s="1368">
        <v>0</v>
      </c>
      <c r="AS52" s="1369">
        <f t="shared" si="64"/>
        <v>0</v>
      </c>
      <c r="AT52" s="1370">
        <v>0</v>
      </c>
      <c r="AU52" s="1371">
        <f t="shared" si="65"/>
        <v>0</v>
      </c>
      <c r="AV52" s="1359">
        <f t="shared" si="66"/>
        <v>4.9999999999999989E-2</v>
      </c>
      <c r="AW52" s="1372">
        <f t="shared" si="67"/>
        <v>80.741999999999976</v>
      </c>
      <c r="AX52" s="1373">
        <f t="shared" si="68"/>
        <v>4.9999999999999989E-2</v>
      </c>
      <c r="AY52" s="1374">
        <f t="shared" si="69"/>
        <v>80.741999999999976</v>
      </c>
      <c r="AZ52" s="1375">
        <f t="shared" si="70"/>
        <v>4.9999999999999989E-2</v>
      </c>
      <c r="BA52" s="1376">
        <f t="shared" si="71"/>
        <v>80.741999999999976</v>
      </c>
      <c r="BB52" s="1377"/>
      <c r="BC52" s="1820"/>
      <c r="BD52" s="1820"/>
      <c r="BE52" s="1823"/>
      <c r="BF52" s="1826"/>
      <c r="BG52" s="1829"/>
    </row>
    <row r="53" spans="1:59" s="1378" customFormat="1" ht="38.25">
      <c r="A53" s="1347" t="str">
        <f t="shared" si="52"/>
        <v>Aligos Therapeutics, Inc.</v>
      </c>
      <c r="B53" s="1348" t="str">
        <f t="shared" si="53"/>
        <v>ABD</v>
      </c>
      <c r="C53" s="1348">
        <f t="shared" si="55"/>
        <v>5</v>
      </c>
      <c r="D53" s="1349">
        <f t="shared" si="56"/>
        <v>43191</v>
      </c>
      <c r="E53" s="1349"/>
      <c r="F53" s="1347" t="s">
        <v>113</v>
      </c>
      <c r="G53" s="1347" t="s">
        <v>85</v>
      </c>
      <c r="H53" s="1347" t="s">
        <v>85</v>
      </c>
      <c r="I53" s="1347" t="s">
        <v>113</v>
      </c>
      <c r="J53" s="1349"/>
      <c r="K53" s="1349" t="s">
        <v>254</v>
      </c>
      <c r="L53" s="1350" t="s">
        <v>4682</v>
      </c>
      <c r="M53" s="1350" t="s">
        <v>67</v>
      </c>
      <c r="N53" s="1351" t="s">
        <v>68</v>
      </c>
      <c r="O53" s="1352" t="s">
        <v>4689</v>
      </c>
      <c r="P53" s="1388"/>
      <c r="Q53" s="1354"/>
      <c r="R53" s="1354"/>
      <c r="S53" s="1354"/>
      <c r="T53" s="1354"/>
      <c r="U53" s="1354"/>
      <c r="V53" s="1354"/>
      <c r="W53" s="1354"/>
      <c r="X53" s="1353">
        <f t="shared" si="57"/>
        <v>43191</v>
      </c>
      <c r="Y53" s="1353">
        <f t="shared" si="57"/>
        <v>43466</v>
      </c>
      <c r="Z53" s="1355">
        <v>4</v>
      </c>
      <c r="AA53" s="1355" t="s">
        <v>4685</v>
      </c>
      <c r="AB53" s="1356"/>
      <c r="AC53" s="1356"/>
      <c r="AD53" s="1356"/>
      <c r="AE53" s="1356"/>
      <c r="AF53" s="1357" t="str">
        <f t="shared" si="3"/>
        <v/>
      </c>
      <c r="AG53" s="1358">
        <v>288.75</v>
      </c>
      <c r="AH53" s="1358">
        <f t="shared" si="72"/>
        <v>3465</v>
      </c>
      <c r="AI53" s="1359">
        <v>0.15</v>
      </c>
      <c r="AJ53" s="1360">
        <f t="shared" si="59"/>
        <v>43.3125</v>
      </c>
      <c r="AK53" s="1361">
        <f t="shared" si="73"/>
        <v>519.75</v>
      </c>
      <c r="AL53" s="1384">
        <v>0</v>
      </c>
      <c r="AM53" s="1363">
        <f t="shared" si="61"/>
        <v>0</v>
      </c>
      <c r="AN53" s="1364">
        <v>0.1</v>
      </c>
      <c r="AO53" s="1365">
        <f t="shared" si="62"/>
        <v>346.5</v>
      </c>
      <c r="AP53" s="1366">
        <v>0</v>
      </c>
      <c r="AQ53" s="1367">
        <f t="shared" si="63"/>
        <v>0</v>
      </c>
      <c r="AR53" s="1368">
        <v>0</v>
      </c>
      <c r="AS53" s="1369">
        <f t="shared" si="64"/>
        <v>0</v>
      </c>
      <c r="AT53" s="1370">
        <v>0</v>
      </c>
      <c r="AU53" s="1371">
        <f t="shared" si="65"/>
        <v>0</v>
      </c>
      <c r="AV53" s="1359">
        <f t="shared" si="66"/>
        <v>4.9999999999999989E-2</v>
      </c>
      <c r="AW53" s="1372">
        <f t="shared" si="67"/>
        <v>173.24999999999997</v>
      </c>
      <c r="AX53" s="1373">
        <f t="shared" si="68"/>
        <v>4.9999999999999989E-2</v>
      </c>
      <c r="AY53" s="1374">
        <f t="shared" si="69"/>
        <v>173.24999999999997</v>
      </c>
      <c r="AZ53" s="1375">
        <f t="shared" si="70"/>
        <v>4.9999999999999989E-2</v>
      </c>
      <c r="BA53" s="1376">
        <f t="shared" si="71"/>
        <v>173.24999999999997</v>
      </c>
      <c r="BB53" s="1377"/>
      <c r="BC53" s="1820"/>
      <c r="BD53" s="1820"/>
      <c r="BE53" s="1823"/>
      <c r="BF53" s="1826"/>
      <c r="BG53" s="1829"/>
    </row>
    <row r="54" spans="1:59" s="1378" customFormat="1" ht="38.25">
      <c r="A54" s="1347" t="str">
        <f t="shared" si="52"/>
        <v>Aligos Therapeutics, Inc.</v>
      </c>
      <c r="B54" s="1348" t="str">
        <f t="shared" si="53"/>
        <v>ABD</v>
      </c>
      <c r="C54" s="1348">
        <f t="shared" si="55"/>
        <v>5</v>
      </c>
      <c r="D54" s="1349">
        <f t="shared" si="56"/>
        <v>43191</v>
      </c>
      <c r="E54" s="1349"/>
      <c r="F54" s="1347" t="s">
        <v>72</v>
      </c>
      <c r="G54" s="1347" t="s">
        <v>85</v>
      </c>
      <c r="H54" s="1347" t="s">
        <v>72</v>
      </c>
      <c r="I54" s="1347" t="s">
        <v>72</v>
      </c>
      <c r="J54" s="1349" t="s">
        <v>4670</v>
      </c>
      <c r="K54" s="1349" t="s">
        <v>254</v>
      </c>
      <c r="L54" s="1350" t="s">
        <v>4696</v>
      </c>
      <c r="M54" s="1350" t="s">
        <v>4697</v>
      </c>
      <c r="N54" s="1389" t="s">
        <v>4698</v>
      </c>
      <c r="O54" s="1352" t="s">
        <v>4699</v>
      </c>
      <c r="P54" s="1388"/>
      <c r="Q54" s="1354"/>
      <c r="R54" s="1354"/>
      <c r="S54" s="1354"/>
      <c r="T54" s="1354"/>
      <c r="U54" s="1354"/>
      <c r="V54" s="1354"/>
      <c r="W54" s="1354"/>
      <c r="X54" s="1353">
        <f t="shared" si="57"/>
        <v>43191</v>
      </c>
      <c r="Y54" s="1353">
        <f t="shared" si="57"/>
        <v>43466</v>
      </c>
      <c r="Z54" s="1355"/>
      <c r="AA54" s="1355" t="s">
        <v>4674</v>
      </c>
      <c r="AB54" s="1356"/>
      <c r="AC54" s="1356"/>
      <c r="AD54" s="1356"/>
      <c r="AE54" s="1356"/>
      <c r="AF54" s="1357" t="str">
        <f t="shared" si="3"/>
        <v/>
      </c>
      <c r="AG54" s="1380"/>
      <c r="AH54" s="1380"/>
      <c r="AI54" s="1381">
        <v>0</v>
      </c>
      <c r="AJ54" s="1382">
        <f t="shared" si="59"/>
        <v>0</v>
      </c>
      <c r="AK54" s="1383">
        <f t="shared" si="73"/>
        <v>0</v>
      </c>
      <c r="AL54" s="1384">
        <v>0</v>
      </c>
      <c r="AM54" s="1363">
        <f t="shared" si="61"/>
        <v>0</v>
      </c>
      <c r="AN54" s="1364">
        <v>0</v>
      </c>
      <c r="AO54" s="1365">
        <f t="shared" si="62"/>
        <v>0</v>
      </c>
      <c r="AP54" s="1366">
        <v>0</v>
      </c>
      <c r="AQ54" s="1367">
        <f t="shared" si="63"/>
        <v>0</v>
      </c>
      <c r="AR54" s="1368">
        <v>0</v>
      </c>
      <c r="AS54" s="1369">
        <f t="shared" si="64"/>
        <v>0</v>
      </c>
      <c r="AT54" s="1370">
        <v>0</v>
      </c>
      <c r="AU54" s="1371">
        <f t="shared" si="65"/>
        <v>0</v>
      </c>
      <c r="AV54" s="1359">
        <f t="shared" si="66"/>
        <v>0</v>
      </c>
      <c r="AW54" s="1372">
        <f t="shared" si="67"/>
        <v>0</v>
      </c>
      <c r="AX54" s="1373">
        <f t="shared" si="68"/>
        <v>0</v>
      </c>
      <c r="AY54" s="1374">
        <f t="shared" si="69"/>
        <v>0</v>
      </c>
      <c r="AZ54" s="1375">
        <f t="shared" si="70"/>
        <v>0</v>
      </c>
      <c r="BA54" s="1376">
        <f t="shared" si="71"/>
        <v>0</v>
      </c>
      <c r="BB54" s="1377"/>
      <c r="BC54" s="1820"/>
      <c r="BD54" s="1820"/>
      <c r="BE54" s="1823"/>
      <c r="BF54" s="1826"/>
      <c r="BG54" s="1829"/>
    </row>
    <row r="55" spans="1:59" s="1378" customFormat="1" ht="38.25">
      <c r="A55" s="1347" t="str">
        <f t="shared" si="52"/>
        <v>Aligos Therapeutics, Inc.</v>
      </c>
      <c r="B55" s="1348" t="str">
        <f t="shared" si="53"/>
        <v>ABD</v>
      </c>
      <c r="C55" s="1348">
        <f t="shared" si="55"/>
        <v>5</v>
      </c>
      <c r="D55" s="1349">
        <f t="shared" si="56"/>
        <v>43191</v>
      </c>
      <c r="E55" s="1349"/>
      <c r="F55" s="1347" t="s">
        <v>72</v>
      </c>
      <c r="G55" s="1347" t="s">
        <v>85</v>
      </c>
      <c r="H55" s="1347" t="s">
        <v>72</v>
      </c>
      <c r="I55" s="1347" t="s">
        <v>72</v>
      </c>
      <c r="J55" s="1349" t="s">
        <v>4670</v>
      </c>
      <c r="K55" s="1349" t="s">
        <v>254</v>
      </c>
      <c r="L55" s="1350" t="s">
        <v>48</v>
      </c>
      <c r="M55" s="1350" t="s">
        <v>253</v>
      </c>
      <c r="N55" s="1390" t="s">
        <v>4703</v>
      </c>
      <c r="O55" s="1352" t="s">
        <v>4704</v>
      </c>
      <c r="P55" s="1388"/>
      <c r="Q55" s="1354"/>
      <c r="R55" s="1354"/>
      <c r="S55" s="1354"/>
      <c r="T55" s="1354"/>
      <c r="U55" s="1354"/>
      <c r="V55" s="1354"/>
      <c r="W55" s="1354"/>
      <c r="X55" s="1353">
        <f t="shared" si="57"/>
        <v>43191</v>
      </c>
      <c r="Y55" s="1353">
        <f t="shared" si="57"/>
        <v>43466</v>
      </c>
      <c r="Z55" s="1355"/>
      <c r="AA55" s="1355" t="s">
        <v>4674</v>
      </c>
      <c r="AB55" s="1356"/>
      <c r="AC55" s="1356"/>
      <c r="AD55" s="1356"/>
      <c r="AE55" s="1356"/>
      <c r="AF55" s="1357" t="str">
        <f t="shared" si="3"/>
        <v/>
      </c>
      <c r="AG55" s="1380"/>
      <c r="AH55" s="1380"/>
      <c r="AI55" s="1381">
        <v>0</v>
      </c>
      <c r="AJ55" s="1382">
        <f t="shared" si="59"/>
        <v>0</v>
      </c>
      <c r="AK55" s="1383">
        <f t="shared" si="73"/>
        <v>0</v>
      </c>
      <c r="AL55" s="1384">
        <v>0</v>
      </c>
      <c r="AM55" s="1363">
        <f t="shared" si="61"/>
        <v>0</v>
      </c>
      <c r="AN55" s="1364">
        <v>0</v>
      </c>
      <c r="AO55" s="1365">
        <f t="shared" si="62"/>
        <v>0</v>
      </c>
      <c r="AP55" s="1366">
        <v>0</v>
      </c>
      <c r="AQ55" s="1367">
        <f t="shared" si="63"/>
        <v>0</v>
      </c>
      <c r="AR55" s="1368">
        <v>0</v>
      </c>
      <c r="AS55" s="1369">
        <f t="shared" si="64"/>
        <v>0</v>
      </c>
      <c r="AT55" s="1370">
        <v>0</v>
      </c>
      <c r="AU55" s="1371">
        <f t="shared" si="65"/>
        <v>0</v>
      </c>
      <c r="AV55" s="1359">
        <f t="shared" si="66"/>
        <v>0</v>
      </c>
      <c r="AW55" s="1372">
        <f t="shared" si="67"/>
        <v>0</v>
      </c>
      <c r="AX55" s="1373">
        <f t="shared" si="68"/>
        <v>0</v>
      </c>
      <c r="AY55" s="1374">
        <f t="shared" si="69"/>
        <v>0</v>
      </c>
      <c r="AZ55" s="1375">
        <f t="shared" si="70"/>
        <v>0</v>
      </c>
      <c r="BA55" s="1376">
        <f t="shared" si="71"/>
        <v>0</v>
      </c>
      <c r="BB55" s="1377"/>
      <c r="BC55" s="1820"/>
      <c r="BD55" s="1820"/>
      <c r="BE55" s="1823"/>
      <c r="BF55" s="1826"/>
      <c r="BG55" s="1829"/>
    </row>
    <row r="56" spans="1:59" s="1378" customFormat="1" ht="38.25">
      <c r="A56" s="1347" t="str">
        <f t="shared" si="52"/>
        <v>Aligos Therapeutics, Inc.</v>
      </c>
      <c r="B56" s="1348" t="str">
        <f t="shared" si="53"/>
        <v>ABD</v>
      </c>
      <c r="C56" s="1348">
        <f t="shared" si="55"/>
        <v>5</v>
      </c>
      <c r="D56" s="1349">
        <f t="shared" si="56"/>
        <v>43191</v>
      </c>
      <c r="E56" s="1349"/>
      <c r="F56" s="1347" t="s">
        <v>72</v>
      </c>
      <c r="G56" s="1347" t="s">
        <v>85</v>
      </c>
      <c r="H56" s="1347" t="s">
        <v>72</v>
      </c>
      <c r="I56" s="1347" t="s">
        <v>72</v>
      </c>
      <c r="J56" s="1349" t="s">
        <v>4670</v>
      </c>
      <c r="K56" s="1349" t="s">
        <v>254</v>
      </c>
      <c r="L56" s="1350" t="s">
        <v>49</v>
      </c>
      <c r="M56" s="1350" t="s">
        <v>4705</v>
      </c>
      <c r="N56" s="1390" t="s">
        <v>4706</v>
      </c>
      <c r="O56" s="1352" t="s">
        <v>4707</v>
      </c>
      <c r="P56" s="1388"/>
      <c r="Q56" s="1354"/>
      <c r="R56" s="1354"/>
      <c r="S56" s="1354"/>
      <c r="T56" s="1354"/>
      <c r="U56" s="1354"/>
      <c r="V56" s="1354"/>
      <c r="W56" s="1354"/>
      <c r="X56" s="1353">
        <f t="shared" si="57"/>
        <v>43191</v>
      </c>
      <c r="Y56" s="1353">
        <f t="shared" si="57"/>
        <v>43466</v>
      </c>
      <c r="Z56" s="1355"/>
      <c r="AA56" s="1355" t="s">
        <v>4674</v>
      </c>
      <c r="AB56" s="1356"/>
      <c r="AC56" s="1356"/>
      <c r="AD56" s="1356"/>
      <c r="AE56" s="1356"/>
      <c r="AF56" s="1357" t="str">
        <f t="shared" si="3"/>
        <v/>
      </c>
      <c r="AG56" s="1380"/>
      <c r="AH56" s="1380"/>
      <c r="AI56" s="1381">
        <v>0</v>
      </c>
      <c r="AJ56" s="1382">
        <f t="shared" si="59"/>
        <v>0</v>
      </c>
      <c r="AK56" s="1383">
        <f t="shared" si="73"/>
        <v>0</v>
      </c>
      <c r="AL56" s="1384">
        <v>0</v>
      </c>
      <c r="AM56" s="1363">
        <f t="shared" si="61"/>
        <v>0</v>
      </c>
      <c r="AN56" s="1364">
        <v>0</v>
      </c>
      <c r="AO56" s="1365">
        <f t="shared" si="62"/>
        <v>0</v>
      </c>
      <c r="AP56" s="1366">
        <v>0</v>
      </c>
      <c r="AQ56" s="1367">
        <f t="shared" si="63"/>
        <v>0</v>
      </c>
      <c r="AR56" s="1368">
        <v>0</v>
      </c>
      <c r="AS56" s="1369">
        <f t="shared" si="64"/>
        <v>0</v>
      </c>
      <c r="AT56" s="1370">
        <v>0</v>
      </c>
      <c r="AU56" s="1371">
        <f t="shared" si="65"/>
        <v>0</v>
      </c>
      <c r="AV56" s="1359">
        <f t="shared" si="66"/>
        <v>0</v>
      </c>
      <c r="AW56" s="1372">
        <f t="shared" si="67"/>
        <v>0</v>
      </c>
      <c r="AX56" s="1373">
        <f t="shared" si="68"/>
        <v>0</v>
      </c>
      <c r="AY56" s="1374">
        <f t="shared" si="69"/>
        <v>0</v>
      </c>
      <c r="AZ56" s="1375">
        <f t="shared" si="70"/>
        <v>0</v>
      </c>
      <c r="BA56" s="1376">
        <f t="shared" si="71"/>
        <v>0</v>
      </c>
      <c r="BB56" s="1391"/>
      <c r="BC56" s="1820"/>
      <c r="BD56" s="1820"/>
      <c r="BE56" s="1823"/>
      <c r="BF56" s="1826"/>
      <c r="BG56" s="1829"/>
    </row>
    <row r="57" spans="1:59" s="1378" customFormat="1" ht="38.25">
      <c r="A57" s="1347" t="str">
        <f t="shared" si="52"/>
        <v>Aligos Therapeutics, Inc.</v>
      </c>
      <c r="B57" s="1348" t="str">
        <f t="shared" si="53"/>
        <v>ABD</v>
      </c>
      <c r="C57" s="1348">
        <f t="shared" si="55"/>
        <v>5</v>
      </c>
      <c r="D57" s="1349">
        <f t="shared" si="56"/>
        <v>43191</v>
      </c>
      <c r="E57" s="1349"/>
      <c r="F57" s="1347" t="s">
        <v>72</v>
      </c>
      <c r="G57" s="1347" t="s">
        <v>85</v>
      </c>
      <c r="H57" s="1347" t="s">
        <v>72</v>
      </c>
      <c r="I57" s="1347" t="s">
        <v>72</v>
      </c>
      <c r="J57" s="1349" t="s">
        <v>4670</v>
      </c>
      <c r="K57" s="1349" t="s">
        <v>254</v>
      </c>
      <c r="L57" s="1350" t="s">
        <v>3056</v>
      </c>
      <c r="M57" s="1350" t="s">
        <v>4708</v>
      </c>
      <c r="N57" s="1390" t="s">
        <v>4709</v>
      </c>
      <c r="O57" s="1352" t="s">
        <v>4710</v>
      </c>
      <c r="P57" s="1388"/>
      <c r="Q57" s="1354"/>
      <c r="R57" s="1354"/>
      <c r="S57" s="1354"/>
      <c r="T57" s="1354"/>
      <c r="U57" s="1354"/>
      <c r="V57" s="1354"/>
      <c r="W57" s="1354"/>
      <c r="X57" s="1353">
        <f t="shared" si="57"/>
        <v>43191</v>
      </c>
      <c r="Y57" s="1353">
        <f t="shared" si="57"/>
        <v>43466</v>
      </c>
      <c r="Z57" s="1355"/>
      <c r="AA57" s="1355" t="s">
        <v>4674</v>
      </c>
      <c r="AB57" s="1356"/>
      <c r="AC57" s="1356"/>
      <c r="AD57" s="1356"/>
      <c r="AE57" s="1356"/>
      <c r="AF57" s="1357" t="str">
        <f t="shared" si="3"/>
        <v/>
      </c>
      <c r="AG57" s="1380"/>
      <c r="AH57" s="1380"/>
      <c r="AI57" s="1381">
        <v>0</v>
      </c>
      <c r="AJ57" s="1382">
        <f t="shared" si="59"/>
        <v>0</v>
      </c>
      <c r="AK57" s="1383">
        <f t="shared" si="73"/>
        <v>0</v>
      </c>
      <c r="AL57" s="1384">
        <v>0</v>
      </c>
      <c r="AM57" s="1363">
        <f t="shared" si="61"/>
        <v>0</v>
      </c>
      <c r="AN57" s="1364">
        <v>0</v>
      </c>
      <c r="AO57" s="1365">
        <f t="shared" si="62"/>
        <v>0</v>
      </c>
      <c r="AP57" s="1366">
        <v>0</v>
      </c>
      <c r="AQ57" s="1367">
        <f t="shared" si="63"/>
        <v>0</v>
      </c>
      <c r="AR57" s="1368">
        <v>0</v>
      </c>
      <c r="AS57" s="1369">
        <f t="shared" si="64"/>
        <v>0</v>
      </c>
      <c r="AT57" s="1370">
        <v>0</v>
      </c>
      <c r="AU57" s="1371">
        <f t="shared" si="65"/>
        <v>0</v>
      </c>
      <c r="AV57" s="1359">
        <f t="shared" si="66"/>
        <v>0</v>
      </c>
      <c r="AW57" s="1372">
        <f t="shared" si="67"/>
        <v>0</v>
      </c>
      <c r="AX57" s="1373">
        <f t="shared" si="68"/>
        <v>0</v>
      </c>
      <c r="AY57" s="1374">
        <f t="shared" si="69"/>
        <v>0</v>
      </c>
      <c r="AZ57" s="1375">
        <f t="shared" si="70"/>
        <v>0</v>
      </c>
      <c r="BA57" s="1376">
        <f t="shared" si="71"/>
        <v>0</v>
      </c>
      <c r="BB57" s="1391"/>
      <c r="BC57" s="1821"/>
      <c r="BD57" s="1821"/>
      <c r="BE57" s="1824"/>
      <c r="BF57" s="1827"/>
      <c r="BG57" s="1830"/>
    </row>
    <row r="58" spans="1:59" s="1315" customFormat="1" ht="25.5">
      <c r="A58" s="1277" t="str">
        <f t="shared" ref="A58:A70" si="74">L$58</f>
        <v>AlterG, Inc.</v>
      </c>
      <c r="B58" s="1316" t="str">
        <f t="shared" ref="B58:B70" si="75">N$58</f>
        <v>ABD</v>
      </c>
      <c r="C58" s="1316">
        <f t="shared" ref="C58:C70" si="76">Z$58</f>
        <v>57</v>
      </c>
      <c r="D58" s="1317">
        <v>43101</v>
      </c>
      <c r="E58" s="1317"/>
      <c r="F58" s="1277" t="s">
        <v>72</v>
      </c>
      <c r="G58" s="1277" t="s">
        <v>72</v>
      </c>
      <c r="H58" s="1277" t="s">
        <v>72</v>
      </c>
      <c r="I58" s="1277" t="s">
        <v>4711</v>
      </c>
      <c r="J58" s="1317"/>
      <c r="K58" s="1317"/>
      <c r="L58" s="1318" t="s">
        <v>1271</v>
      </c>
      <c r="M58" s="1319"/>
      <c r="N58" s="1417" t="s">
        <v>3654</v>
      </c>
      <c r="O58" s="1418" t="s">
        <v>2473</v>
      </c>
      <c r="P58" s="1418"/>
      <c r="Q58" s="1322"/>
      <c r="R58" s="1322"/>
      <c r="S58" s="1322"/>
      <c r="T58" s="1322"/>
      <c r="U58" s="1322"/>
      <c r="V58" s="1322"/>
      <c r="W58" s="1322"/>
      <c r="X58" s="1317">
        <v>43101</v>
      </c>
      <c r="Y58" s="1317">
        <v>43466</v>
      </c>
      <c r="Z58" s="1316">
        <v>57</v>
      </c>
      <c r="AA58" s="1316" t="s">
        <v>4759</v>
      </c>
      <c r="AB58" s="1323">
        <f>SUM(AB59:AB70)</f>
        <v>428818.68</v>
      </c>
      <c r="AC58" s="1323">
        <f>SUM(AC59:AC70)</f>
        <v>0</v>
      </c>
      <c r="AD58" s="1323">
        <f>SUM(AD59:AD70)</f>
        <v>400175.64</v>
      </c>
      <c r="AE58" s="1324">
        <f t="shared" si="54"/>
        <v>-28643.039999999979</v>
      </c>
      <c r="AF58" s="1325">
        <f t="shared" si="3"/>
        <v>-6.6795224499081943E-2</v>
      </c>
      <c r="AG58" s="1326">
        <f t="shared" si="2"/>
        <v>35959.265833333331</v>
      </c>
      <c r="AH58" s="1326">
        <f>SUM(AH59:AH70)</f>
        <v>431511.18999999994</v>
      </c>
      <c r="AI58" s="1339"/>
      <c r="AJ58" s="1328">
        <f>SUM(AJ59:AJ70)</f>
        <v>3059.3669749999999</v>
      </c>
      <c r="AK58" s="1328">
        <f>SUM(AK59:AK70)</f>
        <v>36712.403699999995</v>
      </c>
      <c r="AL58" s="1329"/>
      <c r="AM58" s="1330">
        <f>SUM(AM59:AM70)</f>
        <v>2000.8782000000001</v>
      </c>
      <c r="AN58" s="1331"/>
      <c r="AO58" s="1332">
        <f>SUM(AO59:AO70)</f>
        <v>19139.7886</v>
      </c>
      <c r="AP58" s="1333"/>
      <c r="AQ58" s="1334">
        <f>SUM(AQ59:AQ70)</f>
        <v>0</v>
      </c>
      <c r="AR58" s="1335"/>
      <c r="AS58" s="1336">
        <f>SUM(AS59:AS70)</f>
        <v>0</v>
      </c>
      <c r="AT58" s="1337"/>
      <c r="AU58" s="1338">
        <f>SUM(AU59:AU70)</f>
        <v>10004.391000000001</v>
      </c>
      <c r="AV58" s="1339"/>
      <c r="AW58" s="1340">
        <f>SUM(AW59:AW70)</f>
        <v>5567.3458999999984</v>
      </c>
      <c r="AX58" s="1306"/>
      <c r="AY58" s="1307">
        <f>SUM(AW58+AS58+AU58)</f>
        <v>15571.7369</v>
      </c>
      <c r="AZ58" s="1341"/>
      <c r="BA58" s="1309">
        <f>SUM(AY58+AQ58)</f>
        <v>15571.7369</v>
      </c>
      <c r="BB58" s="1342">
        <f>(AW58+AU58)/(AK58-AM58)</f>
        <v>0.44860422224888968</v>
      </c>
      <c r="BC58" s="1343"/>
      <c r="BD58" s="1343"/>
      <c r="BE58" s="1344"/>
      <c r="BF58" s="1420" t="s">
        <v>4749</v>
      </c>
      <c r="BG58" s="1346"/>
    </row>
    <row r="59" spans="1:59" s="1378" customFormat="1" ht="76.5">
      <c r="A59" s="1347" t="str">
        <f t="shared" si="74"/>
        <v>AlterG, Inc.</v>
      </c>
      <c r="B59" s="1348" t="str">
        <f t="shared" si="75"/>
        <v>ABD</v>
      </c>
      <c r="C59" s="1348">
        <f t="shared" si="76"/>
        <v>57</v>
      </c>
      <c r="D59" s="1349">
        <v>43101</v>
      </c>
      <c r="E59" s="1349"/>
      <c r="F59" s="1347" t="s">
        <v>85</v>
      </c>
      <c r="G59" s="1347" t="s">
        <v>85</v>
      </c>
      <c r="H59" s="1347" t="s">
        <v>85</v>
      </c>
      <c r="I59" s="1347" t="s">
        <v>85</v>
      </c>
      <c r="J59" s="1349"/>
      <c r="K59" s="1349" t="s">
        <v>254</v>
      </c>
      <c r="L59" s="1350" t="s">
        <v>2661</v>
      </c>
      <c r="M59" s="1350" t="s">
        <v>3647</v>
      </c>
      <c r="N59" s="1351" t="s">
        <v>4760</v>
      </c>
      <c r="O59" s="1352" t="s">
        <v>4761</v>
      </c>
      <c r="P59" s="1352" t="s">
        <v>4762</v>
      </c>
      <c r="Q59" s="1353" t="s">
        <v>303</v>
      </c>
      <c r="R59" s="1353" t="s">
        <v>3655</v>
      </c>
      <c r="S59" s="1353" t="s">
        <v>307</v>
      </c>
      <c r="T59" s="1353" t="s">
        <v>113</v>
      </c>
      <c r="U59" s="1354"/>
      <c r="V59" s="1354"/>
      <c r="W59" s="1354"/>
      <c r="X59" s="1353">
        <v>43101</v>
      </c>
      <c r="Y59" s="1353">
        <v>43466</v>
      </c>
      <c r="Z59" s="1355"/>
      <c r="AA59" s="1355" t="s">
        <v>4667</v>
      </c>
      <c r="AB59" s="1422">
        <v>428818.68</v>
      </c>
      <c r="AC59" s="1356"/>
      <c r="AD59" s="1422">
        <f>AH59</f>
        <v>400175.64</v>
      </c>
      <c r="AE59" s="1422">
        <f t="shared" si="54"/>
        <v>-28643.039999999979</v>
      </c>
      <c r="AF59" s="1423">
        <f t="shared" si="3"/>
        <v>-6.6795224499081943E-2</v>
      </c>
      <c r="AG59" s="1358">
        <f t="shared" si="2"/>
        <v>33347.97</v>
      </c>
      <c r="AH59" s="1358">
        <v>400175.64</v>
      </c>
      <c r="AI59" s="1359">
        <v>0.08</v>
      </c>
      <c r="AJ59" s="1360">
        <f>$AI59*$AG59</f>
        <v>2667.8376000000003</v>
      </c>
      <c r="AK59" s="1361">
        <f t="shared" ref="AK59:AK60" si="77">AI59*$AH59</f>
        <v>32014.051200000002</v>
      </c>
      <c r="AL59" s="1362">
        <v>5.0000000000000001E-3</v>
      </c>
      <c r="AM59" s="1363">
        <f t="shared" ref="AM59:AM70" si="78">AL59*$AH59</f>
        <v>2000.8782000000001</v>
      </c>
      <c r="AN59" s="1364">
        <v>0.04</v>
      </c>
      <c r="AO59" s="1365">
        <f t="shared" ref="AO59:AO70" si="79">AN59*$AH59</f>
        <v>16007.025600000001</v>
      </c>
      <c r="AP59" s="1366">
        <v>0</v>
      </c>
      <c r="AQ59" s="1367">
        <f t="shared" ref="AQ59:AQ70" si="80">AP59*$AH59</f>
        <v>0</v>
      </c>
      <c r="AR59" s="1368">
        <v>0</v>
      </c>
      <c r="AS59" s="1369">
        <f t="shared" ref="AS59:AS70" si="81">AR59*$AH59</f>
        <v>0</v>
      </c>
      <c r="AT59" s="1370">
        <v>2.5000000000000001E-2</v>
      </c>
      <c r="AU59" s="1371">
        <f t="shared" ref="AU59:AU70" si="82">AT59*$AH59</f>
        <v>10004.391000000001</v>
      </c>
      <c r="AV59" s="1359">
        <f t="shared" ref="AV59:AV60" si="83">AZ59-AR59-AT59-AP59</f>
        <v>9.999999999999995E-3</v>
      </c>
      <c r="AW59" s="1372">
        <f t="shared" ref="AW59:AW70" si="84">AV59*$AH59</f>
        <v>4001.7563999999979</v>
      </c>
      <c r="AX59" s="1373">
        <f t="shared" ref="AX59:AX70" si="85">$AZ59-$AP59</f>
        <v>3.4999999999999996E-2</v>
      </c>
      <c r="AY59" s="1374">
        <f t="shared" ref="AY59:AY70" si="86">AX59*$AH59</f>
        <v>14006.1474</v>
      </c>
      <c r="AZ59" s="1375">
        <f t="shared" ref="AZ59:AZ70" si="87">$AI59-$AL59-$AN59</f>
        <v>3.4999999999999996E-2</v>
      </c>
      <c r="BA59" s="1376">
        <f t="shared" ref="BA59:BA70" si="88">AZ59*$AH59</f>
        <v>14006.1474</v>
      </c>
      <c r="BB59" s="1377"/>
      <c r="BC59" s="1847" t="s">
        <v>1272</v>
      </c>
      <c r="BD59" s="1819" t="s">
        <v>1273</v>
      </c>
      <c r="BE59" s="1822" t="s">
        <v>1291</v>
      </c>
      <c r="BF59" s="1825" t="s">
        <v>4763</v>
      </c>
      <c r="BG59" s="1828">
        <v>412179246</v>
      </c>
    </row>
    <row r="60" spans="1:59" s="1378" customFormat="1" ht="51.75" customHeight="1">
      <c r="A60" s="1347" t="str">
        <f t="shared" si="74"/>
        <v>AlterG, Inc.</v>
      </c>
      <c r="B60" s="1348" t="str">
        <f t="shared" si="75"/>
        <v>ABD</v>
      </c>
      <c r="C60" s="1348">
        <f t="shared" si="76"/>
        <v>57</v>
      </c>
      <c r="D60" s="1349">
        <v>43101</v>
      </c>
      <c r="E60" s="1349"/>
      <c r="F60" s="1347" t="s">
        <v>72</v>
      </c>
      <c r="G60" s="1347" t="s">
        <v>113</v>
      </c>
      <c r="H60" s="1347" t="s">
        <v>72</v>
      </c>
      <c r="I60" s="1347" t="s">
        <v>72</v>
      </c>
      <c r="J60" s="1349" t="s">
        <v>4670</v>
      </c>
      <c r="K60" s="1349" t="s">
        <v>254</v>
      </c>
      <c r="L60" s="1397" t="s">
        <v>106</v>
      </c>
      <c r="M60" s="1397" t="s">
        <v>3649</v>
      </c>
      <c r="N60" s="1410" t="s">
        <v>4764</v>
      </c>
      <c r="O60" s="1399" t="s">
        <v>4765</v>
      </c>
      <c r="P60" s="1424"/>
      <c r="Q60" s="1400"/>
      <c r="R60" s="1400"/>
      <c r="S60" s="1400"/>
      <c r="T60" s="1400"/>
      <c r="U60" s="1400"/>
      <c r="V60" s="1400"/>
      <c r="W60" s="1400"/>
      <c r="X60" s="1400">
        <v>43101</v>
      </c>
      <c r="Y60" s="1400">
        <v>43466</v>
      </c>
      <c r="Z60" s="1401"/>
      <c r="AA60" s="1401" t="s">
        <v>4738</v>
      </c>
      <c r="AB60" s="1369"/>
      <c r="AC60" s="1369"/>
      <c r="AD60" s="1369"/>
      <c r="AE60" s="1369"/>
      <c r="AF60" s="1403" t="str">
        <f t="shared" si="3"/>
        <v/>
      </c>
      <c r="AG60" s="1404"/>
      <c r="AH60" s="1404"/>
      <c r="AI60" s="1405">
        <v>0</v>
      </c>
      <c r="AJ60" s="1411">
        <f>$AI60*$AG60</f>
        <v>0</v>
      </c>
      <c r="AK60" s="1406">
        <f t="shared" si="77"/>
        <v>0</v>
      </c>
      <c r="AL60" s="1384">
        <v>0</v>
      </c>
      <c r="AM60" s="1363">
        <f t="shared" si="78"/>
        <v>0</v>
      </c>
      <c r="AN60" s="1364">
        <v>0</v>
      </c>
      <c r="AO60" s="1365">
        <f t="shared" si="79"/>
        <v>0</v>
      </c>
      <c r="AP60" s="1366">
        <v>0</v>
      </c>
      <c r="AQ60" s="1367">
        <f t="shared" si="80"/>
        <v>0</v>
      </c>
      <c r="AR60" s="1368">
        <v>0</v>
      </c>
      <c r="AS60" s="1369">
        <f t="shared" si="81"/>
        <v>0</v>
      </c>
      <c r="AT60" s="1370">
        <v>0</v>
      </c>
      <c r="AU60" s="1371">
        <f t="shared" si="82"/>
        <v>0</v>
      </c>
      <c r="AV60" s="1359">
        <f t="shared" si="83"/>
        <v>0</v>
      </c>
      <c r="AW60" s="1372">
        <f t="shared" si="84"/>
        <v>0</v>
      </c>
      <c r="AX60" s="1373">
        <f t="shared" si="85"/>
        <v>0</v>
      </c>
      <c r="AY60" s="1374">
        <f t="shared" si="86"/>
        <v>0</v>
      </c>
      <c r="AZ60" s="1375">
        <f t="shared" si="87"/>
        <v>0</v>
      </c>
      <c r="BA60" s="1376">
        <f t="shared" si="88"/>
        <v>0</v>
      </c>
      <c r="BB60" s="1377"/>
      <c r="BC60" s="1848"/>
      <c r="BD60" s="1820"/>
      <c r="BE60" s="1823"/>
      <c r="BF60" s="1826"/>
      <c r="BG60" s="1829"/>
    </row>
    <row r="61" spans="1:59" s="1378" customFormat="1" ht="63.75">
      <c r="A61" s="1347" t="str">
        <f t="shared" si="74"/>
        <v>AlterG, Inc.</v>
      </c>
      <c r="B61" s="1348" t="str">
        <f t="shared" si="75"/>
        <v>ABD</v>
      </c>
      <c r="C61" s="1348">
        <f t="shared" si="76"/>
        <v>57</v>
      </c>
      <c r="D61" s="1349">
        <v>43101</v>
      </c>
      <c r="E61" s="1349"/>
      <c r="F61" s="1347" t="s">
        <v>113</v>
      </c>
      <c r="G61" s="1347" t="s">
        <v>113</v>
      </c>
      <c r="H61" s="1347" t="s">
        <v>113</v>
      </c>
      <c r="I61" s="1347" t="s">
        <v>113</v>
      </c>
      <c r="J61" s="1349" t="s">
        <v>4766</v>
      </c>
      <c r="K61" s="1349" t="s">
        <v>254</v>
      </c>
      <c r="L61" s="1397" t="s">
        <v>4767</v>
      </c>
      <c r="M61" s="1397" t="s">
        <v>3647</v>
      </c>
      <c r="N61" s="1398" t="s">
        <v>4768</v>
      </c>
      <c r="O61" s="1399" t="s">
        <v>4769</v>
      </c>
      <c r="P61" s="1399"/>
      <c r="Q61" s="1400"/>
      <c r="R61" s="1400"/>
      <c r="S61" s="1400"/>
      <c r="T61" s="1400"/>
      <c r="U61" s="1400"/>
      <c r="V61" s="1400"/>
      <c r="W61" s="1400"/>
      <c r="X61" s="1400">
        <v>43101</v>
      </c>
      <c r="Y61" s="1400">
        <v>43466</v>
      </c>
      <c r="Z61" s="1401"/>
      <c r="AA61" s="1401" t="s">
        <v>4738</v>
      </c>
      <c r="AB61" s="1369"/>
      <c r="AC61" s="1369"/>
      <c r="AD61" s="1369"/>
      <c r="AE61" s="1369"/>
      <c r="AF61" s="1403" t="str">
        <f t="shared" si="3"/>
        <v/>
      </c>
      <c r="AG61" s="1404"/>
      <c r="AH61" s="1404"/>
      <c r="AI61" s="1405">
        <v>0</v>
      </c>
      <c r="AJ61" s="1406">
        <v>0</v>
      </c>
      <c r="AK61" s="1406">
        <v>0</v>
      </c>
      <c r="AL61" s="1362">
        <v>0</v>
      </c>
      <c r="AM61" s="1363">
        <f t="shared" si="78"/>
        <v>0</v>
      </c>
      <c r="AN61" s="1364">
        <f>AI61</f>
        <v>0</v>
      </c>
      <c r="AO61" s="1365">
        <f t="shared" si="79"/>
        <v>0</v>
      </c>
      <c r="AP61" s="1366">
        <v>0</v>
      </c>
      <c r="AQ61" s="1367">
        <f t="shared" si="80"/>
        <v>0</v>
      </c>
      <c r="AR61" s="1368">
        <v>0</v>
      </c>
      <c r="AS61" s="1369">
        <f t="shared" si="81"/>
        <v>0</v>
      </c>
      <c r="AT61" s="1370">
        <v>0</v>
      </c>
      <c r="AU61" s="1371">
        <f t="shared" si="82"/>
        <v>0</v>
      </c>
      <c r="AV61" s="1359">
        <v>0</v>
      </c>
      <c r="AW61" s="1372">
        <f t="shared" si="84"/>
        <v>0</v>
      </c>
      <c r="AX61" s="1373">
        <f t="shared" si="85"/>
        <v>0</v>
      </c>
      <c r="AY61" s="1374">
        <f t="shared" si="86"/>
        <v>0</v>
      </c>
      <c r="AZ61" s="1375">
        <f t="shared" si="87"/>
        <v>0</v>
      </c>
      <c r="BA61" s="1376">
        <f t="shared" si="88"/>
        <v>0</v>
      </c>
      <c r="BB61" s="1377"/>
      <c r="BC61" s="1848"/>
      <c r="BD61" s="1820"/>
      <c r="BE61" s="1823"/>
      <c r="BF61" s="1826"/>
      <c r="BG61" s="1829"/>
    </row>
    <row r="62" spans="1:59" s="1378" customFormat="1" ht="38.25">
      <c r="A62" s="1347" t="str">
        <f>L$58</f>
        <v>AlterG, Inc.</v>
      </c>
      <c r="B62" s="1348" t="str">
        <f>N$58</f>
        <v>ABD</v>
      </c>
      <c r="C62" s="1348">
        <f>Z$58</f>
        <v>57</v>
      </c>
      <c r="D62" s="1349">
        <v>43101</v>
      </c>
      <c r="E62" s="1349"/>
      <c r="F62" s="1347" t="s">
        <v>113</v>
      </c>
      <c r="G62" s="1347" t="s">
        <v>85</v>
      </c>
      <c r="H62" s="1347" t="s">
        <v>85</v>
      </c>
      <c r="I62" s="1347" t="s">
        <v>113</v>
      </c>
      <c r="J62" s="1349"/>
      <c r="K62" s="1349" t="s">
        <v>254</v>
      </c>
      <c r="L62" s="1350" t="s">
        <v>4682</v>
      </c>
      <c r="M62" s="1350" t="s">
        <v>4683</v>
      </c>
      <c r="N62" s="1386" t="s">
        <v>1249</v>
      </c>
      <c r="O62" s="1352" t="s">
        <v>4684</v>
      </c>
      <c r="P62" s="1421"/>
      <c r="Q62" s="1354"/>
      <c r="R62" s="1354"/>
      <c r="S62" s="1354"/>
      <c r="T62" s="1354"/>
      <c r="U62" s="1354"/>
      <c r="V62" s="1354"/>
      <c r="W62" s="1354"/>
      <c r="X62" s="1353">
        <v>43101</v>
      </c>
      <c r="Y62" s="1353">
        <v>43466</v>
      </c>
      <c r="Z62" s="1355"/>
      <c r="AA62" s="1355" t="s">
        <v>4685</v>
      </c>
      <c r="AB62" s="1356"/>
      <c r="AC62" s="1356"/>
      <c r="AD62" s="1356"/>
      <c r="AE62" s="1356"/>
      <c r="AF62" s="1357"/>
      <c r="AG62" s="1358">
        <f t="shared" si="2"/>
        <v>324.90000000000003</v>
      </c>
      <c r="AH62" s="1358">
        <v>3898.8</v>
      </c>
      <c r="AI62" s="1359">
        <v>0.15</v>
      </c>
      <c r="AJ62" s="1360">
        <f t="shared" ref="AJ62:AJ67" si="89">$AI62*$AG62</f>
        <v>48.735000000000007</v>
      </c>
      <c r="AK62" s="1361">
        <f t="shared" ref="AK62:AK67" si="90">AI62*$AH62</f>
        <v>584.82000000000005</v>
      </c>
      <c r="AL62" s="1384">
        <v>0</v>
      </c>
      <c r="AM62" s="1363">
        <f t="shared" si="78"/>
        <v>0</v>
      </c>
      <c r="AN62" s="1364">
        <v>0.1</v>
      </c>
      <c r="AO62" s="1365">
        <f t="shared" si="79"/>
        <v>389.88000000000005</v>
      </c>
      <c r="AP62" s="1366">
        <v>0</v>
      </c>
      <c r="AQ62" s="1367">
        <f t="shared" si="80"/>
        <v>0</v>
      </c>
      <c r="AR62" s="1368">
        <v>0</v>
      </c>
      <c r="AS62" s="1369">
        <f t="shared" si="81"/>
        <v>0</v>
      </c>
      <c r="AT62" s="1370">
        <v>0</v>
      </c>
      <c r="AU62" s="1371">
        <f t="shared" si="82"/>
        <v>0</v>
      </c>
      <c r="AV62" s="1359">
        <f t="shared" ref="AV62:AV70" si="91">AZ62-AR62-AT62-AP62</f>
        <v>4.9999999999999989E-2</v>
      </c>
      <c r="AW62" s="1372">
        <f t="shared" si="84"/>
        <v>194.93999999999997</v>
      </c>
      <c r="AX62" s="1373">
        <f t="shared" si="85"/>
        <v>4.9999999999999989E-2</v>
      </c>
      <c r="AY62" s="1374">
        <f t="shared" si="86"/>
        <v>194.93999999999997</v>
      </c>
      <c r="AZ62" s="1375">
        <f t="shared" si="87"/>
        <v>4.9999999999999989E-2</v>
      </c>
      <c r="BA62" s="1376">
        <f t="shared" si="88"/>
        <v>194.93999999999997</v>
      </c>
      <c r="BB62" s="1377"/>
      <c r="BC62" s="1848"/>
      <c r="BD62" s="1820"/>
      <c r="BE62" s="1823"/>
      <c r="BF62" s="1826"/>
      <c r="BG62" s="1829"/>
    </row>
    <row r="63" spans="1:59" s="1378" customFormat="1" ht="38.25">
      <c r="A63" s="1347" t="str">
        <f>L$58</f>
        <v>AlterG, Inc.</v>
      </c>
      <c r="B63" s="1348" t="str">
        <f>N$58</f>
        <v>ABD</v>
      </c>
      <c r="C63" s="1348">
        <f>Z$58</f>
        <v>57</v>
      </c>
      <c r="D63" s="1349">
        <v>43101</v>
      </c>
      <c r="E63" s="1349"/>
      <c r="F63" s="1347" t="s">
        <v>113</v>
      </c>
      <c r="G63" s="1347" t="s">
        <v>85</v>
      </c>
      <c r="H63" s="1347" t="s">
        <v>85</v>
      </c>
      <c r="I63" s="1347" t="s">
        <v>113</v>
      </c>
      <c r="J63" s="1349"/>
      <c r="K63" s="1349" t="s">
        <v>254</v>
      </c>
      <c r="L63" s="1350" t="s">
        <v>4682</v>
      </c>
      <c r="M63" s="1350" t="s">
        <v>4686</v>
      </c>
      <c r="N63" s="1386" t="s">
        <v>60</v>
      </c>
      <c r="O63" s="1352" t="s">
        <v>4687</v>
      </c>
      <c r="P63" s="1421"/>
      <c r="Q63" s="1354"/>
      <c r="R63" s="1354"/>
      <c r="S63" s="1354"/>
      <c r="T63" s="1354"/>
      <c r="U63" s="1354"/>
      <c r="V63" s="1354"/>
      <c r="W63" s="1354"/>
      <c r="X63" s="1353">
        <v>43101</v>
      </c>
      <c r="Y63" s="1353">
        <v>43466</v>
      </c>
      <c r="Z63" s="1355"/>
      <c r="AA63" s="1355" t="s">
        <v>4685</v>
      </c>
      <c r="AB63" s="1356"/>
      <c r="AC63" s="1356"/>
      <c r="AD63" s="1356"/>
      <c r="AE63" s="1356"/>
      <c r="AF63" s="1357"/>
      <c r="AG63" s="1358">
        <f t="shared" si="2"/>
        <v>641.28</v>
      </c>
      <c r="AH63" s="1358">
        <v>7695.36</v>
      </c>
      <c r="AI63" s="1359">
        <v>0.15</v>
      </c>
      <c r="AJ63" s="1360">
        <f t="shared" si="89"/>
        <v>96.191999999999993</v>
      </c>
      <c r="AK63" s="1361">
        <f t="shared" si="90"/>
        <v>1154.3039999999999</v>
      </c>
      <c r="AL63" s="1384">
        <v>0</v>
      </c>
      <c r="AM63" s="1363">
        <f t="shared" si="78"/>
        <v>0</v>
      </c>
      <c r="AN63" s="1364">
        <v>0.1</v>
      </c>
      <c r="AO63" s="1365">
        <f t="shared" si="79"/>
        <v>769.53600000000006</v>
      </c>
      <c r="AP63" s="1366">
        <v>0</v>
      </c>
      <c r="AQ63" s="1367">
        <f t="shared" si="80"/>
        <v>0</v>
      </c>
      <c r="AR63" s="1368">
        <v>0</v>
      </c>
      <c r="AS63" s="1369">
        <f t="shared" si="81"/>
        <v>0</v>
      </c>
      <c r="AT63" s="1370">
        <v>0</v>
      </c>
      <c r="AU63" s="1371">
        <f t="shared" si="82"/>
        <v>0</v>
      </c>
      <c r="AV63" s="1359">
        <f t="shared" si="91"/>
        <v>4.9999999999999989E-2</v>
      </c>
      <c r="AW63" s="1372">
        <f t="shared" si="84"/>
        <v>384.76799999999992</v>
      </c>
      <c r="AX63" s="1373">
        <f t="shared" si="85"/>
        <v>4.9999999999999989E-2</v>
      </c>
      <c r="AY63" s="1374">
        <f t="shared" si="86"/>
        <v>384.76799999999992</v>
      </c>
      <c r="AZ63" s="1375">
        <f t="shared" si="87"/>
        <v>4.9999999999999989E-2</v>
      </c>
      <c r="BA63" s="1376">
        <f t="shared" si="88"/>
        <v>384.76799999999992</v>
      </c>
      <c r="BB63" s="1377"/>
      <c r="BC63" s="1848"/>
      <c r="BD63" s="1820"/>
      <c r="BE63" s="1823"/>
      <c r="BF63" s="1826"/>
      <c r="BG63" s="1829"/>
    </row>
    <row r="64" spans="1:59" s="1378" customFormat="1" ht="38.25">
      <c r="A64" s="1347" t="str">
        <f>L$58</f>
        <v>AlterG, Inc.</v>
      </c>
      <c r="B64" s="1348" t="str">
        <f>N$58</f>
        <v>ABD</v>
      </c>
      <c r="C64" s="1348">
        <f>Z$58</f>
        <v>57</v>
      </c>
      <c r="D64" s="1349">
        <v>43101</v>
      </c>
      <c r="E64" s="1349"/>
      <c r="F64" s="1347" t="s">
        <v>113</v>
      </c>
      <c r="G64" s="1347" t="s">
        <v>85</v>
      </c>
      <c r="H64" s="1347" t="s">
        <v>85</v>
      </c>
      <c r="I64" s="1347" t="s">
        <v>113</v>
      </c>
      <c r="J64" s="1349"/>
      <c r="K64" s="1349" t="s">
        <v>254</v>
      </c>
      <c r="L64" s="1350" t="s">
        <v>4682</v>
      </c>
      <c r="M64" s="1350" t="s">
        <v>62</v>
      </c>
      <c r="N64" s="1351" t="s">
        <v>81</v>
      </c>
      <c r="O64" s="1352" t="s">
        <v>4688</v>
      </c>
      <c r="P64" s="1388"/>
      <c r="Q64" s="1354"/>
      <c r="R64" s="1354"/>
      <c r="S64" s="1354"/>
      <c r="T64" s="1354"/>
      <c r="U64" s="1354"/>
      <c r="V64" s="1354"/>
      <c r="W64" s="1354"/>
      <c r="X64" s="1353">
        <v>43101</v>
      </c>
      <c r="Y64" s="1353">
        <v>43466</v>
      </c>
      <c r="Z64" s="1355"/>
      <c r="AA64" s="1355" t="s">
        <v>4685</v>
      </c>
      <c r="AB64" s="1356"/>
      <c r="AC64" s="1356"/>
      <c r="AD64" s="1356"/>
      <c r="AE64" s="1356"/>
      <c r="AF64" s="1357"/>
      <c r="AG64" s="1358">
        <f t="shared" si="2"/>
        <v>565.67750000000001</v>
      </c>
      <c r="AH64" s="1358">
        <v>6788.13</v>
      </c>
      <c r="AI64" s="1359">
        <v>0.15</v>
      </c>
      <c r="AJ64" s="1360">
        <f t="shared" si="89"/>
        <v>84.851624999999999</v>
      </c>
      <c r="AK64" s="1361">
        <f t="shared" si="90"/>
        <v>1018.2194999999999</v>
      </c>
      <c r="AL64" s="1384">
        <v>0</v>
      </c>
      <c r="AM64" s="1363">
        <f t="shared" si="78"/>
        <v>0</v>
      </c>
      <c r="AN64" s="1364">
        <v>0.1</v>
      </c>
      <c r="AO64" s="1365">
        <f t="shared" si="79"/>
        <v>678.8130000000001</v>
      </c>
      <c r="AP64" s="1366">
        <v>0</v>
      </c>
      <c r="AQ64" s="1367">
        <f t="shared" si="80"/>
        <v>0</v>
      </c>
      <c r="AR64" s="1368">
        <v>0</v>
      </c>
      <c r="AS64" s="1369">
        <f t="shared" si="81"/>
        <v>0</v>
      </c>
      <c r="AT64" s="1370">
        <v>0</v>
      </c>
      <c r="AU64" s="1371">
        <f t="shared" si="82"/>
        <v>0</v>
      </c>
      <c r="AV64" s="1359">
        <f t="shared" si="91"/>
        <v>4.9999999999999989E-2</v>
      </c>
      <c r="AW64" s="1372">
        <f t="shared" si="84"/>
        <v>339.40649999999994</v>
      </c>
      <c r="AX64" s="1373">
        <f t="shared" si="85"/>
        <v>4.9999999999999989E-2</v>
      </c>
      <c r="AY64" s="1374">
        <f t="shared" si="86"/>
        <v>339.40649999999994</v>
      </c>
      <c r="AZ64" s="1375">
        <f t="shared" si="87"/>
        <v>4.9999999999999989E-2</v>
      </c>
      <c r="BA64" s="1376">
        <f t="shared" si="88"/>
        <v>339.40649999999994</v>
      </c>
      <c r="BB64" s="1377"/>
      <c r="BC64" s="1848"/>
      <c r="BD64" s="1820"/>
      <c r="BE64" s="1823"/>
      <c r="BF64" s="1826"/>
      <c r="BG64" s="1829"/>
    </row>
    <row r="65" spans="1:59" s="1378" customFormat="1" ht="38.25">
      <c r="A65" s="1347" t="str">
        <f>L$58</f>
        <v>AlterG, Inc.</v>
      </c>
      <c r="B65" s="1348" t="str">
        <f>N$58</f>
        <v>ABD</v>
      </c>
      <c r="C65" s="1348">
        <f>Z$58</f>
        <v>57</v>
      </c>
      <c r="D65" s="1349">
        <v>43101</v>
      </c>
      <c r="E65" s="1349"/>
      <c r="F65" s="1347" t="s">
        <v>113</v>
      </c>
      <c r="G65" s="1347" t="s">
        <v>85</v>
      </c>
      <c r="H65" s="1347" t="s">
        <v>85</v>
      </c>
      <c r="I65" s="1347" t="s">
        <v>113</v>
      </c>
      <c r="J65" s="1349"/>
      <c r="K65" s="1349"/>
      <c r="L65" s="1350" t="s">
        <v>4682</v>
      </c>
      <c r="M65" s="1350" t="s">
        <v>4741</v>
      </c>
      <c r="N65" s="1351" t="s">
        <v>4742</v>
      </c>
      <c r="O65" s="1352" t="s">
        <v>4770</v>
      </c>
      <c r="P65" s="1388"/>
      <c r="Q65" s="1354"/>
      <c r="R65" s="1354"/>
      <c r="S65" s="1354"/>
      <c r="T65" s="1354"/>
      <c r="U65" s="1354"/>
      <c r="V65" s="1354"/>
      <c r="W65" s="1354"/>
      <c r="X65" s="1353">
        <v>43101</v>
      </c>
      <c r="Y65" s="1353">
        <v>43466</v>
      </c>
      <c r="Z65" s="1355"/>
      <c r="AA65" s="1355" t="s">
        <v>4679</v>
      </c>
      <c r="AB65" s="1356"/>
      <c r="AC65" s="1356"/>
      <c r="AD65" s="1356"/>
      <c r="AE65" s="1356"/>
      <c r="AF65" s="1357"/>
      <c r="AG65" s="1358">
        <f t="shared" si="2"/>
        <v>3.3000000000000003</v>
      </c>
      <c r="AH65" s="1358">
        <v>39.6</v>
      </c>
      <c r="AI65" s="1359">
        <v>0.1</v>
      </c>
      <c r="AJ65" s="1360">
        <f t="shared" si="89"/>
        <v>0.33000000000000007</v>
      </c>
      <c r="AK65" s="1361">
        <f t="shared" si="90"/>
        <v>3.9600000000000004</v>
      </c>
      <c r="AL65" s="1384">
        <v>0</v>
      </c>
      <c r="AM65" s="1363">
        <f t="shared" si="78"/>
        <v>0</v>
      </c>
      <c r="AN65" s="1364">
        <v>0.08</v>
      </c>
      <c r="AO65" s="1365">
        <f t="shared" si="79"/>
        <v>3.1680000000000001</v>
      </c>
      <c r="AP65" s="1366">
        <v>0</v>
      </c>
      <c r="AQ65" s="1367">
        <f t="shared" si="80"/>
        <v>0</v>
      </c>
      <c r="AR65" s="1368">
        <v>0</v>
      </c>
      <c r="AS65" s="1369">
        <f t="shared" si="81"/>
        <v>0</v>
      </c>
      <c r="AT65" s="1370">
        <v>0</v>
      </c>
      <c r="AU65" s="1371">
        <f t="shared" si="82"/>
        <v>0</v>
      </c>
      <c r="AV65" s="1359">
        <f t="shared" si="91"/>
        <v>2.0000000000000004E-2</v>
      </c>
      <c r="AW65" s="1372">
        <f t="shared" si="84"/>
        <v>0.79200000000000015</v>
      </c>
      <c r="AX65" s="1373">
        <f t="shared" si="85"/>
        <v>2.0000000000000004E-2</v>
      </c>
      <c r="AY65" s="1374">
        <f t="shared" si="86"/>
        <v>0.79200000000000015</v>
      </c>
      <c r="AZ65" s="1375">
        <f t="shared" si="87"/>
        <v>2.0000000000000004E-2</v>
      </c>
      <c r="BA65" s="1376">
        <f t="shared" si="88"/>
        <v>0.79200000000000015</v>
      </c>
      <c r="BB65" s="1377"/>
      <c r="BC65" s="1848"/>
      <c r="BD65" s="1820"/>
      <c r="BE65" s="1823"/>
      <c r="BF65" s="1826"/>
      <c r="BG65" s="1829"/>
    </row>
    <row r="66" spans="1:59" s="1378" customFormat="1" ht="38.25">
      <c r="A66" s="1347" t="str">
        <f>L$58</f>
        <v>AlterG, Inc.</v>
      </c>
      <c r="B66" s="1348" t="str">
        <f>N$58</f>
        <v>ABD</v>
      </c>
      <c r="C66" s="1348">
        <f>Z$58</f>
        <v>57</v>
      </c>
      <c r="D66" s="1349">
        <v>43101</v>
      </c>
      <c r="E66" s="1349"/>
      <c r="F66" s="1347" t="s">
        <v>113</v>
      </c>
      <c r="G66" s="1347" t="s">
        <v>85</v>
      </c>
      <c r="H66" s="1347" t="s">
        <v>85</v>
      </c>
      <c r="I66" s="1347" t="s">
        <v>113</v>
      </c>
      <c r="J66" s="1349"/>
      <c r="K66" s="1349" t="s">
        <v>254</v>
      </c>
      <c r="L66" s="1350" t="s">
        <v>4682</v>
      </c>
      <c r="M66" s="1350" t="s">
        <v>67</v>
      </c>
      <c r="N66" s="1351" t="s">
        <v>82</v>
      </c>
      <c r="O66" s="1352" t="s">
        <v>4689</v>
      </c>
      <c r="P66" s="1388"/>
      <c r="Q66" s="1354"/>
      <c r="R66" s="1354"/>
      <c r="S66" s="1354"/>
      <c r="T66" s="1354"/>
      <c r="U66" s="1354"/>
      <c r="V66" s="1354"/>
      <c r="W66" s="1354"/>
      <c r="X66" s="1353">
        <v>43101</v>
      </c>
      <c r="Y66" s="1353">
        <v>43466</v>
      </c>
      <c r="Z66" s="1355"/>
      <c r="AA66" s="1355" t="s">
        <v>4685</v>
      </c>
      <c r="AB66" s="1356"/>
      <c r="AC66" s="1356"/>
      <c r="AD66" s="1356"/>
      <c r="AE66" s="1356"/>
      <c r="AF66" s="1357"/>
      <c r="AG66" s="1358">
        <f t="shared" si="2"/>
        <v>1076.1383333333333</v>
      </c>
      <c r="AH66" s="1358">
        <v>12913.66</v>
      </c>
      <c r="AI66" s="1359">
        <v>0.15</v>
      </c>
      <c r="AJ66" s="1360">
        <f t="shared" si="89"/>
        <v>161.42075</v>
      </c>
      <c r="AK66" s="1361">
        <f t="shared" si="90"/>
        <v>1937.049</v>
      </c>
      <c r="AL66" s="1384">
        <v>0</v>
      </c>
      <c r="AM66" s="1363">
        <f t="shared" si="78"/>
        <v>0</v>
      </c>
      <c r="AN66" s="1364">
        <v>0.1</v>
      </c>
      <c r="AO66" s="1365">
        <f t="shared" si="79"/>
        <v>1291.366</v>
      </c>
      <c r="AP66" s="1366">
        <v>0</v>
      </c>
      <c r="AQ66" s="1367">
        <f t="shared" si="80"/>
        <v>0</v>
      </c>
      <c r="AR66" s="1368">
        <v>0</v>
      </c>
      <c r="AS66" s="1369">
        <f t="shared" si="81"/>
        <v>0</v>
      </c>
      <c r="AT66" s="1370">
        <v>0</v>
      </c>
      <c r="AU66" s="1371">
        <f t="shared" si="82"/>
        <v>0</v>
      </c>
      <c r="AV66" s="1359">
        <f t="shared" si="91"/>
        <v>4.9999999999999989E-2</v>
      </c>
      <c r="AW66" s="1372">
        <f t="shared" si="84"/>
        <v>645.68299999999988</v>
      </c>
      <c r="AX66" s="1373">
        <f t="shared" si="85"/>
        <v>4.9999999999999989E-2</v>
      </c>
      <c r="AY66" s="1374">
        <f t="shared" si="86"/>
        <v>645.68299999999988</v>
      </c>
      <c r="AZ66" s="1375">
        <f t="shared" si="87"/>
        <v>4.9999999999999989E-2</v>
      </c>
      <c r="BA66" s="1376">
        <f t="shared" si="88"/>
        <v>645.68299999999988</v>
      </c>
      <c r="BB66" s="1377"/>
      <c r="BC66" s="1848"/>
      <c r="BD66" s="1820"/>
      <c r="BE66" s="1823"/>
      <c r="BF66" s="1826"/>
      <c r="BG66" s="1829"/>
    </row>
    <row r="67" spans="1:59" s="1378" customFormat="1" ht="27.75" customHeight="1">
      <c r="A67" s="1347" t="str">
        <f t="shared" si="74"/>
        <v>AlterG, Inc.</v>
      </c>
      <c r="B67" s="1348" t="str">
        <f t="shared" si="75"/>
        <v>ABD</v>
      </c>
      <c r="C67" s="1348">
        <f t="shared" si="76"/>
        <v>57</v>
      </c>
      <c r="D67" s="1349">
        <v>43101</v>
      </c>
      <c r="E67" s="1349"/>
      <c r="F67" s="1347" t="s">
        <v>72</v>
      </c>
      <c r="G67" s="1347" t="s">
        <v>85</v>
      </c>
      <c r="H67" s="1347" t="s">
        <v>72</v>
      </c>
      <c r="I67" s="1347" t="s">
        <v>72</v>
      </c>
      <c r="J67" s="1349" t="s">
        <v>4670</v>
      </c>
      <c r="K67" s="1349" t="s">
        <v>254</v>
      </c>
      <c r="L67" s="1350" t="s">
        <v>4696</v>
      </c>
      <c r="M67" s="1350" t="s">
        <v>4697</v>
      </c>
      <c r="N67" s="1389" t="s">
        <v>4698</v>
      </c>
      <c r="O67" s="1352" t="s">
        <v>4699</v>
      </c>
      <c r="P67" s="1352"/>
      <c r="Q67" s="1354"/>
      <c r="R67" s="1354"/>
      <c r="S67" s="1354"/>
      <c r="T67" s="1354"/>
      <c r="U67" s="1354"/>
      <c r="V67" s="1354"/>
      <c r="W67" s="1354"/>
      <c r="X67" s="1353">
        <v>43101</v>
      </c>
      <c r="Y67" s="1353">
        <v>43466</v>
      </c>
      <c r="Z67" s="1355"/>
      <c r="AA67" s="1355" t="s">
        <v>4674</v>
      </c>
      <c r="AB67" s="1356"/>
      <c r="AC67" s="1356"/>
      <c r="AD67" s="1356"/>
      <c r="AE67" s="1356"/>
      <c r="AF67" s="1357" t="str">
        <f t="shared" si="3"/>
        <v/>
      </c>
      <c r="AG67" s="1380"/>
      <c r="AH67" s="1380"/>
      <c r="AI67" s="1381">
        <v>0</v>
      </c>
      <c r="AJ67" s="1382">
        <f t="shared" si="89"/>
        <v>0</v>
      </c>
      <c r="AK67" s="1383">
        <f t="shared" si="90"/>
        <v>0</v>
      </c>
      <c r="AL67" s="1384">
        <v>0</v>
      </c>
      <c r="AM67" s="1363">
        <f t="shared" si="78"/>
        <v>0</v>
      </c>
      <c r="AN67" s="1364">
        <v>0</v>
      </c>
      <c r="AO67" s="1365">
        <f t="shared" si="79"/>
        <v>0</v>
      </c>
      <c r="AP67" s="1366">
        <v>0</v>
      </c>
      <c r="AQ67" s="1367">
        <f t="shared" si="80"/>
        <v>0</v>
      </c>
      <c r="AR67" s="1368">
        <v>0</v>
      </c>
      <c r="AS67" s="1369">
        <f t="shared" si="81"/>
        <v>0</v>
      </c>
      <c r="AT67" s="1370">
        <v>0</v>
      </c>
      <c r="AU67" s="1371">
        <f t="shared" si="82"/>
        <v>0</v>
      </c>
      <c r="AV67" s="1359">
        <f t="shared" si="91"/>
        <v>0</v>
      </c>
      <c r="AW67" s="1372">
        <f t="shared" si="84"/>
        <v>0</v>
      </c>
      <c r="AX67" s="1373">
        <f t="shared" si="85"/>
        <v>0</v>
      </c>
      <c r="AY67" s="1374">
        <f t="shared" si="86"/>
        <v>0</v>
      </c>
      <c r="AZ67" s="1375">
        <f t="shared" si="87"/>
        <v>0</v>
      </c>
      <c r="BA67" s="1376">
        <f t="shared" si="88"/>
        <v>0</v>
      </c>
      <c r="BB67" s="1377"/>
      <c r="BC67" s="1848"/>
      <c r="BD67" s="1820"/>
      <c r="BE67" s="1823"/>
      <c r="BF67" s="1826"/>
      <c r="BG67" s="1829"/>
    </row>
    <row r="68" spans="1:59" s="1378" customFormat="1" ht="38.25">
      <c r="A68" s="1347" t="str">
        <f t="shared" si="74"/>
        <v>AlterG, Inc.</v>
      </c>
      <c r="B68" s="1348" t="str">
        <f t="shared" si="75"/>
        <v>ABD</v>
      </c>
      <c r="C68" s="1348">
        <f t="shared" si="76"/>
        <v>57</v>
      </c>
      <c r="D68" s="1349">
        <v>43101</v>
      </c>
      <c r="E68" s="1349"/>
      <c r="F68" s="1347" t="s">
        <v>72</v>
      </c>
      <c r="G68" s="1347" t="s">
        <v>113</v>
      </c>
      <c r="H68" s="1347" t="s">
        <v>72</v>
      </c>
      <c r="I68" s="1347" t="s">
        <v>72</v>
      </c>
      <c r="J68" s="1349" t="s">
        <v>4670</v>
      </c>
      <c r="K68" s="1349" t="s">
        <v>254</v>
      </c>
      <c r="L68" s="1397" t="s">
        <v>106</v>
      </c>
      <c r="M68" s="1397" t="s">
        <v>253</v>
      </c>
      <c r="N68" s="1412" t="s">
        <v>4771</v>
      </c>
      <c r="O68" s="1399" t="s">
        <v>4772</v>
      </c>
      <c r="P68" s="1399"/>
      <c r="Q68" s="1400"/>
      <c r="R68" s="1400"/>
      <c r="S68" s="1400"/>
      <c r="T68" s="1400"/>
      <c r="U68" s="1400"/>
      <c r="V68" s="1400"/>
      <c r="W68" s="1400"/>
      <c r="X68" s="1400">
        <v>43101</v>
      </c>
      <c r="Y68" s="1400">
        <v>43466</v>
      </c>
      <c r="Z68" s="1401"/>
      <c r="AA68" s="1401" t="s">
        <v>4674</v>
      </c>
      <c r="AB68" s="1369"/>
      <c r="AC68" s="1369"/>
      <c r="AD68" s="1369"/>
      <c r="AE68" s="1369"/>
      <c r="AF68" s="1403" t="str">
        <f t="shared" si="3"/>
        <v/>
      </c>
      <c r="AG68" s="1404"/>
      <c r="AH68" s="1404"/>
      <c r="AI68" s="1405">
        <v>0</v>
      </c>
      <c r="AJ68" s="1406">
        <v>0</v>
      </c>
      <c r="AK68" s="1406">
        <v>0</v>
      </c>
      <c r="AL68" s="1384">
        <v>0</v>
      </c>
      <c r="AM68" s="1363">
        <f t="shared" si="78"/>
        <v>0</v>
      </c>
      <c r="AN68" s="1364">
        <v>0</v>
      </c>
      <c r="AO68" s="1365">
        <f t="shared" si="79"/>
        <v>0</v>
      </c>
      <c r="AP68" s="1366">
        <v>0</v>
      </c>
      <c r="AQ68" s="1367">
        <f t="shared" si="80"/>
        <v>0</v>
      </c>
      <c r="AR68" s="1368">
        <v>0</v>
      </c>
      <c r="AS68" s="1369">
        <f t="shared" si="81"/>
        <v>0</v>
      </c>
      <c r="AT68" s="1370">
        <v>0</v>
      </c>
      <c r="AU68" s="1371">
        <f t="shared" si="82"/>
        <v>0</v>
      </c>
      <c r="AV68" s="1359">
        <f t="shared" si="91"/>
        <v>0</v>
      </c>
      <c r="AW68" s="1372">
        <f t="shared" si="84"/>
        <v>0</v>
      </c>
      <c r="AX68" s="1373">
        <f t="shared" si="85"/>
        <v>0</v>
      </c>
      <c r="AY68" s="1374">
        <f t="shared" si="86"/>
        <v>0</v>
      </c>
      <c r="AZ68" s="1375">
        <f t="shared" si="87"/>
        <v>0</v>
      </c>
      <c r="BA68" s="1376">
        <f t="shared" si="88"/>
        <v>0</v>
      </c>
      <c r="BB68" s="1377"/>
      <c r="BC68" s="1848"/>
      <c r="BD68" s="1820"/>
      <c r="BE68" s="1823"/>
      <c r="BF68" s="1826"/>
      <c r="BG68" s="1829"/>
    </row>
    <row r="69" spans="1:59" s="1378" customFormat="1" ht="25.5">
      <c r="A69" s="1347" t="str">
        <f t="shared" si="74"/>
        <v>AlterG, Inc.</v>
      </c>
      <c r="B69" s="1348" t="str">
        <f t="shared" si="75"/>
        <v>ABD</v>
      </c>
      <c r="C69" s="1348">
        <f t="shared" si="76"/>
        <v>57</v>
      </c>
      <c r="D69" s="1349">
        <v>43101</v>
      </c>
      <c r="E69" s="1349"/>
      <c r="F69" s="1347" t="s">
        <v>72</v>
      </c>
      <c r="G69" s="1347" t="s">
        <v>113</v>
      </c>
      <c r="H69" s="1347" t="s">
        <v>72</v>
      </c>
      <c r="I69" s="1347" t="s">
        <v>72</v>
      </c>
      <c r="J69" s="1349" t="s">
        <v>4670</v>
      </c>
      <c r="K69" s="1349" t="s">
        <v>254</v>
      </c>
      <c r="L69" s="1397" t="s">
        <v>1329</v>
      </c>
      <c r="M69" s="1397" t="s">
        <v>4705</v>
      </c>
      <c r="N69" s="1412" t="s">
        <v>4773</v>
      </c>
      <c r="O69" s="1399" t="s">
        <v>4774</v>
      </c>
      <c r="P69" s="1399"/>
      <c r="Q69" s="1400"/>
      <c r="R69" s="1400"/>
      <c r="S69" s="1400"/>
      <c r="T69" s="1400"/>
      <c r="U69" s="1400"/>
      <c r="V69" s="1400"/>
      <c r="W69" s="1400"/>
      <c r="X69" s="1400">
        <v>43101</v>
      </c>
      <c r="Y69" s="1400">
        <v>43466</v>
      </c>
      <c r="Z69" s="1401"/>
      <c r="AA69" s="1401" t="s">
        <v>4674</v>
      </c>
      <c r="AB69" s="1369"/>
      <c r="AC69" s="1369"/>
      <c r="AD69" s="1369"/>
      <c r="AE69" s="1369"/>
      <c r="AF69" s="1403" t="str">
        <f t="shared" si="3"/>
        <v/>
      </c>
      <c r="AG69" s="1404"/>
      <c r="AH69" s="1404"/>
      <c r="AI69" s="1405">
        <v>0</v>
      </c>
      <c r="AJ69" s="1411">
        <f>$AI69*$AG69</f>
        <v>0</v>
      </c>
      <c r="AK69" s="1406">
        <f t="shared" ref="AK69:AK70" si="92">AI69*$AH69</f>
        <v>0</v>
      </c>
      <c r="AL69" s="1384">
        <v>0</v>
      </c>
      <c r="AM69" s="1363">
        <f t="shared" si="78"/>
        <v>0</v>
      </c>
      <c r="AN69" s="1364">
        <v>0</v>
      </c>
      <c r="AO69" s="1365">
        <f t="shared" si="79"/>
        <v>0</v>
      </c>
      <c r="AP69" s="1366">
        <v>0</v>
      </c>
      <c r="AQ69" s="1367">
        <f t="shared" si="80"/>
        <v>0</v>
      </c>
      <c r="AR69" s="1368">
        <v>0</v>
      </c>
      <c r="AS69" s="1369">
        <f t="shared" si="81"/>
        <v>0</v>
      </c>
      <c r="AT69" s="1370">
        <v>0</v>
      </c>
      <c r="AU69" s="1371">
        <f t="shared" si="82"/>
        <v>0</v>
      </c>
      <c r="AV69" s="1359">
        <f t="shared" si="91"/>
        <v>0</v>
      </c>
      <c r="AW69" s="1372">
        <f t="shared" si="84"/>
        <v>0</v>
      </c>
      <c r="AX69" s="1373">
        <f t="shared" si="85"/>
        <v>0</v>
      </c>
      <c r="AY69" s="1374">
        <f t="shared" si="86"/>
        <v>0</v>
      </c>
      <c r="AZ69" s="1375">
        <f t="shared" si="87"/>
        <v>0</v>
      </c>
      <c r="BA69" s="1376">
        <f t="shared" si="88"/>
        <v>0</v>
      </c>
      <c r="BB69" s="1391"/>
      <c r="BC69" s="1848"/>
      <c r="BD69" s="1820"/>
      <c r="BE69" s="1823"/>
      <c r="BF69" s="1826"/>
      <c r="BG69" s="1829"/>
    </row>
    <row r="70" spans="1:59" s="1378" customFormat="1" ht="25.5">
      <c r="A70" s="1347" t="str">
        <f t="shared" si="74"/>
        <v>AlterG, Inc.</v>
      </c>
      <c r="B70" s="1348" t="str">
        <f t="shared" si="75"/>
        <v>ABD</v>
      </c>
      <c r="C70" s="1348">
        <f t="shared" si="76"/>
        <v>57</v>
      </c>
      <c r="D70" s="1349">
        <v>43101</v>
      </c>
      <c r="E70" s="1349"/>
      <c r="F70" s="1347" t="s">
        <v>72</v>
      </c>
      <c r="G70" s="1347" t="s">
        <v>85</v>
      </c>
      <c r="H70" s="1347" t="s">
        <v>72</v>
      </c>
      <c r="I70" s="1347" t="s">
        <v>72</v>
      </c>
      <c r="J70" s="1349" t="s">
        <v>4670</v>
      </c>
      <c r="K70" s="1349" t="s">
        <v>254</v>
      </c>
      <c r="L70" s="1350" t="s">
        <v>3056</v>
      </c>
      <c r="M70" s="1350" t="s">
        <v>4708</v>
      </c>
      <c r="N70" s="1390" t="s">
        <v>4709</v>
      </c>
      <c r="O70" s="1352" t="s">
        <v>4710</v>
      </c>
      <c r="P70" s="1352"/>
      <c r="Q70" s="1354"/>
      <c r="R70" s="1354"/>
      <c r="S70" s="1354"/>
      <c r="T70" s="1354"/>
      <c r="U70" s="1354"/>
      <c r="V70" s="1354"/>
      <c r="W70" s="1354"/>
      <c r="X70" s="1353">
        <v>43101</v>
      </c>
      <c r="Y70" s="1353">
        <v>43466</v>
      </c>
      <c r="Z70" s="1355"/>
      <c r="AA70" s="1355" t="s">
        <v>4674</v>
      </c>
      <c r="AB70" s="1356"/>
      <c r="AC70" s="1356"/>
      <c r="AD70" s="1356"/>
      <c r="AE70" s="1356"/>
      <c r="AF70" s="1357" t="str">
        <f t="shared" si="3"/>
        <v/>
      </c>
      <c r="AG70" s="1380"/>
      <c r="AH70" s="1380"/>
      <c r="AI70" s="1381">
        <v>0</v>
      </c>
      <c r="AJ70" s="1382">
        <f>$AI70*$AG70</f>
        <v>0</v>
      </c>
      <c r="AK70" s="1383">
        <f t="shared" si="92"/>
        <v>0</v>
      </c>
      <c r="AL70" s="1384">
        <v>0</v>
      </c>
      <c r="AM70" s="1363">
        <f t="shared" si="78"/>
        <v>0</v>
      </c>
      <c r="AN70" s="1364">
        <v>0</v>
      </c>
      <c r="AO70" s="1365">
        <f t="shared" si="79"/>
        <v>0</v>
      </c>
      <c r="AP70" s="1366">
        <v>0</v>
      </c>
      <c r="AQ70" s="1367">
        <f t="shared" si="80"/>
        <v>0</v>
      </c>
      <c r="AR70" s="1368">
        <v>0</v>
      </c>
      <c r="AS70" s="1369">
        <f t="shared" si="81"/>
        <v>0</v>
      </c>
      <c r="AT70" s="1370">
        <v>0</v>
      </c>
      <c r="AU70" s="1371">
        <f t="shared" si="82"/>
        <v>0</v>
      </c>
      <c r="AV70" s="1359">
        <f t="shared" si="91"/>
        <v>0</v>
      </c>
      <c r="AW70" s="1372">
        <f t="shared" si="84"/>
        <v>0</v>
      </c>
      <c r="AX70" s="1373">
        <f t="shared" si="85"/>
        <v>0</v>
      </c>
      <c r="AY70" s="1374">
        <f t="shared" si="86"/>
        <v>0</v>
      </c>
      <c r="AZ70" s="1375">
        <f t="shared" si="87"/>
        <v>0</v>
      </c>
      <c r="BA70" s="1376">
        <f t="shared" si="88"/>
        <v>0</v>
      </c>
      <c r="BB70" s="1391"/>
      <c r="BC70" s="1849"/>
      <c r="BD70" s="1821"/>
      <c r="BE70" s="1824"/>
      <c r="BF70" s="1827"/>
      <c r="BG70" s="1830"/>
    </row>
    <row r="71" spans="1:59" s="1315" customFormat="1" ht="25.5">
      <c r="A71" s="1277" t="str">
        <f t="shared" ref="A71:A76" si="93">$L$71</f>
        <v>Ambrx, Inc.</v>
      </c>
      <c r="B71" s="1277" t="s">
        <v>4661</v>
      </c>
      <c r="C71" s="1316">
        <f t="shared" ref="C71:C76" si="94">$Z$71</f>
        <v>50</v>
      </c>
      <c r="D71" s="1317">
        <v>42795</v>
      </c>
      <c r="E71" s="1317"/>
      <c r="F71" s="1277" t="s">
        <v>72</v>
      </c>
      <c r="G71" s="1277" t="s">
        <v>72</v>
      </c>
      <c r="H71" s="1277" t="s">
        <v>72</v>
      </c>
      <c r="I71" s="1277" t="s">
        <v>4711</v>
      </c>
      <c r="J71" s="1317"/>
      <c r="K71" s="1317"/>
      <c r="L71" s="1318" t="s">
        <v>83</v>
      </c>
      <c r="M71" s="1319"/>
      <c r="N71" s="1320" t="s">
        <v>4661</v>
      </c>
      <c r="O71" s="1321" t="s">
        <v>2474</v>
      </c>
      <c r="P71" s="1321"/>
      <c r="Q71" s="1322"/>
      <c r="R71" s="1322"/>
      <c r="S71" s="1322"/>
      <c r="T71" s="1322"/>
      <c r="U71" s="1322"/>
      <c r="V71" s="1322"/>
      <c r="W71" s="1322"/>
      <c r="X71" s="1317">
        <v>43101</v>
      </c>
      <c r="Y71" s="1317">
        <v>43466</v>
      </c>
      <c r="Z71" s="1316">
        <v>50</v>
      </c>
      <c r="AA71" s="1316" t="s">
        <v>4775</v>
      </c>
      <c r="AB71" s="1323">
        <f>SUM(AB72:AB77)</f>
        <v>0</v>
      </c>
      <c r="AC71" s="1323">
        <f>SUM(AC72:AC77)</f>
        <v>0</v>
      </c>
      <c r="AD71" s="1323">
        <f>SUM(AD72:AD77)</f>
        <v>0</v>
      </c>
      <c r="AE71" s="1324">
        <f t="shared" ref="AE71" si="95">AD71-AB71</f>
        <v>0</v>
      </c>
      <c r="AF71" s="1325" t="str">
        <f t="shared" si="3"/>
        <v/>
      </c>
      <c r="AG71" s="1326">
        <f t="shared" si="2"/>
        <v>66113.08</v>
      </c>
      <c r="AH71" s="1326">
        <f>SUM(AH72:AH77)</f>
        <v>793356.96</v>
      </c>
      <c r="AI71" s="1327"/>
      <c r="AJ71" s="1328">
        <f>SUM(AJ72:AJ77)</f>
        <v>5289.0464000000002</v>
      </c>
      <c r="AK71" s="1328">
        <f>SUM(AK72:AK77)</f>
        <v>63468.556799999998</v>
      </c>
      <c r="AL71" s="1329"/>
      <c r="AM71" s="1330">
        <f>SUM(AM72:AM77)</f>
        <v>3966.7847999999999</v>
      </c>
      <c r="AN71" s="1331"/>
      <c r="AO71" s="1332">
        <f>SUM(AO72:AO77)</f>
        <v>0</v>
      </c>
      <c r="AP71" s="1333"/>
      <c r="AQ71" s="1334">
        <f>SUM(AQ72:AQ77)</f>
        <v>0</v>
      </c>
      <c r="AR71" s="1335"/>
      <c r="AS71" s="1336">
        <f>SUM(AS72:AS77)</f>
        <v>31734.278399999999</v>
      </c>
      <c r="AT71" s="1337"/>
      <c r="AU71" s="1338">
        <f>SUM(AU72:AU77)</f>
        <v>19833.923999999999</v>
      </c>
      <c r="AV71" s="1339"/>
      <c r="AW71" s="1340">
        <f>SUM(AW72:AW77)</f>
        <v>7933.5695999999953</v>
      </c>
      <c r="AX71" s="1306"/>
      <c r="AY71" s="1307">
        <f>SUM(AW71+AS71+AU71)</f>
        <v>59501.771999999997</v>
      </c>
      <c r="AZ71" s="1341"/>
      <c r="BA71" s="1309">
        <f>SUM(AY71+AQ71)</f>
        <v>59501.771999999997</v>
      </c>
      <c r="BB71" s="1342">
        <f>(AW71+AU71)/(AK71-AM71)</f>
        <v>0.46666666666666662</v>
      </c>
      <c r="BC71" s="1343"/>
      <c r="BD71" s="1343"/>
      <c r="BE71" s="1344"/>
      <c r="BF71" s="1345" t="s">
        <v>4776</v>
      </c>
      <c r="BG71" s="1346"/>
    </row>
    <row r="72" spans="1:59" s="1378" customFormat="1" ht="38.25" customHeight="1">
      <c r="A72" s="1347" t="str">
        <f t="shared" si="93"/>
        <v>Ambrx, Inc.</v>
      </c>
      <c r="B72" s="1348" t="str">
        <f t="shared" ref="B72:B77" si="96">N$800</f>
        <v>HUB SD</v>
      </c>
      <c r="C72" s="1348">
        <f t="shared" si="94"/>
        <v>50</v>
      </c>
      <c r="D72" s="1349">
        <v>42795</v>
      </c>
      <c r="E72" s="1349"/>
      <c r="F72" s="1347" t="s">
        <v>85</v>
      </c>
      <c r="G72" s="1347" t="s">
        <v>85</v>
      </c>
      <c r="H72" s="1347" t="s">
        <v>85</v>
      </c>
      <c r="I72" s="1347" t="s">
        <v>113</v>
      </c>
      <c r="J72" s="1349"/>
      <c r="K72" s="1349" t="s">
        <v>254</v>
      </c>
      <c r="L72" s="1350" t="s">
        <v>2661</v>
      </c>
      <c r="M72" s="1350" t="s">
        <v>3647</v>
      </c>
      <c r="N72" s="1351" t="s">
        <v>4777</v>
      </c>
      <c r="O72" s="1352" t="s">
        <v>4778</v>
      </c>
      <c r="P72" s="1352" t="s">
        <v>4779</v>
      </c>
      <c r="Q72" s="1353" t="s">
        <v>317</v>
      </c>
      <c r="R72" s="1353" t="s">
        <v>3648</v>
      </c>
      <c r="S72" s="1353" t="s">
        <v>307</v>
      </c>
      <c r="T72" s="1353" t="s">
        <v>113</v>
      </c>
      <c r="U72" s="1354"/>
      <c r="V72" s="1354"/>
      <c r="W72" s="1354"/>
      <c r="X72" s="1353">
        <v>43101</v>
      </c>
      <c r="Y72" s="1353">
        <v>43466</v>
      </c>
      <c r="Z72" s="1355"/>
      <c r="AA72" s="1355" t="s">
        <v>4667</v>
      </c>
      <c r="AB72" s="1356"/>
      <c r="AC72" s="1356"/>
      <c r="AD72" s="1356"/>
      <c r="AE72" s="1356"/>
      <c r="AF72" s="1357"/>
      <c r="AG72" s="1358">
        <f t="shared" si="2"/>
        <v>66113.08</v>
      </c>
      <c r="AH72" s="1358">
        <f>488320.2+305036.76</f>
        <v>793356.96</v>
      </c>
      <c r="AI72" s="1359">
        <v>0.08</v>
      </c>
      <c r="AJ72" s="1360">
        <f t="shared" ref="AJ72:AJ77" si="97">$AI72*$AG72</f>
        <v>5289.0464000000002</v>
      </c>
      <c r="AK72" s="1361">
        <f>AI72*$AH72</f>
        <v>63468.556799999998</v>
      </c>
      <c r="AL72" s="1362">
        <v>5.0000000000000001E-3</v>
      </c>
      <c r="AM72" s="1363">
        <f>AL72*$AH72</f>
        <v>3966.7847999999999</v>
      </c>
      <c r="AN72" s="1364">
        <v>0</v>
      </c>
      <c r="AO72" s="1365">
        <f>AN72*$AH72</f>
        <v>0</v>
      </c>
      <c r="AP72" s="1366">
        <v>0</v>
      </c>
      <c r="AQ72" s="1367">
        <f>AP72*$AH72</f>
        <v>0</v>
      </c>
      <c r="AR72" s="1368">
        <v>0.04</v>
      </c>
      <c r="AS72" s="1369">
        <f>AR72*$AH72</f>
        <v>31734.278399999999</v>
      </c>
      <c r="AT72" s="1370">
        <v>2.5000000000000001E-2</v>
      </c>
      <c r="AU72" s="1371">
        <f>AT72*$AH72</f>
        <v>19833.923999999999</v>
      </c>
      <c r="AV72" s="1359">
        <f>AZ72-AR72-AT72-AP72</f>
        <v>9.999999999999995E-3</v>
      </c>
      <c r="AW72" s="1372">
        <f>AV72*$AH72</f>
        <v>7933.5695999999953</v>
      </c>
      <c r="AX72" s="1373">
        <f>$AZ72-$AP72</f>
        <v>7.4999999999999997E-2</v>
      </c>
      <c r="AY72" s="1374">
        <f>AX72*$AH72</f>
        <v>59501.771999999997</v>
      </c>
      <c r="AZ72" s="1375">
        <f>$AI72-$AL72-$AN72</f>
        <v>7.4999999999999997E-2</v>
      </c>
      <c r="BA72" s="1376">
        <f>AZ72*$AH72</f>
        <v>59501.771999999997</v>
      </c>
      <c r="BB72" s="1377"/>
      <c r="BC72" s="1819" t="s">
        <v>84</v>
      </c>
      <c r="BD72" s="1819" t="s">
        <v>233</v>
      </c>
      <c r="BE72" s="1822" t="s">
        <v>233</v>
      </c>
      <c r="BF72" s="1825" t="s">
        <v>4780</v>
      </c>
      <c r="BG72" s="1828">
        <v>571147346</v>
      </c>
    </row>
    <row r="73" spans="1:59" s="1378" customFormat="1" ht="27.75" customHeight="1">
      <c r="A73" s="1347" t="str">
        <f t="shared" si="93"/>
        <v>Ambrx, Inc.</v>
      </c>
      <c r="B73" s="1348" t="str">
        <f t="shared" si="96"/>
        <v>HUB SD</v>
      </c>
      <c r="C73" s="1348">
        <f t="shared" si="94"/>
        <v>50</v>
      </c>
      <c r="D73" s="1349">
        <v>42795</v>
      </c>
      <c r="E73" s="1349"/>
      <c r="F73" s="1347" t="s">
        <v>72</v>
      </c>
      <c r="G73" s="1347" t="s">
        <v>85</v>
      </c>
      <c r="H73" s="1347" t="s">
        <v>72</v>
      </c>
      <c r="I73" s="1347" t="s">
        <v>72</v>
      </c>
      <c r="J73" s="1349" t="s">
        <v>4670</v>
      </c>
      <c r="K73" s="1349" t="s">
        <v>254</v>
      </c>
      <c r="L73" s="1350" t="s">
        <v>4696</v>
      </c>
      <c r="M73" s="1350" t="s">
        <v>4697</v>
      </c>
      <c r="N73" s="1389" t="s">
        <v>4698</v>
      </c>
      <c r="O73" s="1352" t="s">
        <v>4699</v>
      </c>
      <c r="P73" s="1352"/>
      <c r="Q73" s="1354"/>
      <c r="R73" s="1354"/>
      <c r="S73" s="1354"/>
      <c r="T73" s="1354"/>
      <c r="U73" s="1354"/>
      <c r="V73" s="1354"/>
      <c r="W73" s="1354"/>
      <c r="X73" s="1353">
        <v>43101</v>
      </c>
      <c r="Y73" s="1353">
        <v>43466</v>
      </c>
      <c r="Z73" s="1355"/>
      <c r="AA73" s="1355" t="s">
        <v>4674</v>
      </c>
      <c r="AB73" s="1356"/>
      <c r="AC73" s="1356"/>
      <c r="AD73" s="1356"/>
      <c r="AE73" s="1356"/>
      <c r="AF73" s="1357" t="str">
        <f t="shared" si="3"/>
        <v/>
      </c>
      <c r="AG73" s="1380"/>
      <c r="AH73" s="1380"/>
      <c r="AI73" s="1381">
        <v>0</v>
      </c>
      <c r="AJ73" s="1382">
        <f t="shared" si="97"/>
        <v>0</v>
      </c>
      <c r="AK73" s="1383">
        <f t="shared" ref="AK73" si="98">AI73*$AH73</f>
        <v>0</v>
      </c>
      <c r="AL73" s="1384">
        <v>0</v>
      </c>
      <c r="AM73" s="1363">
        <f t="shared" ref="AM73" si="99">AL73*$AH73</f>
        <v>0</v>
      </c>
      <c r="AN73" s="1364">
        <v>0</v>
      </c>
      <c r="AO73" s="1365">
        <f t="shared" ref="AO73" si="100">AN73*$AH73</f>
        <v>0</v>
      </c>
      <c r="AP73" s="1366">
        <v>0</v>
      </c>
      <c r="AQ73" s="1367">
        <f t="shared" ref="AQ73" si="101">AP73*$AH73</f>
        <v>0</v>
      </c>
      <c r="AR73" s="1368">
        <v>0</v>
      </c>
      <c r="AS73" s="1369">
        <f t="shared" ref="AS73" si="102">AR73*$AH73</f>
        <v>0</v>
      </c>
      <c r="AT73" s="1370">
        <v>0</v>
      </c>
      <c r="AU73" s="1371">
        <f t="shared" ref="AU73" si="103">AT73*$AH73</f>
        <v>0</v>
      </c>
      <c r="AV73" s="1359">
        <f t="shared" ref="AV73" si="104">AZ73-AR73-AT73-AP73</f>
        <v>0</v>
      </c>
      <c r="AW73" s="1372">
        <f t="shared" ref="AW73" si="105">AV73*$AH73</f>
        <v>0</v>
      </c>
      <c r="AX73" s="1373">
        <f t="shared" ref="AX73" si="106">$AZ73-$AP73</f>
        <v>0</v>
      </c>
      <c r="AY73" s="1374">
        <f t="shared" ref="AY73" si="107">AX73*$AH73</f>
        <v>0</v>
      </c>
      <c r="AZ73" s="1375">
        <f t="shared" ref="AZ73" si="108">$AI73-$AL73-$AN73</f>
        <v>0</v>
      </c>
      <c r="BA73" s="1376">
        <f t="shared" ref="BA73" si="109">AZ73*$AH73</f>
        <v>0</v>
      </c>
      <c r="BB73" s="1377"/>
      <c r="BC73" s="1820"/>
      <c r="BD73" s="1820"/>
      <c r="BE73" s="1823"/>
      <c r="BF73" s="1826"/>
      <c r="BG73" s="1829"/>
    </row>
    <row r="74" spans="1:59" s="1378" customFormat="1" ht="38.25" customHeight="1">
      <c r="A74" s="1347" t="str">
        <f t="shared" si="93"/>
        <v>Ambrx, Inc.</v>
      </c>
      <c r="B74" s="1348" t="str">
        <f t="shared" si="96"/>
        <v>HUB SD</v>
      </c>
      <c r="C74" s="1348">
        <f t="shared" si="94"/>
        <v>50</v>
      </c>
      <c r="D74" s="1349">
        <v>42795</v>
      </c>
      <c r="E74" s="1349"/>
      <c r="F74" s="1347" t="s">
        <v>72</v>
      </c>
      <c r="G74" s="1347" t="s">
        <v>4700</v>
      </c>
      <c r="H74" s="1347" t="s">
        <v>72</v>
      </c>
      <c r="I74" s="1347" t="s">
        <v>72</v>
      </c>
      <c r="J74" s="1349" t="s">
        <v>4670</v>
      </c>
      <c r="K74" s="1349" t="s">
        <v>254</v>
      </c>
      <c r="L74" s="1350" t="s">
        <v>48</v>
      </c>
      <c r="M74" s="1350" t="s">
        <v>3652</v>
      </c>
      <c r="N74" s="1390" t="s">
        <v>4781</v>
      </c>
      <c r="O74" s="1352" t="s">
        <v>4702</v>
      </c>
      <c r="P74" s="1352"/>
      <c r="Q74" s="1354"/>
      <c r="R74" s="1354"/>
      <c r="S74" s="1354"/>
      <c r="T74" s="1354"/>
      <c r="U74" s="1354"/>
      <c r="V74" s="1354"/>
      <c r="W74" s="1354"/>
      <c r="X74" s="1353">
        <v>43101</v>
      </c>
      <c r="Y74" s="1353">
        <v>43466</v>
      </c>
      <c r="Z74" s="1355"/>
      <c r="AA74" s="1355" t="s">
        <v>4674</v>
      </c>
      <c r="AB74" s="1356"/>
      <c r="AC74" s="1356"/>
      <c r="AD74" s="1356"/>
      <c r="AE74" s="1356"/>
      <c r="AF74" s="1357" t="str">
        <f t="shared" si="3"/>
        <v/>
      </c>
      <c r="AG74" s="1380"/>
      <c r="AH74" s="1380"/>
      <c r="AI74" s="1381">
        <v>0</v>
      </c>
      <c r="AJ74" s="1382">
        <f t="shared" si="97"/>
        <v>0</v>
      </c>
      <c r="AK74" s="1383">
        <f>AI74*$AH74</f>
        <v>0</v>
      </c>
      <c r="AL74" s="1384">
        <v>0</v>
      </c>
      <c r="AM74" s="1363">
        <f>AL74*$AH74</f>
        <v>0</v>
      </c>
      <c r="AN74" s="1364">
        <v>0</v>
      </c>
      <c r="AO74" s="1365">
        <f>AN74*$AH74</f>
        <v>0</v>
      </c>
      <c r="AP74" s="1366">
        <v>0</v>
      </c>
      <c r="AQ74" s="1367">
        <f>AP74*$AH74</f>
        <v>0</v>
      </c>
      <c r="AR74" s="1368">
        <v>0</v>
      </c>
      <c r="AS74" s="1369">
        <f>AR74*$AH74</f>
        <v>0</v>
      </c>
      <c r="AT74" s="1370">
        <v>0</v>
      </c>
      <c r="AU74" s="1371">
        <f>AT74*$AH74</f>
        <v>0</v>
      </c>
      <c r="AV74" s="1359">
        <f>AZ74-AR74-AT74-AP74</f>
        <v>0</v>
      </c>
      <c r="AW74" s="1372">
        <f>AV74*$AH74</f>
        <v>0</v>
      </c>
      <c r="AX74" s="1373">
        <f>$AZ74-$AP74</f>
        <v>0</v>
      </c>
      <c r="AY74" s="1374">
        <f>AX74*$AH74</f>
        <v>0</v>
      </c>
      <c r="AZ74" s="1375">
        <f>$AI74-$AL74-$AN74</f>
        <v>0</v>
      </c>
      <c r="BA74" s="1376">
        <f>AZ74*$AH74</f>
        <v>0</v>
      </c>
      <c r="BB74" s="1377"/>
      <c r="BC74" s="1820"/>
      <c r="BD74" s="1820"/>
      <c r="BE74" s="1823"/>
      <c r="BF74" s="1826"/>
      <c r="BG74" s="1829"/>
    </row>
    <row r="75" spans="1:59" s="1378" customFormat="1" ht="38.25" customHeight="1">
      <c r="A75" s="1347" t="str">
        <f t="shared" si="93"/>
        <v>Ambrx, Inc.</v>
      </c>
      <c r="B75" s="1348" t="str">
        <f t="shared" si="96"/>
        <v>HUB SD</v>
      </c>
      <c r="C75" s="1348">
        <f t="shared" si="94"/>
        <v>50</v>
      </c>
      <c r="D75" s="1349">
        <v>42795</v>
      </c>
      <c r="E75" s="1349"/>
      <c r="F75" s="1347" t="s">
        <v>72</v>
      </c>
      <c r="G75" s="1347" t="s">
        <v>113</v>
      </c>
      <c r="H75" s="1347" t="s">
        <v>72</v>
      </c>
      <c r="I75" s="1347" t="s">
        <v>72</v>
      </c>
      <c r="J75" s="1349" t="s">
        <v>4670</v>
      </c>
      <c r="K75" s="1349" t="s">
        <v>254</v>
      </c>
      <c r="L75" s="1397" t="s">
        <v>48</v>
      </c>
      <c r="M75" s="1397" t="s">
        <v>253</v>
      </c>
      <c r="N75" s="1412" t="s">
        <v>4782</v>
      </c>
      <c r="O75" s="1399" t="s">
        <v>4783</v>
      </c>
      <c r="P75" s="1399"/>
      <c r="Q75" s="1400"/>
      <c r="R75" s="1400"/>
      <c r="S75" s="1400"/>
      <c r="T75" s="1400"/>
      <c r="U75" s="1400"/>
      <c r="V75" s="1400"/>
      <c r="W75" s="1400"/>
      <c r="X75" s="1400">
        <v>43101</v>
      </c>
      <c r="Y75" s="1400">
        <v>43466</v>
      </c>
      <c r="Z75" s="1401"/>
      <c r="AA75" s="1401" t="s">
        <v>4674</v>
      </c>
      <c r="AB75" s="1369"/>
      <c r="AC75" s="1369"/>
      <c r="AD75" s="1369"/>
      <c r="AE75" s="1369"/>
      <c r="AF75" s="1403" t="str">
        <f t="shared" si="3"/>
        <v/>
      </c>
      <c r="AG75" s="1404"/>
      <c r="AH75" s="1404"/>
      <c r="AI75" s="1405">
        <v>0</v>
      </c>
      <c r="AJ75" s="1411">
        <f t="shared" si="97"/>
        <v>0</v>
      </c>
      <c r="AK75" s="1406">
        <f>AI75*$AH75</f>
        <v>0</v>
      </c>
      <c r="AL75" s="1384">
        <v>0</v>
      </c>
      <c r="AM75" s="1363">
        <f>AL75*$AH75</f>
        <v>0</v>
      </c>
      <c r="AN75" s="1364">
        <v>0</v>
      </c>
      <c r="AO75" s="1365">
        <f>AN75*$AH75</f>
        <v>0</v>
      </c>
      <c r="AP75" s="1366">
        <v>0</v>
      </c>
      <c r="AQ75" s="1367">
        <f>AP75*$AH75</f>
        <v>0</v>
      </c>
      <c r="AR75" s="1368">
        <v>0</v>
      </c>
      <c r="AS75" s="1369">
        <f>AR75*$AH75</f>
        <v>0</v>
      </c>
      <c r="AT75" s="1370">
        <v>0</v>
      </c>
      <c r="AU75" s="1371">
        <f>AT75*$AH75</f>
        <v>0</v>
      </c>
      <c r="AV75" s="1359">
        <f>AZ75-AR75-AT75-AP75</f>
        <v>0</v>
      </c>
      <c r="AW75" s="1372">
        <f>AV75*$AH75</f>
        <v>0</v>
      </c>
      <c r="AX75" s="1373">
        <f>$AZ75-$AP75</f>
        <v>0</v>
      </c>
      <c r="AY75" s="1374">
        <f>AX75*$AH75</f>
        <v>0</v>
      </c>
      <c r="AZ75" s="1375">
        <f>$AI75-$AL75-$AN75</f>
        <v>0</v>
      </c>
      <c r="BA75" s="1376">
        <f>AZ75*$AH75</f>
        <v>0</v>
      </c>
      <c r="BB75" s="1377"/>
      <c r="BC75" s="1820"/>
      <c r="BD75" s="1820"/>
      <c r="BE75" s="1823"/>
      <c r="BF75" s="1826"/>
      <c r="BG75" s="1829"/>
    </row>
    <row r="76" spans="1:59" s="1378" customFormat="1" ht="38.25" customHeight="1">
      <c r="A76" s="1347" t="str">
        <f t="shared" si="93"/>
        <v>Ambrx, Inc.</v>
      </c>
      <c r="B76" s="1348" t="str">
        <f t="shared" si="96"/>
        <v>HUB SD</v>
      </c>
      <c r="C76" s="1348">
        <f t="shared" si="94"/>
        <v>50</v>
      </c>
      <c r="D76" s="1349">
        <v>42795</v>
      </c>
      <c r="E76" s="1349"/>
      <c r="F76" s="1347" t="s">
        <v>72</v>
      </c>
      <c r="G76" s="1347" t="s">
        <v>85</v>
      </c>
      <c r="H76" s="1347" t="s">
        <v>72</v>
      </c>
      <c r="I76" s="1347" t="s">
        <v>72</v>
      </c>
      <c r="J76" s="1349" t="s">
        <v>4670</v>
      </c>
      <c r="K76" s="1349" t="s">
        <v>254</v>
      </c>
      <c r="L76" s="1350" t="s">
        <v>49</v>
      </c>
      <c r="M76" s="1350" t="s">
        <v>4705</v>
      </c>
      <c r="N76" s="1390" t="s">
        <v>4784</v>
      </c>
      <c r="O76" s="1352" t="s">
        <v>4707</v>
      </c>
      <c r="P76" s="1352"/>
      <c r="Q76" s="1354"/>
      <c r="R76" s="1354"/>
      <c r="S76" s="1354"/>
      <c r="T76" s="1354"/>
      <c r="U76" s="1354"/>
      <c r="V76" s="1354"/>
      <c r="W76" s="1354"/>
      <c r="X76" s="1353">
        <v>43101</v>
      </c>
      <c r="Y76" s="1353">
        <v>43466</v>
      </c>
      <c r="Z76" s="1355"/>
      <c r="AA76" s="1355" t="s">
        <v>4674</v>
      </c>
      <c r="AB76" s="1356"/>
      <c r="AC76" s="1356"/>
      <c r="AD76" s="1356"/>
      <c r="AE76" s="1356"/>
      <c r="AF76" s="1357" t="str">
        <f t="shared" si="3"/>
        <v/>
      </c>
      <c r="AG76" s="1380"/>
      <c r="AH76" s="1380"/>
      <c r="AI76" s="1381">
        <v>0</v>
      </c>
      <c r="AJ76" s="1382">
        <f t="shared" si="97"/>
        <v>0</v>
      </c>
      <c r="AK76" s="1383">
        <f>AI76*$AH76</f>
        <v>0</v>
      </c>
      <c r="AL76" s="1384">
        <v>0</v>
      </c>
      <c r="AM76" s="1363">
        <f>AL76*$AH76</f>
        <v>0</v>
      </c>
      <c r="AN76" s="1364">
        <v>0</v>
      </c>
      <c r="AO76" s="1365">
        <f>AN76*$AH76</f>
        <v>0</v>
      </c>
      <c r="AP76" s="1366">
        <v>0</v>
      </c>
      <c r="AQ76" s="1367">
        <f>AP76*$AH76</f>
        <v>0</v>
      </c>
      <c r="AR76" s="1368">
        <v>0</v>
      </c>
      <c r="AS76" s="1369">
        <f>AR76*$AH76</f>
        <v>0</v>
      </c>
      <c r="AT76" s="1370">
        <v>0</v>
      </c>
      <c r="AU76" s="1371">
        <f>AT76*$AH76</f>
        <v>0</v>
      </c>
      <c r="AV76" s="1359">
        <f>AZ76-AR76-AT76-AP76</f>
        <v>0</v>
      </c>
      <c r="AW76" s="1372">
        <f>AV76*$AH76</f>
        <v>0</v>
      </c>
      <c r="AX76" s="1373">
        <f>$AZ76-$AP76</f>
        <v>0</v>
      </c>
      <c r="AY76" s="1374">
        <f>AX76*$AH76</f>
        <v>0</v>
      </c>
      <c r="AZ76" s="1375">
        <f>$AI76-$AL76-$AN76</f>
        <v>0</v>
      </c>
      <c r="BA76" s="1376">
        <f>AZ76*$AH76</f>
        <v>0</v>
      </c>
      <c r="BB76" s="1377"/>
      <c r="BC76" s="1820"/>
      <c r="BD76" s="1820"/>
      <c r="BE76" s="1823"/>
      <c r="BF76" s="1826"/>
      <c r="BG76" s="1829"/>
    </row>
    <row r="77" spans="1:59" s="1378" customFormat="1" ht="22.5" customHeight="1">
      <c r="A77" s="1347" t="str">
        <f>A76</f>
        <v>Ambrx, Inc.</v>
      </c>
      <c r="B77" s="1348" t="str">
        <f t="shared" si="96"/>
        <v>HUB SD</v>
      </c>
      <c r="C77" s="1348">
        <f>C76</f>
        <v>50</v>
      </c>
      <c r="D77" s="1349">
        <v>42795</v>
      </c>
      <c r="E77" s="1349"/>
      <c r="F77" s="1347" t="s">
        <v>72</v>
      </c>
      <c r="G77" s="1347" t="s">
        <v>85</v>
      </c>
      <c r="H77" s="1347" t="s">
        <v>72</v>
      </c>
      <c r="I77" s="1347" t="s">
        <v>72</v>
      </c>
      <c r="J77" s="1349" t="s">
        <v>4670</v>
      </c>
      <c r="K77" s="1349" t="s">
        <v>254</v>
      </c>
      <c r="L77" s="1350" t="s">
        <v>3056</v>
      </c>
      <c r="M77" s="1350" t="s">
        <v>4708</v>
      </c>
      <c r="N77" s="1390" t="s">
        <v>4709</v>
      </c>
      <c r="O77" s="1352" t="s">
        <v>4710</v>
      </c>
      <c r="P77" s="1352"/>
      <c r="Q77" s="1354"/>
      <c r="R77" s="1354"/>
      <c r="S77" s="1354"/>
      <c r="T77" s="1354"/>
      <c r="U77" s="1354"/>
      <c r="V77" s="1354"/>
      <c r="W77" s="1354"/>
      <c r="X77" s="1353">
        <v>43101</v>
      </c>
      <c r="Y77" s="1353">
        <v>43466</v>
      </c>
      <c r="Z77" s="1355"/>
      <c r="AA77" s="1355" t="s">
        <v>4674</v>
      </c>
      <c r="AB77" s="1356"/>
      <c r="AC77" s="1356"/>
      <c r="AD77" s="1356"/>
      <c r="AE77" s="1356"/>
      <c r="AF77" s="1357" t="str">
        <f t="shared" si="3"/>
        <v/>
      </c>
      <c r="AG77" s="1380"/>
      <c r="AH77" s="1380"/>
      <c r="AI77" s="1381">
        <v>0</v>
      </c>
      <c r="AJ77" s="1382">
        <f t="shared" si="97"/>
        <v>0</v>
      </c>
      <c r="AK77" s="1383">
        <f>AI77*$AH77</f>
        <v>0</v>
      </c>
      <c r="AL77" s="1384">
        <v>0</v>
      </c>
      <c r="AM77" s="1363">
        <f>AL77*$AH77</f>
        <v>0</v>
      </c>
      <c r="AN77" s="1364">
        <v>0</v>
      </c>
      <c r="AO77" s="1365">
        <f>AN77*$AH77</f>
        <v>0</v>
      </c>
      <c r="AP77" s="1366">
        <v>0</v>
      </c>
      <c r="AQ77" s="1367">
        <f>AP77*$AH77</f>
        <v>0</v>
      </c>
      <c r="AR77" s="1368">
        <v>0</v>
      </c>
      <c r="AS77" s="1369">
        <f>AR77*$AH77</f>
        <v>0</v>
      </c>
      <c r="AT77" s="1370">
        <v>0</v>
      </c>
      <c r="AU77" s="1371">
        <f>AT77*$AH77</f>
        <v>0</v>
      </c>
      <c r="AV77" s="1359">
        <f>AZ77-AR77-AT77-AP77</f>
        <v>0</v>
      </c>
      <c r="AW77" s="1372">
        <f>AV77*$AH77</f>
        <v>0</v>
      </c>
      <c r="AX77" s="1373">
        <f>$AZ77-$AP77</f>
        <v>0</v>
      </c>
      <c r="AY77" s="1374">
        <f>AX77*$AH77</f>
        <v>0</v>
      </c>
      <c r="AZ77" s="1375">
        <f>$AI77-$AL77-$AN77</f>
        <v>0</v>
      </c>
      <c r="BA77" s="1376">
        <f>AZ77*$AH77</f>
        <v>0</v>
      </c>
      <c r="BB77" s="1391"/>
      <c r="BC77" s="1821"/>
      <c r="BD77" s="1821"/>
      <c r="BE77" s="1824"/>
      <c r="BF77" s="1827"/>
      <c r="BG77" s="1830"/>
    </row>
    <row r="78" spans="1:59" s="1315" customFormat="1" ht="60.75" customHeight="1">
      <c r="A78" s="1277" t="str">
        <f>L78</f>
        <v>Applied StemCell, Inc.</v>
      </c>
      <c r="B78" s="1316" t="str">
        <f>N78</f>
        <v>ABD</v>
      </c>
      <c r="C78" s="1316">
        <f>Z78</f>
        <v>54</v>
      </c>
      <c r="D78" s="1317">
        <v>43009</v>
      </c>
      <c r="E78" s="1317"/>
      <c r="F78" s="1277" t="s">
        <v>72</v>
      </c>
      <c r="G78" s="1277" t="s">
        <v>72</v>
      </c>
      <c r="H78" s="1277" t="s">
        <v>72</v>
      </c>
      <c r="I78" s="1277" t="s">
        <v>4711</v>
      </c>
      <c r="J78" s="1317"/>
      <c r="K78" s="1317"/>
      <c r="L78" s="1318" t="s">
        <v>319</v>
      </c>
      <c r="M78" s="1319"/>
      <c r="N78" s="1417" t="s">
        <v>3654</v>
      </c>
      <c r="O78" s="1418" t="s">
        <v>2473</v>
      </c>
      <c r="P78" s="1418"/>
      <c r="Q78" s="1322"/>
      <c r="R78" s="1322"/>
      <c r="S78" s="1322"/>
      <c r="T78" s="1322"/>
      <c r="U78" s="1322"/>
      <c r="V78" s="1322"/>
      <c r="W78" s="1322"/>
      <c r="X78" s="1317">
        <v>43009</v>
      </c>
      <c r="Y78" s="1317">
        <v>43466</v>
      </c>
      <c r="Z78" s="1316">
        <v>54</v>
      </c>
      <c r="AA78" s="1316" t="s">
        <v>4785</v>
      </c>
      <c r="AB78" s="1323">
        <f>SUM(AB79:AB84)</f>
        <v>222503</v>
      </c>
      <c r="AC78" s="1323">
        <f>SUM(AC79:AC84)</f>
        <v>0</v>
      </c>
      <c r="AD78" s="1323">
        <f>SUM(AD79:AD84)</f>
        <v>114486.48</v>
      </c>
      <c r="AE78" s="1324">
        <f t="shared" si="19"/>
        <v>-108016.52</v>
      </c>
      <c r="AF78" s="1325">
        <f t="shared" si="3"/>
        <v>-0.48546096007694278</v>
      </c>
      <c r="AG78" s="1326">
        <f t="shared" si="2"/>
        <v>9540.5399999999991</v>
      </c>
      <c r="AH78" s="1326">
        <f>SUM(AH79:AH84)</f>
        <v>114486.48</v>
      </c>
      <c r="AI78" s="1327"/>
      <c r="AJ78" s="1328">
        <f>SUM(AJ79:AJ84)</f>
        <v>763.24319999999989</v>
      </c>
      <c r="AK78" s="1328">
        <f>SUM(AK79:AK84)</f>
        <v>9158.9184000000005</v>
      </c>
      <c r="AL78" s="1329"/>
      <c r="AM78" s="1330">
        <f>SUM(AM79:AM84)</f>
        <v>572.43240000000003</v>
      </c>
      <c r="AN78" s="1331"/>
      <c r="AO78" s="1332">
        <f>SUM(AO79:AO84)</f>
        <v>4579.4592000000002</v>
      </c>
      <c r="AP78" s="1333"/>
      <c r="AQ78" s="1334">
        <f>SUM(AQ79:AQ84)</f>
        <v>0</v>
      </c>
      <c r="AR78" s="1335"/>
      <c r="AS78" s="1336">
        <f>SUM(AS79:AS84)</f>
        <v>0</v>
      </c>
      <c r="AT78" s="1337"/>
      <c r="AU78" s="1338">
        <f>SUM(AU79:AU84)</f>
        <v>2862.1620000000003</v>
      </c>
      <c r="AV78" s="1339"/>
      <c r="AW78" s="1340">
        <f>SUM(AW79:AW84)</f>
        <v>1144.8647999999994</v>
      </c>
      <c r="AX78" s="1306"/>
      <c r="AY78" s="1307">
        <f>SUM(AW78+AS78+AU78)</f>
        <v>4007.0267999999996</v>
      </c>
      <c r="AZ78" s="1341"/>
      <c r="BA78" s="1309">
        <f>SUM(AY78+AQ78)</f>
        <v>4007.0267999999996</v>
      </c>
      <c r="BB78" s="1342">
        <f>(AW78+AU78)/(AK78-AM78)</f>
        <v>0.46666666666666656</v>
      </c>
      <c r="BC78" s="1343"/>
      <c r="BD78" s="1343"/>
      <c r="BE78" s="1344"/>
      <c r="BF78" s="1420" t="s">
        <v>4749</v>
      </c>
      <c r="BG78" s="1346"/>
    </row>
    <row r="79" spans="1:59" s="1378" customFormat="1" ht="52.5" customHeight="1">
      <c r="A79" s="1347" t="str">
        <f>L78</f>
        <v>Applied StemCell, Inc.</v>
      </c>
      <c r="B79" s="1348" t="str">
        <f>N78</f>
        <v>ABD</v>
      </c>
      <c r="C79" s="1348">
        <f>Z78</f>
        <v>54</v>
      </c>
      <c r="D79" s="1349">
        <v>43009</v>
      </c>
      <c r="E79" s="1349"/>
      <c r="F79" s="1347" t="s">
        <v>85</v>
      </c>
      <c r="G79" s="1347" t="s">
        <v>85</v>
      </c>
      <c r="H79" s="1347" t="s">
        <v>85</v>
      </c>
      <c r="I79" s="1347" t="s">
        <v>85</v>
      </c>
      <c r="J79" s="1349"/>
      <c r="K79" s="1349" t="s">
        <v>254</v>
      </c>
      <c r="L79" s="1350" t="s">
        <v>2661</v>
      </c>
      <c r="M79" s="1350" t="s">
        <v>3647</v>
      </c>
      <c r="N79" s="1351" t="s">
        <v>4786</v>
      </c>
      <c r="O79" s="1352" t="s">
        <v>4787</v>
      </c>
      <c r="P79" s="1352" t="s">
        <v>4788</v>
      </c>
      <c r="Q79" s="1353" t="s">
        <v>303</v>
      </c>
      <c r="R79" s="1353" t="s">
        <v>3648</v>
      </c>
      <c r="S79" s="1353" t="s">
        <v>307</v>
      </c>
      <c r="T79" s="1353" t="s">
        <v>113</v>
      </c>
      <c r="U79" s="1354"/>
      <c r="V79" s="1354"/>
      <c r="W79" s="1354"/>
      <c r="X79" s="1353">
        <v>43009</v>
      </c>
      <c r="Y79" s="1353">
        <v>43466</v>
      </c>
      <c r="Z79" s="1355"/>
      <c r="AA79" s="1355" t="s">
        <v>4667</v>
      </c>
      <c r="AB79" s="1422">
        <v>222503</v>
      </c>
      <c r="AC79" s="1356"/>
      <c r="AD79" s="1422">
        <f t="shared" ref="AD79" si="110">AH79</f>
        <v>114486.48</v>
      </c>
      <c r="AE79" s="1422">
        <f t="shared" si="19"/>
        <v>-108016.52</v>
      </c>
      <c r="AF79" s="1423">
        <f t="shared" si="3"/>
        <v>-0.48546096007694278</v>
      </c>
      <c r="AG79" s="1358">
        <f t="shared" si="2"/>
        <v>9540.5399999999991</v>
      </c>
      <c r="AH79" s="1358">
        <v>114486.48</v>
      </c>
      <c r="AI79" s="1359">
        <v>0.08</v>
      </c>
      <c r="AJ79" s="1360">
        <f>$AI79*$AG79</f>
        <v>763.24319999999989</v>
      </c>
      <c r="AK79" s="1361">
        <f t="shared" ref="AK79:AK81" si="111">AI79*$AH79</f>
        <v>9158.9184000000005</v>
      </c>
      <c r="AL79" s="1362">
        <v>5.0000000000000001E-3</v>
      </c>
      <c r="AM79" s="1363">
        <f t="shared" ref="AM79:AM84" si="112">AL79*$AH79</f>
        <v>572.43240000000003</v>
      </c>
      <c r="AN79" s="1364">
        <v>0.04</v>
      </c>
      <c r="AO79" s="1365">
        <f t="shared" ref="AO79:AO84" si="113">AN79*$AH79</f>
        <v>4579.4592000000002</v>
      </c>
      <c r="AP79" s="1366">
        <v>0</v>
      </c>
      <c r="AQ79" s="1367">
        <f t="shared" ref="AQ79:AQ84" si="114">AP79*$AH79</f>
        <v>0</v>
      </c>
      <c r="AR79" s="1368">
        <v>0</v>
      </c>
      <c r="AS79" s="1369">
        <f t="shared" ref="AS79:AS84" si="115">AR79*$AH79</f>
        <v>0</v>
      </c>
      <c r="AT79" s="1370">
        <v>2.5000000000000001E-2</v>
      </c>
      <c r="AU79" s="1371">
        <f t="shared" ref="AU79:AU84" si="116">AT79*$AH79</f>
        <v>2862.1620000000003</v>
      </c>
      <c r="AV79" s="1359">
        <f t="shared" ref="AV79:AV84" si="117">AZ79-AR79-AT79-AP79</f>
        <v>9.999999999999995E-3</v>
      </c>
      <c r="AW79" s="1372">
        <f t="shared" ref="AW79:AW84" si="118">AV79*$AH79</f>
        <v>1144.8647999999994</v>
      </c>
      <c r="AX79" s="1373">
        <f t="shared" ref="AX79:AX84" si="119">$AZ79-$AP79</f>
        <v>3.4999999999999996E-2</v>
      </c>
      <c r="AY79" s="1374">
        <f t="shared" ref="AY79:AY84" si="120">AX79*$AH79</f>
        <v>4007.0267999999996</v>
      </c>
      <c r="AZ79" s="1375">
        <f t="shared" ref="AZ79:AZ84" si="121">$AI79-$AL79-$AN79</f>
        <v>3.4999999999999996E-2</v>
      </c>
      <c r="BA79" s="1376">
        <f t="shared" ref="BA79:BA84" si="122">AZ79*$AH79</f>
        <v>4007.0267999999996</v>
      </c>
      <c r="BB79" s="1377"/>
      <c r="BC79" s="1848" t="s">
        <v>320</v>
      </c>
      <c r="BD79" s="1820" t="s">
        <v>352</v>
      </c>
      <c r="BE79" s="1822" t="s">
        <v>352</v>
      </c>
      <c r="BF79" s="1825" t="s">
        <v>4789</v>
      </c>
      <c r="BG79" s="1851" t="s">
        <v>4790</v>
      </c>
    </row>
    <row r="80" spans="1:59" s="1378" customFormat="1" ht="38.25">
      <c r="A80" s="1347" t="s">
        <v>319</v>
      </c>
      <c r="B80" s="1348" t="s">
        <v>3654</v>
      </c>
      <c r="C80" s="1348">
        <v>54</v>
      </c>
      <c r="D80" s="1349">
        <v>43009</v>
      </c>
      <c r="E80" s="1349"/>
      <c r="F80" s="1347" t="s">
        <v>72</v>
      </c>
      <c r="G80" s="1347" t="s">
        <v>85</v>
      </c>
      <c r="H80" s="1347" t="s">
        <v>72</v>
      </c>
      <c r="I80" s="1347" t="s">
        <v>72</v>
      </c>
      <c r="J80" s="1349" t="s">
        <v>4670</v>
      </c>
      <c r="K80" s="1349"/>
      <c r="L80" s="1350" t="s">
        <v>4671</v>
      </c>
      <c r="M80" s="1350" t="s">
        <v>3649</v>
      </c>
      <c r="N80" s="1379" t="s">
        <v>3649</v>
      </c>
      <c r="O80" s="1352" t="s">
        <v>4791</v>
      </c>
      <c r="P80" s="1352"/>
      <c r="Q80" s="1354"/>
      <c r="R80" s="1354"/>
      <c r="S80" s="1354"/>
      <c r="T80" s="1354"/>
      <c r="U80" s="1354"/>
      <c r="V80" s="1354"/>
      <c r="W80" s="1354"/>
      <c r="X80" s="1353">
        <v>43009</v>
      </c>
      <c r="Y80" s="1353">
        <v>43466</v>
      </c>
      <c r="Z80" s="1355"/>
      <c r="AA80" s="1355" t="s">
        <v>4674</v>
      </c>
      <c r="AB80" s="1356"/>
      <c r="AC80" s="1356"/>
      <c r="AD80" s="1356"/>
      <c r="AE80" s="1356"/>
      <c r="AF80" s="1357" t="str">
        <f t="shared" si="3"/>
        <v/>
      </c>
      <c r="AG80" s="1380"/>
      <c r="AH80" s="1380"/>
      <c r="AI80" s="1381">
        <v>0</v>
      </c>
      <c r="AJ80" s="1382">
        <f>$AI80*$AG80</f>
        <v>0</v>
      </c>
      <c r="AK80" s="1383">
        <f t="shared" si="111"/>
        <v>0</v>
      </c>
      <c r="AL80" s="1384">
        <v>0</v>
      </c>
      <c r="AM80" s="1363">
        <f t="shared" si="112"/>
        <v>0</v>
      </c>
      <c r="AN80" s="1364">
        <v>0</v>
      </c>
      <c r="AO80" s="1365">
        <f t="shared" si="113"/>
        <v>0</v>
      </c>
      <c r="AP80" s="1366">
        <v>0</v>
      </c>
      <c r="AQ80" s="1367">
        <f t="shared" si="114"/>
        <v>0</v>
      </c>
      <c r="AR80" s="1368">
        <v>0</v>
      </c>
      <c r="AS80" s="1369">
        <f t="shared" si="115"/>
        <v>0</v>
      </c>
      <c r="AT80" s="1370">
        <v>0</v>
      </c>
      <c r="AU80" s="1371">
        <f t="shared" si="116"/>
        <v>0</v>
      </c>
      <c r="AV80" s="1359">
        <f t="shared" si="117"/>
        <v>0</v>
      </c>
      <c r="AW80" s="1372">
        <f t="shared" si="118"/>
        <v>0</v>
      </c>
      <c r="AX80" s="1373">
        <f t="shared" si="119"/>
        <v>0</v>
      </c>
      <c r="AY80" s="1374">
        <f t="shared" si="120"/>
        <v>0</v>
      </c>
      <c r="AZ80" s="1375">
        <f t="shared" si="121"/>
        <v>0</v>
      </c>
      <c r="BA80" s="1376">
        <f t="shared" si="122"/>
        <v>0</v>
      </c>
      <c r="BB80" s="1377"/>
      <c r="BC80" s="1848"/>
      <c r="BD80" s="1820"/>
      <c r="BE80" s="1823"/>
      <c r="BF80" s="1826"/>
      <c r="BG80" s="1851"/>
    </row>
    <row r="81" spans="1:59" s="1378" customFormat="1" ht="27.75" customHeight="1">
      <c r="A81" s="1347" t="s">
        <v>319</v>
      </c>
      <c r="B81" s="1348" t="s">
        <v>3654</v>
      </c>
      <c r="C81" s="1348">
        <v>54</v>
      </c>
      <c r="D81" s="1349">
        <v>43009</v>
      </c>
      <c r="E81" s="1349"/>
      <c r="F81" s="1347" t="s">
        <v>72</v>
      </c>
      <c r="G81" s="1347" t="s">
        <v>85</v>
      </c>
      <c r="H81" s="1347" t="s">
        <v>72</v>
      </c>
      <c r="I81" s="1347" t="s">
        <v>72</v>
      </c>
      <c r="J81" s="1349" t="s">
        <v>4670</v>
      </c>
      <c r="K81" s="1349" t="s">
        <v>254</v>
      </c>
      <c r="L81" s="1350" t="s">
        <v>4696</v>
      </c>
      <c r="M81" s="1350" t="s">
        <v>4697</v>
      </c>
      <c r="N81" s="1389" t="s">
        <v>4698</v>
      </c>
      <c r="O81" s="1352" t="s">
        <v>4699</v>
      </c>
      <c r="P81" s="1352"/>
      <c r="Q81" s="1354"/>
      <c r="R81" s="1354"/>
      <c r="S81" s="1354"/>
      <c r="T81" s="1354"/>
      <c r="U81" s="1354"/>
      <c r="V81" s="1354"/>
      <c r="W81" s="1354"/>
      <c r="X81" s="1353">
        <v>43009</v>
      </c>
      <c r="Y81" s="1353">
        <v>43466</v>
      </c>
      <c r="Z81" s="1355"/>
      <c r="AA81" s="1355" t="s">
        <v>4674</v>
      </c>
      <c r="AB81" s="1356"/>
      <c r="AC81" s="1356"/>
      <c r="AD81" s="1356"/>
      <c r="AE81" s="1356"/>
      <c r="AF81" s="1357" t="str">
        <f t="shared" si="3"/>
        <v/>
      </c>
      <c r="AG81" s="1380"/>
      <c r="AH81" s="1380"/>
      <c r="AI81" s="1381">
        <v>0</v>
      </c>
      <c r="AJ81" s="1382">
        <f>$AI81*$AG81</f>
        <v>0</v>
      </c>
      <c r="AK81" s="1383">
        <f t="shared" si="111"/>
        <v>0</v>
      </c>
      <c r="AL81" s="1384">
        <v>0</v>
      </c>
      <c r="AM81" s="1363">
        <f t="shared" si="112"/>
        <v>0</v>
      </c>
      <c r="AN81" s="1364">
        <v>0</v>
      </c>
      <c r="AO81" s="1365">
        <f t="shared" si="113"/>
        <v>0</v>
      </c>
      <c r="AP81" s="1366">
        <v>0</v>
      </c>
      <c r="AQ81" s="1367">
        <f t="shared" si="114"/>
        <v>0</v>
      </c>
      <c r="AR81" s="1368">
        <v>0</v>
      </c>
      <c r="AS81" s="1369">
        <f t="shared" si="115"/>
        <v>0</v>
      </c>
      <c r="AT81" s="1370">
        <v>0</v>
      </c>
      <c r="AU81" s="1371">
        <f t="shared" si="116"/>
        <v>0</v>
      </c>
      <c r="AV81" s="1359">
        <f t="shared" si="117"/>
        <v>0</v>
      </c>
      <c r="AW81" s="1372">
        <f t="shared" si="118"/>
        <v>0</v>
      </c>
      <c r="AX81" s="1373">
        <f t="shared" si="119"/>
        <v>0</v>
      </c>
      <c r="AY81" s="1374">
        <f t="shared" si="120"/>
        <v>0</v>
      </c>
      <c r="AZ81" s="1375">
        <f t="shared" si="121"/>
        <v>0</v>
      </c>
      <c r="BA81" s="1376">
        <f t="shared" si="122"/>
        <v>0</v>
      </c>
      <c r="BB81" s="1377"/>
      <c r="BC81" s="1848"/>
      <c r="BD81" s="1820"/>
      <c r="BE81" s="1823"/>
      <c r="BF81" s="1826"/>
      <c r="BG81" s="1851"/>
    </row>
    <row r="82" spans="1:59" s="1378" customFormat="1" ht="29.25" customHeight="1">
      <c r="A82" s="1347" t="str">
        <f>L78</f>
        <v>Applied StemCell, Inc.</v>
      </c>
      <c r="B82" s="1348" t="str">
        <f>N78</f>
        <v>ABD</v>
      </c>
      <c r="C82" s="1348">
        <f>Z78</f>
        <v>54</v>
      </c>
      <c r="D82" s="1349">
        <v>43009</v>
      </c>
      <c r="E82" s="1349"/>
      <c r="F82" s="1347" t="s">
        <v>72</v>
      </c>
      <c r="G82" s="1347" t="s">
        <v>85</v>
      </c>
      <c r="H82" s="1347" t="s">
        <v>72</v>
      </c>
      <c r="I82" s="1347" t="s">
        <v>113</v>
      </c>
      <c r="J82" s="1349" t="s">
        <v>4766</v>
      </c>
      <c r="K82" s="1349" t="s">
        <v>254</v>
      </c>
      <c r="L82" s="1350" t="s">
        <v>48</v>
      </c>
      <c r="M82" s="1350" t="s">
        <v>253</v>
      </c>
      <c r="N82" s="1390" t="s">
        <v>4703</v>
      </c>
      <c r="O82" s="1352" t="s">
        <v>4783</v>
      </c>
      <c r="P82" s="1352"/>
      <c r="Q82" s="1354"/>
      <c r="R82" s="1354"/>
      <c r="S82" s="1354"/>
      <c r="T82" s="1354"/>
      <c r="U82" s="1354"/>
      <c r="V82" s="1354"/>
      <c r="W82" s="1354"/>
      <c r="X82" s="1353">
        <v>43101</v>
      </c>
      <c r="Y82" s="1353">
        <v>43466</v>
      </c>
      <c r="Z82" s="1355"/>
      <c r="AA82" s="1355" t="s">
        <v>4674</v>
      </c>
      <c r="AB82" s="1356"/>
      <c r="AC82" s="1356"/>
      <c r="AD82" s="1356"/>
      <c r="AE82" s="1356"/>
      <c r="AF82" s="1357" t="str">
        <f t="shared" si="3"/>
        <v/>
      </c>
      <c r="AG82" s="1380"/>
      <c r="AH82" s="1380"/>
      <c r="AI82" s="1381">
        <v>0</v>
      </c>
      <c r="AJ82" s="1383">
        <v>0</v>
      </c>
      <c r="AK82" s="1383">
        <v>0</v>
      </c>
      <c r="AL82" s="1384">
        <v>0</v>
      </c>
      <c r="AM82" s="1363">
        <f t="shared" si="112"/>
        <v>0</v>
      </c>
      <c r="AN82" s="1364">
        <v>0</v>
      </c>
      <c r="AO82" s="1365">
        <f t="shared" si="113"/>
        <v>0</v>
      </c>
      <c r="AP82" s="1366">
        <v>0</v>
      </c>
      <c r="AQ82" s="1367">
        <f t="shared" si="114"/>
        <v>0</v>
      </c>
      <c r="AR82" s="1368">
        <v>0</v>
      </c>
      <c r="AS82" s="1369">
        <f t="shared" si="115"/>
        <v>0</v>
      </c>
      <c r="AT82" s="1370">
        <v>0</v>
      </c>
      <c r="AU82" s="1371">
        <f t="shared" si="116"/>
        <v>0</v>
      </c>
      <c r="AV82" s="1359">
        <f t="shared" si="117"/>
        <v>0</v>
      </c>
      <c r="AW82" s="1372">
        <f t="shared" si="118"/>
        <v>0</v>
      </c>
      <c r="AX82" s="1373">
        <f t="shared" si="119"/>
        <v>0</v>
      </c>
      <c r="AY82" s="1374">
        <f t="shared" si="120"/>
        <v>0</v>
      </c>
      <c r="AZ82" s="1375">
        <f t="shared" si="121"/>
        <v>0</v>
      </c>
      <c r="BA82" s="1376">
        <f t="shared" si="122"/>
        <v>0</v>
      </c>
      <c r="BB82" s="1377"/>
      <c r="BC82" s="1848"/>
      <c r="BD82" s="1820"/>
      <c r="BE82" s="1823"/>
      <c r="BF82" s="1826"/>
      <c r="BG82" s="1851"/>
    </row>
    <row r="83" spans="1:59" s="1378" customFormat="1" ht="22.5" customHeight="1">
      <c r="A83" s="1347" t="str">
        <f>L78</f>
        <v>Applied StemCell, Inc.</v>
      </c>
      <c r="B83" s="1348" t="str">
        <f>N78</f>
        <v>ABD</v>
      </c>
      <c r="C83" s="1348">
        <f>Z78</f>
        <v>54</v>
      </c>
      <c r="D83" s="1349">
        <v>43009</v>
      </c>
      <c r="E83" s="1349"/>
      <c r="F83" s="1347" t="s">
        <v>72</v>
      </c>
      <c r="G83" s="1347" t="s">
        <v>113</v>
      </c>
      <c r="H83" s="1347" t="s">
        <v>72</v>
      </c>
      <c r="I83" s="1347" t="s">
        <v>113</v>
      </c>
      <c r="J83" s="1349" t="s">
        <v>4766</v>
      </c>
      <c r="K83" s="1349" t="s">
        <v>254</v>
      </c>
      <c r="L83" s="1397" t="s">
        <v>318</v>
      </c>
      <c r="M83" s="1397" t="s">
        <v>4705</v>
      </c>
      <c r="N83" s="1412" t="s">
        <v>4773</v>
      </c>
      <c r="O83" s="1399" t="s">
        <v>4792</v>
      </c>
      <c r="P83" s="1399"/>
      <c r="Q83" s="1400"/>
      <c r="R83" s="1400"/>
      <c r="S83" s="1400"/>
      <c r="T83" s="1400"/>
      <c r="U83" s="1400"/>
      <c r="V83" s="1400"/>
      <c r="W83" s="1400"/>
      <c r="X83" s="1400">
        <v>43009</v>
      </c>
      <c r="Y83" s="1400">
        <v>43466</v>
      </c>
      <c r="Z83" s="1401"/>
      <c r="AA83" s="1401" t="s">
        <v>4738</v>
      </c>
      <c r="AB83" s="1369"/>
      <c r="AC83" s="1369"/>
      <c r="AD83" s="1369"/>
      <c r="AE83" s="1369"/>
      <c r="AF83" s="1403" t="str">
        <f t="shared" si="3"/>
        <v/>
      </c>
      <c r="AG83" s="1404"/>
      <c r="AH83" s="1404"/>
      <c r="AI83" s="1405">
        <v>0</v>
      </c>
      <c r="AJ83" s="1406">
        <v>0</v>
      </c>
      <c r="AK83" s="1406">
        <v>0</v>
      </c>
      <c r="AL83" s="1384">
        <v>0</v>
      </c>
      <c r="AM83" s="1363">
        <f t="shared" si="112"/>
        <v>0</v>
      </c>
      <c r="AN83" s="1364">
        <v>0</v>
      </c>
      <c r="AO83" s="1365">
        <f t="shared" si="113"/>
        <v>0</v>
      </c>
      <c r="AP83" s="1366">
        <v>0</v>
      </c>
      <c r="AQ83" s="1367">
        <f t="shared" si="114"/>
        <v>0</v>
      </c>
      <c r="AR83" s="1368">
        <v>0</v>
      </c>
      <c r="AS83" s="1369">
        <f t="shared" si="115"/>
        <v>0</v>
      </c>
      <c r="AT83" s="1370">
        <v>0</v>
      </c>
      <c r="AU83" s="1371">
        <f t="shared" si="116"/>
        <v>0</v>
      </c>
      <c r="AV83" s="1359">
        <f t="shared" si="117"/>
        <v>0</v>
      </c>
      <c r="AW83" s="1372">
        <f t="shared" si="118"/>
        <v>0</v>
      </c>
      <c r="AX83" s="1373">
        <f t="shared" si="119"/>
        <v>0</v>
      </c>
      <c r="AY83" s="1374">
        <f t="shared" si="120"/>
        <v>0</v>
      </c>
      <c r="AZ83" s="1375">
        <f t="shared" si="121"/>
        <v>0</v>
      </c>
      <c r="BA83" s="1376">
        <f t="shared" si="122"/>
        <v>0</v>
      </c>
      <c r="BB83" s="1377"/>
      <c r="BC83" s="1848"/>
      <c r="BD83" s="1820"/>
      <c r="BE83" s="1823"/>
      <c r="BF83" s="1826"/>
      <c r="BG83" s="1851"/>
    </row>
    <row r="84" spans="1:59" s="1378" customFormat="1" ht="22.5" customHeight="1">
      <c r="A84" s="1347" t="str">
        <f>A83</f>
        <v>Applied StemCell, Inc.</v>
      </c>
      <c r="B84" s="1348" t="str">
        <f>B83</f>
        <v>ABD</v>
      </c>
      <c r="C84" s="1348">
        <f>C83</f>
        <v>54</v>
      </c>
      <c r="D84" s="1349">
        <v>43009</v>
      </c>
      <c r="E84" s="1349"/>
      <c r="F84" s="1347" t="s">
        <v>72</v>
      </c>
      <c r="G84" s="1347" t="s">
        <v>85</v>
      </c>
      <c r="H84" s="1347" t="s">
        <v>72</v>
      </c>
      <c r="I84" s="1347" t="s">
        <v>72</v>
      </c>
      <c r="J84" s="1349" t="s">
        <v>4670</v>
      </c>
      <c r="K84" s="1349" t="s">
        <v>254</v>
      </c>
      <c r="L84" s="1350" t="s">
        <v>3056</v>
      </c>
      <c r="M84" s="1350" t="s">
        <v>4708</v>
      </c>
      <c r="N84" s="1390" t="s">
        <v>4709</v>
      </c>
      <c r="O84" s="1352" t="s">
        <v>4710</v>
      </c>
      <c r="P84" s="1352"/>
      <c r="Q84" s="1354"/>
      <c r="R84" s="1354"/>
      <c r="S84" s="1354"/>
      <c r="T84" s="1354"/>
      <c r="U84" s="1354"/>
      <c r="V84" s="1354"/>
      <c r="W84" s="1354"/>
      <c r="X84" s="1353">
        <v>43009</v>
      </c>
      <c r="Y84" s="1353">
        <v>43466</v>
      </c>
      <c r="Z84" s="1355"/>
      <c r="AA84" s="1355" t="s">
        <v>4674</v>
      </c>
      <c r="AB84" s="1356"/>
      <c r="AC84" s="1356"/>
      <c r="AD84" s="1356"/>
      <c r="AE84" s="1356"/>
      <c r="AF84" s="1357" t="str">
        <f t="shared" si="3"/>
        <v/>
      </c>
      <c r="AG84" s="1380"/>
      <c r="AH84" s="1380"/>
      <c r="AI84" s="1381">
        <v>0</v>
      </c>
      <c r="AJ84" s="1382">
        <f>$AI84*$AG84</f>
        <v>0</v>
      </c>
      <c r="AK84" s="1383">
        <f t="shared" ref="AK84" si="123">AI84*$AH84</f>
        <v>0</v>
      </c>
      <c r="AL84" s="1384">
        <v>0</v>
      </c>
      <c r="AM84" s="1363">
        <f t="shared" si="112"/>
        <v>0</v>
      </c>
      <c r="AN84" s="1364">
        <v>0</v>
      </c>
      <c r="AO84" s="1365">
        <f t="shared" si="113"/>
        <v>0</v>
      </c>
      <c r="AP84" s="1366">
        <v>0</v>
      </c>
      <c r="AQ84" s="1367">
        <f t="shared" si="114"/>
        <v>0</v>
      </c>
      <c r="AR84" s="1368">
        <v>0</v>
      </c>
      <c r="AS84" s="1369">
        <f t="shared" si="115"/>
        <v>0</v>
      </c>
      <c r="AT84" s="1370">
        <v>0</v>
      </c>
      <c r="AU84" s="1371">
        <f t="shared" si="116"/>
        <v>0</v>
      </c>
      <c r="AV84" s="1359">
        <f t="shared" si="117"/>
        <v>0</v>
      </c>
      <c r="AW84" s="1372">
        <f t="shared" si="118"/>
        <v>0</v>
      </c>
      <c r="AX84" s="1373">
        <f t="shared" si="119"/>
        <v>0</v>
      </c>
      <c r="AY84" s="1374">
        <f t="shared" si="120"/>
        <v>0</v>
      </c>
      <c r="AZ84" s="1375">
        <f t="shared" si="121"/>
        <v>0</v>
      </c>
      <c r="BA84" s="1376">
        <f t="shared" si="122"/>
        <v>0</v>
      </c>
      <c r="BB84" s="1391"/>
      <c r="BC84" s="1849"/>
      <c r="BD84" s="1821"/>
      <c r="BE84" s="1824"/>
      <c r="BF84" s="1827"/>
      <c r="BG84" s="1852"/>
    </row>
    <row r="85" spans="1:59" s="1315" customFormat="1" ht="51">
      <c r="A85" s="1277" t="str">
        <f t="shared" ref="A85:A97" si="124">$L$85</f>
        <v>Arena Pharamceuticals, Inc.</v>
      </c>
      <c r="B85" s="1277" t="s">
        <v>4660</v>
      </c>
      <c r="C85" s="1316">
        <f t="shared" ref="C85:C97" si="125">$Z$85</f>
        <v>79</v>
      </c>
      <c r="D85" s="1317">
        <v>42736</v>
      </c>
      <c r="E85" s="1317"/>
      <c r="F85" s="1277" t="s">
        <v>72</v>
      </c>
      <c r="G85" s="1277" t="s">
        <v>72</v>
      </c>
      <c r="H85" s="1277" t="s">
        <v>72</v>
      </c>
      <c r="I85" s="1277" t="s">
        <v>4711</v>
      </c>
      <c r="J85" s="1317"/>
      <c r="K85" s="1317"/>
      <c r="L85" s="1318" t="s">
        <v>6164</v>
      </c>
      <c r="M85" s="1319"/>
      <c r="N85" s="1320" t="s">
        <v>4661</v>
      </c>
      <c r="O85" s="1321" t="s">
        <v>2474</v>
      </c>
      <c r="P85" s="1321"/>
      <c r="Q85" s="1322"/>
      <c r="R85" s="1322"/>
      <c r="S85" s="1322"/>
      <c r="T85" s="1322"/>
      <c r="U85" s="1322"/>
      <c r="V85" s="1322"/>
      <c r="W85" s="1322"/>
      <c r="X85" s="1317">
        <v>43101</v>
      </c>
      <c r="Y85" s="1317">
        <v>43466</v>
      </c>
      <c r="Z85" s="1316">
        <v>79</v>
      </c>
      <c r="AA85" s="1316" t="s">
        <v>4793</v>
      </c>
      <c r="AB85" s="1323">
        <f>SUM(AB86:AB98)</f>
        <v>0</v>
      </c>
      <c r="AC85" s="1323">
        <f>SUM(AC86:AC98)</f>
        <v>0</v>
      </c>
      <c r="AD85" s="1323">
        <f>SUM(AD86:AD98)</f>
        <v>0</v>
      </c>
      <c r="AE85" s="1324">
        <f t="shared" si="19"/>
        <v>0</v>
      </c>
      <c r="AF85" s="1325" t="str">
        <f t="shared" si="3"/>
        <v/>
      </c>
      <c r="AG85" s="1326">
        <f t="shared" ref="AG85:AG159" si="126">AH85/12</f>
        <v>97848.079166666663</v>
      </c>
      <c r="AH85" s="1326">
        <f>SUM(AH86:AH98)</f>
        <v>1174176.95</v>
      </c>
      <c r="AI85" s="1327"/>
      <c r="AJ85" s="1328">
        <f>SUM(AJ86:AJ98)</f>
        <v>8734.0579749999997</v>
      </c>
      <c r="AK85" s="1328">
        <f>SUM(AK86:AK98)</f>
        <v>104808.6957</v>
      </c>
      <c r="AL85" s="1329"/>
      <c r="AM85" s="1330">
        <f>SUM(AM86:AM98)</f>
        <v>4622.0922</v>
      </c>
      <c r="AN85" s="1331"/>
      <c r="AO85" s="1332">
        <f>SUM(AO86:AO98)</f>
        <v>0</v>
      </c>
      <c r="AP85" s="1333"/>
      <c r="AQ85" s="1334">
        <f>SUM(AQ86:AQ98)</f>
        <v>0</v>
      </c>
      <c r="AR85" s="1335"/>
      <c r="AS85" s="1336">
        <f>SUM(AS86:AS98)</f>
        <v>59309.166199999992</v>
      </c>
      <c r="AT85" s="1337"/>
      <c r="AU85" s="1338">
        <f>SUM(AU86:AU98)</f>
        <v>23110.460999999999</v>
      </c>
      <c r="AV85" s="1339"/>
      <c r="AW85" s="1340">
        <f>SUM(AW86:AW98)</f>
        <v>17766.976299999991</v>
      </c>
      <c r="AX85" s="1306"/>
      <c r="AY85" s="1307">
        <f>SUM(AW85+AS85+AU85)</f>
        <v>100186.60349999998</v>
      </c>
      <c r="AZ85" s="1341"/>
      <c r="BA85" s="1309">
        <f>SUM(AY85+AQ85)</f>
        <v>100186.60349999998</v>
      </c>
      <c r="BB85" s="1342">
        <f>(AW85+AU85)/(AK85-AM85)</f>
        <v>0.40801300644950989</v>
      </c>
      <c r="BC85" s="1343"/>
      <c r="BD85" s="1343"/>
      <c r="BE85" s="1344"/>
      <c r="BF85" s="1345" t="s">
        <v>4794</v>
      </c>
      <c r="BG85" s="1346"/>
    </row>
    <row r="86" spans="1:59" s="1378" customFormat="1" ht="65.25" customHeight="1">
      <c r="A86" s="1347" t="str">
        <f t="shared" si="124"/>
        <v>Arena Pharamceuticals, Inc.</v>
      </c>
      <c r="B86" s="1347" t="s">
        <v>4660</v>
      </c>
      <c r="C86" s="1348">
        <f t="shared" si="125"/>
        <v>79</v>
      </c>
      <c r="D86" s="1349">
        <v>42736</v>
      </c>
      <c r="E86" s="1349"/>
      <c r="F86" s="1347" t="s">
        <v>85</v>
      </c>
      <c r="G86" s="1347" t="s">
        <v>85</v>
      </c>
      <c r="H86" s="1347" t="s">
        <v>85</v>
      </c>
      <c r="I86" s="1347" t="s">
        <v>113</v>
      </c>
      <c r="J86" s="1349"/>
      <c r="K86" s="1349" t="s">
        <v>254</v>
      </c>
      <c r="L86" s="1350" t="s">
        <v>2661</v>
      </c>
      <c r="M86" s="1350" t="s">
        <v>3647</v>
      </c>
      <c r="N86" s="1351" t="s">
        <v>4795</v>
      </c>
      <c r="O86" s="1352" t="s">
        <v>4796</v>
      </c>
      <c r="P86" s="1352" t="s">
        <v>4797</v>
      </c>
      <c r="Q86" s="1353" t="s">
        <v>317</v>
      </c>
      <c r="R86" s="1353" t="s">
        <v>3656</v>
      </c>
      <c r="S86" s="1353" t="s">
        <v>307</v>
      </c>
      <c r="T86" s="1353" t="s">
        <v>113</v>
      </c>
      <c r="U86" s="1354"/>
      <c r="V86" s="1354"/>
      <c r="W86" s="1354"/>
      <c r="X86" s="1353">
        <v>43101</v>
      </c>
      <c r="Y86" s="1353">
        <v>43466</v>
      </c>
      <c r="Z86" s="1355"/>
      <c r="AA86" s="1355" t="s">
        <v>4667</v>
      </c>
      <c r="AB86" s="1356"/>
      <c r="AC86" s="1356"/>
      <c r="AD86" s="1356"/>
      <c r="AE86" s="1356"/>
      <c r="AF86" s="1357" t="str">
        <f t="shared" si="3"/>
        <v/>
      </c>
      <c r="AG86" s="1358">
        <f t="shared" si="126"/>
        <v>77034.87</v>
      </c>
      <c r="AH86" s="1358">
        <v>924418.44</v>
      </c>
      <c r="AI86" s="1359">
        <v>0.08</v>
      </c>
      <c r="AJ86" s="1360">
        <f t="shared" ref="AJ86:AJ96" si="127">$AI86*$AG86</f>
        <v>6162.7896000000001</v>
      </c>
      <c r="AK86" s="1361">
        <f t="shared" ref="AK86:AK96" si="128">AI86*$AH86</f>
        <v>73953.475200000001</v>
      </c>
      <c r="AL86" s="1362">
        <v>5.0000000000000001E-3</v>
      </c>
      <c r="AM86" s="1363">
        <f t="shared" ref="AM86:AM98" si="129">AL86*$AH86</f>
        <v>4622.0922</v>
      </c>
      <c r="AN86" s="1364">
        <v>0</v>
      </c>
      <c r="AO86" s="1365">
        <f t="shared" ref="AO86:AO98" si="130">AN86*$AH86</f>
        <v>0</v>
      </c>
      <c r="AP86" s="1366">
        <v>0</v>
      </c>
      <c r="AQ86" s="1367">
        <f t="shared" ref="AQ86:AQ98" si="131">AP86*$AH86</f>
        <v>0</v>
      </c>
      <c r="AR86" s="1368">
        <v>0.04</v>
      </c>
      <c r="AS86" s="1369">
        <f t="shared" ref="AS86:AS98" si="132">AR86*$AH86</f>
        <v>36976.7376</v>
      </c>
      <c r="AT86" s="1370">
        <v>2.5000000000000001E-2</v>
      </c>
      <c r="AU86" s="1371">
        <f t="shared" ref="AU86:AU98" si="133">AT86*$AH86</f>
        <v>23110.460999999999</v>
      </c>
      <c r="AV86" s="1359">
        <f t="shared" ref="AV86:AV98" si="134">AZ86-AR86-AT86-AP86</f>
        <v>9.999999999999995E-3</v>
      </c>
      <c r="AW86" s="1372">
        <f t="shared" ref="AW86:AW98" si="135">AV86*$AH86</f>
        <v>9244.1843999999946</v>
      </c>
      <c r="AX86" s="1373">
        <f t="shared" ref="AX86:AX98" si="136">$AZ86-$AP86</f>
        <v>7.4999999999999997E-2</v>
      </c>
      <c r="AY86" s="1374">
        <f t="shared" ref="AY86:AY98" si="137">AX86*$AH86</f>
        <v>69331.382999999987</v>
      </c>
      <c r="AZ86" s="1375">
        <f t="shared" ref="AZ86:AZ98" si="138">$AI86-$AL86-$AN86</f>
        <v>7.4999999999999997E-2</v>
      </c>
      <c r="BA86" s="1376">
        <f t="shared" ref="BA86:BA98" si="139">AZ86*$AH86</f>
        <v>69331.382999999987</v>
      </c>
      <c r="BB86" s="1377"/>
      <c r="BC86" s="1819" t="s">
        <v>99</v>
      </c>
      <c r="BD86" s="1819" t="s">
        <v>100</v>
      </c>
      <c r="BE86" s="1822" t="s">
        <v>100</v>
      </c>
      <c r="BF86" s="1825" t="s">
        <v>4798</v>
      </c>
      <c r="BG86" s="1828">
        <v>232908305</v>
      </c>
    </row>
    <row r="87" spans="1:59" s="1378" customFormat="1" ht="38.25">
      <c r="A87" s="1347" t="str">
        <f t="shared" si="124"/>
        <v>Arena Pharamceuticals, Inc.</v>
      </c>
      <c r="B87" s="1347" t="s">
        <v>4660</v>
      </c>
      <c r="C87" s="1348">
        <f t="shared" si="125"/>
        <v>79</v>
      </c>
      <c r="D87" s="1349">
        <v>42736</v>
      </c>
      <c r="E87" s="1349"/>
      <c r="F87" s="1347" t="s">
        <v>72</v>
      </c>
      <c r="G87" s="1347" t="s">
        <v>85</v>
      </c>
      <c r="H87" s="1347" t="s">
        <v>72</v>
      </c>
      <c r="I87" s="1347" t="s">
        <v>72</v>
      </c>
      <c r="J87" s="1349" t="s">
        <v>4670</v>
      </c>
      <c r="K87" s="1349" t="s">
        <v>254</v>
      </c>
      <c r="L87" s="1350" t="s">
        <v>4671</v>
      </c>
      <c r="M87" s="1350" t="s">
        <v>3649</v>
      </c>
      <c r="N87" s="1379" t="s">
        <v>4799</v>
      </c>
      <c r="O87" s="1352" t="s">
        <v>4800</v>
      </c>
      <c r="P87" s="1352"/>
      <c r="Q87" s="1354"/>
      <c r="R87" s="1354"/>
      <c r="S87" s="1354"/>
      <c r="T87" s="1354"/>
      <c r="U87" s="1354"/>
      <c r="V87" s="1354"/>
      <c r="W87" s="1354"/>
      <c r="X87" s="1353">
        <v>43101</v>
      </c>
      <c r="Y87" s="1353">
        <v>43466</v>
      </c>
      <c r="Z87" s="1355"/>
      <c r="AA87" s="1355" t="s">
        <v>4674</v>
      </c>
      <c r="AB87" s="1356"/>
      <c r="AC87" s="1356"/>
      <c r="AD87" s="1356"/>
      <c r="AE87" s="1356"/>
      <c r="AF87" s="1357" t="str">
        <f t="shared" si="3"/>
        <v/>
      </c>
      <c r="AG87" s="1380"/>
      <c r="AH87" s="1380"/>
      <c r="AI87" s="1381">
        <v>0</v>
      </c>
      <c r="AJ87" s="1382">
        <f t="shared" si="127"/>
        <v>0</v>
      </c>
      <c r="AK87" s="1383">
        <f t="shared" si="128"/>
        <v>0</v>
      </c>
      <c r="AL87" s="1384">
        <v>0</v>
      </c>
      <c r="AM87" s="1363">
        <f t="shared" si="129"/>
        <v>0</v>
      </c>
      <c r="AN87" s="1364">
        <v>0</v>
      </c>
      <c r="AO87" s="1365">
        <f t="shared" si="130"/>
        <v>0</v>
      </c>
      <c r="AP87" s="1366">
        <v>0</v>
      </c>
      <c r="AQ87" s="1367">
        <f t="shared" si="131"/>
        <v>0</v>
      </c>
      <c r="AR87" s="1368">
        <v>0</v>
      </c>
      <c r="AS87" s="1369">
        <f t="shared" si="132"/>
        <v>0</v>
      </c>
      <c r="AT87" s="1370">
        <v>0</v>
      </c>
      <c r="AU87" s="1371">
        <f t="shared" si="133"/>
        <v>0</v>
      </c>
      <c r="AV87" s="1359">
        <f t="shared" si="134"/>
        <v>0</v>
      </c>
      <c r="AW87" s="1372">
        <f t="shared" si="135"/>
        <v>0</v>
      </c>
      <c r="AX87" s="1373">
        <f t="shared" si="136"/>
        <v>0</v>
      </c>
      <c r="AY87" s="1374">
        <f t="shared" si="137"/>
        <v>0</v>
      </c>
      <c r="AZ87" s="1375">
        <f t="shared" si="138"/>
        <v>0</v>
      </c>
      <c r="BA87" s="1376">
        <f t="shared" si="139"/>
        <v>0</v>
      </c>
      <c r="BB87" s="1377"/>
      <c r="BC87" s="1820"/>
      <c r="BD87" s="1820"/>
      <c r="BE87" s="1823"/>
      <c r="BF87" s="1826"/>
      <c r="BG87" s="1829"/>
    </row>
    <row r="88" spans="1:59" s="1378" customFormat="1" ht="42.75" customHeight="1">
      <c r="A88" s="1347" t="str">
        <f t="shared" si="124"/>
        <v>Arena Pharamceuticals, Inc.</v>
      </c>
      <c r="B88" s="1347" t="s">
        <v>4660</v>
      </c>
      <c r="C88" s="1348">
        <f t="shared" si="125"/>
        <v>79</v>
      </c>
      <c r="D88" s="1349">
        <v>42736</v>
      </c>
      <c r="E88" s="1349"/>
      <c r="F88" s="1347" t="s">
        <v>113</v>
      </c>
      <c r="G88" s="1347" t="s">
        <v>85</v>
      </c>
      <c r="H88" s="1347" t="s">
        <v>85</v>
      </c>
      <c r="I88" s="1347" t="s">
        <v>113</v>
      </c>
      <c r="J88" s="1349"/>
      <c r="K88" s="1349" t="s">
        <v>254</v>
      </c>
      <c r="L88" s="1350" t="s">
        <v>4675</v>
      </c>
      <c r="M88" s="1350" t="s">
        <v>3650</v>
      </c>
      <c r="N88" s="1385" t="s">
        <v>4801</v>
      </c>
      <c r="O88" s="1352" t="s">
        <v>4677</v>
      </c>
      <c r="P88" s="1352"/>
      <c r="Q88" s="1354"/>
      <c r="R88" s="1354"/>
      <c r="S88" s="1354"/>
      <c r="T88" s="1354"/>
      <c r="U88" s="1353" t="s">
        <v>4802</v>
      </c>
      <c r="V88" s="1353" t="s">
        <v>2481</v>
      </c>
      <c r="W88" s="1354"/>
      <c r="X88" s="1353">
        <v>43101</v>
      </c>
      <c r="Y88" s="1353">
        <v>43466</v>
      </c>
      <c r="Z88" s="1355"/>
      <c r="AA88" s="1355" t="s">
        <v>4679</v>
      </c>
      <c r="AB88" s="1356"/>
      <c r="AC88" s="1356"/>
      <c r="AD88" s="1356"/>
      <c r="AE88" s="1356"/>
      <c r="AF88" s="1357" t="str">
        <f t="shared" si="3"/>
        <v/>
      </c>
      <c r="AG88" s="1358">
        <f t="shared" si="126"/>
        <v>9849.27</v>
      </c>
      <c r="AH88" s="1358">
        <v>118191.24</v>
      </c>
      <c r="AI88" s="1359">
        <v>0.1</v>
      </c>
      <c r="AJ88" s="1360">
        <f t="shared" si="127"/>
        <v>984.92700000000013</v>
      </c>
      <c r="AK88" s="1361">
        <f t="shared" si="128"/>
        <v>11819.124000000002</v>
      </c>
      <c r="AL88" s="1384">
        <v>0</v>
      </c>
      <c r="AM88" s="1363">
        <f t="shared" si="129"/>
        <v>0</v>
      </c>
      <c r="AN88" s="1364">
        <v>0</v>
      </c>
      <c r="AO88" s="1365">
        <f t="shared" si="130"/>
        <v>0</v>
      </c>
      <c r="AP88" s="1366">
        <v>0</v>
      </c>
      <c r="AQ88" s="1367">
        <f t="shared" si="131"/>
        <v>0</v>
      </c>
      <c r="AR88" s="1368">
        <v>0.08</v>
      </c>
      <c r="AS88" s="1369">
        <f t="shared" si="132"/>
        <v>9455.2992000000013</v>
      </c>
      <c r="AT88" s="1370">
        <v>0</v>
      </c>
      <c r="AU88" s="1371">
        <f t="shared" si="133"/>
        <v>0</v>
      </c>
      <c r="AV88" s="1359">
        <f t="shared" si="134"/>
        <v>2.0000000000000004E-2</v>
      </c>
      <c r="AW88" s="1372">
        <f t="shared" si="135"/>
        <v>2363.8248000000008</v>
      </c>
      <c r="AX88" s="1373">
        <f t="shared" si="136"/>
        <v>0.1</v>
      </c>
      <c r="AY88" s="1374">
        <f t="shared" si="137"/>
        <v>11819.124000000002</v>
      </c>
      <c r="AZ88" s="1375">
        <f t="shared" si="138"/>
        <v>0.1</v>
      </c>
      <c r="BA88" s="1376">
        <f t="shared" si="139"/>
        <v>11819.124000000002</v>
      </c>
      <c r="BB88" s="1377"/>
      <c r="BC88" s="1820"/>
      <c r="BD88" s="1820"/>
      <c r="BE88" s="1823"/>
      <c r="BF88" s="1826"/>
      <c r="BG88" s="1829"/>
    </row>
    <row r="89" spans="1:59" s="1378" customFormat="1" ht="26.25" customHeight="1">
      <c r="A89" s="1347" t="str">
        <f t="shared" si="124"/>
        <v>Arena Pharamceuticals, Inc.</v>
      </c>
      <c r="B89" s="1347" t="s">
        <v>4660</v>
      </c>
      <c r="C89" s="1348">
        <f t="shared" si="125"/>
        <v>79</v>
      </c>
      <c r="D89" s="1349">
        <v>42736</v>
      </c>
      <c r="E89" s="1349"/>
      <c r="F89" s="1347" t="s">
        <v>113</v>
      </c>
      <c r="G89" s="1347" t="s">
        <v>85</v>
      </c>
      <c r="H89" s="1347" t="s">
        <v>85</v>
      </c>
      <c r="I89" s="1347" t="s">
        <v>113</v>
      </c>
      <c r="J89" s="1349"/>
      <c r="K89" s="1349" t="s">
        <v>254</v>
      </c>
      <c r="L89" s="1350" t="s">
        <v>4675</v>
      </c>
      <c r="M89" s="1350" t="s">
        <v>3651</v>
      </c>
      <c r="N89" s="1351" t="s">
        <v>4803</v>
      </c>
      <c r="O89" s="1352" t="s">
        <v>4681</v>
      </c>
      <c r="P89" s="1352"/>
      <c r="Q89" s="1354"/>
      <c r="R89" s="1354"/>
      <c r="S89" s="1354"/>
      <c r="T89" s="1354"/>
      <c r="U89" s="1354"/>
      <c r="V89" s="1354"/>
      <c r="W89" s="1353" t="s">
        <v>2482</v>
      </c>
      <c r="X89" s="1353">
        <v>43101</v>
      </c>
      <c r="Y89" s="1353">
        <v>43466</v>
      </c>
      <c r="Z89" s="1355"/>
      <c r="AA89" s="1355" t="s">
        <v>4679</v>
      </c>
      <c r="AB89" s="1356"/>
      <c r="AC89" s="1356"/>
      <c r="AD89" s="1356"/>
      <c r="AE89" s="1356"/>
      <c r="AF89" s="1357" t="str">
        <f t="shared" si="3"/>
        <v/>
      </c>
      <c r="AG89" s="1358">
        <f t="shared" si="126"/>
        <v>1164.99</v>
      </c>
      <c r="AH89" s="1358">
        <v>13979.88</v>
      </c>
      <c r="AI89" s="1359">
        <v>0.1</v>
      </c>
      <c r="AJ89" s="1360">
        <f t="shared" si="127"/>
        <v>116.49900000000001</v>
      </c>
      <c r="AK89" s="1361">
        <f t="shared" si="128"/>
        <v>1397.9880000000001</v>
      </c>
      <c r="AL89" s="1384">
        <v>0</v>
      </c>
      <c r="AM89" s="1363">
        <f t="shared" si="129"/>
        <v>0</v>
      </c>
      <c r="AN89" s="1364">
        <v>0</v>
      </c>
      <c r="AO89" s="1365">
        <f t="shared" si="130"/>
        <v>0</v>
      </c>
      <c r="AP89" s="1366">
        <v>0</v>
      </c>
      <c r="AQ89" s="1367">
        <f t="shared" si="131"/>
        <v>0</v>
      </c>
      <c r="AR89" s="1368">
        <v>0.08</v>
      </c>
      <c r="AS89" s="1369">
        <f t="shared" si="132"/>
        <v>1118.3904</v>
      </c>
      <c r="AT89" s="1370">
        <v>0</v>
      </c>
      <c r="AU89" s="1371">
        <f t="shared" si="133"/>
        <v>0</v>
      </c>
      <c r="AV89" s="1359">
        <f t="shared" si="134"/>
        <v>2.0000000000000004E-2</v>
      </c>
      <c r="AW89" s="1372">
        <f t="shared" si="135"/>
        <v>279.59760000000006</v>
      </c>
      <c r="AX89" s="1373">
        <f t="shared" si="136"/>
        <v>0.1</v>
      </c>
      <c r="AY89" s="1374">
        <f t="shared" si="137"/>
        <v>1397.9880000000001</v>
      </c>
      <c r="AZ89" s="1375">
        <f t="shared" si="138"/>
        <v>0.1</v>
      </c>
      <c r="BA89" s="1376">
        <f t="shared" si="139"/>
        <v>1397.9880000000001</v>
      </c>
      <c r="BB89" s="1377"/>
      <c r="BC89" s="1820"/>
      <c r="BD89" s="1820"/>
      <c r="BE89" s="1823"/>
      <c r="BF89" s="1826"/>
      <c r="BG89" s="1829"/>
    </row>
    <row r="90" spans="1:59" s="1378" customFormat="1" ht="38.25">
      <c r="A90" s="1347" t="str">
        <f t="shared" si="124"/>
        <v>Arena Pharamceuticals, Inc.</v>
      </c>
      <c r="B90" s="1347" t="s">
        <v>4660</v>
      </c>
      <c r="C90" s="1348">
        <f t="shared" si="125"/>
        <v>79</v>
      </c>
      <c r="D90" s="1349">
        <v>42736</v>
      </c>
      <c r="E90" s="1349"/>
      <c r="F90" s="1347" t="s">
        <v>113</v>
      </c>
      <c r="G90" s="1347" t="s">
        <v>85</v>
      </c>
      <c r="H90" s="1347" t="s">
        <v>85</v>
      </c>
      <c r="I90" s="1347" t="s">
        <v>113</v>
      </c>
      <c r="J90" s="1349"/>
      <c r="K90" s="1349" t="s">
        <v>254</v>
      </c>
      <c r="L90" s="1350" t="s">
        <v>4682</v>
      </c>
      <c r="M90" s="1350" t="s">
        <v>4683</v>
      </c>
      <c r="N90" s="1386" t="s">
        <v>57</v>
      </c>
      <c r="O90" s="1352" t="s">
        <v>4684</v>
      </c>
      <c r="P90" s="1387"/>
      <c r="Q90" s="1354"/>
      <c r="R90" s="1354"/>
      <c r="S90" s="1354"/>
      <c r="T90" s="1354"/>
      <c r="U90" s="1354"/>
      <c r="V90" s="1354"/>
      <c r="W90" s="1354"/>
      <c r="X90" s="1353">
        <v>43101</v>
      </c>
      <c r="Y90" s="1353">
        <v>43466</v>
      </c>
      <c r="Z90" s="1355"/>
      <c r="AA90" s="1355" t="s">
        <v>4685</v>
      </c>
      <c r="AB90" s="1356"/>
      <c r="AC90" s="1356"/>
      <c r="AD90" s="1356"/>
      <c r="AE90" s="1356"/>
      <c r="AF90" s="1357" t="str">
        <f t="shared" si="3"/>
        <v/>
      </c>
      <c r="AG90" s="1358">
        <f t="shared" si="126"/>
        <v>2908.6941666666667</v>
      </c>
      <c r="AH90" s="1358">
        <v>34904.33</v>
      </c>
      <c r="AI90" s="1359">
        <v>0.15</v>
      </c>
      <c r="AJ90" s="1360">
        <f t="shared" si="127"/>
        <v>436.304125</v>
      </c>
      <c r="AK90" s="1361">
        <f t="shared" si="128"/>
        <v>5235.6495000000004</v>
      </c>
      <c r="AL90" s="1384">
        <v>0</v>
      </c>
      <c r="AM90" s="1363">
        <f t="shared" si="129"/>
        <v>0</v>
      </c>
      <c r="AN90" s="1364">
        <v>0</v>
      </c>
      <c r="AO90" s="1365">
        <f t="shared" si="130"/>
        <v>0</v>
      </c>
      <c r="AP90" s="1366">
        <v>0</v>
      </c>
      <c r="AQ90" s="1367">
        <f t="shared" si="131"/>
        <v>0</v>
      </c>
      <c r="AR90" s="1368">
        <v>0.1</v>
      </c>
      <c r="AS90" s="1369">
        <f t="shared" si="132"/>
        <v>3490.4330000000004</v>
      </c>
      <c r="AT90" s="1370">
        <v>0</v>
      </c>
      <c r="AU90" s="1371">
        <f t="shared" si="133"/>
        <v>0</v>
      </c>
      <c r="AV90" s="1359">
        <f t="shared" si="134"/>
        <v>4.9999999999999989E-2</v>
      </c>
      <c r="AW90" s="1372">
        <f t="shared" si="135"/>
        <v>1745.2164999999998</v>
      </c>
      <c r="AX90" s="1373">
        <f t="shared" si="136"/>
        <v>0.15</v>
      </c>
      <c r="AY90" s="1374">
        <f t="shared" si="137"/>
        <v>5235.6495000000004</v>
      </c>
      <c r="AZ90" s="1375">
        <f t="shared" si="138"/>
        <v>0.15</v>
      </c>
      <c r="BA90" s="1376">
        <f t="shared" si="139"/>
        <v>5235.6495000000004</v>
      </c>
      <c r="BB90" s="1377"/>
      <c r="BC90" s="1820"/>
      <c r="BD90" s="1820"/>
      <c r="BE90" s="1823"/>
      <c r="BF90" s="1826"/>
      <c r="BG90" s="1829"/>
    </row>
    <row r="91" spans="1:59" s="1378" customFormat="1" ht="38.25">
      <c r="A91" s="1347" t="str">
        <f t="shared" si="124"/>
        <v>Arena Pharamceuticals, Inc.</v>
      </c>
      <c r="B91" s="1347" t="s">
        <v>4660</v>
      </c>
      <c r="C91" s="1348">
        <f t="shared" si="125"/>
        <v>79</v>
      </c>
      <c r="D91" s="1349">
        <v>42736</v>
      </c>
      <c r="E91" s="1349"/>
      <c r="F91" s="1347" t="s">
        <v>113</v>
      </c>
      <c r="G91" s="1347" t="s">
        <v>85</v>
      </c>
      <c r="H91" s="1347" t="s">
        <v>85</v>
      </c>
      <c r="I91" s="1347" t="s">
        <v>113</v>
      </c>
      <c r="J91" s="1349"/>
      <c r="K91" s="1349" t="s">
        <v>254</v>
      </c>
      <c r="L91" s="1350" t="s">
        <v>4682</v>
      </c>
      <c r="M91" s="1350" t="s">
        <v>4686</v>
      </c>
      <c r="N91" s="1386" t="s">
        <v>60</v>
      </c>
      <c r="O91" s="1352" t="s">
        <v>4687</v>
      </c>
      <c r="P91" s="1387"/>
      <c r="Q91" s="1354"/>
      <c r="R91" s="1354"/>
      <c r="S91" s="1354"/>
      <c r="T91" s="1354"/>
      <c r="U91" s="1354"/>
      <c r="V91" s="1354"/>
      <c r="W91" s="1354"/>
      <c r="X91" s="1353">
        <v>43101</v>
      </c>
      <c r="Y91" s="1353">
        <v>43466</v>
      </c>
      <c r="Z91" s="1355"/>
      <c r="AA91" s="1355" t="s">
        <v>4685</v>
      </c>
      <c r="AB91" s="1356"/>
      <c r="AC91" s="1356"/>
      <c r="AD91" s="1356"/>
      <c r="AE91" s="1356"/>
      <c r="AF91" s="1357"/>
      <c r="AG91" s="1358">
        <f t="shared" si="126"/>
        <v>605.99</v>
      </c>
      <c r="AH91" s="1358">
        <v>7271.88</v>
      </c>
      <c r="AI91" s="1359">
        <v>0.15</v>
      </c>
      <c r="AJ91" s="1360">
        <f t="shared" si="127"/>
        <v>90.898499999999999</v>
      </c>
      <c r="AK91" s="1361">
        <f t="shared" si="128"/>
        <v>1090.7819999999999</v>
      </c>
      <c r="AL91" s="1384">
        <v>0</v>
      </c>
      <c r="AM91" s="1363">
        <f t="shared" si="129"/>
        <v>0</v>
      </c>
      <c r="AN91" s="1364">
        <v>0</v>
      </c>
      <c r="AO91" s="1365">
        <f t="shared" si="130"/>
        <v>0</v>
      </c>
      <c r="AP91" s="1366">
        <v>0</v>
      </c>
      <c r="AQ91" s="1367">
        <f t="shared" si="131"/>
        <v>0</v>
      </c>
      <c r="AR91" s="1368">
        <v>0.1</v>
      </c>
      <c r="AS91" s="1369">
        <f t="shared" si="132"/>
        <v>727.1880000000001</v>
      </c>
      <c r="AT91" s="1370">
        <v>0</v>
      </c>
      <c r="AU91" s="1371">
        <f t="shared" si="133"/>
        <v>0</v>
      </c>
      <c r="AV91" s="1359">
        <f t="shared" si="134"/>
        <v>4.9999999999999989E-2</v>
      </c>
      <c r="AW91" s="1372">
        <f t="shared" si="135"/>
        <v>363.59399999999994</v>
      </c>
      <c r="AX91" s="1373">
        <f t="shared" si="136"/>
        <v>0.15</v>
      </c>
      <c r="AY91" s="1374">
        <f t="shared" si="137"/>
        <v>1090.7819999999999</v>
      </c>
      <c r="AZ91" s="1375">
        <f t="shared" si="138"/>
        <v>0.15</v>
      </c>
      <c r="BA91" s="1376">
        <f t="shared" si="139"/>
        <v>1090.7819999999999</v>
      </c>
      <c r="BB91" s="1377"/>
      <c r="BC91" s="1820"/>
      <c r="BD91" s="1820"/>
      <c r="BE91" s="1823"/>
      <c r="BF91" s="1826"/>
      <c r="BG91" s="1829"/>
    </row>
    <row r="92" spans="1:59" s="1378" customFormat="1" ht="38.25">
      <c r="A92" s="1347" t="str">
        <f t="shared" si="124"/>
        <v>Arena Pharamceuticals, Inc.</v>
      </c>
      <c r="B92" s="1347" t="s">
        <v>4660</v>
      </c>
      <c r="C92" s="1348">
        <f t="shared" si="125"/>
        <v>79</v>
      </c>
      <c r="D92" s="1349">
        <v>42736</v>
      </c>
      <c r="E92" s="1349"/>
      <c r="F92" s="1347" t="s">
        <v>113</v>
      </c>
      <c r="G92" s="1347" t="s">
        <v>85</v>
      </c>
      <c r="H92" s="1347" t="s">
        <v>85</v>
      </c>
      <c r="I92" s="1347" t="s">
        <v>113</v>
      </c>
      <c r="J92" s="1349"/>
      <c r="K92" s="1349" t="s">
        <v>254</v>
      </c>
      <c r="L92" s="1350" t="s">
        <v>4682</v>
      </c>
      <c r="M92" s="1350" t="s">
        <v>62</v>
      </c>
      <c r="N92" s="1351" t="s">
        <v>101</v>
      </c>
      <c r="O92" s="1352" t="s">
        <v>4688</v>
      </c>
      <c r="P92" s="1352"/>
      <c r="Q92" s="1354"/>
      <c r="R92" s="1354"/>
      <c r="S92" s="1354"/>
      <c r="T92" s="1354"/>
      <c r="U92" s="1354"/>
      <c r="V92" s="1354"/>
      <c r="W92" s="1354"/>
      <c r="X92" s="1353">
        <v>43101</v>
      </c>
      <c r="Y92" s="1353">
        <v>43466</v>
      </c>
      <c r="Z92" s="1355"/>
      <c r="AA92" s="1355" t="s">
        <v>4685</v>
      </c>
      <c r="AB92" s="1356"/>
      <c r="AC92" s="1356"/>
      <c r="AD92" s="1356"/>
      <c r="AE92" s="1356"/>
      <c r="AF92" s="1357" t="str">
        <f t="shared" si="3"/>
        <v/>
      </c>
      <c r="AG92" s="1358">
        <f t="shared" si="126"/>
        <v>1549.7550000000001</v>
      </c>
      <c r="AH92" s="1358">
        <v>18597.060000000001</v>
      </c>
      <c r="AI92" s="1359">
        <v>0.15</v>
      </c>
      <c r="AJ92" s="1360">
        <f t="shared" si="127"/>
        <v>232.46325000000002</v>
      </c>
      <c r="AK92" s="1361">
        <f t="shared" si="128"/>
        <v>2789.5590000000002</v>
      </c>
      <c r="AL92" s="1384">
        <v>0</v>
      </c>
      <c r="AM92" s="1363">
        <f t="shared" si="129"/>
        <v>0</v>
      </c>
      <c r="AN92" s="1364">
        <v>0</v>
      </c>
      <c r="AO92" s="1365">
        <f t="shared" si="130"/>
        <v>0</v>
      </c>
      <c r="AP92" s="1366">
        <v>0</v>
      </c>
      <c r="AQ92" s="1367">
        <f t="shared" si="131"/>
        <v>0</v>
      </c>
      <c r="AR92" s="1368">
        <v>0.1</v>
      </c>
      <c r="AS92" s="1369">
        <f t="shared" si="132"/>
        <v>1859.7060000000001</v>
      </c>
      <c r="AT92" s="1370">
        <v>0</v>
      </c>
      <c r="AU92" s="1371">
        <f t="shared" si="133"/>
        <v>0</v>
      </c>
      <c r="AV92" s="1359">
        <f t="shared" si="134"/>
        <v>4.9999999999999989E-2</v>
      </c>
      <c r="AW92" s="1372">
        <f t="shared" si="135"/>
        <v>929.85299999999984</v>
      </c>
      <c r="AX92" s="1373">
        <f t="shared" si="136"/>
        <v>0.15</v>
      </c>
      <c r="AY92" s="1374">
        <f t="shared" si="137"/>
        <v>2789.5590000000002</v>
      </c>
      <c r="AZ92" s="1375">
        <f t="shared" si="138"/>
        <v>0.15</v>
      </c>
      <c r="BA92" s="1376">
        <f t="shared" si="139"/>
        <v>2789.5590000000002</v>
      </c>
      <c r="BB92" s="1377"/>
      <c r="BC92" s="1820"/>
      <c r="BD92" s="1820"/>
      <c r="BE92" s="1823"/>
      <c r="BF92" s="1826"/>
      <c r="BG92" s="1829"/>
    </row>
    <row r="93" spans="1:59" s="1378" customFormat="1" ht="38.25">
      <c r="A93" s="1347" t="str">
        <f t="shared" si="124"/>
        <v>Arena Pharamceuticals, Inc.</v>
      </c>
      <c r="B93" s="1347" t="s">
        <v>4660</v>
      </c>
      <c r="C93" s="1348">
        <f t="shared" si="125"/>
        <v>79</v>
      </c>
      <c r="D93" s="1349">
        <v>42736</v>
      </c>
      <c r="E93" s="1349"/>
      <c r="F93" s="1347" t="s">
        <v>113</v>
      </c>
      <c r="G93" s="1347" t="s">
        <v>85</v>
      </c>
      <c r="H93" s="1347" t="s">
        <v>85</v>
      </c>
      <c r="I93" s="1347" t="s">
        <v>113</v>
      </c>
      <c r="J93" s="1349"/>
      <c r="K93" s="1349" t="s">
        <v>254</v>
      </c>
      <c r="L93" s="1350" t="s">
        <v>4682</v>
      </c>
      <c r="M93" s="1350" t="s">
        <v>67</v>
      </c>
      <c r="N93" s="1351" t="s">
        <v>1243</v>
      </c>
      <c r="O93" s="1352" t="s">
        <v>4689</v>
      </c>
      <c r="P93" s="1352"/>
      <c r="Q93" s="1354"/>
      <c r="R93" s="1354"/>
      <c r="S93" s="1354"/>
      <c r="T93" s="1354"/>
      <c r="U93" s="1354"/>
      <c r="V93" s="1354"/>
      <c r="W93" s="1354"/>
      <c r="X93" s="1353">
        <v>43101</v>
      </c>
      <c r="Y93" s="1353">
        <v>43466</v>
      </c>
      <c r="Z93" s="1355"/>
      <c r="AA93" s="1355" t="s">
        <v>4685</v>
      </c>
      <c r="AB93" s="1356"/>
      <c r="AC93" s="1356"/>
      <c r="AD93" s="1356"/>
      <c r="AE93" s="1356"/>
      <c r="AF93" s="1357" t="str">
        <f t="shared" ref="AF93:AF304" si="140">IFERROR((AE93/AB93),"")</f>
        <v/>
      </c>
      <c r="AG93" s="1358">
        <f t="shared" si="126"/>
        <v>4734.51</v>
      </c>
      <c r="AH93" s="1358">
        <v>56814.12</v>
      </c>
      <c r="AI93" s="1359">
        <v>0.15</v>
      </c>
      <c r="AJ93" s="1360">
        <f t="shared" si="127"/>
        <v>710.17650000000003</v>
      </c>
      <c r="AK93" s="1361">
        <f t="shared" si="128"/>
        <v>8522.1180000000004</v>
      </c>
      <c r="AL93" s="1384">
        <v>0</v>
      </c>
      <c r="AM93" s="1363">
        <f t="shared" si="129"/>
        <v>0</v>
      </c>
      <c r="AN93" s="1364">
        <v>0</v>
      </c>
      <c r="AO93" s="1365">
        <f t="shared" si="130"/>
        <v>0</v>
      </c>
      <c r="AP93" s="1366">
        <v>0</v>
      </c>
      <c r="AQ93" s="1367">
        <f t="shared" si="131"/>
        <v>0</v>
      </c>
      <c r="AR93" s="1368">
        <v>0.1</v>
      </c>
      <c r="AS93" s="1369">
        <f t="shared" si="132"/>
        <v>5681.4120000000003</v>
      </c>
      <c r="AT93" s="1370">
        <v>0</v>
      </c>
      <c r="AU93" s="1371">
        <f t="shared" si="133"/>
        <v>0</v>
      </c>
      <c r="AV93" s="1359">
        <f t="shared" si="134"/>
        <v>4.9999999999999989E-2</v>
      </c>
      <c r="AW93" s="1372">
        <f t="shared" si="135"/>
        <v>2840.7059999999997</v>
      </c>
      <c r="AX93" s="1373">
        <f t="shared" si="136"/>
        <v>0.15</v>
      </c>
      <c r="AY93" s="1374">
        <f t="shared" si="137"/>
        <v>8522.1180000000004</v>
      </c>
      <c r="AZ93" s="1375">
        <f t="shared" si="138"/>
        <v>0.15</v>
      </c>
      <c r="BA93" s="1376">
        <f t="shared" si="139"/>
        <v>8522.1180000000004</v>
      </c>
      <c r="BB93" s="1377"/>
      <c r="BC93" s="1820"/>
      <c r="BD93" s="1820"/>
      <c r="BE93" s="1823"/>
      <c r="BF93" s="1826"/>
      <c r="BG93" s="1829"/>
    </row>
    <row r="94" spans="1:59" s="1378" customFormat="1" ht="27.75" customHeight="1">
      <c r="A94" s="1347" t="str">
        <f t="shared" si="124"/>
        <v>Arena Pharamceuticals, Inc.</v>
      </c>
      <c r="B94" s="1347" t="s">
        <v>4660</v>
      </c>
      <c r="C94" s="1348">
        <f t="shared" si="125"/>
        <v>79</v>
      </c>
      <c r="D94" s="1349">
        <v>42736</v>
      </c>
      <c r="E94" s="1349"/>
      <c r="F94" s="1347" t="s">
        <v>72</v>
      </c>
      <c r="G94" s="1347" t="s">
        <v>85</v>
      </c>
      <c r="H94" s="1347" t="s">
        <v>72</v>
      </c>
      <c r="I94" s="1347" t="s">
        <v>72</v>
      </c>
      <c r="J94" s="1349" t="s">
        <v>4670</v>
      </c>
      <c r="K94" s="1349" t="s">
        <v>254</v>
      </c>
      <c r="L94" s="1350" t="s">
        <v>4696</v>
      </c>
      <c r="M94" s="1350" t="s">
        <v>4697</v>
      </c>
      <c r="N94" s="1389" t="s">
        <v>4698</v>
      </c>
      <c r="O94" s="1352" t="s">
        <v>4699</v>
      </c>
      <c r="P94" s="1352"/>
      <c r="Q94" s="1354"/>
      <c r="R94" s="1354"/>
      <c r="S94" s="1354"/>
      <c r="T94" s="1354"/>
      <c r="U94" s="1354"/>
      <c r="V94" s="1354"/>
      <c r="W94" s="1354"/>
      <c r="X94" s="1353">
        <v>43101</v>
      </c>
      <c r="Y94" s="1353">
        <v>43466</v>
      </c>
      <c r="Z94" s="1355"/>
      <c r="AA94" s="1355" t="s">
        <v>4674</v>
      </c>
      <c r="AB94" s="1356"/>
      <c r="AC94" s="1356"/>
      <c r="AD94" s="1356"/>
      <c r="AE94" s="1356"/>
      <c r="AF94" s="1357" t="str">
        <f t="shared" si="140"/>
        <v/>
      </c>
      <c r="AG94" s="1380"/>
      <c r="AH94" s="1380"/>
      <c r="AI94" s="1381">
        <v>0</v>
      </c>
      <c r="AJ94" s="1382">
        <f t="shared" si="127"/>
        <v>0</v>
      </c>
      <c r="AK94" s="1383">
        <f t="shared" si="128"/>
        <v>0</v>
      </c>
      <c r="AL94" s="1384">
        <v>0</v>
      </c>
      <c r="AM94" s="1363">
        <f t="shared" si="129"/>
        <v>0</v>
      </c>
      <c r="AN94" s="1364">
        <v>0</v>
      </c>
      <c r="AO94" s="1365">
        <f t="shared" si="130"/>
        <v>0</v>
      </c>
      <c r="AP94" s="1366">
        <v>0</v>
      </c>
      <c r="AQ94" s="1367">
        <f t="shared" si="131"/>
        <v>0</v>
      </c>
      <c r="AR94" s="1368">
        <v>0</v>
      </c>
      <c r="AS94" s="1369">
        <f t="shared" si="132"/>
        <v>0</v>
      </c>
      <c r="AT94" s="1370">
        <v>0</v>
      </c>
      <c r="AU94" s="1371">
        <f t="shared" si="133"/>
        <v>0</v>
      </c>
      <c r="AV94" s="1359">
        <f t="shared" si="134"/>
        <v>0</v>
      </c>
      <c r="AW94" s="1372">
        <f t="shared" si="135"/>
        <v>0</v>
      </c>
      <c r="AX94" s="1373">
        <f t="shared" si="136"/>
        <v>0</v>
      </c>
      <c r="AY94" s="1374">
        <f t="shared" si="137"/>
        <v>0</v>
      </c>
      <c r="AZ94" s="1375">
        <f t="shared" si="138"/>
        <v>0</v>
      </c>
      <c r="BA94" s="1376">
        <f t="shared" si="139"/>
        <v>0</v>
      </c>
      <c r="BB94" s="1377"/>
      <c r="BC94" s="1820"/>
      <c r="BD94" s="1820"/>
      <c r="BE94" s="1823"/>
      <c r="BF94" s="1826"/>
      <c r="BG94" s="1829"/>
    </row>
    <row r="95" spans="1:59" s="1378" customFormat="1" ht="38.25">
      <c r="A95" s="1347" t="str">
        <f t="shared" si="124"/>
        <v>Arena Pharamceuticals, Inc.</v>
      </c>
      <c r="B95" s="1347" t="s">
        <v>4660</v>
      </c>
      <c r="C95" s="1348">
        <f t="shared" si="125"/>
        <v>79</v>
      </c>
      <c r="D95" s="1349">
        <v>42736</v>
      </c>
      <c r="E95" s="1349"/>
      <c r="F95" s="1347" t="s">
        <v>72</v>
      </c>
      <c r="G95" s="1347" t="s">
        <v>4700</v>
      </c>
      <c r="H95" s="1347" t="s">
        <v>72</v>
      </c>
      <c r="I95" s="1347" t="s">
        <v>72</v>
      </c>
      <c r="J95" s="1349" t="s">
        <v>4670</v>
      </c>
      <c r="K95" s="1349" t="s">
        <v>254</v>
      </c>
      <c r="L95" s="1350" t="s">
        <v>48</v>
      </c>
      <c r="M95" s="1350" t="s">
        <v>3652</v>
      </c>
      <c r="N95" s="1390" t="s">
        <v>4804</v>
      </c>
      <c r="O95" s="1352" t="s">
        <v>4702</v>
      </c>
      <c r="P95" s="1352"/>
      <c r="Q95" s="1354"/>
      <c r="R95" s="1354"/>
      <c r="S95" s="1354"/>
      <c r="T95" s="1354"/>
      <c r="U95" s="1354"/>
      <c r="V95" s="1354"/>
      <c r="W95" s="1354"/>
      <c r="X95" s="1353">
        <v>43101</v>
      </c>
      <c r="Y95" s="1353">
        <v>43466</v>
      </c>
      <c r="Z95" s="1355"/>
      <c r="AA95" s="1355" t="s">
        <v>4674</v>
      </c>
      <c r="AB95" s="1356"/>
      <c r="AC95" s="1356"/>
      <c r="AD95" s="1356"/>
      <c r="AE95" s="1356"/>
      <c r="AF95" s="1357" t="str">
        <f t="shared" si="140"/>
        <v/>
      </c>
      <c r="AG95" s="1380"/>
      <c r="AH95" s="1380"/>
      <c r="AI95" s="1381">
        <v>0</v>
      </c>
      <c r="AJ95" s="1382">
        <f t="shared" si="127"/>
        <v>0</v>
      </c>
      <c r="AK95" s="1383">
        <f t="shared" si="128"/>
        <v>0</v>
      </c>
      <c r="AL95" s="1384">
        <v>0</v>
      </c>
      <c r="AM95" s="1363">
        <f t="shared" si="129"/>
        <v>0</v>
      </c>
      <c r="AN95" s="1364">
        <v>0</v>
      </c>
      <c r="AO95" s="1365">
        <f t="shared" si="130"/>
        <v>0</v>
      </c>
      <c r="AP95" s="1366">
        <v>0</v>
      </c>
      <c r="AQ95" s="1367">
        <f t="shared" si="131"/>
        <v>0</v>
      </c>
      <c r="AR95" s="1368">
        <v>0</v>
      </c>
      <c r="AS95" s="1369">
        <f t="shared" si="132"/>
        <v>0</v>
      </c>
      <c r="AT95" s="1370">
        <v>0</v>
      </c>
      <c r="AU95" s="1371">
        <f t="shared" si="133"/>
        <v>0</v>
      </c>
      <c r="AV95" s="1359">
        <f t="shared" si="134"/>
        <v>0</v>
      </c>
      <c r="AW95" s="1372">
        <f t="shared" si="135"/>
        <v>0</v>
      </c>
      <c r="AX95" s="1373">
        <f t="shared" si="136"/>
        <v>0</v>
      </c>
      <c r="AY95" s="1374">
        <f t="shared" si="137"/>
        <v>0</v>
      </c>
      <c r="AZ95" s="1375">
        <f t="shared" si="138"/>
        <v>0</v>
      </c>
      <c r="BA95" s="1376">
        <f t="shared" si="139"/>
        <v>0</v>
      </c>
      <c r="BB95" s="1377"/>
      <c r="BC95" s="1820"/>
      <c r="BD95" s="1820"/>
      <c r="BE95" s="1823"/>
      <c r="BF95" s="1826"/>
      <c r="BG95" s="1829"/>
    </row>
    <row r="96" spans="1:59" s="1378" customFormat="1" ht="38.25">
      <c r="A96" s="1347" t="str">
        <f t="shared" si="124"/>
        <v>Arena Pharamceuticals, Inc.</v>
      </c>
      <c r="B96" s="1347" t="s">
        <v>4660</v>
      </c>
      <c r="C96" s="1348">
        <f t="shared" si="125"/>
        <v>79</v>
      </c>
      <c r="D96" s="1349">
        <v>42736</v>
      </c>
      <c r="E96" s="1349"/>
      <c r="F96" s="1347" t="s">
        <v>72</v>
      </c>
      <c r="G96" s="1347" t="s">
        <v>85</v>
      </c>
      <c r="H96" s="1347" t="s">
        <v>72</v>
      </c>
      <c r="I96" s="1347" t="s">
        <v>72</v>
      </c>
      <c r="J96" s="1349" t="s">
        <v>4670</v>
      </c>
      <c r="K96" s="1349" t="s">
        <v>254</v>
      </c>
      <c r="L96" s="1350" t="s">
        <v>48</v>
      </c>
      <c r="M96" s="1350" t="s">
        <v>253</v>
      </c>
      <c r="N96" s="1390" t="s">
        <v>4703</v>
      </c>
      <c r="O96" s="1352" t="s">
        <v>4783</v>
      </c>
      <c r="P96" s="1352"/>
      <c r="Q96" s="1354"/>
      <c r="R96" s="1354"/>
      <c r="S96" s="1354"/>
      <c r="T96" s="1354"/>
      <c r="U96" s="1354"/>
      <c r="V96" s="1354"/>
      <c r="W96" s="1354"/>
      <c r="X96" s="1353">
        <v>43101</v>
      </c>
      <c r="Y96" s="1353">
        <v>43466</v>
      </c>
      <c r="Z96" s="1355"/>
      <c r="AA96" s="1355" t="s">
        <v>4674</v>
      </c>
      <c r="AB96" s="1356"/>
      <c r="AC96" s="1356"/>
      <c r="AD96" s="1356"/>
      <c r="AE96" s="1356"/>
      <c r="AF96" s="1357" t="str">
        <f t="shared" si="140"/>
        <v/>
      </c>
      <c r="AG96" s="1380"/>
      <c r="AH96" s="1380"/>
      <c r="AI96" s="1381">
        <v>0</v>
      </c>
      <c r="AJ96" s="1382">
        <f t="shared" si="127"/>
        <v>0</v>
      </c>
      <c r="AK96" s="1383">
        <f t="shared" si="128"/>
        <v>0</v>
      </c>
      <c r="AL96" s="1384">
        <v>0</v>
      </c>
      <c r="AM96" s="1363">
        <f t="shared" si="129"/>
        <v>0</v>
      </c>
      <c r="AN96" s="1364">
        <v>0</v>
      </c>
      <c r="AO96" s="1365">
        <f t="shared" si="130"/>
        <v>0</v>
      </c>
      <c r="AP96" s="1366">
        <v>0</v>
      </c>
      <c r="AQ96" s="1367">
        <f t="shared" si="131"/>
        <v>0</v>
      </c>
      <c r="AR96" s="1368">
        <v>0</v>
      </c>
      <c r="AS96" s="1369">
        <f t="shared" si="132"/>
        <v>0</v>
      </c>
      <c r="AT96" s="1370">
        <v>0</v>
      </c>
      <c r="AU96" s="1371">
        <f t="shared" si="133"/>
        <v>0</v>
      </c>
      <c r="AV96" s="1359">
        <f t="shared" si="134"/>
        <v>0</v>
      </c>
      <c r="AW96" s="1372">
        <f t="shared" si="135"/>
        <v>0</v>
      </c>
      <c r="AX96" s="1373">
        <f t="shared" si="136"/>
        <v>0</v>
      </c>
      <c r="AY96" s="1374">
        <f t="shared" si="137"/>
        <v>0</v>
      </c>
      <c r="AZ96" s="1375">
        <f t="shared" si="138"/>
        <v>0</v>
      </c>
      <c r="BA96" s="1376">
        <f t="shared" si="139"/>
        <v>0</v>
      </c>
      <c r="BB96" s="1377"/>
      <c r="BC96" s="1820"/>
      <c r="BD96" s="1820"/>
      <c r="BE96" s="1823"/>
      <c r="BF96" s="1826"/>
      <c r="BG96" s="1829"/>
    </row>
    <row r="97" spans="1:59" s="1378" customFormat="1" ht="38.25">
      <c r="A97" s="1347" t="str">
        <f t="shared" si="124"/>
        <v>Arena Pharamceuticals, Inc.</v>
      </c>
      <c r="B97" s="1347" t="s">
        <v>4660</v>
      </c>
      <c r="C97" s="1348">
        <f t="shared" si="125"/>
        <v>79</v>
      </c>
      <c r="D97" s="1349">
        <v>42736</v>
      </c>
      <c r="E97" s="1349"/>
      <c r="F97" s="1347" t="s">
        <v>72</v>
      </c>
      <c r="G97" s="1347" t="s">
        <v>113</v>
      </c>
      <c r="H97" s="1347" t="s">
        <v>72</v>
      </c>
      <c r="I97" s="1347" t="s">
        <v>113</v>
      </c>
      <c r="J97" s="1349" t="s">
        <v>4670</v>
      </c>
      <c r="K97" s="1349" t="s">
        <v>254</v>
      </c>
      <c r="L97" s="1397" t="s">
        <v>77</v>
      </c>
      <c r="M97" s="1397" t="s">
        <v>4705</v>
      </c>
      <c r="N97" s="1412" t="s">
        <v>4805</v>
      </c>
      <c r="O97" s="1399" t="s">
        <v>4747</v>
      </c>
      <c r="P97" s="1399"/>
      <c r="Q97" s="1400"/>
      <c r="R97" s="1400"/>
      <c r="S97" s="1400"/>
      <c r="T97" s="1400"/>
      <c r="U97" s="1400"/>
      <c r="V97" s="1400"/>
      <c r="W97" s="1400"/>
      <c r="X97" s="1400">
        <v>43101</v>
      </c>
      <c r="Y97" s="1400">
        <v>43466</v>
      </c>
      <c r="Z97" s="1401"/>
      <c r="AA97" s="1401" t="s">
        <v>4738</v>
      </c>
      <c r="AB97" s="1369"/>
      <c r="AC97" s="1369"/>
      <c r="AD97" s="1369"/>
      <c r="AE97" s="1369"/>
      <c r="AF97" s="1403" t="str">
        <f t="shared" si="140"/>
        <v/>
      </c>
      <c r="AG97" s="1404"/>
      <c r="AH97" s="1404"/>
      <c r="AI97" s="1405">
        <v>0</v>
      </c>
      <c r="AJ97" s="1406">
        <v>0</v>
      </c>
      <c r="AK97" s="1406">
        <v>0</v>
      </c>
      <c r="AL97" s="1384">
        <v>0</v>
      </c>
      <c r="AM97" s="1363">
        <f t="shared" si="129"/>
        <v>0</v>
      </c>
      <c r="AN97" s="1364">
        <v>0</v>
      </c>
      <c r="AO97" s="1365">
        <f t="shared" si="130"/>
        <v>0</v>
      </c>
      <c r="AP97" s="1366">
        <v>0</v>
      </c>
      <c r="AQ97" s="1367">
        <f t="shared" si="131"/>
        <v>0</v>
      </c>
      <c r="AR97" s="1368">
        <v>0</v>
      </c>
      <c r="AS97" s="1369">
        <f t="shared" si="132"/>
        <v>0</v>
      </c>
      <c r="AT97" s="1370">
        <v>0</v>
      </c>
      <c r="AU97" s="1371">
        <f t="shared" si="133"/>
        <v>0</v>
      </c>
      <c r="AV97" s="1359">
        <f t="shared" si="134"/>
        <v>0</v>
      </c>
      <c r="AW97" s="1372">
        <f t="shared" si="135"/>
        <v>0</v>
      </c>
      <c r="AX97" s="1373">
        <f t="shared" si="136"/>
        <v>0</v>
      </c>
      <c r="AY97" s="1374">
        <f t="shared" si="137"/>
        <v>0</v>
      </c>
      <c r="AZ97" s="1375">
        <f t="shared" si="138"/>
        <v>0</v>
      </c>
      <c r="BA97" s="1376">
        <f t="shared" si="139"/>
        <v>0</v>
      </c>
      <c r="BB97" s="1377"/>
      <c r="BC97" s="1820"/>
      <c r="BD97" s="1820"/>
      <c r="BE97" s="1823"/>
      <c r="BF97" s="1826"/>
      <c r="BG97" s="1829"/>
    </row>
    <row r="98" spans="1:59" s="1378" customFormat="1" ht="22.5" customHeight="1">
      <c r="A98" s="1347" t="str">
        <f>A97</f>
        <v>Arena Pharamceuticals, Inc.</v>
      </c>
      <c r="B98" s="1348" t="str">
        <f>B97</f>
        <v xml:space="preserve">HUB SD </v>
      </c>
      <c r="C98" s="1348">
        <f>C97</f>
        <v>79</v>
      </c>
      <c r="D98" s="1349">
        <v>42736</v>
      </c>
      <c r="E98" s="1349"/>
      <c r="F98" s="1347" t="s">
        <v>72</v>
      </c>
      <c r="G98" s="1347" t="s">
        <v>85</v>
      </c>
      <c r="H98" s="1347" t="s">
        <v>72</v>
      </c>
      <c r="I98" s="1347" t="s">
        <v>72</v>
      </c>
      <c r="J98" s="1349" t="s">
        <v>4670</v>
      </c>
      <c r="K98" s="1349" t="s">
        <v>254</v>
      </c>
      <c r="L98" s="1350" t="s">
        <v>3056</v>
      </c>
      <c r="M98" s="1350" t="s">
        <v>4708</v>
      </c>
      <c r="N98" s="1390" t="s">
        <v>4709</v>
      </c>
      <c r="O98" s="1352" t="s">
        <v>4710</v>
      </c>
      <c r="P98" s="1352"/>
      <c r="Q98" s="1354"/>
      <c r="R98" s="1354"/>
      <c r="S98" s="1354"/>
      <c r="T98" s="1354"/>
      <c r="U98" s="1354"/>
      <c r="V98" s="1354"/>
      <c r="W98" s="1354"/>
      <c r="X98" s="1353">
        <v>43101</v>
      </c>
      <c r="Y98" s="1353">
        <v>43466</v>
      </c>
      <c r="Z98" s="1355"/>
      <c r="AA98" s="1355" t="s">
        <v>4674</v>
      </c>
      <c r="AB98" s="1356"/>
      <c r="AC98" s="1356"/>
      <c r="AD98" s="1356"/>
      <c r="AE98" s="1356"/>
      <c r="AF98" s="1357" t="str">
        <f t="shared" si="140"/>
        <v/>
      </c>
      <c r="AG98" s="1380"/>
      <c r="AH98" s="1380"/>
      <c r="AI98" s="1381">
        <v>0</v>
      </c>
      <c r="AJ98" s="1382">
        <f>$AI98*$AG98</f>
        <v>0</v>
      </c>
      <c r="AK98" s="1383">
        <f t="shared" ref="AK98" si="141">AI98*$AH98</f>
        <v>0</v>
      </c>
      <c r="AL98" s="1384">
        <v>0</v>
      </c>
      <c r="AM98" s="1363">
        <f t="shared" si="129"/>
        <v>0</v>
      </c>
      <c r="AN98" s="1364">
        <v>0</v>
      </c>
      <c r="AO98" s="1365">
        <f t="shared" si="130"/>
        <v>0</v>
      </c>
      <c r="AP98" s="1366">
        <v>0</v>
      </c>
      <c r="AQ98" s="1367">
        <f t="shared" si="131"/>
        <v>0</v>
      </c>
      <c r="AR98" s="1368">
        <v>0</v>
      </c>
      <c r="AS98" s="1369">
        <f t="shared" si="132"/>
        <v>0</v>
      </c>
      <c r="AT98" s="1370">
        <v>0</v>
      </c>
      <c r="AU98" s="1371">
        <f t="shared" si="133"/>
        <v>0</v>
      </c>
      <c r="AV98" s="1359">
        <f t="shared" si="134"/>
        <v>0</v>
      </c>
      <c r="AW98" s="1372">
        <f t="shared" si="135"/>
        <v>0</v>
      </c>
      <c r="AX98" s="1373">
        <f t="shared" si="136"/>
        <v>0</v>
      </c>
      <c r="AY98" s="1374">
        <f t="shared" si="137"/>
        <v>0</v>
      </c>
      <c r="AZ98" s="1375">
        <f t="shared" si="138"/>
        <v>0</v>
      </c>
      <c r="BA98" s="1376">
        <f t="shared" si="139"/>
        <v>0</v>
      </c>
      <c r="BB98" s="1391"/>
      <c r="BC98" s="1821"/>
      <c r="BD98" s="1821"/>
      <c r="BE98" s="1824"/>
      <c r="BF98" s="1827"/>
      <c r="BG98" s="1830"/>
    </row>
    <row r="99" spans="1:59" s="1315" customFormat="1" ht="25.5">
      <c r="A99" s="1277" t="str">
        <f>$L$99</f>
        <v>Atum</v>
      </c>
      <c r="B99" s="1277" t="s">
        <v>4806</v>
      </c>
      <c r="C99" s="1316">
        <f>$Z$99</f>
        <v>50</v>
      </c>
      <c r="D99" s="1317">
        <v>42736</v>
      </c>
      <c r="E99" s="1317"/>
      <c r="F99" s="1277" t="s">
        <v>72</v>
      </c>
      <c r="G99" s="1277" t="s">
        <v>72</v>
      </c>
      <c r="H99" s="1277" t="s">
        <v>72</v>
      </c>
      <c r="I99" s="1277" t="s">
        <v>4711</v>
      </c>
      <c r="J99" s="1317"/>
      <c r="K99" s="1317"/>
      <c r="L99" s="1318" t="s">
        <v>103</v>
      </c>
      <c r="M99" s="1319"/>
      <c r="N99" s="1417" t="s">
        <v>3654</v>
      </c>
      <c r="O99" s="1418" t="s">
        <v>2474</v>
      </c>
      <c r="P99" s="1418"/>
      <c r="Q99" s="1322"/>
      <c r="R99" s="1322"/>
      <c r="S99" s="1322"/>
      <c r="T99" s="1322"/>
      <c r="U99" s="1322"/>
      <c r="V99" s="1322"/>
      <c r="W99" s="1322"/>
      <c r="X99" s="1317">
        <v>43101</v>
      </c>
      <c r="Y99" s="1317">
        <v>43466</v>
      </c>
      <c r="Z99" s="1316">
        <v>50</v>
      </c>
      <c r="AA99" s="1316" t="s">
        <v>4807</v>
      </c>
      <c r="AB99" s="1323">
        <f>SUM(AB100:AB100)</f>
        <v>0</v>
      </c>
      <c r="AC99" s="1323">
        <f>SUM(AC100:AC100)</f>
        <v>0</v>
      </c>
      <c r="AD99" s="1323">
        <f>SUM(AD100:AD100)</f>
        <v>0</v>
      </c>
      <c r="AE99" s="1324">
        <f>AD99-AB99</f>
        <v>0</v>
      </c>
      <c r="AF99" s="1325" t="str">
        <f>IFERROR((AE99/AB99),"")</f>
        <v/>
      </c>
      <c r="AG99" s="1326">
        <f t="shared" si="126"/>
        <v>48837.85</v>
      </c>
      <c r="AH99" s="1326">
        <f>SUM(AH100:AH100)</f>
        <v>586054.19999999995</v>
      </c>
      <c r="AI99" s="1327"/>
      <c r="AJ99" s="1328">
        <f>SUM(AJ100:AJ100)</f>
        <v>3907.0279999999998</v>
      </c>
      <c r="AK99" s="1328">
        <f>SUM(AK100:AK100)</f>
        <v>46884.335999999996</v>
      </c>
      <c r="AL99" s="1329"/>
      <c r="AM99" s="1330">
        <f>SUM(AM100:AM104)</f>
        <v>2930.2709999999997</v>
      </c>
      <c r="AN99" s="1331"/>
      <c r="AO99" s="1332">
        <f>SUM(AO100:AO104)</f>
        <v>23442.167999999998</v>
      </c>
      <c r="AP99" s="1333"/>
      <c r="AQ99" s="1334">
        <f>SUM(AQ100:AQ104)</f>
        <v>0</v>
      </c>
      <c r="AR99" s="1335"/>
      <c r="AS99" s="1336">
        <f>SUM(AS100:AS104)</f>
        <v>0</v>
      </c>
      <c r="AT99" s="1337"/>
      <c r="AU99" s="1338">
        <f>SUM(AU100:AU104)</f>
        <v>14651.355</v>
      </c>
      <c r="AV99" s="1339"/>
      <c r="AW99" s="1340">
        <f>SUM(AW100:AW104)</f>
        <v>5860.5419999999967</v>
      </c>
      <c r="AX99" s="1306"/>
      <c r="AY99" s="1307">
        <f>SUM(AW99+AS99+AU99)</f>
        <v>20511.896999999997</v>
      </c>
      <c r="AZ99" s="1341"/>
      <c r="BA99" s="1309">
        <f>SUM(AY99+AQ99)</f>
        <v>20511.896999999997</v>
      </c>
      <c r="BB99" s="1342">
        <f>(AW99+AU99)/(AK99-AM99)</f>
        <v>0.46666666666666667</v>
      </c>
      <c r="BC99" s="1343"/>
      <c r="BD99" s="1343"/>
      <c r="BE99" s="1344"/>
      <c r="BF99" s="1420" t="s">
        <v>4808</v>
      </c>
      <c r="BG99" s="1346"/>
    </row>
    <row r="100" spans="1:59" s="1396" customFormat="1" ht="61.5" customHeight="1">
      <c r="A100" s="1347" t="str">
        <f>$L$99</f>
        <v>Atum</v>
      </c>
      <c r="B100" s="1347" t="s">
        <v>4806</v>
      </c>
      <c r="C100" s="1348">
        <f>$Z$99</f>
        <v>50</v>
      </c>
      <c r="D100" s="1349">
        <v>42736</v>
      </c>
      <c r="E100" s="1349"/>
      <c r="F100" s="1347" t="s">
        <v>85</v>
      </c>
      <c r="G100" s="1347" t="s">
        <v>85</v>
      </c>
      <c r="H100" s="1347" t="s">
        <v>85</v>
      </c>
      <c r="I100" s="1347" t="s">
        <v>113</v>
      </c>
      <c r="J100" s="1349"/>
      <c r="K100" s="1349" t="s">
        <v>254</v>
      </c>
      <c r="L100" s="1350" t="s">
        <v>2661</v>
      </c>
      <c r="M100" s="1350" t="s">
        <v>3647</v>
      </c>
      <c r="N100" s="1351" t="s">
        <v>4809</v>
      </c>
      <c r="O100" s="1352" t="s">
        <v>4810</v>
      </c>
      <c r="P100" s="1352" t="s">
        <v>4811</v>
      </c>
      <c r="Q100" s="1353" t="s">
        <v>303</v>
      </c>
      <c r="R100" s="1353" t="s">
        <v>3648</v>
      </c>
      <c r="S100" s="1353" t="s">
        <v>307</v>
      </c>
      <c r="T100" s="1353" t="s">
        <v>113</v>
      </c>
      <c r="U100" s="1354"/>
      <c r="V100" s="1354"/>
      <c r="W100" s="1354"/>
      <c r="X100" s="1353">
        <v>43101</v>
      </c>
      <c r="Y100" s="1353">
        <v>43466</v>
      </c>
      <c r="Z100" s="1425"/>
      <c r="AA100" s="1355" t="s">
        <v>4667</v>
      </c>
      <c r="AB100" s="1356"/>
      <c r="AC100" s="1356"/>
      <c r="AD100" s="1356"/>
      <c r="AE100" s="1356"/>
      <c r="AF100" s="1357" t="str">
        <f>IFERROR((AE100/AB100),"")</f>
        <v/>
      </c>
      <c r="AG100" s="1358">
        <f t="shared" si="126"/>
        <v>48837.85</v>
      </c>
      <c r="AH100" s="1358">
        <v>586054.19999999995</v>
      </c>
      <c r="AI100" s="1359">
        <v>0.08</v>
      </c>
      <c r="AJ100" s="1360">
        <f>$AI100*$AG100</f>
        <v>3907.0279999999998</v>
      </c>
      <c r="AK100" s="1361">
        <f>AI100*$AH100</f>
        <v>46884.335999999996</v>
      </c>
      <c r="AL100" s="1362">
        <v>5.0000000000000001E-3</v>
      </c>
      <c r="AM100" s="1363">
        <f>AL100*$AH100</f>
        <v>2930.2709999999997</v>
      </c>
      <c r="AN100" s="1364">
        <v>0.04</v>
      </c>
      <c r="AO100" s="1365">
        <f>AN100*$AH100</f>
        <v>23442.167999999998</v>
      </c>
      <c r="AP100" s="1366">
        <v>0</v>
      </c>
      <c r="AQ100" s="1367">
        <f>AP100*$AH100</f>
        <v>0</v>
      </c>
      <c r="AR100" s="1368">
        <v>0</v>
      </c>
      <c r="AS100" s="1369">
        <f>AR100*$AH100</f>
        <v>0</v>
      </c>
      <c r="AT100" s="1370">
        <v>2.5000000000000001E-2</v>
      </c>
      <c r="AU100" s="1371">
        <f>AT100*$AH100</f>
        <v>14651.355</v>
      </c>
      <c r="AV100" s="1359">
        <f>AZ100-AR100-AT100-AP100</f>
        <v>9.999999999999995E-3</v>
      </c>
      <c r="AW100" s="1372">
        <f>AV100*$AH100</f>
        <v>5860.5419999999967</v>
      </c>
      <c r="AX100" s="1373">
        <f>$AZ100-$AP100</f>
        <v>3.4999999999999996E-2</v>
      </c>
      <c r="AY100" s="1374">
        <f>AX100*$AH100</f>
        <v>20511.896999999997</v>
      </c>
      <c r="AZ100" s="1375">
        <f>$AI100-$AL100-$AN100</f>
        <v>3.4999999999999996E-2</v>
      </c>
      <c r="BA100" s="1376">
        <f>AZ100*$AH100</f>
        <v>20511.896999999997</v>
      </c>
      <c r="BB100" s="1377"/>
      <c r="BC100" s="1819" t="s">
        <v>105</v>
      </c>
      <c r="BD100" s="1819" t="s">
        <v>228</v>
      </c>
      <c r="BE100" s="1822" t="s">
        <v>228</v>
      </c>
      <c r="BF100" s="1825" t="s">
        <v>4812</v>
      </c>
      <c r="BG100" s="1828">
        <v>743076460</v>
      </c>
    </row>
    <row r="101" spans="1:59" s="1378" customFormat="1" ht="27.75" customHeight="1">
      <c r="A101" s="1347" t="str">
        <f>$L$99</f>
        <v>Atum</v>
      </c>
      <c r="B101" s="1347" t="s">
        <v>4806</v>
      </c>
      <c r="C101" s="1348">
        <f>$Z$99</f>
        <v>50</v>
      </c>
      <c r="D101" s="1349">
        <v>42736</v>
      </c>
      <c r="E101" s="1349"/>
      <c r="F101" s="1347" t="s">
        <v>72</v>
      </c>
      <c r="G101" s="1347" t="s">
        <v>85</v>
      </c>
      <c r="H101" s="1347" t="s">
        <v>72</v>
      </c>
      <c r="I101" s="1347" t="s">
        <v>72</v>
      </c>
      <c r="J101" s="1349" t="s">
        <v>4670</v>
      </c>
      <c r="K101" s="1349" t="s">
        <v>254</v>
      </c>
      <c r="L101" s="1350" t="s">
        <v>4696</v>
      </c>
      <c r="M101" s="1350" t="s">
        <v>4697</v>
      </c>
      <c r="N101" s="1389" t="s">
        <v>4698</v>
      </c>
      <c r="O101" s="1352" t="s">
        <v>4699</v>
      </c>
      <c r="P101" s="1352"/>
      <c r="Q101" s="1354"/>
      <c r="R101" s="1354"/>
      <c r="S101" s="1354"/>
      <c r="T101" s="1354"/>
      <c r="U101" s="1354"/>
      <c r="V101" s="1354"/>
      <c r="W101" s="1354"/>
      <c r="X101" s="1353">
        <v>43101</v>
      </c>
      <c r="Y101" s="1353">
        <v>43466</v>
      </c>
      <c r="Z101" s="1355"/>
      <c r="AA101" s="1355" t="s">
        <v>4674</v>
      </c>
      <c r="AB101" s="1356"/>
      <c r="AC101" s="1356"/>
      <c r="AD101" s="1356"/>
      <c r="AE101" s="1356"/>
      <c r="AF101" s="1357" t="str">
        <f t="shared" ref="AF101" si="142">IFERROR((AE101/AB101),"")</f>
        <v/>
      </c>
      <c r="AG101" s="1380"/>
      <c r="AH101" s="1380"/>
      <c r="AI101" s="1381">
        <v>0</v>
      </c>
      <c r="AJ101" s="1382">
        <f>$AI101*$AG101</f>
        <v>0</v>
      </c>
      <c r="AK101" s="1383">
        <f t="shared" ref="AK101" si="143">AI101*$AH101</f>
        <v>0</v>
      </c>
      <c r="AL101" s="1384">
        <v>0</v>
      </c>
      <c r="AM101" s="1363">
        <f t="shared" ref="AM101" si="144">AL101*$AH101</f>
        <v>0</v>
      </c>
      <c r="AN101" s="1364">
        <v>0</v>
      </c>
      <c r="AO101" s="1365">
        <f t="shared" ref="AO101" si="145">AN101*$AH101</f>
        <v>0</v>
      </c>
      <c r="AP101" s="1366">
        <v>0</v>
      </c>
      <c r="AQ101" s="1367">
        <f t="shared" ref="AQ101" si="146">AP101*$AH101</f>
        <v>0</v>
      </c>
      <c r="AR101" s="1368">
        <v>0</v>
      </c>
      <c r="AS101" s="1369">
        <f t="shared" ref="AS101" si="147">AR101*$AH101</f>
        <v>0</v>
      </c>
      <c r="AT101" s="1370">
        <v>0</v>
      </c>
      <c r="AU101" s="1371">
        <f t="shared" ref="AU101" si="148">AT101*$AH101</f>
        <v>0</v>
      </c>
      <c r="AV101" s="1359">
        <f t="shared" ref="AV101" si="149">AZ101-AR101-AT101-AP101</f>
        <v>0</v>
      </c>
      <c r="AW101" s="1372">
        <f t="shared" ref="AW101" si="150">AV101*$AH101</f>
        <v>0</v>
      </c>
      <c r="AX101" s="1373">
        <f t="shared" ref="AX101" si="151">$AZ101-$AP101</f>
        <v>0</v>
      </c>
      <c r="AY101" s="1374">
        <f t="shared" ref="AY101" si="152">AX101*$AH101</f>
        <v>0</v>
      </c>
      <c r="AZ101" s="1375">
        <f t="shared" ref="AZ101" si="153">$AI101-$AL101-$AN101</f>
        <v>0</v>
      </c>
      <c r="BA101" s="1376">
        <f t="shared" ref="BA101" si="154">AZ101*$AH101</f>
        <v>0</v>
      </c>
      <c r="BB101" s="1377"/>
      <c r="BC101" s="1820"/>
      <c r="BD101" s="1820"/>
      <c r="BE101" s="1823"/>
      <c r="BF101" s="1826"/>
      <c r="BG101" s="1829"/>
    </row>
    <row r="102" spans="1:59" s="1378" customFormat="1" ht="63.75">
      <c r="A102" s="1347" t="str">
        <f>$L$99</f>
        <v>Atum</v>
      </c>
      <c r="B102" s="1347" t="s">
        <v>4806</v>
      </c>
      <c r="C102" s="1348">
        <f>$Z$99</f>
        <v>50</v>
      </c>
      <c r="D102" s="1349">
        <v>42736</v>
      </c>
      <c r="E102" s="1349"/>
      <c r="F102" s="1347" t="s">
        <v>72</v>
      </c>
      <c r="G102" s="1347" t="s">
        <v>113</v>
      </c>
      <c r="H102" s="1347" t="s">
        <v>72</v>
      </c>
      <c r="I102" s="1347" t="s">
        <v>113</v>
      </c>
      <c r="J102" s="1349" t="s">
        <v>4766</v>
      </c>
      <c r="K102" s="1349" t="s">
        <v>254</v>
      </c>
      <c r="L102" s="1397" t="s">
        <v>106</v>
      </c>
      <c r="M102" s="1397" t="s">
        <v>253</v>
      </c>
      <c r="N102" s="1412" t="s">
        <v>4771</v>
      </c>
      <c r="O102" s="1399" t="s">
        <v>4813</v>
      </c>
      <c r="P102" s="1399"/>
      <c r="Q102" s="1400"/>
      <c r="R102" s="1400"/>
      <c r="S102" s="1400"/>
      <c r="T102" s="1400"/>
      <c r="U102" s="1400"/>
      <c r="V102" s="1400"/>
      <c r="W102" s="1400"/>
      <c r="X102" s="1400">
        <v>43101</v>
      </c>
      <c r="Y102" s="1400">
        <v>43466</v>
      </c>
      <c r="Z102" s="1401"/>
      <c r="AA102" s="1401" t="s">
        <v>4738</v>
      </c>
      <c r="AB102" s="1369"/>
      <c r="AC102" s="1369"/>
      <c r="AD102" s="1369"/>
      <c r="AE102" s="1369"/>
      <c r="AF102" s="1403" t="str">
        <f>IFERROR((AE102/AB102),"")</f>
        <v/>
      </c>
      <c r="AG102" s="1404"/>
      <c r="AH102" s="1404"/>
      <c r="AI102" s="1405">
        <v>0</v>
      </c>
      <c r="AJ102" s="1406">
        <v>0</v>
      </c>
      <c r="AK102" s="1406">
        <v>0</v>
      </c>
      <c r="AL102" s="1384">
        <v>0</v>
      </c>
      <c r="AM102" s="1363">
        <f>AL102*$AH102</f>
        <v>0</v>
      </c>
      <c r="AN102" s="1364">
        <v>0</v>
      </c>
      <c r="AO102" s="1365">
        <f>AN102*$AH102</f>
        <v>0</v>
      </c>
      <c r="AP102" s="1366">
        <v>0</v>
      </c>
      <c r="AQ102" s="1367">
        <f>AP102*$AH102</f>
        <v>0</v>
      </c>
      <c r="AR102" s="1368">
        <v>0</v>
      </c>
      <c r="AS102" s="1369">
        <f>AR102*$AH102</f>
        <v>0</v>
      </c>
      <c r="AT102" s="1370">
        <v>0</v>
      </c>
      <c r="AU102" s="1371">
        <f>AT102*$AH102</f>
        <v>0</v>
      </c>
      <c r="AV102" s="1359">
        <f>AZ102-AR102-AT102-AP102</f>
        <v>0</v>
      </c>
      <c r="AW102" s="1372">
        <f>AV102*$AH102</f>
        <v>0</v>
      </c>
      <c r="AX102" s="1373">
        <f>$AZ102-$AP102</f>
        <v>0</v>
      </c>
      <c r="AY102" s="1374">
        <f>AX102*$AH102</f>
        <v>0</v>
      </c>
      <c r="AZ102" s="1375">
        <f>$AI102-$AL102-$AN102</f>
        <v>0</v>
      </c>
      <c r="BA102" s="1376">
        <f>AZ102*$AH102</f>
        <v>0</v>
      </c>
      <c r="BB102" s="1377"/>
      <c r="BC102" s="1820"/>
      <c r="BD102" s="1820"/>
      <c r="BE102" s="1823"/>
      <c r="BF102" s="1826"/>
      <c r="BG102" s="1829"/>
    </row>
    <row r="103" spans="1:59" s="1378" customFormat="1" ht="24.75" customHeight="1">
      <c r="A103" s="1347" t="str">
        <f>$L$99</f>
        <v>Atum</v>
      </c>
      <c r="B103" s="1347" t="s">
        <v>4806</v>
      </c>
      <c r="C103" s="1348">
        <f>$Z$99</f>
        <v>50</v>
      </c>
      <c r="D103" s="1349">
        <v>42736</v>
      </c>
      <c r="E103" s="1349"/>
      <c r="F103" s="1347" t="s">
        <v>72</v>
      </c>
      <c r="G103" s="1347" t="s">
        <v>113</v>
      </c>
      <c r="H103" s="1347" t="s">
        <v>72</v>
      </c>
      <c r="I103" s="1347" t="s">
        <v>113</v>
      </c>
      <c r="J103" s="1349" t="s">
        <v>4766</v>
      </c>
      <c r="K103" s="1349" t="s">
        <v>254</v>
      </c>
      <c r="L103" s="1397" t="s">
        <v>107</v>
      </c>
      <c r="M103" s="1397" t="s">
        <v>4705</v>
      </c>
      <c r="N103" s="1412" t="s">
        <v>4773</v>
      </c>
      <c r="O103" s="1399" t="s">
        <v>4814</v>
      </c>
      <c r="P103" s="1399"/>
      <c r="Q103" s="1400"/>
      <c r="R103" s="1400"/>
      <c r="S103" s="1400"/>
      <c r="T103" s="1400"/>
      <c r="U103" s="1400"/>
      <c r="V103" s="1400"/>
      <c r="W103" s="1400"/>
      <c r="X103" s="1400">
        <v>43101</v>
      </c>
      <c r="Y103" s="1400">
        <v>43466</v>
      </c>
      <c r="Z103" s="1401"/>
      <c r="AA103" s="1401" t="s">
        <v>4738</v>
      </c>
      <c r="AB103" s="1369"/>
      <c r="AC103" s="1369"/>
      <c r="AD103" s="1369"/>
      <c r="AE103" s="1369"/>
      <c r="AF103" s="1403" t="str">
        <f>IFERROR((AE103/AB103),"")</f>
        <v/>
      </c>
      <c r="AG103" s="1404"/>
      <c r="AH103" s="1404"/>
      <c r="AI103" s="1405">
        <v>0</v>
      </c>
      <c r="AJ103" s="1406">
        <v>0</v>
      </c>
      <c r="AK103" s="1406">
        <v>0</v>
      </c>
      <c r="AL103" s="1384">
        <v>0</v>
      </c>
      <c r="AM103" s="1363">
        <f>AL103*$AH103</f>
        <v>0</v>
      </c>
      <c r="AN103" s="1364">
        <v>0</v>
      </c>
      <c r="AO103" s="1365">
        <f>AN103*$AH103</f>
        <v>0</v>
      </c>
      <c r="AP103" s="1366">
        <v>0</v>
      </c>
      <c r="AQ103" s="1367">
        <f>AP103*$AH103</f>
        <v>0</v>
      </c>
      <c r="AR103" s="1368">
        <v>0</v>
      </c>
      <c r="AS103" s="1369">
        <f>AR103*$AH103</f>
        <v>0</v>
      </c>
      <c r="AT103" s="1370">
        <v>0</v>
      </c>
      <c r="AU103" s="1371">
        <f>AT103*$AH103</f>
        <v>0</v>
      </c>
      <c r="AV103" s="1359">
        <f>AZ103-AR103-AT103-AP103</f>
        <v>0</v>
      </c>
      <c r="AW103" s="1372">
        <f>AV103*$AH103</f>
        <v>0</v>
      </c>
      <c r="AX103" s="1373">
        <f>$AZ103-$AP103</f>
        <v>0</v>
      </c>
      <c r="AY103" s="1374">
        <f>AX103*$AH103</f>
        <v>0</v>
      </c>
      <c r="AZ103" s="1375">
        <f>$AI103-$AL103-$AN103</f>
        <v>0</v>
      </c>
      <c r="BA103" s="1376">
        <f>AZ103*$AH103</f>
        <v>0</v>
      </c>
      <c r="BB103" s="1377"/>
      <c r="BC103" s="1820"/>
      <c r="BD103" s="1820"/>
      <c r="BE103" s="1823"/>
      <c r="BF103" s="1826"/>
      <c r="BG103" s="1829"/>
    </row>
    <row r="104" spans="1:59" s="1378" customFormat="1" ht="22.5" customHeight="1">
      <c r="A104" s="1347" t="str">
        <f>A103</f>
        <v>Atum</v>
      </c>
      <c r="B104" s="1348" t="str">
        <f>B103</f>
        <v xml:space="preserve">ABD </v>
      </c>
      <c r="C104" s="1348">
        <f>C103</f>
        <v>50</v>
      </c>
      <c r="D104" s="1349">
        <v>42736</v>
      </c>
      <c r="E104" s="1349"/>
      <c r="F104" s="1347" t="s">
        <v>72</v>
      </c>
      <c r="G104" s="1347" t="s">
        <v>85</v>
      </c>
      <c r="H104" s="1347" t="s">
        <v>72</v>
      </c>
      <c r="I104" s="1347" t="s">
        <v>72</v>
      </c>
      <c r="J104" s="1349" t="s">
        <v>4670</v>
      </c>
      <c r="K104" s="1349" t="s">
        <v>254</v>
      </c>
      <c r="L104" s="1350" t="s">
        <v>3056</v>
      </c>
      <c r="M104" s="1350" t="s">
        <v>4708</v>
      </c>
      <c r="N104" s="1390" t="s">
        <v>4709</v>
      </c>
      <c r="O104" s="1352" t="s">
        <v>4710</v>
      </c>
      <c r="P104" s="1352"/>
      <c r="Q104" s="1354"/>
      <c r="R104" s="1354"/>
      <c r="S104" s="1354"/>
      <c r="T104" s="1354"/>
      <c r="U104" s="1354"/>
      <c r="V104" s="1354"/>
      <c r="W104" s="1354"/>
      <c r="X104" s="1353">
        <v>43101</v>
      </c>
      <c r="Y104" s="1353">
        <v>43466</v>
      </c>
      <c r="Z104" s="1355"/>
      <c r="AA104" s="1355" t="s">
        <v>4674</v>
      </c>
      <c r="AB104" s="1356"/>
      <c r="AC104" s="1356"/>
      <c r="AD104" s="1356"/>
      <c r="AE104" s="1356"/>
      <c r="AF104" s="1357" t="str">
        <f t="shared" ref="AF104" si="155">IFERROR((AE104/AB104),"")</f>
        <v/>
      </c>
      <c r="AG104" s="1380"/>
      <c r="AH104" s="1380"/>
      <c r="AI104" s="1381">
        <v>0</v>
      </c>
      <c r="AJ104" s="1382">
        <f>$AI104*$AG104</f>
        <v>0</v>
      </c>
      <c r="AK104" s="1383">
        <f t="shared" ref="AK104" si="156">AI104*$AH104</f>
        <v>0</v>
      </c>
      <c r="AL104" s="1384">
        <v>0</v>
      </c>
      <c r="AM104" s="1363">
        <f t="shared" ref="AM104" si="157">AL104*$AH104</f>
        <v>0</v>
      </c>
      <c r="AN104" s="1364">
        <v>0</v>
      </c>
      <c r="AO104" s="1365">
        <f t="shared" ref="AO104" si="158">AN104*$AH104</f>
        <v>0</v>
      </c>
      <c r="AP104" s="1366">
        <v>0</v>
      </c>
      <c r="AQ104" s="1367">
        <f t="shared" ref="AQ104" si="159">AP104*$AH104</f>
        <v>0</v>
      </c>
      <c r="AR104" s="1368">
        <v>0</v>
      </c>
      <c r="AS104" s="1369">
        <f t="shared" ref="AS104" si="160">AR104*$AH104</f>
        <v>0</v>
      </c>
      <c r="AT104" s="1370">
        <v>0</v>
      </c>
      <c r="AU104" s="1371">
        <f t="shared" ref="AU104" si="161">AT104*$AH104</f>
        <v>0</v>
      </c>
      <c r="AV104" s="1359">
        <f t="shared" ref="AV104" si="162">AZ104-AR104-AT104-AP104</f>
        <v>0</v>
      </c>
      <c r="AW104" s="1372">
        <f t="shared" ref="AW104" si="163">AV104*$AH104</f>
        <v>0</v>
      </c>
      <c r="AX104" s="1373">
        <f t="shared" ref="AX104" si="164">$AZ104-$AP104</f>
        <v>0</v>
      </c>
      <c r="AY104" s="1374">
        <f t="shared" ref="AY104" si="165">AX104*$AH104</f>
        <v>0</v>
      </c>
      <c r="AZ104" s="1375">
        <f t="shared" ref="AZ104" si="166">$AI104-$AL104-$AN104</f>
        <v>0</v>
      </c>
      <c r="BA104" s="1376">
        <f t="shared" ref="BA104" si="167">AZ104*$AH104</f>
        <v>0</v>
      </c>
      <c r="BB104" s="1391"/>
      <c r="BC104" s="1821"/>
      <c r="BD104" s="1821"/>
      <c r="BE104" s="1824"/>
      <c r="BF104" s="1827"/>
      <c r="BG104" s="1829"/>
    </row>
    <row r="105" spans="1:59" s="1315" customFormat="1" ht="57" customHeight="1">
      <c r="A105" s="1277" t="str">
        <f>L105</f>
        <v>aTyr Pharma, Inc.</v>
      </c>
      <c r="B105" s="1316" t="str">
        <f>N105</f>
        <v>HUB SD</v>
      </c>
      <c r="C105" s="1316">
        <f>Z105</f>
        <v>61</v>
      </c>
      <c r="D105" s="1317">
        <v>43101</v>
      </c>
      <c r="E105" s="1317"/>
      <c r="F105" s="1277" t="s">
        <v>72</v>
      </c>
      <c r="G105" s="1277" t="s">
        <v>72</v>
      </c>
      <c r="H105" s="1277" t="s">
        <v>72</v>
      </c>
      <c r="I105" s="1277" t="s">
        <v>4711</v>
      </c>
      <c r="J105" s="1317"/>
      <c r="K105" s="1317"/>
      <c r="L105" s="1318" t="s">
        <v>359</v>
      </c>
      <c r="M105" s="1319"/>
      <c r="N105" s="1320" t="s">
        <v>4661</v>
      </c>
      <c r="O105" s="1321" t="s">
        <v>2473</v>
      </c>
      <c r="P105" s="1321"/>
      <c r="Q105" s="1322"/>
      <c r="R105" s="1322"/>
      <c r="S105" s="1322"/>
      <c r="T105" s="1322"/>
      <c r="U105" s="1322"/>
      <c r="V105" s="1322"/>
      <c r="W105" s="1322"/>
      <c r="X105" s="1317">
        <v>43101</v>
      </c>
      <c r="Y105" s="1317">
        <v>43466</v>
      </c>
      <c r="Z105" s="1316">
        <v>61</v>
      </c>
      <c r="AA105" s="1316" t="s">
        <v>4815</v>
      </c>
      <c r="AB105" s="1323">
        <f>SUM(AB106:AB120)</f>
        <v>1080935</v>
      </c>
      <c r="AC105" s="1323">
        <f>SUM(AC106:AC120)</f>
        <v>1194720</v>
      </c>
      <c r="AD105" s="1323">
        <f>SUM(AD106:AD120)</f>
        <v>952563.78999999992</v>
      </c>
      <c r="AE105" s="1324">
        <f t="shared" ref="AE105:AE302" si="168">AD105-AB105</f>
        <v>-128371.21000000008</v>
      </c>
      <c r="AF105" s="1325">
        <f t="shared" si="140"/>
        <v>-0.11875941661617033</v>
      </c>
      <c r="AG105" s="1326">
        <f t="shared" si="126"/>
        <v>80298.905833333323</v>
      </c>
      <c r="AH105" s="1326">
        <f>SUM(AH106:AH120)</f>
        <v>963586.86999999988</v>
      </c>
      <c r="AI105" s="1327"/>
      <c r="AJ105" s="1328">
        <f>SUM(AJ106:AJ120)</f>
        <v>7030.456475</v>
      </c>
      <c r="AK105" s="1328">
        <f>SUM(AK106:AK120)</f>
        <v>84365.477700000003</v>
      </c>
      <c r="AL105" s="1329"/>
      <c r="AM105" s="1330">
        <f>SUM(AM106:AM120)</f>
        <v>3981.7691999999997</v>
      </c>
      <c r="AN105" s="1331"/>
      <c r="AO105" s="1332">
        <f>SUM(AO106:AO120)</f>
        <v>0</v>
      </c>
      <c r="AP105" s="1333"/>
      <c r="AQ105" s="1334">
        <f>SUM(AQ106:AQ120)</f>
        <v>0</v>
      </c>
      <c r="AR105" s="1335"/>
      <c r="AS105" s="1336">
        <f>SUM(AS106:AS120)</f>
        <v>46806.343000000001</v>
      </c>
      <c r="AT105" s="1337"/>
      <c r="AU105" s="1338">
        <f>SUM(AU106:AU120)</f>
        <v>19908.846000000001</v>
      </c>
      <c r="AV105" s="1339"/>
      <c r="AW105" s="1340">
        <f>SUM(AW106:AW120)</f>
        <v>13668.519499999997</v>
      </c>
      <c r="AX105" s="1306"/>
      <c r="AY105" s="1307">
        <f>SUM(AW105+AS105+AU105)</f>
        <v>80383.708499999993</v>
      </c>
      <c r="AZ105" s="1341"/>
      <c r="BA105" s="1309">
        <f>SUM(AY105+AQ105)</f>
        <v>80383.708499999993</v>
      </c>
      <c r="BB105" s="1342">
        <f>(AW105+AU105)/(AK105-AM105)</f>
        <v>0.41771356567854789</v>
      </c>
      <c r="BC105" s="1343"/>
      <c r="BD105" s="1343"/>
      <c r="BE105" s="1344"/>
      <c r="BF105" s="1345" t="s">
        <v>4816</v>
      </c>
      <c r="BG105" s="1346"/>
    </row>
    <row r="106" spans="1:59" s="1378" customFormat="1" ht="66" customHeight="1">
      <c r="A106" s="1347" t="str">
        <f>L105</f>
        <v>aTyr Pharma, Inc.</v>
      </c>
      <c r="B106" s="1348" t="str">
        <f>N105</f>
        <v>HUB SD</v>
      </c>
      <c r="C106" s="1348">
        <f>Z105</f>
        <v>61</v>
      </c>
      <c r="D106" s="1349">
        <v>43101</v>
      </c>
      <c r="E106" s="1349"/>
      <c r="F106" s="1347" t="s">
        <v>85</v>
      </c>
      <c r="G106" s="1347" t="s">
        <v>85</v>
      </c>
      <c r="H106" s="1347" t="s">
        <v>85</v>
      </c>
      <c r="I106" s="1347" t="s">
        <v>85</v>
      </c>
      <c r="J106" s="1349"/>
      <c r="K106" s="1349" t="s">
        <v>254</v>
      </c>
      <c r="L106" s="1350" t="s">
        <v>2661</v>
      </c>
      <c r="M106" s="1350" t="s">
        <v>3647</v>
      </c>
      <c r="N106" s="1351" t="s">
        <v>4817</v>
      </c>
      <c r="O106" s="1352" t="s">
        <v>4818</v>
      </c>
      <c r="P106" s="1352" t="s">
        <v>4819</v>
      </c>
      <c r="Q106" s="1353" t="s">
        <v>317</v>
      </c>
      <c r="R106" s="1353" t="s">
        <v>3656</v>
      </c>
      <c r="S106" s="1353" t="s">
        <v>307</v>
      </c>
      <c r="T106" s="1353" t="s">
        <v>113</v>
      </c>
      <c r="U106" s="1354"/>
      <c r="V106" s="1354"/>
      <c r="W106" s="1354"/>
      <c r="X106" s="1353">
        <v>43101</v>
      </c>
      <c r="Y106" s="1353">
        <v>43466</v>
      </c>
      <c r="Z106" s="1355"/>
      <c r="AA106" s="1355" t="s">
        <v>4667</v>
      </c>
      <c r="AB106" s="1422">
        <v>908121</v>
      </c>
      <c r="AC106" s="1422">
        <v>1021636</v>
      </c>
      <c r="AD106" s="1422">
        <f t="shared" ref="AD106:AD113" si="169">AH106</f>
        <v>796353.84</v>
      </c>
      <c r="AE106" s="1422">
        <f t="shared" si="168"/>
        <v>-111767.16000000003</v>
      </c>
      <c r="AF106" s="1423">
        <f t="shared" si="140"/>
        <v>-0.12307518491478563</v>
      </c>
      <c r="AG106" s="1358">
        <f t="shared" si="126"/>
        <v>66362.819999999992</v>
      </c>
      <c r="AH106" s="1358">
        <v>796353.84</v>
      </c>
      <c r="AI106" s="1359">
        <v>0.08</v>
      </c>
      <c r="AJ106" s="1360">
        <f t="shared" ref="AJ106:AJ120" si="170">$AI106*$AG106</f>
        <v>5309.0255999999999</v>
      </c>
      <c r="AK106" s="1361">
        <f t="shared" ref="AK106:AK120" si="171">AI106*$AH106</f>
        <v>63708.307199999996</v>
      </c>
      <c r="AL106" s="1362">
        <v>5.0000000000000001E-3</v>
      </c>
      <c r="AM106" s="1363">
        <f t="shared" ref="AM106:AM120" si="172">AL106*$AH106</f>
        <v>3981.7691999999997</v>
      </c>
      <c r="AN106" s="1364">
        <v>0</v>
      </c>
      <c r="AO106" s="1365">
        <f t="shared" ref="AO106:AO120" si="173">AN106*$AH106</f>
        <v>0</v>
      </c>
      <c r="AP106" s="1366">
        <v>0</v>
      </c>
      <c r="AQ106" s="1367">
        <f t="shared" ref="AQ106:AQ120" si="174">AP106*$AH106</f>
        <v>0</v>
      </c>
      <c r="AR106" s="1368">
        <v>0.04</v>
      </c>
      <c r="AS106" s="1369">
        <f t="shared" ref="AS106:AS120" si="175">AR106*$AH106</f>
        <v>31854.153599999998</v>
      </c>
      <c r="AT106" s="1370">
        <v>2.5000000000000001E-2</v>
      </c>
      <c r="AU106" s="1371">
        <f t="shared" ref="AU106:AU120" si="176">AT106*$AH106</f>
        <v>19908.846000000001</v>
      </c>
      <c r="AV106" s="1359">
        <f t="shared" ref="AV106:AV120" si="177">AZ106-AR106-AT106-AP106</f>
        <v>9.999999999999995E-3</v>
      </c>
      <c r="AW106" s="1372">
        <f t="shared" ref="AW106:AW120" si="178">AV106*$AH106</f>
        <v>7963.5383999999958</v>
      </c>
      <c r="AX106" s="1373">
        <f t="shared" ref="AX106:AX120" si="179">$AZ106-$AP106</f>
        <v>7.4999999999999997E-2</v>
      </c>
      <c r="AY106" s="1374">
        <f t="shared" ref="AY106:AY120" si="180">AX106*$AH106</f>
        <v>59726.537999999993</v>
      </c>
      <c r="AZ106" s="1375">
        <f t="shared" ref="AZ106:AZ120" si="181">$AI106-$AL106-$AN106</f>
        <v>7.4999999999999997E-2</v>
      </c>
      <c r="BA106" s="1376">
        <f t="shared" ref="BA106:BA120" si="182">AZ106*$AH106</f>
        <v>59726.537999999993</v>
      </c>
      <c r="BB106" s="1377"/>
      <c r="BC106" s="1820" t="s">
        <v>360</v>
      </c>
      <c r="BD106" s="1820" t="s">
        <v>373</v>
      </c>
      <c r="BE106" s="1823" t="s">
        <v>374</v>
      </c>
      <c r="BF106" s="1826" t="s">
        <v>348</v>
      </c>
      <c r="BG106" s="1829">
        <v>203435077</v>
      </c>
    </row>
    <row r="107" spans="1:59" s="1378" customFormat="1" ht="38.25">
      <c r="A107" s="1347" t="str">
        <f>L105</f>
        <v>aTyr Pharma, Inc.</v>
      </c>
      <c r="B107" s="1348" t="str">
        <f>N105</f>
        <v>HUB SD</v>
      </c>
      <c r="C107" s="1348">
        <f>Z105</f>
        <v>61</v>
      </c>
      <c r="D107" s="1349">
        <v>43101</v>
      </c>
      <c r="E107" s="1349"/>
      <c r="F107" s="1347" t="s">
        <v>72</v>
      </c>
      <c r="G107" s="1347" t="s">
        <v>113</v>
      </c>
      <c r="H107" s="1347" t="s">
        <v>72</v>
      </c>
      <c r="I107" s="1347" t="s">
        <v>72</v>
      </c>
      <c r="J107" s="1349" t="s">
        <v>4670</v>
      </c>
      <c r="K107" s="1349" t="s">
        <v>254</v>
      </c>
      <c r="L107" s="1397" t="s">
        <v>4820</v>
      </c>
      <c r="M107" s="1397" t="s">
        <v>3649</v>
      </c>
      <c r="N107" s="1410" t="s">
        <v>4820</v>
      </c>
      <c r="O107" s="1399" t="s">
        <v>4821</v>
      </c>
      <c r="P107" s="1399"/>
      <c r="Q107" s="1354"/>
      <c r="R107" s="1354"/>
      <c r="S107" s="1354"/>
      <c r="T107" s="1354"/>
      <c r="U107" s="1354"/>
      <c r="V107" s="1354"/>
      <c r="W107" s="1354"/>
      <c r="X107" s="1400">
        <v>43101</v>
      </c>
      <c r="Y107" s="1400">
        <v>43466</v>
      </c>
      <c r="Z107" s="1401"/>
      <c r="AA107" s="1401" t="s">
        <v>4738</v>
      </c>
      <c r="AB107" s="1369"/>
      <c r="AC107" s="1369"/>
      <c r="AD107" s="1369"/>
      <c r="AE107" s="1369"/>
      <c r="AF107" s="1403" t="str">
        <f t="shared" si="140"/>
        <v/>
      </c>
      <c r="AG107" s="1404"/>
      <c r="AH107" s="1404"/>
      <c r="AI107" s="1405">
        <v>0</v>
      </c>
      <c r="AJ107" s="1411">
        <f t="shared" si="170"/>
        <v>0</v>
      </c>
      <c r="AK107" s="1406">
        <f t="shared" si="171"/>
        <v>0</v>
      </c>
      <c r="AL107" s="1384">
        <v>0</v>
      </c>
      <c r="AM107" s="1363">
        <f t="shared" si="172"/>
        <v>0</v>
      </c>
      <c r="AN107" s="1364">
        <v>0</v>
      </c>
      <c r="AO107" s="1365">
        <f t="shared" si="173"/>
        <v>0</v>
      </c>
      <c r="AP107" s="1366">
        <v>0</v>
      </c>
      <c r="AQ107" s="1367">
        <f t="shared" si="174"/>
        <v>0</v>
      </c>
      <c r="AR107" s="1368">
        <v>0</v>
      </c>
      <c r="AS107" s="1369">
        <f t="shared" si="175"/>
        <v>0</v>
      </c>
      <c r="AT107" s="1370">
        <v>0</v>
      </c>
      <c r="AU107" s="1371">
        <f t="shared" si="176"/>
        <v>0</v>
      </c>
      <c r="AV107" s="1359">
        <f t="shared" si="177"/>
        <v>0</v>
      </c>
      <c r="AW107" s="1372">
        <f t="shared" si="178"/>
        <v>0</v>
      </c>
      <c r="AX107" s="1373">
        <f t="shared" si="179"/>
        <v>0</v>
      </c>
      <c r="AY107" s="1374">
        <f t="shared" si="180"/>
        <v>0</v>
      </c>
      <c r="AZ107" s="1375">
        <f t="shared" si="181"/>
        <v>0</v>
      </c>
      <c r="BA107" s="1376">
        <f t="shared" si="182"/>
        <v>0</v>
      </c>
      <c r="BB107" s="1377"/>
      <c r="BC107" s="1820"/>
      <c r="BD107" s="1820"/>
      <c r="BE107" s="1823"/>
      <c r="BF107" s="1826"/>
      <c r="BG107" s="1829"/>
    </row>
    <row r="108" spans="1:59" s="1378" customFormat="1" ht="38.25" customHeight="1">
      <c r="A108" s="1347" t="str">
        <f>L105</f>
        <v>aTyr Pharma, Inc.</v>
      </c>
      <c r="B108" s="1348" t="str">
        <f>N105</f>
        <v>HUB SD</v>
      </c>
      <c r="C108" s="1348">
        <f>Z105</f>
        <v>61</v>
      </c>
      <c r="D108" s="1349">
        <v>43101</v>
      </c>
      <c r="E108" s="1349"/>
      <c r="F108" s="1347" t="s">
        <v>113</v>
      </c>
      <c r="G108" s="1347" t="s">
        <v>85</v>
      </c>
      <c r="H108" s="1347" t="s">
        <v>85</v>
      </c>
      <c r="I108" s="1347" t="s">
        <v>85</v>
      </c>
      <c r="J108" s="1349"/>
      <c r="K108" s="1349" t="s">
        <v>254</v>
      </c>
      <c r="L108" s="1350" t="s">
        <v>4675</v>
      </c>
      <c r="M108" s="1350" t="s">
        <v>3650</v>
      </c>
      <c r="N108" s="1385" t="s">
        <v>4822</v>
      </c>
      <c r="O108" s="1352" t="s">
        <v>4677</v>
      </c>
      <c r="P108" s="1352"/>
      <c r="Q108" s="1354"/>
      <c r="R108" s="1354"/>
      <c r="S108" s="1354"/>
      <c r="T108" s="1354"/>
      <c r="U108" s="1353" t="s">
        <v>4802</v>
      </c>
      <c r="V108" s="1353" t="s">
        <v>2482</v>
      </c>
      <c r="W108" s="1354"/>
      <c r="X108" s="1353">
        <v>43101</v>
      </c>
      <c r="Y108" s="1353">
        <v>43466</v>
      </c>
      <c r="Z108" s="1355"/>
      <c r="AA108" s="1355" t="s">
        <v>4679</v>
      </c>
      <c r="AB108" s="1422">
        <v>90652</v>
      </c>
      <c r="AC108" s="1422">
        <f>AB108</f>
        <v>90652</v>
      </c>
      <c r="AD108" s="1422">
        <f t="shared" si="169"/>
        <v>76845.48</v>
      </c>
      <c r="AE108" s="1422">
        <f t="shared" si="168"/>
        <v>-13806.520000000004</v>
      </c>
      <c r="AF108" s="1423">
        <f t="shared" si="140"/>
        <v>-0.15230243127564758</v>
      </c>
      <c r="AG108" s="1358">
        <f t="shared" si="126"/>
        <v>6403.79</v>
      </c>
      <c r="AH108" s="1358">
        <v>76845.48</v>
      </c>
      <c r="AI108" s="1359">
        <v>0.1</v>
      </c>
      <c r="AJ108" s="1360">
        <f t="shared" si="170"/>
        <v>640.37900000000002</v>
      </c>
      <c r="AK108" s="1361">
        <f t="shared" si="171"/>
        <v>7684.5479999999998</v>
      </c>
      <c r="AL108" s="1384">
        <v>0</v>
      </c>
      <c r="AM108" s="1363">
        <f t="shared" si="172"/>
        <v>0</v>
      </c>
      <c r="AN108" s="1364">
        <v>0</v>
      </c>
      <c r="AO108" s="1365">
        <f t="shared" si="173"/>
        <v>0</v>
      </c>
      <c r="AP108" s="1366">
        <v>0</v>
      </c>
      <c r="AQ108" s="1367">
        <f t="shared" si="174"/>
        <v>0</v>
      </c>
      <c r="AR108" s="1368">
        <v>0.08</v>
      </c>
      <c r="AS108" s="1369">
        <f t="shared" si="175"/>
        <v>6147.6383999999998</v>
      </c>
      <c r="AT108" s="1370">
        <v>0</v>
      </c>
      <c r="AU108" s="1371">
        <f t="shared" si="176"/>
        <v>0</v>
      </c>
      <c r="AV108" s="1359">
        <f t="shared" si="177"/>
        <v>2.0000000000000004E-2</v>
      </c>
      <c r="AW108" s="1372">
        <f t="shared" si="178"/>
        <v>1536.9096000000002</v>
      </c>
      <c r="AX108" s="1373">
        <f t="shared" si="179"/>
        <v>0.1</v>
      </c>
      <c r="AY108" s="1374">
        <f t="shared" si="180"/>
        <v>7684.5479999999998</v>
      </c>
      <c r="AZ108" s="1375">
        <f t="shared" si="181"/>
        <v>0.1</v>
      </c>
      <c r="BA108" s="1376">
        <f t="shared" si="182"/>
        <v>7684.5479999999998</v>
      </c>
      <c r="BB108" s="1377"/>
      <c r="BC108" s="1820"/>
      <c r="BD108" s="1820"/>
      <c r="BE108" s="1823"/>
      <c r="BF108" s="1826"/>
      <c r="BG108" s="1829"/>
    </row>
    <row r="109" spans="1:59" s="1378" customFormat="1" ht="38.25" customHeight="1">
      <c r="A109" s="1347" t="str">
        <f>L105</f>
        <v>aTyr Pharma, Inc.</v>
      </c>
      <c r="B109" s="1348" t="str">
        <f>N105</f>
        <v>HUB SD</v>
      </c>
      <c r="C109" s="1348">
        <f>Z105</f>
        <v>61</v>
      </c>
      <c r="D109" s="1349">
        <v>43101</v>
      </c>
      <c r="E109" s="1349"/>
      <c r="F109" s="1347" t="s">
        <v>113</v>
      </c>
      <c r="G109" s="1347" t="s">
        <v>85</v>
      </c>
      <c r="H109" s="1347" t="s">
        <v>85</v>
      </c>
      <c r="I109" s="1347" t="s">
        <v>85</v>
      </c>
      <c r="J109" s="1349"/>
      <c r="K109" s="1349" t="s">
        <v>254</v>
      </c>
      <c r="L109" s="1350" t="s">
        <v>4675</v>
      </c>
      <c r="M109" s="1350" t="s">
        <v>3651</v>
      </c>
      <c r="N109" s="1351" t="s">
        <v>4823</v>
      </c>
      <c r="O109" s="1352" t="s">
        <v>4681</v>
      </c>
      <c r="P109" s="1352"/>
      <c r="Q109" s="1354"/>
      <c r="R109" s="1354"/>
      <c r="S109" s="1354"/>
      <c r="T109" s="1354"/>
      <c r="U109" s="1354"/>
      <c r="V109" s="1354"/>
      <c r="W109" s="1353" t="s">
        <v>2482</v>
      </c>
      <c r="X109" s="1353">
        <v>43101</v>
      </c>
      <c r="Y109" s="1353">
        <v>43466</v>
      </c>
      <c r="Z109" s="1355"/>
      <c r="AA109" s="1355" t="s">
        <v>4679</v>
      </c>
      <c r="AB109" s="1422">
        <v>12813</v>
      </c>
      <c r="AC109" s="1422">
        <v>13083</v>
      </c>
      <c r="AD109" s="1422">
        <f t="shared" si="169"/>
        <v>11710.2</v>
      </c>
      <c r="AE109" s="1422">
        <f t="shared" si="168"/>
        <v>-1102.7999999999993</v>
      </c>
      <c r="AF109" s="1423">
        <f t="shared" si="140"/>
        <v>-8.6068836338094062E-2</v>
      </c>
      <c r="AG109" s="1358">
        <f t="shared" si="126"/>
        <v>975.85</v>
      </c>
      <c r="AH109" s="1358">
        <v>11710.2</v>
      </c>
      <c r="AI109" s="1359">
        <v>0.1</v>
      </c>
      <c r="AJ109" s="1360">
        <f t="shared" si="170"/>
        <v>97.585000000000008</v>
      </c>
      <c r="AK109" s="1361">
        <f t="shared" si="171"/>
        <v>1171.0200000000002</v>
      </c>
      <c r="AL109" s="1384">
        <v>0</v>
      </c>
      <c r="AM109" s="1363">
        <f t="shared" si="172"/>
        <v>0</v>
      </c>
      <c r="AN109" s="1364">
        <v>0</v>
      </c>
      <c r="AO109" s="1365">
        <f t="shared" si="173"/>
        <v>0</v>
      </c>
      <c r="AP109" s="1366">
        <v>0</v>
      </c>
      <c r="AQ109" s="1367">
        <f t="shared" si="174"/>
        <v>0</v>
      </c>
      <c r="AR109" s="1368">
        <v>0.08</v>
      </c>
      <c r="AS109" s="1369">
        <f t="shared" si="175"/>
        <v>936.81600000000003</v>
      </c>
      <c r="AT109" s="1370">
        <v>0</v>
      </c>
      <c r="AU109" s="1371">
        <f t="shared" si="176"/>
        <v>0</v>
      </c>
      <c r="AV109" s="1359">
        <f t="shared" si="177"/>
        <v>2.0000000000000004E-2</v>
      </c>
      <c r="AW109" s="1372">
        <f t="shared" si="178"/>
        <v>234.20400000000006</v>
      </c>
      <c r="AX109" s="1373">
        <f t="shared" si="179"/>
        <v>0.1</v>
      </c>
      <c r="AY109" s="1374">
        <f t="shared" si="180"/>
        <v>1171.0200000000002</v>
      </c>
      <c r="AZ109" s="1375">
        <f t="shared" si="181"/>
        <v>0.1</v>
      </c>
      <c r="BA109" s="1376">
        <f t="shared" si="182"/>
        <v>1171.0200000000002</v>
      </c>
      <c r="BB109" s="1377"/>
      <c r="BC109" s="1820"/>
      <c r="BD109" s="1820"/>
      <c r="BE109" s="1823"/>
      <c r="BF109" s="1826"/>
      <c r="BG109" s="1829"/>
    </row>
    <row r="110" spans="1:59" s="1378" customFormat="1" ht="38.25">
      <c r="A110" s="1347" t="str">
        <f>L105</f>
        <v>aTyr Pharma, Inc.</v>
      </c>
      <c r="B110" s="1348" t="str">
        <f>N105</f>
        <v>HUB SD</v>
      </c>
      <c r="C110" s="1348">
        <f>Z105</f>
        <v>61</v>
      </c>
      <c r="D110" s="1349">
        <v>43101</v>
      </c>
      <c r="E110" s="1349"/>
      <c r="F110" s="1347" t="s">
        <v>113</v>
      </c>
      <c r="G110" s="1347" t="s">
        <v>85</v>
      </c>
      <c r="H110" s="1347" t="s">
        <v>85</v>
      </c>
      <c r="I110" s="1347" t="s">
        <v>85</v>
      </c>
      <c r="J110" s="1349"/>
      <c r="K110" s="1349" t="s">
        <v>254</v>
      </c>
      <c r="L110" s="1350" t="s">
        <v>4682</v>
      </c>
      <c r="M110" s="1350" t="s">
        <v>4683</v>
      </c>
      <c r="N110" s="1386" t="s">
        <v>57</v>
      </c>
      <c r="O110" s="1352" t="s">
        <v>4684</v>
      </c>
      <c r="P110" s="1387"/>
      <c r="Q110" s="1354"/>
      <c r="R110" s="1354"/>
      <c r="S110" s="1354"/>
      <c r="T110" s="1354"/>
      <c r="U110" s="1354"/>
      <c r="V110" s="1354"/>
      <c r="W110" s="1354"/>
      <c r="X110" s="1353">
        <v>43101</v>
      </c>
      <c r="Y110" s="1353">
        <v>43466</v>
      </c>
      <c r="Z110" s="1355"/>
      <c r="AA110" s="1355" t="s">
        <v>4685</v>
      </c>
      <c r="AB110" s="1422">
        <v>28432</v>
      </c>
      <c r="AC110" s="1422">
        <v>28432</v>
      </c>
      <c r="AD110" s="1422">
        <f t="shared" si="169"/>
        <v>22035.279999999999</v>
      </c>
      <c r="AE110" s="1422">
        <f t="shared" si="168"/>
        <v>-6396.7200000000012</v>
      </c>
      <c r="AF110" s="1423">
        <f t="shared" si="140"/>
        <v>-0.22498311761395615</v>
      </c>
      <c r="AG110" s="1358">
        <f t="shared" si="126"/>
        <v>1836.2733333333333</v>
      </c>
      <c r="AH110" s="1358">
        <f>18064.96+3970.32</f>
        <v>22035.279999999999</v>
      </c>
      <c r="AI110" s="1359">
        <v>0.15</v>
      </c>
      <c r="AJ110" s="1360">
        <f t="shared" si="170"/>
        <v>275.44099999999997</v>
      </c>
      <c r="AK110" s="1361">
        <f t="shared" si="171"/>
        <v>3305.2919999999999</v>
      </c>
      <c r="AL110" s="1384">
        <v>0</v>
      </c>
      <c r="AM110" s="1363">
        <f t="shared" si="172"/>
        <v>0</v>
      </c>
      <c r="AN110" s="1364">
        <v>0</v>
      </c>
      <c r="AO110" s="1365">
        <f t="shared" si="173"/>
        <v>0</v>
      </c>
      <c r="AP110" s="1366">
        <v>0</v>
      </c>
      <c r="AQ110" s="1367">
        <f t="shared" si="174"/>
        <v>0</v>
      </c>
      <c r="AR110" s="1368">
        <v>0.1</v>
      </c>
      <c r="AS110" s="1369">
        <f t="shared" si="175"/>
        <v>2203.5279999999998</v>
      </c>
      <c r="AT110" s="1370">
        <v>0</v>
      </c>
      <c r="AU110" s="1371">
        <f t="shared" si="176"/>
        <v>0</v>
      </c>
      <c r="AV110" s="1359">
        <f t="shared" si="177"/>
        <v>4.9999999999999989E-2</v>
      </c>
      <c r="AW110" s="1372">
        <f t="shared" si="178"/>
        <v>1101.7639999999997</v>
      </c>
      <c r="AX110" s="1373">
        <f t="shared" si="179"/>
        <v>0.15</v>
      </c>
      <c r="AY110" s="1374">
        <f t="shared" si="180"/>
        <v>3305.2919999999999</v>
      </c>
      <c r="AZ110" s="1375">
        <f t="shared" si="181"/>
        <v>0.15</v>
      </c>
      <c r="BA110" s="1376">
        <f t="shared" si="182"/>
        <v>3305.2919999999999</v>
      </c>
      <c r="BB110" s="1377"/>
      <c r="BC110" s="1820"/>
      <c r="BD110" s="1820"/>
      <c r="BE110" s="1823"/>
      <c r="BF110" s="1826"/>
      <c r="BG110" s="1829"/>
    </row>
    <row r="111" spans="1:59" s="1378" customFormat="1" ht="38.25">
      <c r="A111" s="1347" t="str">
        <f>L105</f>
        <v>aTyr Pharma, Inc.</v>
      </c>
      <c r="B111" s="1348" t="str">
        <f>N105</f>
        <v>HUB SD</v>
      </c>
      <c r="C111" s="1348">
        <f>Z105</f>
        <v>61</v>
      </c>
      <c r="D111" s="1349">
        <v>43101</v>
      </c>
      <c r="E111" s="1349"/>
      <c r="F111" s="1347" t="s">
        <v>113</v>
      </c>
      <c r="G111" s="1347" t="s">
        <v>85</v>
      </c>
      <c r="H111" s="1347" t="s">
        <v>85</v>
      </c>
      <c r="I111" s="1347" t="s">
        <v>113</v>
      </c>
      <c r="J111" s="1349"/>
      <c r="K111" s="1349" t="s">
        <v>254</v>
      </c>
      <c r="L111" s="1350" t="s">
        <v>4682</v>
      </c>
      <c r="M111" s="1350" t="s">
        <v>4686</v>
      </c>
      <c r="N111" s="1386" t="s">
        <v>60</v>
      </c>
      <c r="O111" s="1352" t="s">
        <v>4687</v>
      </c>
      <c r="P111" s="1387"/>
      <c r="Q111" s="1354"/>
      <c r="R111" s="1354"/>
      <c r="S111" s="1354"/>
      <c r="T111" s="1354"/>
      <c r="U111" s="1354"/>
      <c r="V111" s="1354"/>
      <c r="W111" s="1354"/>
      <c r="X111" s="1353">
        <v>43101</v>
      </c>
      <c r="Y111" s="1353">
        <v>43466</v>
      </c>
      <c r="Z111" s="1355"/>
      <c r="AA111" s="1355" t="s">
        <v>4685</v>
      </c>
      <c r="AB111" s="1356"/>
      <c r="AC111" s="1356"/>
      <c r="AD111" s="1356"/>
      <c r="AE111" s="1356"/>
      <c r="AF111" s="1357"/>
      <c r="AG111" s="1358">
        <f t="shared" si="126"/>
        <v>238.63</v>
      </c>
      <c r="AH111" s="1358">
        <v>2863.56</v>
      </c>
      <c r="AI111" s="1359">
        <v>0.15</v>
      </c>
      <c r="AJ111" s="1360">
        <f t="shared" si="170"/>
        <v>35.794499999999999</v>
      </c>
      <c r="AK111" s="1361">
        <f t="shared" si="171"/>
        <v>429.53399999999999</v>
      </c>
      <c r="AL111" s="1384">
        <v>0</v>
      </c>
      <c r="AM111" s="1363">
        <f t="shared" si="172"/>
        <v>0</v>
      </c>
      <c r="AN111" s="1364">
        <v>0</v>
      </c>
      <c r="AO111" s="1365">
        <f t="shared" si="173"/>
        <v>0</v>
      </c>
      <c r="AP111" s="1366">
        <v>0</v>
      </c>
      <c r="AQ111" s="1367">
        <f t="shared" si="174"/>
        <v>0</v>
      </c>
      <c r="AR111" s="1368">
        <v>0.1</v>
      </c>
      <c r="AS111" s="1369">
        <f t="shared" si="175"/>
        <v>286.35599999999999</v>
      </c>
      <c r="AT111" s="1370">
        <v>0</v>
      </c>
      <c r="AU111" s="1371">
        <f t="shared" si="176"/>
        <v>0</v>
      </c>
      <c r="AV111" s="1359">
        <f t="shared" si="177"/>
        <v>4.9999999999999989E-2</v>
      </c>
      <c r="AW111" s="1372">
        <f t="shared" si="178"/>
        <v>143.17799999999997</v>
      </c>
      <c r="AX111" s="1373">
        <f t="shared" si="179"/>
        <v>0.15</v>
      </c>
      <c r="AY111" s="1374">
        <f t="shared" si="180"/>
        <v>429.53399999999999</v>
      </c>
      <c r="AZ111" s="1375">
        <f t="shared" si="181"/>
        <v>0.15</v>
      </c>
      <c r="BA111" s="1376">
        <f t="shared" si="182"/>
        <v>429.53399999999999</v>
      </c>
      <c r="BB111" s="1377"/>
      <c r="BC111" s="1820"/>
      <c r="BD111" s="1820"/>
      <c r="BE111" s="1823"/>
      <c r="BF111" s="1826"/>
      <c r="BG111" s="1829"/>
    </row>
    <row r="112" spans="1:59" s="1378" customFormat="1" ht="38.25">
      <c r="A112" s="1347" t="str">
        <f>L105</f>
        <v>aTyr Pharma, Inc.</v>
      </c>
      <c r="B112" s="1348" t="str">
        <f>N105</f>
        <v>HUB SD</v>
      </c>
      <c r="C112" s="1348">
        <f>Z105</f>
        <v>61</v>
      </c>
      <c r="D112" s="1349">
        <v>43101</v>
      </c>
      <c r="E112" s="1349"/>
      <c r="F112" s="1347" t="s">
        <v>113</v>
      </c>
      <c r="G112" s="1347" t="s">
        <v>85</v>
      </c>
      <c r="H112" s="1347" t="s">
        <v>85</v>
      </c>
      <c r="I112" s="1347" t="s">
        <v>85</v>
      </c>
      <c r="J112" s="1349"/>
      <c r="K112" s="1349" t="s">
        <v>254</v>
      </c>
      <c r="L112" s="1350" t="s">
        <v>4682</v>
      </c>
      <c r="M112" s="1350" t="s">
        <v>62</v>
      </c>
      <c r="N112" s="1351" t="s">
        <v>256</v>
      </c>
      <c r="O112" s="1352" t="s">
        <v>4688</v>
      </c>
      <c r="P112" s="1352"/>
      <c r="Q112" s="1354"/>
      <c r="R112" s="1354"/>
      <c r="S112" s="1354"/>
      <c r="T112" s="1354"/>
      <c r="U112" s="1354"/>
      <c r="V112" s="1354"/>
      <c r="W112" s="1354"/>
      <c r="X112" s="1353">
        <v>43101</v>
      </c>
      <c r="Y112" s="1353">
        <v>43466</v>
      </c>
      <c r="Z112" s="1355"/>
      <c r="AA112" s="1355" t="s">
        <v>4685</v>
      </c>
      <c r="AB112" s="1422">
        <v>12241</v>
      </c>
      <c r="AC112" s="1422">
        <v>12241</v>
      </c>
      <c r="AD112" s="1422">
        <f t="shared" si="169"/>
        <v>15594.29</v>
      </c>
      <c r="AE112" s="1422">
        <f t="shared" si="168"/>
        <v>3353.2900000000009</v>
      </c>
      <c r="AF112" s="1423">
        <f t="shared" si="140"/>
        <v>0.27393922065190762</v>
      </c>
      <c r="AG112" s="1358">
        <f t="shared" si="126"/>
        <v>1299.5241666666668</v>
      </c>
      <c r="AH112" s="1358">
        <v>15594.29</v>
      </c>
      <c r="AI112" s="1359">
        <v>0.15</v>
      </c>
      <c r="AJ112" s="1360">
        <f t="shared" si="170"/>
        <v>194.92862500000001</v>
      </c>
      <c r="AK112" s="1361">
        <f t="shared" si="171"/>
        <v>2339.1435000000001</v>
      </c>
      <c r="AL112" s="1384">
        <v>0</v>
      </c>
      <c r="AM112" s="1363">
        <f t="shared" si="172"/>
        <v>0</v>
      </c>
      <c r="AN112" s="1364">
        <v>0</v>
      </c>
      <c r="AO112" s="1365">
        <f t="shared" si="173"/>
        <v>0</v>
      </c>
      <c r="AP112" s="1366">
        <v>0</v>
      </c>
      <c r="AQ112" s="1367">
        <f t="shared" si="174"/>
        <v>0</v>
      </c>
      <c r="AR112" s="1368">
        <v>0.1</v>
      </c>
      <c r="AS112" s="1369">
        <f t="shared" si="175"/>
        <v>1559.4290000000001</v>
      </c>
      <c r="AT112" s="1370">
        <v>0</v>
      </c>
      <c r="AU112" s="1371">
        <f t="shared" si="176"/>
        <v>0</v>
      </c>
      <c r="AV112" s="1359">
        <f t="shared" si="177"/>
        <v>4.9999999999999989E-2</v>
      </c>
      <c r="AW112" s="1372">
        <f t="shared" si="178"/>
        <v>779.71449999999982</v>
      </c>
      <c r="AX112" s="1373">
        <f t="shared" si="179"/>
        <v>0.15</v>
      </c>
      <c r="AY112" s="1374">
        <f t="shared" si="180"/>
        <v>2339.1435000000001</v>
      </c>
      <c r="AZ112" s="1375">
        <f t="shared" si="181"/>
        <v>0.15</v>
      </c>
      <c r="BA112" s="1376">
        <f t="shared" si="182"/>
        <v>2339.1435000000001</v>
      </c>
      <c r="BB112" s="1377"/>
      <c r="BC112" s="1820"/>
      <c r="BD112" s="1820"/>
      <c r="BE112" s="1823"/>
      <c r="BF112" s="1826"/>
      <c r="BG112" s="1829"/>
    </row>
    <row r="113" spans="1:59" s="1378" customFormat="1" ht="38.25">
      <c r="A113" s="1347" t="str">
        <f>L105</f>
        <v>aTyr Pharma, Inc.</v>
      </c>
      <c r="B113" s="1348" t="str">
        <f>N105</f>
        <v>HUB SD</v>
      </c>
      <c r="C113" s="1348">
        <f>Z105</f>
        <v>61</v>
      </c>
      <c r="D113" s="1349">
        <v>43101</v>
      </c>
      <c r="E113" s="1349"/>
      <c r="F113" s="1347" t="s">
        <v>113</v>
      </c>
      <c r="G113" s="1347" t="s">
        <v>85</v>
      </c>
      <c r="H113" s="1347" t="s">
        <v>85</v>
      </c>
      <c r="I113" s="1347" t="s">
        <v>85</v>
      </c>
      <c r="J113" s="1349"/>
      <c r="K113" s="1349" t="s">
        <v>254</v>
      </c>
      <c r="L113" s="1350" t="s">
        <v>4682</v>
      </c>
      <c r="M113" s="1350" t="s">
        <v>67</v>
      </c>
      <c r="N113" s="1351" t="s">
        <v>68</v>
      </c>
      <c r="O113" s="1352" t="s">
        <v>4689</v>
      </c>
      <c r="P113" s="1352"/>
      <c r="Q113" s="1354"/>
      <c r="R113" s="1354"/>
      <c r="S113" s="1354"/>
      <c r="T113" s="1354"/>
      <c r="U113" s="1354"/>
      <c r="V113" s="1354"/>
      <c r="W113" s="1354"/>
      <c r="X113" s="1353">
        <v>43101</v>
      </c>
      <c r="Y113" s="1353">
        <v>43466</v>
      </c>
      <c r="Z113" s="1355"/>
      <c r="AA113" s="1355" t="s">
        <v>4685</v>
      </c>
      <c r="AB113" s="1422">
        <v>28676</v>
      </c>
      <c r="AC113" s="1422">
        <v>28676</v>
      </c>
      <c r="AD113" s="1422">
        <f t="shared" si="169"/>
        <v>30024.7</v>
      </c>
      <c r="AE113" s="1422">
        <f t="shared" si="168"/>
        <v>1348.7000000000007</v>
      </c>
      <c r="AF113" s="1423">
        <f t="shared" si="140"/>
        <v>4.7032361556702491E-2</v>
      </c>
      <c r="AG113" s="1358">
        <f t="shared" si="126"/>
        <v>2502.0583333333334</v>
      </c>
      <c r="AH113" s="1358">
        <v>30024.7</v>
      </c>
      <c r="AI113" s="1359">
        <v>0.15</v>
      </c>
      <c r="AJ113" s="1360">
        <f t="shared" si="170"/>
        <v>375.30874999999997</v>
      </c>
      <c r="AK113" s="1361">
        <f t="shared" si="171"/>
        <v>4503.7049999999999</v>
      </c>
      <c r="AL113" s="1384">
        <v>0</v>
      </c>
      <c r="AM113" s="1363">
        <f t="shared" si="172"/>
        <v>0</v>
      </c>
      <c r="AN113" s="1364">
        <v>0</v>
      </c>
      <c r="AO113" s="1365">
        <f t="shared" si="173"/>
        <v>0</v>
      </c>
      <c r="AP113" s="1366">
        <v>0</v>
      </c>
      <c r="AQ113" s="1367">
        <f t="shared" si="174"/>
        <v>0</v>
      </c>
      <c r="AR113" s="1368">
        <v>0.1</v>
      </c>
      <c r="AS113" s="1369">
        <f t="shared" si="175"/>
        <v>3002.4700000000003</v>
      </c>
      <c r="AT113" s="1370">
        <v>0</v>
      </c>
      <c r="AU113" s="1371">
        <f t="shared" si="176"/>
        <v>0</v>
      </c>
      <c r="AV113" s="1359">
        <f t="shared" si="177"/>
        <v>4.9999999999999989E-2</v>
      </c>
      <c r="AW113" s="1372">
        <f t="shared" si="178"/>
        <v>1501.2349999999997</v>
      </c>
      <c r="AX113" s="1373">
        <f t="shared" si="179"/>
        <v>0.15</v>
      </c>
      <c r="AY113" s="1374">
        <f t="shared" si="180"/>
        <v>4503.7049999999999</v>
      </c>
      <c r="AZ113" s="1375">
        <f t="shared" si="181"/>
        <v>0.15</v>
      </c>
      <c r="BA113" s="1376">
        <f t="shared" si="182"/>
        <v>4503.7049999999999</v>
      </c>
      <c r="BB113" s="1377"/>
      <c r="BC113" s="1820"/>
      <c r="BD113" s="1820"/>
      <c r="BE113" s="1823"/>
      <c r="BF113" s="1826"/>
      <c r="BG113" s="1829"/>
    </row>
    <row r="114" spans="1:59" s="1378" customFormat="1" ht="38.25">
      <c r="A114" s="1347" t="str">
        <f>L$105</f>
        <v>aTyr Pharma, Inc.</v>
      </c>
      <c r="B114" s="1348" t="str">
        <f>N$105</f>
        <v>HUB SD</v>
      </c>
      <c r="C114" s="1348">
        <f>Z$105</f>
        <v>61</v>
      </c>
      <c r="D114" s="1349">
        <v>43101</v>
      </c>
      <c r="E114" s="1349"/>
      <c r="F114" s="1347" t="s">
        <v>113</v>
      </c>
      <c r="G114" s="1347" t="s">
        <v>85</v>
      </c>
      <c r="H114" s="1347" t="s">
        <v>85</v>
      </c>
      <c r="I114" s="1347" t="s">
        <v>113</v>
      </c>
      <c r="J114" s="1349" t="s">
        <v>4690</v>
      </c>
      <c r="K114" s="1349" t="s">
        <v>254</v>
      </c>
      <c r="L114" s="1350" t="s">
        <v>4682</v>
      </c>
      <c r="M114" s="1350" t="s">
        <v>4691</v>
      </c>
      <c r="N114" s="1351" t="s">
        <v>94</v>
      </c>
      <c r="O114" s="1352" t="s">
        <v>4692</v>
      </c>
      <c r="P114" s="1388"/>
      <c r="Q114" s="1354"/>
      <c r="R114" s="1354"/>
      <c r="S114" s="1354"/>
      <c r="T114" s="1354"/>
      <c r="U114" s="1354"/>
      <c r="V114" s="1354"/>
      <c r="W114" s="1354"/>
      <c r="X114" s="1353">
        <v>43101</v>
      </c>
      <c r="Y114" s="1353">
        <v>43466</v>
      </c>
      <c r="Z114" s="1355">
        <v>15</v>
      </c>
      <c r="AA114" s="1355" t="s">
        <v>4685</v>
      </c>
      <c r="AB114" s="1356"/>
      <c r="AC114" s="1356"/>
      <c r="AD114" s="1356"/>
      <c r="AE114" s="1356"/>
      <c r="AF114" s="1357" t="str">
        <f t="shared" si="140"/>
        <v/>
      </c>
      <c r="AG114" s="1358">
        <v>311.10000000000002</v>
      </c>
      <c r="AH114" s="1358">
        <f t="shared" ref="AH114:AH115" si="183">AG114*12</f>
        <v>3733.2000000000003</v>
      </c>
      <c r="AI114" s="1359">
        <v>0.15</v>
      </c>
      <c r="AJ114" s="1360">
        <f t="shared" si="170"/>
        <v>46.664999999999999</v>
      </c>
      <c r="AK114" s="1361">
        <f t="shared" si="171"/>
        <v>559.98</v>
      </c>
      <c r="AL114" s="1384">
        <v>0</v>
      </c>
      <c r="AM114" s="1363">
        <f t="shared" si="172"/>
        <v>0</v>
      </c>
      <c r="AN114" s="1364">
        <v>0</v>
      </c>
      <c r="AO114" s="1365">
        <f t="shared" si="173"/>
        <v>0</v>
      </c>
      <c r="AP114" s="1366">
        <v>0</v>
      </c>
      <c r="AQ114" s="1367">
        <f t="shared" si="174"/>
        <v>0</v>
      </c>
      <c r="AR114" s="1368">
        <v>0.1</v>
      </c>
      <c r="AS114" s="1369">
        <f t="shared" si="175"/>
        <v>373.32000000000005</v>
      </c>
      <c r="AT114" s="1370">
        <v>0</v>
      </c>
      <c r="AU114" s="1371">
        <f t="shared" si="176"/>
        <v>0</v>
      </c>
      <c r="AV114" s="1359">
        <f t="shared" si="177"/>
        <v>4.9999999999999989E-2</v>
      </c>
      <c r="AW114" s="1372">
        <f t="shared" si="178"/>
        <v>186.65999999999997</v>
      </c>
      <c r="AX114" s="1373">
        <f t="shared" si="179"/>
        <v>0.15</v>
      </c>
      <c r="AY114" s="1374">
        <f t="shared" si="180"/>
        <v>559.98</v>
      </c>
      <c r="AZ114" s="1375">
        <f t="shared" si="181"/>
        <v>0.15</v>
      </c>
      <c r="BA114" s="1376">
        <f t="shared" si="182"/>
        <v>559.98</v>
      </c>
      <c r="BB114" s="1377"/>
      <c r="BC114" s="1820"/>
      <c r="BD114" s="1820"/>
      <c r="BE114" s="1823"/>
      <c r="BF114" s="1826"/>
      <c r="BG114" s="1829"/>
    </row>
    <row r="115" spans="1:59" s="1378" customFormat="1" ht="38.25">
      <c r="A115" s="1347" t="str">
        <f>L$105</f>
        <v>aTyr Pharma, Inc.</v>
      </c>
      <c r="B115" s="1348" t="str">
        <f>N$105</f>
        <v>HUB SD</v>
      </c>
      <c r="C115" s="1348">
        <f>Z$105</f>
        <v>61</v>
      </c>
      <c r="D115" s="1349">
        <v>43101</v>
      </c>
      <c r="E115" s="1349"/>
      <c r="F115" s="1347" t="s">
        <v>113</v>
      </c>
      <c r="G115" s="1347" t="s">
        <v>85</v>
      </c>
      <c r="H115" s="1347" t="s">
        <v>85</v>
      </c>
      <c r="I115" s="1347" t="s">
        <v>113</v>
      </c>
      <c r="J115" s="1349" t="s">
        <v>4690</v>
      </c>
      <c r="K115" s="1349" t="s">
        <v>254</v>
      </c>
      <c r="L115" s="1350" t="s">
        <v>4682</v>
      </c>
      <c r="M115" s="1350" t="s">
        <v>4691</v>
      </c>
      <c r="N115" s="1351" t="s">
        <v>98</v>
      </c>
      <c r="O115" s="1352" t="s">
        <v>4693</v>
      </c>
      <c r="P115" s="1388"/>
      <c r="Q115" s="1354"/>
      <c r="R115" s="1354"/>
      <c r="S115" s="1354"/>
      <c r="T115" s="1354"/>
      <c r="U115" s="1354"/>
      <c r="V115" s="1354"/>
      <c r="W115" s="1354"/>
      <c r="X115" s="1353">
        <v>43101</v>
      </c>
      <c r="Y115" s="1353">
        <v>43466</v>
      </c>
      <c r="Z115" s="1355">
        <v>18</v>
      </c>
      <c r="AA115" s="1355" t="s">
        <v>4685</v>
      </c>
      <c r="AB115" s="1356"/>
      <c r="AC115" s="1356"/>
      <c r="AD115" s="1356"/>
      <c r="AE115" s="1356"/>
      <c r="AF115" s="1357" t="str">
        <f t="shared" si="140"/>
        <v/>
      </c>
      <c r="AG115" s="1358">
        <v>368.86</v>
      </c>
      <c r="AH115" s="1358">
        <f t="shared" si="183"/>
        <v>4426.32</v>
      </c>
      <c r="AI115" s="1359">
        <v>0.15</v>
      </c>
      <c r="AJ115" s="1360">
        <f t="shared" si="170"/>
        <v>55.329000000000001</v>
      </c>
      <c r="AK115" s="1361">
        <f t="shared" si="171"/>
        <v>663.94799999999998</v>
      </c>
      <c r="AL115" s="1384">
        <v>0</v>
      </c>
      <c r="AM115" s="1363">
        <f t="shared" si="172"/>
        <v>0</v>
      </c>
      <c r="AN115" s="1364">
        <v>0</v>
      </c>
      <c r="AO115" s="1365">
        <f t="shared" si="173"/>
        <v>0</v>
      </c>
      <c r="AP115" s="1366">
        <v>0</v>
      </c>
      <c r="AQ115" s="1367">
        <f t="shared" si="174"/>
        <v>0</v>
      </c>
      <c r="AR115" s="1368">
        <v>0.1</v>
      </c>
      <c r="AS115" s="1369">
        <f t="shared" si="175"/>
        <v>442.63200000000001</v>
      </c>
      <c r="AT115" s="1370">
        <v>0</v>
      </c>
      <c r="AU115" s="1371">
        <f t="shared" si="176"/>
        <v>0</v>
      </c>
      <c r="AV115" s="1359">
        <f t="shared" si="177"/>
        <v>4.9999999999999989E-2</v>
      </c>
      <c r="AW115" s="1372">
        <f t="shared" si="178"/>
        <v>221.31599999999995</v>
      </c>
      <c r="AX115" s="1373">
        <f t="shared" si="179"/>
        <v>0.15</v>
      </c>
      <c r="AY115" s="1374">
        <f t="shared" si="180"/>
        <v>663.94799999999998</v>
      </c>
      <c r="AZ115" s="1375">
        <f t="shared" si="181"/>
        <v>0.15</v>
      </c>
      <c r="BA115" s="1376">
        <f t="shared" si="182"/>
        <v>663.94799999999998</v>
      </c>
      <c r="BB115" s="1377"/>
      <c r="BC115" s="1820"/>
      <c r="BD115" s="1820"/>
      <c r="BE115" s="1823"/>
      <c r="BF115" s="1826"/>
      <c r="BG115" s="1829"/>
    </row>
    <row r="116" spans="1:59" s="1378" customFormat="1" ht="27.75" customHeight="1">
      <c r="A116" s="1347" t="s">
        <v>359</v>
      </c>
      <c r="B116" s="1348" t="s">
        <v>4661</v>
      </c>
      <c r="C116" s="1348">
        <v>61</v>
      </c>
      <c r="D116" s="1349">
        <v>43101</v>
      </c>
      <c r="E116" s="1349"/>
      <c r="F116" s="1347" t="s">
        <v>72</v>
      </c>
      <c r="G116" s="1347" t="s">
        <v>85</v>
      </c>
      <c r="H116" s="1347" t="s">
        <v>72</v>
      </c>
      <c r="I116" s="1347" t="s">
        <v>72</v>
      </c>
      <c r="J116" s="1349" t="s">
        <v>4670</v>
      </c>
      <c r="K116" s="1349" t="s">
        <v>254</v>
      </c>
      <c r="L116" s="1350" t="s">
        <v>4696</v>
      </c>
      <c r="M116" s="1350" t="s">
        <v>4697</v>
      </c>
      <c r="N116" s="1389" t="s">
        <v>4698</v>
      </c>
      <c r="O116" s="1352" t="s">
        <v>4699</v>
      </c>
      <c r="P116" s="1352"/>
      <c r="Q116" s="1354"/>
      <c r="R116" s="1354"/>
      <c r="S116" s="1354"/>
      <c r="T116" s="1354"/>
      <c r="U116" s="1354"/>
      <c r="V116" s="1354"/>
      <c r="W116" s="1354"/>
      <c r="X116" s="1353">
        <v>43101</v>
      </c>
      <c r="Y116" s="1353">
        <v>43466</v>
      </c>
      <c r="Z116" s="1355"/>
      <c r="AA116" s="1355" t="s">
        <v>4674</v>
      </c>
      <c r="AB116" s="1356"/>
      <c r="AC116" s="1356"/>
      <c r="AD116" s="1356"/>
      <c r="AE116" s="1356"/>
      <c r="AF116" s="1357" t="str">
        <f t="shared" si="140"/>
        <v/>
      </c>
      <c r="AG116" s="1380"/>
      <c r="AH116" s="1380"/>
      <c r="AI116" s="1381">
        <v>0</v>
      </c>
      <c r="AJ116" s="1382">
        <f t="shared" si="170"/>
        <v>0</v>
      </c>
      <c r="AK116" s="1383">
        <f t="shared" si="171"/>
        <v>0</v>
      </c>
      <c r="AL116" s="1384">
        <v>0</v>
      </c>
      <c r="AM116" s="1363">
        <f t="shared" si="172"/>
        <v>0</v>
      </c>
      <c r="AN116" s="1364">
        <v>0</v>
      </c>
      <c r="AO116" s="1365">
        <f t="shared" si="173"/>
        <v>0</v>
      </c>
      <c r="AP116" s="1366">
        <v>0</v>
      </c>
      <c r="AQ116" s="1367">
        <f t="shared" si="174"/>
        <v>0</v>
      </c>
      <c r="AR116" s="1368">
        <v>0</v>
      </c>
      <c r="AS116" s="1369">
        <f t="shared" si="175"/>
        <v>0</v>
      </c>
      <c r="AT116" s="1370">
        <v>0</v>
      </c>
      <c r="AU116" s="1371">
        <f t="shared" si="176"/>
        <v>0</v>
      </c>
      <c r="AV116" s="1359">
        <f t="shared" si="177"/>
        <v>0</v>
      </c>
      <c r="AW116" s="1372">
        <f t="shared" si="178"/>
        <v>0</v>
      </c>
      <c r="AX116" s="1373">
        <f t="shared" si="179"/>
        <v>0</v>
      </c>
      <c r="AY116" s="1374">
        <f t="shared" si="180"/>
        <v>0</v>
      </c>
      <c r="AZ116" s="1375">
        <f t="shared" si="181"/>
        <v>0</v>
      </c>
      <c r="BA116" s="1376">
        <f t="shared" si="182"/>
        <v>0</v>
      </c>
      <c r="BB116" s="1377"/>
      <c r="BC116" s="1820"/>
      <c r="BD116" s="1820"/>
      <c r="BE116" s="1823"/>
      <c r="BF116" s="1826"/>
      <c r="BG116" s="1829"/>
    </row>
    <row r="117" spans="1:59" s="1378" customFormat="1" ht="38.25">
      <c r="A117" s="1347" t="str">
        <f>L105</f>
        <v>aTyr Pharma, Inc.</v>
      </c>
      <c r="B117" s="1348" t="str">
        <f>N105</f>
        <v>HUB SD</v>
      </c>
      <c r="C117" s="1348">
        <f>Z105</f>
        <v>61</v>
      </c>
      <c r="D117" s="1349">
        <v>43101</v>
      </c>
      <c r="E117" s="1349"/>
      <c r="F117" s="1347" t="s">
        <v>72</v>
      </c>
      <c r="G117" s="1347" t="s">
        <v>4700</v>
      </c>
      <c r="H117" s="1347" t="s">
        <v>72</v>
      </c>
      <c r="I117" s="1347" t="s">
        <v>72</v>
      </c>
      <c r="J117" s="1349" t="s">
        <v>4670</v>
      </c>
      <c r="K117" s="1349" t="s">
        <v>254</v>
      </c>
      <c r="L117" s="1350" t="s">
        <v>48</v>
      </c>
      <c r="M117" s="1350" t="s">
        <v>3652</v>
      </c>
      <c r="N117" s="1390" t="s">
        <v>4824</v>
      </c>
      <c r="O117" s="1352" t="s">
        <v>4702</v>
      </c>
      <c r="P117" s="1352"/>
      <c r="Q117" s="1354"/>
      <c r="R117" s="1354"/>
      <c r="S117" s="1354"/>
      <c r="T117" s="1354"/>
      <c r="U117" s="1354"/>
      <c r="V117" s="1354"/>
      <c r="W117" s="1354"/>
      <c r="X117" s="1353">
        <v>43101</v>
      </c>
      <c r="Y117" s="1353">
        <v>43466</v>
      </c>
      <c r="Z117" s="1355"/>
      <c r="AA117" s="1355" t="s">
        <v>4674</v>
      </c>
      <c r="AB117" s="1356"/>
      <c r="AC117" s="1356"/>
      <c r="AD117" s="1356"/>
      <c r="AE117" s="1356"/>
      <c r="AF117" s="1357" t="str">
        <f t="shared" si="140"/>
        <v/>
      </c>
      <c r="AG117" s="1380"/>
      <c r="AH117" s="1380"/>
      <c r="AI117" s="1381">
        <v>0</v>
      </c>
      <c r="AJ117" s="1382">
        <f t="shared" si="170"/>
        <v>0</v>
      </c>
      <c r="AK117" s="1383">
        <f t="shared" si="171"/>
        <v>0</v>
      </c>
      <c r="AL117" s="1384">
        <v>0</v>
      </c>
      <c r="AM117" s="1363">
        <f t="shared" si="172"/>
        <v>0</v>
      </c>
      <c r="AN117" s="1364">
        <v>0</v>
      </c>
      <c r="AO117" s="1365">
        <f t="shared" si="173"/>
        <v>0</v>
      </c>
      <c r="AP117" s="1366">
        <v>0</v>
      </c>
      <c r="AQ117" s="1367">
        <f t="shared" si="174"/>
        <v>0</v>
      </c>
      <c r="AR117" s="1368">
        <v>0</v>
      </c>
      <c r="AS117" s="1369">
        <f t="shared" si="175"/>
        <v>0</v>
      </c>
      <c r="AT117" s="1370">
        <v>0</v>
      </c>
      <c r="AU117" s="1371">
        <f t="shared" si="176"/>
        <v>0</v>
      </c>
      <c r="AV117" s="1359">
        <f t="shared" si="177"/>
        <v>0</v>
      </c>
      <c r="AW117" s="1372">
        <f t="shared" si="178"/>
        <v>0</v>
      </c>
      <c r="AX117" s="1373">
        <f t="shared" si="179"/>
        <v>0</v>
      </c>
      <c r="AY117" s="1374">
        <f t="shared" si="180"/>
        <v>0</v>
      </c>
      <c r="AZ117" s="1375">
        <f t="shared" si="181"/>
        <v>0</v>
      </c>
      <c r="BA117" s="1376">
        <f t="shared" si="182"/>
        <v>0</v>
      </c>
      <c r="BB117" s="1377"/>
      <c r="BC117" s="1820"/>
      <c r="BD117" s="1820"/>
      <c r="BE117" s="1823"/>
      <c r="BF117" s="1826"/>
      <c r="BG117" s="1829"/>
    </row>
    <row r="118" spans="1:59" s="1378" customFormat="1" ht="38.25">
      <c r="A118" s="1347" t="str">
        <f>L105</f>
        <v>aTyr Pharma, Inc.</v>
      </c>
      <c r="B118" s="1348" t="str">
        <f>N105</f>
        <v>HUB SD</v>
      </c>
      <c r="C118" s="1348">
        <f>Z105</f>
        <v>61</v>
      </c>
      <c r="D118" s="1349">
        <v>43101</v>
      </c>
      <c r="E118" s="1349"/>
      <c r="F118" s="1347" t="s">
        <v>72</v>
      </c>
      <c r="G118" s="1347" t="s">
        <v>85</v>
      </c>
      <c r="H118" s="1347" t="s">
        <v>72</v>
      </c>
      <c r="I118" s="1347" t="s">
        <v>72</v>
      </c>
      <c r="J118" s="1349" t="s">
        <v>4670</v>
      </c>
      <c r="K118" s="1349" t="s">
        <v>254</v>
      </c>
      <c r="L118" s="1350" t="s">
        <v>48</v>
      </c>
      <c r="M118" s="1350" t="s">
        <v>253</v>
      </c>
      <c r="N118" s="1390" t="s">
        <v>4703</v>
      </c>
      <c r="O118" s="1352" t="s">
        <v>4704</v>
      </c>
      <c r="P118" s="1352"/>
      <c r="Q118" s="1354"/>
      <c r="R118" s="1354"/>
      <c r="S118" s="1354"/>
      <c r="T118" s="1354"/>
      <c r="U118" s="1354"/>
      <c r="V118" s="1354"/>
      <c r="W118" s="1354"/>
      <c r="X118" s="1353">
        <v>43101</v>
      </c>
      <c r="Y118" s="1353">
        <v>43466</v>
      </c>
      <c r="Z118" s="1355"/>
      <c r="AA118" s="1355" t="s">
        <v>4674</v>
      </c>
      <c r="AB118" s="1356"/>
      <c r="AC118" s="1356"/>
      <c r="AD118" s="1356"/>
      <c r="AE118" s="1356"/>
      <c r="AF118" s="1357" t="str">
        <f t="shared" si="140"/>
        <v/>
      </c>
      <c r="AG118" s="1380"/>
      <c r="AH118" s="1380"/>
      <c r="AI118" s="1381">
        <v>0</v>
      </c>
      <c r="AJ118" s="1382">
        <f t="shared" si="170"/>
        <v>0</v>
      </c>
      <c r="AK118" s="1383">
        <f t="shared" si="171"/>
        <v>0</v>
      </c>
      <c r="AL118" s="1384">
        <v>0</v>
      </c>
      <c r="AM118" s="1363">
        <f t="shared" si="172"/>
        <v>0</v>
      </c>
      <c r="AN118" s="1364">
        <v>0</v>
      </c>
      <c r="AO118" s="1365">
        <f t="shared" si="173"/>
        <v>0</v>
      </c>
      <c r="AP118" s="1366">
        <v>0</v>
      </c>
      <c r="AQ118" s="1367">
        <f t="shared" si="174"/>
        <v>0</v>
      </c>
      <c r="AR118" s="1368">
        <v>0</v>
      </c>
      <c r="AS118" s="1369">
        <f t="shared" si="175"/>
        <v>0</v>
      </c>
      <c r="AT118" s="1370">
        <v>0</v>
      </c>
      <c r="AU118" s="1371">
        <f t="shared" si="176"/>
        <v>0</v>
      </c>
      <c r="AV118" s="1359">
        <f t="shared" si="177"/>
        <v>0</v>
      </c>
      <c r="AW118" s="1372">
        <f t="shared" si="178"/>
        <v>0</v>
      </c>
      <c r="AX118" s="1373">
        <f t="shared" si="179"/>
        <v>0</v>
      </c>
      <c r="AY118" s="1374">
        <f t="shared" si="180"/>
        <v>0</v>
      </c>
      <c r="AZ118" s="1375">
        <f t="shared" si="181"/>
        <v>0</v>
      </c>
      <c r="BA118" s="1376">
        <f t="shared" si="182"/>
        <v>0</v>
      </c>
      <c r="BB118" s="1377"/>
      <c r="BC118" s="1820"/>
      <c r="BD118" s="1820"/>
      <c r="BE118" s="1823"/>
      <c r="BF118" s="1826"/>
      <c r="BG118" s="1829"/>
    </row>
    <row r="119" spans="1:59" s="1378" customFormat="1" ht="25.5" customHeight="1">
      <c r="A119" s="1347" t="str">
        <f>L105</f>
        <v>aTyr Pharma, Inc.</v>
      </c>
      <c r="B119" s="1348" t="str">
        <f>N105</f>
        <v>HUB SD</v>
      </c>
      <c r="C119" s="1348">
        <f>Z105</f>
        <v>61</v>
      </c>
      <c r="D119" s="1349">
        <v>43101</v>
      </c>
      <c r="E119" s="1349"/>
      <c r="F119" s="1347" t="s">
        <v>72</v>
      </c>
      <c r="G119" s="1347" t="s">
        <v>85</v>
      </c>
      <c r="H119" s="1347" t="s">
        <v>72</v>
      </c>
      <c r="I119" s="1347" t="s">
        <v>72</v>
      </c>
      <c r="J119" s="1349" t="s">
        <v>4670</v>
      </c>
      <c r="K119" s="1349" t="s">
        <v>254</v>
      </c>
      <c r="L119" s="1350" t="s">
        <v>49</v>
      </c>
      <c r="M119" s="1350" t="s">
        <v>4705</v>
      </c>
      <c r="N119" s="1390" t="s">
        <v>4706</v>
      </c>
      <c r="O119" s="1352" t="s">
        <v>4707</v>
      </c>
      <c r="P119" s="1352"/>
      <c r="Q119" s="1354"/>
      <c r="R119" s="1354"/>
      <c r="S119" s="1354"/>
      <c r="T119" s="1354"/>
      <c r="U119" s="1354"/>
      <c r="V119" s="1354"/>
      <c r="W119" s="1354"/>
      <c r="X119" s="1353">
        <v>43101</v>
      </c>
      <c r="Y119" s="1353">
        <v>43466</v>
      </c>
      <c r="Z119" s="1355"/>
      <c r="AA119" s="1355" t="s">
        <v>4674</v>
      </c>
      <c r="AB119" s="1356"/>
      <c r="AC119" s="1356"/>
      <c r="AD119" s="1356"/>
      <c r="AE119" s="1356"/>
      <c r="AF119" s="1357" t="str">
        <f t="shared" si="140"/>
        <v/>
      </c>
      <c r="AG119" s="1380"/>
      <c r="AH119" s="1380"/>
      <c r="AI119" s="1381">
        <v>0</v>
      </c>
      <c r="AJ119" s="1382">
        <f t="shared" si="170"/>
        <v>0</v>
      </c>
      <c r="AK119" s="1383">
        <f t="shared" si="171"/>
        <v>0</v>
      </c>
      <c r="AL119" s="1384">
        <v>0</v>
      </c>
      <c r="AM119" s="1363">
        <f t="shared" si="172"/>
        <v>0</v>
      </c>
      <c r="AN119" s="1364">
        <v>0</v>
      </c>
      <c r="AO119" s="1365">
        <f t="shared" si="173"/>
        <v>0</v>
      </c>
      <c r="AP119" s="1366">
        <v>0</v>
      </c>
      <c r="AQ119" s="1367">
        <f t="shared" si="174"/>
        <v>0</v>
      </c>
      <c r="AR119" s="1368">
        <v>0</v>
      </c>
      <c r="AS119" s="1369">
        <f t="shared" si="175"/>
        <v>0</v>
      </c>
      <c r="AT119" s="1370">
        <v>0</v>
      </c>
      <c r="AU119" s="1371">
        <f t="shared" si="176"/>
        <v>0</v>
      </c>
      <c r="AV119" s="1359">
        <f t="shared" si="177"/>
        <v>0</v>
      </c>
      <c r="AW119" s="1372">
        <f t="shared" si="178"/>
        <v>0</v>
      </c>
      <c r="AX119" s="1373">
        <f t="shared" si="179"/>
        <v>0</v>
      </c>
      <c r="AY119" s="1374">
        <f t="shared" si="180"/>
        <v>0</v>
      </c>
      <c r="AZ119" s="1375">
        <f t="shared" si="181"/>
        <v>0</v>
      </c>
      <c r="BA119" s="1376">
        <f t="shared" si="182"/>
        <v>0</v>
      </c>
      <c r="BB119" s="1377"/>
      <c r="BC119" s="1820"/>
      <c r="BD119" s="1820"/>
      <c r="BE119" s="1823"/>
      <c r="BF119" s="1826"/>
      <c r="BG119" s="1829"/>
    </row>
    <row r="120" spans="1:59" s="1378" customFormat="1" ht="22.5" customHeight="1">
      <c r="A120" s="1347" t="str">
        <f>A119</f>
        <v>aTyr Pharma, Inc.</v>
      </c>
      <c r="B120" s="1348" t="str">
        <f>B119</f>
        <v>HUB SD</v>
      </c>
      <c r="C120" s="1348">
        <f>C119</f>
        <v>61</v>
      </c>
      <c r="D120" s="1349">
        <v>43101</v>
      </c>
      <c r="E120" s="1349"/>
      <c r="F120" s="1347" t="s">
        <v>72</v>
      </c>
      <c r="G120" s="1347" t="s">
        <v>85</v>
      </c>
      <c r="H120" s="1347" t="s">
        <v>72</v>
      </c>
      <c r="I120" s="1347" t="s">
        <v>72</v>
      </c>
      <c r="J120" s="1349" t="s">
        <v>4670</v>
      </c>
      <c r="K120" s="1349" t="s">
        <v>254</v>
      </c>
      <c r="L120" s="1350" t="s">
        <v>3056</v>
      </c>
      <c r="M120" s="1350" t="s">
        <v>4708</v>
      </c>
      <c r="N120" s="1390" t="s">
        <v>4709</v>
      </c>
      <c r="O120" s="1352" t="s">
        <v>4710</v>
      </c>
      <c r="P120" s="1352"/>
      <c r="Q120" s="1354"/>
      <c r="R120" s="1354"/>
      <c r="S120" s="1354"/>
      <c r="T120" s="1354"/>
      <c r="U120" s="1354"/>
      <c r="V120" s="1354"/>
      <c r="W120" s="1354"/>
      <c r="X120" s="1353">
        <v>43101</v>
      </c>
      <c r="Y120" s="1353">
        <v>43466</v>
      </c>
      <c r="Z120" s="1355"/>
      <c r="AA120" s="1355" t="s">
        <v>4674</v>
      </c>
      <c r="AB120" s="1356"/>
      <c r="AC120" s="1356"/>
      <c r="AD120" s="1356"/>
      <c r="AE120" s="1356"/>
      <c r="AF120" s="1357" t="str">
        <f t="shared" si="140"/>
        <v/>
      </c>
      <c r="AG120" s="1380"/>
      <c r="AH120" s="1380"/>
      <c r="AI120" s="1381">
        <v>0</v>
      </c>
      <c r="AJ120" s="1382">
        <f t="shared" si="170"/>
        <v>0</v>
      </c>
      <c r="AK120" s="1383">
        <f t="shared" si="171"/>
        <v>0</v>
      </c>
      <c r="AL120" s="1384">
        <v>0</v>
      </c>
      <c r="AM120" s="1363">
        <f t="shared" si="172"/>
        <v>0</v>
      </c>
      <c r="AN120" s="1364">
        <v>0</v>
      </c>
      <c r="AO120" s="1365">
        <f t="shared" si="173"/>
        <v>0</v>
      </c>
      <c r="AP120" s="1366">
        <v>0</v>
      </c>
      <c r="AQ120" s="1367">
        <f t="shared" si="174"/>
        <v>0</v>
      </c>
      <c r="AR120" s="1368">
        <v>0</v>
      </c>
      <c r="AS120" s="1369">
        <f t="shared" si="175"/>
        <v>0</v>
      </c>
      <c r="AT120" s="1370">
        <v>0</v>
      </c>
      <c r="AU120" s="1371">
        <f t="shared" si="176"/>
        <v>0</v>
      </c>
      <c r="AV120" s="1359">
        <f t="shared" si="177"/>
        <v>0</v>
      </c>
      <c r="AW120" s="1372">
        <f t="shared" si="178"/>
        <v>0</v>
      </c>
      <c r="AX120" s="1373">
        <f t="shared" si="179"/>
        <v>0</v>
      </c>
      <c r="AY120" s="1374">
        <f t="shared" si="180"/>
        <v>0</v>
      </c>
      <c r="AZ120" s="1375">
        <f t="shared" si="181"/>
        <v>0</v>
      </c>
      <c r="BA120" s="1376">
        <f t="shared" si="182"/>
        <v>0</v>
      </c>
      <c r="BB120" s="1391"/>
      <c r="BC120" s="1821"/>
      <c r="BD120" s="1821"/>
      <c r="BE120" s="1824"/>
      <c r="BF120" s="1827"/>
      <c r="BG120" s="1830"/>
    </row>
    <row r="121" spans="1:59" s="1315" customFormat="1" ht="26.25" customHeight="1">
      <c r="A121" s="1277" t="str">
        <f>L121</f>
        <v>Beacon Discovery, Inc.</v>
      </c>
      <c r="B121" s="1316" t="str">
        <f>N$1012</f>
        <v>HUB SD</v>
      </c>
      <c r="C121" s="1316">
        <f>Z121</f>
        <v>25</v>
      </c>
      <c r="D121" s="1317">
        <v>43282</v>
      </c>
      <c r="E121" s="1317"/>
      <c r="F121" s="1277" t="s">
        <v>72</v>
      </c>
      <c r="G121" s="1277" t="s">
        <v>72</v>
      </c>
      <c r="H121" s="1277" t="s">
        <v>72</v>
      </c>
      <c r="I121" s="1277" t="s">
        <v>4711</v>
      </c>
      <c r="J121" s="1317"/>
      <c r="K121" s="1317"/>
      <c r="L121" s="1318" t="s">
        <v>4573</v>
      </c>
      <c r="M121" s="1318"/>
      <c r="N121" s="1320" t="s">
        <v>4661</v>
      </c>
      <c r="O121" s="1321" t="s">
        <v>2473</v>
      </c>
      <c r="P121" s="1419"/>
      <c r="Q121" s="1322"/>
      <c r="R121" s="1322"/>
      <c r="S121" s="1322"/>
      <c r="T121" s="1322"/>
      <c r="U121" s="1322"/>
      <c r="V121" s="1322"/>
      <c r="W121" s="1322"/>
      <c r="X121" s="1317">
        <v>43282</v>
      </c>
      <c r="Y121" s="1317">
        <v>43466</v>
      </c>
      <c r="Z121" s="1316">
        <v>25</v>
      </c>
      <c r="AA121" s="1316" t="s">
        <v>4825</v>
      </c>
      <c r="AB121" s="1323">
        <f>SUM(AB122:AB136)</f>
        <v>367781</v>
      </c>
      <c r="AC121" s="1323">
        <f>SUM(AC122:AC136)</f>
        <v>0</v>
      </c>
      <c r="AD121" s="1323">
        <f>SUM(AD122:AD136)</f>
        <v>0</v>
      </c>
      <c r="AE121" s="1324">
        <f t="shared" ref="AE121:AE148" si="184">AD121-AB121</f>
        <v>-367781</v>
      </c>
      <c r="AF121" s="1325">
        <f t="shared" si="140"/>
        <v>-1</v>
      </c>
      <c r="AG121" s="1326">
        <f>SUM(AG122:AG136)</f>
        <v>0</v>
      </c>
      <c r="AH121" s="1326">
        <f>SUM(AH122:AH136)</f>
        <v>0</v>
      </c>
      <c r="AI121" s="1339"/>
      <c r="AJ121" s="1328">
        <f>SUM(AJ122:AJ136)</f>
        <v>0</v>
      </c>
      <c r="AK121" s="1328">
        <f>SUM(AK122:AK136)</f>
        <v>0</v>
      </c>
      <c r="AL121" s="1329"/>
      <c r="AM121" s="1330">
        <f>SUM(AM122:AM136)</f>
        <v>0</v>
      </c>
      <c r="AN121" s="1331"/>
      <c r="AO121" s="1332">
        <f>SUM(AO122:AO136)</f>
        <v>0</v>
      </c>
      <c r="AP121" s="1333"/>
      <c r="AQ121" s="1334">
        <f>SUM(AQ122:AQ136)</f>
        <v>0</v>
      </c>
      <c r="AR121" s="1335"/>
      <c r="AS121" s="1336">
        <f>SUM(AS122:AS136)</f>
        <v>0</v>
      </c>
      <c r="AT121" s="1337"/>
      <c r="AU121" s="1338">
        <f>SUM(AU122:AU136)</f>
        <v>0</v>
      </c>
      <c r="AV121" s="1339"/>
      <c r="AW121" s="1340">
        <f>SUM(AW122:AW136)</f>
        <v>0</v>
      </c>
      <c r="AX121" s="1306"/>
      <c r="AY121" s="1307">
        <f>SUM(AW121+AS121+AU121)</f>
        <v>0</v>
      </c>
      <c r="AZ121" s="1341"/>
      <c r="BA121" s="1309">
        <f>SUM(AY121+AQ121)</f>
        <v>0</v>
      </c>
      <c r="BB121" s="1342" t="e">
        <f>(AW121+AU121)/(AK121-AM121)</f>
        <v>#DIV/0!</v>
      </c>
      <c r="BC121" s="1343"/>
      <c r="BD121" s="1343"/>
      <c r="BE121" s="1344"/>
      <c r="BF121" s="1345" t="s">
        <v>4826</v>
      </c>
      <c r="BG121" s="1346"/>
    </row>
    <row r="122" spans="1:59" s="1378" customFormat="1" ht="76.5">
      <c r="A122" s="1347" t="str">
        <f t="shared" ref="A122:A136" si="185">L$121</f>
        <v>Beacon Discovery, Inc.</v>
      </c>
      <c r="B122" s="1348" t="str">
        <f t="shared" ref="B122:B136" si="186">N$121</f>
        <v>HUB SD</v>
      </c>
      <c r="C122" s="1348">
        <f t="shared" ref="C122:C136" si="187">Z$121</f>
        <v>25</v>
      </c>
      <c r="D122" s="1349">
        <f t="shared" ref="D122:D136" si="188">D$121</f>
        <v>43282</v>
      </c>
      <c r="E122" s="1349"/>
      <c r="F122" s="1347" t="s">
        <v>85</v>
      </c>
      <c r="G122" s="1347" t="s">
        <v>85</v>
      </c>
      <c r="H122" s="1347" t="s">
        <v>85</v>
      </c>
      <c r="I122" s="1347" t="s">
        <v>85</v>
      </c>
      <c r="J122" s="1349"/>
      <c r="K122" s="1349" t="s">
        <v>254</v>
      </c>
      <c r="L122" s="1350" t="s">
        <v>2661</v>
      </c>
      <c r="M122" s="1350" t="s">
        <v>3647</v>
      </c>
      <c r="N122" s="1351" t="s">
        <v>4827</v>
      </c>
      <c r="O122" s="1352" t="s">
        <v>4828</v>
      </c>
      <c r="P122" s="1352" t="s">
        <v>4829</v>
      </c>
      <c r="Q122" s="1353" t="s">
        <v>317</v>
      </c>
      <c r="R122" s="1353" t="s">
        <v>3656</v>
      </c>
      <c r="S122" s="1353" t="s">
        <v>307</v>
      </c>
      <c r="T122" s="1353" t="s">
        <v>113</v>
      </c>
      <c r="U122" s="1354"/>
      <c r="V122" s="1354"/>
      <c r="W122" s="1354"/>
      <c r="X122" s="1353">
        <f t="shared" ref="X122:Y136" si="189">X$121</f>
        <v>43282</v>
      </c>
      <c r="Y122" s="1353">
        <f t="shared" si="189"/>
        <v>43466</v>
      </c>
      <c r="Z122" s="1355"/>
      <c r="AA122" s="1355" t="s">
        <v>4667</v>
      </c>
      <c r="AB122" s="1422">
        <v>328972</v>
      </c>
      <c r="AC122" s="1356"/>
      <c r="AD122" s="1422">
        <f>AH122</f>
        <v>0</v>
      </c>
      <c r="AE122" s="1422">
        <f t="shared" si="184"/>
        <v>-328972</v>
      </c>
      <c r="AF122" s="1423">
        <f t="shared" si="140"/>
        <v>-1</v>
      </c>
      <c r="AG122" s="1358">
        <v>0</v>
      </c>
      <c r="AH122" s="1426">
        <f t="shared" ref="AH122" si="190">AG122*12</f>
        <v>0</v>
      </c>
      <c r="AI122" s="1359">
        <v>0.08</v>
      </c>
      <c r="AJ122" s="1360">
        <f>$AI122*$AG122</f>
        <v>0</v>
      </c>
      <c r="AK122" s="1361">
        <f t="shared" ref="AK122" si="191">AI122*$AH122</f>
        <v>0</v>
      </c>
      <c r="AL122" s="1362">
        <v>5.0000000000000001E-3</v>
      </c>
      <c r="AM122" s="1363">
        <f t="shared" ref="AM122:AM136" si="192">AL122*$AH122</f>
        <v>0</v>
      </c>
      <c r="AN122" s="1364">
        <v>0</v>
      </c>
      <c r="AO122" s="1365">
        <f t="shared" ref="AO122:AO136" si="193">AN122*$AH122</f>
        <v>0</v>
      </c>
      <c r="AP122" s="1366">
        <v>0</v>
      </c>
      <c r="AQ122" s="1367">
        <f t="shared" ref="AQ122:AQ136" si="194">AP122*$AH122</f>
        <v>0</v>
      </c>
      <c r="AR122" s="1368">
        <v>0.04</v>
      </c>
      <c r="AS122" s="1369">
        <f t="shared" ref="AS122:AS136" si="195">AR122*$AH122</f>
        <v>0</v>
      </c>
      <c r="AT122" s="1370">
        <v>2.5000000000000001E-2</v>
      </c>
      <c r="AU122" s="1371">
        <f t="shared" ref="AU122:AU136" si="196">AT122*$AH122</f>
        <v>0</v>
      </c>
      <c r="AV122" s="1359">
        <f t="shared" ref="AV122:AV136" si="197">AZ122-AR122-AT122-AP122</f>
        <v>9.999999999999995E-3</v>
      </c>
      <c r="AW122" s="1372">
        <f t="shared" ref="AW122:AW136" si="198">AV122*$AH122</f>
        <v>0</v>
      </c>
      <c r="AX122" s="1373">
        <f t="shared" ref="AX122:AX136" si="199">$AZ122-$AP122</f>
        <v>7.4999999999999997E-2</v>
      </c>
      <c r="AY122" s="1374">
        <f t="shared" ref="AY122:AY136" si="200">AX122*$AH122</f>
        <v>0</v>
      </c>
      <c r="AZ122" s="1375">
        <f t="shared" ref="AZ122:AZ136" si="201">$AI122-$AL122-$AN122</f>
        <v>7.4999999999999997E-2</v>
      </c>
      <c r="BA122" s="1376">
        <f t="shared" ref="BA122:BA136" si="202">AZ122*$AH122</f>
        <v>0</v>
      </c>
      <c r="BB122" s="1391"/>
      <c r="BC122" s="1819" t="s">
        <v>4572</v>
      </c>
      <c r="BD122" s="1819" t="s">
        <v>4574</v>
      </c>
      <c r="BE122" s="1822" t="s">
        <v>4574</v>
      </c>
      <c r="BF122" s="1834" t="s">
        <v>4830</v>
      </c>
      <c r="BG122" s="1828" t="s">
        <v>4601</v>
      </c>
    </row>
    <row r="123" spans="1:59" s="1378" customFormat="1" ht="38.25">
      <c r="A123" s="1347" t="str">
        <f t="shared" si="185"/>
        <v>Beacon Discovery, Inc.</v>
      </c>
      <c r="B123" s="1348" t="str">
        <f t="shared" si="186"/>
        <v>HUB SD</v>
      </c>
      <c r="C123" s="1348">
        <f t="shared" si="187"/>
        <v>25</v>
      </c>
      <c r="D123" s="1349">
        <f t="shared" si="188"/>
        <v>43282</v>
      </c>
      <c r="E123" s="1349"/>
      <c r="F123" s="1347" t="s">
        <v>72</v>
      </c>
      <c r="G123" s="1347" t="s">
        <v>85</v>
      </c>
      <c r="H123" s="1347" t="s">
        <v>72</v>
      </c>
      <c r="I123" s="1347" t="s">
        <v>72</v>
      </c>
      <c r="J123" s="1349" t="s">
        <v>4670</v>
      </c>
      <c r="K123" s="1349" t="s">
        <v>254</v>
      </c>
      <c r="L123" s="1350" t="s">
        <v>4671</v>
      </c>
      <c r="M123" s="1350" t="s">
        <v>3649</v>
      </c>
      <c r="N123" s="1379" t="s">
        <v>4831</v>
      </c>
      <c r="O123" s="1352" t="s">
        <v>4832</v>
      </c>
      <c r="P123" s="1388"/>
      <c r="Q123" s="1354"/>
      <c r="R123" s="1354"/>
      <c r="S123" s="1354"/>
      <c r="T123" s="1354"/>
      <c r="U123" s="1354"/>
      <c r="V123" s="1354"/>
      <c r="W123" s="1354"/>
      <c r="X123" s="1353">
        <f t="shared" si="189"/>
        <v>43282</v>
      </c>
      <c r="Y123" s="1353">
        <f t="shared" si="189"/>
        <v>43466</v>
      </c>
      <c r="Z123" s="1355"/>
      <c r="AA123" s="1355" t="s">
        <v>4674</v>
      </c>
      <c r="AB123" s="1356"/>
      <c r="AC123" s="1356"/>
      <c r="AD123" s="1422">
        <v>0</v>
      </c>
      <c r="AE123" s="1422">
        <f t="shared" si="184"/>
        <v>0</v>
      </c>
      <c r="AF123" s="1423" t="str">
        <f t="shared" si="140"/>
        <v/>
      </c>
      <c r="AG123" s="1380"/>
      <c r="AH123" s="1380"/>
      <c r="AI123" s="1381">
        <v>0</v>
      </c>
      <c r="AJ123" s="1382"/>
      <c r="AK123" s="1383">
        <f>AI123*$AH123</f>
        <v>0</v>
      </c>
      <c r="AL123" s="1384">
        <v>0</v>
      </c>
      <c r="AM123" s="1363">
        <f t="shared" si="192"/>
        <v>0</v>
      </c>
      <c r="AN123" s="1364">
        <v>0</v>
      </c>
      <c r="AO123" s="1365">
        <f t="shared" si="193"/>
        <v>0</v>
      </c>
      <c r="AP123" s="1366">
        <v>0</v>
      </c>
      <c r="AQ123" s="1367">
        <f t="shared" si="194"/>
        <v>0</v>
      </c>
      <c r="AR123" s="1368">
        <v>0</v>
      </c>
      <c r="AS123" s="1369">
        <f t="shared" si="195"/>
        <v>0</v>
      </c>
      <c r="AT123" s="1370">
        <v>0</v>
      </c>
      <c r="AU123" s="1371">
        <f t="shared" si="196"/>
        <v>0</v>
      </c>
      <c r="AV123" s="1359">
        <f t="shared" si="197"/>
        <v>0</v>
      </c>
      <c r="AW123" s="1372">
        <f t="shared" si="198"/>
        <v>0</v>
      </c>
      <c r="AX123" s="1373">
        <f t="shared" si="199"/>
        <v>0</v>
      </c>
      <c r="AY123" s="1374">
        <f t="shared" si="200"/>
        <v>0</v>
      </c>
      <c r="AZ123" s="1375">
        <f t="shared" si="201"/>
        <v>0</v>
      </c>
      <c r="BA123" s="1376">
        <f t="shared" si="202"/>
        <v>0</v>
      </c>
      <c r="BB123" s="1391"/>
      <c r="BC123" s="1820"/>
      <c r="BD123" s="1820"/>
      <c r="BE123" s="1823"/>
      <c r="BF123" s="1834"/>
      <c r="BG123" s="1829"/>
    </row>
    <row r="124" spans="1:59" s="1378" customFormat="1" ht="38.25">
      <c r="A124" s="1347" t="str">
        <f t="shared" si="185"/>
        <v>Beacon Discovery, Inc.</v>
      </c>
      <c r="B124" s="1348" t="str">
        <f t="shared" si="186"/>
        <v>HUB SD</v>
      </c>
      <c r="C124" s="1348">
        <f t="shared" si="187"/>
        <v>25</v>
      </c>
      <c r="D124" s="1349">
        <f t="shared" si="188"/>
        <v>43282</v>
      </c>
      <c r="E124" s="1349"/>
      <c r="F124" s="1347" t="s">
        <v>113</v>
      </c>
      <c r="G124" s="1347" t="s">
        <v>85</v>
      </c>
      <c r="H124" s="1347" t="s">
        <v>85</v>
      </c>
      <c r="I124" s="1347" t="s">
        <v>85</v>
      </c>
      <c r="J124" s="1349"/>
      <c r="K124" s="1349" t="s">
        <v>254</v>
      </c>
      <c r="L124" s="1350" t="s">
        <v>4675</v>
      </c>
      <c r="M124" s="1350" t="s">
        <v>3650</v>
      </c>
      <c r="N124" s="1385" t="s">
        <v>4833</v>
      </c>
      <c r="O124" s="1352" t="s">
        <v>4677</v>
      </c>
      <c r="P124" s="1388"/>
      <c r="Q124" s="1354"/>
      <c r="R124" s="1354"/>
      <c r="S124" s="1354"/>
      <c r="T124" s="1354"/>
      <c r="U124" s="1353" t="s">
        <v>4802</v>
      </c>
      <c r="V124" s="1353" t="s">
        <v>2481</v>
      </c>
      <c r="W124" s="1354"/>
      <c r="X124" s="1353">
        <f t="shared" si="189"/>
        <v>43282</v>
      </c>
      <c r="Y124" s="1353">
        <f t="shared" si="189"/>
        <v>43466</v>
      </c>
      <c r="Z124" s="1355"/>
      <c r="AA124" s="1355" t="s">
        <v>4679</v>
      </c>
      <c r="AB124" s="1422">
        <v>20267</v>
      </c>
      <c r="AC124" s="1356"/>
      <c r="AD124" s="1422">
        <f>AH124</f>
        <v>0</v>
      </c>
      <c r="AE124" s="1422">
        <f t="shared" si="184"/>
        <v>-20267</v>
      </c>
      <c r="AF124" s="1423">
        <f t="shared" si="140"/>
        <v>-1</v>
      </c>
      <c r="AG124" s="1358">
        <v>0</v>
      </c>
      <c r="AH124" s="1426">
        <f t="shared" ref="AH124:AH126" si="203">AG124*12</f>
        <v>0</v>
      </c>
      <c r="AI124" s="1359">
        <v>0.1</v>
      </c>
      <c r="AJ124" s="1360">
        <f t="shared" ref="AJ124:AJ131" si="204">$AI124*$AG124</f>
        <v>0</v>
      </c>
      <c r="AK124" s="1361">
        <f t="shared" ref="AK124:AK136" si="205">AI124*$AH124</f>
        <v>0</v>
      </c>
      <c r="AL124" s="1384">
        <v>0</v>
      </c>
      <c r="AM124" s="1363">
        <f t="shared" si="192"/>
        <v>0</v>
      </c>
      <c r="AN124" s="1364">
        <v>0</v>
      </c>
      <c r="AO124" s="1365">
        <f t="shared" si="193"/>
        <v>0</v>
      </c>
      <c r="AP124" s="1366">
        <v>0</v>
      </c>
      <c r="AQ124" s="1367">
        <f t="shared" si="194"/>
        <v>0</v>
      </c>
      <c r="AR124" s="1368">
        <v>0.08</v>
      </c>
      <c r="AS124" s="1369">
        <f t="shared" si="195"/>
        <v>0</v>
      </c>
      <c r="AT124" s="1370">
        <v>0</v>
      </c>
      <c r="AU124" s="1371">
        <f t="shared" si="196"/>
        <v>0</v>
      </c>
      <c r="AV124" s="1359">
        <f t="shared" si="197"/>
        <v>2.0000000000000004E-2</v>
      </c>
      <c r="AW124" s="1372">
        <f t="shared" si="198"/>
        <v>0</v>
      </c>
      <c r="AX124" s="1373">
        <f t="shared" si="199"/>
        <v>0.1</v>
      </c>
      <c r="AY124" s="1374">
        <f t="shared" si="200"/>
        <v>0</v>
      </c>
      <c r="AZ124" s="1375">
        <f t="shared" si="201"/>
        <v>0.1</v>
      </c>
      <c r="BA124" s="1376">
        <f t="shared" si="202"/>
        <v>0</v>
      </c>
      <c r="BB124" s="1391"/>
      <c r="BC124" s="1820"/>
      <c r="BD124" s="1820"/>
      <c r="BE124" s="1823"/>
      <c r="BF124" s="1834"/>
      <c r="BG124" s="1829"/>
    </row>
    <row r="125" spans="1:59" s="1378" customFormat="1" ht="38.25">
      <c r="A125" s="1347" t="str">
        <f t="shared" si="185"/>
        <v>Beacon Discovery, Inc.</v>
      </c>
      <c r="B125" s="1348" t="str">
        <f t="shared" si="186"/>
        <v>HUB SD</v>
      </c>
      <c r="C125" s="1348">
        <f t="shared" si="187"/>
        <v>25</v>
      </c>
      <c r="D125" s="1349">
        <f t="shared" si="188"/>
        <v>43282</v>
      </c>
      <c r="E125" s="1349"/>
      <c r="F125" s="1347" t="s">
        <v>113</v>
      </c>
      <c r="G125" s="1347" t="s">
        <v>85</v>
      </c>
      <c r="H125" s="1347" t="s">
        <v>85</v>
      </c>
      <c r="I125" s="1347" t="s">
        <v>85</v>
      </c>
      <c r="J125" s="1349"/>
      <c r="K125" s="1349" t="s">
        <v>254</v>
      </c>
      <c r="L125" s="1350" t="s">
        <v>4675</v>
      </c>
      <c r="M125" s="1350" t="s">
        <v>3651</v>
      </c>
      <c r="N125" s="1351" t="s">
        <v>4834</v>
      </c>
      <c r="O125" s="1352" t="s">
        <v>4681</v>
      </c>
      <c r="P125" s="1388"/>
      <c r="Q125" s="1354"/>
      <c r="R125" s="1354"/>
      <c r="S125" s="1354"/>
      <c r="T125" s="1354"/>
      <c r="U125" s="1354"/>
      <c r="V125" s="1354"/>
      <c r="W125" s="1353" t="s">
        <v>2492</v>
      </c>
      <c r="X125" s="1353">
        <f t="shared" si="189"/>
        <v>43282</v>
      </c>
      <c r="Y125" s="1353">
        <f t="shared" si="189"/>
        <v>43466</v>
      </c>
      <c r="Z125" s="1355"/>
      <c r="AA125" s="1355" t="s">
        <v>4679</v>
      </c>
      <c r="AB125" s="1422">
        <v>3727</v>
      </c>
      <c r="AC125" s="1356"/>
      <c r="AD125" s="1422">
        <f>AH125</f>
        <v>0</v>
      </c>
      <c r="AE125" s="1422">
        <f t="shared" si="184"/>
        <v>-3727</v>
      </c>
      <c r="AF125" s="1423">
        <f t="shared" si="140"/>
        <v>-1</v>
      </c>
      <c r="AG125" s="1358">
        <v>0</v>
      </c>
      <c r="AH125" s="1426">
        <f t="shared" si="203"/>
        <v>0</v>
      </c>
      <c r="AI125" s="1359">
        <v>0.1</v>
      </c>
      <c r="AJ125" s="1360">
        <f t="shared" si="204"/>
        <v>0</v>
      </c>
      <c r="AK125" s="1361">
        <f t="shared" si="205"/>
        <v>0</v>
      </c>
      <c r="AL125" s="1384">
        <v>0</v>
      </c>
      <c r="AM125" s="1363">
        <f t="shared" si="192"/>
        <v>0</v>
      </c>
      <c r="AN125" s="1364">
        <v>0</v>
      </c>
      <c r="AO125" s="1365">
        <f t="shared" si="193"/>
        <v>0</v>
      </c>
      <c r="AP125" s="1366">
        <v>0</v>
      </c>
      <c r="AQ125" s="1367">
        <f t="shared" si="194"/>
        <v>0</v>
      </c>
      <c r="AR125" s="1368">
        <v>0.08</v>
      </c>
      <c r="AS125" s="1369">
        <f t="shared" si="195"/>
        <v>0</v>
      </c>
      <c r="AT125" s="1370">
        <v>0</v>
      </c>
      <c r="AU125" s="1371">
        <f t="shared" si="196"/>
        <v>0</v>
      </c>
      <c r="AV125" s="1359">
        <f t="shared" si="197"/>
        <v>2.0000000000000004E-2</v>
      </c>
      <c r="AW125" s="1372">
        <f t="shared" si="198"/>
        <v>0</v>
      </c>
      <c r="AX125" s="1373">
        <f t="shared" si="199"/>
        <v>0.1</v>
      </c>
      <c r="AY125" s="1374">
        <f t="shared" si="200"/>
        <v>0</v>
      </c>
      <c r="AZ125" s="1375">
        <f t="shared" si="201"/>
        <v>0.1</v>
      </c>
      <c r="BA125" s="1376">
        <f t="shared" si="202"/>
        <v>0</v>
      </c>
      <c r="BB125" s="1391"/>
      <c r="BC125" s="1820"/>
      <c r="BD125" s="1820"/>
      <c r="BE125" s="1823"/>
      <c r="BF125" s="1834"/>
      <c r="BG125" s="1829"/>
    </row>
    <row r="126" spans="1:59" s="1378" customFormat="1" ht="38.25">
      <c r="A126" s="1347" t="str">
        <f t="shared" si="185"/>
        <v>Beacon Discovery, Inc.</v>
      </c>
      <c r="B126" s="1348" t="str">
        <f t="shared" si="186"/>
        <v>HUB SD</v>
      </c>
      <c r="C126" s="1348">
        <f t="shared" si="187"/>
        <v>25</v>
      </c>
      <c r="D126" s="1349">
        <f t="shared" si="188"/>
        <v>43282</v>
      </c>
      <c r="E126" s="1349"/>
      <c r="F126" s="1347" t="s">
        <v>113</v>
      </c>
      <c r="G126" s="1347" t="s">
        <v>85</v>
      </c>
      <c r="H126" s="1347" t="s">
        <v>85</v>
      </c>
      <c r="I126" s="1347" t="s">
        <v>85</v>
      </c>
      <c r="J126" s="1349"/>
      <c r="K126" s="1349" t="s">
        <v>254</v>
      </c>
      <c r="L126" s="1350" t="s">
        <v>4682</v>
      </c>
      <c r="M126" s="1350" t="s">
        <v>4683</v>
      </c>
      <c r="N126" s="1386" t="s">
        <v>57</v>
      </c>
      <c r="O126" s="1352" t="s">
        <v>4684</v>
      </c>
      <c r="P126" s="1421"/>
      <c r="Q126" s="1354"/>
      <c r="R126" s="1354"/>
      <c r="S126" s="1354"/>
      <c r="T126" s="1354"/>
      <c r="U126" s="1354"/>
      <c r="V126" s="1354"/>
      <c r="W126" s="1354"/>
      <c r="X126" s="1353">
        <f t="shared" si="189"/>
        <v>43282</v>
      </c>
      <c r="Y126" s="1353">
        <f t="shared" si="189"/>
        <v>43466</v>
      </c>
      <c r="Z126" s="1355"/>
      <c r="AA126" s="1355" t="s">
        <v>4685</v>
      </c>
      <c r="AB126" s="1422">
        <v>9667</v>
      </c>
      <c r="AC126" s="1356"/>
      <c r="AD126" s="1422">
        <f>AH126</f>
        <v>0</v>
      </c>
      <c r="AE126" s="1422">
        <f t="shared" si="184"/>
        <v>-9667</v>
      </c>
      <c r="AF126" s="1423">
        <f t="shared" si="140"/>
        <v>-1</v>
      </c>
      <c r="AG126" s="1358">
        <v>0</v>
      </c>
      <c r="AH126" s="1426">
        <f t="shared" si="203"/>
        <v>0</v>
      </c>
      <c r="AI126" s="1359">
        <v>0.15</v>
      </c>
      <c r="AJ126" s="1360">
        <f t="shared" si="204"/>
        <v>0</v>
      </c>
      <c r="AK126" s="1361">
        <f t="shared" si="205"/>
        <v>0</v>
      </c>
      <c r="AL126" s="1384">
        <v>0</v>
      </c>
      <c r="AM126" s="1363">
        <f t="shared" si="192"/>
        <v>0</v>
      </c>
      <c r="AN126" s="1364">
        <v>0</v>
      </c>
      <c r="AO126" s="1365">
        <f t="shared" si="193"/>
        <v>0</v>
      </c>
      <c r="AP126" s="1366">
        <v>0</v>
      </c>
      <c r="AQ126" s="1367">
        <f t="shared" si="194"/>
        <v>0</v>
      </c>
      <c r="AR126" s="1368">
        <v>0.1</v>
      </c>
      <c r="AS126" s="1369">
        <f t="shared" si="195"/>
        <v>0</v>
      </c>
      <c r="AT126" s="1370">
        <v>0</v>
      </c>
      <c r="AU126" s="1371">
        <f t="shared" si="196"/>
        <v>0</v>
      </c>
      <c r="AV126" s="1359">
        <f t="shared" si="197"/>
        <v>4.9999999999999989E-2</v>
      </c>
      <c r="AW126" s="1372">
        <f t="shared" si="198"/>
        <v>0</v>
      </c>
      <c r="AX126" s="1373">
        <f t="shared" si="199"/>
        <v>0.15</v>
      </c>
      <c r="AY126" s="1374">
        <f t="shared" si="200"/>
        <v>0</v>
      </c>
      <c r="AZ126" s="1375">
        <f t="shared" si="201"/>
        <v>0.15</v>
      </c>
      <c r="BA126" s="1376">
        <f t="shared" si="202"/>
        <v>0</v>
      </c>
      <c r="BB126" s="1391"/>
      <c r="BC126" s="1820"/>
      <c r="BD126" s="1820"/>
      <c r="BE126" s="1823"/>
      <c r="BF126" s="1834"/>
      <c r="BG126" s="1829"/>
    </row>
    <row r="127" spans="1:59" s="1378" customFormat="1" ht="38.25">
      <c r="A127" s="1347" t="str">
        <f t="shared" si="185"/>
        <v>Beacon Discovery, Inc.</v>
      </c>
      <c r="B127" s="1348" t="str">
        <f t="shared" si="186"/>
        <v>HUB SD</v>
      </c>
      <c r="C127" s="1348">
        <f t="shared" si="187"/>
        <v>25</v>
      </c>
      <c r="D127" s="1349">
        <f t="shared" si="188"/>
        <v>43282</v>
      </c>
      <c r="E127" s="1349"/>
      <c r="F127" s="1347" t="s">
        <v>113</v>
      </c>
      <c r="G127" s="1347" t="s">
        <v>85</v>
      </c>
      <c r="H127" s="1347" t="s">
        <v>85</v>
      </c>
      <c r="I127" s="1347" t="s">
        <v>113</v>
      </c>
      <c r="J127" s="1349"/>
      <c r="K127" s="1349" t="s">
        <v>254</v>
      </c>
      <c r="L127" s="1350" t="s">
        <v>4682</v>
      </c>
      <c r="M127" s="1350" t="s">
        <v>4686</v>
      </c>
      <c r="N127" s="1386" t="s">
        <v>60</v>
      </c>
      <c r="O127" s="1352" t="s">
        <v>4687</v>
      </c>
      <c r="P127" s="1421"/>
      <c r="Q127" s="1354"/>
      <c r="R127" s="1354"/>
      <c r="S127" s="1354"/>
      <c r="T127" s="1354"/>
      <c r="U127" s="1354"/>
      <c r="V127" s="1354"/>
      <c r="W127" s="1354"/>
      <c r="X127" s="1353">
        <f t="shared" si="189"/>
        <v>43282</v>
      </c>
      <c r="Y127" s="1353">
        <f t="shared" si="189"/>
        <v>43466</v>
      </c>
      <c r="Z127" s="1355"/>
      <c r="AA127" s="1355" t="s">
        <v>4685</v>
      </c>
      <c r="AB127" s="1356"/>
      <c r="AC127" s="1356"/>
      <c r="AD127" s="1422">
        <v>0</v>
      </c>
      <c r="AE127" s="1422">
        <f t="shared" si="184"/>
        <v>0</v>
      </c>
      <c r="AF127" s="1423" t="str">
        <f t="shared" si="140"/>
        <v/>
      </c>
      <c r="AG127" s="1358">
        <f t="shared" ref="AG127:AG128" si="206">AH127/12</f>
        <v>0</v>
      </c>
      <c r="AH127" s="1426">
        <v>0</v>
      </c>
      <c r="AI127" s="1359">
        <v>0.15</v>
      </c>
      <c r="AJ127" s="1360">
        <f t="shared" si="204"/>
        <v>0</v>
      </c>
      <c r="AK127" s="1361">
        <f t="shared" si="205"/>
        <v>0</v>
      </c>
      <c r="AL127" s="1384">
        <v>0</v>
      </c>
      <c r="AM127" s="1363">
        <f t="shared" si="192"/>
        <v>0</v>
      </c>
      <c r="AN127" s="1364">
        <v>0</v>
      </c>
      <c r="AO127" s="1365">
        <f t="shared" si="193"/>
        <v>0</v>
      </c>
      <c r="AP127" s="1366">
        <v>0</v>
      </c>
      <c r="AQ127" s="1367">
        <f t="shared" si="194"/>
        <v>0</v>
      </c>
      <c r="AR127" s="1368">
        <v>0.1</v>
      </c>
      <c r="AS127" s="1369">
        <f t="shared" si="195"/>
        <v>0</v>
      </c>
      <c r="AT127" s="1370">
        <v>0</v>
      </c>
      <c r="AU127" s="1371">
        <f t="shared" si="196"/>
        <v>0</v>
      </c>
      <c r="AV127" s="1359">
        <f t="shared" si="197"/>
        <v>4.9999999999999989E-2</v>
      </c>
      <c r="AW127" s="1372">
        <f t="shared" si="198"/>
        <v>0</v>
      </c>
      <c r="AX127" s="1373">
        <f t="shared" si="199"/>
        <v>0.15</v>
      </c>
      <c r="AY127" s="1374">
        <f t="shared" si="200"/>
        <v>0</v>
      </c>
      <c r="AZ127" s="1375">
        <f t="shared" si="201"/>
        <v>0.15</v>
      </c>
      <c r="BA127" s="1376">
        <f t="shared" si="202"/>
        <v>0</v>
      </c>
      <c r="BB127" s="1391"/>
      <c r="BC127" s="1820"/>
      <c r="BD127" s="1820"/>
      <c r="BE127" s="1823"/>
      <c r="BF127" s="1834"/>
      <c r="BG127" s="1829"/>
    </row>
    <row r="128" spans="1:59" s="1378" customFormat="1" ht="38.25">
      <c r="A128" s="1347" t="str">
        <f t="shared" si="185"/>
        <v>Beacon Discovery, Inc.</v>
      </c>
      <c r="B128" s="1348" t="str">
        <f t="shared" si="186"/>
        <v>HUB SD</v>
      </c>
      <c r="C128" s="1348">
        <f t="shared" si="187"/>
        <v>25</v>
      </c>
      <c r="D128" s="1349">
        <f t="shared" si="188"/>
        <v>43282</v>
      </c>
      <c r="E128" s="1349"/>
      <c r="F128" s="1347" t="s">
        <v>113</v>
      </c>
      <c r="G128" s="1347" t="s">
        <v>85</v>
      </c>
      <c r="H128" s="1347" t="s">
        <v>85</v>
      </c>
      <c r="I128" s="1347" t="s">
        <v>85</v>
      </c>
      <c r="J128" s="1349"/>
      <c r="K128" s="1349" t="s">
        <v>254</v>
      </c>
      <c r="L128" s="1350" t="s">
        <v>4682</v>
      </c>
      <c r="M128" s="1350" t="s">
        <v>67</v>
      </c>
      <c r="N128" s="1351" t="s">
        <v>82</v>
      </c>
      <c r="O128" s="1352" t="s">
        <v>4689</v>
      </c>
      <c r="P128" s="1388"/>
      <c r="Q128" s="1354"/>
      <c r="R128" s="1354"/>
      <c r="S128" s="1354"/>
      <c r="T128" s="1354"/>
      <c r="U128" s="1354"/>
      <c r="V128" s="1354"/>
      <c r="W128" s="1354"/>
      <c r="X128" s="1353">
        <f t="shared" si="189"/>
        <v>43282</v>
      </c>
      <c r="Y128" s="1353">
        <f t="shared" si="189"/>
        <v>43466</v>
      </c>
      <c r="Z128" s="1355"/>
      <c r="AA128" s="1355" t="s">
        <v>4685</v>
      </c>
      <c r="AB128" s="1422">
        <v>5148</v>
      </c>
      <c r="AC128" s="1356"/>
      <c r="AD128" s="1422">
        <f>AH128</f>
        <v>0</v>
      </c>
      <c r="AE128" s="1422">
        <f t="shared" si="184"/>
        <v>-5148</v>
      </c>
      <c r="AF128" s="1423">
        <f t="shared" si="140"/>
        <v>-1</v>
      </c>
      <c r="AG128" s="1358">
        <f t="shared" si="206"/>
        <v>0</v>
      </c>
      <c r="AH128" s="1426">
        <v>0</v>
      </c>
      <c r="AI128" s="1359">
        <v>0.15</v>
      </c>
      <c r="AJ128" s="1360">
        <f t="shared" si="204"/>
        <v>0</v>
      </c>
      <c r="AK128" s="1361">
        <f t="shared" si="205"/>
        <v>0</v>
      </c>
      <c r="AL128" s="1384">
        <v>0</v>
      </c>
      <c r="AM128" s="1363">
        <f t="shared" si="192"/>
        <v>0</v>
      </c>
      <c r="AN128" s="1364">
        <v>0</v>
      </c>
      <c r="AO128" s="1365">
        <f t="shared" si="193"/>
        <v>0</v>
      </c>
      <c r="AP128" s="1366">
        <v>0</v>
      </c>
      <c r="AQ128" s="1367">
        <f t="shared" si="194"/>
        <v>0</v>
      </c>
      <c r="AR128" s="1368">
        <v>0.1</v>
      </c>
      <c r="AS128" s="1369">
        <f t="shared" si="195"/>
        <v>0</v>
      </c>
      <c r="AT128" s="1370">
        <v>0</v>
      </c>
      <c r="AU128" s="1371">
        <f t="shared" si="196"/>
        <v>0</v>
      </c>
      <c r="AV128" s="1359">
        <f t="shared" si="197"/>
        <v>4.9999999999999989E-2</v>
      </c>
      <c r="AW128" s="1372">
        <f t="shared" si="198"/>
        <v>0</v>
      </c>
      <c r="AX128" s="1373">
        <f t="shared" si="199"/>
        <v>0.15</v>
      </c>
      <c r="AY128" s="1374">
        <f t="shared" si="200"/>
        <v>0</v>
      </c>
      <c r="AZ128" s="1375">
        <f t="shared" si="201"/>
        <v>0.15</v>
      </c>
      <c r="BA128" s="1376">
        <f t="shared" si="202"/>
        <v>0</v>
      </c>
      <c r="BB128" s="1391"/>
      <c r="BC128" s="1820"/>
      <c r="BD128" s="1820"/>
      <c r="BE128" s="1823"/>
      <c r="BF128" s="1834"/>
      <c r="BG128" s="1829"/>
    </row>
    <row r="129" spans="1:59" s="1378" customFormat="1" ht="38.25">
      <c r="A129" s="1347" t="str">
        <f t="shared" si="185"/>
        <v>Beacon Discovery, Inc.</v>
      </c>
      <c r="B129" s="1348" t="str">
        <f t="shared" si="186"/>
        <v>HUB SD</v>
      </c>
      <c r="C129" s="1348">
        <f t="shared" si="187"/>
        <v>25</v>
      </c>
      <c r="D129" s="1349">
        <f t="shared" si="188"/>
        <v>43282</v>
      </c>
      <c r="E129" s="1349"/>
      <c r="F129" s="1347" t="s">
        <v>113</v>
      </c>
      <c r="G129" s="1347" t="s">
        <v>85</v>
      </c>
      <c r="H129" s="1347" t="s">
        <v>85</v>
      </c>
      <c r="I129" s="1347" t="s">
        <v>113</v>
      </c>
      <c r="J129" s="1349" t="s">
        <v>4690</v>
      </c>
      <c r="K129" s="1349" t="s">
        <v>254</v>
      </c>
      <c r="L129" s="1350" t="s">
        <v>4682</v>
      </c>
      <c r="M129" s="1350" t="s">
        <v>4691</v>
      </c>
      <c r="N129" s="1351" t="s">
        <v>94</v>
      </c>
      <c r="O129" s="1352" t="s">
        <v>4692</v>
      </c>
      <c r="P129" s="1388"/>
      <c r="Q129" s="1354"/>
      <c r="R129" s="1354"/>
      <c r="S129" s="1354"/>
      <c r="T129" s="1354"/>
      <c r="U129" s="1354"/>
      <c r="V129" s="1354"/>
      <c r="W129" s="1354"/>
      <c r="X129" s="1353">
        <f t="shared" si="189"/>
        <v>43282</v>
      </c>
      <c r="Y129" s="1353">
        <f t="shared" si="189"/>
        <v>43466</v>
      </c>
      <c r="Z129" s="1355"/>
      <c r="AA129" s="1355" t="s">
        <v>4685</v>
      </c>
      <c r="AB129" s="1356"/>
      <c r="AC129" s="1356"/>
      <c r="AD129" s="1422">
        <v>0</v>
      </c>
      <c r="AE129" s="1422">
        <f t="shared" si="184"/>
        <v>0</v>
      </c>
      <c r="AF129" s="1423" t="str">
        <f t="shared" si="140"/>
        <v/>
      </c>
      <c r="AG129" s="1358">
        <v>0</v>
      </c>
      <c r="AH129" s="1426">
        <f t="shared" ref="AH129:AH131" si="207">AG129*12</f>
        <v>0</v>
      </c>
      <c r="AI129" s="1359">
        <v>0.15</v>
      </c>
      <c r="AJ129" s="1360">
        <f t="shared" si="204"/>
        <v>0</v>
      </c>
      <c r="AK129" s="1361">
        <f t="shared" si="205"/>
        <v>0</v>
      </c>
      <c r="AL129" s="1384">
        <v>0</v>
      </c>
      <c r="AM129" s="1363">
        <f t="shared" si="192"/>
        <v>0</v>
      </c>
      <c r="AN129" s="1364">
        <v>0</v>
      </c>
      <c r="AO129" s="1365">
        <f t="shared" si="193"/>
        <v>0</v>
      </c>
      <c r="AP129" s="1366">
        <v>0</v>
      </c>
      <c r="AQ129" s="1367">
        <f t="shared" si="194"/>
        <v>0</v>
      </c>
      <c r="AR129" s="1368">
        <v>0.1</v>
      </c>
      <c r="AS129" s="1369">
        <f t="shared" si="195"/>
        <v>0</v>
      </c>
      <c r="AT129" s="1370">
        <v>0</v>
      </c>
      <c r="AU129" s="1371">
        <f t="shared" si="196"/>
        <v>0</v>
      </c>
      <c r="AV129" s="1359">
        <f t="shared" si="197"/>
        <v>4.9999999999999989E-2</v>
      </c>
      <c r="AW129" s="1372">
        <f t="shared" si="198"/>
        <v>0</v>
      </c>
      <c r="AX129" s="1373">
        <f t="shared" si="199"/>
        <v>0.15</v>
      </c>
      <c r="AY129" s="1374">
        <f t="shared" si="200"/>
        <v>0</v>
      </c>
      <c r="AZ129" s="1375">
        <f t="shared" si="201"/>
        <v>0.15</v>
      </c>
      <c r="BA129" s="1376">
        <f t="shared" si="202"/>
        <v>0</v>
      </c>
      <c r="BB129" s="1377"/>
      <c r="BC129" s="1820"/>
      <c r="BD129" s="1820"/>
      <c r="BE129" s="1823"/>
      <c r="BF129" s="1834"/>
      <c r="BG129" s="1829"/>
    </row>
    <row r="130" spans="1:59" s="1378" customFormat="1" ht="38.25">
      <c r="A130" s="1347" t="str">
        <f t="shared" si="185"/>
        <v>Beacon Discovery, Inc.</v>
      </c>
      <c r="B130" s="1348" t="str">
        <f t="shared" si="186"/>
        <v>HUB SD</v>
      </c>
      <c r="C130" s="1348">
        <f t="shared" si="187"/>
        <v>25</v>
      </c>
      <c r="D130" s="1349">
        <f t="shared" si="188"/>
        <v>43282</v>
      </c>
      <c r="E130" s="1349"/>
      <c r="F130" s="1347" t="s">
        <v>113</v>
      </c>
      <c r="G130" s="1347" t="s">
        <v>85</v>
      </c>
      <c r="H130" s="1347" t="s">
        <v>85</v>
      </c>
      <c r="I130" s="1347" t="s">
        <v>113</v>
      </c>
      <c r="J130" s="1349" t="s">
        <v>4690</v>
      </c>
      <c r="K130" s="1349" t="s">
        <v>254</v>
      </c>
      <c r="L130" s="1350" t="s">
        <v>4682</v>
      </c>
      <c r="M130" s="1350" t="s">
        <v>4691</v>
      </c>
      <c r="N130" s="1351" t="s">
        <v>98</v>
      </c>
      <c r="O130" s="1352" t="s">
        <v>4693</v>
      </c>
      <c r="P130" s="1388"/>
      <c r="Q130" s="1354"/>
      <c r="R130" s="1354"/>
      <c r="S130" s="1354"/>
      <c r="T130" s="1354"/>
      <c r="U130" s="1354"/>
      <c r="V130" s="1354"/>
      <c r="W130" s="1354"/>
      <c r="X130" s="1353">
        <f t="shared" si="189"/>
        <v>43282</v>
      </c>
      <c r="Y130" s="1353">
        <f t="shared" si="189"/>
        <v>43466</v>
      </c>
      <c r="Z130" s="1355"/>
      <c r="AA130" s="1355" t="s">
        <v>4685</v>
      </c>
      <c r="AB130" s="1356"/>
      <c r="AC130" s="1356"/>
      <c r="AD130" s="1422">
        <v>0</v>
      </c>
      <c r="AE130" s="1422">
        <f t="shared" si="184"/>
        <v>0</v>
      </c>
      <c r="AF130" s="1423" t="str">
        <f t="shared" si="140"/>
        <v/>
      </c>
      <c r="AG130" s="1358">
        <v>0</v>
      </c>
      <c r="AH130" s="1426">
        <f t="shared" si="207"/>
        <v>0</v>
      </c>
      <c r="AI130" s="1359">
        <v>0.15</v>
      </c>
      <c r="AJ130" s="1360">
        <f t="shared" si="204"/>
        <v>0</v>
      </c>
      <c r="AK130" s="1361">
        <f t="shared" si="205"/>
        <v>0</v>
      </c>
      <c r="AL130" s="1384">
        <v>0</v>
      </c>
      <c r="AM130" s="1363">
        <f t="shared" si="192"/>
        <v>0</v>
      </c>
      <c r="AN130" s="1364">
        <v>0</v>
      </c>
      <c r="AO130" s="1365">
        <f t="shared" si="193"/>
        <v>0</v>
      </c>
      <c r="AP130" s="1366">
        <v>0</v>
      </c>
      <c r="AQ130" s="1367">
        <f t="shared" si="194"/>
        <v>0</v>
      </c>
      <c r="AR130" s="1368">
        <v>0.1</v>
      </c>
      <c r="AS130" s="1369">
        <f t="shared" si="195"/>
        <v>0</v>
      </c>
      <c r="AT130" s="1370">
        <v>0</v>
      </c>
      <c r="AU130" s="1371">
        <f t="shared" si="196"/>
        <v>0</v>
      </c>
      <c r="AV130" s="1359">
        <f t="shared" si="197"/>
        <v>4.9999999999999989E-2</v>
      </c>
      <c r="AW130" s="1372">
        <f t="shared" si="198"/>
        <v>0</v>
      </c>
      <c r="AX130" s="1373">
        <f t="shared" si="199"/>
        <v>0.15</v>
      </c>
      <c r="AY130" s="1374">
        <f t="shared" si="200"/>
        <v>0</v>
      </c>
      <c r="AZ130" s="1375">
        <f t="shared" si="201"/>
        <v>0.15</v>
      </c>
      <c r="BA130" s="1376">
        <f t="shared" si="202"/>
        <v>0</v>
      </c>
      <c r="BB130" s="1377"/>
      <c r="BC130" s="1820"/>
      <c r="BD130" s="1820"/>
      <c r="BE130" s="1823"/>
      <c r="BF130" s="1834"/>
      <c r="BG130" s="1829"/>
    </row>
    <row r="131" spans="1:59" s="1378" customFormat="1" ht="38.25">
      <c r="A131" s="1347" t="str">
        <f t="shared" si="185"/>
        <v>Beacon Discovery, Inc.</v>
      </c>
      <c r="B131" s="1348" t="str">
        <f t="shared" si="186"/>
        <v>HUB SD</v>
      </c>
      <c r="C131" s="1348">
        <f t="shared" si="187"/>
        <v>25</v>
      </c>
      <c r="D131" s="1349">
        <f t="shared" si="188"/>
        <v>43282</v>
      </c>
      <c r="E131" s="1349"/>
      <c r="F131" s="1347" t="s">
        <v>113</v>
      </c>
      <c r="G131" s="1347" t="s">
        <v>85</v>
      </c>
      <c r="H131" s="1347" t="s">
        <v>85</v>
      </c>
      <c r="I131" s="1347" t="s">
        <v>113</v>
      </c>
      <c r="J131" s="1349" t="s">
        <v>4690</v>
      </c>
      <c r="K131" s="1349" t="s">
        <v>254</v>
      </c>
      <c r="L131" s="1350" t="s">
        <v>4682</v>
      </c>
      <c r="M131" s="1350" t="s">
        <v>4691</v>
      </c>
      <c r="N131" s="1351" t="s">
        <v>4694</v>
      </c>
      <c r="O131" s="1352" t="s">
        <v>4695</v>
      </c>
      <c r="P131" s="1388"/>
      <c r="Q131" s="1354"/>
      <c r="R131" s="1354"/>
      <c r="S131" s="1354"/>
      <c r="T131" s="1354"/>
      <c r="U131" s="1354"/>
      <c r="V131" s="1354"/>
      <c r="W131" s="1354"/>
      <c r="X131" s="1353">
        <f t="shared" si="189"/>
        <v>43282</v>
      </c>
      <c r="Y131" s="1353">
        <f t="shared" si="189"/>
        <v>43466</v>
      </c>
      <c r="Z131" s="1355"/>
      <c r="AA131" s="1355" t="s">
        <v>4685</v>
      </c>
      <c r="AB131" s="1356"/>
      <c r="AC131" s="1356"/>
      <c r="AD131" s="1422">
        <v>0</v>
      </c>
      <c r="AE131" s="1422">
        <f t="shared" si="184"/>
        <v>0</v>
      </c>
      <c r="AF131" s="1423" t="str">
        <f t="shared" si="140"/>
        <v/>
      </c>
      <c r="AG131" s="1358">
        <v>0</v>
      </c>
      <c r="AH131" s="1426">
        <f t="shared" si="207"/>
        <v>0</v>
      </c>
      <c r="AI131" s="1359">
        <v>0.15</v>
      </c>
      <c r="AJ131" s="1360">
        <f t="shared" si="204"/>
        <v>0</v>
      </c>
      <c r="AK131" s="1361">
        <f t="shared" si="205"/>
        <v>0</v>
      </c>
      <c r="AL131" s="1384">
        <v>0</v>
      </c>
      <c r="AM131" s="1363">
        <f t="shared" si="192"/>
        <v>0</v>
      </c>
      <c r="AN131" s="1364">
        <v>0</v>
      </c>
      <c r="AO131" s="1365">
        <f t="shared" si="193"/>
        <v>0</v>
      </c>
      <c r="AP131" s="1366">
        <v>0</v>
      </c>
      <c r="AQ131" s="1367">
        <f t="shared" si="194"/>
        <v>0</v>
      </c>
      <c r="AR131" s="1368">
        <v>0.1</v>
      </c>
      <c r="AS131" s="1369">
        <f t="shared" si="195"/>
        <v>0</v>
      </c>
      <c r="AT131" s="1370">
        <v>0</v>
      </c>
      <c r="AU131" s="1371">
        <f t="shared" si="196"/>
        <v>0</v>
      </c>
      <c r="AV131" s="1359">
        <f t="shared" si="197"/>
        <v>4.9999999999999989E-2</v>
      </c>
      <c r="AW131" s="1372">
        <f t="shared" si="198"/>
        <v>0</v>
      </c>
      <c r="AX131" s="1373">
        <f t="shared" si="199"/>
        <v>0.15</v>
      </c>
      <c r="AY131" s="1374">
        <f t="shared" si="200"/>
        <v>0</v>
      </c>
      <c r="AZ131" s="1375">
        <f t="shared" si="201"/>
        <v>0.15</v>
      </c>
      <c r="BA131" s="1376">
        <f t="shared" si="202"/>
        <v>0</v>
      </c>
      <c r="BB131" s="1377"/>
      <c r="BC131" s="1820"/>
      <c r="BD131" s="1820"/>
      <c r="BE131" s="1823"/>
      <c r="BF131" s="1834"/>
      <c r="BG131" s="1829"/>
    </row>
    <row r="132" spans="1:59" s="1378" customFormat="1" ht="27.75" customHeight="1">
      <c r="A132" s="1347" t="str">
        <f t="shared" si="185"/>
        <v>Beacon Discovery, Inc.</v>
      </c>
      <c r="B132" s="1348" t="str">
        <f t="shared" si="186"/>
        <v>HUB SD</v>
      </c>
      <c r="C132" s="1348">
        <f t="shared" si="187"/>
        <v>25</v>
      </c>
      <c r="D132" s="1349">
        <f t="shared" si="188"/>
        <v>43282</v>
      </c>
      <c r="E132" s="1349"/>
      <c r="F132" s="1347" t="s">
        <v>72</v>
      </c>
      <c r="G132" s="1347" t="s">
        <v>85</v>
      </c>
      <c r="H132" s="1347" t="s">
        <v>72</v>
      </c>
      <c r="I132" s="1347" t="s">
        <v>72</v>
      </c>
      <c r="J132" s="1349" t="s">
        <v>4670</v>
      </c>
      <c r="K132" s="1349" t="s">
        <v>254</v>
      </c>
      <c r="L132" s="1350" t="s">
        <v>4696</v>
      </c>
      <c r="M132" s="1350" t="s">
        <v>4697</v>
      </c>
      <c r="N132" s="1389" t="s">
        <v>4698</v>
      </c>
      <c r="O132" s="1352" t="s">
        <v>4699</v>
      </c>
      <c r="P132" s="1388"/>
      <c r="Q132" s="1354"/>
      <c r="R132" s="1354"/>
      <c r="S132" s="1354"/>
      <c r="T132" s="1354"/>
      <c r="U132" s="1354"/>
      <c r="V132" s="1354"/>
      <c r="W132" s="1354"/>
      <c r="X132" s="1353">
        <f t="shared" si="189"/>
        <v>43282</v>
      </c>
      <c r="Y132" s="1353">
        <f t="shared" si="189"/>
        <v>43466</v>
      </c>
      <c r="Z132" s="1355"/>
      <c r="AA132" s="1355" t="s">
        <v>4674</v>
      </c>
      <c r="AB132" s="1356"/>
      <c r="AC132" s="1356"/>
      <c r="AD132" s="1422">
        <v>0</v>
      </c>
      <c r="AE132" s="1422">
        <f t="shared" si="184"/>
        <v>0</v>
      </c>
      <c r="AF132" s="1423" t="str">
        <f t="shared" si="140"/>
        <v/>
      </c>
      <c r="AG132" s="1380"/>
      <c r="AH132" s="1380"/>
      <c r="AI132" s="1381">
        <v>0</v>
      </c>
      <c r="AJ132" s="1382"/>
      <c r="AK132" s="1383">
        <f t="shared" si="205"/>
        <v>0</v>
      </c>
      <c r="AL132" s="1384">
        <v>0</v>
      </c>
      <c r="AM132" s="1363">
        <f t="shared" si="192"/>
        <v>0</v>
      </c>
      <c r="AN132" s="1364">
        <v>0</v>
      </c>
      <c r="AO132" s="1365">
        <f t="shared" si="193"/>
        <v>0</v>
      </c>
      <c r="AP132" s="1366">
        <v>0</v>
      </c>
      <c r="AQ132" s="1367">
        <f t="shared" si="194"/>
        <v>0</v>
      </c>
      <c r="AR132" s="1368">
        <v>0</v>
      </c>
      <c r="AS132" s="1369">
        <f t="shared" si="195"/>
        <v>0</v>
      </c>
      <c r="AT132" s="1370">
        <v>0</v>
      </c>
      <c r="AU132" s="1371">
        <f t="shared" si="196"/>
        <v>0</v>
      </c>
      <c r="AV132" s="1359">
        <f t="shared" si="197"/>
        <v>0</v>
      </c>
      <c r="AW132" s="1372">
        <f t="shared" si="198"/>
        <v>0</v>
      </c>
      <c r="AX132" s="1373">
        <f t="shared" si="199"/>
        <v>0</v>
      </c>
      <c r="AY132" s="1374">
        <f t="shared" si="200"/>
        <v>0</v>
      </c>
      <c r="AZ132" s="1375">
        <f t="shared" si="201"/>
        <v>0</v>
      </c>
      <c r="BA132" s="1376">
        <f t="shared" si="202"/>
        <v>0</v>
      </c>
      <c r="BB132" s="1377"/>
      <c r="BC132" s="1820"/>
      <c r="BD132" s="1820"/>
      <c r="BE132" s="1823"/>
      <c r="BF132" s="1834"/>
      <c r="BG132" s="1829"/>
    </row>
    <row r="133" spans="1:59" s="1378" customFormat="1" ht="38.25">
      <c r="A133" s="1347" t="str">
        <f t="shared" si="185"/>
        <v>Beacon Discovery, Inc.</v>
      </c>
      <c r="B133" s="1348" t="str">
        <f t="shared" si="186"/>
        <v>HUB SD</v>
      </c>
      <c r="C133" s="1348">
        <f t="shared" si="187"/>
        <v>25</v>
      </c>
      <c r="D133" s="1349">
        <f t="shared" si="188"/>
        <v>43282</v>
      </c>
      <c r="E133" s="1349"/>
      <c r="F133" s="1347" t="s">
        <v>72</v>
      </c>
      <c r="G133" s="1347" t="s">
        <v>85</v>
      </c>
      <c r="H133" s="1347" t="s">
        <v>72</v>
      </c>
      <c r="I133" s="1347" t="s">
        <v>72</v>
      </c>
      <c r="J133" s="1349" t="s">
        <v>4670</v>
      </c>
      <c r="K133" s="1349" t="s">
        <v>254</v>
      </c>
      <c r="L133" s="1350" t="s">
        <v>48</v>
      </c>
      <c r="M133" s="1350" t="s">
        <v>3652</v>
      </c>
      <c r="N133" s="1390" t="s">
        <v>4701</v>
      </c>
      <c r="O133" s="1352" t="s">
        <v>4702</v>
      </c>
      <c r="P133" s="1388"/>
      <c r="Q133" s="1354"/>
      <c r="R133" s="1354"/>
      <c r="S133" s="1354"/>
      <c r="T133" s="1354"/>
      <c r="U133" s="1354"/>
      <c r="V133" s="1354"/>
      <c r="W133" s="1354"/>
      <c r="X133" s="1353">
        <f t="shared" si="189"/>
        <v>43282</v>
      </c>
      <c r="Y133" s="1353">
        <f t="shared" si="189"/>
        <v>43466</v>
      </c>
      <c r="Z133" s="1355"/>
      <c r="AA133" s="1355" t="s">
        <v>4674</v>
      </c>
      <c r="AB133" s="1356"/>
      <c r="AC133" s="1356"/>
      <c r="AD133" s="1422">
        <v>0</v>
      </c>
      <c r="AE133" s="1422">
        <f t="shared" si="184"/>
        <v>0</v>
      </c>
      <c r="AF133" s="1423" t="str">
        <f t="shared" si="140"/>
        <v/>
      </c>
      <c r="AG133" s="1380"/>
      <c r="AH133" s="1380"/>
      <c r="AI133" s="1381">
        <v>0</v>
      </c>
      <c r="AJ133" s="1382"/>
      <c r="AK133" s="1383">
        <f t="shared" si="205"/>
        <v>0</v>
      </c>
      <c r="AL133" s="1384">
        <v>0</v>
      </c>
      <c r="AM133" s="1363">
        <f t="shared" si="192"/>
        <v>0</v>
      </c>
      <c r="AN133" s="1364">
        <v>0</v>
      </c>
      <c r="AO133" s="1365">
        <f t="shared" si="193"/>
        <v>0</v>
      </c>
      <c r="AP133" s="1366">
        <v>0</v>
      </c>
      <c r="AQ133" s="1367">
        <f t="shared" si="194"/>
        <v>0</v>
      </c>
      <c r="AR133" s="1368">
        <v>0</v>
      </c>
      <c r="AS133" s="1369">
        <f t="shared" si="195"/>
        <v>0</v>
      </c>
      <c r="AT133" s="1370">
        <v>0</v>
      </c>
      <c r="AU133" s="1371">
        <f t="shared" si="196"/>
        <v>0</v>
      </c>
      <c r="AV133" s="1359">
        <f t="shared" si="197"/>
        <v>0</v>
      </c>
      <c r="AW133" s="1372">
        <f t="shared" si="198"/>
        <v>0</v>
      </c>
      <c r="AX133" s="1373">
        <f t="shared" si="199"/>
        <v>0</v>
      </c>
      <c r="AY133" s="1374">
        <f t="shared" si="200"/>
        <v>0</v>
      </c>
      <c r="AZ133" s="1375">
        <f t="shared" si="201"/>
        <v>0</v>
      </c>
      <c r="BA133" s="1376">
        <f t="shared" si="202"/>
        <v>0</v>
      </c>
      <c r="BB133" s="1377"/>
      <c r="BC133" s="1820"/>
      <c r="BD133" s="1820"/>
      <c r="BE133" s="1823"/>
      <c r="BF133" s="1834"/>
      <c r="BG133" s="1829"/>
    </row>
    <row r="134" spans="1:59" s="1378" customFormat="1" ht="38.25">
      <c r="A134" s="1347" t="str">
        <f t="shared" si="185"/>
        <v>Beacon Discovery, Inc.</v>
      </c>
      <c r="B134" s="1348" t="str">
        <f t="shared" si="186"/>
        <v>HUB SD</v>
      </c>
      <c r="C134" s="1348">
        <f t="shared" si="187"/>
        <v>25</v>
      </c>
      <c r="D134" s="1349">
        <f t="shared" si="188"/>
        <v>43282</v>
      </c>
      <c r="E134" s="1349"/>
      <c r="F134" s="1347" t="s">
        <v>72</v>
      </c>
      <c r="G134" s="1347" t="s">
        <v>85</v>
      </c>
      <c r="H134" s="1347" t="s">
        <v>72</v>
      </c>
      <c r="I134" s="1347" t="s">
        <v>72</v>
      </c>
      <c r="J134" s="1349" t="s">
        <v>4670</v>
      </c>
      <c r="K134" s="1349" t="s">
        <v>254</v>
      </c>
      <c r="L134" s="1350" t="s">
        <v>48</v>
      </c>
      <c r="M134" s="1350" t="s">
        <v>253</v>
      </c>
      <c r="N134" s="1390" t="s">
        <v>4703</v>
      </c>
      <c r="O134" s="1352" t="s">
        <v>4704</v>
      </c>
      <c r="P134" s="1388"/>
      <c r="Q134" s="1354"/>
      <c r="R134" s="1354"/>
      <c r="S134" s="1354"/>
      <c r="T134" s="1354"/>
      <c r="U134" s="1354"/>
      <c r="V134" s="1354"/>
      <c r="W134" s="1354"/>
      <c r="X134" s="1353">
        <f t="shared" si="189"/>
        <v>43282</v>
      </c>
      <c r="Y134" s="1353">
        <f t="shared" si="189"/>
        <v>43466</v>
      </c>
      <c r="Z134" s="1355"/>
      <c r="AA134" s="1355" t="s">
        <v>4674</v>
      </c>
      <c r="AB134" s="1356"/>
      <c r="AC134" s="1356"/>
      <c r="AD134" s="1422">
        <v>0</v>
      </c>
      <c r="AE134" s="1422">
        <f t="shared" si="184"/>
        <v>0</v>
      </c>
      <c r="AF134" s="1423" t="str">
        <f t="shared" si="140"/>
        <v/>
      </c>
      <c r="AG134" s="1380"/>
      <c r="AH134" s="1380"/>
      <c r="AI134" s="1381">
        <v>0</v>
      </c>
      <c r="AJ134" s="1382"/>
      <c r="AK134" s="1383">
        <f t="shared" si="205"/>
        <v>0</v>
      </c>
      <c r="AL134" s="1384">
        <v>0</v>
      </c>
      <c r="AM134" s="1363">
        <f t="shared" si="192"/>
        <v>0</v>
      </c>
      <c r="AN134" s="1364">
        <v>0</v>
      </c>
      <c r="AO134" s="1365">
        <f t="shared" si="193"/>
        <v>0</v>
      </c>
      <c r="AP134" s="1366">
        <v>0</v>
      </c>
      <c r="AQ134" s="1367">
        <f t="shared" si="194"/>
        <v>0</v>
      </c>
      <c r="AR134" s="1368">
        <v>0</v>
      </c>
      <c r="AS134" s="1369">
        <f t="shared" si="195"/>
        <v>0</v>
      </c>
      <c r="AT134" s="1370">
        <v>0</v>
      </c>
      <c r="AU134" s="1371">
        <f t="shared" si="196"/>
        <v>0</v>
      </c>
      <c r="AV134" s="1359">
        <f t="shared" si="197"/>
        <v>0</v>
      </c>
      <c r="AW134" s="1372">
        <f t="shared" si="198"/>
        <v>0</v>
      </c>
      <c r="AX134" s="1373">
        <f t="shared" si="199"/>
        <v>0</v>
      </c>
      <c r="AY134" s="1374">
        <f t="shared" si="200"/>
        <v>0</v>
      </c>
      <c r="AZ134" s="1375">
        <f t="shared" si="201"/>
        <v>0</v>
      </c>
      <c r="BA134" s="1376">
        <f t="shared" si="202"/>
        <v>0</v>
      </c>
      <c r="BB134" s="1391"/>
      <c r="BC134" s="1820"/>
      <c r="BD134" s="1820"/>
      <c r="BE134" s="1823"/>
      <c r="BF134" s="1834"/>
      <c r="BG134" s="1829"/>
    </row>
    <row r="135" spans="1:59" s="1378" customFormat="1" ht="38.25">
      <c r="A135" s="1347" t="str">
        <f t="shared" si="185"/>
        <v>Beacon Discovery, Inc.</v>
      </c>
      <c r="B135" s="1348" t="str">
        <f t="shared" si="186"/>
        <v>HUB SD</v>
      </c>
      <c r="C135" s="1348">
        <f t="shared" si="187"/>
        <v>25</v>
      </c>
      <c r="D135" s="1349">
        <f t="shared" si="188"/>
        <v>43282</v>
      </c>
      <c r="E135" s="1349"/>
      <c r="F135" s="1347" t="s">
        <v>72</v>
      </c>
      <c r="G135" s="1347" t="s">
        <v>85</v>
      </c>
      <c r="H135" s="1347" t="s">
        <v>72</v>
      </c>
      <c r="I135" s="1347" t="s">
        <v>72</v>
      </c>
      <c r="J135" s="1349" t="s">
        <v>4670</v>
      </c>
      <c r="K135" s="1349" t="s">
        <v>254</v>
      </c>
      <c r="L135" s="1350" t="s">
        <v>49</v>
      </c>
      <c r="M135" s="1350" t="s">
        <v>4705</v>
      </c>
      <c r="N135" s="1390" t="s">
        <v>4706</v>
      </c>
      <c r="O135" s="1352" t="s">
        <v>4707</v>
      </c>
      <c r="P135" s="1388"/>
      <c r="Q135" s="1354"/>
      <c r="R135" s="1354"/>
      <c r="S135" s="1354"/>
      <c r="T135" s="1354"/>
      <c r="U135" s="1354"/>
      <c r="V135" s="1354"/>
      <c r="W135" s="1354"/>
      <c r="X135" s="1353">
        <f t="shared" si="189"/>
        <v>43282</v>
      </c>
      <c r="Y135" s="1353">
        <f t="shared" si="189"/>
        <v>43466</v>
      </c>
      <c r="Z135" s="1355"/>
      <c r="AA135" s="1355" t="s">
        <v>4674</v>
      </c>
      <c r="AB135" s="1356"/>
      <c r="AC135" s="1356"/>
      <c r="AD135" s="1422">
        <v>0</v>
      </c>
      <c r="AE135" s="1422">
        <f t="shared" si="184"/>
        <v>0</v>
      </c>
      <c r="AF135" s="1423" t="str">
        <f t="shared" si="140"/>
        <v/>
      </c>
      <c r="AG135" s="1380"/>
      <c r="AH135" s="1380"/>
      <c r="AI135" s="1381">
        <v>0</v>
      </c>
      <c r="AJ135" s="1382"/>
      <c r="AK135" s="1383">
        <f t="shared" si="205"/>
        <v>0</v>
      </c>
      <c r="AL135" s="1384">
        <v>0</v>
      </c>
      <c r="AM135" s="1363">
        <f t="shared" si="192"/>
        <v>0</v>
      </c>
      <c r="AN135" s="1364">
        <v>0</v>
      </c>
      <c r="AO135" s="1365">
        <f t="shared" si="193"/>
        <v>0</v>
      </c>
      <c r="AP135" s="1366">
        <v>0</v>
      </c>
      <c r="AQ135" s="1367">
        <f t="shared" si="194"/>
        <v>0</v>
      </c>
      <c r="AR135" s="1368">
        <v>0</v>
      </c>
      <c r="AS135" s="1369">
        <f t="shared" si="195"/>
        <v>0</v>
      </c>
      <c r="AT135" s="1370">
        <v>0</v>
      </c>
      <c r="AU135" s="1371">
        <f t="shared" si="196"/>
        <v>0</v>
      </c>
      <c r="AV135" s="1359">
        <f t="shared" si="197"/>
        <v>0</v>
      </c>
      <c r="AW135" s="1372">
        <f t="shared" si="198"/>
        <v>0</v>
      </c>
      <c r="AX135" s="1373">
        <f t="shared" si="199"/>
        <v>0</v>
      </c>
      <c r="AY135" s="1374">
        <f t="shared" si="200"/>
        <v>0</v>
      </c>
      <c r="AZ135" s="1375">
        <f t="shared" si="201"/>
        <v>0</v>
      </c>
      <c r="BA135" s="1376">
        <f t="shared" si="202"/>
        <v>0</v>
      </c>
      <c r="BB135" s="1391"/>
      <c r="BC135" s="1820"/>
      <c r="BD135" s="1820"/>
      <c r="BE135" s="1823"/>
      <c r="BF135" s="1834"/>
      <c r="BG135" s="1829"/>
    </row>
    <row r="136" spans="1:59" s="1378" customFormat="1" ht="38.25">
      <c r="A136" s="1347" t="str">
        <f t="shared" si="185"/>
        <v>Beacon Discovery, Inc.</v>
      </c>
      <c r="B136" s="1348" t="str">
        <f t="shared" si="186"/>
        <v>HUB SD</v>
      </c>
      <c r="C136" s="1348">
        <f t="shared" si="187"/>
        <v>25</v>
      </c>
      <c r="D136" s="1349">
        <f t="shared" si="188"/>
        <v>43282</v>
      </c>
      <c r="E136" s="1349"/>
      <c r="F136" s="1347" t="s">
        <v>72</v>
      </c>
      <c r="G136" s="1347" t="s">
        <v>85</v>
      </c>
      <c r="H136" s="1347" t="s">
        <v>72</v>
      </c>
      <c r="I136" s="1347" t="s">
        <v>72</v>
      </c>
      <c r="J136" s="1349" t="s">
        <v>4670</v>
      </c>
      <c r="K136" s="1349" t="s">
        <v>254</v>
      </c>
      <c r="L136" s="1350" t="s">
        <v>3056</v>
      </c>
      <c r="M136" s="1350" t="s">
        <v>4708</v>
      </c>
      <c r="N136" s="1390" t="s">
        <v>4709</v>
      </c>
      <c r="O136" s="1352" t="s">
        <v>4710</v>
      </c>
      <c r="P136" s="1388"/>
      <c r="Q136" s="1354"/>
      <c r="R136" s="1354"/>
      <c r="S136" s="1354"/>
      <c r="T136" s="1354"/>
      <c r="U136" s="1354"/>
      <c r="V136" s="1354"/>
      <c r="W136" s="1354"/>
      <c r="X136" s="1353">
        <f t="shared" si="189"/>
        <v>43282</v>
      </c>
      <c r="Y136" s="1353">
        <f t="shared" si="189"/>
        <v>43466</v>
      </c>
      <c r="Z136" s="1355"/>
      <c r="AA136" s="1355" t="s">
        <v>4674</v>
      </c>
      <c r="AB136" s="1356"/>
      <c r="AC136" s="1356"/>
      <c r="AD136" s="1422">
        <v>0</v>
      </c>
      <c r="AE136" s="1422">
        <f t="shared" si="184"/>
        <v>0</v>
      </c>
      <c r="AF136" s="1423" t="str">
        <f t="shared" si="140"/>
        <v/>
      </c>
      <c r="AG136" s="1380"/>
      <c r="AH136" s="1380"/>
      <c r="AI136" s="1381">
        <v>0</v>
      </c>
      <c r="AJ136" s="1382"/>
      <c r="AK136" s="1383">
        <f t="shared" si="205"/>
        <v>0</v>
      </c>
      <c r="AL136" s="1384">
        <v>0</v>
      </c>
      <c r="AM136" s="1363">
        <f t="shared" si="192"/>
        <v>0</v>
      </c>
      <c r="AN136" s="1364">
        <v>0</v>
      </c>
      <c r="AO136" s="1365">
        <f t="shared" si="193"/>
        <v>0</v>
      </c>
      <c r="AP136" s="1366">
        <v>0</v>
      </c>
      <c r="AQ136" s="1367">
        <f t="shared" si="194"/>
        <v>0</v>
      </c>
      <c r="AR136" s="1368">
        <v>0</v>
      </c>
      <c r="AS136" s="1369">
        <f t="shared" si="195"/>
        <v>0</v>
      </c>
      <c r="AT136" s="1370">
        <v>0</v>
      </c>
      <c r="AU136" s="1371">
        <f t="shared" si="196"/>
        <v>0</v>
      </c>
      <c r="AV136" s="1359">
        <f t="shared" si="197"/>
        <v>0</v>
      </c>
      <c r="AW136" s="1372">
        <f t="shared" si="198"/>
        <v>0</v>
      </c>
      <c r="AX136" s="1373">
        <f t="shared" si="199"/>
        <v>0</v>
      </c>
      <c r="AY136" s="1374">
        <f t="shared" si="200"/>
        <v>0</v>
      </c>
      <c r="AZ136" s="1375">
        <f t="shared" si="201"/>
        <v>0</v>
      </c>
      <c r="BA136" s="1376">
        <f t="shared" si="202"/>
        <v>0</v>
      </c>
      <c r="BB136" s="1391"/>
      <c r="BC136" s="1821"/>
      <c r="BD136" s="1821"/>
      <c r="BE136" s="1824"/>
      <c r="BF136" s="1834"/>
      <c r="BG136" s="1830"/>
    </row>
    <row r="137" spans="1:59" s="1315" customFormat="1" ht="25.5">
      <c r="A137" s="1277" t="str">
        <f>L137</f>
        <v>Beloteca, Inc.</v>
      </c>
      <c r="B137" s="1316" t="str">
        <f>N$990</f>
        <v>Duenas</v>
      </c>
      <c r="C137" s="1316">
        <f>Z137</f>
        <v>7</v>
      </c>
      <c r="D137" s="1317">
        <v>43282</v>
      </c>
      <c r="E137" s="1317"/>
      <c r="F137" s="1277" t="s">
        <v>72</v>
      </c>
      <c r="G137" s="1277" t="s">
        <v>72</v>
      </c>
      <c r="H137" s="1277" t="s">
        <v>72</v>
      </c>
      <c r="I137" s="1277" t="s">
        <v>4711</v>
      </c>
      <c r="J137" s="1317"/>
      <c r="K137" s="1317"/>
      <c r="L137" s="1318" t="s">
        <v>5500</v>
      </c>
      <c r="M137" s="1319"/>
      <c r="N137" s="1427" t="s">
        <v>4835</v>
      </c>
      <c r="O137" s="1419" t="s">
        <v>2473</v>
      </c>
      <c r="P137" s="1419"/>
      <c r="Q137" s="1322"/>
      <c r="R137" s="1322"/>
      <c r="S137" s="1322"/>
      <c r="T137" s="1322"/>
      <c r="U137" s="1322"/>
      <c r="V137" s="1322"/>
      <c r="W137" s="1322"/>
      <c r="X137" s="1317">
        <v>43282</v>
      </c>
      <c r="Y137" s="1317">
        <v>43466</v>
      </c>
      <c r="Z137" s="1316">
        <v>7</v>
      </c>
      <c r="AA137" s="1316" t="s">
        <v>4836</v>
      </c>
      <c r="AB137" s="1323">
        <f>SUM(AB138:AB143)</f>
        <v>0</v>
      </c>
      <c r="AC137" s="1323">
        <f>SUM(AC138:AC143)</f>
        <v>0</v>
      </c>
      <c r="AD137" s="1323">
        <f>SUM(AD138:AD143)</f>
        <v>0</v>
      </c>
      <c r="AE137" s="1324">
        <f t="shared" si="184"/>
        <v>0</v>
      </c>
      <c r="AF137" s="1325" t="str">
        <f t="shared" si="140"/>
        <v/>
      </c>
      <c r="AG137" s="1326">
        <f>SUM(AG138:AG143)</f>
        <v>0</v>
      </c>
      <c r="AH137" s="1326">
        <f>SUM(AH138:AH143)</f>
        <v>0</v>
      </c>
      <c r="AI137" s="1339"/>
      <c r="AJ137" s="1328">
        <f>SUM(AJ138:AJ143)</f>
        <v>0</v>
      </c>
      <c r="AK137" s="1328">
        <f>SUM(AK138:AK143)</f>
        <v>0</v>
      </c>
      <c r="AL137" s="1329"/>
      <c r="AM137" s="1330">
        <f>SUM(AM138:AM143)</f>
        <v>0</v>
      </c>
      <c r="AN137" s="1331"/>
      <c r="AO137" s="1332">
        <f>SUM(AO138:AO143)</f>
        <v>0</v>
      </c>
      <c r="AP137" s="1333"/>
      <c r="AQ137" s="1334">
        <f>SUM(AQ138:AQ143)</f>
        <v>0</v>
      </c>
      <c r="AR137" s="1335"/>
      <c r="AS137" s="1336">
        <f>SUM(AS138:AS143)</f>
        <v>0</v>
      </c>
      <c r="AT137" s="1337"/>
      <c r="AU137" s="1338">
        <f>SUM(AU138:AU143)</f>
        <v>0</v>
      </c>
      <c r="AV137" s="1339"/>
      <c r="AW137" s="1340">
        <f>SUM(AW138:AW143)</f>
        <v>0</v>
      </c>
      <c r="AX137" s="1306"/>
      <c r="AY137" s="1307">
        <f>SUM(AW137+AS137+AU137)</f>
        <v>0</v>
      </c>
      <c r="AZ137" s="1341"/>
      <c r="BA137" s="1309">
        <f>SUM(AY137+AQ137)</f>
        <v>0</v>
      </c>
      <c r="BB137" s="1342" t="e">
        <f>(AW137+AU137)/(AK137-AM137)</f>
        <v>#DIV/0!</v>
      </c>
      <c r="BC137" s="1343"/>
      <c r="BD137" s="1343"/>
      <c r="BE137" s="1344"/>
      <c r="BF137" s="1428" t="s">
        <v>5507</v>
      </c>
      <c r="BG137" s="1346"/>
    </row>
    <row r="138" spans="1:59" s="1378" customFormat="1" ht="63.75">
      <c r="A138" s="1347" t="str">
        <f t="shared" ref="A138:A143" si="208">L$137</f>
        <v>Beloteca, Inc.</v>
      </c>
      <c r="B138" s="1348" t="str">
        <f t="shared" ref="B138:B143" si="209">N$137</f>
        <v>Duenas</v>
      </c>
      <c r="C138" s="1348">
        <f t="shared" ref="C138:C143" si="210">Z$137</f>
        <v>7</v>
      </c>
      <c r="D138" s="1349">
        <f t="shared" ref="D138:D143" si="211">D$137</f>
        <v>43282</v>
      </c>
      <c r="E138" s="1349"/>
      <c r="F138" s="1347" t="s">
        <v>85</v>
      </c>
      <c r="G138" s="1347" t="s">
        <v>85</v>
      </c>
      <c r="H138" s="1347" t="s">
        <v>85</v>
      </c>
      <c r="I138" s="1347" t="s">
        <v>113</v>
      </c>
      <c r="J138" s="1349"/>
      <c r="K138" s="1349" t="s">
        <v>254</v>
      </c>
      <c r="L138" s="1350" t="s">
        <v>2661</v>
      </c>
      <c r="M138" s="1350" t="s">
        <v>3647</v>
      </c>
      <c r="N138" s="1351" t="s">
        <v>6165</v>
      </c>
      <c r="O138" s="1352" t="s">
        <v>6166</v>
      </c>
      <c r="P138" s="1352" t="s">
        <v>5003</v>
      </c>
      <c r="Q138" s="1353" t="s">
        <v>317</v>
      </c>
      <c r="R138" s="1353" t="s">
        <v>3648</v>
      </c>
      <c r="S138" s="1353" t="s">
        <v>307</v>
      </c>
      <c r="T138" s="1353" t="s">
        <v>113</v>
      </c>
      <c r="U138" s="1354"/>
      <c r="V138" s="1354"/>
      <c r="W138" s="1354"/>
      <c r="X138" s="1353">
        <f t="shared" ref="X138:Y143" si="212">X$137</f>
        <v>43282</v>
      </c>
      <c r="Y138" s="1353">
        <f t="shared" si="212"/>
        <v>43466</v>
      </c>
      <c r="Z138" s="1355"/>
      <c r="AA138" s="1355" t="s">
        <v>4841</v>
      </c>
      <c r="AB138" s="1356"/>
      <c r="AC138" s="1356"/>
      <c r="AD138" s="1422">
        <f>AH138</f>
        <v>0</v>
      </c>
      <c r="AE138" s="1422">
        <f t="shared" si="184"/>
        <v>0</v>
      </c>
      <c r="AF138" s="1423" t="str">
        <f t="shared" si="140"/>
        <v/>
      </c>
      <c r="AG138" s="1358">
        <v>0</v>
      </c>
      <c r="AH138" s="1426">
        <f t="shared" ref="AH138" si="213">AG138*12</f>
        <v>0</v>
      </c>
      <c r="AI138" s="1359">
        <v>0.08</v>
      </c>
      <c r="AJ138" s="1360">
        <f>$AI138*$AG138</f>
        <v>0</v>
      </c>
      <c r="AK138" s="1361">
        <f>AI138*$AH138</f>
        <v>0</v>
      </c>
      <c r="AL138" s="1362">
        <v>5.0000000000000001E-3</v>
      </c>
      <c r="AM138" s="1363">
        <f t="shared" ref="AM138:AM143" si="214">AL138*$AH138</f>
        <v>0</v>
      </c>
      <c r="AN138" s="1364">
        <v>0</v>
      </c>
      <c r="AO138" s="1365">
        <f t="shared" ref="AO138:AO143" si="215">AN138*$AH138</f>
        <v>0</v>
      </c>
      <c r="AP138" s="1366">
        <v>0</v>
      </c>
      <c r="AQ138" s="1367">
        <f t="shared" ref="AQ138:AQ143" si="216">AP138*$AH138</f>
        <v>0</v>
      </c>
      <c r="AR138" s="1368">
        <v>0</v>
      </c>
      <c r="AS138" s="1369">
        <f t="shared" ref="AS138:AS143" si="217">AR138*$AH138</f>
        <v>0</v>
      </c>
      <c r="AT138" s="1370">
        <v>2.5000000000000001E-2</v>
      </c>
      <c r="AU138" s="1371">
        <f t="shared" ref="AU138:AU143" si="218">AT138*$AH138</f>
        <v>0</v>
      </c>
      <c r="AV138" s="1359">
        <f t="shared" ref="AV138:AV143" si="219">AZ138-AR138-AT138-AP138</f>
        <v>4.9999999999999996E-2</v>
      </c>
      <c r="AW138" s="1372">
        <f t="shared" ref="AW138:AW143" si="220">AV138*$AH138</f>
        <v>0</v>
      </c>
      <c r="AX138" s="1373">
        <f t="shared" ref="AX138:AX143" si="221">$AZ138-$AP138</f>
        <v>7.4999999999999997E-2</v>
      </c>
      <c r="AY138" s="1374">
        <f t="shared" ref="AY138:AY143" si="222">AX138*$AH138</f>
        <v>0</v>
      </c>
      <c r="AZ138" s="1375">
        <f t="shared" ref="AZ138:AZ143" si="223">$AI138-$AL138-$AN138</f>
        <v>7.4999999999999997E-2</v>
      </c>
      <c r="BA138" s="1376">
        <f t="shared" ref="BA138:BA143" si="224">AZ138*$AH138</f>
        <v>0</v>
      </c>
      <c r="BB138" s="1391"/>
      <c r="BC138" s="1819" t="s">
        <v>5502</v>
      </c>
      <c r="BD138" s="1819" t="s">
        <v>5503</v>
      </c>
      <c r="BE138" s="1822" t="s">
        <v>5503</v>
      </c>
      <c r="BF138" s="1825" t="s">
        <v>5508</v>
      </c>
      <c r="BG138" s="1828" t="s">
        <v>6163</v>
      </c>
    </row>
    <row r="139" spans="1:59" s="1378" customFormat="1" ht="39" customHeight="1">
      <c r="A139" s="1347" t="str">
        <f t="shared" si="208"/>
        <v>Beloteca, Inc.</v>
      </c>
      <c r="B139" s="1348" t="str">
        <f t="shared" si="209"/>
        <v>Duenas</v>
      </c>
      <c r="C139" s="1348">
        <f t="shared" si="210"/>
        <v>7</v>
      </c>
      <c r="D139" s="1349">
        <f t="shared" si="211"/>
        <v>43282</v>
      </c>
      <c r="E139" s="1349"/>
      <c r="F139" s="1347" t="s">
        <v>72</v>
      </c>
      <c r="G139" s="1347" t="s">
        <v>85</v>
      </c>
      <c r="H139" s="1347" t="s">
        <v>72</v>
      </c>
      <c r="I139" s="1347" t="s">
        <v>72</v>
      </c>
      <c r="J139" s="1349" t="s">
        <v>4670</v>
      </c>
      <c r="K139" s="1349" t="s">
        <v>254</v>
      </c>
      <c r="L139" s="1350" t="s">
        <v>4671</v>
      </c>
      <c r="M139" s="1350" t="s">
        <v>3649</v>
      </c>
      <c r="N139" s="1379" t="s">
        <v>3649</v>
      </c>
      <c r="O139" s="1352" t="s">
        <v>4832</v>
      </c>
      <c r="P139" s="1388"/>
      <c r="Q139" s="1354"/>
      <c r="R139" s="1354"/>
      <c r="S139" s="1354"/>
      <c r="T139" s="1354"/>
      <c r="U139" s="1354"/>
      <c r="V139" s="1354"/>
      <c r="W139" s="1354"/>
      <c r="X139" s="1353">
        <f t="shared" si="212"/>
        <v>43282</v>
      </c>
      <c r="Y139" s="1353">
        <f t="shared" si="212"/>
        <v>43466</v>
      </c>
      <c r="Z139" s="1355"/>
      <c r="AA139" s="1355" t="s">
        <v>4674</v>
      </c>
      <c r="AB139" s="1356"/>
      <c r="AC139" s="1356"/>
      <c r="AD139" s="1422">
        <v>0</v>
      </c>
      <c r="AE139" s="1422">
        <f t="shared" si="184"/>
        <v>0</v>
      </c>
      <c r="AF139" s="1423" t="str">
        <f t="shared" si="140"/>
        <v/>
      </c>
      <c r="AG139" s="1380"/>
      <c r="AH139" s="1380"/>
      <c r="AI139" s="1381">
        <v>0</v>
      </c>
      <c r="AJ139" s="1382"/>
      <c r="AK139" s="1383">
        <f>AI139*$AH139</f>
        <v>0</v>
      </c>
      <c r="AL139" s="1384">
        <v>0</v>
      </c>
      <c r="AM139" s="1363">
        <f t="shared" si="214"/>
        <v>0</v>
      </c>
      <c r="AN139" s="1364">
        <v>0</v>
      </c>
      <c r="AO139" s="1365">
        <f t="shared" si="215"/>
        <v>0</v>
      </c>
      <c r="AP139" s="1366">
        <v>0</v>
      </c>
      <c r="AQ139" s="1367">
        <f t="shared" si="216"/>
        <v>0</v>
      </c>
      <c r="AR139" s="1368">
        <v>0</v>
      </c>
      <c r="AS139" s="1369">
        <f t="shared" si="217"/>
        <v>0</v>
      </c>
      <c r="AT139" s="1370">
        <v>0</v>
      </c>
      <c r="AU139" s="1371">
        <f t="shared" si="218"/>
        <v>0</v>
      </c>
      <c r="AV139" s="1359">
        <f t="shared" si="219"/>
        <v>0</v>
      </c>
      <c r="AW139" s="1372">
        <f t="shared" si="220"/>
        <v>0</v>
      </c>
      <c r="AX139" s="1373">
        <f t="shared" si="221"/>
        <v>0</v>
      </c>
      <c r="AY139" s="1374">
        <f t="shared" si="222"/>
        <v>0</v>
      </c>
      <c r="AZ139" s="1375">
        <f t="shared" si="223"/>
        <v>0</v>
      </c>
      <c r="BA139" s="1376">
        <f t="shared" si="224"/>
        <v>0</v>
      </c>
      <c r="BB139" s="1391"/>
      <c r="BC139" s="1820"/>
      <c r="BD139" s="1820"/>
      <c r="BE139" s="1823"/>
      <c r="BF139" s="1826"/>
      <c r="BG139" s="1829"/>
    </row>
    <row r="140" spans="1:59" s="1378" customFormat="1" ht="27.75" customHeight="1">
      <c r="A140" s="1347" t="str">
        <f t="shared" si="208"/>
        <v>Beloteca, Inc.</v>
      </c>
      <c r="B140" s="1348" t="str">
        <f t="shared" si="209"/>
        <v>Duenas</v>
      </c>
      <c r="C140" s="1348">
        <f t="shared" si="210"/>
        <v>7</v>
      </c>
      <c r="D140" s="1349">
        <f t="shared" si="211"/>
        <v>43282</v>
      </c>
      <c r="E140" s="1349"/>
      <c r="F140" s="1347" t="s">
        <v>72</v>
      </c>
      <c r="G140" s="1347" t="s">
        <v>85</v>
      </c>
      <c r="H140" s="1347" t="s">
        <v>72</v>
      </c>
      <c r="I140" s="1347" t="s">
        <v>72</v>
      </c>
      <c r="J140" s="1349" t="s">
        <v>4670</v>
      </c>
      <c r="K140" s="1349" t="s">
        <v>254</v>
      </c>
      <c r="L140" s="1350" t="s">
        <v>4696</v>
      </c>
      <c r="M140" s="1350" t="s">
        <v>4697</v>
      </c>
      <c r="N140" s="1389" t="s">
        <v>4698</v>
      </c>
      <c r="O140" s="1352" t="s">
        <v>4699</v>
      </c>
      <c r="P140" s="1388"/>
      <c r="Q140" s="1354"/>
      <c r="R140" s="1354"/>
      <c r="S140" s="1354"/>
      <c r="T140" s="1354"/>
      <c r="U140" s="1354"/>
      <c r="V140" s="1354"/>
      <c r="W140" s="1354"/>
      <c r="X140" s="1353">
        <f t="shared" si="212"/>
        <v>43282</v>
      </c>
      <c r="Y140" s="1353">
        <f t="shared" si="212"/>
        <v>43466</v>
      </c>
      <c r="Z140" s="1355"/>
      <c r="AA140" s="1355" t="s">
        <v>4674</v>
      </c>
      <c r="AB140" s="1356"/>
      <c r="AC140" s="1356"/>
      <c r="AD140" s="1422">
        <v>0</v>
      </c>
      <c r="AE140" s="1422">
        <f t="shared" si="184"/>
        <v>0</v>
      </c>
      <c r="AF140" s="1423" t="str">
        <f t="shared" si="140"/>
        <v/>
      </c>
      <c r="AG140" s="1380"/>
      <c r="AH140" s="1380"/>
      <c r="AI140" s="1381">
        <v>0</v>
      </c>
      <c r="AJ140" s="1382"/>
      <c r="AK140" s="1383">
        <f t="shared" ref="AK140:AK143" si="225">AI140*$AH140</f>
        <v>0</v>
      </c>
      <c r="AL140" s="1384">
        <v>0</v>
      </c>
      <c r="AM140" s="1363">
        <f t="shared" si="214"/>
        <v>0</v>
      </c>
      <c r="AN140" s="1364">
        <v>0</v>
      </c>
      <c r="AO140" s="1365">
        <f t="shared" si="215"/>
        <v>0</v>
      </c>
      <c r="AP140" s="1366">
        <v>0</v>
      </c>
      <c r="AQ140" s="1367">
        <f t="shared" si="216"/>
        <v>0</v>
      </c>
      <c r="AR140" s="1368">
        <v>0</v>
      </c>
      <c r="AS140" s="1369">
        <f t="shared" si="217"/>
        <v>0</v>
      </c>
      <c r="AT140" s="1370">
        <v>0</v>
      </c>
      <c r="AU140" s="1371">
        <f t="shared" si="218"/>
        <v>0</v>
      </c>
      <c r="AV140" s="1359">
        <f t="shared" si="219"/>
        <v>0</v>
      </c>
      <c r="AW140" s="1372">
        <f t="shared" si="220"/>
        <v>0</v>
      </c>
      <c r="AX140" s="1373">
        <f t="shared" si="221"/>
        <v>0</v>
      </c>
      <c r="AY140" s="1374">
        <f t="shared" si="222"/>
        <v>0</v>
      </c>
      <c r="AZ140" s="1375">
        <f t="shared" si="223"/>
        <v>0</v>
      </c>
      <c r="BA140" s="1376">
        <f t="shared" si="224"/>
        <v>0</v>
      </c>
      <c r="BB140" s="1377"/>
      <c r="BC140" s="1820"/>
      <c r="BD140" s="1820"/>
      <c r="BE140" s="1823"/>
      <c r="BF140" s="1826"/>
      <c r="BG140" s="1829"/>
    </row>
    <row r="141" spans="1:59" s="1378" customFormat="1" ht="27.75" customHeight="1">
      <c r="A141" s="1347" t="str">
        <f t="shared" si="208"/>
        <v>Beloteca, Inc.</v>
      </c>
      <c r="B141" s="1348" t="str">
        <f t="shared" si="209"/>
        <v>Duenas</v>
      </c>
      <c r="C141" s="1348">
        <f t="shared" si="210"/>
        <v>7</v>
      </c>
      <c r="D141" s="1349">
        <f t="shared" si="211"/>
        <v>43282</v>
      </c>
      <c r="E141" s="1349"/>
      <c r="F141" s="1347" t="s">
        <v>72</v>
      </c>
      <c r="G141" s="1347" t="s">
        <v>85</v>
      </c>
      <c r="H141" s="1347" t="s">
        <v>72</v>
      </c>
      <c r="I141" s="1347" t="s">
        <v>72</v>
      </c>
      <c r="J141" s="1349" t="s">
        <v>4670</v>
      </c>
      <c r="K141" s="1349" t="s">
        <v>254</v>
      </c>
      <c r="L141" s="1350" t="s">
        <v>48</v>
      </c>
      <c r="M141" s="1350" t="s">
        <v>253</v>
      </c>
      <c r="N141" s="1390" t="s">
        <v>4703</v>
      </c>
      <c r="O141" s="1352" t="s">
        <v>4704</v>
      </c>
      <c r="P141" s="1388"/>
      <c r="Q141" s="1354"/>
      <c r="R141" s="1354"/>
      <c r="S141" s="1354"/>
      <c r="T141" s="1354"/>
      <c r="U141" s="1354"/>
      <c r="V141" s="1354"/>
      <c r="W141" s="1354"/>
      <c r="X141" s="1353">
        <f t="shared" si="212"/>
        <v>43282</v>
      </c>
      <c r="Y141" s="1353">
        <f t="shared" si="212"/>
        <v>43466</v>
      </c>
      <c r="Z141" s="1355"/>
      <c r="AA141" s="1355" t="s">
        <v>4674</v>
      </c>
      <c r="AB141" s="1356"/>
      <c r="AC141" s="1356"/>
      <c r="AD141" s="1422">
        <v>0</v>
      </c>
      <c r="AE141" s="1422">
        <f t="shared" si="184"/>
        <v>0</v>
      </c>
      <c r="AF141" s="1423" t="str">
        <f t="shared" si="140"/>
        <v/>
      </c>
      <c r="AG141" s="1380"/>
      <c r="AH141" s="1380"/>
      <c r="AI141" s="1381">
        <v>0</v>
      </c>
      <c r="AJ141" s="1382"/>
      <c r="AK141" s="1383">
        <f t="shared" si="225"/>
        <v>0</v>
      </c>
      <c r="AL141" s="1384">
        <v>0</v>
      </c>
      <c r="AM141" s="1363">
        <f t="shared" si="214"/>
        <v>0</v>
      </c>
      <c r="AN141" s="1364">
        <v>0</v>
      </c>
      <c r="AO141" s="1365">
        <f t="shared" si="215"/>
        <v>0</v>
      </c>
      <c r="AP141" s="1366">
        <v>0</v>
      </c>
      <c r="AQ141" s="1367">
        <f t="shared" si="216"/>
        <v>0</v>
      </c>
      <c r="AR141" s="1368">
        <v>0</v>
      </c>
      <c r="AS141" s="1369">
        <f t="shared" si="217"/>
        <v>0</v>
      </c>
      <c r="AT141" s="1370">
        <v>0</v>
      </c>
      <c r="AU141" s="1371">
        <f t="shared" si="218"/>
        <v>0</v>
      </c>
      <c r="AV141" s="1359">
        <f t="shared" si="219"/>
        <v>0</v>
      </c>
      <c r="AW141" s="1372">
        <f t="shared" si="220"/>
        <v>0</v>
      </c>
      <c r="AX141" s="1373">
        <f t="shared" si="221"/>
        <v>0</v>
      </c>
      <c r="AY141" s="1374">
        <f t="shared" si="222"/>
        <v>0</v>
      </c>
      <c r="AZ141" s="1375">
        <f t="shared" si="223"/>
        <v>0</v>
      </c>
      <c r="BA141" s="1376">
        <f t="shared" si="224"/>
        <v>0</v>
      </c>
      <c r="BB141" s="1391"/>
      <c r="BC141" s="1820"/>
      <c r="BD141" s="1820"/>
      <c r="BE141" s="1823"/>
      <c r="BF141" s="1826"/>
      <c r="BG141" s="1829"/>
    </row>
    <row r="142" spans="1:59" s="1378" customFormat="1" ht="27.75" customHeight="1">
      <c r="A142" s="1347" t="str">
        <f t="shared" si="208"/>
        <v>Beloteca, Inc.</v>
      </c>
      <c r="B142" s="1348" t="str">
        <f t="shared" si="209"/>
        <v>Duenas</v>
      </c>
      <c r="C142" s="1348">
        <f t="shared" si="210"/>
        <v>7</v>
      </c>
      <c r="D142" s="1349">
        <f t="shared" si="211"/>
        <v>43282</v>
      </c>
      <c r="E142" s="1349"/>
      <c r="F142" s="1347" t="s">
        <v>72</v>
      </c>
      <c r="G142" s="1347" t="s">
        <v>85</v>
      </c>
      <c r="H142" s="1347" t="s">
        <v>72</v>
      </c>
      <c r="I142" s="1347" t="s">
        <v>72</v>
      </c>
      <c r="J142" s="1349" t="s">
        <v>4670</v>
      </c>
      <c r="K142" s="1349" t="s">
        <v>254</v>
      </c>
      <c r="L142" s="1350" t="s">
        <v>49</v>
      </c>
      <c r="M142" s="1350" t="s">
        <v>4705</v>
      </c>
      <c r="N142" s="1390" t="s">
        <v>4706</v>
      </c>
      <c r="O142" s="1352" t="s">
        <v>4707</v>
      </c>
      <c r="P142" s="1388"/>
      <c r="Q142" s="1354"/>
      <c r="R142" s="1354"/>
      <c r="S142" s="1354"/>
      <c r="T142" s="1354"/>
      <c r="U142" s="1354"/>
      <c r="V142" s="1354"/>
      <c r="W142" s="1354"/>
      <c r="X142" s="1353">
        <f t="shared" si="212"/>
        <v>43282</v>
      </c>
      <c r="Y142" s="1353">
        <f t="shared" si="212"/>
        <v>43466</v>
      </c>
      <c r="Z142" s="1355"/>
      <c r="AA142" s="1355" t="s">
        <v>4674</v>
      </c>
      <c r="AB142" s="1356"/>
      <c r="AC142" s="1356"/>
      <c r="AD142" s="1422">
        <v>0</v>
      </c>
      <c r="AE142" s="1422">
        <f t="shared" si="184"/>
        <v>0</v>
      </c>
      <c r="AF142" s="1423" t="str">
        <f t="shared" si="140"/>
        <v/>
      </c>
      <c r="AG142" s="1380"/>
      <c r="AH142" s="1380"/>
      <c r="AI142" s="1381">
        <v>0</v>
      </c>
      <c r="AJ142" s="1382"/>
      <c r="AK142" s="1383">
        <f t="shared" si="225"/>
        <v>0</v>
      </c>
      <c r="AL142" s="1384">
        <v>0</v>
      </c>
      <c r="AM142" s="1363">
        <f t="shared" si="214"/>
        <v>0</v>
      </c>
      <c r="AN142" s="1364">
        <v>0</v>
      </c>
      <c r="AO142" s="1365">
        <f t="shared" si="215"/>
        <v>0</v>
      </c>
      <c r="AP142" s="1366">
        <v>0</v>
      </c>
      <c r="AQ142" s="1367">
        <f t="shared" si="216"/>
        <v>0</v>
      </c>
      <c r="AR142" s="1368">
        <v>0</v>
      </c>
      <c r="AS142" s="1369">
        <f t="shared" si="217"/>
        <v>0</v>
      </c>
      <c r="AT142" s="1370">
        <v>0</v>
      </c>
      <c r="AU142" s="1371">
        <f t="shared" si="218"/>
        <v>0</v>
      </c>
      <c r="AV142" s="1359">
        <f t="shared" si="219"/>
        <v>0</v>
      </c>
      <c r="AW142" s="1372">
        <f t="shared" si="220"/>
        <v>0</v>
      </c>
      <c r="AX142" s="1373">
        <f t="shared" si="221"/>
        <v>0</v>
      </c>
      <c r="AY142" s="1374">
        <f t="shared" si="222"/>
        <v>0</v>
      </c>
      <c r="AZ142" s="1375">
        <f t="shared" si="223"/>
        <v>0</v>
      </c>
      <c r="BA142" s="1376">
        <f t="shared" si="224"/>
        <v>0</v>
      </c>
      <c r="BB142" s="1391"/>
      <c r="BC142" s="1820"/>
      <c r="BD142" s="1820"/>
      <c r="BE142" s="1823"/>
      <c r="BF142" s="1826"/>
      <c r="BG142" s="1829"/>
    </row>
    <row r="143" spans="1:59" s="1378" customFormat="1" ht="27.75" customHeight="1">
      <c r="A143" s="1347" t="str">
        <f t="shared" si="208"/>
        <v>Beloteca, Inc.</v>
      </c>
      <c r="B143" s="1348" t="str">
        <f t="shared" si="209"/>
        <v>Duenas</v>
      </c>
      <c r="C143" s="1348">
        <f t="shared" si="210"/>
        <v>7</v>
      </c>
      <c r="D143" s="1349">
        <f t="shared" si="211"/>
        <v>43282</v>
      </c>
      <c r="E143" s="1349"/>
      <c r="F143" s="1347" t="s">
        <v>72</v>
      </c>
      <c r="G143" s="1347" t="s">
        <v>85</v>
      </c>
      <c r="H143" s="1347" t="s">
        <v>72</v>
      </c>
      <c r="I143" s="1347" t="s">
        <v>72</v>
      </c>
      <c r="J143" s="1349" t="s">
        <v>4670</v>
      </c>
      <c r="K143" s="1349" t="s">
        <v>254</v>
      </c>
      <c r="L143" s="1350" t="s">
        <v>3056</v>
      </c>
      <c r="M143" s="1350" t="s">
        <v>4708</v>
      </c>
      <c r="N143" s="1390" t="s">
        <v>4709</v>
      </c>
      <c r="O143" s="1352" t="s">
        <v>4710</v>
      </c>
      <c r="P143" s="1388"/>
      <c r="Q143" s="1354"/>
      <c r="R143" s="1354"/>
      <c r="S143" s="1354"/>
      <c r="T143" s="1354"/>
      <c r="U143" s="1354"/>
      <c r="V143" s="1354"/>
      <c r="W143" s="1354"/>
      <c r="X143" s="1353">
        <f t="shared" si="212"/>
        <v>43282</v>
      </c>
      <c r="Y143" s="1353">
        <f t="shared" si="212"/>
        <v>43466</v>
      </c>
      <c r="Z143" s="1355"/>
      <c r="AA143" s="1355" t="s">
        <v>4674</v>
      </c>
      <c r="AB143" s="1356"/>
      <c r="AC143" s="1356"/>
      <c r="AD143" s="1422">
        <v>0</v>
      </c>
      <c r="AE143" s="1422">
        <f t="shared" si="184"/>
        <v>0</v>
      </c>
      <c r="AF143" s="1423" t="str">
        <f t="shared" si="140"/>
        <v/>
      </c>
      <c r="AG143" s="1380"/>
      <c r="AH143" s="1380"/>
      <c r="AI143" s="1381">
        <v>0</v>
      </c>
      <c r="AJ143" s="1382"/>
      <c r="AK143" s="1383">
        <f t="shared" si="225"/>
        <v>0</v>
      </c>
      <c r="AL143" s="1384">
        <v>0</v>
      </c>
      <c r="AM143" s="1363">
        <f t="shared" si="214"/>
        <v>0</v>
      </c>
      <c r="AN143" s="1364">
        <v>0</v>
      </c>
      <c r="AO143" s="1365">
        <f t="shared" si="215"/>
        <v>0</v>
      </c>
      <c r="AP143" s="1366">
        <v>0</v>
      </c>
      <c r="AQ143" s="1367">
        <f t="shared" si="216"/>
        <v>0</v>
      </c>
      <c r="AR143" s="1368">
        <v>0</v>
      </c>
      <c r="AS143" s="1369">
        <f t="shared" si="217"/>
        <v>0</v>
      </c>
      <c r="AT143" s="1370">
        <v>0</v>
      </c>
      <c r="AU143" s="1371">
        <f t="shared" si="218"/>
        <v>0</v>
      </c>
      <c r="AV143" s="1359">
        <f t="shared" si="219"/>
        <v>0</v>
      </c>
      <c r="AW143" s="1372">
        <f t="shared" si="220"/>
        <v>0</v>
      </c>
      <c r="AX143" s="1373">
        <f t="shared" si="221"/>
        <v>0</v>
      </c>
      <c r="AY143" s="1374">
        <f t="shared" si="222"/>
        <v>0</v>
      </c>
      <c r="AZ143" s="1375">
        <f t="shared" si="223"/>
        <v>0</v>
      </c>
      <c r="BA143" s="1376">
        <f t="shared" si="224"/>
        <v>0</v>
      </c>
      <c r="BB143" s="1391"/>
      <c r="BC143" s="1821"/>
      <c r="BD143" s="1821"/>
      <c r="BE143" s="1824"/>
      <c r="BF143" s="1827"/>
      <c r="BG143" s="1830"/>
    </row>
    <row r="144" spans="1:59" s="1315" customFormat="1" ht="38.25">
      <c r="A144" s="1277" t="str">
        <f>L144</f>
        <v>BioNano Genomics, Inc.</v>
      </c>
      <c r="B144" s="1316" t="str">
        <f>N144</f>
        <v>Duenas</v>
      </c>
      <c r="C144" s="1316">
        <f>Z144</f>
        <v>85</v>
      </c>
      <c r="D144" s="1317">
        <v>43101</v>
      </c>
      <c r="E144" s="1317"/>
      <c r="F144" s="1277" t="s">
        <v>72</v>
      </c>
      <c r="G144" s="1277" t="s">
        <v>72</v>
      </c>
      <c r="H144" s="1277" t="s">
        <v>72</v>
      </c>
      <c r="I144" s="1277" t="s">
        <v>4711</v>
      </c>
      <c r="J144" s="1317"/>
      <c r="K144" s="1317"/>
      <c r="L144" s="1318" t="s">
        <v>355</v>
      </c>
      <c r="M144" s="1319"/>
      <c r="N144" s="1427" t="s">
        <v>4835</v>
      </c>
      <c r="O144" s="1419" t="s">
        <v>2473</v>
      </c>
      <c r="P144" s="1419"/>
      <c r="Q144" s="1322"/>
      <c r="R144" s="1322"/>
      <c r="S144" s="1322"/>
      <c r="T144" s="1322"/>
      <c r="U144" s="1322"/>
      <c r="V144" s="1322"/>
      <c r="W144" s="1322"/>
      <c r="X144" s="1317">
        <v>43101</v>
      </c>
      <c r="Y144" s="1317">
        <v>43466</v>
      </c>
      <c r="Z144" s="1316">
        <v>85</v>
      </c>
      <c r="AA144" s="1316" t="s">
        <v>4836</v>
      </c>
      <c r="AB144" s="1323">
        <f>SUM(AB145:AB153)</f>
        <v>734562</v>
      </c>
      <c r="AC144" s="1323">
        <f>SUM(AC145:AC153)</f>
        <v>820728</v>
      </c>
      <c r="AD144" s="1323">
        <f>SUM(AD145:AD153)</f>
        <v>589051.31999999995</v>
      </c>
      <c r="AE144" s="1324">
        <f t="shared" si="184"/>
        <v>-145510.68000000005</v>
      </c>
      <c r="AF144" s="1325">
        <f t="shared" si="140"/>
        <v>-0.1980917608043978</v>
      </c>
      <c r="AG144" s="1326">
        <f t="shared" si="126"/>
        <v>49087.609999999993</v>
      </c>
      <c r="AH144" s="1326">
        <f>SUM(AH145:AH153)</f>
        <v>589051.31999999995</v>
      </c>
      <c r="AI144" s="1327"/>
      <c r="AJ144" s="1328">
        <f>SUM(AJ145:AJ153)</f>
        <v>4042.85</v>
      </c>
      <c r="AK144" s="1328">
        <f>SUM(AK145:AK153)</f>
        <v>48514.19999999999</v>
      </c>
      <c r="AL144" s="1329"/>
      <c r="AM144" s="1330">
        <f>SUM(AM145:AM153)</f>
        <v>2597.7329999999997</v>
      </c>
      <c r="AN144" s="1331"/>
      <c r="AO144" s="1332">
        <f>SUM(AO145:AO153)</f>
        <v>0</v>
      </c>
      <c r="AP144" s="1333"/>
      <c r="AQ144" s="1334">
        <f>SUM(AQ145:AQ153)</f>
        <v>0</v>
      </c>
      <c r="AR144" s="1335"/>
      <c r="AS144" s="1336">
        <f>SUM(AS145:AS153)</f>
        <v>0</v>
      </c>
      <c r="AT144" s="1337"/>
      <c r="AU144" s="1338">
        <f>SUM(AU145:AU153)</f>
        <v>12988.665000000001</v>
      </c>
      <c r="AV144" s="1339"/>
      <c r="AW144" s="1340">
        <f>SUM(AW145:AW153)</f>
        <v>32927.801999999996</v>
      </c>
      <c r="AX144" s="1306"/>
      <c r="AY144" s="1307">
        <f>SUM(AW144+AS144+AU144)</f>
        <v>45916.466999999997</v>
      </c>
      <c r="AZ144" s="1341"/>
      <c r="BA144" s="1309">
        <f>SUM(AY144+AQ144)</f>
        <v>45916.466999999997</v>
      </c>
      <c r="BB144" s="1342">
        <f>(AW144+AU144)/(AK144-AM144)</f>
        <v>1.0000000000000002</v>
      </c>
      <c r="BC144" s="1343"/>
      <c r="BD144" s="1343"/>
      <c r="BE144" s="1344"/>
      <c r="BF144" s="1428" t="s">
        <v>4837</v>
      </c>
      <c r="BG144" s="1346"/>
    </row>
    <row r="145" spans="1:59" s="1378" customFormat="1" ht="69.75" customHeight="1">
      <c r="A145" s="1347" t="str">
        <f>L144</f>
        <v>BioNano Genomics, Inc.</v>
      </c>
      <c r="B145" s="1348" t="str">
        <f>N144</f>
        <v>Duenas</v>
      </c>
      <c r="C145" s="1348">
        <f>Z144</f>
        <v>85</v>
      </c>
      <c r="D145" s="1349">
        <v>43101</v>
      </c>
      <c r="E145" s="1349"/>
      <c r="F145" s="1347" t="s">
        <v>85</v>
      </c>
      <c r="G145" s="1347" t="s">
        <v>85</v>
      </c>
      <c r="H145" s="1347" t="s">
        <v>85</v>
      </c>
      <c r="I145" s="1347" t="s">
        <v>85</v>
      </c>
      <c r="J145" s="1349"/>
      <c r="K145" s="1349" t="s">
        <v>254</v>
      </c>
      <c r="L145" s="1350" t="s">
        <v>2661</v>
      </c>
      <c r="M145" s="1350" t="s">
        <v>3647</v>
      </c>
      <c r="N145" s="1351" t="s">
        <v>4838</v>
      </c>
      <c r="O145" s="1352" t="s">
        <v>4839</v>
      </c>
      <c r="P145" s="1352" t="s">
        <v>4840</v>
      </c>
      <c r="Q145" s="1353" t="s">
        <v>317</v>
      </c>
      <c r="R145" s="1353" t="s">
        <v>3655</v>
      </c>
      <c r="S145" s="1353" t="s">
        <v>307</v>
      </c>
      <c r="T145" s="1353" t="s">
        <v>113</v>
      </c>
      <c r="U145" s="1354"/>
      <c r="V145" s="1354"/>
      <c r="W145" s="1354"/>
      <c r="X145" s="1353">
        <v>43101</v>
      </c>
      <c r="Y145" s="1353">
        <v>43466</v>
      </c>
      <c r="Z145" s="1355"/>
      <c r="AA145" s="1355" t="s">
        <v>4841</v>
      </c>
      <c r="AB145" s="1422">
        <v>654189</v>
      </c>
      <c r="AC145" s="1422">
        <v>735963</v>
      </c>
      <c r="AD145" s="1422">
        <f t="shared" ref="AD145" si="226">AH145</f>
        <v>519546.6</v>
      </c>
      <c r="AE145" s="1422">
        <f t="shared" si="184"/>
        <v>-134642.40000000002</v>
      </c>
      <c r="AF145" s="1423">
        <f t="shared" si="140"/>
        <v>-0.20581575049412329</v>
      </c>
      <c r="AG145" s="1358">
        <f t="shared" si="126"/>
        <v>43295.549999999996</v>
      </c>
      <c r="AH145" s="1358">
        <v>519546.6</v>
      </c>
      <c r="AI145" s="1359">
        <v>0.08</v>
      </c>
      <c r="AJ145" s="1360">
        <f t="shared" ref="AJ145:AJ153" si="227">$AI145*$AG145</f>
        <v>3463.6439999999998</v>
      </c>
      <c r="AK145" s="1361">
        <f t="shared" ref="AK145:AK153" si="228">AI145*$AH145</f>
        <v>41563.727999999996</v>
      </c>
      <c r="AL145" s="1362">
        <v>5.0000000000000001E-3</v>
      </c>
      <c r="AM145" s="1363">
        <f t="shared" ref="AM145:AM153" si="229">AL145*$AH145</f>
        <v>2597.7329999999997</v>
      </c>
      <c r="AN145" s="1364">
        <v>0</v>
      </c>
      <c r="AO145" s="1365">
        <f t="shared" ref="AO145:AO153" si="230">AN145*$AH145</f>
        <v>0</v>
      </c>
      <c r="AP145" s="1366">
        <v>0</v>
      </c>
      <c r="AQ145" s="1367">
        <f t="shared" ref="AQ145:AQ153" si="231">AP145*$AH145</f>
        <v>0</v>
      </c>
      <c r="AR145" s="1368">
        <v>0</v>
      </c>
      <c r="AS145" s="1369">
        <f t="shared" ref="AS145:AS153" si="232">AR145*$AH145</f>
        <v>0</v>
      </c>
      <c r="AT145" s="1370">
        <v>2.5000000000000001E-2</v>
      </c>
      <c r="AU145" s="1371">
        <f t="shared" ref="AU145:AU153" si="233">AT145*$AH145</f>
        <v>12988.665000000001</v>
      </c>
      <c r="AV145" s="1359">
        <f t="shared" ref="AV145:AV153" si="234">AZ145-AR145-AT145-AP145</f>
        <v>4.9999999999999996E-2</v>
      </c>
      <c r="AW145" s="1372">
        <f t="shared" ref="AW145:AW153" si="235">AV145*$AH145</f>
        <v>25977.329999999998</v>
      </c>
      <c r="AX145" s="1373">
        <f t="shared" ref="AX145:AX153" si="236">$AZ145-$AP145</f>
        <v>7.4999999999999997E-2</v>
      </c>
      <c r="AY145" s="1374">
        <f t="shared" ref="AY145:AY153" si="237">AX145*$AH145</f>
        <v>38965.994999999995</v>
      </c>
      <c r="AZ145" s="1375">
        <f t="shared" ref="AZ145:AZ153" si="238">$AI145-$AL145-$AN145</f>
        <v>7.4999999999999997E-2</v>
      </c>
      <c r="BA145" s="1376">
        <f t="shared" ref="BA145:BA153" si="239">AZ145*$AH145</f>
        <v>38965.994999999995</v>
      </c>
      <c r="BB145" s="1391"/>
      <c r="BC145" s="1847" t="s">
        <v>361</v>
      </c>
      <c r="BD145" s="1819" t="s">
        <v>3580</v>
      </c>
      <c r="BE145" s="1822" t="s">
        <v>3581</v>
      </c>
      <c r="BF145" s="1825" t="s">
        <v>4842</v>
      </c>
      <c r="BG145" s="1850">
        <v>261756290</v>
      </c>
    </row>
    <row r="146" spans="1:59" s="1378" customFormat="1" ht="40.5" customHeight="1">
      <c r="A146" s="1347" t="str">
        <f>L144</f>
        <v>BioNano Genomics, Inc.</v>
      </c>
      <c r="B146" s="1348" t="str">
        <f>N144</f>
        <v>Duenas</v>
      </c>
      <c r="C146" s="1348">
        <f>Z144</f>
        <v>85</v>
      </c>
      <c r="D146" s="1349">
        <v>43101</v>
      </c>
      <c r="E146" s="1349"/>
      <c r="F146" s="1347" t="s">
        <v>72</v>
      </c>
      <c r="G146" s="1347" t="s">
        <v>85</v>
      </c>
      <c r="H146" s="1347" t="s">
        <v>72</v>
      </c>
      <c r="I146" s="1347" t="s">
        <v>72</v>
      </c>
      <c r="J146" s="1349" t="s">
        <v>4670</v>
      </c>
      <c r="K146" s="1349" t="s">
        <v>254</v>
      </c>
      <c r="L146" s="1350" t="s">
        <v>4671</v>
      </c>
      <c r="M146" s="1350" t="s">
        <v>3649</v>
      </c>
      <c r="N146" s="1379" t="s">
        <v>4843</v>
      </c>
      <c r="O146" s="1352" t="s">
        <v>4844</v>
      </c>
      <c r="P146" s="1352"/>
      <c r="Q146" s="1354"/>
      <c r="R146" s="1354"/>
      <c r="S146" s="1354"/>
      <c r="T146" s="1354"/>
      <c r="U146" s="1354"/>
      <c r="V146" s="1354"/>
      <c r="W146" s="1354"/>
      <c r="X146" s="1353">
        <v>43101</v>
      </c>
      <c r="Y146" s="1353">
        <v>43466</v>
      </c>
      <c r="Z146" s="1355"/>
      <c r="AA146" s="1355" t="s">
        <v>4674</v>
      </c>
      <c r="AB146" s="1356"/>
      <c r="AC146" s="1356"/>
      <c r="AD146" s="1356"/>
      <c r="AE146" s="1356"/>
      <c r="AF146" s="1357" t="str">
        <f t="shared" si="140"/>
        <v/>
      </c>
      <c r="AG146" s="1380"/>
      <c r="AH146" s="1380"/>
      <c r="AI146" s="1381">
        <v>0</v>
      </c>
      <c r="AJ146" s="1382">
        <f t="shared" si="227"/>
        <v>0</v>
      </c>
      <c r="AK146" s="1383">
        <f t="shared" si="228"/>
        <v>0</v>
      </c>
      <c r="AL146" s="1384">
        <v>0</v>
      </c>
      <c r="AM146" s="1363">
        <f t="shared" si="229"/>
        <v>0</v>
      </c>
      <c r="AN146" s="1364">
        <v>0</v>
      </c>
      <c r="AO146" s="1365">
        <f t="shared" si="230"/>
        <v>0</v>
      </c>
      <c r="AP146" s="1366">
        <v>0</v>
      </c>
      <c r="AQ146" s="1367">
        <f t="shared" si="231"/>
        <v>0</v>
      </c>
      <c r="AR146" s="1368">
        <v>0</v>
      </c>
      <c r="AS146" s="1369">
        <f t="shared" si="232"/>
        <v>0</v>
      </c>
      <c r="AT146" s="1370">
        <v>0</v>
      </c>
      <c r="AU146" s="1371">
        <f t="shared" si="233"/>
        <v>0</v>
      </c>
      <c r="AV146" s="1359">
        <f t="shared" si="234"/>
        <v>0</v>
      </c>
      <c r="AW146" s="1372">
        <f t="shared" si="235"/>
        <v>0</v>
      </c>
      <c r="AX146" s="1373">
        <f t="shared" si="236"/>
        <v>0</v>
      </c>
      <c r="AY146" s="1374">
        <f t="shared" si="237"/>
        <v>0</v>
      </c>
      <c r="AZ146" s="1375">
        <f t="shared" si="238"/>
        <v>0</v>
      </c>
      <c r="BA146" s="1376">
        <f t="shared" si="239"/>
        <v>0</v>
      </c>
      <c r="BB146" s="1391"/>
      <c r="BC146" s="1848"/>
      <c r="BD146" s="1820"/>
      <c r="BE146" s="1823"/>
      <c r="BF146" s="1826"/>
      <c r="BG146" s="1851"/>
    </row>
    <row r="147" spans="1:59" s="1378" customFormat="1" ht="32.25" customHeight="1">
      <c r="A147" s="1347" t="str">
        <f>L144</f>
        <v>BioNano Genomics, Inc.</v>
      </c>
      <c r="B147" s="1348" t="str">
        <f>N144</f>
        <v>Duenas</v>
      </c>
      <c r="C147" s="1348">
        <f>Z144</f>
        <v>85</v>
      </c>
      <c r="D147" s="1349">
        <v>43101</v>
      </c>
      <c r="E147" s="1349"/>
      <c r="F147" s="1347" t="s">
        <v>113</v>
      </c>
      <c r="G147" s="1347" t="s">
        <v>85</v>
      </c>
      <c r="H147" s="1347" t="s">
        <v>85</v>
      </c>
      <c r="I147" s="1347" t="s">
        <v>85</v>
      </c>
      <c r="J147" s="1349"/>
      <c r="K147" s="1349" t="s">
        <v>254</v>
      </c>
      <c r="L147" s="1350" t="s">
        <v>4675</v>
      </c>
      <c r="M147" s="1350" t="s">
        <v>3650</v>
      </c>
      <c r="N147" s="1385" t="s">
        <v>4845</v>
      </c>
      <c r="O147" s="1352" t="s">
        <v>4677</v>
      </c>
      <c r="P147" s="1352"/>
      <c r="Q147" s="1354"/>
      <c r="R147" s="1354"/>
      <c r="S147" s="1354"/>
      <c r="T147" s="1354"/>
      <c r="U147" s="1353" t="s">
        <v>4678</v>
      </c>
      <c r="V147" s="1353" t="s">
        <v>2482</v>
      </c>
      <c r="W147" s="1354"/>
      <c r="X147" s="1353">
        <v>43101</v>
      </c>
      <c r="Y147" s="1353">
        <v>43466</v>
      </c>
      <c r="Z147" s="1355"/>
      <c r="AA147" s="1355" t="s">
        <v>4846</v>
      </c>
      <c r="AB147" s="1422">
        <v>69315</v>
      </c>
      <c r="AC147" s="1422">
        <v>73474</v>
      </c>
      <c r="AD147" s="1422">
        <f t="shared" ref="AD147:AD148" si="240">AH147</f>
        <v>61003.08</v>
      </c>
      <c r="AE147" s="1422">
        <f t="shared" si="184"/>
        <v>-8311.9199999999983</v>
      </c>
      <c r="AF147" s="1423">
        <f t="shared" si="140"/>
        <v>-0.11991516987665005</v>
      </c>
      <c r="AG147" s="1358">
        <f t="shared" si="126"/>
        <v>5083.59</v>
      </c>
      <c r="AH147" s="1358">
        <v>61003.08</v>
      </c>
      <c r="AI147" s="1359">
        <v>0.1</v>
      </c>
      <c r="AJ147" s="1360">
        <f t="shared" si="227"/>
        <v>508.35900000000004</v>
      </c>
      <c r="AK147" s="1361">
        <f t="shared" si="228"/>
        <v>6100.3080000000009</v>
      </c>
      <c r="AL147" s="1384">
        <v>0</v>
      </c>
      <c r="AM147" s="1363">
        <f t="shared" si="229"/>
        <v>0</v>
      </c>
      <c r="AN147" s="1364">
        <v>0</v>
      </c>
      <c r="AO147" s="1365">
        <f t="shared" si="230"/>
        <v>0</v>
      </c>
      <c r="AP147" s="1366">
        <v>0</v>
      </c>
      <c r="AQ147" s="1367">
        <f t="shared" si="231"/>
        <v>0</v>
      </c>
      <c r="AR147" s="1368">
        <v>0</v>
      </c>
      <c r="AS147" s="1369">
        <f t="shared" si="232"/>
        <v>0</v>
      </c>
      <c r="AT147" s="1370">
        <v>0</v>
      </c>
      <c r="AU147" s="1371">
        <f t="shared" si="233"/>
        <v>0</v>
      </c>
      <c r="AV147" s="1359">
        <f t="shared" si="234"/>
        <v>0.1</v>
      </c>
      <c r="AW147" s="1372">
        <f t="shared" si="235"/>
        <v>6100.3080000000009</v>
      </c>
      <c r="AX147" s="1373">
        <f t="shared" si="236"/>
        <v>0.1</v>
      </c>
      <c r="AY147" s="1374">
        <f t="shared" si="237"/>
        <v>6100.3080000000009</v>
      </c>
      <c r="AZ147" s="1375">
        <f t="shared" si="238"/>
        <v>0.1</v>
      </c>
      <c r="BA147" s="1376">
        <f t="shared" si="239"/>
        <v>6100.3080000000009</v>
      </c>
      <c r="BB147" s="1391"/>
      <c r="BC147" s="1848"/>
      <c r="BD147" s="1820"/>
      <c r="BE147" s="1823"/>
      <c r="BF147" s="1826"/>
      <c r="BG147" s="1851"/>
    </row>
    <row r="148" spans="1:59" s="1378" customFormat="1" ht="32.25" customHeight="1">
      <c r="A148" s="1347" t="str">
        <f>L144</f>
        <v>BioNano Genomics, Inc.</v>
      </c>
      <c r="B148" s="1348" t="str">
        <f>N144</f>
        <v>Duenas</v>
      </c>
      <c r="C148" s="1348">
        <f>Z144</f>
        <v>85</v>
      </c>
      <c r="D148" s="1349">
        <v>43101</v>
      </c>
      <c r="E148" s="1349"/>
      <c r="F148" s="1347" t="s">
        <v>113</v>
      </c>
      <c r="G148" s="1347" t="s">
        <v>85</v>
      </c>
      <c r="H148" s="1347" t="s">
        <v>85</v>
      </c>
      <c r="I148" s="1347" t="s">
        <v>85</v>
      </c>
      <c r="J148" s="1349"/>
      <c r="K148" s="1349" t="s">
        <v>254</v>
      </c>
      <c r="L148" s="1350" t="s">
        <v>4675</v>
      </c>
      <c r="M148" s="1350" t="s">
        <v>3651</v>
      </c>
      <c r="N148" s="1351" t="s">
        <v>4847</v>
      </c>
      <c r="O148" s="1352" t="s">
        <v>4681</v>
      </c>
      <c r="P148" s="1352"/>
      <c r="Q148" s="1354"/>
      <c r="R148" s="1354"/>
      <c r="S148" s="1354"/>
      <c r="T148" s="1354"/>
      <c r="U148" s="1354"/>
      <c r="V148" s="1354"/>
      <c r="W148" s="1353" t="s">
        <v>2482</v>
      </c>
      <c r="X148" s="1353">
        <v>43101</v>
      </c>
      <c r="Y148" s="1353">
        <v>43466</v>
      </c>
      <c r="Z148" s="1355"/>
      <c r="AA148" s="1355" t="s">
        <v>4846</v>
      </c>
      <c r="AB148" s="1422">
        <v>11058</v>
      </c>
      <c r="AC148" s="1422">
        <v>11291</v>
      </c>
      <c r="AD148" s="1422">
        <f t="shared" si="240"/>
        <v>8501.64</v>
      </c>
      <c r="AE148" s="1422">
        <f t="shared" si="184"/>
        <v>-2556.3600000000006</v>
      </c>
      <c r="AF148" s="1423">
        <f t="shared" si="140"/>
        <v>-0.23117742810634839</v>
      </c>
      <c r="AG148" s="1358">
        <f t="shared" si="126"/>
        <v>708.46999999999991</v>
      </c>
      <c r="AH148" s="1358">
        <v>8501.64</v>
      </c>
      <c r="AI148" s="1359">
        <v>0.1</v>
      </c>
      <c r="AJ148" s="1360">
        <f t="shared" si="227"/>
        <v>70.846999999999994</v>
      </c>
      <c r="AK148" s="1361">
        <f t="shared" si="228"/>
        <v>850.16399999999999</v>
      </c>
      <c r="AL148" s="1384">
        <v>0</v>
      </c>
      <c r="AM148" s="1363">
        <f t="shared" si="229"/>
        <v>0</v>
      </c>
      <c r="AN148" s="1364">
        <v>0</v>
      </c>
      <c r="AO148" s="1365">
        <f t="shared" si="230"/>
        <v>0</v>
      </c>
      <c r="AP148" s="1366">
        <v>0</v>
      </c>
      <c r="AQ148" s="1367">
        <f t="shared" si="231"/>
        <v>0</v>
      </c>
      <c r="AR148" s="1368">
        <v>0</v>
      </c>
      <c r="AS148" s="1369">
        <f t="shared" si="232"/>
        <v>0</v>
      </c>
      <c r="AT148" s="1370">
        <v>0</v>
      </c>
      <c r="AU148" s="1371">
        <f t="shared" si="233"/>
        <v>0</v>
      </c>
      <c r="AV148" s="1359">
        <f t="shared" si="234"/>
        <v>0.1</v>
      </c>
      <c r="AW148" s="1372">
        <f t="shared" si="235"/>
        <v>850.16399999999999</v>
      </c>
      <c r="AX148" s="1373">
        <f t="shared" si="236"/>
        <v>0.1</v>
      </c>
      <c r="AY148" s="1374">
        <f t="shared" si="237"/>
        <v>850.16399999999999</v>
      </c>
      <c r="AZ148" s="1375">
        <f t="shared" si="238"/>
        <v>0.1</v>
      </c>
      <c r="BA148" s="1376">
        <f t="shared" si="239"/>
        <v>850.16399999999999</v>
      </c>
      <c r="BB148" s="1391"/>
      <c r="BC148" s="1848"/>
      <c r="BD148" s="1820"/>
      <c r="BE148" s="1823"/>
      <c r="BF148" s="1826"/>
      <c r="BG148" s="1851"/>
    </row>
    <row r="149" spans="1:59" s="1378" customFormat="1" ht="27.75" customHeight="1">
      <c r="A149" s="1347" t="s">
        <v>355</v>
      </c>
      <c r="B149" s="1348" t="s">
        <v>4835</v>
      </c>
      <c r="C149" s="1348">
        <v>85</v>
      </c>
      <c r="D149" s="1349">
        <v>43101</v>
      </c>
      <c r="E149" s="1349"/>
      <c r="F149" s="1347" t="s">
        <v>72</v>
      </c>
      <c r="G149" s="1347" t="s">
        <v>85</v>
      </c>
      <c r="H149" s="1347" t="s">
        <v>72</v>
      </c>
      <c r="I149" s="1347" t="s">
        <v>72</v>
      </c>
      <c r="J149" s="1349" t="s">
        <v>4670</v>
      </c>
      <c r="K149" s="1349" t="s">
        <v>254</v>
      </c>
      <c r="L149" s="1350" t="s">
        <v>4696</v>
      </c>
      <c r="M149" s="1350" t="s">
        <v>4697</v>
      </c>
      <c r="N149" s="1389" t="s">
        <v>4698</v>
      </c>
      <c r="O149" s="1352" t="s">
        <v>4699</v>
      </c>
      <c r="P149" s="1352"/>
      <c r="Q149" s="1354"/>
      <c r="R149" s="1354"/>
      <c r="S149" s="1354"/>
      <c r="T149" s="1354"/>
      <c r="U149" s="1354"/>
      <c r="V149" s="1354"/>
      <c r="W149" s="1354"/>
      <c r="X149" s="1353">
        <v>43101</v>
      </c>
      <c r="Y149" s="1353">
        <v>43466</v>
      </c>
      <c r="Z149" s="1355"/>
      <c r="AA149" s="1355" t="s">
        <v>4674</v>
      </c>
      <c r="AB149" s="1356"/>
      <c r="AC149" s="1356"/>
      <c r="AD149" s="1356"/>
      <c r="AE149" s="1356"/>
      <c r="AF149" s="1357" t="str">
        <f t="shared" si="140"/>
        <v/>
      </c>
      <c r="AG149" s="1380"/>
      <c r="AH149" s="1380"/>
      <c r="AI149" s="1381">
        <v>0</v>
      </c>
      <c r="AJ149" s="1382">
        <f t="shared" si="227"/>
        <v>0</v>
      </c>
      <c r="AK149" s="1383">
        <f t="shared" si="228"/>
        <v>0</v>
      </c>
      <c r="AL149" s="1384">
        <v>0</v>
      </c>
      <c r="AM149" s="1363">
        <f t="shared" si="229"/>
        <v>0</v>
      </c>
      <c r="AN149" s="1364">
        <v>0</v>
      </c>
      <c r="AO149" s="1365">
        <f t="shared" si="230"/>
        <v>0</v>
      </c>
      <c r="AP149" s="1366">
        <v>0</v>
      </c>
      <c r="AQ149" s="1367">
        <f t="shared" si="231"/>
        <v>0</v>
      </c>
      <c r="AR149" s="1368">
        <v>0</v>
      </c>
      <c r="AS149" s="1369">
        <f t="shared" si="232"/>
        <v>0</v>
      </c>
      <c r="AT149" s="1370">
        <v>0</v>
      </c>
      <c r="AU149" s="1371">
        <f t="shared" si="233"/>
        <v>0</v>
      </c>
      <c r="AV149" s="1359">
        <f t="shared" si="234"/>
        <v>0</v>
      </c>
      <c r="AW149" s="1372">
        <f t="shared" si="235"/>
        <v>0</v>
      </c>
      <c r="AX149" s="1373">
        <f t="shared" si="236"/>
        <v>0</v>
      </c>
      <c r="AY149" s="1374">
        <f t="shared" si="237"/>
        <v>0</v>
      </c>
      <c r="AZ149" s="1375">
        <f t="shared" si="238"/>
        <v>0</v>
      </c>
      <c r="BA149" s="1376">
        <f t="shared" si="239"/>
        <v>0</v>
      </c>
      <c r="BB149" s="1377"/>
      <c r="BC149" s="1848"/>
      <c r="BD149" s="1820"/>
      <c r="BE149" s="1823"/>
      <c r="BF149" s="1826"/>
      <c r="BG149" s="1851"/>
    </row>
    <row r="150" spans="1:59" s="1378" customFormat="1" ht="28.5" customHeight="1">
      <c r="A150" s="1347" t="str">
        <f>L144</f>
        <v>BioNano Genomics, Inc.</v>
      </c>
      <c r="B150" s="1348" t="str">
        <f>N144</f>
        <v>Duenas</v>
      </c>
      <c r="C150" s="1348">
        <f>Z144</f>
        <v>85</v>
      </c>
      <c r="D150" s="1349">
        <v>43101</v>
      </c>
      <c r="E150" s="1349"/>
      <c r="F150" s="1347" t="s">
        <v>72</v>
      </c>
      <c r="G150" s="1347" t="s">
        <v>4700</v>
      </c>
      <c r="H150" s="1347" t="s">
        <v>72</v>
      </c>
      <c r="I150" s="1347" t="s">
        <v>72</v>
      </c>
      <c r="J150" s="1349" t="s">
        <v>4670</v>
      </c>
      <c r="K150" s="1349" t="s">
        <v>254</v>
      </c>
      <c r="L150" s="1350" t="s">
        <v>48</v>
      </c>
      <c r="M150" s="1350" t="s">
        <v>3652</v>
      </c>
      <c r="N150" s="1390" t="s">
        <v>4848</v>
      </c>
      <c r="O150" s="1352" t="s">
        <v>4702</v>
      </c>
      <c r="P150" s="1352"/>
      <c r="Q150" s="1354"/>
      <c r="R150" s="1354"/>
      <c r="S150" s="1354"/>
      <c r="T150" s="1354"/>
      <c r="U150" s="1354"/>
      <c r="V150" s="1354"/>
      <c r="W150" s="1354"/>
      <c r="X150" s="1353">
        <v>43101</v>
      </c>
      <c r="Y150" s="1353">
        <v>43466</v>
      </c>
      <c r="Z150" s="1355"/>
      <c r="AA150" s="1355" t="s">
        <v>4674</v>
      </c>
      <c r="AB150" s="1356"/>
      <c r="AC150" s="1356"/>
      <c r="AD150" s="1356"/>
      <c r="AE150" s="1356"/>
      <c r="AF150" s="1357" t="str">
        <f t="shared" si="140"/>
        <v/>
      </c>
      <c r="AG150" s="1380"/>
      <c r="AH150" s="1380"/>
      <c r="AI150" s="1381">
        <v>0</v>
      </c>
      <c r="AJ150" s="1382">
        <f t="shared" si="227"/>
        <v>0</v>
      </c>
      <c r="AK150" s="1383">
        <f t="shared" si="228"/>
        <v>0</v>
      </c>
      <c r="AL150" s="1384">
        <v>0</v>
      </c>
      <c r="AM150" s="1363">
        <f t="shared" si="229"/>
        <v>0</v>
      </c>
      <c r="AN150" s="1364">
        <v>0</v>
      </c>
      <c r="AO150" s="1365">
        <f t="shared" si="230"/>
        <v>0</v>
      </c>
      <c r="AP150" s="1366">
        <v>0</v>
      </c>
      <c r="AQ150" s="1367">
        <f t="shared" si="231"/>
        <v>0</v>
      </c>
      <c r="AR150" s="1368">
        <v>0</v>
      </c>
      <c r="AS150" s="1369">
        <f t="shared" si="232"/>
        <v>0</v>
      </c>
      <c r="AT150" s="1370">
        <v>0</v>
      </c>
      <c r="AU150" s="1371">
        <f t="shared" si="233"/>
        <v>0</v>
      </c>
      <c r="AV150" s="1359">
        <f t="shared" si="234"/>
        <v>0</v>
      </c>
      <c r="AW150" s="1372">
        <f t="shared" si="235"/>
        <v>0</v>
      </c>
      <c r="AX150" s="1373">
        <f t="shared" si="236"/>
        <v>0</v>
      </c>
      <c r="AY150" s="1374">
        <f t="shared" si="237"/>
        <v>0</v>
      </c>
      <c r="AZ150" s="1375">
        <f t="shared" si="238"/>
        <v>0</v>
      </c>
      <c r="BA150" s="1376">
        <f t="shared" si="239"/>
        <v>0</v>
      </c>
      <c r="BB150" s="1377"/>
      <c r="BC150" s="1848"/>
      <c r="BD150" s="1820"/>
      <c r="BE150" s="1823"/>
      <c r="BF150" s="1826"/>
      <c r="BG150" s="1851"/>
    </row>
    <row r="151" spans="1:59" s="1378" customFormat="1" ht="30.75" customHeight="1">
      <c r="A151" s="1347" t="str">
        <f>L144</f>
        <v>BioNano Genomics, Inc.</v>
      </c>
      <c r="B151" s="1348" t="str">
        <f>N144</f>
        <v>Duenas</v>
      </c>
      <c r="C151" s="1348">
        <f>Z144</f>
        <v>85</v>
      </c>
      <c r="D151" s="1349">
        <v>43101</v>
      </c>
      <c r="E151" s="1349"/>
      <c r="F151" s="1347" t="s">
        <v>72</v>
      </c>
      <c r="G151" s="1347" t="s">
        <v>85</v>
      </c>
      <c r="H151" s="1347" t="s">
        <v>72</v>
      </c>
      <c r="I151" s="1347" t="s">
        <v>72</v>
      </c>
      <c r="J151" s="1349" t="s">
        <v>4670</v>
      </c>
      <c r="K151" s="1349" t="s">
        <v>254</v>
      </c>
      <c r="L151" s="1350" t="s">
        <v>48</v>
      </c>
      <c r="M151" s="1350" t="s">
        <v>253</v>
      </c>
      <c r="N151" s="1390" t="s">
        <v>4703</v>
      </c>
      <c r="O151" s="1352" t="s">
        <v>4704</v>
      </c>
      <c r="P151" s="1352"/>
      <c r="Q151" s="1354"/>
      <c r="R151" s="1354"/>
      <c r="S151" s="1354"/>
      <c r="T151" s="1354"/>
      <c r="U151" s="1354"/>
      <c r="V151" s="1354"/>
      <c r="W151" s="1354"/>
      <c r="X151" s="1353">
        <v>43101</v>
      </c>
      <c r="Y151" s="1353">
        <v>43466</v>
      </c>
      <c r="Z151" s="1355"/>
      <c r="AA151" s="1355" t="s">
        <v>4674</v>
      </c>
      <c r="AB151" s="1356"/>
      <c r="AC151" s="1356"/>
      <c r="AD151" s="1356"/>
      <c r="AE151" s="1356"/>
      <c r="AF151" s="1357" t="str">
        <f t="shared" si="140"/>
        <v/>
      </c>
      <c r="AG151" s="1380"/>
      <c r="AH151" s="1380"/>
      <c r="AI151" s="1381">
        <v>0</v>
      </c>
      <c r="AJ151" s="1382">
        <f t="shared" si="227"/>
        <v>0</v>
      </c>
      <c r="AK151" s="1383">
        <f t="shared" si="228"/>
        <v>0</v>
      </c>
      <c r="AL151" s="1384">
        <v>0</v>
      </c>
      <c r="AM151" s="1363">
        <f t="shared" si="229"/>
        <v>0</v>
      </c>
      <c r="AN151" s="1364">
        <v>0</v>
      </c>
      <c r="AO151" s="1365">
        <f t="shared" si="230"/>
        <v>0</v>
      </c>
      <c r="AP151" s="1366">
        <v>0</v>
      </c>
      <c r="AQ151" s="1367">
        <f t="shared" si="231"/>
        <v>0</v>
      </c>
      <c r="AR151" s="1368">
        <v>0</v>
      </c>
      <c r="AS151" s="1369">
        <f t="shared" si="232"/>
        <v>0</v>
      </c>
      <c r="AT151" s="1370">
        <v>0</v>
      </c>
      <c r="AU151" s="1371">
        <f t="shared" si="233"/>
        <v>0</v>
      </c>
      <c r="AV151" s="1359">
        <f t="shared" si="234"/>
        <v>0</v>
      </c>
      <c r="AW151" s="1372">
        <f t="shared" si="235"/>
        <v>0</v>
      </c>
      <c r="AX151" s="1373">
        <f t="shared" si="236"/>
        <v>0</v>
      </c>
      <c r="AY151" s="1374">
        <f t="shared" si="237"/>
        <v>0</v>
      </c>
      <c r="AZ151" s="1375">
        <f t="shared" si="238"/>
        <v>0</v>
      </c>
      <c r="BA151" s="1376">
        <f t="shared" si="239"/>
        <v>0</v>
      </c>
      <c r="BB151" s="1391"/>
      <c r="BC151" s="1848"/>
      <c r="BD151" s="1820"/>
      <c r="BE151" s="1823"/>
      <c r="BF151" s="1826"/>
      <c r="BG151" s="1851"/>
    </row>
    <row r="152" spans="1:59" s="1378" customFormat="1" ht="22.5" customHeight="1">
      <c r="A152" s="1347" t="str">
        <f>L144</f>
        <v>BioNano Genomics, Inc.</v>
      </c>
      <c r="B152" s="1348" t="str">
        <f>N144</f>
        <v>Duenas</v>
      </c>
      <c r="C152" s="1348">
        <f>Z144</f>
        <v>85</v>
      </c>
      <c r="D152" s="1349">
        <v>43101</v>
      </c>
      <c r="E152" s="1349"/>
      <c r="F152" s="1347" t="s">
        <v>72</v>
      </c>
      <c r="G152" s="1347" t="s">
        <v>113</v>
      </c>
      <c r="H152" s="1347" t="s">
        <v>72</v>
      </c>
      <c r="I152" s="1347" t="s">
        <v>113</v>
      </c>
      <c r="J152" s="1349" t="s">
        <v>4670</v>
      </c>
      <c r="K152" s="1349" t="s">
        <v>254</v>
      </c>
      <c r="L152" s="1397" t="s">
        <v>77</v>
      </c>
      <c r="M152" s="1397" t="s">
        <v>4705</v>
      </c>
      <c r="N152" s="1412" t="s">
        <v>4746</v>
      </c>
      <c r="O152" s="1399" t="s">
        <v>4747</v>
      </c>
      <c r="P152" s="1399"/>
      <c r="Q152" s="1400"/>
      <c r="R152" s="1400"/>
      <c r="S152" s="1400"/>
      <c r="T152" s="1400"/>
      <c r="U152" s="1400"/>
      <c r="V152" s="1400"/>
      <c r="W152" s="1400"/>
      <c r="X152" s="1400">
        <v>43101</v>
      </c>
      <c r="Y152" s="1400">
        <v>43466</v>
      </c>
      <c r="Z152" s="1401"/>
      <c r="AA152" s="1401" t="s">
        <v>4738</v>
      </c>
      <c r="AB152" s="1369"/>
      <c r="AC152" s="1369"/>
      <c r="AD152" s="1369"/>
      <c r="AE152" s="1369"/>
      <c r="AF152" s="1403" t="str">
        <f t="shared" si="140"/>
        <v/>
      </c>
      <c r="AG152" s="1404"/>
      <c r="AH152" s="1404"/>
      <c r="AI152" s="1405">
        <v>0</v>
      </c>
      <c r="AJ152" s="1411">
        <f t="shared" si="227"/>
        <v>0</v>
      </c>
      <c r="AK152" s="1406">
        <f t="shared" si="228"/>
        <v>0</v>
      </c>
      <c r="AL152" s="1384">
        <v>0</v>
      </c>
      <c r="AM152" s="1363">
        <f t="shared" si="229"/>
        <v>0</v>
      </c>
      <c r="AN152" s="1364">
        <v>0</v>
      </c>
      <c r="AO152" s="1365">
        <f t="shared" si="230"/>
        <v>0</v>
      </c>
      <c r="AP152" s="1366">
        <v>0</v>
      </c>
      <c r="AQ152" s="1367">
        <f t="shared" si="231"/>
        <v>0</v>
      </c>
      <c r="AR152" s="1368">
        <v>0</v>
      </c>
      <c r="AS152" s="1369">
        <f t="shared" si="232"/>
        <v>0</v>
      </c>
      <c r="AT152" s="1370">
        <v>0</v>
      </c>
      <c r="AU152" s="1371">
        <f t="shared" si="233"/>
        <v>0</v>
      </c>
      <c r="AV152" s="1359">
        <f t="shared" si="234"/>
        <v>0</v>
      </c>
      <c r="AW152" s="1372">
        <f t="shared" si="235"/>
        <v>0</v>
      </c>
      <c r="AX152" s="1373">
        <f t="shared" si="236"/>
        <v>0</v>
      </c>
      <c r="AY152" s="1374">
        <f t="shared" si="237"/>
        <v>0</v>
      </c>
      <c r="AZ152" s="1375">
        <f t="shared" si="238"/>
        <v>0</v>
      </c>
      <c r="BA152" s="1376">
        <f t="shared" si="239"/>
        <v>0</v>
      </c>
      <c r="BB152" s="1391"/>
      <c r="BC152" s="1848"/>
      <c r="BD152" s="1820"/>
      <c r="BE152" s="1823"/>
      <c r="BF152" s="1826"/>
      <c r="BG152" s="1851"/>
    </row>
    <row r="153" spans="1:59" s="1378" customFormat="1" ht="21.75" customHeight="1">
      <c r="A153" s="1347" t="str">
        <f>A152</f>
        <v>BioNano Genomics, Inc.</v>
      </c>
      <c r="B153" s="1348" t="str">
        <f>B152</f>
        <v>Duenas</v>
      </c>
      <c r="C153" s="1348">
        <f>C152</f>
        <v>85</v>
      </c>
      <c r="D153" s="1349">
        <v>43101</v>
      </c>
      <c r="E153" s="1349"/>
      <c r="F153" s="1347" t="s">
        <v>72</v>
      </c>
      <c r="G153" s="1347" t="s">
        <v>85</v>
      </c>
      <c r="H153" s="1347" t="s">
        <v>72</v>
      </c>
      <c r="I153" s="1347" t="s">
        <v>72</v>
      </c>
      <c r="J153" s="1349" t="s">
        <v>4670</v>
      </c>
      <c r="K153" s="1349" t="s">
        <v>254</v>
      </c>
      <c r="L153" s="1350" t="s">
        <v>3056</v>
      </c>
      <c r="M153" s="1350" t="s">
        <v>4708</v>
      </c>
      <c r="N153" s="1390" t="s">
        <v>4709</v>
      </c>
      <c r="O153" s="1352" t="s">
        <v>4710</v>
      </c>
      <c r="P153" s="1352"/>
      <c r="Q153" s="1354"/>
      <c r="R153" s="1354"/>
      <c r="S153" s="1354"/>
      <c r="T153" s="1354"/>
      <c r="U153" s="1354"/>
      <c r="V153" s="1354"/>
      <c r="W153" s="1354"/>
      <c r="X153" s="1353">
        <v>43101</v>
      </c>
      <c r="Y153" s="1353">
        <v>43466</v>
      </c>
      <c r="Z153" s="1355"/>
      <c r="AA153" s="1355" t="s">
        <v>4674</v>
      </c>
      <c r="AB153" s="1356"/>
      <c r="AC153" s="1356"/>
      <c r="AD153" s="1356"/>
      <c r="AE153" s="1356"/>
      <c r="AF153" s="1357" t="str">
        <f t="shared" si="140"/>
        <v/>
      </c>
      <c r="AG153" s="1380"/>
      <c r="AH153" s="1380"/>
      <c r="AI153" s="1381">
        <v>0</v>
      </c>
      <c r="AJ153" s="1382">
        <f t="shared" si="227"/>
        <v>0</v>
      </c>
      <c r="AK153" s="1383">
        <f t="shared" si="228"/>
        <v>0</v>
      </c>
      <c r="AL153" s="1384">
        <v>0</v>
      </c>
      <c r="AM153" s="1363">
        <f t="shared" si="229"/>
        <v>0</v>
      </c>
      <c r="AN153" s="1364">
        <v>0</v>
      </c>
      <c r="AO153" s="1365">
        <f t="shared" si="230"/>
        <v>0</v>
      </c>
      <c r="AP153" s="1366">
        <v>0</v>
      </c>
      <c r="AQ153" s="1367">
        <f t="shared" si="231"/>
        <v>0</v>
      </c>
      <c r="AR153" s="1368">
        <v>0</v>
      </c>
      <c r="AS153" s="1369">
        <f t="shared" si="232"/>
        <v>0</v>
      </c>
      <c r="AT153" s="1370">
        <v>0</v>
      </c>
      <c r="AU153" s="1371">
        <f t="shared" si="233"/>
        <v>0</v>
      </c>
      <c r="AV153" s="1359">
        <f t="shared" si="234"/>
        <v>0</v>
      </c>
      <c r="AW153" s="1372">
        <f t="shared" si="235"/>
        <v>0</v>
      </c>
      <c r="AX153" s="1373">
        <f t="shared" si="236"/>
        <v>0</v>
      </c>
      <c r="AY153" s="1374">
        <f t="shared" si="237"/>
        <v>0</v>
      </c>
      <c r="AZ153" s="1375">
        <f t="shared" si="238"/>
        <v>0</v>
      </c>
      <c r="BA153" s="1376">
        <f t="shared" si="239"/>
        <v>0</v>
      </c>
      <c r="BB153" s="1391"/>
      <c r="BC153" s="1849"/>
      <c r="BD153" s="1821"/>
      <c r="BE153" s="1824"/>
      <c r="BF153" s="1827"/>
      <c r="BG153" s="1852"/>
    </row>
    <row r="154" spans="1:59" s="1315" customFormat="1" ht="38.25">
      <c r="A154" s="1277" t="str">
        <f>L154</f>
        <v>Biospyder Technologies, Inc.</v>
      </c>
      <c r="B154" s="1277" t="s">
        <v>4661</v>
      </c>
      <c r="C154" s="1316">
        <f>Z154</f>
        <v>20</v>
      </c>
      <c r="D154" s="1317">
        <v>43101</v>
      </c>
      <c r="E154" s="1317"/>
      <c r="F154" s="1277" t="s">
        <v>72</v>
      </c>
      <c r="G154" s="1277" t="s">
        <v>72</v>
      </c>
      <c r="H154" s="1277" t="s">
        <v>72</v>
      </c>
      <c r="I154" s="1277" t="s">
        <v>4711</v>
      </c>
      <c r="J154" s="1317"/>
      <c r="K154" s="1317"/>
      <c r="L154" s="1318" t="s">
        <v>1257</v>
      </c>
      <c r="M154" s="1319"/>
      <c r="N154" s="1320" t="s">
        <v>4661</v>
      </c>
      <c r="O154" s="1321" t="s">
        <v>2473</v>
      </c>
      <c r="P154" s="1321"/>
      <c r="Q154" s="1322"/>
      <c r="R154" s="1322"/>
      <c r="S154" s="1322"/>
      <c r="T154" s="1322"/>
      <c r="U154" s="1322"/>
      <c r="V154" s="1322"/>
      <c r="W154" s="1322"/>
      <c r="X154" s="1317">
        <v>43101</v>
      </c>
      <c r="Y154" s="1317">
        <v>43466</v>
      </c>
      <c r="Z154" s="1316">
        <v>20</v>
      </c>
      <c r="AA154" s="1316" t="s">
        <v>4849</v>
      </c>
      <c r="AB154" s="1323">
        <f>SUM(AB155:AB166)</f>
        <v>0</v>
      </c>
      <c r="AC154" s="1323">
        <f>SUM(AC155:AC166)</f>
        <v>0</v>
      </c>
      <c r="AD154" s="1323">
        <f>SUM(AD155:AD166)</f>
        <v>0</v>
      </c>
      <c r="AE154" s="1324">
        <f t="shared" ref="AE154:AE170" si="241">AD154-AB154</f>
        <v>0</v>
      </c>
      <c r="AF154" s="1325" t="str">
        <f t="shared" si="140"/>
        <v/>
      </c>
      <c r="AG154" s="1326">
        <f t="shared" si="126"/>
        <v>16201.44</v>
      </c>
      <c r="AH154" s="1326">
        <f>SUM(AH155:AH166)</f>
        <v>194417.28</v>
      </c>
      <c r="AI154" s="1339"/>
      <c r="AJ154" s="1328">
        <f>SUM(AJ155:AJ166)</f>
        <v>1343.2975999999999</v>
      </c>
      <c r="AK154" s="1328">
        <f>SUM(AK155:AK166)</f>
        <v>16119.5712</v>
      </c>
      <c r="AL154" s="1329"/>
      <c r="AM154" s="1330">
        <f>SUM(AM155:AM166)</f>
        <v>878.80619999999999</v>
      </c>
      <c r="AN154" s="1331"/>
      <c r="AO154" s="1332">
        <f>SUM(AO155:AO166)</f>
        <v>0</v>
      </c>
      <c r="AP154" s="1333"/>
      <c r="AQ154" s="1334">
        <f>SUM(AQ155:AQ166)</f>
        <v>0</v>
      </c>
      <c r="AR154" s="1335"/>
      <c r="AS154" s="1336">
        <f>SUM(AS155:AS166)</f>
        <v>8600.16</v>
      </c>
      <c r="AT154" s="1337"/>
      <c r="AU154" s="1338">
        <f>SUM(AU155:AU166)</f>
        <v>4394.0309999999999</v>
      </c>
      <c r="AV154" s="1339"/>
      <c r="AW154" s="1340">
        <f>SUM(AW155:AW166)</f>
        <v>2246.5739999999992</v>
      </c>
      <c r="AX154" s="1306"/>
      <c r="AY154" s="1307">
        <f>SUM(AW154+AS154+AU154)</f>
        <v>15240.764999999999</v>
      </c>
      <c r="AZ154" s="1341"/>
      <c r="BA154" s="1309">
        <f>SUM(AY154+AQ154)</f>
        <v>15240.764999999999</v>
      </c>
      <c r="BB154" s="1342">
        <f>(AW154+AU154)/(AK154-AM154)</f>
        <v>0.43571336478188594</v>
      </c>
      <c r="BC154" s="1343"/>
      <c r="BD154" s="1343"/>
      <c r="BE154" s="1344"/>
      <c r="BF154" s="1345" t="s">
        <v>4850</v>
      </c>
      <c r="BG154" s="1346"/>
    </row>
    <row r="155" spans="1:59" s="1378" customFormat="1" ht="76.5">
      <c r="A155" s="1347" t="str">
        <f>L154</f>
        <v>Biospyder Technologies, Inc.</v>
      </c>
      <c r="B155" s="1348" t="str">
        <f t="shared" ref="B155:B166" si="242">N$800</f>
        <v>HUB SD</v>
      </c>
      <c r="C155" s="1348">
        <f>Z154</f>
        <v>20</v>
      </c>
      <c r="D155" s="1349">
        <v>43101</v>
      </c>
      <c r="E155" s="1349"/>
      <c r="F155" s="1347" t="s">
        <v>85</v>
      </c>
      <c r="G155" s="1347" t="s">
        <v>85</v>
      </c>
      <c r="H155" s="1347" t="s">
        <v>85</v>
      </c>
      <c r="I155" s="1347" t="s">
        <v>113</v>
      </c>
      <c r="J155" s="1349"/>
      <c r="K155" s="1349" t="s">
        <v>254</v>
      </c>
      <c r="L155" s="1350" t="s">
        <v>2661</v>
      </c>
      <c r="M155" s="1350" t="s">
        <v>3647</v>
      </c>
      <c r="N155" s="1351" t="s">
        <v>4851</v>
      </c>
      <c r="O155" s="1352" t="s">
        <v>4852</v>
      </c>
      <c r="P155" s="1352" t="s">
        <v>4853</v>
      </c>
      <c r="Q155" s="1353" t="s">
        <v>317</v>
      </c>
      <c r="R155" s="1353" t="s">
        <v>3648</v>
      </c>
      <c r="S155" s="1353" t="s">
        <v>307</v>
      </c>
      <c r="T155" s="1353" t="s">
        <v>113</v>
      </c>
      <c r="U155" s="1354"/>
      <c r="V155" s="1354"/>
      <c r="W155" s="1354"/>
      <c r="X155" s="1353">
        <v>43101</v>
      </c>
      <c r="Y155" s="1353">
        <v>43466</v>
      </c>
      <c r="Z155" s="1355"/>
      <c r="AA155" s="1355" t="s">
        <v>4667</v>
      </c>
      <c r="AB155" s="1356"/>
      <c r="AC155" s="1356"/>
      <c r="AD155" s="1356"/>
      <c r="AE155" s="1356"/>
      <c r="AF155" s="1357"/>
      <c r="AG155" s="1358">
        <f t="shared" si="126"/>
        <v>14646.769999999999</v>
      </c>
      <c r="AH155" s="1358">
        <v>175761.24</v>
      </c>
      <c r="AI155" s="1359">
        <v>0.08</v>
      </c>
      <c r="AJ155" s="1360">
        <f t="shared" ref="AJ155:AJ166" si="243">$AI155*$AG155</f>
        <v>1171.7415999999998</v>
      </c>
      <c r="AK155" s="1361">
        <f t="shared" ref="AK155:AK166" si="244">AI155*$AH155</f>
        <v>14060.8992</v>
      </c>
      <c r="AL155" s="1362">
        <v>5.0000000000000001E-3</v>
      </c>
      <c r="AM155" s="1363">
        <f t="shared" ref="AM155:AM166" si="245">AL155*$AH155</f>
        <v>878.80619999999999</v>
      </c>
      <c r="AN155" s="1364">
        <v>0</v>
      </c>
      <c r="AO155" s="1365">
        <f t="shared" ref="AO155:AO166" si="246">AN155*$AH155</f>
        <v>0</v>
      </c>
      <c r="AP155" s="1366">
        <v>0</v>
      </c>
      <c r="AQ155" s="1367">
        <f t="shared" ref="AQ155:AQ166" si="247">AP155*$AH155</f>
        <v>0</v>
      </c>
      <c r="AR155" s="1368">
        <v>0.04</v>
      </c>
      <c r="AS155" s="1369">
        <f t="shared" ref="AS155:AS166" si="248">AR155*$AH155</f>
        <v>7030.4495999999999</v>
      </c>
      <c r="AT155" s="1370">
        <v>2.5000000000000001E-2</v>
      </c>
      <c r="AU155" s="1371">
        <f t="shared" ref="AU155:AU166" si="249">AT155*$AH155</f>
        <v>4394.0309999999999</v>
      </c>
      <c r="AV155" s="1359">
        <f t="shared" ref="AV155:AV166" si="250">AZ155-AR155-AT155-AP155</f>
        <v>9.999999999999995E-3</v>
      </c>
      <c r="AW155" s="1372">
        <f t="shared" ref="AW155:AW166" si="251">AV155*$AH155</f>
        <v>1757.6123999999991</v>
      </c>
      <c r="AX155" s="1373">
        <f t="shared" ref="AX155:AX166" si="252">$AZ155-$AP155</f>
        <v>7.4999999999999997E-2</v>
      </c>
      <c r="AY155" s="1374">
        <f t="shared" ref="AY155:AY166" si="253">AX155*$AH155</f>
        <v>13182.092999999999</v>
      </c>
      <c r="AZ155" s="1375">
        <f t="shared" ref="AZ155:AZ166" si="254">$AI155-$AL155-$AN155</f>
        <v>7.4999999999999997E-2</v>
      </c>
      <c r="BA155" s="1376">
        <f t="shared" ref="BA155:BA166" si="255">AZ155*$AH155</f>
        <v>13182.092999999999</v>
      </c>
      <c r="BB155" s="1377"/>
      <c r="BC155" s="1819" t="s">
        <v>1258</v>
      </c>
      <c r="BD155" s="1819" t="s">
        <v>3565</v>
      </c>
      <c r="BE155" s="1822" t="s">
        <v>3565</v>
      </c>
      <c r="BF155" s="1825" t="s">
        <v>4854</v>
      </c>
      <c r="BG155" s="1828">
        <v>454306815</v>
      </c>
    </row>
    <row r="156" spans="1:59" s="1378" customFormat="1" ht="38.25">
      <c r="A156" s="1347" t="str">
        <f>L154</f>
        <v>Biospyder Technologies, Inc.</v>
      </c>
      <c r="B156" s="1348" t="str">
        <f t="shared" si="242"/>
        <v>HUB SD</v>
      </c>
      <c r="C156" s="1348">
        <f>Z154</f>
        <v>20</v>
      </c>
      <c r="D156" s="1349">
        <v>43101</v>
      </c>
      <c r="E156" s="1349"/>
      <c r="F156" s="1347" t="s">
        <v>113</v>
      </c>
      <c r="G156" s="1347" t="s">
        <v>85</v>
      </c>
      <c r="H156" s="1347" t="s">
        <v>85</v>
      </c>
      <c r="I156" s="1347" t="s">
        <v>113</v>
      </c>
      <c r="J156" s="1349"/>
      <c r="K156" s="1349" t="s">
        <v>254</v>
      </c>
      <c r="L156" s="1350" t="s">
        <v>4675</v>
      </c>
      <c r="M156" s="1350" t="s">
        <v>3650</v>
      </c>
      <c r="N156" s="1385" t="s">
        <v>4855</v>
      </c>
      <c r="O156" s="1352" t="s">
        <v>4677</v>
      </c>
      <c r="P156" s="1352"/>
      <c r="Q156" s="1354"/>
      <c r="R156" s="1354"/>
      <c r="S156" s="1354"/>
      <c r="T156" s="1354"/>
      <c r="U156" s="1353" t="s">
        <v>4678</v>
      </c>
      <c r="V156" s="1353" t="s">
        <v>2481</v>
      </c>
      <c r="W156" s="1354"/>
      <c r="X156" s="1353">
        <v>43101</v>
      </c>
      <c r="Y156" s="1353">
        <v>43466</v>
      </c>
      <c r="Z156" s="1355"/>
      <c r="AA156" s="1355" t="s">
        <v>4679</v>
      </c>
      <c r="AB156" s="1356"/>
      <c r="AC156" s="1356"/>
      <c r="AD156" s="1356"/>
      <c r="AE156" s="1356"/>
      <c r="AF156" s="1357"/>
      <c r="AG156" s="1358">
        <f t="shared" si="126"/>
        <v>1050.54</v>
      </c>
      <c r="AH156" s="1358">
        <v>12606.48</v>
      </c>
      <c r="AI156" s="1359">
        <v>0.1</v>
      </c>
      <c r="AJ156" s="1360">
        <f t="shared" si="243"/>
        <v>105.054</v>
      </c>
      <c r="AK156" s="1361">
        <f t="shared" si="244"/>
        <v>1260.6480000000001</v>
      </c>
      <c r="AL156" s="1384">
        <v>0</v>
      </c>
      <c r="AM156" s="1363">
        <f t="shared" si="245"/>
        <v>0</v>
      </c>
      <c r="AN156" s="1364">
        <v>0</v>
      </c>
      <c r="AO156" s="1365">
        <f t="shared" si="246"/>
        <v>0</v>
      </c>
      <c r="AP156" s="1366">
        <v>0</v>
      </c>
      <c r="AQ156" s="1367">
        <f t="shared" si="247"/>
        <v>0</v>
      </c>
      <c r="AR156" s="1368">
        <v>0.08</v>
      </c>
      <c r="AS156" s="1369">
        <f t="shared" si="248"/>
        <v>1008.5184</v>
      </c>
      <c r="AT156" s="1370">
        <v>0</v>
      </c>
      <c r="AU156" s="1371">
        <f t="shared" si="249"/>
        <v>0</v>
      </c>
      <c r="AV156" s="1359">
        <f t="shared" si="250"/>
        <v>2.0000000000000004E-2</v>
      </c>
      <c r="AW156" s="1372">
        <f t="shared" si="251"/>
        <v>252.12960000000004</v>
      </c>
      <c r="AX156" s="1373">
        <f t="shared" si="252"/>
        <v>0.1</v>
      </c>
      <c r="AY156" s="1374">
        <f t="shared" si="253"/>
        <v>1260.6480000000001</v>
      </c>
      <c r="AZ156" s="1375">
        <f t="shared" si="254"/>
        <v>0.1</v>
      </c>
      <c r="BA156" s="1376">
        <f t="shared" si="255"/>
        <v>1260.6480000000001</v>
      </c>
      <c r="BB156" s="1377"/>
      <c r="BC156" s="1820"/>
      <c r="BD156" s="1820"/>
      <c r="BE156" s="1823"/>
      <c r="BF156" s="1826"/>
      <c r="BG156" s="1829"/>
    </row>
    <row r="157" spans="1:59" s="1378" customFormat="1" ht="38.25">
      <c r="A157" s="1347" t="str">
        <f>L154</f>
        <v>Biospyder Technologies, Inc.</v>
      </c>
      <c r="B157" s="1348" t="str">
        <f t="shared" si="242"/>
        <v>HUB SD</v>
      </c>
      <c r="C157" s="1348">
        <f>Z154</f>
        <v>20</v>
      </c>
      <c r="D157" s="1349">
        <v>43101</v>
      </c>
      <c r="E157" s="1349"/>
      <c r="F157" s="1347" t="s">
        <v>113</v>
      </c>
      <c r="G157" s="1347" t="s">
        <v>85</v>
      </c>
      <c r="H157" s="1347" t="s">
        <v>85</v>
      </c>
      <c r="I157" s="1347" t="s">
        <v>113</v>
      </c>
      <c r="J157" s="1349"/>
      <c r="K157" s="1349" t="s">
        <v>254</v>
      </c>
      <c r="L157" s="1350" t="s">
        <v>4675</v>
      </c>
      <c r="M157" s="1350" t="s">
        <v>3651</v>
      </c>
      <c r="N157" s="1351" t="s">
        <v>4856</v>
      </c>
      <c r="O157" s="1352" t="s">
        <v>4681</v>
      </c>
      <c r="P157" s="1352"/>
      <c r="Q157" s="1354"/>
      <c r="R157" s="1354"/>
      <c r="S157" s="1354"/>
      <c r="T157" s="1354"/>
      <c r="U157" s="1354"/>
      <c r="V157" s="1354"/>
      <c r="W157" s="1353" t="s">
        <v>2492</v>
      </c>
      <c r="X157" s="1353">
        <v>43101</v>
      </c>
      <c r="Y157" s="1353">
        <v>43466</v>
      </c>
      <c r="Z157" s="1355"/>
      <c r="AA157" s="1355" t="s">
        <v>4679</v>
      </c>
      <c r="AB157" s="1356"/>
      <c r="AC157" s="1356"/>
      <c r="AD157" s="1356"/>
      <c r="AE157" s="1356"/>
      <c r="AF157" s="1357"/>
      <c r="AG157" s="1358">
        <f t="shared" si="126"/>
        <v>182.35</v>
      </c>
      <c r="AH157" s="1358">
        <v>2188.1999999999998</v>
      </c>
      <c r="AI157" s="1359">
        <v>0.1</v>
      </c>
      <c r="AJ157" s="1360">
        <f t="shared" si="243"/>
        <v>18.234999999999999</v>
      </c>
      <c r="AK157" s="1361">
        <f t="shared" si="244"/>
        <v>218.82</v>
      </c>
      <c r="AL157" s="1384">
        <v>0</v>
      </c>
      <c r="AM157" s="1363">
        <f t="shared" si="245"/>
        <v>0</v>
      </c>
      <c r="AN157" s="1364">
        <v>0</v>
      </c>
      <c r="AO157" s="1365">
        <f t="shared" si="246"/>
        <v>0</v>
      </c>
      <c r="AP157" s="1366">
        <v>0</v>
      </c>
      <c r="AQ157" s="1367">
        <f t="shared" si="247"/>
        <v>0</v>
      </c>
      <c r="AR157" s="1368">
        <v>0.08</v>
      </c>
      <c r="AS157" s="1369">
        <f t="shared" si="248"/>
        <v>175.05599999999998</v>
      </c>
      <c r="AT157" s="1370">
        <v>0</v>
      </c>
      <c r="AU157" s="1371">
        <f t="shared" si="249"/>
        <v>0</v>
      </c>
      <c r="AV157" s="1359">
        <f t="shared" si="250"/>
        <v>2.0000000000000004E-2</v>
      </c>
      <c r="AW157" s="1372">
        <f t="shared" si="251"/>
        <v>43.764000000000003</v>
      </c>
      <c r="AX157" s="1373">
        <f t="shared" si="252"/>
        <v>0.1</v>
      </c>
      <c r="AY157" s="1374">
        <f t="shared" si="253"/>
        <v>218.82</v>
      </c>
      <c r="AZ157" s="1375">
        <f t="shared" si="254"/>
        <v>0.1</v>
      </c>
      <c r="BA157" s="1376">
        <f t="shared" si="255"/>
        <v>218.82</v>
      </c>
      <c r="BB157" s="1377"/>
      <c r="BC157" s="1820"/>
      <c r="BD157" s="1820"/>
      <c r="BE157" s="1823"/>
      <c r="BF157" s="1826"/>
      <c r="BG157" s="1829"/>
    </row>
    <row r="158" spans="1:59" s="1378" customFormat="1" ht="38.25">
      <c r="A158" s="1347" t="str">
        <f>L154</f>
        <v>Biospyder Technologies, Inc.</v>
      </c>
      <c r="B158" s="1348" t="str">
        <f t="shared" si="242"/>
        <v>HUB SD</v>
      </c>
      <c r="C158" s="1348">
        <f>Z154</f>
        <v>20</v>
      </c>
      <c r="D158" s="1349">
        <v>43101</v>
      </c>
      <c r="E158" s="1349"/>
      <c r="F158" s="1347" t="s">
        <v>113</v>
      </c>
      <c r="G158" s="1347" t="s">
        <v>85</v>
      </c>
      <c r="H158" s="1347" t="s">
        <v>85</v>
      </c>
      <c r="I158" s="1347" t="s">
        <v>113</v>
      </c>
      <c r="J158" s="1349"/>
      <c r="K158" s="1349" t="s">
        <v>254</v>
      </c>
      <c r="L158" s="1350" t="s">
        <v>4682</v>
      </c>
      <c r="M158" s="1350" t="s">
        <v>4683</v>
      </c>
      <c r="N158" s="1386" t="s">
        <v>148</v>
      </c>
      <c r="O158" s="1352" t="s">
        <v>4684</v>
      </c>
      <c r="P158" s="1387"/>
      <c r="Q158" s="1354"/>
      <c r="R158" s="1354"/>
      <c r="S158" s="1354"/>
      <c r="T158" s="1354"/>
      <c r="U158" s="1354"/>
      <c r="V158" s="1354"/>
      <c r="W158" s="1354"/>
      <c r="X158" s="1353">
        <v>43101</v>
      </c>
      <c r="Y158" s="1353">
        <v>43466</v>
      </c>
      <c r="Z158" s="1355"/>
      <c r="AA158" s="1355" t="s">
        <v>4685</v>
      </c>
      <c r="AB158" s="1356"/>
      <c r="AC158" s="1356"/>
      <c r="AD158" s="1356"/>
      <c r="AE158" s="1356"/>
      <c r="AF158" s="1357"/>
      <c r="AG158" s="1358">
        <f t="shared" si="126"/>
        <v>113</v>
      </c>
      <c r="AH158" s="1358">
        <v>1356</v>
      </c>
      <c r="AI158" s="1359">
        <v>0.15</v>
      </c>
      <c r="AJ158" s="1360">
        <f t="shared" si="243"/>
        <v>16.95</v>
      </c>
      <c r="AK158" s="1361">
        <f t="shared" si="244"/>
        <v>203.4</v>
      </c>
      <c r="AL158" s="1384">
        <v>0</v>
      </c>
      <c r="AM158" s="1363">
        <f t="shared" si="245"/>
        <v>0</v>
      </c>
      <c r="AN158" s="1364">
        <v>0</v>
      </c>
      <c r="AO158" s="1365">
        <f t="shared" si="246"/>
        <v>0</v>
      </c>
      <c r="AP158" s="1366">
        <v>0</v>
      </c>
      <c r="AQ158" s="1367">
        <f t="shared" si="247"/>
        <v>0</v>
      </c>
      <c r="AR158" s="1368">
        <v>0.1</v>
      </c>
      <c r="AS158" s="1369">
        <f t="shared" si="248"/>
        <v>135.6</v>
      </c>
      <c r="AT158" s="1370">
        <v>0</v>
      </c>
      <c r="AU158" s="1371">
        <f t="shared" si="249"/>
        <v>0</v>
      </c>
      <c r="AV158" s="1359">
        <f t="shared" si="250"/>
        <v>4.9999999999999989E-2</v>
      </c>
      <c r="AW158" s="1372">
        <f t="shared" si="251"/>
        <v>67.799999999999983</v>
      </c>
      <c r="AX158" s="1373">
        <f t="shared" si="252"/>
        <v>0.15</v>
      </c>
      <c r="AY158" s="1374">
        <f t="shared" si="253"/>
        <v>203.4</v>
      </c>
      <c r="AZ158" s="1375">
        <f t="shared" si="254"/>
        <v>0.15</v>
      </c>
      <c r="BA158" s="1376">
        <f t="shared" si="255"/>
        <v>203.4</v>
      </c>
      <c r="BB158" s="1377"/>
      <c r="BC158" s="1820"/>
      <c r="BD158" s="1820"/>
      <c r="BE158" s="1823"/>
      <c r="BF158" s="1826"/>
      <c r="BG158" s="1829"/>
    </row>
    <row r="159" spans="1:59" s="1378" customFormat="1" ht="38.25">
      <c r="A159" s="1347" t="str">
        <f>L154</f>
        <v>Biospyder Technologies, Inc.</v>
      </c>
      <c r="B159" s="1348" t="str">
        <f t="shared" si="242"/>
        <v>HUB SD</v>
      </c>
      <c r="C159" s="1348">
        <f>Z154</f>
        <v>20</v>
      </c>
      <c r="D159" s="1349">
        <v>43101</v>
      </c>
      <c r="E159" s="1349"/>
      <c r="F159" s="1347" t="s">
        <v>113</v>
      </c>
      <c r="G159" s="1347" t="s">
        <v>85</v>
      </c>
      <c r="H159" s="1347" t="s">
        <v>85</v>
      </c>
      <c r="I159" s="1347" t="s">
        <v>113</v>
      </c>
      <c r="J159" s="1349"/>
      <c r="K159" s="1349" t="s">
        <v>254</v>
      </c>
      <c r="L159" s="1350" t="s">
        <v>4682</v>
      </c>
      <c r="M159" s="1350" t="s">
        <v>4686</v>
      </c>
      <c r="N159" s="1386" t="s">
        <v>60</v>
      </c>
      <c r="O159" s="1352" t="s">
        <v>4687</v>
      </c>
      <c r="P159" s="1387"/>
      <c r="Q159" s="1354"/>
      <c r="R159" s="1354"/>
      <c r="S159" s="1354"/>
      <c r="T159" s="1354"/>
      <c r="U159" s="1354"/>
      <c r="V159" s="1354"/>
      <c r="W159" s="1354"/>
      <c r="X159" s="1353">
        <v>43101</v>
      </c>
      <c r="Y159" s="1353">
        <v>43466</v>
      </c>
      <c r="Z159" s="1355"/>
      <c r="AA159" s="1355" t="s">
        <v>4685</v>
      </c>
      <c r="AB159" s="1356"/>
      <c r="AC159" s="1356"/>
      <c r="AD159" s="1356"/>
      <c r="AE159" s="1356"/>
      <c r="AF159" s="1357" t="str">
        <f t="shared" si="140"/>
        <v/>
      </c>
      <c r="AG159" s="1358">
        <f t="shared" si="126"/>
        <v>91.399999999999991</v>
      </c>
      <c r="AH159" s="1429">
        <v>1096.8</v>
      </c>
      <c r="AI159" s="1359">
        <v>0.15</v>
      </c>
      <c r="AJ159" s="1360">
        <f t="shared" si="243"/>
        <v>13.709999999999999</v>
      </c>
      <c r="AK159" s="1361">
        <f t="shared" si="244"/>
        <v>164.51999999999998</v>
      </c>
      <c r="AL159" s="1384">
        <v>0</v>
      </c>
      <c r="AM159" s="1363">
        <f t="shared" si="245"/>
        <v>0</v>
      </c>
      <c r="AN159" s="1364">
        <v>0</v>
      </c>
      <c r="AO159" s="1365">
        <f t="shared" si="246"/>
        <v>0</v>
      </c>
      <c r="AP159" s="1366">
        <v>0</v>
      </c>
      <c r="AQ159" s="1367">
        <f t="shared" si="247"/>
        <v>0</v>
      </c>
      <c r="AR159" s="1368">
        <v>0.1</v>
      </c>
      <c r="AS159" s="1369">
        <f t="shared" si="248"/>
        <v>109.68</v>
      </c>
      <c r="AT159" s="1370">
        <v>0</v>
      </c>
      <c r="AU159" s="1371">
        <f t="shared" si="249"/>
        <v>0</v>
      </c>
      <c r="AV159" s="1359">
        <f t="shared" si="250"/>
        <v>4.9999999999999989E-2</v>
      </c>
      <c r="AW159" s="1372">
        <f t="shared" si="251"/>
        <v>54.839999999999982</v>
      </c>
      <c r="AX159" s="1373">
        <f t="shared" si="252"/>
        <v>0.15</v>
      </c>
      <c r="AY159" s="1374">
        <f t="shared" si="253"/>
        <v>164.51999999999998</v>
      </c>
      <c r="AZ159" s="1375">
        <f t="shared" si="254"/>
        <v>0.15</v>
      </c>
      <c r="BA159" s="1376">
        <f t="shared" si="255"/>
        <v>164.51999999999998</v>
      </c>
      <c r="BB159" s="1377"/>
      <c r="BC159" s="1820"/>
      <c r="BD159" s="1820"/>
      <c r="BE159" s="1823"/>
      <c r="BF159" s="1826"/>
      <c r="BG159" s="1829"/>
    </row>
    <row r="160" spans="1:59" s="1378" customFormat="1" ht="38.25">
      <c r="A160" s="1347" t="str">
        <f>L154</f>
        <v>Biospyder Technologies, Inc.</v>
      </c>
      <c r="B160" s="1348" t="str">
        <f t="shared" si="242"/>
        <v>HUB SD</v>
      </c>
      <c r="C160" s="1348">
        <f>Z154</f>
        <v>20</v>
      </c>
      <c r="D160" s="1349">
        <v>43101</v>
      </c>
      <c r="E160" s="1349"/>
      <c r="F160" s="1347" t="s">
        <v>113</v>
      </c>
      <c r="G160" s="1347" t="s">
        <v>85</v>
      </c>
      <c r="H160" s="1347" t="s">
        <v>85</v>
      </c>
      <c r="I160" s="1347" t="s">
        <v>113</v>
      </c>
      <c r="J160" s="1349" t="s">
        <v>4690</v>
      </c>
      <c r="K160" s="1349" t="s">
        <v>254</v>
      </c>
      <c r="L160" s="1350" t="s">
        <v>4682</v>
      </c>
      <c r="M160" s="1350" t="s">
        <v>4691</v>
      </c>
      <c r="N160" s="1351" t="s">
        <v>94</v>
      </c>
      <c r="O160" s="1352" t="s">
        <v>4692</v>
      </c>
      <c r="P160" s="1352"/>
      <c r="Q160" s="1354"/>
      <c r="R160" s="1354"/>
      <c r="S160" s="1354"/>
      <c r="T160" s="1354"/>
      <c r="U160" s="1354"/>
      <c r="V160" s="1354"/>
      <c r="W160" s="1354"/>
      <c r="X160" s="1353">
        <v>43101</v>
      </c>
      <c r="Y160" s="1353">
        <v>43466</v>
      </c>
      <c r="Z160" s="1355">
        <v>4</v>
      </c>
      <c r="AA160" s="1355" t="s">
        <v>4685</v>
      </c>
      <c r="AB160" s="1356"/>
      <c r="AC160" s="1356"/>
      <c r="AD160" s="1356"/>
      <c r="AE160" s="1356"/>
      <c r="AF160" s="1357" t="str">
        <f t="shared" si="140"/>
        <v/>
      </c>
      <c r="AG160" s="1358">
        <v>52.44</v>
      </c>
      <c r="AH160" s="1358">
        <f t="shared" ref="AH160:AH162" si="256">AG160*12</f>
        <v>629.28</v>
      </c>
      <c r="AI160" s="1359">
        <v>0.15</v>
      </c>
      <c r="AJ160" s="1360">
        <f t="shared" si="243"/>
        <v>7.8659999999999997</v>
      </c>
      <c r="AK160" s="1361">
        <f t="shared" si="244"/>
        <v>94.391999999999996</v>
      </c>
      <c r="AL160" s="1384">
        <v>0</v>
      </c>
      <c r="AM160" s="1363">
        <f t="shared" si="245"/>
        <v>0</v>
      </c>
      <c r="AN160" s="1364">
        <v>0</v>
      </c>
      <c r="AO160" s="1365">
        <f t="shared" si="246"/>
        <v>0</v>
      </c>
      <c r="AP160" s="1366">
        <v>0</v>
      </c>
      <c r="AQ160" s="1367">
        <f t="shared" si="247"/>
        <v>0</v>
      </c>
      <c r="AR160" s="1368">
        <v>0.1</v>
      </c>
      <c r="AS160" s="1369">
        <f t="shared" si="248"/>
        <v>62.927999999999997</v>
      </c>
      <c r="AT160" s="1370">
        <v>0</v>
      </c>
      <c r="AU160" s="1371">
        <f t="shared" si="249"/>
        <v>0</v>
      </c>
      <c r="AV160" s="1359">
        <f t="shared" si="250"/>
        <v>4.9999999999999989E-2</v>
      </c>
      <c r="AW160" s="1372">
        <f t="shared" si="251"/>
        <v>31.463999999999992</v>
      </c>
      <c r="AX160" s="1373">
        <f t="shared" si="252"/>
        <v>0.15</v>
      </c>
      <c r="AY160" s="1374">
        <f t="shared" si="253"/>
        <v>94.391999999999996</v>
      </c>
      <c r="AZ160" s="1375">
        <f t="shared" si="254"/>
        <v>0.15</v>
      </c>
      <c r="BA160" s="1376">
        <f t="shared" si="255"/>
        <v>94.391999999999996</v>
      </c>
      <c r="BB160" s="1377"/>
      <c r="BC160" s="1820"/>
      <c r="BD160" s="1820"/>
      <c r="BE160" s="1823"/>
      <c r="BF160" s="1826"/>
      <c r="BG160" s="1829"/>
    </row>
    <row r="161" spans="1:59" s="1378" customFormat="1" ht="38.25">
      <c r="A161" s="1347" t="str">
        <f>L154</f>
        <v>Biospyder Technologies, Inc.</v>
      </c>
      <c r="B161" s="1348" t="str">
        <f t="shared" si="242"/>
        <v>HUB SD</v>
      </c>
      <c r="C161" s="1348">
        <f>Z154</f>
        <v>20</v>
      </c>
      <c r="D161" s="1349">
        <v>43101</v>
      </c>
      <c r="E161" s="1349"/>
      <c r="F161" s="1347" t="s">
        <v>113</v>
      </c>
      <c r="G161" s="1347" t="s">
        <v>85</v>
      </c>
      <c r="H161" s="1347" t="s">
        <v>85</v>
      </c>
      <c r="I161" s="1347" t="s">
        <v>113</v>
      </c>
      <c r="J161" s="1349" t="s">
        <v>4690</v>
      </c>
      <c r="K161" s="1349" t="s">
        <v>254</v>
      </c>
      <c r="L161" s="1350" t="s">
        <v>4682</v>
      </c>
      <c r="M161" s="1350" t="s">
        <v>4691</v>
      </c>
      <c r="N161" s="1351" t="s">
        <v>98</v>
      </c>
      <c r="O161" s="1352" t="s">
        <v>4693</v>
      </c>
      <c r="P161" s="1352"/>
      <c r="Q161" s="1354"/>
      <c r="R161" s="1354"/>
      <c r="S161" s="1354"/>
      <c r="T161" s="1354"/>
      <c r="U161" s="1354"/>
      <c r="V161" s="1354"/>
      <c r="W161" s="1354"/>
      <c r="X161" s="1353">
        <v>43101</v>
      </c>
      <c r="Y161" s="1353">
        <v>43466</v>
      </c>
      <c r="Z161" s="1355">
        <v>4</v>
      </c>
      <c r="AA161" s="1355" t="s">
        <v>4685</v>
      </c>
      <c r="AB161" s="1356"/>
      <c r="AC161" s="1356"/>
      <c r="AD161" s="1356"/>
      <c r="AE161" s="1356"/>
      <c r="AF161" s="1357" t="str">
        <f t="shared" si="140"/>
        <v/>
      </c>
      <c r="AG161" s="1358">
        <f>20.88+2.45</f>
        <v>23.33</v>
      </c>
      <c r="AH161" s="1358">
        <f t="shared" si="256"/>
        <v>279.95999999999998</v>
      </c>
      <c r="AI161" s="1359">
        <v>0.15</v>
      </c>
      <c r="AJ161" s="1360">
        <f t="shared" si="243"/>
        <v>3.4994999999999998</v>
      </c>
      <c r="AK161" s="1361">
        <f t="shared" si="244"/>
        <v>41.993999999999993</v>
      </c>
      <c r="AL161" s="1384">
        <v>0</v>
      </c>
      <c r="AM161" s="1363">
        <f t="shared" si="245"/>
        <v>0</v>
      </c>
      <c r="AN161" s="1364">
        <v>0</v>
      </c>
      <c r="AO161" s="1365">
        <f t="shared" si="246"/>
        <v>0</v>
      </c>
      <c r="AP161" s="1366">
        <v>0</v>
      </c>
      <c r="AQ161" s="1367">
        <f t="shared" si="247"/>
        <v>0</v>
      </c>
      <c r="AR161" s="1368">
        <v>0.1</v>
      </c>
      <c r="AS161" s="1369">
        <f t="shared" si="248"/>
        <v>27.995999999999999</v>
      </c>
      <c r="AT161" s="1370">
        <v>0</v>
      </c>
      <c r="AU161" s="1371">
        <f t="shared" si="249"/>
        <v>0</v>
      </c>
      <c r="AV161" s="1359">
        <f t="shared" si="250"/>
        <v>4.9999999999999989E-2</v>
      </c>
      <c r="AW161" s="1372">
        <f t="shared" si="251"/>
        <v>13.997999999999996</v>
      </c>
      <c r="AX161" s="1373">
        <f t="shared" si="252"/>
        <v>0.15</v>
      </c>
      <c r="AY161" s="1374">
        <f t="shared" si="253"/>
        <v>41.993999999999993</v>
      </c>
      <c r="AZ161" s="1375">
        <f t="shared" si="254"/>
        <v>0.15</v>
      </c>
      <c r="BA161" s="1376">
        <f t="shared" si="255"/>
        <v>41.993999999999993</v>
      </c>
      <c r="BB161" s="1377"/>
      <c r="BC161" s="1820"/>
      <c r="BD161" s="1820"/>
      <c r="BE161" s="1823"/>
      <c r="BF161" s="1826"/>
      <c r="BG161" s="1829"/>
    </row>
    <row r="162" spans="1:59" s="1378" customFormat="1" ht="38.25">
      <c r="A162" s="1347" t="str">
        <f>L154</f>
        <v>Biospyder Technologies, Inc.</v>
      </c>
      <c r="B162" s="1348" t="str">
        <f t="shared" si="242"/>
        <v>HUB SD</v>
      </c>
      <c r="C162" s="1348">
        <f>Z154</f>
        <v>20</v>
      </c>
      <c r="D162" s="1349">
        <v>43101</v>
      </c>
      <c r="E162" s="1349"/>
      <c r="F162" s="1347" t="s">
        <v>113</v>
      </c>
      <c r="G162" s="1347" t="s">
        <v>85</v>
      </c>
      <c r="H162" s="1347" t="s">
        <v>85</v>
      </c>
      <c r="I162" s="1347" t="s">
        <v>113</v>
      </c>
      <c r="J162" s="1349" t="s">
        <v>4690</v>
      </c>
      <c r="K162" s="1349" t="s">
        <v>254</v>
      </c>
      <c r="L162" s="1350" t="s">
        <v>4682</v>
      </c>
      <c r="M162" s="1350" t="s">
        <v>4691</v>
      </c>
      <c r="N162" s="1351" t="s">
        <v>4857</v>
      </c>
      <c r="O162" s="1352" t="s">
        <v>4695</v>
      </c>
      <c r="P162" s="1352"/>
      <c r="Q162" s="1354"/>
      <c r="R162" s="1354"/>
      <c r="S162" s="1354"/>
      <c r="T162" s="1354"/>
      <c r="U162" s="1354"/>
      <c r="V162" s="1354"/>
      <c r="W162" s="1354"/>
      <c r="X162" s="1353">
        <v>43101</v>
      </c>
      <c r="Y162" s="1353">
        <v>43466</v>
      </c>
      <c r="Z162" s="1355">
        <v>3</v>
      </c>
      <c r="AA162" s="1355" t="s">
        <v>4685</v>
      </c>
      <c r="AB162" s="1356"/>
      <c r="AC162" s="1356"/>
      <c r="AD162" s="1356"/>
      <c r="AE162" s="1356"/>
      <c r="AF162" s="1357" t="str">
        <f t="shared" si="140"/>
        <v/>
      </c>
      <c r="AG162" s="1358">
        <v>41.61</v>
      </c>
      <c r="AH162" s="1358">
        <f t="shared" si="256"/>
        <v>499.32</v>
      </c>
      <c r="AI162" s="1359">
        <v>0.15</v>
      </c>
      <c r="AJ162" s="1360">
        <f t="shared" si="243"/>
        <v>6.2414999999999994</v>
      </c>
      <c r="AK162" s="1361">
        <f t="shared" si="244"/>
        <v>74.897999999999996</v>
      </c>
      <c r="AL162" s="1384">
        <v>0</v>
      </c>
      <c r="AM162" s="1363">
        <f t="shared" si="245"/>
        <v>0</v>
      </c>
      <c r="AN162" s="1364">
        <v>0</v>
      </c>
      <c r="AO162" s="1365">
        <f t="shared" si="246"/>
        <v>0</v>
      </c>
      <c r="AP162" s="1366">
        <v>0</v>
      </c>
      <c r="AQ162" s="1367">
        <f t="shared" si="247"/>
        <v>0</v>
      </c>
      <c r="AR162" s="1368">
        <v>0.1</v>
      </c>
      <c r="AS162" s="1369">
        <f t="shared" si="248"/>
        <v>49.932000000000002</v>
      </c>
      <c r="AT162" s="1370">
        <v>0</v>
      </c>
      <c r="AU162" s="1371">
        <f t="shared" si="249"/>
        <v>0</v>
      </c>
      <c r="AV162" s="1359">
        <f t="shared" si="250"/>
        <v>4.9999999999999989E-2</v>
      </c>
      <c r="AW162" s="1372">
        <f t="shared" si="251"/>
        <v>24.965999999999994</v>
      </c>
      <c r="AX162" s="1373">
        <f t="shared" si="252"/>
        <v>0.15</v>
      </c>
      <c r="AY162" s="1374">
        <f t="shared" si="253"/>
        <v>74.897999999999996</v>
      </c>
      <c r="AZ162" s="1375">
        <f t="shared" si="254"/>
        <v>0.15</v>
      </c>
      <c r="BA162" s="1376">
        <f t="shared" si="255"/>
        <v>74.897999999999996</v>
      </c>
      <c r="BB162" s="1377"/>
      <c r="BC162" s="1820"/>
      <c r="BD162" s="1820"/>
      <c r="BE162" s="1823"/>
      <c r="BF162" s="1826"/>
      <c r="BG162" s="1829"/>
    </row>
    <row r="163" spans="1:59" s="1378" customFormat="1" ht="27.75" customHeight="1">
      <c r="A163" s="1347" t="s">
        <v>1257</v>
      </c>
      <c r="B163" s="1348" t="str">
        <f t="shared" si="242"/>
        <v>HUB SD</v>
      </c>
      <c r="C163" s="1348">
        <v>19</v>
      </c>
      <c r="D163" s="1349">
        <v>43101</v>
      </c>
      <c r="E163" s="1349"/>
      <c r="F163" s="1347" t="s">
        <v>72</v>
      </c>
      <c r="G163" s="1347" t="s">
        <v>85</v>
      </c>
      <c r="H163" s="1347" t="s">
        <v>72</v>
      </c>
      <c r="I163" s="1347" t="s">
        <v>72</v>
      </c>
      <c r="J163" s="1349" t="s">
        <v>4670</v>
      </c>
      <c r="K163" s="1349" t="s">
        <v>254</v>
      </c>
      <c r="L163" s="1350" t="s">
        <v>4696</v>
      </c>
      <c r="M163" s="1350" t="s">
        <v>4697</v>
      </c>
      <c r="N163" s="1389" t="s">
        <v>4698</v>
      </c>
      <c r="O163" s="1352" t="s">
        <v>4699</v>
      </c>
      <c r="P163" s="1352"/>
      <c r="Q163" s="1354"/>
      <c r="R163" s="1354"/>
      <c r="S163" s="1354"/>
      <c r="T163" s="1354"/>
      <c r="U163" s="1354"/>
      <c r="V163" s="1354"/>
      <c r="W163" s="1354"/>
      <c r="X163" s="1353">
        <v>43101</v>
      </c>
      <c r="Y163" s="1353">
        <v>43466</v>
      </c>
      <c r="Z163" s="1355"/>
      <c r="AA163" s="1355" t="s">
        <v>4674</v>
      </c>
      <c r="AB163" s="1356"/>
      <c r="AC163" s="1356"/>
      <c r="AD163" s="1356"/>
      <c r="AE163" s="1356"/>
      <c r="AF163" s="1357" t="str">
        <f t="shared" si="140"/>
        <v/>
      </c>
      <c r="AG163" s="1380"/>
      <c r="AH163" s="1380"/>
      <c r="AI163" s="1381">
        <v>0</v>
      </c>
      <c r="AJ163" s="1382">
        <f t="shared" si="243"/>
        <v>0</v>
      </c>
      <c r="AK163" s="1383">
        <f t="shared" si="244"/>
        <v>0</v>
      </c>
      <c r="AL163" s="1384">
        <v>0</v>
      </c>
      <c r="AM163" s="1363">
        <f t="shared" si="245"/>
        <v>0</v>
      </c>
      <c r="AN163" s="1364">
        <v>0</v>
      </c>
      <c r="AO163" s="1365">
        <f t="shared" si="246"/>
        <v>0</v>
      </c>
      <c r="AP163" s="1366">
        <v>0</v>
      </c>
      <c r="AQ163" s="1367">
        <f t="shared" si="247"/>
        <v>0</v>
      </c>
      <c r="AR163" s="1368">
        <v>0</v>
      </c>
      <c r="AS163" s="1369">
        <f t="shared" si="248"/>
        <v>0</v>
      </c>
      <c r="AT163" s="1370">
        <v>0</v>
      </c>
      <c r="AU163" s="1371">
        <f t="shared" si="249"/>
        <v>0</v>
      </c>
      <c r="AV163" s="1359">
        <f t="shared" si="250"/>
        <v>0</v>
      </c>
      <c r="AW163" s="1372">
        <f t="shared" si="251"/>
        <v>0</v>
      </c>
      <c r="AX163" s="1373">
        <f t="shared" si="252"/>
        <v>0</v>
      </c>
      <c r="AY163" s="1374">
        <f t="shared" si="253"/>
        <v>0</v>
      </c>
      <c r="AZ163" s="1375">
        <f t="shared" si="254"/>
        <v>0</v>
      </c>
      <c r="BA163" s="1376">
        <f t="shared" si="255"/>
        <v>0</v>
      </c>
      <c r="BB163" s="1377"/>
      <c r="BC163" s="1820"/>
      <c r="BD163" s="1820"/>
      <c r="BE163" s="1823"/>
      <c r="BF163" s="1826"/>
      <c r="BG163" s="1829"/>
    </row>
    <row r="164" spans="1:59" s="1378" customFormat="1" ht="38.25">
      <c r="A164" s="1347" t="str">
        <f>L154</f>
        <v>Biospyder Technologies, Inc.</v>
      </c>
      <c r="B164" s="1348" t="str">
        <f t="shared" si="242"/>
        <v>HUB SD</v>
      </c>
      <c r="C164" s="1348">
        <f>Z154</f>
        <v>20</v>
      </c>
      <c r="D164" s="1349">
        <v>43101</v>
      </c>
      <c r="E164" s="1349"/>
      <c r="F164" s="1347" t="s">
        <v>72</v>
      </c>
      <c r="G164" s="1347" t="s">
        <v>85</v>
      </c>
      <c r="H164" s="1347" t="s">
        <v>72</v>
      </c>
      <c r="I164" s="1347" t="s">
        <v>72</v>
      </c>
      <c r="J164" s="1349" t="s">
        <v>4670</v>
      </c>
      <c r="K164" s="1349" t="s">
        <v>254</v>
      </c>
      <c r="L164" s="1350" t="s">
        <v>48</v>
      </c>
      <c r="M164" s="1350" t="s">
        <v>253</v>
      </c>
      <c r="N164" s="1390" t="s">
        <v>4703</v>
      </c>
      <c r="O164" s="1352" t="s">
        <v>4704</v>
      </c>
      <c r="P164" s="1352"/>
      <c r="Q164" s="1354"/>
      <c r="R164" s="1354"/>
      <c r="S164" s="1354"/>
      <c r="T164" s="1354"/>
      <c r="U164" s="1354"/>
      <c r="V164" s="1354"/>
      <c r="W164" s="1354"/>
      <c r="X164" s="1353">
        <v>43101</v>
      </c>
      <c r="Y164" s="1353">
        <v>43466</v>
      </c>
      <c r="Z164" s="1355"/>
      <c r="AA164" s="1355" t="s">
        <v>4674</v>
      </c>
      <c r="AB164" s="1356"/>
      <c r="AC164" s="1356"/>
      <c r="AD164" s="1356"/>
      <c r="AE164" s="1356"/>
      <c r="AF164" s="1357" t="str">
        <f t="shared" si="140"/>
        <v/>
      </c>
      <c r="AG164" s="1380"/>
      <c r="AH164" s="1380"/>
      <c r="AI164" s="1381">
        <v>0</v>
      </c>
      <c r="AJ164" s="1382">
        <f t="shared" si="243"/>
        <v>0</v>
      </c>
      <c r="AK164" s="1383">
        <f t="shared" si="244"/>
        <v>0</v>
      </c>
      <c r="AL164" s="1384">
        <v>0</v>
      </c>
      <c r="AM164" s="1363">
        <f t="shared" si="245"/>
        <v>0</v>
      </c>
      <c r="AN164" s="1364">
        <v>0</v>
      </c>
      <c r="AO164" s="1365">
        <f t="shared" si="246"/>
        <v>0</v>
      </c>
      <c r="AP164" s="1366">
        <v>0</v>
      </c>
      <c r="AQ164" s="1367">
        <f t="shared" si="247"/>
        <v>0</v>
      </c>
      <c r="AR164" s="1368">
        <v>0</v>
      </c>
      <c r="AS164" s="1369">
        <f t="shared" si="248"/>
        <v>0</v>
      </c>
      <c r="AT164" s="1370">
        <v>0</v>
      </c>
      <c r="AU164" s="1371">
        <f t="shared" si="249"/>
        <v>0</v>
      </c>
      <c r="AV164" s="1359">
        <f t="shared" si="250"/>
        <v>0</v>
      </c>
      <c r="AW164" s="1372">
        <f t="shared" si="251"/>
        <v>0</v>
      </c>
      <c r="AX164" s="1373">
        <f t="shared" si="252"/>
        <v>0</v>
      </c>
      <c r="AY164" s="1374">
        <f t="shared" si="253"/>
        <v>0</v>
      </c>
      <c r="AZ164" s="1375">
        <f t="shared" si="254"/>
        <v>0</v>
      </c>
      <c r="BA164" s="1376">
        <f t="shared" si="255"/>
        <v>0</v>
      </c>
      <c r="BB164" s="1377"/>
      <c r="BC164" s="1820"/>
      <c r="BD164" s="1820"/>
      <c r="BE164" s="1823"/>
      <c r="BF164" s="1826"/>
      <c r="BG164" s="1829"/>
    </row>
    <row r="165" spans="1:59" s="1378" customFormat="1" ht="38.25">
      <c r="A165" s="1347" t="str">
        <f>L154</f>
        <v>Biospyder Technologies, Inc.</v>
      </c>
      <c r="B165" s="1348" t="str">
        <f t="shared" si="242"/>
        <v>HUB SD</v>
      </c>
      <c r="C165" s="1348">
        <f>Z154</f>
        <v>20</v>
      </c>
      <c r="D165" s="1349">
        <v>43101</v>
      </c>
      <c r="E165" s="1349"/>
      <c r="F165" s="1347" t="s">
        <v>72</v>
      </c>
      <c r="G165" s="1347" t="s">
        <v>85</v>
      </c>
      <c r="H165" s="1347" t="s">
        <v>72</v>
      </c>
      <c r="I165" s="1347" t="s">
        <v>72</v>
      </c>
      <c r="J165" s="1349" t="s">
        <v>4670</v>
      </c>
      <c r="K165" s="1349" t="s">
        <v>254</v>
      </c>
      <c r="L165" s="1350" t="s">
        <v>49</v>
      </c>
      <c r="M165" s="1350" t="s">
        <v>4705</v>
      </c>
      <c r="N165" s="1390" t="s">
        <v>4706</v>
      </c>
      <c r="O165" s="1352" t="s">
        <v>4707</v>
      </c>
      <c r="P165" s="1352"/>
      <c r="Q165" s="1354"/>
      <c r="R165" s="1354"/>
      <c r="S165" s="1354"/>
      <c r="T165" s="1354"/>
      <c r="U165" s="1354"/>
      <c r="V165" s="1354"/>
      <c r="W165" s="1354"/>
      <c r="X165" s="1353">
        <v>43101</v>
      </c>
      <c r="Y165" s="1353">
        <v>43466</v>
      </c>
      <c r="Z165" s="1355"/>
      <c r="AA165" s="1355" t="s">
        <v>4674</v>
      </c>
      <c r="AB165" s="1356"/>
      <c r="AC165" s="1356"/>
      <c r="AD165" s="1356"/>
      <c r="AE165" s="1356"/>
      <c r="AF165" s="1357" t="str">
        <f t="shared" si="140"/>
        <v/>
      </c>
      <c r="AG165" s="1380"/>
      <c r="AH165" s="1380"/>
      <c r="AI165" s="1381">
        <v>0</v>
      </c>
      <c r="AJ165" s="1382">
        <f t="shared" si="243"/>
        <v>0</v>
      </c>
      <c r="AK165" s="1383">
        <f t="shared" si="244"/>
        <v>0</v>
      </c>
      <c r="AL165" s="1384">
        <v>0</v>
      </c>
      <c r="AM165" s="1363">
        <f t="shared" si="245"/>
        <v>0</v>
      </c>
      <c r="AN165" s="1364">
        <v>0</v>
      </c>
      <c r="AO165" s="1365">
        <f t="shared" si="246"/>
        <v>0</v>
      </c>
      <c r="AP165" s="1366">
        <v>0</v>
      </c>
      <c r="AQ165" s="1367">
        <f t="shared" si="247"/>
        <v>0</v>
      </c>
      <c r="AR165" s="1368">
        <v>0</v>
      </c>
      <c r="AS165" s="1369">
        <f t="shared" si="248"/>
        <v>0</v>
      </c>
      <c r="AT165" s="1370">
        <v>0</v>
      </c>
      <c r="AU165" s="1371">
        <f t="shared" si="249"/>
        <v>0</v>
      </c>
      <c r="AV165" s="1359">
        <f t="shared" si="250"/>
        <v>0</v>
      </c>
      <c r="AW165" s="1372">
        <f t="shared" si="251"/>
        <v>0</v>
      </c>
      <c r="AX165" s="1373">
        <f t="shared" si="252"/>
        <v>0</v>
      </c>
      <c r="AY165" s="1374">
        <f t="shared" si="253"/>
        <v>0</v>
      </c>
      <c r="AZ165" s="1375">
        <f t="shared" si="254"/>
        <v>0</v>
      </c>
      <c r="BA165" s="1376">
        <f t="shared" si="255"/>
        <v>0</v>
      </c>
      <c r="BB165" s="1391"/>
      <c r="BC165" s="1820"/>
      <c r="BD165" s="1820"/>
      <c r="BE165" s="1823"/>
      <c r="BF165" s="1826"/>
      <c r="BG165" s="1829"/>
    </row>
    <row r="166" spans="1:59" s="1378" customFormat="1" ht="38.25">
      <c r="A166" s="1347" t="str">
        <f>L154</f>
        <v>Biospyder Technologies, Inc.</v>
      </c>
      <c r="B166" s="1348" t="str">
        <f t="shared" si="242"/>
        <v>HUB SD</v>
      </c>
      <c r="C166" s="1348">
        <f>Z154</f>
        <v>20</v>
      </c>
      <c r="D166" s="1349">
        <v>43101</v>
      </c>
      <c r="E166" s="1349"/>
      <c r="F166" s="1347" t="s">
        <v>72</v>
      </c>
      <c r="G166" s="1347" t="s">
        <v>85</v>
      </c>
      <c r="H166" s="1347" t="s">
        <v>72</v>
      </c>
      <c r="I166" s="1347" t="s">
        <v>72</v>
      </c>
      <c r="J166" s="1349" t="s">
        <v>4670</v>
      </c>
      <c r="K166" s="1349" t="s">
        <v>254</v>
      </c>
      <c r="L166" s="1350" t="s">
        <v>3056</v>
      </c>
      <c r="M166" s="1350" t="s">
        <v>4708</v>
      </c>
      <c r="N166" s="1390" t="s">
        <v>4709</v>
      </c>
      <c r="O166" s="1352" t="s">
        <v>4710</v>
      </c>
      <c r="P166" s="1352"/>
      <c r="Q166" s="1354"/>
      <c r="R166" s="1354"/>
      <c r="S166" s="1354"/>
      <c r="T166" s="1354"/>
      <c r="U166" s="1354"/>
      <c r="V166" s="1354"/>
      <c r="W166" s="1354"/>
      <c r="X166" s="1353">
        <v>43101</v>
      </c>
      <c r="Y166" s="1353">
        <v>43466</v>
      </c>
      <c r="Z166" s="1355"/>
      <c r="AA166" s="1355" t="s">
        <v>4674</v>
      </c>
      <c r="AB166" s="1356"/>
      <c r="AC166" s="1356"/>
      <c r="AD166" s="1356"/>
      <c r="AE166" s="1356"/>
      <c r="AF166" s="1357" t="str">
        <f t="shared" si="140"/>
        <v/>
      </c>
      <c r="AG166" s="1380"/>
      <c r="AH166" s="1380"/>
      <c r="AI166" s="1381">
        <v>0</v>
      </c>
      <c r="AJ166" s="1382">
        <f t="shared" si="243"/>
        <v>0</v>
      </c>
      <c r="AK166" s="1383">
        <f t="shared" si="244"/>
        <v>0</v>
      </c>
      <c r="AL166" s="1384">
        <v>0</v>
      </c>
      <c r="AM166" s="1363">
        <f t="shared" si="245"/>
        <v>0</v>
      </c>
      <c r="AN166" s="1364">
        <v>0</v>
      </c>
      <c r="AO166" s="1365">
        <f t="shared" si="246"/>
        <v>0</v>
      </c>
      <c r="AP166" s="1366">
        <v>0</v>
      </c>
      <c r="AQ166" s="1367">
        <f t="shared" si="247"/>
        <v>0</v>
      </c>
      <c r="AR166" s="1368">
        <v>0</v>
      </c>
      <c r="AS166" s="1369">
        <f t="shared" si="248"/>
        <v>0</v>
      </c>
      <c r="AT166" s="1370">
        <v>0</v>
      </c>
      <c r="AU166" s="1371">
        <f t="shared" si="249"/>
        <v>0</v>
      </c>
      <c r="AV166" s="1359">
        <f t="shared" si="250"/>
        <v>0</v>
      </c>
      <c r="AW166" s="1372">
        <f t="shared" si="251"/>
        <v>0</v>
      </c>
      <c r="AX166" s="1373">
        <f t="shared" si="252"/>
        <v>0</v>
      </c>
      <c r="AY166" s="1374">
        <f t="shared" si="253"/>
        <v>0</v>
      </c>
      <c r="AZ166" s="1375">
        <f t="shared" si="254"/>
        <v>0</v>
      </c>
      <c r="BA166" s="1376">
        <f t="shared" si="255"/>
        <v>0</v>
      </c>
      <c r="BB166" s="1391"/>
      <c r="BC166" s="1821"/>
      <c r="BD166" s="1821"/>
      <c r="BE166" s="1824"/>
      <c r="BF166" s="1827"/>
      <c r="BG166" s="1830"/>
    </row>
    <row r="167" spans="1:59" s="1315" customFormat="1" ht="57" customHeight="1">
      <c r="A167" s="1277" t="str">
        <f t="shared" ref="A167:A179" si="257">L$167</f>
        <v>Bird Rock Bio, Inc.</v>
      </c>
      <c r="B167" s="1316" t="str">
        <f t="shared" ref="B167:B179" si="258">N$167</f>
        <v>HUB SD</v>
      </c>
      <c r="C167" s="1316">
        <f t="shared" ref="C167:C179" si="259">Z$167</f>
        <v>10</v>
      </c>
      <c r="D167" s="1317">
        <v>43101</v>
      </c>
      <c r="E167" s="1317"/>
      <c r="F167" s="1277" t="s">
        <v>72</v>
      </c>
      <c r="G167" s="1277" t="s">
        <v>72</v>
      </c>
      <c r="H167" s="1277" t="s">
        <v>72</v>
      </c>
      <c r="I167" s="1277" t="s">
        <v>4711</v>
      </c>
      <c r="J167" s="1317"/>
      <c r="K167" s="1317"/>
      <c r="L167" s="1318" t="s">
        <v>1320</v>
      </c>
      <c r="M167" s="1318"/>
      <c r="N167" s="1320" t="s">
        <v>4661</v>
      </c>
      <c r="O167" s="1321" t="s">
        <v>2473</v>
      </c>
      <c r="P167" s="1419"/>
      <c r="Q167" s="1322"/>
      <c r="R167" s="1322"/>
      <c r="S167" s="1322"/>
      <c r="T167" s="1322"/>
      <c r="U167" s="1322"/>
      <c r="V167" s="1322"/>
      <c r="W167" s="1322"/>
      <c r="X167" s="1317">
        <v>43101</v>
      </c>
      <c r="Y167" s="1317">
        <v>43466</v>
      </c>
      <c r="Z167" s="1316">
        <v>10</v>
      </c>
      <c r="AA167" s="1316" t="s">
        <v>4858</v>
      </c>
      <c r="AB167" s="1323">
        <f>SUM(AB168:AB179)</f>
        <v>126180</v>
      </c>
      <c r="AC167" s="1323">
        <f>SUM(AC168:AC179)</f>
        <v>140416</v>
      </c>
      <c r="AD167" s="1323">
        <f>SUM(AD168:AD179)</f>
        <v>219634.32</v>
      </c>
      <c r="AE167" s="1324">
        <f t="shared" si="241"/>
        <v>93454.32</v>
      </c>
      <c r="AF167" s="1325">
        <f t="shared" si="140"/>
        <v>0.74064289110794113</v>
      </c>
      <c r="AG167" s="1326">
        <f t="shared" ref="AG167:AG230" si="260">AH167/12</f>
        <v>19295.339166666668</v>
      </c>
      <c r="AH167" s="1326">
        <f>SUM(AH168:AH179)</f>
        <v>231544.07000000004</v>
      </c>
      <c r="AI167" s="1339"/>
      <c r="AJ167" s="1328">
        <f>SUM(AJ168:AJ179)</f>
        <v>1628.7413749999998</v>
      </c>
      <c r="AK167" s="1328">
        <f>SUM(AK168:AK179)</f>
        <v>19544.896500000006</v>
      </c>
      <c r="AL167" s="1329"/>
      <c r="AM167" s="1330">
        <f>SUM(AM168:AM179)</f>
        <v>1034.6580000000001</v>
      </c>
      <c r="AN167" s="1331"/>
      <c r="AO167" s="1332">
        <f>SUM(AO168:AO179)</f>
        <v>0</v>
      </c>
      <c r="AP167" s="1333"/>
      <c r="AQ167" s="1334">
        <f>SUM(AQ168:AQ179)</f>
        <v>0</v>
      </c>
      <c r="AR167" s="1335"/>
      <c r="AS167" s="1336">
        <f>SUM(AS168:AS179)</f>
        <v>10457.910200000002</v>
      </c>
      <c r="AT167" s="1337"/>
      <c r="AU167" s="1338">
        <f>SUM(AU168:AU179)</f>
        <v>5173.2900000000009</v>
      </c>
      <c r="AV167" s="1339"/>
      <c r="AW167" s="1340">
        <f>SUM(AW168:AW179)</f>
        <v>2879.0382999999993</v>
      </c>
      <c r="AX167" s="1306"/>
      <c r="AY167" s="1307">
        <f>SUM(AW167+AS167+AU167)</f>
        <v>18510.238500000003</v>
      </c>
      <c r="AZ167" s="1341"/>
      <c r="BA167" s="1309">
        <f>SUM(AY167+AQ167)</f>
        <v>18510.238500000003</v>
      </c>
      <c r="BB167" s="1342">
        <f>(AW167+AU167)/(AK167-AM167)</f>
        <v>0.43502023488244074</v>
      </c>
      <c r="BC167" s="1343"/>
      <c r="BD167" s="1343"/>
      <c r="BE167" s="1344"/>
      <c r="BF167" s="1345" t="s">
        <v>4859</v>
      </c>
      <c r="BG167" s="1346"/>
    </row>
    <row r="168" spans="1:59" s="1378" customFormat="1" ht="76.5">
      <c r="A168" s="1347" t="str">
        <f t="shared" si="257"/>
        <v>Bird Rock Bio, Inc.</v>
      </c>
      <c r="B168" s="1348" t="str">
        <f t="shared" si="258"/>
        <v>HUB SD</v>
      </c>
      <c r="C168" s="1348">
        <f t="shared" si="259"/>
        <v>10</v>
      </c>
      <c r="D168" s="1349">
        <v>43101</v>
      </c>
      <c r="E168" s="1349"/>
      <c r="F168" s="1347" t="s">
        <v>85</v>
      </c>
      <c r="G168" s="1347" t="s">
        <v>85</v>
      </c>
      <c r="H168" s="1347" t="s">
        <v>85</v>
      </c>
      <c r="I168" s="1347" t="s">
        <v>85</v>
      </c>
      <c r="J168" s="1349"/>
      <c r="K168" s="1349" t="s">
        <v>254</v>
      </c>
      <c r="L168" s="1350" t="s">
        <v>2661</v>
      </c>
      <c r="M168" s="1350" t="s">
        <v>3647</v>
      </c>
      <c r="N168" s="1351" t="s">
        <v>4860</v>
      </c>
      <c r="O168" s="1352" t="s">
        <v>4861</v>
      </c>
      <c r="P168" s="1352" t="s">
        <v>4862</v>
      </c>
      <c r="Q168" s="1353" t="s">
        <v>317</v>
      </c>
      <c r="R168" s="1353" t="s">
        <v>3648</v>
      </c>
      <c r="S168" s="1353" t="s">
        <v>307</v>
      </c>
      <c r="T168" s="1353" t="s">
        <v>113</v>
      </c>
      <c r="U168" s="1354"/>
      <c r="V168" s="1354"/>
      <c r="W168" s="1354"/>
      <c r="X168" s="1353">
        <v>43101</v>
      </c>
      <c r="Y168" s="1353">
        <v>43466</v>
      </c>
      <c r="Z168" s="1355"/>
      <c r="AA168" s="1355" t="s">
        <v>4667</v>
      </c>
      <c r="AB168" s="1422">
        <f>SUM(113884)</f>
        <v>113884</v>
      </c>
      <c r="AC168" s="1422">
        <v>128120</v>
      </c>
      <c r="AD168" s="1422">
        <f>AH168</f>
        <v>206931.6</v>
      </c>
      <c r="AE168" s="1422">
        <f t="shared" si="241"/>
        <v>93047.6</v>
      </c>
      <c r="AF168" s="1423">
        <f t="shared" si="140"/>
        <v>0.81703838994064137</v>
      </c>
      <c r="AG168" s="1358">
        <f t="shared" si="260"/>
        <v>17244.3</v>
      </c>
      <c r="AH168" s="1358">
        <v>206931.6</v>
      </c>
      <c r="AI168" s="1359">
        <v>0.08</v>
      </c>
      <c r="AJ168" s="1360">
        <f t="shared" ref="AJ168:AJ179" si="261">$AI168*$AG168</f>
        <v>1379.5439999999999</v>
      </c>
      <c r="AK168" s="1361">
        <f t="shared" ref="AK168" si="262">AI168*$AH168</f>
        <v>16554.528000000002</v>
      </c>
      <c r="AL168" s="1362">
        <v>5.0000000000000001E-3</v>
      </c>
      <c r="AM168" s="1363">
        <f t="shared" ref="AM168:AM179" si="263">AL168*$AH168</f>
        <v>1034.6580000000001</v>
      </c>
      <c r="AN168" s="1364">
        <v>0</v>
      </c>
      <c r="AO168" s="1365">
        <f t="shared" ref="AO168:AO179" si="264">AN168*$AH168</f>
        <v>0</v>
      </c>
      <c r="AP168" s="1366">
        <v>0</v>
      </c>
      <c r="AQ168" s="1367">
        <f t="shared" ref="AQ168:AQ179" si="265">AP168*$AH168</f>
        <v>0</v>
      </c>
      <c r="AR168" s="1368">
        <v>0.04</v>
      </c>
      <c r="AS168" s="1369">
        <f t="shared" ref="AS168:AS179" si="266">AR168*$AH168</f>
        <v>8277.264000000001</v>
      </c>
      <c r="AT168" s="1370">
        <v>2.5000000000000001E-2</v>
      </c>
      <c r="AU168" s="1371">
        <f t="shared" ref="AU168:AU179" si="267">AT168*$AH168</f>
        <v>5173.2900000000009</v>
      </c>
      <c r="AV168" s="1359">
        <f t="shared" ref="AV168:AV179" si="268">AZ168-AR168-AT168-AP168</f>
        <v>9.999999999999995E-3</v>
      </c>
      <c r="AW168" s="1372">
        <f t="shared" ref="AW168:AW179" si="269">AV168*$AH168</f>
        <v>2069.3159999999989</v>
      </c>
      <c r="AX168" s="1373">
        <f t="shared" ref="AX168:AX179" si="270">$AZ168-$AP168</f>
        <v>7.4999999999999997E-2</v>
      </c>
      <c r="AY168" s="1374">
        <f t="shared" ref="AY168:AY179" si="271">AX168*$AH168</f>
        <v>15519.869999999999</v>
      </c>
      <c r="AZ168" s="1375">
        <f t="shared" ref="AZ168:AZ179" si="272">$AI168-$AL168-$AN168</f>
        <v>7.4999999999999997E-2</v>
      </c>
      <c r="BA168" s="1376">
        <f t="shared" ref="BA168:BA179" si="273">AZ168*$AH168</f>
        <v>15519.869999999999</v>
      </c>
      <c r="BB168" s="1391"/>
      <c r="BC168" s="1819" t="s">
        <v>4863</v>
      </c>
      <c r="BD168" s="1819" t="s">
        <v>1324</v>
      </c>
      <c r="BE168" s="1822" t="s">
        <v>1325</v>
      </c>
      <c r="BF168" s="1834" t="s">
        <v>3657</v>
      </c>
      <c r="BG168" s="1828">
        <v>261133046</v>
      </c>
    </row>
    <row r="169" spans="1:59" s="1378" customFormat="1" ht="38.25">
      <c r="A169" s="1347" t="str">
        <f t="shared" si="257"/>
        <v>Bird Rock Bio, Inc.</v>
      </c>
      <c r="B169" s="1348" t="str">
        <f t="shared" si="258"/>
        <v>HUB SD</v>
      </c>
      <c r="C169" s="1348">
        <f t="shared" si="259"/>
        <v>10</v>
      </c>
      <c r="D169" s="1349">
        <v>43101</v>
      </c>
      <c r="E169" s="1349"/>
      <c r="F169" s="1347" t="s">
        <v>72</v>
      </c>
      <c r="G169" s="1347" t="s">
        <v>85</v>
      </c>
      <c r="H169" s="1347" t="s">
        <v>72</v>
      </c>
      <c r="I169" s="1347" t="s">
        <v>72</v>
      </c>
      <c r="J169" s="1349" t="s">
        <v>4670</v>
      </c>
      <c r="K169" s="1349" t="s">
        <v>254</v>
      </c>
      <c r="L169" s="1350" t="s">
        <v>4671</v>
      </c>
      <c r="M169" s="1350" t="s">
        <v>3649</v>
      </c>
      <c r="N169" s="1379" t="s">
        <v>4864</v>
      </c>
      <c r="O169" s="1352" t="s">
        <v>4865</v>
      </c>
      <c r="P169" s="1388"/>
      <c r="Q169" s="1354"/>
      <c r="R169" s="1354"/>
      <c r="S169" s="1354"/>
      <c r="T169" s="1354"/>
      <c r="U169" s="1354"/>
      <c r="V169" s="1354"/>
      <c r="W169" s="1354"/>
      <c r="X169" s="1353">
        <v>43101</v>
      </c>
      <c r="Y169" s="1353">
        <v>43466</v>
      </c>
      <c r="Z169" s="1355"/>
      <c r="AA169" s="1355" t="s">
        <v>4674</v>
      </c>
      <c r="AB169" s="1356"/>
      <c r="AC169" s="1356"/>
      <c r="AD169" s="1356"/>
      <c r="AE169" s="1356"/>
      <c r="AF169" s="1357" t="str">
        <f t="shared" si="140"/>
        <v/>
      </c>
      <c r="AG169" s="1380"/>
      <c r="AH169" s="1380"/>
      <c r="AI169" s="1381">
        <v>0</v>
      </c>
      <c r="AJ169" s="1382">
        <f t="shared" si="261"/>
        <v>0</v>
      </c>
      <c r="AK169" s="1383">
        <f>AI169*$AH169</f>
        <v>0</v>
      </c>
      <c r="AL169" s="1384">
        <v>0</v>
      </c>
      <c r="AM169" s="1363">
        <f t="shared" si="263"/>
        <v>0</v>
      </c>
      <c r="AN169" s="1364">
        <v>0</v>
      </c>
      <c r="AO169" s="1365">
        <f t="shared" si="264"/>
        <v>0</v>
      </c>
      <c r="AP169" s="1366">
        <v>0</v>
      </c>
      <c r="AQ169" s="1367">
        <f t="shared" si="265"/>
        <v>0</v>
      </c>
      <c r="AR169" s="1368">
        <v>0</v>
      </c>
      <c r="AS169" s="1369">
        <f t="shared" si="266"/>
        <v>0</v>
      </c>
      <c r="AT169" s="1370">
        <v>0</v>
      </c>
      <c r="AU169" s="1371">
        <f t="shared" si="267"/>
        <v>0</v>
      </c>
      <c r="AV169" s="1359">
        <f t="shared" si="268"/>
        <v>0</v>
      </c>
      <c r="AW169" s="1372">
        <f t="shared" si="269"/>
        <v>0</v>
      </c>
      <c r="AX169" s="1373">
        <f t="shared" si="270"/>
        <v>0</v>
      </c>
      <c r="AY169" s="1374">
        <f t="shared" si="271"/>
        <v>0</v>
      </c>
      <c r="AZ169" s="1375">
        <f t="shared" si="272"/>
        <v>0</v>
      </c>
      <c r="BA169" s="1376">
        <f t="shared" si="273"/>
        <v>0</v>
      </c>
      <c r="BB169" s="1391"/>
      <c r="BC169" s="1820"/>
      <c r="BD169" s="1820"/>
      <c r="BE169" s="1823"/>
      <c r="BF169" s="1834"/>
      <c r="BG169" s="1829"/>
    </row>
    <row r="170" spans="1:59" s="1378" customFormat="1" ht="38.25">
      <c r="A170" s="1347" t="str">
        <f t="shared" si="257"/>
        <v>Bird Rock Bio, Inc.</v>
      </c>
      <c r="B170" s="1348" t="str">
        <f t="shared" si="258"/>
        <v>HUB SD</v>
      </c>
      <c r="C170" s="1348">
        <f t="shared" si="259"/>
        <v>10</v>
      </c>
      <c r="D170" s="1349">
        <v>43101</v>
      </c>
      <c r="E170" s="1349"/>
      <c r="F170" s="1347" t="s">
        <v>113</v>
      </c>
      <c r="G170" s="1347" t="s">
        <v>85</v>
      </c>
      <c r="H170" s="1347" t="s">
        <v>85</v>
      </c>
      <c r="I170" s="1347" t="s">
        <v>85</v>
      </c>
      <c r="J170" s="1349"/>
      <c r="K170" s="1349" t="s">
        <v>254</v>
      </c>
      <c r="L170" s="1350" t="s">
        <v>4675</v>
      </c>
      <c r="M170" s="1350" t="s">
        <v>3650</v>
      </c>
      <c r="N170" s="1385" t="s">
        <v>4866</v>
      </c>
      <c r="O170" s="1352" t="s">
        <v>4677</v>
      </c>
      <c r="P170" s="1388"/>
      <c r="Q170" s="1354"/>
      <c r="R170" s="1354"/>
      <c r="S170" s="1354"/>
      <c r="T170" s="1354"/>
      <c r="U170" s="1353" t="s">
        <v>4802</v>
      </c>
      <c r="V170" s="1353" t="s">
        <v>2497</v>
      </c>
      <c r="W170" s="1354"/>
      <c r="X170" s="1353">
        <v>43101</v>
      </c>
      <c r="Y170" s="1353">
        <v>43466</v>
      </c>
      <c r="Z170" s="1355"/>
      <c r="AA170" s="1355" t="s">
        <v>4679</v>
      </c>
      <c r="AB170" s="1422">
        <v>12296</v>
      </c>
      <c r="AC170" s="1422">
        <v>12296</v>
      </c>
      <c r="AD170" s="1422">
        <f>AH170</f>
        <v>12702.72</v>
      </c>
      <c r="AE170" s="1422">
        <f t="shared" si="241"/>
        <v>406.71999999999935</v>
      </c>
      <c r="AF170" s="1423">
        <f t="shared" si="140"/>
        <v>3.3077423552374703E-2</v>
      </c>
      <c r="AG170" s="1358">
        <f t="shared" si="260"/>
        <v>1058.56</v>
      </c>
      <c r="AH170" s="1358">
        <v>12702.72</v>
      </c>
      <c r="AI170" s="1359">
        <v>0.1</v>
      </c>
      <c r="AJ170" s="1360">
        <f t="shared" si="261"/>
        <v>105.85599999999999</v>
      </c>
      <c r="AK170" s="1361">
        <f t="shared" ref="AK170:AK179" si="274">AI170*$AH170</f>
        <v>1270.2719999999999</v>
      </c>
      <c r="AL170" s="1384">
        <v>0</v>
      </c>
      <c r="AM170" s="1363">
        <f t="shared" si="263"/>
        <v>0</v>
      </c>
      <c r="AN170" s="1364">
        <v>0</v>
      </c>
      <c r="AO170" s="1365">
        <f t="shared" si="264"/>
        <v>0</v>
      </c>
      <c r="AP170" s="1366">
        <v>0</v>
      </c>
      <c r="AQ170" s="1367">
        <f t="shared" si="265"/>
        <v>0</v>
      </c>
      <c r="AR170" s="1368">
        <v>0.08</v>
      </c>
      <c r="AS170" s="1369">
        <f t="shared" si="266"/>
        <v>1016.2175999999999</v>
      </c>
      <c r="AT170" s="1370">
        <v>0</v>
      </c>
      <c r="AU170" s="1371">
        <f t="shared" si="267"/>
        <v>0</v>
      </c>
      <c r="AV170" s="1359">
        <f t="shared" si="268"/>
        <v>2.0000000000000004E-2</v>
      </c>
      <c r="AW170" s="1372">
        <f t="shared" si="269"/>
        <v>254.05440000000004</v>
      </c>
      <c r="AX170" s="1373">
        <f t="shared" si="270"/>
        <v>0.1</v>
      </c>
      <c r="AY170" s="1374">
        <f t="shared" si="271"/>
        <v>1270.2719999999999</v>
      </c>
      <c r="AZ170" s="1375">
        <f t="shared" si="272"/>
        <v>0.1</v>
      </c>
      <c r="BA170" s="1376">
        <f t="shared" si="273"/>
        <v>1270.2719999999999</v>
      </c>
      <c r="BB170" s="1391"/>
      <c r="BC170" s="1820"/>
      <c r="BD170" s="1820"/>
      <c r="BE170" s="1823"/>
      <c r="BF170" s="1834"/>
      <c r="BG170" s="1829"/>
    </row>
    <row r="171" spans="1:59" s="1378" customFormat="1" ht="38.25">
      <c r="A171" s="1347" t="str">
        <f t="shared" si="257"/>
        <v>Bird Rock Bio, Inc.</v>
      </c>
      <c r="B171" s="1348" t="str">
        <f t="shared" si="258"/>
        <v>HUB SD</v>
      </c>
      <c r="C171" s="1348">
        <f t="shared" si="259"/>
        <v>10</v>
      </c>
      <c r="D171" s="1349">
        <v>43101</v>
      </c>
      <c r="E171" s="1349"/>
      <c r="F171" s="1347" t="s">
        <v>113</v>
      </c>
      <c r="G171" s="1347" t="s">
        <v>85</v>
      </c>
      <c r="H171" s="1347" t="s">
        <v>85</v>
      </c>
      <c r="I171" s="1347" t="s">
        <v>113</v>
      </c>
      <c r="J171" s="1349"/>
      <c r="K171" s="1349" t="s">
        <v>254</v>
      </c>
      <c r="L171" s="1350" t="s">
        <v>4675</v>
      </c>
      <c r="M171" s="1350" t="s">
        <v>3651</v>
      </c>
      <c r="N171" s="1351" t="s">
        <v>4856</v>
      </c>
      <c r="O171" s="1352" t="s">
        <v>4681</v>
      </c>
      <c r="P171" s="1388"/>
      <c r="Q171" s="1354"/>
      <c r="R171" s="1354"/>
      <c r="S171" s="1354"/>
      <c r="T171" s="1354"/>
      <c r="U171" s="1354"/>
      <c r="V171" s="1354"/>
      <c r="W171" s="1353" t="s">
        <v>2492</v>
      </c>
      <c r="X171" s="1353">
        <v>43101</v>
      </c>
      <c r="Y171" s="1353">
        <v>43466</v>
      </c>
      <c r="Z171" s="1355"/>
      <c r="AA171" s="1355" t="s">
        <v>4679</v>
      </c>
      <c r="AB171" s="1356"/>
      <c r="AC171" s="1356"/>
      <c r="AD171" s="1356"/>
      <c r="AE171" s="1356"/>
      <c r="AF171" s="1357"/>
      <c r="AG171" s="1358">
        <f t="shared" si="260"/>
        <v>110.61</v>
      </c>
      <c r="AH171" s="1358">
        <v>1327.32</v>
      </c>
      <c r="AI171" s="1359">
        <v>0.1</v>
      </c>
      <c r="AJ171" s="1360">
        <f t="shared" si="261"/>
        <v>11.061</v>
      </c>
      <c r="AK171" s="1361">
        <f t="shared" si="274"/>
        <v>132.732</v>
      </c>
      <c r="AL171" s="1384">
        <v>0</v>
      </c>
      <c r="AM171" s="1363">
        <f t="shared" si="263"/>
        <v>0</v>
      </c>
      <c r="AN171" s="1364">
        <v>0</v>
      </c>
      <c r="AO171" s="1365">
        <f t="shared" si="264"/>
        <v>0</v>
      </c>
      <c r="AP171" s="1366">
        <v>0</v>
      </c>
      <c r="AQ171" s="1367">
        <f t="shared" si="265"/>
        <v>0</v>
      </c>
      <c r="AR171" s="1368">
        <v>0.08</v>
      </c>
      <c r="AS171" s="1369">
        <f t="shared" si="266"/>
        <v>106.18559999999999</v>
      </c>
      <c r="AT171" s="1370">
        <v>0</v>
      </c>
      <c r="AU171" s="1371">
        <f t="shared" si="267"/>
        <v>0</v>
      </c>
      <c r="AV171" s="1359">
        <f t="shared" si="268"/>
        <v>2.0000000000000004E-2</v>
      </c>
      <c r="AW171" s="1372">
        <f t="shared" si="269"/>
        <v>26.546400000000006</v>
      </c>
      <c r="AX171" s="1373">
        <f t="shared" si="270"/>
        <v>0.1</v>
      </c>
      <c r="AY171" s="1374">
        <f t="shared" si="271"/>
        <v>132.732</v>
      </c>
      <c r="AZ171" s="1375">
        <f t="shared" si="272"/>
        <v>0.1</v>
      </c>
      <c r="BA171" s="1376">
        <f t="shared" si="273"/>
        <v>132.732</v>
      </c>
      <c r="BB171" s="1391"/>
      <c r="BC171" s="1820"/>
      <c r="BD171" s="1820"/>
      <c r="BE171" s="1823"/>
      <c r="BF171" s="1834"/>
      <c r="BG171" s="1829"/>
    </row>
    <row r="172" spans="1:59" s="1378" customFormat="1" ht="38.25">
      <c r="A172" s="1347" t="str">
        <f t="shared" si="257"/>
        <v>Bird Rock Bio, Inc.</v>
      </c>
      <c r="B172" s="1348" t="str">
        <f t="shared" si="258"/>
        <v>HUB SD</v>
      </c>
      <c r="C172" s="1348">
        <f t="shared" si="259"/>
        <v>10</v>
      </c>
      <c r="D172" s="1349">
        <v>43101</v>
      </c>
      <c r="E172" s="1349"/>
      <c r="F172" s="1347" t="s">
        <v>113</v>
      </c>
      <c r="G172" s="1347" t="s">
        <v>85</v>
      </c>
      <c r="H172" s="1347" t="s">
        <v>85</v>
      </c>
      <c r="I172" s="1347" t="s">
        <v>113</v>
      </c>
      <c r="J172" s="1349"/>
      <c r="K172" s="1349" t="s">
        <v>254</v>
      </c>
      <c r="L172" s="1350" t="s">
        <v>4682</v>
      </c>
      <c r="M172" s="1350" t="s">
        <v>4683</v>
      </c>
      <c r="N172" s="1386" t="s">
        <v>57</v>
      </c>
      <c r="O172" s="1352" t="s">
        <v>4684</v>
      </c>
      <c r="P172" s="1421"/>
      <c r="Q172" s="1354"/>
      <c r="R172" s="1354"/>
      <c r="S172" s="1354"/>
      <c r="T172" s="1354"/>
      <c r="U172" s="1354"/>
      <c r="V172" s="1354"/>
      <c r="W172" s="1354"/>
      <c r="X172" s="1353">
        <v>43101</v>
      </c>
      <c r="Y172" s="1353">
        <v>43466</v>
      </c>
      <c r="Z172" s="1355"/>
      <c r="AA172" s="1355" t="s">
        <v>4685</v>
      </c>
      <c r="AB172" s="1356"/>
      <c r="AC172" s="1356"/>
      <c r="AD172" s="1356"/>
      <c r="AE172" s="1356"/>
      <c r="AF172" s="1357"/>
      <c r="AG172" s="1358">
        <f t="shared" si="260"/>
        <v>376.28999999999996</v>
      </c>
      <c r="AH172" s="1358">
        <v>4515.4799999999996</v>
      </c>
      <c r="AI172" s="1359">
        <v>0.15</v>
      </c>
      <c r="AJ172" s="1360">
        <f t="shared" si="261"/>
        <v>56.443499999999993</v>
      </c>
      <c r="AK172" s="1361">
        <f t="shared" si="274"/>
        <v>677.32199999999989</v>
      </c>
      <c r="AL172" s="1384">
        <v>0</v>
      </c>
      <c r="AM172" s="1363">
        <f t="shared" si="263"/>
        <v>0</v>
      </c>
      <c r="AN172" s="1364">
        <v>0</v>
      </c>
      <c r="AO172" s="1365">
        <f t="shared" si="264"/>
        <v>0</v>
      </c>
      <c r="AP172" s="1366">
        <v>0</v>
      </c>
      <c r="AQ172" s="1367">
        <f t="shared" si="265"/>
        <v>0</v>
      </c>
      <c r="AR172" s="1368">
        <v>0.1</v>
      </c>
      <c r="AS172" s="1369">
        <f t="shared" si="266"/>
        <v>451.548</v>
      </c>
      <c r="AT172" s="1370">
        <v>0</v>
      </c>
      <c r="AU172" s="1371">
        <f t="shared" si="267"/>
        <v>0</v>
      </c>
      <c r="AV172" s="1359">
        <f t="shared" si="268"/>
        <v>4.9999999999999989E-2</v>
      </c>
      <c r="AW172" s="1372">
        <f t="shared" si="269"/>
        <v>225.77399999999992</v>
      </c>
      <c r="AX172" s="1373">
        <f t="shared" si="270"/>
        <v>0.15</v>
      </c>
      <c r="AY172" s="1374">
        <f t="shared" si="271"/>
        <v>677.32199999999989</v>
      </c>
      <c r="AZ172" s="1375">
        <f t="shared" si="272"/>
        <v>0.15</v>
      </c>
      <c r="BA172" s="1376">
        <f t="shared" si="273"/>
        <v>677.32199999999989</v>
      </c>
      <c r="BB172" s="1391"/>
      <c r="BC172" s="1820"/>
      <c r="BD172" s="1820"/>
      <c r="BE172" s="1823"/>
      <c r="BF172" s="1834"/>
      <c r="BG172" s="1829"/>
    </row>
    <row r="173" spans="1:59" s="1378" customFormat="1" ht="38.25">
      <c r="A173" s="1347" t="str">
        <f t="shared" si="257"/>
        <v>Bird Rock Bio, Inc.</v>
      </c>
      <c r="B173" s="1348" t="str">
        <f t="shared" si="258"/>
        <v>HUB SD</v>
      </c>
      <c r="C173" s="1348">
        <f t="shared" si="259"/>
        <v>10</v>
      </c>
      <c r="D173" s="1349">
        <v>43101</v>
      </c>
      <c r="E173" s="1349"/>
      <c r="F173" s="1347" t="s">
        <v>113</v>
      </c>
      <c r="G173" s="1347" t="s">
        <v>85</v>
      </c>
      <c r="H173" s="1347" t="s">
        <v>85</v>
      </c>
      <c r="I173" s="1347" t="s">
        <v>113</v>
      </c>
      <c r="J173" s="1349"/>
      <c r="K173" s="1349" t="s">
        <v>254</v>
      </c>
      <c r="L173" s="1350" t="s">
        <v>4682</v>
      </c>
      <c r="M173" s="1350" t="s">
        <v>4686</v>
      </c>
      <c r="N173" s="1386" t="s">
        <v>60</v>
      </c>
      <c r="O173" s="1352" t="s">
        <v>4687</v>
      </c>
      <c r="P173" s="1421"/>
      <c r="Q173" s="1354"/>
      <c r="R173" s="1354"/>
      <c r="S173" s="1354"/>
      <c r="T173" s="1354"/>
      <c r="U173" s="1354"/>
      <c r="V173" s="1354"/>
      <c r="W173" s="1354"/>
      <c r="X173" s="1353">
        <v>43101</v>
      </c>
      <c r="Y173" s="1353">
        <v>43466</v>
      </c>
      <c r="Z173" s="1355"/>
      <c r="AA173" s="1355" t="s">
        <v>4685</v>
      </c>
      <c r="AB173" s="1356"/>
      <c r="AC173" s="1356"/>
      <c r="AD173" s="1356"/>
      <c r="AE173" s="1356"/>
      <c r="AF173" s="1357"/>
      <c r="AG173" s="1358">
        <f t="shared" si="260"/>
        <v>0</v>
      </c>
      <c r="AH173" s="1358">
        <v>0</v>
      </c>
      <c r="AI173" s="1359">
        <v>0.15</v>
      </c>
      <c r="AJ173" s="1360">
        <f t="shared" si="261"/>
        <v>0</v>
      </c>
      <c r="AK173" s="1361">
        <f t="shared" si="274"/>
        <v>0</v>
      </c>
      <c r="AL173" s="1384">
        <v>0</v>
      </c>
      <c r="AM173" s="1363">
        <f t="shared" si="263"/>
        <v>0</v>
      </c>
      <c r="AN173" s="1364">
        <v>0</v>
      </c>
      <c r="AO173" s="1365">
        <f t="shared" si="264"/>
        <v>0</v>
      </c>
      <c r="AP173" s="1366">
        <v>0</v>
      </c>
      <c r="AQ173" s="1367">
        <f t="shared" si="265"/>
        <v>0</v>
      </c>
      <c r="AR173" s="1368">
        <v>0.1</v>
      </c>
      <c r="AS173" s="1369">
        <f t="shared" si="266"/>
        <v>0</v>
      </c>
      <c r="AT173" s="1370">
        <v>0</v>
      </c>
      <c r="AU173" s="1371">
        <f t="shared" si="267"/>
        <v>0</v>
      </c>
      <c r="AV173" s="1359">
        <f t="shared" si="268"/>
        <v>4.9999999999999989E-2</v>
      </c>
      <c r="AW173" s="1372">
        <f t="shared" si="269"/>
        <v>0</v>
      </c>
      <c r="AX173" s="1373">
        <f t="shared" si="270"/>
        <v>0.15</v>
      </c>
      <c r="AY173" s="1374">
        <f t="shared" si="271"/>
        <v>0</v>
      </c>
      <c r="AZ173" s="1375">
        <f t="shared" si="272"/>
        <v>0.15</v>
      </c>
      <c r="BA173" s="1376">
        <f t="shared" si="273"/>
        <v>0</v>
      </c>
      <c r="BB173" s="1391"/>
      <c r="BC173" s="1820"/>
      <c r="BD173" s="1820"/>
      <c r="BE173" s="1823"/>
      <c r="BF173" s="1834"/>
      <c r="BG173" s="1829"/>
    </row>
    <row r="174" spans="1:59" s="1378" customFormat="1" ht="38.25">
      <c r="A174" s="1347" t="str">
        <f t="shared" si="257"/>
        <v>Bird Rock Bio, Inc.</v>
      </c>
      <c r="B174" s="1348" t="str">
        <f t="shared" si="258"/>
        <v>HUB SD</v>
      </c>
      <c r="C174" s="1348">
        <f t="shared" si="259"/>
        <v>10</v>
      </c>
      <c r="D174" s="1349">
        <v>43101</v>
      </c>
      <c r="E174" s="1349"/>
      <c r="F174" s="1347" t="s">
        <v>113</v>
      </c>
      <c r="G174" s="1347" t="s">
        <v>85</v>
      </c>
      <c r="H174" s="1347" t="s">
        <v>85</v>
      </c>
      <c r="I174" s="1347" t="s">
        <v>113</v>
      </c>
      <c r="J174" s="1349"/>
      <c r="K174" s="1349" t="s">
        <v>254</v>
      </c>
      <c r="L174" s="1350" t="s">
        <v>4682</v>
      </c>
      <c r="M174" s="1350" t="s">
        <v>62</v>
      </c>
      <c r="N174" s="1351" t="s">
        <v>81</v>
      </c>
      <c r="O174" s="1352" t="s">
        <v>4688</v>
      </c>
      <c r="P174" s="1388"/>
      <c r="Q174" s="1354"/>
      <c r="R174" s="1354"/>
      <c r="S174" s="1354"/>
      <c r="T174" s="1354"/>
      <c r="U174" s="1354"/>
      <c r="V174" s="1354"/>
      <c r="W174" s="1354"/>
      <c r="X174" s="1353">
        <v>43101</v>
      </c>
      <c r="Y174" s="1353">
        <v>43466</v>
      </c>
      <c r="Z174" s="1355"/>
      <c r="AA174" s="1355" t="s">
        <v>4685</v>
      </c>
      <c r="AB174" s="1356"/>
      <c r="AC174" s="1356"/>
      <c r="AD174" s="1356"/>
      <c r="AE174" s="1356"/>
      <c r="AF174" s="1357"/>
      <c r="AG174" s="1358">
        <f t="shared" si="260"/>
        <v>172.99583333333331</v>
      </c>
      <c r="AH174" s="1358">
        <v>2075.9499999999998</v>
      </c>
      <c r="AI174" s="1359">
        <v>0.15</v>
      </c>
      <c r="AJ174" s="1360">
        <f t="shared" si="261"/>
        <v>25.949374999999996</v>
      </c>
      <c r="AK174" s="1361">
        <f t="shared" si="274"/>
        <v>311.39249999999998</v>
      </c>
      <c r="AL174" s="1384">
        <v>0</v>
      </c>
      <c r="AM174" s="1363">
        <f t="shared" si="263"/>
        <v>0</v>
      </c>
      <c r="AN174" s="1364">
        <v>0</v>
      </c>
      <c r="AO174" s="1365">
        <f t="shared" si="264"/>
        <v>0</v>
      </c>
      <c r="AP174" s="1366">
        <v>0</v>
      </c>
      <c r="AQ174" s="1367">
        <f t="shared" si="265"/>
        <v>0</v>
      </c>
      <c r="AR174" s="1368">
        <v>0.1</v>
      </c>
      <c r="AS174" s="1369">
        <f t="shared" si="266"/>
        <v>207.595</v>
      </c>
      <c r="AT174" s="1370">
        <v>0</v>
      </c>
      <c r="AU174" s="1371">
        <f t="shared" si="267"/>
        <v>0</v>
      </c>
      <c r="AV174" s="1359">
        <f t="shared" si="268"/>
        <v>4.9999999999999989E-2</v>
      </c>
      <c r="AW174" s="1372">
        <f t="shared" si="269"/>
        <v>103.79749999999997</v>
      </c>
      <c r="AX174" s="1373">
        <f t="shared" si="270"/>
        <v>0.15</v>
      </c>
      <c r="AY174" s="1374">
        <f t="shared" si="271"/>
        <v>311.39249999999998</v>
      </c>
      <c r="AZ174" s="1375">
        <f t="shared" si="272"/>
        <v>0.15</v>
      </c>
      <c r="BA174" s="1376">
        <f t="shared" si="273"/>
        <v>311.39249999999998</v>
      </c>
      <c r="BB174" s="1391"/>
      <c r="BC174" s="1820"/>
      <c r="BD174" s="1820"/>
      <c r="BE174" s="1823"/>
      <c r="BF174" s="1834"/>
      <c r="BG174" s="1829"/>
    </row>
    <row r="175" spans="1:59" s="1378" customFormat="1" ht="38.25">
      <c r="A175" s="1347" t="str">
        <f t="shared" si="257"/>
        <v>Bird Rock Bio, Inc.</v>
      </c>
      <c r="B175" s="1348" t="str">
        <f t="shared" si="258"/>
        <v>HUB SD</v>
      </c>
      <c r="C175" s="1348">
        <f t="shared" si="259"/>
        <v>10</v>
      </c>
      <c r="D175" s="1349">
        <v>43101</v>
      </c>
      <c r="E175" s="1349"/>
      <c r="F175" s="1347" t="s">
        <v>113</v>
      </c>
      <c r="G175" s="1347" t="s">
        <v>85</v>
      </c>
      <c r="H175" s="1347" t="s">
        <v>85</v>
      </c>
      <c r="I175" s="1347" t="s">
        <v>113</v>
      </c>
      <c r="J175" s="1349"/>
      <c r="K175" s="1349" t="s">
        <v>254</v>
      </c>
      <c r="L175" s="1350" t="s">
        <v>4682</v>
      </c>
      <c r="M175" s="1350" t="s">
        <v>67</v>
      </c>
      <c r="N175" s="1351" t="s">
        <v>102</v>
      </c>
      <c r="O175" s="1352" t="s">
        <v>4689</v>
      </c>
      <c r="P175" s="1388"/>
      <c r="Q175" s="1354"/>
      <c r="R175" s="1354"/>
      <c r="S175" s="1354"/>
      <c r="T175" s="1354"/>
      <c r="U175" s="1354"/>
      <c r="V175" s="1354"/>
      <c r="W175" s="1354"/>
      <c r="X175" s="1353">
        <v>43101</v>
      </c>
      <c r="Y175" s="1353">
        <v>43466</v>
      </c>
      <c r="Z175" s="1355"/>
      <c r="AA175" s="1355" t="s">
        <v>4685</v>
      </c>
      <c r="AB175" s="1356"/>
      <c r="AC175" s="1356"/>
      <c r="AD175" s="1356"/>
      <c r="AE175" s="1356"/>
      <c r="AF175" s="1357"/>
      <c r="AG175" s="1358">
        <f t="shared" si="260"/>
        <v>332.58333333333331</v>
      </c>
      <c r="AH175" s="1358">
        <v>3991</v>
      </c>
      <c r="AI175" s="1359">
        <v>0.15</v>
      </c>
      <c r="AJ175" s="1360">
        <f t="shared" si="261"/>
        <v>49.887499999999996</v>
      </c>
      <c r="AK175" s="1361">
        <f t="shared" si="274"/>
        <v>598.65</v>
      </c>
      <c r="AL175" s="1384">
        <v>0</v>
      </c>
      <c r="AM175" s="1363">
        <f t="shared" si="263"/>
        <v>0</v>
      </c>
      <c r="AN175" s="1364">
        <v>0</v>
      </c>
      <c r="AO175" s="1365">
        <f t="shared" si="264"/>
        <v>0</v>
      </c>
      <c r="AP175" s="1366">
        <v>0</v>
      </c>
      <c r="AQ175" s="1367">
        <f t="shared" si="265"/>
        <v>0</v>
      </c>
      <c r="AR175" s="1368">
        <v>0.1</v>
      </c>
      <c r="AS175" s="1369">
        <f t="shared" si="266"/>
        <v>399.1</v>
      </c>
      <c r="AT175" s="1370">
        <v>0</v>
      </c>
      <c r="AU175" s="1371">
        <f t="shared" si="267"/>
        <v>0</v>
      </c>
      <c r="AV175" s="1359">
        <f t="shared" si="268"/>
        <v>4.9999999999999989E-2</v>
      </c>
      <c r="AW175" s="1372">
        <f t="shared" si="269"/>
        <v>199.54999999999995</v>
      </c>
      <c r="AX175" s="1373">
        <f t="shared" si="270"/>
        <v>0.15</v>
      </c>
      <c r="AY175" s="1374">
        <f t="shared" si="271"/>
        <v>598.65</v>
      </c>
      <c r="AZ175" s="1375">
        <f t="shared" si="272"/>
        <v>0.15</v>
      </c>
      <c r="BA175" s="1376">
        <f t="shared" si="273"/>
        <v>598.65</v>
      </c>
      <c r="BB175" s="1391"/>
      <c r="BC175" s="1820"/>
      <c r="BD175" s="1820"/>
      <c r="BE175" s="1823"/>
      <c r="BF175" s="1834"/>
      <c r="BG175" s="1829"/>
    </row>
    <row r="176" spans="1:59" s="1378" customFormat="1" ht="27.75" customHeight="1">
      <c r="A176" s="1347" t="str">
        <f t="shared" si="257"/>
        <v>Bird Rock Bio, Inc.</v>
      </c>
      <c r="B176" s="1348" t="str">
        <f t="shared" si="258"/>
        <v>HUB SD</v>
      </c>
      <c r="C176" s="1348">
        <f t="shared" si="259"/>
        <v>10</v>
      </c>
      <c r="D176" s="1349">
        <v>43101</v>
      </c>
      <c r="E176" s="1349"/>
      <c r="F176" s="1347" t="s">
        <v>72</v>
      </c>
      <c r="G176" s="1347" t="s">
        <v>85</v>
      </c>
      <c r="H176" s="1347" t="s">
        <v>72</v>
      </c>
      <c r="I176" s="1347" t="s">
        <v>72</v>
      </c>
      <c r="J176" s="1349" t="s">
        <v>4670</v>
      </c>
      <c r="K176" s="1349" t="s">
        <v>254</v>
      </c>
      <c r="L176" s="1350" t="s">
        <v>4696</v>
      </c>
      <c r="M176" s="1350" t="s">
        <v>4697</v>
      </c>
      <c r="N176" s="1389" t="s">
        <v>4698</v>
      </c>
      <c r="O176" s="1352" t="s">
        <v>4699</v>
      </c>
      <c r="P176" s="1388"/>
      <c r="Q176" s="1354"/>
      <c r="R176" s="1354"/>
      <c r="S176" s="1354"/>
      <c r="T176" s="1354"/>
      <c r="U176" s="1354"/>
      <c r="V176" s="1354"/>
      <c r="W176" s="1354"/>
      <c r="X176" s="1353">
        <v>43101</v>
      </c>
      <c r="Y176" s="1353">
        <v>43466</v>
      </c>
      <c r="Z176" s="1355"/>
      <c r="AA176" s="1355" t="s">
        <v>4674</v>
      </c>
      <c r="AB176" s="1356"/>
      <c r="AC176" s="1356"/>
      <c r="AD176" s="1356"/>
      <c r="AE176" s="1356"/>
      <c r="AF176" s="1357" t="str">
        <f t="shared" si="140"/>
        <v/>
      </c>
      <c r="AG176" s="1380"/>
      <c r="AH176" s="1380"/>
      <c r="AI176" s="1381">
        <v>0</v>
      </c>
      <c r="AJ176" s="1382">
        <f t="shared" si="261"/>
        <v>0</v>
      </c>
      <c r="AK176" s="1383">
        <f t="shared" si="274"/>
        <v>0</v>
      </c>
      <c r="AL176" s="1384">
        <v>0</v>
      </c>
      <c r="AM176" s="1363">
        <f t="shared" si="263"/>
        <v>0</v>
      </c>
      <c r="AN176" s="1364">
        <v>0</v>
      </c>
      <c r="AO176" s="1365">
        <f t="shared" si="264"/>
        <v>0</v>
      </c>
      <c r="AP176" s="1366">
        <v>0</v>
      </c>
      <c r="AQ176" s="1367">
        <f t="shared" si="265"/>
        <v>0</v>
      </c>
      <c r="AR176" s="1368">
        <v>0</v>
      </c>
      <c r="AS176" s="1369">
        <f t="shared" si="266"/>
        <v>0</v>
      </c>
      <c r="AT176" s="1370">
        <v>0</v>
      </c>
      <c r="AU176" s="1371">
        <f t="shared" si="267"/>
        <v>0</v>
      </c>
      <c r="AV176" s="1359">
        <f t="shared" si="268"/>
        <v>0</v>
      </c>
      <c r="AW176" s="1372">
        <f t="shared" si="269"/>
        <v>0</v>
      </c>
      <c r="AX176" s="1373">
        <f t="shared" si="270"/>
        <v>0</v>
      </c>
      <c r="AY176" s="1374">
        <f t="shared" si="271"/>
        <v>0</v>
      </c>
      <c r="AZ176" s="1375">
        <f t="shared" si="272"/>
        <v>0</v>
      </c>
      <c r="BA176" s="1376">
        <f t="shared" si="273"/>
        <v>0</v>
      </c>
      <c r="BB176" s="1377"/>
      <c r="BC176" s="1820"/>
      <c r="BD176" s="1820"/>
      <c r="BE176" s="1823"/>
      <c r="BF176" s="1834"/>
      <c r="BG176" s="1829"/>
    </row>
    <row r="177" spans="1:59" s="1378" customFormat="1" ht="25.5">
      <c r="A177" s="1347" t="str">
        <f t="shared" si="257"/>
        <v>Bird Rock Bio, Inc.</v>
      </c>
      <c r="B177" s="1348" t="str">
        <f t="shared" si="258"/>
        <v>HUB SD</v>
      </c>
      <c r="C177" s="1348">
        <f t="shared" si="259"/>
        <v>10</v>
      </c>
      <c r="D177" s="1349">
        <v>43101</v>
      </c>
      <c r="E177" s="1349"/>
      <c r="F177" s="1347" t="s">
        <v>72</v>
      </c>
      <c r="G177" s="1347" t="s">
        <v>85</v>
      </c>
      <c r="H177" s="1347" t="s">
        <v>72</v>
      </c>
      <c r="I177" s="1347" t="s">
        <v>72</v>
      </c>
      <c r="J177" s="1349" t="s">
        <v>4670</v>
      </c>
      <c r="K177" s="1349" t="s">
        <v>254</v>
      </c>
      <c r="L177" s="1350" t="s">
        <v>48</v>
      </c>
      <c r="M177" s="1350" t="s">
        <v>253</v>
      </c>
      <c r="N177" s="1390" t="s">
        <v>4703</v>
      </c>
      <c r="O177" s="1352" t="s">
        <v>4704</v>
      </c>
      <c r="P177" s="1388"/>
      <c r="Q177" s="1354"/>
      <c r="R177" s="1354"/>
      <c r="S177" s="1354"/>
      <c r="T177" s="1354"/>
      <c r="U177" s="1354"/>
      <c r="V177" s="1354"/>
      <c r="W177" s="1354"/>
      <c r="X177" s="1353">
        <v>43101</v>
      </c>
      <c r="Y177" s="1353">
        <v>43466</v>
      </c>
      <c r="Z177" s="1355"/>
      <c r="AA177" s="1355" t="s">
        <v>4674</v>
      </c>
      <c r="AB177" s="1356"/>
      <c r="AC177" s="1356"/>
      <c r="AD177" s="1356"/>
      <c r="AE177" s="1356"/>
      <c r="AF177" s="1357" t="str">
        <f t="shared" si="140"/>
        <v/>
      </c>
      <c r="AG177" s="1380"/>
      <c r="AH177" s="1380"/>
      <c r="AI177" s="1381">
        <v>0</v>
      </c>
      <c r="AJ177" s="1382">
        <f t="shared" si="261"/>
        <v>0</v>
      </c>
      <c r="AK177" s="1383">
        <f t="shared" si="274"/>
        <v>0</v>
      </c>
      <c r="AL177" s="1384">
        <v>0</v>
      </c>
      <c r="AM177" s="1363">
        <f t="shared" si="263"/>
        <v>0</v>
      </c>
      <c r="AN177" s="1364">
        <v>0</v>
      </c>
      <c r="AO177" s="1365">
        <f t="shared" si="264"/>
        <v>0</v>
      </c>
      <c r="AP177" s="1366">
        <v>0</v>
      </c>
      <c r="AQ177" s="1367">
        <f t="shared" si="265"/>
        <v>0</v>
      </c>
      <c r="AR177" s="1368">
        <v>0</v>
      </c>
      <c r="AS177" s="1369">
        <f t="shared" si="266"/>
        <v>0</v>
      </c>
      <c r="AT177" s="1370">
        <v>0</v>
      </c>
      <c r="AU177" s="1371">
        <f t="shared" si="267"/>
        <v>0</v>
      </c>
      <c r="AV177" s="1359">
        <f t="shared" si="268"/>
        <v>0</v>
      </c>
      <c r="AW177" s="1372">
        <f t="shared" si="269"/>
        <v>0</v>
      </c>
      <c r="AX177" s="1373">
        <f t="shared" si="270"/>
        <v>0</v>
      </c>
      <c r="AY177" s="1374">
        <f t="shared" si="271"/>
        <v>0</v>
      </c>
      <c r="AZ177" s="1375">
        <f t="shared" si="272"/>
        <v>0</v>
      </c>
      <c r="BA177" s="1376">
        <f t="shared" si="273"/>
        <v>0</v>
      </c>
      <c r="BB177" s="1391"/>
      <c r="BC177" s="1820"/>
      <c r="BD177" s="1820"/>
      <c r="BE177" s="1823"/>
      <c r="BF177" s="1834"/>
      <c r="BG177" s="1829"/>
    </row>
    <row r="178" spans="1:59" s="1378" customFormat="1" ht="25.5">
      <c r="A178" s="1347" t="str">
        <f t="shared" si="257"/>
        <v>Bird Rock Bio, Inc.</v>
      </c>
      <c r="B178" s="1348" t="str">
        <f t="shared" si="258"/>
        <v>HUB SD</v>
      </c>
      <c r="C178" s="1348">
        <f t="shared" si="259"/>
        <v>10</v>
      </c>
      <c r="D178" s="1349">
        <v>43101</v>
      </c>
      <c r="E178" s="1349"/>
      <c r="F178" s="1347" t="s">
        <v>72</v>
      </c>
      <c r="G178" s="1347" t="s">
        <v>85</v>
      </c>
      <c r="H178" s="1347" t="s">
        <v>72</v>
      </c>
      <c r="I178" s="1347" t="s">
        <v>72</v>
      </c>
      <c r="J178" s="1349" t="s">
        <v>4670</v>
      </c>
      <c r="K178" s="1349" t="s">
        <v>254</v>
      </c>
      <c r="L178" s="1350" t="s">
        <v>49</v>
      </c>
      <c r="M178" s="1350" t="s">
        <v>4705</v>
      </c>
      <c r="N178" s="1390" t="s">
        <v>4706</v>
      </c>
      <c r="O178" s="1352" t="s">
        <v>4707</v>
      </c>
      <c r="P178" s="1388"/>
      <c r="Q178" s="1354"/>
      <c r="R178" s="1354"/>
      <c r="S178" s="1354"/>
      <c r="T178" s="1354"/>
      <c r="U178" s="1354"/>
      <c r="V178" s="1354"/>
      <c r="W178" s="1354"/>
      <c r="X178" s="1353">
        <v>43101</v>
      </c>
      <c r="Y178" s="1353">
        <v>43466</v>
      </c>
      <c r="Z178" s="1355"/>
      <c r="AA178" s="1355" t="s">
        <v>4674</v>
      </c>
      <c r="AB178" s="1356"/>
      <c r="AC178" s="1356"/>
      <c r="AD178" s="1356"/>
      <c r="AE178" s="1356"/>
      <c r="AF178" s="1357" t="str">
        <f t="shared" si="140"/>
        <v/>
      </c>
      <c r="AG178" s="1380"/>
      <c r="AH178" s="1380"/>
      <c r="AI178" s="1381">
        <v>0</v>
      </c>
      <c r="AJ178" s="1382">
        <f t="shared" si="261"/>
        <v>0</v>
      </c>
      <c r="AK178" s="1383">
        <f t="shared" si="274"/>
        <v>0</v>
      </c>
      <c r="AL178" s="1384">
        <v>0</v>
      </c>
      <c r="AM178" s="1363">
        <f t="shared" si="263"/>
        <v>0</v>
      </c>
      <c r="AN178" s="1364">
        <v>0</v>
      </c>
      <c r="AO178" s="1365">
        <f t="shared" si="264"/>
        <v>0</v>
      </c>
      <c r="AP178" s="1366">
        <v>0</v>
      </c>
      <c r="AQ178" s="1367">
        <f t="shared" si="265"/>
        <v>0</v>
      </c>
      <c r="AR178" s="1368">
        <v>0</v>
      </c>
      <c r="AS178" s="1369">
        <f t="shared" si="266"/>
        <v>0</v>
      </c>
      <c r="AT178" s="1370">
        <v>0</v>
      </c>
      <c r="AU178" s="1371">
        <f t="shared" si="267"/>
        <v>0</v>
      </c>
      <c r="AV178" s="1359">
        <f t="shared" si="268"/>
        <v>0</v>
      </c>
      <c r="AW178" s="1372">
        <f t="shared" si="269"/>
        <v>0</v>
      </c>
      <c r="AX178" s="1373">
        <f t="shared" si="270"/>
        <v>0</v>
      </c>
      <c r="AY178" s="1374">
        <f t="shared" si="271"/>
        <v>0</v>
      </c>
      <c r="AZ178" s="1375">
        <f t="shared" si="272"/>
        <v>0</v>
      </c>
      <c r="BA178" s="1376">
        <f t="shared" si="273"/>
        <v>0</v>
      </c>
      <c r="BB178" s="1391"/>
      <c r="BC178" s="1820"/>
      <c r="BD178" s="1820"/>
      <c r="BE178" s="1823"/>
      <c r="BF178" s="1834"/>
      <c r="BG178" s="1829"/>
    </row>
    <row r="179" spans="1:59" s="1378" customFormat="1" ht="25.5">
      <c r="A179" s="1347" t="str">
        <f t="shared" si="257"/>
        <v>Bird Rock Bio, Inc.</v>
      </c>
      <c r="B179" s="1348" t="str">
        <f t="shared" si="258"/>
        <v>HUB SD</v>
      </c>
      <c r="C179" s="1348">
        <f t="shared" si="259"/>
        <v>10</v>
      </c>
      <c r="D179" s="1349">
        <v>43101</v>
      </c>
      <c r="E179" s="1349"/>
      <c r="F179" s="1347" t="s">
        <v>72</v>
      </c>
      <c r="G179" s="1347" t="s">
        <v>85</v>
      </c>
      <c r="H179" s="1347" t="s">
        <v>72</v>
      </c>
      <c r="I179" s="1347" t="s">
        <v>72</v>
      </c>
      <c r="J179" s="1349" t="s">
        <v>4670</v>
      </c>
      <c r="K179" s="1349" t="s">
        <v>254</v>
      </c>
      <c r="L179" s="1350" t="s">
        <v>3056</v>
      </c>
      <c r="M179" s="1350" t="s">
        <v>4708</v>
      </c>
      <c r="N179" s="1390" t="s">
        <v>4709</v>
      </c>
      <c r="O179" s="1352" t="s">
        <v>4710</v>
      </c>
      <c r="P179" s="1388"/>
      <c r="Q179" s="1354"/>
      <c r="R179" s="1354"/>
      <c r="S179" s="1354"/>
      <c r="T179" s="1354"/>
      <c r="U179" s="1354"/>
      <c r="V179" s="1354"/>
      <c r="W179" s="1354"/>
      <c r="X179" s="1353">
        <v>43101</v>
      </c>
      <c r="Y179" s="1353">
        <v>43466</v>
      </c>
      <c r="Z179" s="1355"/>
      <c r="AA179" s="1355" t="s">
        <v>4674</v>
      </c>
      <c r="AB179" s="1356"/>
      <c r="AC179" s="1356"/>
      <c r="AD179" s="1356"/>
      <c r="AE179" s="1356"/>
      <c r="AF179" s="1357" t="str">
        <f t="shared" si="140"/>
        <v/>
      </c>
      <c r="AG179" s="1380"/>
      <c r="AH179" s="1380"/>
      <c r="AI179" s="1381">
        <v>0</v>
      </c>
      <c r="AJ179" s="1382">
        <f t="shared" si="261"/>
        <v>0</v>
      </c>
      <c r="AK179" s="1383">
        <f t="shared" si="274"/>
        <v>0</v>
      </c>
      <c r="AL179" s="1384">
        <v>0</v>
      </c>
      <c r="AM179" s="1363">
        <f t="shared" si="263"/>
        <v>0</v>
      </c>
      <c r="AN179" s="1364">
        <v>0</v>
      </c>
      <c r="AO179" s="1365">
        <f t="shared" si="264"/>
        <v>0</v>
      </c>
      <c r="AP179" s="1366">
        <v>0</v>
      </c>
      <c r="AQ179" s="1367">
        <f t="shared" si="265"/>
        <v>0</v>
      </c>
      <c r="AR179" s="1368">
        <v>0</v>
      </c>
      <c r="AS179" s="1369">
        <f t="shared" si="266"/>
        <v>0</v>
      </c>
      <c r="AT179" s="1370">
        <v>0</v>
      </c>
      <c r="AU179" s="1371">
        <f t="shared" si="267"/>
        <v>0</v>
      </c>
      <c r="AV179" s="1359">
        <f t="shared" si="268"/>
        <v>0</v>
      </c>
      <c r="AW179" s="1372">
        <f t="shared" si="269"/>
        <v>0</v>
      </c>
      <c r="AX179" s="1373">
        <f t="shared" si="270"/>
        <v>0</v>
      </c>
      <c r="AY179" s="1374">
        <f t="shared" si="271"/>
        <v>0</v>
      </c>
      <c r="AZ179" s="1375">
        <f t="shared" si="272"/>
        <v>0</v>
      </c>
      <c r="BA179" s="1376">
        <f t="shared" si="273"/>
        <v>0</v>
      </c>
      <c r="BB179" s="1391"/>
      <c r="BC179" s="1821"/>
      <c r="BD179" s="1821"/>
      <c r="BE179" s="1824"/>
      <c r="BF179" s="1834"/>
      <c r="BG179" s="1830"/>
    </row>
    <row r="180" spans="1:59" s="1315" customFormat="1" ht="57" customHeight="1">
      <c r="A180" s="1277" t="str">
        <f>L180</f>
        <v>California Proton Therapy Center, LLC</v>
      </c>
      <c r="B180" s="1316" t="str">
        <f>N180</f>
        <v>HUB SD</v>
      </c>
      <c r="C180" s="1316">
        <f>Z180</f>
        <v>29</v>
      </c>
      <c r="D180" s="1317">
        <v>43101</v>
      </c>
      <c r="E180" s="1317"/>
      <c r="F180" s="1277" t="s">
        <v>72</v>
      </c>
      <c r="G180" s="1277" t="s">
        <v>72</v>
      </c>
      <c r="H180" s="1277" t="s">
        <v>72</v>
      </c>
      <c r="I180" s="1277" t="s">
        <v>4711</v>
      </c>
      <c r="J180" s="1317"/>
      <c r="K180" s="1317"/>
      <c r="L180" s="1318" t="s">
        <v>3568</v>
      </c>
      <c r="M180" s="1319"/>
      <c r="N180" s="1320" t="s">
        <v>4661</v>
      </c>
      <c r="O180" s="1321" t="s">
        <v>2473</v>
      </c>
      <c r="P180" s="1321"/>
      <c r="Q180" s="1322"/>
      <c r="R180" s="1322"/>
      <c r="S180" s="1322"/>
      <c r="T180" s="1322"/>
      <c r="U180" s="1322"/>
      <c r="V180" s="1322"/>
      <c r="W180" s="1322"/>
      <c r="X180" s="1317">
        <v>43101</v>
      </c>
      <c r="Y180" s="1317">
        <v>43466</v>
      </c>
      <c r="Z180" s="1316">
        <v>29</v>
      </c>
      <c r="AA180" s="1316" t="s">
        <v>4867</v>
      </c>
      <c r="AB180" s="1323">
        <f>SUM(AB181:AB195)</f>
        <v>0</v>
      </c>
      <c r="AC180" s="1323">
        <f>SUM(AC181:AC195)</f>
        <v>0</v>
      </c>
      <c r="AD180" s="1323">
        <f>SUM(AD181:AD195)</f>
        <v>0</v>
      </c>
      <c r="AE180" s="1324">
        <f t="shared" ref="AE180" si="275">AD180-AB180</f>
        <v>0</v>
      </c>
      <c r="AF180" s="1325" t="str">
        <f t="shared" si="140"/>
        <v/>
      </c>
      <c r="AG180" s="1326">
        <f t="shared" si="260"/>
        <v>36406.375833333332</v>
      </c>
      <c r="AH180" s="1326">
        <f>SUM(AH181:AH195)</f>
        <v>436876.51</v>
      </c>
      <c r="AI180" s="1327"/>
      <c r="AJ180" s="1328">
        <f>SUM(AJ181:AJ195)</f>
        <v>3137.5837749999996</v>
      </c>
      <c r="AK180" s="1328">
        <f>SUM(AK181:AK195)</f>
        <v>37651.005300000004</v>
      </c>
      <c r="AL180" s="1329"/>
      <c r="AM180" s="1330">
        <f>SUM(AM181:AM195)</f>
        <v>1837.7988</v>
      </c>
      <c r="AN180" s="1331"/>
      <c r="AO180" s="1332">
        <f>SUM(AO181:AO195)</f>
        <v>0</v>
      </c>
      <c r="AP180" s="1333"/>
      <c r="AQ180" s="1334">
        <f>SUM(AQ181:AQ195)</f>
        <v>0</v>
      </c>
      <c r="AR180" s="1335"/>
      <c r="AS180" s="1336">
        <f>SUM(AS181:AS195)</f>
        <v>20773.550200000001</v>
      </c>
      <c r="AT180" s="1337"/>
      <c r="AU180" s="1338">
        <f>SUM(AU181:AU195)</f>
        <v>9188.9940000000006</v>
      </c>
      <c r="AV180" s="1339"/>
      <c r="AW180" s="1340">
        <f>SUM(AW181:AW195)</f>
        <v>5850.6622999999981</v>
      </c>
      <c r="AX180" s="1306"/>
      <c r="AY180" s="1307">
        <f>SUM(AW180+AS180+AU180)</f>
        <v>35813.2065</v>
      </c>
      <c r="AZ180" s="1341"/>
      <c r="BA180" s="1309">
        <f>SUM(AY180+AQ180)</f>
        <v>35813.2065</v>
      </c>
      <c r="BB180" s="1342">
        <f>(AW180+AU180)/(AK180-AM180)</f>
        <v>0.41994721416525482</v>
      </c>
      <c r="BC180" s="1343"/>
      <c r="BD180" s="1343"/>
      <c r="BE180" s="1344"/>
      <c r="BF180" s="1345" t="s">
        <v>4868</v>
      </c>
      <c r="BG180" s="1346"/>
    </row>
    <row r="181" spans="1:59" s="1378" customFormat="1" ht="66" customHeight="1">
      <c r="A181" s="1347" t="str">
        <f>L180</f>
        <v>California Proton Therapy Center, LLC</v>
      </c>
      <c r="B181" s="1348" t="str">
        <f>N180</f>
        <v>HUB SD</v>
      </c>
      <c r="C181" s="1348">
        <f>Z180</f>
        <v>29</v>
      </c>
      <c r="D181" s="1349">
        <v>43101</v>
      </c>
      <c r="E181" s="1349"/>
      <c r="F181" s="1347" t="s">
        <v>85</v>
      </c>
      <c r="G181" s="1347" t="s">
        <v>85</v>
      </c>
      <c r="H181" s="1347" t="s">
        <v>85</v>
      </c>
      <c r="I181" s="1347" t="s">
        <v>113</v>
      </c>
      <c r="J181" s="1349"/>
      <c r="K181" s="1349" t="s">
        <v>254</v>
      </c>
      <c r="L181" s="1350" t="s">
        <v>2661</v>
      </c>
      <c r="M181" s="1350" t="s">
        <v>3647</v>
      </c>
      <c r="N181" s="1351" t="s">
        <v>4869</v>
      </c>
      <c r="O181" s="1352" t="s">
        <v>4870</v>
      </c>
      <c r="P181" s="1352" t="s">
        <v>4871</v>
      </c>
      <c r="Q181" s="1353" t="s">
        <v>317</v>
      </c>
      <c r="R181" s="1353" t="s">
        <v>3656</v>
      </c>
      <c r="S181" s="1353" t="s">
        <v>307</v>
      </c>
      <c r="T181" s="1353" t="s">
        <v>113</v>
      </c>
      <c r="U181" s="1354"/>
      <c r="V181" s="1354"/>
      <c r="W181" s="1354"/>
      <c r="X181" s="1353">
        <v>43101</v>
      </c>
      <c r="Y181" s="1353">
        <v>43466</v>
      </c>
      <c r="Z181" s="1355"/>
      <c r="AA181" s="1355" t="s">
        <v>4667</v>
      </c>
      <c r="AB181" s="1356"/>
      <c r="AC181" s="1356"/>
      <c r="AD181" s="1356"/>
      <c r="AE181" s="1356"/>
      <c r="AF181" s="1357" t="str">
        <f t="shared" si="140"/>
        <v/>
      </c>
      <c r="AG181" s="1358">
        <f t="shared" si="260"/>
        <v>30629.98</v>
      </c>
      <c r="AH181" s="1358">
        <v>367559.76</v>
      </c>
      <c r="AI181" s="1359">
        <v>0.08</v>
      </c>
      <c r="AJ181" s="1360">
        <f t="shared" ref="AJ181:AJ195" si="276">$AI181*$AG181</f>
        <v>2450.3984</v>
      </c>
      <c r="AK181" s="1361">
        <f t="shared" ref="AK181:AK195" si="277">AI181*$AH181</f>
        <v>29404.7808</v>
      </c>
      <c r="AL181" s="1362">
        <v>5.0000000000000001E-3</v>
      </c>
      <c r="AM181" s="1363">
        <f t="shared" ref="AM181:AM195" si="278">AL181*$AH181</f>
        <v>1837.7988</v>
      </c>
      <c r="AN181" s="1364">
        <v>0</v>
      </c>
      <c r="AO181" s="1365">
        <f t="shared" ref="AO181:AO195" si="279">AN181*$AH181</f>
        <v>0</v>
      </c>
      <c r="AP181" s="1366">
        <v>0</v>
      </c>
      <c r="AQ181" s="1367">
        <f t="shared" ref="AQ181:AQ195" si="280">AP181*$AH181</f>
        <v>0</v>
      </c>
      <c r="AR181" s="1368">
        <v>0.04</v>
      </c>
      <c r="AS181" s="1369">
        <f t="shared" ref="AS181:AS195" si="281">AR181*$AH181</f>
        <v>14702.3904</v>
      </c>
      <c r="AT181" s="1370">
        <v>2.5000000000000001E-2</v>
      </c>
      <c r="AU181" s="1371">
        <f t="shared" ref="AU181:AU195" si="282">AT181*$AH181</f>
        <v>9188.9940000000006</v>
      </c>
      <c r="AV181" s="1359">
        <f t="shared" ref="AV181:AV195" si="283">AZ181-AR181-AT181-AP181</f>
        <v>9.999999999999995E-3</v>
      </c>
      <c r="AW181" s="1372">
        <f t="shared" ref="AW181:AW195" si="284">AV181*$AH181</f>
        <v>3675.5975999999982</v>
      </c>
      <c r="AX181" s="1373">
        <f t="shared" ref="AX181:AX195" si="285">$AZ181-$AP181</f>
        <v>7.4999999999999997E-2</v>
      </c>
      <c r="AY181" s="1374">
        <f t="shared" ref="AY181:AY195" si="286">AX181*$AH181</f>
        <v>27566.982</v>
      </c>
      <c r="AZ181" s="1375">
        <f t="shared" ref="AZ181:AZ195" si="287">$AI181-$AL181-$AN181</f>
        <v>7.4999999999999997E-2</v>
      </c>
      <c r="BA181" s="1376">
        <f t="shared" ref="BA181:BA195" si="288">AZ181*$AH181</f>
        <v>27566.982</v>
      </c>
      <c r="BB181" s="1377"/>
      <c r="BC181" s="1820" t="s">
        <v>362</v>
      </c>
      <c r="BD181" s="1820" t="s">
        <v>1298</v>
      </c>
      <c r="BE181" s="1823" t="s">
        <v>4872</v>
      </c>
      <c r="BF181" s="1826" t="s">
        <v>4873</v>
      </c>
      <c r="BG181" s="1829">
        <v>822704000</v>
      </c>
    </row>
    <row r="182" spans="1:59" s="1378" customFormat="1" ht="38.25" customHeight="1">
      <c r="A182" s="1347" t="str">
        <f>L180</f>
        <v>California Proton Therapy Center, LLC</v>
      </c>
      <c r="B182" s="1348" t="str">
        <f>N180</f>
        <v>HUB SD</v>
      </c>
      <c r="C182" s="1348">
        <f>Z180</f>
        <v>29</v>
      </c>
      <c r="D182" s="1349">
        <v>43101</v>
      </c>
      <c r="E182" s="1349"/>
      <c r="F182" s="1347" t="s">
        <v>113</v>
      </c>
      <c r="G182" s="1347" t="s">
        <v>85</v>
      </c>
      <c r="H182" s="1347" t="s">
        <v>85</v>
      </c>
      <c r="I182" s="1347" t="s">
        <v>72</v>
      </c>
      <c r="J182" s="1349"/>
      <c r="K182" s="1349" t="s">
        <v>254</v>
      </c>
      <c r="L182" s="1350" t="s">
        <v>4675</v>
      </c>
      <c r="M182" s="1350" t="s">
        <v>3650</v>
      </c>
      <c r="N182" s="1385" t="s">
        <v>4874</v>
      </c>
      <c r="O182" s="1352" t="s">
        <v>4677</v>
      </c>
      <c r="P182" s="1352"/>
      <c r="Q182" s="1354"/>
      <c r="R182" s="1354"/>
      <c r="S182" s="1354"/>
      <c r="T182" s="1354"/>
      <c r="U182" s="1353" t="s">
        <v>4802</v>
      </c>
      <c r="V182" s="1353" t="s">
        <v>2481</v>
      </c>
      <c r="W182" s="1354"/>
      <c r="X182" s="1353">
        <v>43101</v>
      </c>
      <c r="Y182" s="1353">
        <v>43466</v>
      </c>
      <c r="Z182" s="1355"/>
      <c r="AA182" s="1355" t="s">
        <v>4674</v>
      </c>
      <c r="AB182" s="1356"/>
      <c r="AC182" s="1356"/>
      <c r="AD182" s="1356"/>
      <c r="AE182" s="1356"/>
      <c r="AF182" s="1357"/>
      <c r="AG182" s="1358">
        <f t="shared" si="260"/>
        <v>3201.5499999999997</v>
      </c>
      <c r="AH182" s="1358">
        <v>38418.6</v>
      </c>
      <c r="AI182" s="1359">
        <v>0.1</v>
      </c>
      <c r="AJ182" s="1360">
        <f t="shared" si="276"/>
        <v>320.15499999999997</v>
      </c>
      <c r="AK182" s="1361">
        <f t="shared" si="277"/>
        <v>3841.86</v>
      </c>
      <c r="AL182" s="1384">
        <v>0</v>
      </c>
      <c r="AM182" s="1363">
        <f t="shared" si="278"/>
        <v>0</v>
      </c>
      <c r="AN182" s="1364">
        <v>0</v>
      </c>
      <c r="AO182" s="1365">
        <f t="shared" si="279"/>
        <v>0</v>
      </c>
      <c r="AP182" s="1366">
        <v>0</v>
      </c>
      <c r="AQ182" s="1367">
        <f t="shared" si="280"/>
        <v>0</v>
      </c>
      <c r="AR182" s="1368">
        <v>0.08</v>
      </c>
      <c r="AS182" s="1369">
        <f t="shared" si="281"/>
        <v>3073.4879999999998</v>
      </c>
      <c r="AT182" s="1370">
        <v>0</v>
      </c>
      <c r="AU182" s="1371">
        <f t="shared" si="282"/>
        <v>0</v>
      </c>
      <c r="AV182" s="1359">
        <f t="shared" si="283"/>
        <v>2.0000000000000004E-2</v>
      </c>
      <c r="AW182" s="1372">
        <f t="shared" si="284"/>
        <v>768.37200000000007</v>
      </c>
      <c r="AX182" s="1373">
        <f t="shared" si="285"/>
        <v>0.1</v>
      </c>
      <c r="AY182" s="1374">
        <f t="shared" si="286"/>
        <v>3841.86</v>
      </c>
      <c r="AZ182" s="1375">
        <f t="shared" si="287"/>
        <v>0.1</v>
      </c>
      <c r="BA182" s="1376">
        <f t="shared" si="288"/>
        <v>3841.86</v>
      </c>
      <c r="BB182" s="1377"/>
      <c r="BC182" s="1820"/>
      <c r="BD182" s="1820"/>
      <c r="BE182" s="1823"/>
      <c r="BF182" s="1826"/>
      <c r="BG182" s="1829"/>
    </row>
    <row r="183" spans="1:59" s="1378" customFormat="1" ht="38.25" customHeight="1">
      <c r="A183" s="1347" t="str">
        <f>L180</f>
        <v>California Proton Therapy Center, LLC</v>
      </c>
      <c r="B183" s="1348" t="str">
        <f>N180</f>
        <v>HUB SD</v>
      </c>
      <c r="C183" s="1348">
        <f>Z180</f>
        <v>29</v>
      </c>
      <c r="D183" s="1349">
        <v>43101</v>
      </c>
      <c r="E183" s="1349"/>
      <c r="F183" s="1347" t="s">
        <v>113</v>
      </c>
      <c r="G183" s="1347" t="s">
        <v>85</v>
      </c>
      <c r="H183" s="1347" t="s">
        <v>85</v>
      </c>
      <c r="I183" s="1347" t="s">
        <v>113</v>
      </c>
      <c r="J183" s="1349"/>
      <c r="K183" s="1349" t="s">
        <v>254</v>
      </c>
      <c r="L183" s="1350" t="s">
        <v>4675</v>
      </c>
      <c r="M183" s="1350" t="s">
        <v>3651</v>
      </c>
      <c r="N183" s="1351" t="s">
        <v>4875</v>
      </c>
      <c r="O183" s="1352" t="s">
        <v>4681</v>
      </c>
      <c r="P183" s="1352"/>
      <c r="Q183" s="1354"/>
      <c r="R183" s="1354"/>
      <c r="S183" s="1354"/>
      <c r="T183" s="1354"/>
      <c r="U183" s="1354"/>
      <c r="V183" s="1354"/>
      <c r="W183" s="1353" t="s">
        <v>2492</v>
      </c>
      <c r="X183" s="1353">
        <v>43101</v>
      </c>
      <c r="Y183" s="1353">
        <v>43466</v>
      </c>
      <c r="Z183" s="1355"/>
      <c r="AA183" s="1355" t="s">
        <v>4679</v>
      </c>
      <c r="AB183" s="1356"/>
      <c r="AC183" s="1356"/>
      <c r="AD183" s="1356"/>
      <c r="AE183" s="1356"/>
      <c r="AF183" s="1357" t="str">
        <f t="shared" si="140"/>
        <v/>
      </c>
      <c r="AG183" s="1358">
        <f t="shared" si="260"/>
        <v>383.93</v>
      </c>
      <c r="AH183" s="1358">
        <v>4607.16</v>
      </c>
      <c r="AI183" s="1359">
        <v>0.1</v>
      </c>
      <c r="AJ183" s="1360">
        <f t="shared" si="276"/>
        <v>38.393000000000001</v>
      </c>
      <c r="AK183" s="1361">
        <f t="shared" si="277"/>
        <v>460.71600000000001</v>
      </c>
      <c r="AL183" s="1384">
        <v>0</v>
      </c>
      <c r="AM183" s="1363">
        <f t="shared" si="278"/>
        <v>0</v>
      </c>
      <c r="AN183" s="1364">
        <v>0</v>
      </c>
      <c r="AO183" s="1365">
        <f t="shared" si="279"/>
        <v>0</v>
      </c>
      <c r="AP183" s="1366">
        <v>0</v>
      </c>
      <c r="AQ183" s="1367">
        <f t="shared" si="280"/>
        <v>0</v>
      </c>
      <c r="AR183" s="1368">
        <v>0.08</v>
      </c>
      <c r="AS183" s="1369">
        <f t="shared" si="281"/>
        <v>368.57279999999997</v>
      </c>
      <c r="AT183" s="1370">
        <v>0</v>
      </c>
      <c r="AU183" s="1371">
        <f t="shared" si="282"/>
        <v>0</v>
      </c>
      <c r="AV183" s="1359">
        <f t="shared" si="283"/>
        <v>2.0000000000000004E-2</v>
      </c>
      <c r="AW183" s="1372">
        <f t="shared" si="284"/>
        <v>92.143200000000022</v>
      </c>
      <c r="AX183" s="1373">
        <f t="shared" si="285"/>
        <v>0.1</v>
      </c>
      <c r="AY183" s="1374">
        <f t="shared" si="286"/>
        <v>460.71600000000001</v>
      </c>
      <c r="AZ183" s="1375">
        <f t="shared" si="287"/>
        <v>0.1</v>
      </c>
      <c r="BA183" s="1376">
        <f t="shared" si="288"/>
        <v>460.71600000000001</v>
      </c>
      <c r="BB183" s="1377"/>
      <c r="BC183" s="1820"/>
      <c r="BD183" s="1820"/>
      <c r="BE183" s="1823"/>
      <c r="BF183" s="1826"/>
      <c r="BG183" s="1829"/>
    </row>
    <row r="184" spans="1:59" s="1378" customFormat="1" ht="63.75">
      <c r="A184" s="1347" t="str">
        <f>L180</f>
        <v>California Proton Therapy Center, LLC</v>
      </c>
      <c r="B184" s="1348" t="str">
        <f>N180</f>
        <v>HUB SD</v>
      </c>
      <c r="C184" s="1348">
        <f>Z180</f>
        <v>29</v>
      </c>
      <c r="D184" s="1349">
        <v>43101</v>
      </c>
      <c r="E184" s="1349"/>
      <c r="F184" s="1347" t="s">
        <v>113</v>
      </c>
      <c r="G184" s="1347" t="s">
        <v>85</v>
      </c>
      <c r="H184" s="1347" t="s">
        <v>85</v>
      </c>
      <c r="I184" s="1347" t="s">
        <v>113</v>
      </c>
      <c r="J184" s="1349"/>
      <c r="K184" s="1349" t="s">
        <v>254</v>
      </c>
      <c r="L184" s="1350" t="s">
        <v>4682</v>
      </c>
      <c r="M184" s="1350" t="s">
        <v>4683</v>
      </c>
      <c r="N184" s="1386" t="s">
        <v>1249</v>
      </c>
      <c r="O184" s="1352" t="s">
        <v>4684</v>
      </c>
      <c r="P184" s="1387"/>
      <c r="Q184" s="1354"/>
      <c r="R184" s="1354"/>
      <c r="S184" s="1354"/>
      <c r="T184" s="1354"/>
      <c r="U184" s="1354"/>
      <c r="V184" s="1354"/>
      <c r="W184" s="1354"/>
      <c r="X184" s="1353">
        <v>43101</v>
      </c>
      <c r="Y184" s="1353">
        <v>43466</v>
      </c>
      <c r="Z184" s="1355"/>
      <c r="AA184" s="1355" t="s">
        <v>4679</v>
      </c>
      <c r="AB184" s="1356"/>
      <c r="AC184" s="1356"/>
      <c r="AD184" s="1356"/>
      <c r="AE184" s="1356"/>
      <c r="AF184" s="1357" t="str">
        <f t="shared" si="140"/>
        <v/>
      </c>
      <c r="AG184" s="1358">
        <f t="shared" si="260"/>
        <v>345.19166666666666</v>
      </c>
      <c r="AH184" s="1358">
        <v>4142.3</v>
      </c>
      <c r="AI184" s="1359">
        <v>0.15</v>
      </c>
      <c r="AJ184" s="1360">
        <f t="shared" si="276"/>
        <v>51.778749999999995</v>
      </c>
      <c r="AK184" s="1361">
        <f t="shared" si="277"/>
        <v>621.34500000000003</v>
      </c>
      <c r="AL184" s="1384">
        <v>0</v>
      </c>
      <c r="AM184" s="1363">
        <f t="shared" si="278"/>
        <v>0</v>
      </c>
      <c r="AN184" s="1364">
        <v>0</v>
      </c>
      <c r="AO184" s="1365">
        <f t="shared" si="279"/>
        <v>0</v>
      </c>
      <c r="AP184" s="1366">
        <v>0</v>
      </c>
      <c r="AQ184" s="1367">
        <f t="shared" si="280"/>
        <v>0</v>
      </c>
      <c r="AR184" s="1368">
        <v>0.1</v>
      </c>
      <c r="AS184" s="1369">
        <f t="shared" si="281"/>
        <v>414.23</v>
      </c>
      <c r="AT184" s="1370">
        <v>0</v>
      </c>
      <c r="AU184" s="1371">
        <f t="shared" si="282"/>
        <v>0</v>
      </c>
      <c r="AV184" s="1359">
        <f t="shared" si="283"/>
        <v>4.9999999999999989E-2</v>
      </c>
      <c r="AW184" s="1372">
        <f t="shared" si="284"/>
        <v>207.11499999999995</v>
      </c>
      <c r="AX184" s="1373">
        <f t="shared" si="285"/>
        <v>0.15</v>
      </c>
      <c r="AY184" s="1374">
        <f t="shared" si="286"/>
        <v>621.34500000000003</v>
      </c>
      <c r="AZ184" s="1375">
        <f t="shared" si="287"/>
        <v>0.15</v>
      </c>
      <c r="BA184" s="1376">
        <f t="shared" si="288"/>
        <v>621.34500000000003</v>
      </c>
      <c r="BB184" s="1377"/>
      <c r="BC184" s="1820"/>
      <c r="BD184" s="1820"/>
      <c r="BE184" s="1823"/>
      <c r="BF184" s="1826"/>
      <c r="BG184" s="1829"/>
    </row>
    <row r="185" spans="1:59" s="1378" customFormat="1" ht="63.75">
      <c r="A185" s="1347" t="str">
        <f>L180</f>
        <v>California Proton Therapy Center, LLC</v>
      </c>
      <c r="B185" s="1348" t="str">
        <f>N180</f>
        <v>HUB SD</v>
      </c>
      <c r="C185" s="1348">
        <f>Z180</f>
        <v>29</v>
      </c>
      <c r="D185" s="1349">
        <v>43101</v>
      </c>
      <c r="E185" s="1349"/>
      <c r="F185" s="1347" t="s">
        <v>113</v>
      </c>
      <c r="G185" s="1347" t="s">
        <v>85</v>
      </c>
      <c r="H185" s="1347" t="s">
        <v>85</v>
      </c>
      <c r="I185" s="1347" t="s">
        <v>113</v>
      </c>
      <c r="J185" s="1349"/>
      <c r="K185" s="1349" t="s">
        <v>254</v>
      </c>
      <c r="L185" s="1350" t="s">
        <v>4682</v>
      </c>
      <c r="M185" s="1350" t="s">
        <v>4686</v>
      </c>
      <c r="N185" s="1386" t="s">
        <v>60</v>
      </c>
      <c r="O185" s="1352" t="s">
        <v>4687</v>
      </c>
      <c r="P185" s="1387"/>
      <c r="Q185" s="1354"/>
      <c r="R185" s="1354"/>
      <c r="S185" s="1354"/>
      <c r="T185" s="1354"/>
      <c r="U185" s="1354"/>
      <c r="V185" s="1354"/>
      <c r="W185" s="1354"/>
      <c r="X185" s="1353">
        <v>43101</v>
      </c>
      <c r="Y185" s="1353">
        <v>43466</v>
      </c>
      <c r="Z185" s="1355"/>
      <c r="AA185" s="1355" t="s">
        <v>4685</v>
      </c>
      <c r="AB185" s="1356"/>
      <c r="AC185" s="1356"/>
      <c r="AD185" s="1356"/>
      <c r="AE185" s="1356"/>
      <c r="AF185" s="1357"/>
      <c r="AG185" s="1358">
        <f t="shared" si="260"/>
        <v>198.69000000000003</v>
      </c>
      <c r="AH185" s="1358">
        <v>2384.2800000000002</v>
      </c>
      <c r="AI185" s="1359">
        <v>0.15</v>
      </c>
      <c r="AJ185" s="1360">
        <f t="shared" si="276"/>
        <v>29.803500000000003</v>
      </c>
      <c r="AK185" s="1361">
        <f t="shared" si="277"/>
        <v>357.642</v>
      </c>
      <c r="AL185" s="1384">
        <v>0</v>
      </c>
      <c r="AM185" s="1363">
        <f t="shared" si="278"/>
        <v>0</v>
      </c>
      <c r="AN185" s="1364">
        <v>0</v>
      </c>
      <c r="AO185" s="1365">
        <f t="shared" si="279"/>
        <v>0</v>
      </c>
      <c r="AP185" s="1366">
        <v>0</v>
      </c>
      <c r="AQ185" s="1367">
        <f t="shared" si="280"/>
        <v>0</v>
      </c>
      <c r="AR185" s="1368">
        <v>0.1</v>
      </c>
      <c r="AS185" s="1369">
        <f t="shared" si="281"/>
        <v>238.42800000000003</v>
      </c>
      <c r="AT185" s="1370">
        <v>0</v>
      </c>
      <c r="AU185" s="1371">
        <f t="shared" si="282"/>
        <v>0</v>
      </c>
      <c r="AV185" s="1359">
        <f t="shared" si="283"/>
        <v>4.9999999999999989E-2</v>
      </c>
      <c r="AW185" s="1372">
        <f t="shared" si="284"/>
        <v>119.21399999999998</v>
      </c>
      <c r="AX185" s="1373">
        <f t="shared" si="285"/>
        <v>0.15</v>
      </c>
      <c r="AY185" s="1374">
        <f t="shared" si="286"/>
        <v>357.642</v>
      </c>
      <c r="AZ185" s="1375">
        <f t="shared" si="287"/>
        <v>0.15</v>
      </c>
      <c r="BA185" s="1376">
        <f t="shared" si="288"/>
        <v>357.642</v>
      </c>
      <c r="BB185" s="1377"/>
      <c r="BC185" s="1820"/>
      <c r="BD185" s="1820"/>
      <c r="BE185" s="1823"/>
      <c r="BF185" s="1826"/>
      <c r="BG185" s="1829"/>
    </row>
    <row r="186" spans="1:59" s="1378" customFormat="1" ht="63.75">
      <c r="A186" s="1347" t="str">
        <f>L180</f>
        <v>California Proton Therapy Center, LLC</v>
      </c>
      <c r="B186" s="1348" t="str">
        <f>N180</f>
        <v>HUB SD</v>
      </c>
      <c r="C186" s="1348">
        <f>Z180</f>
        <v>29</v>
      </c>
      <c r="D186" s="1349">
        <v>43101</v>
      </c>
      <c r="E186" s="1349"/>
      <c r="F186" s="1347" t="s">
        <v>113</v>
      </c>
      <c r="G186" s="1347" t="s">
        <v>85</v>
      </c>
      <c r="H186" s="1347" t="s">
        <v>85</v>
      </c>
      <c r="I186" s="1347" t="s">
        <v>113</v>
      </c>
      <c r="J186" s="1349"/>
      <c r="K186" s="1349" t="s">
        <v>254</v>
      </c>
      <c r="L186" s="1350" t="s">
        <v>4682</v>
      </c>
      <c r="M186" s="1350" t="s">
        <v>62</v>
      </c>
      <c r="N186" s="1351" t="s">
        <v>4876</v>
      </c>
      <c r="O186" s="1352" t="s">
        <v>4688</v>
      </c>
      <c r="P186" s="1352"/>
      <c r="Q186" s="1354"/>
      <c r="R186" s="1354"/>
      <c r="S186" s="1354"/>
      <c r="T186" s="1354"/>
      <c r="U186" s="1354"/>
      <c r="V186" s="1354"/>
      <c r="W186" s="1354"/>
      <c r="X186" s="1353">
        <v>43101</v>
      </c>
      <c r="Y186" s="1353">
        <v>43466</v>
      </c>
      <c r="Z186" s="1355"/>
      <c r="AA186" s="1355" t="s">
        <v>4685</v>
      </c>
      <c r="AB186" s="1356"/>
      <c r="AC186" s="1356"/>
      <c r="AD186" s="1356"/>
      <c r="AE186" s="1356"/>
      <c r="AF186" s="1357" t="str">
        <f t="shared" si="140"/>
        <v/>
      </c>
      <c r="AG186" s="1358">
        <f t="shared" si="260"/>
        <v>327.33499999999998</v>
      </c>
      <c r="AH186" s="1358">
        <v>3928.02</v>
      </c>
      <c r="AI186" s="1359">
        <v>0.15</v>
      </c>
      <c r="AJ186" s="1360">
        <f t="shared" si="276"/>
        <v>49.100249999999996</v>
      </c>
      <c r="AK186" s="1361">
        <f t="shared" si="277"/>
        <v>589.20299999999997</v>
      </c>
      <c r="AL186" s="1384">
        <v>0</v>
      </c>
      <c r="AM186" s="1363">
        <f t="shared" si="278"/>
        <v>0</v>
      </c>
      <c r="AN186" s="1364">
        <v>0</v>
      </c>
      <c r="AO186" s="1365">
        <f t="shared" si="279"/>
        <v>0</v>
      </c>
      <c r="AP186" s="1366">
        <v>0</v>
      </c>
      <c r="AQ186" s="1367">
        <f t="shared" si="280"/>
        <v>0</v>
      </c>
      <c r="AR186" s="1368">
        <v>0.1</v>
      </c>
      <c r="AS186" s="1369">
        <f t="shared" si="281"/>
        <v>392.80200000000002</v>
      </c>
      <c r="AT186" s="1370">
        <v>0</v>
      </c>
      <c r="AU186" s="1371">
        <f t="shared" si="282"/>
        <v>0</v>
      </c>
      <c r="AV186" s="1359">
        <f t="shared" si="283"/>
        <v>4.9999999999999989E-2</v>
      </c>
      <c r="AW186" s="1372">
        <f t="shared" si="284"/>
        <v>196.40099999999995</v>
      </c>
      <c r="AX186" s="1373">
        <f t="shared" si="285"/>
        <v>0.15</v>
      </c>
      <c r="AY186" s="1374">
        <f t="shared" si="286"/>
        <v>589.20299999999997</v>
      </c>
      <c r="AZ186" s="1375">
        <f t="shared" si="287"/>
        <v>0.15</v>
      </c>
      <c r="BA186" s="1376">
        <f t="shared" si="288"/>
        <v>589.20299999999997</v>
      </c>
      <c r="BB186" s="1377"/>
      <c r="BC186" s="1820"/>
      <c r="BD186" s="1820"/>
      <c r="BE186" s="1823"/>
      <c r="BF186" s="1826"/>
      <c r="BG186" s="1829"/>
    </row>
    <row r="187" spans="1:59" s="1378" customFormat="1" ht="63.75">
      <c r="A187" s="1347" t="str">
        <f>L180</f>
        <v>California Proton Therapy Center, LLC</v>
      </c>
      <c r="B187" s="1348" t="str">
        <f>N180</f>
        <v>HUB SD</v>
      </c>
      <c r="C187" s="1348">
        <f>Z180</f>
        <v>29</v>
      </c>
      <c r="D187" s="1349">
        <v>43101</v>
      </c>
      <c r="E187" s="1349"/>
      <c r="F187" s="1347" t="s">
        <v>113</v>
      </c>
      <c r="G187" s="1347" t="s">
        <v>85</v>
      </c>
      <c r="H187" s="1347" t="s">
        <v>85</v>
      </c>
      <c r="I187" s="1347" t="s">
        <v>113</v>
      </c>
      <c r="J187" s="1349"/>
      <c r="K187" s="1349" t="s">
        <v>254</v>
      </c>
      <c r="L187" s="1350" t="s">
        <v>4682</v>
      </c>
      <c r="M187" s="1350" t="s">
        <v>67</v>
      </c>
      <c r="N187" s="1351" t="s">
        <v>82</v>
      </c>
      <c r="O187" s="1352" t="s">
        <v>4689</v>
      </c>
      <c r="P187" s="1352"/>
      <c r="Q187" s="1354"/>
      <c r="R187" s="1354"/>
      <c r="S187" s="1354"/>
      <c r="T187" s="1354"/>
      <c r="U187" s="1354"/>
      <c r="V187" s="1354"/>
      <c r="W187" s="1354"/>
      <c r="X187" s="1353">
        <v>43101</v>
      </c>
      <c r="Y187" s="1353">
        <v>43466</v>
      </c>
      <c r="Z187" s="1355"/>
      <c r="AA187" s="1355" t="s">
        <v>4685</v>
      </c>
      <c r="AB187" s="1356"/>
      <c r="AC187" s="1356"/>
      <c r="AD187" s="1356"/>
      <c r="AE187" s="1356"/>
      <c r="AF187" s="1357" t="str">
        <f t="shared" si="140"/>
        <v/>
      </c>
      <c r="AG187" s="1358">
        <f t="shared" si="260"/>
        <v>700.97916666666663</v>
      </c>
      <c r="AH187" s="1358">
        <v>8411.75</v>
      </c>
      <c r="AI187" s="1359">
        <v>0.15</v>
      </c>
      <c r="AJ187" s="1360">
        <f t="shared" si="276"/>
        <v>105.14687499999999</v>
      </c>
      <c r="AK187" s="1361">
        <f t="shared" si="277"/>
        <v>1261.7625</v>
      </c>
      <c r="AL187" s="1384">
        <v>0</v>
      </c>
      <c r="AM187" s="1363">
        <f t="shared" si="278"/>
        <v>0</v>
      </c>
      <c r="AN187" s="1364">
        <v>0</v>
      </c>
      <c r="AO187" s="1365">
        <f t="shared" si="279"/>
        <v>0</v>
      </c>
      <c r="AP187" s="1366">
        <v>0</v>
      </c>
      <c r="AQ187" s="1367">
        <f t="shared" si="280"/>
        <v>0</v>
      </c>
      <c r="AR187" s="1368">
        <v>0.1</v>
      </c>
      <c r="AS187" s="1369">
        <f t="shared" si="281"/>
        <v>841.17500000000007</v>
      </c>
      <c r="AT187" s="1370">
        <v>0</v>
      </c>
      <c r="AU187" s="1371">
        <f t="shared" si="282"/>
        <v>0</v>
      </c>
      <c r="AV187" s="1359">
        <f t="shared" si="283"/>
        <v>4.9999999999999989E-2</v>
      </c>
      <c r="AW187" s="1372">
        <f t="shared" si="284"/>
        <v>420.58749999999992</v>
      </c>
      <c r="AX187" s="1373">
        <f t="shared" si="285"/>
        <v>0.15</v>
      </c>
      <c r="AY187" s="1374">
        <f t="shared" si="286"/>
        <v>1261.7625</v>
      </c>
      <c r="AZ187" s="1375">
        <f t="shared" si="287"/>
        <v>0.15</v>
      </c>
      <c r="BA187" s="1376">
        <f t="shared" si="288"/>
        <v>1261.7625</v>
      </c>
      <c r="BB187" s="1377"/>
      <c r="BC187" s="1820"/>
      <c r="BD187" s="1820"/>
      <c r="BE187" s="1823"/>
      <c r="BF187" s="1826"/>
      <c r="BG187" s="1829"/>
    </row>
    <row r="188" spans="1:59" s="1378" customFormat="1" ht="20.25" customHeight="1">
      <c r="A188" s="1347" t="str">
        <f>L180</f>
        <v>California Proton Therapy Center, LLC</v>
      </c>
      <c r="B188" s="1348" t="str">
        <f>N180</f>
        <v>HUB SD</v>
      </c>
      <c r="C188" s="1348">
        <f>Z180</f>
        <v>29</v>
      </c>
      <c r="D188" s="1349">
        <v>43101</v>
      </c>
      <c r="E188" s="1349"/>
      <c r="F188" s="1347" t="s">
        <v>113</v>
      </c>
      <c r="G188" s="1347" t="s">
        <v>85</v>
      </c>
      <c r="H188" s="1347" t="s">
        <v>85</v>
      </c>
      <c r="I188" s="1347" t="s">
        <v>113</v>
      </c>
      <c r="J188" s="1349" t="s">
        <v>4690</v>
      </c>
      <c r="K188" s="1349" t="s">
        <v>254</v>
      </c>
      <c r="L188" s="1350" t="s">
        <v>4682</v>
      </c>
      <c r="M188" s="1350" t="s">
        <v>4691</v>
      </c>
      <c r="N188" s="1351" t="s">
        <v>94</v>
      </c>
      <c r="O188" s="1352" t="s">
        <v>4692</v>
      </c>
      <c r="P188" s="1352"/>
      <c r="Q188" s="1354"/>
      <c r="R188" s="1354"/>
      <c r="S188" s="1354"/>
      <c r="T188" s="1354"/>
      <c r="U188" s="1354"/>
      <c r="V188" s="1354"/>
      <c r="W188" s="1354"/>
      <c r="X188" s="1353">
        <v>43101</v>
      </c>
      <c r="Y188" s="1353">
        <v>43466</v>
      </c>
      <c r="Z188" s="1355">
        <v>9</v>
      </c>
      <c r="AA188" s="1355" t="s">
        <v>4685</v>
      </c>
      <c r="AB188" s="1356"/>
      <c r="AC188" s="1356"/>
      <c r="AD188" s="1356"/>
      <c r="AE188" s="1356"/>
      <c r="AF188" s="1357" t="str">
        <f t="shared" si="140"/>
        <v/>
      </c>
      <c r="AG188" s="1358">
        <v>171.9</v>
      </c>
      <c r="AH188" s="1358">
        <f t="shared" ref="AH188:AH190" si="289">AG188*12</f>
        <v>2062.8000000000002</v>
      </c>
      <c r="AI188" s="1359">
        <v>0.15</v>
      </c>
      <c r="AJ188" s="1360">
        <f t="shared" si="276"/>
        <v>25.785</v>
      </c>
      <c r="AK188" s="1361">
        <f t="shared" si="277"/>
        <v>309.42</v>
      </c>
      <c r="AL188" s="1384">
        <v>0</v>
      </c>
      <c r="AM188" s="1363">
        <f t="shared" si="278"/>
        <v>0</v>
      </c>
      <c r="AN188" s="1364">
        <v>0</v>
      </c>
      <c r="AO188" s="1365">
        <f t="shared" si="279"/>
        <v>0</v>
      </c>
      <c r="AP188" s="1366">
        <v>0</v>
      </c>
      <c r="AQ188" s="1367">
        <f t="shared" si="280"/>
        <v>0</v>
      </c>
      <c r="AR188" s="1368">
        <v>0.1</v>
      </c>
      <c r="AS188" s="1369">
        <f t="shared" si="281"/>
        <v>206.28000000000003</v>
      </c>
      <c r="AT188" s="1370">
        <v>0</v>
      </c>
      <c r="AU188" s="1371">
        <f t="shared" si="282"/>
        <v>0</v>
      </c>
      <c r="AV188" s="1359">
        <f t="shared" si="283"/>
        <v>4.9999999999999989E-2</v>
      </c>
      <c r="AW188" s="1372">
        <f t="shared" si="284"/>
        <v>103.13999999999999</v>
      </c>
      <c r="AX188" s="1373">
        <f t="shared" si="285"/>
        <v>0.15</v>
      </c>
      <c r="AY188" s="1374">
        <f t="shared" si="286"/>
        <v>309.42</v>
      </c>
      <c r="AZ188" s="1375">
        <f t="shared" si="287"/>
        <v>0.15</v>
      </c>
      <c r="BA188" s="1376">
        <f t="shared" si="288"/>
        <v>309.42</v>
      </c>
      <c r="BB188" s="1377"/>
      <c r="BC188" s="1820"/>
      <c r="BD188" s="1820"/>
      <c r="BE188" s="1823"/>
      <c r="BF188" s="1826"/>
      <c r="BG188" s="1829"/>
    </row>
    <row r="189" spans="1:59" s="1378" customFormat="1" ht="25.5" customHeight="1">
      <c r="A189" s="1347" t="str">
        <f>L180</f>
        <v>California Proton Therapy Center, LLC</v>
      </c>
      <c r="B189" s="1348" t="str">
        <f>N180</f>
        <v>HUB SD</v>
      </c>
      <c r="C189" s="1348">
        <f>Z180</f>
        <v>29</v>
      </c>
      <c r="D189" s="1349">
        <v>43101</v>
      </c>
      <c r="E189" s="1349"/>
      <c r="F189" s="1347" t="s">
        <v>113</v>
      </c>
      <c r="G189" s="1347" t="s">
        <v>85</v>
      </c>
      <c r="H189" s="1347" t="s">
        <v>85</v>
      </c>
      <c r="I189" s="1347" t="s">
        <v>113</v>
      </c>
      <c r="J189" s="1349" t="s">
        <v>4690</v>
      </c>
      <c r="K189" s="1349" t="s">
        <v>254</v>
      </c>
      <c r="L189" s="1350" t="s">
        <v>4682</v>
      </c>
      <c r="M189" s="1350" t="s">
        <v>4691</v>
      </c>
      <c r="N189" s="1351" t="s">
        <v>98</v>
      </c>
      <c r="O189" s="1352" t="s">
        <v>4693</v>
      </c>
      <c r="P189" s="1352"/>
      <c r="Q189" s="1354"/>
      <c r="R189" s="1354"/>
      <c r="S189" s="1354"/>
      <c r="T189" s="1354"/>
      <c r="U189" s="1354"/>
      <c r="V189" s="1354"/>
      <c r="W189" s="1354"/>
      <c r="X189" s="1353">
        <v>43101</v>
      </c>
      <c r="Y189" s="1353">
        <v>43466</v>
      </c>
      <c r="Z189" s="1355">
        <v>12</v>
      </c>
      <c r="AA189" s="1355" t="s">
        <v>4685</v>
      </c>
      <c r="AB189" s="1356"/>
      <c r="AC189" s="1356"/>
      <c r="AD189" s="1356"/>
      <c r="AE189" s="1356"/>
      <c r="AF189" s="1357" t="str">
        <f t="shared" si="140"/>
        <v/>
      </c>
      <c r="AG189" s="1358">
        <v>241.24</v>
      </c>
      <c r="AH189" s="1358">
        <f t="shared" si="289"/>
        <v>2894.88</v>
      </c>
      <c r="AI189" s="1359">
        <v>0.15</v>
      </c>
      <c r="AJ189" s="1360">
        <f t="shared" si="276"/>
        <v>36.186</v>
      </c>
      <c r="AK189" s="1361">
        <f t="shared" si="277"/>
        <v>434.23200000000003</v>
      </c>
      <c r="AL189" s="1384">
        <v>0</v>
      </c>
      <c r="AM189" s="1363">
        <f t="shared" si="278"/>
        <v>0</v>
      </c>
      <c r="AN189" s="1364">
        <v>0</v>
      </c>
      <c r="AO189" s="1365">
        <f t="shared" si="279"/>
        <v>0</v>
      </c>
      <c r="AP189" s="1366">
        <v>0</v>
      </c>
      <c r="AQ189" s="1367">
        <f t="shared" si="280"/>
        <v>0</v>
      </c>
      <c r="AR189" s="1368">
        <v>0.1</v>
      </c>
      <c r="AS189" s="1369">
        <f t="shared" si="281"/>
        <v>289.488</v>
      </c>
      <c r="AT189" s="1370">
        <v>0</v>
      </c>
      <c r="AU189" s="1371">
        <f t="shared" si="282"/>
        <v>0</v>
      </c>
      <c r="AV189" s="1359">
        <f t="shared" si="283"/>
        <v>4.9999999999999989E-2</v>
      </c>
      <c r="AW189" s="1372">
        <f t="shared" si="284"/>
        <v>144.74399999999997</v>
      </c>
      <c r="AX189" s="1373">
        <f t="shared" si="285"/>
        <v>0.15</v>
      </c>
      <c r="AY189" s="1374">
        <f t="shared" si="286"/>
        <v>434.23200000000003</v>
      </c>
      <c r="AZ189" s="1375">
        <f t="shared" si="287"/>
        <v>0.15</v>
      </c>
      <c r="BA189" s="1376">
        <f t="shared" si="288"/>
        <v>434.23200000000003</v>
      </c>
      <c r="BB189" s="1377"/>
      <c r="BC189" s="1820"/>
      <c r="BD189" s="1820"/>
      <c r="BE189" s="1823"/>
      <c r="BF189" s="1826"/>
      <c r="BG189" s="1829"/>
    </row>
    <row r="190" spans="1:59" s="1378" customFormat="1" ht="30.75" customHeight="1">
      <c r="A190" s="1347" t="str">
        <f>L180</f>
        <v>California Proton Therapy Center, LLC</v>
      </c>
      <c r="B190" s="1348" t="str">
        <f>N180</f>
        <v>HUB SD</v>
      </c>
      <c r="C190" s="1348">
        <f>Z180</f>
        <v>29</v>
      </c>
      <c r="D190" s="1349">
        <v>43101</v>
      </c>
      <c r="E190" s="1349"/>
      <c r="F190" s="1347" t="s">
        <v>113</v>
      </c>
      <c r="G190" s="1347" t="s">
        <v>85</v>
      </c>
      <c r="H190" s="1347" t="s">
        <v>85</v>
      </c>
      <c r="I190" s="1347" t="s">
        <v>113</v>
      </c>
      <c r="J190" s="1349" t="s">
        <v>4690</v>
      </c>
      <c r="K190" s="1349" t="s">
        <v>254</v>
      </c>
      <c r="L190" s="1350" t="s">
        <v>4682</v>
      </c>
      <c r="M190" s="1350" t="s">
        <v>4691</v>
      </c>
      <c r="N190" s="1351" t="s">
        <v>4694</v>
      </c>
      <c r="O190" s="1352" t="s">
        <v>4695</v>
      </c>
      <c r="P190" s="1352"/>
      <c r="Q190" s="1354"/>
      <c r="R190" s="1354"/>
      <c r="S190" s="1354"/>
      <c r="T190" s="1354"/>
      <c r="U190" s="1354"/>
      <c r="V190" s="1354"/>
      <c r="W190" s="1354"/>
      <c r="X190" s="1353">
        <v>43101</v>
      </c>
      <c r="Y190" s="1353">
        <v>43466</v>
      </c>
      <c r="Z190" s="1355">
        <v>9</v>
      </c>
      <c r="AA190" s="1355" t="s">
        <v>4685</v>
      </c>
      <c r="AB190" s="1356"/>
      <c r="AC190" s="1356"/>
      <c r="AD190" s="1356"/>
      <c r="AE190" s="1356"/>
      <c r="AF190" s="1357" t="str">
        <f t="shared" si="140"/>
        <v/>
      </c>
      <c r="AG190" s="1358">
        <v>205.58</v>
      </c>
      <c r="AH190" s="1358">
        <f t="shared" si="289"/>
        <v>2466.96</v>
      </c>
      <c r="AI190" s="1359">
        <v>0.15</v>
      </c>
      <c r="AJ190" s="1360">
        <f t="shared" si="276"/>
        <v>30.837</v>
      </c>
      <c r="AK190" s="1361">
        <f t="shared" si="277"/>
        <v>370.04399999999998</v>
      </c>
      <c r="AL190" s="1384">
        <v>0</v>
      </c>
      <c r="AM190" s="1363">
        <f t="shared" si="278"/>
        <v>0</v>
      </c>
      <c r="AN190" s="1364">
        <v>0</v>
      </c>
      <c r="AO190" s="1365">
        <f t="shared" si="279"/>
        <v>0</v>
      </c>
      <c r="AP190" s="1366">
        <v>0</v>
      </c>
      <c r="AQ190" s="1367">
        <f t="shared" si="280"/>
        <v>0</v>
      </c>
      <c r="AR190" s="1368">
        <v>0.1</v>
      </c>
      <c r="AS190" s="1369">
        <f t="shared" si="281"/>
        <v>246.69600000000003</v>
      </c>
      <c r="AT190" s="1370">
        <v>0</v>
      </c>
      <c r="AU190" s="1371">
        <f t="shared" si="282"/>
        <v>0</v>
      </c>
      <c r="AV190" s="1359">
        <f t="shared" si="283"/>
        <v>4.9999999999999989E-2</v>
      </c>
      <c r="AW190" s="1372">
        <f t="shared" si="284"/>
        <v>123.34799999999997</v>
      </c>
      <c r="AX190" s="1373">
        <f t="shared" si="285"/>
        <v>0.15</v>
      </c>
      <c r="AY190" s="1374">
        <f t="shared" si="286"/>
        <v>370.04399999999998</v>
      </c>
      <c r="AZ190" s="1375">
        <f t="shared" si="287"/>
        <v>0.15</v>
      </c>
      <c r="BA190" s="1376">
        <f t="shared" si="288"/>
        <v>370.04399999999998</v>
      </c>
      <c r="BB190" s="1377"/>
      <c r="BC190" s="1820"/>
      <c r="BD190" s="1820"/>
      <c r="BE190" s="1823"/>
      <c r="BF190" s="1826"/>
      <c r="BG190" s="1829"/>
    </row>
    <row r="191" spans="1:59" s="1378" customFormat="1" ht="27.75" customHeight="1">
      <c r="A191" s="1347" t="s">
        <v>363</v>
      </c>
      <c r="B191" s="1348" t="s">
        <v>4661</v>
      </c>
      <c r="C191" s="1348">
        <v>42</v>
      </c>
      <c r="D191" s="1349">
        <v>43101</v>
      </c>
      <c r="E191" s="1349"/>
      <c r="F191" s="1347" t="s">
        <v>72</v>
      </c>
      <c r="G191" s="1347" t="s">
        <v>85</v>
      </c>
      <c r="H191" s="1347" t="s">
        <v>72</v>
      </c>
      <c r="I191" s="1347" t="s">
        <v>72</v>
      </c>
      <c r="J191" s="1349" t="s">
        <v>4670</v>
      </c>
      <c r="K191" s="1349" t="s">
        <v>254</v>
      </c>
      <c r="L191" s="1350" t="s">
        <v>4696</v>
      </c>
      <c r="M191" s="1350" t="s">
        <v>4697</v>
      </c>
      <c r="N191" s="1389" t="s">
        <v>4698</v>
      </c>
      <c r="O191" s="1352" t="s">
        <v>4699</v>
      </c>
      <c r="P191" s="1352"/>
      <c r="Q191" s="1354"/>
      <c r="R191" s="1354"/>
      <c r="S191" s="1354"/>
      <c r="T191" s="1354"/>
      <c r="U191" s="1354"/>
      <c r="V191" s="1354"/>
      <c r="W191" s="1354"/>
      <c r="X191" s="1353">
        <v>43101</v>
      </c>
      <c r="Y191" s="1353">
        <v>43466</v>
      </c>
      <c r="Z191" s="1355"/>
      <c r="AA191" s="1355" t="s">
        <v>4674</v>
      </c>
      <c r="AB191" s="1356"/>
      <c r="AC191" s="1356"/>
      <c r="AD191" s="1356"/>
      <c r="AE191" s="1356"/>
      <c r="AF191" s="1357" t="str">
        <f t="shared" si="140"/>
        <v/>
      </c>
      <c r="AG191" s="1380"/>
      <c r="AH191" s="1380"/>
      <c r="AI191" s="1381">
        <v>0</v>
      </c>
      <c r="AJ191" s="1382">
        <f t="shared" si="276"/>
        <v>0</v>
      </c>
      <c r="AK191" s="1383">
        <f t="shared" si="277"/>
        <v>0</v>
      </c>
      <c r="AL191" s="1384">
        <v>0</v>
      </c>
      <c r="AM191" s="1363">
        <f t="shared" si="278"/>
        <v>0</v>
      </c>
      <c r="AN191" s="1364">
        <v>0</v>
      </c>
      <c r="AO191" s="1365">
        <f t="shared" si="279"/>
        <v>0</v>
      </c>
      <c r="AP191" s="1366">
        <v>0</v>
      </c>
      <c r="AQ191" s="1367">
        <f t="shared" si="280"/>
        <v>0</v>
      </c>
      <c r="AR191" s="1368">
        <v>0</v>
      </c>
      <c r="AS191" s="1369">
        <f t="shared" si="281"/>
        <v>0</v>
      </c>
      <c r="AT191" s="1370">
        <v>0</v>
      </c>
      <c r="AU191" s="1371">
        <f t="shared" si="282"/>
        <v>0</v>
      </c>
      <c r="AV191" s="1359">
        <f t="shared" si="283"/>
        <v>0</v>
      </c>
      <c r="AW191" s="1372">
        <f t="shared" si="284"/>
        <v>0</v>
      </c>
      <c r="AX191" s="1373">
        <f t="shared" si="285"/>
        <v>0</v>
      </c>
      <c r="AY191" s="1374">
        <f t="shared" si="286"/>
        <v>0</v>
      </c>
      <c r="AZ191" s="1375">
        <f t="shared" si="287"/>
        <v>0</v>
      </c>
      <c r="BA191" s="1376">
        <f t="shared" si="288"/>
        <v>0</v>
      </c>
      <c r="BB191" s="1377"/>
      <c r="BC191" s="1820"/>
      <c r="BD191" s="1820"/>
      <c r="BE191" s="1823"/>
      <c r="BF191" s="1826"/>
      <c r="BG191" s="1829"/>
    </row>
    <row r="192" spans="1:59" s="1378" customFormat="1" ht="63.75">
      <c r="A192" s="1347" t="s">
        <v>363</v>
      </c>
      <c r="B192" s="1348" t="s">
        <v>4661</v>
      </c>
      <c r="C192" s="1348">
        <v>42</v>
      </c>
      <c r="D192" s="1349">
        <v>43101</v>
      </c>
      <c r="E192" s="1349"/>
      <c r="F192" s="1347" t="s">
        <v>72</v>
      </c>
      <c r="G192" s="1347" t="s">
        <v>4700</v>
      </c>
      <c r="H192" s="1347" t="s">
        <v>72</v>
      </c>
      <c r="I192" s="1347" t="s">
        <v>72</v>
      </c>
      <c r="J192" s="1349" t="s">
        <v>4670</v>
      </c>
      <c r="K192" s="1349" t="s">
        <v>254</v>
      </c>
      <c r="L192" s="1350" t="s">
        <v>48</v>
      </c>
      <c r="M192" s="1350" t="s">
        <v>3652</v>
      </c>
      <c r="N192" s="1390" t="s">
        <v>4877</v>
      </c>
      <c r="O192" s="1352" t="s">
        <v>4702</v>
      </c>
      <c r="P192" s="1352"/>
      <c r="Q192" s="1354"/>
      <c r="R192" s="1354"/>
      <c r="S192" s="1354"/>
      <c r="T192" s="1354"/>
      <c r="U192" s="1354"/>
      <c r="V192" s="1354"/>
      <c r="W192" s="1354"/>
      <c r="X192" s="1353">
        <v>43101</v>
      </c>
      <c r="Y192" s="1353">
        <v>43466</v>
      </c>
      <c r="Z192" s="1355"/>
      <c r="AA192" s="1355" t="s">
        <v>4674</v>
      </c>
      <c r="AB192" s="1356"/>
      <c r="AC192" s="1356"/>
      <c r="AD192" s="1356"/>
      <c r="AE192" s="1356"/>
      <c r="AF192" s="1357" t="str">
        <f t="shared" si="140"/>
        <v/>
      </c>
      <c r="AG192" s="1380"/>
      <c r="AH192" s="1380"/>
      <c r="AI192" s="1381">
        <v>0</v>
      </c>
      <c r="AJ192" s="1382">
        <f t="shared" si="276"/>
        <v>0</v>
      </c>
      <c r="AK192" s="1383">
        <f t="shared" si="277"/>
        <v>0</v>
      </c>
      <c r="AL192" s="1384">
        <v>0</v>
      </c>
      <c r="AM192" s="1363">
        <f t="shared" si="278"/>
        <v>0</v>
      </c>
      <c r="AN192" s="1364">
        <v>0</v>
      </c>
      <c r="AO192" s="1365">
        <f t="shared" si="279"/>
        <v>0</v>
      </c>
      <c r="AP192" s="1366">
        <v>0</v>
      </c>
      <c r="AQ192" s="1367">
        <f t="shared" si="280"/>
        <v>0</v>
      </c>
      <c r="AR192" s="1368">
        <v>0</v>
      </c>
      <c r="AS192" s="1369">
        <f t="shared" si="281"/>
        <v>0</v>
      </c>
      <c r="AT192" s="1370">
        <v>0</v>
      </c>
      <c r="AU192" s="1371">
        <f t="shared" si="282"/>
        <v>0</v>
      </c>
      <c r="AV192" s="1359">
        <f t="shared" si="283"/>
        <v>0</v>
      </c>
      <c r="AW192" s="1372">
        <f t="shared" si="284"/>
        <v>0</v>
      </c>
      <c r="AX192" s="1373">
        <f t="shared" si="285"/>
        <v>0</v>
      </c>
      <c r="AY192" s="1374">
        <f t="shared" si="286"/>
        <v>0</v>
      </c>
      <c r="AZ192" s="1375">
        <f t="shared" si="287"/>
        <v>0</v>
      </c>
      <c r="BA192" s="1376">
        <f t="shared" si="288"/>
        <v>0</v>
      </c>
      <c r="BB192" s="1377"/>
      <c r="BC192" s="1820"/>
      <c r="BD192" s="1820"/>
      <c r="BE192" s="1823"/>
      <c r="BF192" s="1826"/>
      <c r="BG192" s="1829"/>
    </row>
    <row r="193" spans="1:59" s="1444" customFormat="1" ht="63.75">
      <c r="A193" s="1347" t="str">
        <f>L180</f>
        <v>California Proton Therapy Center, LLC</v>
      </c>
      <c r="B193" s="1348" t="str">
        <f>N180</f>
        <v>HUB SD</v>
      </c>
      <c r="C193" s="1348">
        <f>Z180</f>
        <v>29</v>
      </c>
      <c r="D193" s="1349">
        <v>43101</v>
      </c>
      <c r="E193" s="1349"/>
      <c r="F193" s="1347" t="s">
        <v>72</v>
      </c>
      <c r="G193" s="1347" t="s">
        <v>85</v>
      </c>
      <c r="H193" s="1347" t="s">
        <v>72</v>
      </c>
      <c r="I193" s="1347" t="s">
        <v>72</v>
      </c>
      <c r="J193" s="1349" t="s">
        <v>4670</v>
      </c>
      <c r="K193" s="1349" t="s">
        <v>254</v>
      </c>
      <c r="L193" s="1350" t="s">
        <v>48</v>
      </c>
      <c r="M193" s="1350" t="s">
        <v>253</v>
      </c>
      <c r="N193" s="1390" t="s">
        <v>4703</v>
      </c>
      <c r="O193" s="1352" t="s">
        <v>4704</v>
      </c>
      <c r="P193" s="1352"/>
      <c r="Q193" s="1354"/>
      <c r="R193" s="1354"/>
      <c r="S193" s="1354"/>
      <c r="T193" s="1354"/>
      <c r="U193" s="1354"/>
      <c r="V193" s="1354"/>
      <c r="W193" s="1354"/>
      <c r="X193" s="1353">
        <v>43101</v>
      </c>
      <c r="Y193" s="1353">
        <v>43466</v>
      </c>
      <c r="Z193" s="1355"/>
      <c r="AA193" s="1355" t="s">
        <v>4674</v>
      </c>
      <c r="AB193" s="1356"/>
      <c r="AC193" s="1356"/>
      <c r="AD193" s="1356"/>
      <c r="AE193" s="1356"/>
      <c r="AF193" s="1357" t="str">
        <f t="shared" si="140"/>
        <v/>
      </c>
      <c r="AG193" s="1380"/>
      <c r="AH193" s="1380"/>
      <c r="AI193" s="1381">
        <v>0</v>
      </c>
      <c r="AJ193" s="1382">
        <f t="shared" si="276"/>
        <v>0</v>
      </c>
      <c r="AK193" s="1383">
        <f t="shared" si="277"/>
        <v>0</v>
      </c>
      <c r="AL193" s="1430">
        <v>0</v>
      </c>
      <c r="AM193" s="1431">
        <f t="shared" si="278"/>
        <v>0</v>
      </c>
      <c r="AN193" s="1432">
        <v>0</v>
      </c>
      <c r="AO193" s="1433">
        <f t="shared" si="279"/>
        <v>0</v>
      </c>
      <c r="AP193" s="1434">
        <v>0</v>
      </c>
      <c r="AQ193" s="1435">
        <f t="shared" si="280"/>
        <v>0</v>
      </c>
      <c r="AR193" s="1436">
        <v>0</v>
      </c>
      <c r="AS193" s="1437">
        <f t="shared" si="281"/>
        <v>0</v>
      </c>
      <c r="AT193" s="1407">
        <v>0</v>
      </c>
      <c r="AU193" s="1438">
        <f t="shared" si="282"/>
        <v>0</v>
      </c>
      <c r="AV193" s="1408">
        <f t="shared" si="283"/>
        <v>0</v>
      </c>
      <c r="AW193" s="1439">
        <f t="shared" si="284"/>
        <v>0</v>
      </c>
      <c r="AX193" s="1409">
        <f t="shared" si="285"/>
        <v>0</v>
      </c>
      <c r="AY193" s="1440">
        <f t="shared" si="286"/>
        <v>0</v>
      </c>
      <c r="AZ193" s="1441">
        <f t="shared" si="287"/>
        <v>0</v>
      </c>
      <c r="BA193" s="1442">
        <f t="shared" si="288"/>
        <v>0</v>
      </c>
      <c r="BB193" s="1443"/>
      <c r="BC193" s="1820"/>
      <c r="BD193" s="1820"/>
      <c r="BE193" s="1823"/>
      <c r="BF193" s="1826"/>
      <c r="BG193" s="1829"/>
    </row>
    <row r="194" spans="1:59" s="1444" customFormat="1" ht="25.5" customHeight="1">
      <c r="A194" s="1347" t="str">
        <f>L180</f>
        <v>California Proton Therapy Center, LLC</v>
      </c>
      <c r="B194" s="1348" t="str">
        <f>N180</f>
        <v>HUB SD</v>
      </c>
      <c r="C194" s="1348">
        <f>Z180</f>
        <v>29</v>
      </c>
      <c r="D194" s="1349">
        <v>43101</v>
      </c>
      <c r="E194" s="1349"/>
      <c r="F194" s="1347" t="s">
        <v>72</v>
      </c>
      <c r="G194" s="1347" t="s">
        <v>85</v>
      </c>
      <c r="H194" s="1347" t="s">
        <v>72</v>
      </c>
      <c r="I194" s="1347" t="s">
        <v>72</v>
      </c>
      <c r="J194" s="1349" t="s">
        <v>4670</v>
      </c>
      <c r="K194" s="1349" t="s">
        <v>254</v>
      </c>
      <c r="L194" s="1350" t="s">
        <v>49</v>
      </c>
      <c r="M194" s="1350" t="s">
        <v>4705</v>
      </c>
      <c r="N194" s="1390" t="s">
        <v>4706</v>
      </c>
      <c r="O194" s="1352" t="s">
        <v>4707</v>
      </c>
      <c r="P194" s="1352"/>
      <c r="Q194" s="1354"/>
      <c r="R194" s="1354"/>
      <c r="S194" s="1354"/>
      <c r="T194" s="1354"/>
      <c r="U194" s="1354"/>
      <c r="V194" s="1354"/>
      <c r="W194" s="1354"/>
      <c r="X194" s="1353">
        <v>43101</v>
      </c>
      <c r="Y194" s="1353">
        <v>43466</v>
      </c>
      <c r="Z194" s="1355"/>
      <c r="AA194" s="1355" t="s">
        <v>4674</v>
      </c>
      <c r="AB194" s="1356"/>
      <c r="AC194" s="1356"/>
      <c r="AD194" s="1356"/>
      <c r="AE194" s="1356"/>
      <c r="AF194" s="1357" t="str">
        <f t="shared" si="140"/>
        <v/>
      </c>
      <c r="AG194" s="1380"/>
      <c r="AH194" s="1380"/>
      <c r="AI194" s="1381">
        <v>0</v>
      </c>
      <c r="AJ194" s="1382">
        <f t="shared" si="276"/>
        <v>0</v>
      </c>
      <c r="AK194" s="1383">
        <f t="shared" si="277"/>
        <v>0</v>
      </c>
      <c r="AL194" s="1430">
        <v>0</v>
      </c>
      <c r="AM194" s="1431">
        <f t="shared" si="278"/>
        <v>0</v>
      </c>
      <c r="AN194" s="1432">
        <v>0</v>
      </c>
      <c r="AO194" s="1433">
        <f t="shared" si="279"/>
        <v>0</v>
      </c>
      <c r="AP194" s="1434">
        <v>0</v>
      </c>
      <c r="AQ194" s="1435">
        <f t="shared" si="280"/>
        <v>0</v>
      </c>
      <c r="AR194" s="1436">
        <v>0</v>
      </c>
      <c r="AS194" s="1437">
        <f t="shared" si="281"/>
        <v>0</v>
      </c>
      <c r="AT194" s="1407">
        <v>0</v>
      </c>
      <c r="AU194" s="1438">
        <f t="shared" si="282"/>
        <v>0</v>
      </c>
      <c r="AV194" s="1408">
        <f t="shared" si="283"/>
        <v>0</v>
      </c>
      <c r="AW194" s="1439">
        <f t="shared" si="284"/>
        <v>0</v>
      </c>
      <c r="AX194" s="1409">
        <f t="shared" si="285"/>
        <v>0</v>
      </c>
      <c r="AY194" s="1440">
        <f t="shared" si="286"/>
        <v>0</v>
      </c>
      <c r="AZ194" s="1441">
        <f t="shared" si="287"/>
        <v>0</v>
      </c>
      <c r="BA194" s="1442">
        <f t="shared" si="288"/>
        <v>0</v>
      </c>
      <c r="BB194" s="1443"/>
      <c r="BC194" s="1820"/>
      <c r="BD194" s="1820"/>
      <c r="BE194" s="1823"/>
      <c r="BF194" s="1826"/>
      <c r="BG194" s="1829"/>
    </row>
    <row r="195" spans="1:59" s="1378" customFormat="1" ht="21.75" customHeight="1">
      <c r="A195" s="1347" t="str">
        <f>A194</f>
        <v>California Proton Therapy Center, LLC</v>
      </c>
      <c r="B195" s="1348" t="str">
        <f>B194</f>
        <v>HUB SD</v>
      </c>
      <c r="C195" s="1348">
        <f>C194</f>
        <v>29</v>
      </c>
      <c r="D195" s="1349">
        <v>43101</v>
      </c>
      <c r="E195" s="1349"/>
      <c r="F195" s="1347" t="s">
        <v>72</v>
      </c>
      <c r="G195" s="1347" t="s">
        <v>85</v>
      </c>
      <c r="H195" s="1347" t="s">
        <v>72</v>
      </c>
      <c r="I195" s="1347" t="s">
        <v>72</v>
      </c>
      <c r="J195" s="1349" t="s">
        <v>4670</v>
      </c>
      <c r="K195" s="1349" t="s">
        <v>254</v>
      </c>
      <c r="L195" s="1350" t="s">
        <v>3056</v>
      </c>
      <c r="M195" s="1350" t="s">
        <v>4708</v>
      </c>
      <c r="N195" s="1390" t="s">
        <v>4709</v>
      </c>
      <c r="O195" s="1352" t="s">
        <v>4710</v>
      </c>
      <c r="P195" s="1352"/>
      <c r="Q195" s="1354"/>
      <c r="R195" s="1354"/>
      <c r="S195" s="1354"/>
      <c r="T195" s="1354"/>
      <c r="U195" s="1354"/>
      <c r="V195" s="1354"/>
      <c r="W195" s="1354"/>
      <c r="X195" s="1353">
        <v>43101</v>
      </c>
      <c r="Y195" s="1353">
        <v>43466</v>
      </c>
      <c r="Z195" s="1355"/>
      <c r="AA195" s="1355" t="s">
        <v>4674</v>
      </c>
      <c r="AB195" s="1356"/>
      <c r="AC195" s="1356"/>
      <c r="AD195" s="1356"/>
      <c r="AE195" s="1356"/>
      <c r="AF195" s="1357" t="str">
        <f t="shared" si="140"/>
        <v/>
      </c>
      <c r="AG195" s="1380"/>
      <c r="AH195" s="1380"/>
      <c r="AI195" s="1381">
        <v>0</v>
      </c>
      <c r="AJ195" s="1382">
        <f t="shared" si="276"/>
        <v>0</v>
      </c>
      <c r="AK195" s="1383">
        <f t="shared" si="277"/>
        <v>0</v>
      </c>
      <c r="AL195" s="1384">
        <v>0</v>
      </c>
      <c r="AM195" s="1363">
        <f t="shared" si="278"/>
        <v>0</v>
      </c>
      <c r="AN195" s="1364">
        <v>0</v>
      </c>
      <c r="AO195" s="1365">
        <f t="shared" si="279"/>
        <v>0</v>
      </c>
      <c r="AP195" s="1366">
        <v>0</v>
      </c>
      <c r="AQ195" s="1367">
        <f t="shared" si="280"/>
        <v>0</v>
      </c>
      <c r="AR195" s="1368">
        <v>0</v>
      </c>
      <c r="AS195" s="1369">
        <f t="shared" si="281"/>
        <v>0</v>
      </c>
      <c r="AT195" s="1370">
        <v>0</v>
      </c>
      <c r="AU195" s="1371">
        <f t="shared" si="282"/>
        <v>0</v>
      </c>
      <c r="AV195" s="1359">
        <f t="shared" si="283"/>
        <v>0</v>
      </c>
      <c r="AW195" s="1372">
        <f t="shared" si="284"/>
        <v>0</v>
      </c>
      <c r="AX195" s="1373">
        <f t="shared" si="285"/>
        <v>0</v>
      </c>
      <c r="AY195" s="1374">
        <f t="shared" si="286"/>
        <v>0</v>
      </c>
      <c r="AZ195" s="1375">
        <f t="shared" si="287"/>
        <v>0</v>
      </c>
      <c r="BA195" s="1376">
        <f t="shared" si="288"/>
        <v>0</v>
      </c>
      <c r="BB195" s="1391"/>
      <c r="BC195" s="1821"/>
      <c r="BD195" s="1821"/>
      <c r="BE195" s="1824"/>
      <c r="BF195" s="1827"/>
      <c r="BG195" s="1830"/>
    </row>
    <row r="196" spans="1:59" s="1315" customFormat="1" ht="38.25">
      <c r="A196" s="1277" t="str">
        <f t="shared" ref="A196:A202" si="290">$L$196</f>
        <v>Carlsbad Technology, Inc.</v>
      </c>
      <c r="B196" s="1277" t="s">
        <v>4835</v>
      </c>
      <c r="C196" s="1316">
        <f t="shared" ref="C196:C202" si="291">$Z$196</f>
        <v>85</v>
      </c>
      <c r="D196" s="1317">
        <v>42979</v>
      </c>
      <c r="E196" s="1317"/>
      <c r="F196" s="1277" t="s">
        <v>72</v>
      </c>
      <c r="G196" s="1277" t="s">
        <v>72</v>
      </c>
      <c r="H196" s="1277" t="s">
        <v>72</v>
      </c>
      <c r="I196" s="1277" t="s">
        <v>85</v>
      </c>
      <c r="J196" s="1317"/>
      <c r="K196" s="1317"/>
      <c r="L196" s="1318" t="s">
        <v>259</v>
      </c>
      <c r="M196" s="1319"/>
      <c r="N196" s="1427" t="s">
        <v>4835</v>
      </c>
      <c r="O196" s="1419" t="s">
        <v>2473</v>
      </c>
      <c r="P196" s="1419"/>
      <c r="Q196" s="1322"/>
      <c r="R196" s="1322"/>
      <c r="S196" s="1322"/>
      <c r="T196" s="1322"/>
      <c r="U196" s="1322"/>
      <c r="V196" s="1322"/>
      <c r="W196" s="1322"/>
      <c r="X196" s="1317">
        <v>43101</v>
      </c>
      <c r="Y196" s="1317">
        <v>43466</v>
      </c>
      <c r="Z196" s="1316">
        <v>85</v>
      </c>
      <c r="AA196" s="1316" t="s">
        <v>4878</v>
      </c>
      <c r="AB196" s="1323">
        <f>SUM(AB197:AB206)</f>
        <v>0</v>
      </c>
      <c r="AC196" s="1323">
        <f>SUM(AC197:AC206)</f>
        <v>0</v>
      </c>
      <c r="AD196" s="1323">
        <f>SUM(AD197:AD206)</f>
        <v>0</v>
      </c>
      <c r="AE196" s="1324">
        <f t="shared" si="168"/>
        <v>0</v>
      </c>
      <c r="AF196" s="1325" t="str">
        <f t="shared" si="140"/>
        <v/>
      </c>
      <c r="AG196" s="1326">
        <f t="shared" si="260"/>
        <v>59726.04583333333</v>
      </c>
      <c r="AH196" s="1326">
        <f>SUM(AH197:AH206)</f>
        <v>716712.54999999993</v>
      </c>
      <c r="AI196" s="1327"/>
      <c r="AJ196" s="1328">
        <f>SUM(AJ197:AJ206)</f>
        <v>4920.7361749999991</v>
      </c>
      <c r="AK196" s="1328">
        <f>SUM(AK197:AK206)</f>
        <v>59048.8341</v>
      </c>
      <c r="AL196" s="1329"/>
      <c r="AM196" s="1330">
        <f>SUM(AM197:AM206)</f>
        <v>3207.8285999999998</v>
      </c>
      <c r="AN196" s="1331"/>
      <c r="AO196" s="1332">
        <f>SUM(AO197:AO206)</f>
        <v>0</v>
      </c>
      <c r="AP196" s="1333"/>
      <c r="AQ196" s="1334">
        <f>SUM(AQ197:AQ206)</f>
        <v>0</v>
      </c>
      <c r="AR196" s="1335"/>
      <c r="AS196" s="1336">
        <f>SUM(AS197:AS206)</f>
        <v>0</v>
      </c>
      <c r="AT196" s="1337"/>
      <c r="AU196" s="1338">
        <f>SUM(AU197:AU206)</f>
        <v>16039.143</v>
      </c>
      <c r="AV196" s="1339"/>
      <c r="AW196" s="1340">
        <f>SUM(AW197:AW206)</f>
        <v>39801.862500000003</v>
      </c>
      <c r="AX196" s="1306"/>
      <c r="AY196" s="1307">
        <f>SUM(AW196+AS196+AU196)</f>
        <v>55841.005499999999</v>
      </c>
      <c r="AZ196" s="1341"/>
      <c r="BA196" s="1309">
        <f>SUM(AY196+AQ196)</f>
        <v>55841.005499999999</v>
      </c>
      <c r="BB196" s="1342">
        <f>(AW196+AU196)/(AK196-AM196)</f>
        <v>1</v>
      </c>
      <c r="BC196" s="1343"/>
      <c r="BD196" s="1343"/>
      <c r="BE196" s="1344"/>
      <c r="BF196" s="1428" t="s">
        <v>4879</v>
      </c>
      <c r="BG196" s="1346"/>
    </row>
    <row r="197" spans="1:59" s="1396" customFormat="1" ht="51" customHeight="1">
      <c r="A197" s="1347" t="str">
        <f t="shared" si="290"/>
        <v>Carlsbad Technology, Inc.</v>
      </c>
      <c r="B197" s="1347" t="s">
        <v>4835</v>
      </c>
      <c r="C197" s="1348">
        <f t="shared" si="291"/>
        <v>85</v>
      </c>
      <c r="D197" s="1349">
        <v>42979</v>
      </c>
      <c r="E197" s="1349"/>
      <c r="F197" s="1347" t="s">
        <v>85</v>
      </c>
      <c r="G197" s="1347" t="s">
        <v>85</v>
      </c>
      <c r="H197" s="1347" t="s">
        <v>85</v>
      </c>
      <c r="I197" s="1347" t="s">
        <v>113</v>
      </c>
      <c r="J197" s="1349"/>
      <c r="K197" s="1349" t="s">
        <v>254</v>
      </c>
      <c r="L197" s="1350" t="s">
        <v>2661</v>
      </c>
      <c r="M197" s="1350" t="s">
        <v>3647</v>
      </c>
      <c r="N197" s="1351" t="s">
        <v>4880</v>
      </c>
      <c r="O197" s="1352" t="s">
        <v>4852</v>
      </c>
      <c r="P197" s="1352" t="s">
        <v>4853</v>
      </c>
      <c r="Q197" s="1353" t="s">
        <v>317</v>
      </c>
      <c r="R197" s="1353" t="s">
        <v>3648</v>
      </c>
      <c r="S197" s="1353" t="s">
        <v>307</v>
      </c>
      <c r="T197" s="1353" t="s">
        <v>113</v>
      </c>
      <c r="U197" s="1445"/>
      <c r="V197" s="1445"/>
      <c r="W197" s="1445"/>
      <c r="X197" s="1353">
        <v>43101</v>
      </c>
      <c r="Y197" s="1353">
        <v>43466</v>
      </c>
      <c r="Z197" s="1425"/>
      <c r="AA197" s="1355" t="s">
        <v>4841</v>
      </c>
      <c r="AB197" s="1394"/>
      <c r="AC197" s="1394"/>
      <c r="AD197" s="1356"/>
      <c r="AE197" s="1356"/>
      <c r="AF197" s="1395"/>
      <c r="AG197" s="1358">
        <f t="shared" si="260"/>
        <v>53463.81</v>
      </c>
      <c r="AH197" s="1358">
        <v>641565.72</v>
      </c>
      <c r="AI197" s="1359">
        <v>0.08</v>
      </c>
      <c r="AJ197" s="1360">
        <f>$AI197*$AG197</f>
        <v>4277.1048000000001</v>
      </c>
      <c r="AK197" s="1361">
        <f t="shared" ref="AK197:AK206" si="292">AI197*$AH197</f>
        <v>51325.257599999997</v>
      </c>
      <c r="AL197" s="1362">
        <v>5.0000000000000001E-3</v>
      </c>
      <c r="AM197" s="1363">
        <f t="shared" ref="AM197:AM206" si="293">AL197*$AH197</f>
        <v>3207.8285999999998</v>
      </c>
      <c r="AN197" s="1364">
        <v>0</v>
      </c>
      <c r="AO197" s="1365">
        <f t="shared" ref="AO197:AO206" si="294">AN197*$AH197</f>
        <v>0</v>
      </c>
      <c r="AP197" s="1366">
        <v>0</v>
      </c>
      <c r="AQ197" s="1367">
        <f t="shared" ref="AQ197:AQ206" si="295">AP197*$AH197</f>
        <v>0</v>
      </c>
      <c r="AR197" s="1368">
        <v>0</v>
      </c>
      <c r="AS197" s="1369">
        <f t="shared" ref="AS197:AS206" si="296">AR197*$AH197</f>
        <v>0</v>
      </c>
      <c r="AT197" s="1370">
        <v>2.5000000000000001E-2</v>
      </c>
      <c r="AU197" s="1371">
        <f t="shared" ref="AU197:AU206" si="297">AT197*$AH197</f>
        <v>16039.143</v>
      </c>
      <c r="AV197" s="1359">
        <f t="shared" ref="AV197:AV206" si="298">AZ197-AR197-AT197-AP197</f>
        <v>4.9999999999999996E-2</v>
      </c>
      <c r="AW197" s="1372">
        <f t="shared" ref="AW197:AW206" si="299">AV197*$AH197</f>
        <v>32078.285999999996</v>
      </c>
      <c r="AX197" s="1373">
        <f t="shared" ref="AX197:AX206" si="300">$AZ197-$AP197</f>
        <v>7.4999999999999997E-2</v>
      </c>
      <c r="AY197" s="1374">
        <f t="shared" ref="AY197:AY206" si="301">AX197*$AH197</f>
        <v>48117.428999999996</v>
      </c>
      <c r="AZ197" s="1375">
        <f t="shared" ref="AZ197:AZ206" si="302">$AI197-$AL197-$AN197</f>
        <v>7.4999999999999997E-2</v>
      </c>
      <c r="BA197" s="1376">
        <f t="shared" ref="BA197:BA206" si="303">AZ197*$AH197</f>
        <v>48117.428999999996</v>
      </c>
      <c r="BB197" s="1391"/>
      <c r="BC197" s="1819" t="s">
        <v>260</v>
      </c>
      <c r="BD197" s="1819" t="s">
        <v>261</v>
      </c>
      <c r="BE197" s="1822" t="s">
        <v>261</v>
      </c>
      <c r="BF197" s="1825" t="s">
        <v>4881</v>
      </c>
      <c r="BG197" s="1828">
        <v>330441961</v>
      </c>
    </row>
    <row r="198" spans="1:59" s="1396" customFormat="1" ht="38.25">
      <c r="A198" s="1347" t="str">
        <f t="shared" si="290"/>
        <v>Carlsbad Technology, Inc.</v>
      </c>
      <c r="B198" s="1347" t="s">
        <v>4835</v>
      </c>
      <c r="C198" s="1348">
        <f t="shared" si="291"/>
        <v>85</v>
      </c>
      <c r="D198" s="1349">
        <v>42979</v>
      </c>
      <c r="E198" s="1349"/>
      <c r="F198" s="1347" t="s">
        <v>113</v>
      </c>
      <c r="G198" s="1347" t="s">
        <v>85</v>
      </c>
      <c r="H198" s="1347" t="s">
        <v>85</v>
      </c>
      <c r="I198" s="1347" t="s">
        <v>113</v>
      </c>
      <c r="J198" s="1349"/>
      <c r="K198" s="1349" t="s">
        <v>254</v>
      </c>
      <c r="L198" s="1350" t="s">
        <v>4675</v>
      </c>
      <c r="M198" s="1350" t="s">
        <v>3650</v>
      </c>
      <c r="N198" s="1385" t="s">
        <v>4882</v>
      </c>
      <c r="O198" s="1352" t="s">
        <v>4677</v>
      </c>
      <c r="P198" s="1352"/>
      <c r="Q198" s="1445"/>
      <c r="R198" s="1445"/>
      <c r="S198" s="1445"/>
      <c r="T198" s="1445"/>
      <c r="U198" s="1353" t="s">
        <v>4678</v>
      </c>
      <c r="V198" s="1353" t="s">
        <v>2482</v>
      </c>
      <c r="W198" s="1445"/>
      <c r="X198" s="1353">
        <v>43101</v>
      </c>
      <c r="Y198" s="1353">
        <v>43466</v>
      </c>
      <c r="Z198" s="1425"/>
      <c r="AA198" s="1355" t="s">
        <v>4846</v>
      </c>
      <c r="AB198" s="1394"/>
      <c r="AC198" s="1394"/>
      <c r="AD198" s="1356"/>
      <c r="AE198" s="1356"/>
      <c r="AF198" s="1395"/>
      <c r="AG198" s="1358">
        <f t="shared" si="260"/>
        <v>4978.24</v>
      </c>
      <c r="AH198" s="1358">
        <v>59738.879999999997</v>
      </c>
      <c r="AI198" s="1359">
        <v>0.1</v>
      </c>
      <c r="AJ198" s="1360">
        <f>$AI198*$AG198</f>
        <v>497.82400000000001</v>
      </c>
      <c r="AK198" s="1361">
        <f t="shared" si="292"/>
        <v>5973.8879999999999</v>
      </c>
      <c r="AL198" s="1384">
        <v>0</v>
      </c>
      <c r="AM198" s="1363">
        <f t="shared" si="293"/>
        <v>0</v>
      </c>
      <c r="AN198" s="1364">
        <v>0</v>
      </c>
      <c r="AO198" s="1365">
        <f t="shared" si="294"/>
        <v>0</v>
      </c>
      <c r="AP198" s="1366">
        <v>0</v>
      </c>
      <c r="AQ198" s="1367">
        <f t="shared" si="295"/>
        <v>0</v>
      </c>
      <c r="AR198" s="1368">
        <v>0</v>
      </c>
      <c r="AS198" s="1369">
        <f t="shared" si="296"/>
        <v>0</v>
      </c>
      <c r="AT198" s="1370">
        <v>0</v>
      </c>
      <c r="AU198" s="1371">
        <f t="shared" si="297"/>
        <v>0</v>
      </c>
      <c r="AV198" s="1359">
        <f t="shared" si="298"/>
        <v>0.1</v>
      </c>
      <c r="AW198" s="1372">
        <f t="shared" si="299"/>
        <v>5973.8879999999999</v>
      </c>
      <c r="AX198" s="1373">
        <f t="shared" si="300"/>
        <v>0.1</v>
      </c>
      <c r="AY198" s="1374">
        <f t="shared" si="301"/>
        <v>5973.8879999999999</v>
      </c>
      <c r="AZ198" s="1375">
        <f t="shared" si="302"/>
        <v>0.1</v>
      </c>
      <c r="BA198" s="1376">
        <f t="shared" si="303"/>
        <v>5973.8879999999999</v>
      </c>
      <c r="BB198" s="1391"/>
      <c r="BC198" s="1820"/>
      <c r="BD198" s="1820"/>
      <c r="BE198" s="1823"/>
      <c r="BF198" s="1826"/>
      <c r="BG198" s="1829"/>
    </row>
    <row r="199" spans="1:59" s="1396" customFormat="1" ht="38.25">
      <c r="A199" s="1347" t="str">
        <f t="shared" si="290"/>
        <v>Carlsbad Technology, Inc.</v>
      </c>
      <c r="B199" s="1347" t="s">
        <v>4835</v>
      </c>
      <c r="C199" s="1348">
        <f t="shared" si="291"/>
        <v>85</v>
      </c>
      <c r="D199" s="1349">
        <v>42979</v>
      </c>
      <c r="E199" s="1349"/>
      <c r="F199" s="1347" t="s">
        <v>113</v>
      </c>
      <c r="G199" s="1347" t="s">
        <v>85</v>
      </c>
      <c r="H199" s="1347" t="s">
        <v>85</v>
      </c>
      <c r="I199" s="1347" t="s">
        <v>113</v>
      </c>
      <c r="J199" s="1349"/>
      <c r="K199" s="1349" t="s">
        <v>254</v>
      </c>
      <c r="L199" s="1350" t="s">
        <v>4675</v>
      </c>
      <c r="M199" s="1350" t="s">
        <v>3651</v>
      </c>
      <c r="N199" s="1351" t="s">
        <v>4883</v>
      </c>
      <c r="O199" s="1352" t="s">
        <v>4681</v>
      </c>
      <c r="P199" s="1352"/>
      <c r="Q199" s="1445"/>
      <c r="R199" s="1445"/>
      <c r="S199" s="1445"/>
      <c r="T199" s="1445"/>
      <c r="U199" s="1445"/>
      <c r="V199" s="1445"/>
      <c r="W199" s="1353" t="s">
        <v>2482</v>
      </c>
      <c r="X199" s="1353">
        <v>43101</v>
      </c>
      <c r="Y199" s="1353">
        <v>43466</v>
      </c>
      <c r="Z199" s="1425"/>
      <c r="AA199" s="1355" t="s">
        <v>4846</v>
      </c>
      <c r="AB199" s="1394"/>
      <c r="AC199" s="1394"/>
      <c r="AD199" s="1356"/>
      <c r="AE199" s="1356"/>
      <c r="AF199" s="1395"/>
      <c r="AG199" s="1358">
        <f t="shared" si="260"/>
        <v>935.84</v>
      </c>
      <c r="AH199" s="1358">
        <v>11230.08</v>
      </c>
      <c r="AI199" s="1359">
        <v>0.1</v>
      </c>
      <c r="AJ199" s="1360">
        <f>$AI199*$AG199</f>
        <v>93.584000000000003</v>
      </c>
      <c r="AK199" s="1361">
        <f t="shared" si="292"/>
        <v>1123.008</v>
      </c>
      <c r="AL199" s="1384">
        <v>0</v>
      </c>
      <c r="AM199" s="1363">
        <f t="shared" si="293"/>
        <v>0</v>
      </c>
      <c r="AN199" s="1364">
        <v>0</v>
      </c>
      <c r="AO199" s="1365">
        <f t="shared" si="294"/>
        <v>0</v>
      </c>
      <c r="AP199" s="1366">
        <v>0</v>
      </c>
      <c r="AQ199" s="1367">
        <f t="shared" si="295"/>
        <v>0</v>
      </c>
      <c r="AR199" s="1368">
        <v>0</v>
      </c>
      <c r="AS199" s="1369">
        <f t="shared" si="296"/>
        <v>0</v>
      </c>
      <c r="AT199" s="1370">
        <v>0</v>
      </c>
      <c r="AU199" s="1371">
        <f t="shared" si="297"/>
        <v>0</v>
      </c>
      <c r="AV199" s="1359">
        <f t="shared" si="298"/>
        <v>0.1</v>
      </c>
      <c r="AW199" s="1372">
        <f t="shared" si="299"/>
        <v>1123.008</v>
      </c>
      <c r="AX199" s="1373">
        <f t="shared" si="300"/>
        <v>0.1</v>
      </c>
      <c r="AY199" s="1374">
        <f t="shared" si="301"/>
        <v>1123.008</v>
      </c>
      <c r="AZ199" s="1375">
        <f t="shared" si="302"/>
        <v>0.1</v>
      </c>
      <c r="BA199" s="1376">
        <f t="shared" si="303"/>
        <v>1123.008</v>
      </c>
      <c r="BB199" s="1391"/>
      <c r="BC199" s="1820"/>
      <c r="BD199" s="1820"/>
      <c r="BE199" s="1823"/>
      <c r="BF199" s="1826"/>
      <c r="BG199" s="1829"/>
    </row>
    <row r="200" spans="1:59" s="1396" customFormat="1" ht="38.25">
      <c r="A200" s="1347" t="str">
        <f t="shared" si="290"/>
        <v>Carlsbad Technology, Inc.</v>
      </c>
      <c r="B200" s="1347" t="s">
        <v>4835</v>
      </c>
      <c r="C200" s="1348">
        <f t="shared" si="291"/>
        <v>85</v>
      </c>
      <c r="D200" s="1349">
        <v>42979</v>
      </c>
      <c r="E200" s="1349"/>
      <c r="F200" s="1347" t="s">
        <v>113</v>
      </c>
      <c r="G200" s="1347" t="s">
        <v>85</v>
      </c>
      <c r="H200" s="1347" t="s">
        <v>85</v>
      </c>
      <c r="I200" s="1347" t="s">
        <v>113</v>
      </c>
      <c r="J200" s="1349"/>
      <c r="K200" s="1349" t="s">
        <v>254</v>
      </c>
      <c r="L200" s="1350" t="s">
        <v>4682</v>
      </c>
      <c r="M200" s="1350" t="s">
        <v>4683</v>
      </c>
      <c r="N200" s="1386" t="s">
        <v>1249</v>
      </c>
      <c r="O200" s="1352" t="s">
        <v>4684</v>
      </c>
      <c r="P200" s="1446"/>
      <c r="Q200" s="1445"/>
      <c r="R200" s="1445"/>
      <c r="S200" s="1445"/>
      <c r="T200" s="1445"/>
      <c r="U200" s="1445"/>
      <c r="V200" s="1445"/>
      <c r="W200" s="1445"/>
      <c r="X200" s="1353">
        <v>43101</v>
      </c>
      <c r="Y200" s="1353">
        <v>43466</v>
      </c>
      <c r="Z200" s="1425"/>
      <c r="AA200" s="1355" t="s">
        <v>4884</v>
      </c>
      <c r="AB200" s="1394"/>
      <c r="AC200" s="1394"/>
      <c r="AD200" s="1356"/>
      <c r="AE200" s="1356"/>
      <c r="AF200" s="1395"/>
      <c r="AG200" s="1358">
        <f t="shared" si="260"/>
        <v>348.15583333333331</v>
      </c>
      <c r="AH200" s="1358">
        <v>4177.87</v>
      </c>
      <c r="AI200" s="1359">
        <v>0.15</v>
      </c>
      <c r="AJ200" s="1360">
        <f>$AI200*$AG200</f>
        <v>52.223374999999997</v>
      </c>
      <c r="AK200" s="1361">
        <f t="shared" si="292"/>
        <v>626.68049999999994</v>
      </c>
      <c r="AL200" s="1384">
        <v>0</v>
      </c>
      <c r="AM200" s="1363">
        <f t="shared" si="293"/>
        <v>0</v>
      </c>
      <c r="AN200" s="1364">
        <v>0</v>
      </c>
      <c r="AO200" s="1365">
        <f t="shared" si="294"/>
        <v>0</v>
      </c>
      <c r="AP200" s="1366">
        <v>0</v>
      </c>
      <c r="AQ200" s="1367">
        <f t="shared" si="295"/>
        <v>0</v>
      </c>
      <c r="AR200" s="1368">
        <v>0</v>
      </c>
      <c r="AS200" s="1369">
        <f t="shared" si="296"/>
        <v>0</v>
      </c>
      <c r="AT200" s="1370">
        <v>0</v>
      </c>
      <c r="AU200" s="1371">
        <f t="shared" si="297"/>
        <v>0</v>
      </c>
      <c r="AV200" s="1359">
        <f t="shared" si="298"/>
        <v>0.15</v>
      </c>
      <c r="AW200" s="1372">
        <f t="shared" si="299"/>
        <v>626.68049999999994</v>
      </c>
      <c r="AX200" s="1373">
        <f t="shared" si="300"/>
        <v>0.15</v>
      </c>
      <c r="AY200" s="1374">
        <f t="shared" si="301"/>
        <v>626.68049999999994</v>
      </c>
      <c r="AZ200" s="1375">
        <f t="shared" si="302"/>
        <v>0.15</v>
      </c>
      <c r="BA200" s="1376">
        <f t="shared" si="303"/>
        <v>626.68049999999994</v>
      </c>
      <c r="BB200" s="1391"/>
      <c r="BC200" s="1820"/>
      <c r="BD200" s="1820"/>
      <c r="BE200" s="1823"/>
      <c r="BF200" s="1826"/>
      <c r="BG200" s="1829"/>
    </row>
    <row r="201" spans="1:59" s="1396" customFormat="1" ht="38.25">
      <c r="A201" s="1347" t="str">
        <f t="shared" si="290"/>
        <v>Carlsbad Technology, Inc.</v>
      </c>
      <c r="B201" s="1347" t="s">
        <v>4835</v>
      </c>
      <c r="C201" s="1348">
        <f t="shared" si="291"/>
        <v>85</v>
      </c>
      <c r="D201" s="1349">
        <v>42979</v>
      </c>
      <c r="E201" s="1349"/>
      <c r="F201" s="1347" t="s">
        <v>113</v>
      </c>
      <c r="G201" s="1347" t="s">
        <v>113</v>
      </c>
      <c r="H201" s="1347" t="s">
        <v>113</v>
      </c>
      <c r="I201" s="1347" t="s">
        <v>113</v>
      </c>
      <c r="J201" s="1349"/>
      <c r="K201" s="1447"/>
      <c r="L201" s="1397" t="s">
        <v>4885</v>
      </c>
      <c r="M201" s="1397" t="s">
        <v>62</v>
      </c>
      <c r="N201" s="1398" t="s">
        <v>4886</v>
      </c>
      <c r="O201" s="1399" t="s">
        <v>3025</v>
      </c>
      <c r="P201" s="1399"/>
      <c r="Q201" s="1400"/>
      <c r="R201" s="1400"/>
      <c r="S201" s="1400"/>
      <c r="T201" s="1400"/>
      <c r="U201" s="1400"/>
      <c r="V201" s="1400"/>
      <c r="W201" s="1400"/>
      <c r="X201" s="1400">
        <v>43101</v>
      </c>
      <c r="Y201" s="1400">
        <v>43466</v>
      </c>
      <c r="Z201" s="1401"/>
      <c r="AA201" s="1401" t="s">
        <v>4887</v>
      </c>
      <c r="AB201" s="1402"/>
      <c r="AC201" s="1402"/>
      <c r="AD201" s="1369"/>
      <c r="AE201" s="1369"/>
      <c r="AF201" s="1448" t="str">
        <f t="shared" ref="AF201" si="304">IFERROR((AE201/AB201),"")</f>
        <v/>
      </c>
      <c r="AG201" s="1404"/>
      <c r="AH201" s="1358"/>
      <c r="AI201" s="1405">
        <v>0</v>
      </c>
      <c r="AJ201" s="1406">
        <v>0</v>
      </c>
      <c r="AK201" s="1406">
        <v>0</v>
      </c>
      <c r="AL201" s="1384">
        <v>0</v>
      </c>
      <c r="AM201" s="1363">
        <f t="shared" si="293"/>
        <v>0</v>
      </c>
      <c r="AN201" s="1364">
        <v>0</v>
      </c>
      <c r="AO201" s="1365">
        <f t="shared" si="294"/>
        <v>0</v>
      </c>
      <c r="AP201" s="1366">
        <v>0</v>
      </c>
      <c r="AQ201" s="1367">
        <f t="shared" si="295"/>
        <v>0</v>
      </c>
      <c r="AR201" s="1368">
        <v>0</v>
      </c>
      <c r="AS201" s="1369">
        <f t="shared" si="296"/>
        <v>0</v>
      </c>
      <c r="AT201" s="1370">
        <v>0</v>
      </c>
      <c r="AU201" s="1371">
        <f t="shared" si="297"/>
        <v>0</v>
      </c>
      <c r="AV201" s="1359">
        <f t="shared" si="298"/>
        <v>0</v>
      </c>
      <c r="AW201" s="1372">
        <f t="shared" si="299"/>
        <v>0</v>
      </c>
      <c r="AX201" s="1373">
        <f t="shared" si="300"/>
        <v>0</v>
      </c>
      <c r="AY201" s="1374">
        <f t="shared" si="301"/>
        <v>0</v>
      </c>
      <c r="AZ201" s="1375">
        <f t="shared" si="302"/>
        <v>0</v>
      </c>
      <c r="BA201" s="1376">
        <f t="shared" si="303"/>
        <v>0</v>
      </c>
      <c r="BB201" s="1391"/>
      <c r="BC201" s="1820"/>
      <c r="BD201" s="1820"/>
      <c r="BE201" s="1823"/>
      <c r="BF201" s="1826"/>
      <c r="BG201" s="1829"/>
    </row>
    <row r="202" spans="1:59" s="1396" customFormat="1" ht="38.25">
      <c r="A202" s="1347" t="str">
        <f t="shared" si="290"/>
        <v>Carlsbad Technology, Inc.</v>
      </c>
      <c r="B202" s="1347" t="s">
        <v>4835</v>
      </c>
      <c r="C202" s="1348">
        <f t="shared" si="291"/>
        <v>85</v>
      </c>
      <c r="D202" s="1349">
        <v>42979</v>
      </c>
      <c r="E202" s="1349"/>
      <c r="F202" s="1347" t="s">
        <v>113</v>
      </c>
      <c r="G202" s="1347" t="s">
        <v>113</v>
      </c>
      <c r="H202" s="1347" t="s">
        <v>113</v>
      </c>
      <c r="I202" s="1347" t="s">
        <v>113</v>
      </c>
      <c r="J202" s="1349"/>
      <c r="K202" s="1447"/>
      <c r="L202" s="1397" t="s">
        <v>4885</v>
      </c>
      <c r="M202" s="1397" t="s">
        <v>67</v>
      </c>
      <c r="N202" s="1398" t="s">
        <v>4886</v>
      </c>
      <c r="O202" s="1399" t="s">
        <v>3025</v>
      </c>
      <c r="P202" s="1399"/>
      <c r="Q202" s="1400"/>
      <c r="R202" s="1400"/>
      <c r="S202" s="1400"/>
      <c r="T202" s="1400"/>
      <c r="U202" s="1400"/>
      <c r="V202" s="1400"/>
      <c r="W202" s="1400"/>
      <c r="X202" s="1400">
        <v>43101</v>
      </c>
      <c r="Y202" s="1400">
        <v>43466</v>
      </c>
      <c r="Z202" s="1401"/>
      <c r="AA202" s="1401" t="s">
        <v>4887</v>
      </c>
      <c r="AB202" s="1402"/>
      <c r="AC202" s="1402"/>
      <c r="AD202" s="1369"/>
      <c r="AE202" s="1369"/>
      <c r="AF202" s="1448" t="str">
        <f t="shared" si="140"/>
        <v/>
      </c>
      <c r="AG202" s="1404"/>
      <c r="AH202" s="1358"/>
      <c r="AI202" s="1405">
        <v>0</v>
      </c>
      <c r="AJ202" s="1406">
        <v>0</v>
      </c>
      <c r="AK202" s="1406">
        <v>0</v>
      </c>
      <c r="AL202" s="1384">
        <v>0</v>
      </c>
      <c r="AM202" s="1363">
        <f t="shared" si="293"/>
        <v>0</v>
      </c>
      <c r="AN202" s="1364">
        <v>0</v>
      </c>
      <c r="AO202" s="1365">
        <f t="shared" si="294"/>
        <v>0</v>
      </c>
      <c r="AP202" s="1366">
        <v>0</v>
      </c>
      <c r="AQ202" s="1367">
        <f t="shared" si="295"/>
        <v>0</v>
      </c>
      <c r="AR202" s="1368">
        <v>0</v>
      </c>
      <c r="AS202" s="1369">
        <f t="shared" si="296"/>
        <v>0</v>
      </c>
      <c r="AT202" s="1370">
        <v>0</v>
      </c>
      <c r="AU202" s="1371">
        <f t="shared" si="297"/>
        <v>0</v>
      </c>
      <c r="AV202" s="1359">
        <f t="shared" si="298"/>
        <v>0</v>
      </c>
      <c r="AW202" s="1372">
        <f t="shared" si="299"/>
        <v>0</v>
      </c>
      <c r="AX202" s="1373">
        <f t="shared" si="300"/>
        <v>0</v>
      </c>
      <c r="AY202" s="1374">
        <f t="shared" si="301"/>
        <v>0</v>
      </c>
      <c r="AZ202" s="1375">
        <f t="shared" si="302"/>
        <v>0</v>
      </c>
      <c r="BA202" s="1376">
        <f t="shared" si="303"/>
        <v>0</v>
      </c>
      <c r="BB202" s="1391"/>
      <c r="BC202" s="1820"/>
      <c r="BD202" s="1820"/>
      <c r="BE202" s="1823"/>
      <c r="BF202" s="1826"/>
      <c r="BG202" s="1829"/>
    </row>
    <row r="203" spans="1:59" s="1378" customFormat="1" ht="27.75" customHeight="1">
      <c r="A203" s="1347" t="s">
        <v>259</v>
      </c>
      <c r="B203" s="1348" t="s">
        <v>4835</v>
      </c>
      <c r="C203" s="1348">
        <v>102</v>
      </c>
      <c r="D203" s="1349">
        <v>42979</v>
      </c>
      <c r="E203" s="1349"/>
      <c r="F203" s="1347" t="s">
        <v>72</v>
      </c>
      <c r="G203" s="1347" t="s">
        <v>85</v>
      </c>
      <c r="H203" s="1347" t="s">
        <v>72</v>
      </c>
      <c r="I203" s="1347" t="s">
        <v>72</v>
      </c>
      <c r="J203" s="1349" t="s">
        <v>4670</v>
      </c>
      <c r="K203" s="1349" t="s">
        <v>254</v>
      </c>
      <c r="L203" s="1350" t="s">
        <v>4696</v>
      </c>
      <c r="M203" s="1350" t="s">
        <v>4697</v>
      </c>
      <c r="N203" s="1389" t="s">
        <v>4698</v>
      </c>
      <c r="O203" s="1352" t="s">
        <v>4699</v>
      </c>
      <c r="P203" s="1352"/>
      <c r="Q203" s="1354"/>
      <c r="R203" s="1354"/>
      <c r="S203" s="1354"/>
      <c r="T203" s="1354"/>
      <c r="U203" s="1354"/>
      <c r="V203" s="1354"/>
      <c r="W203" s="1354"/>
      <c r="X203" s="1353">
        <v>43101</v>
      </c>
      <c r="Y203" s="1353">
        <v>43466</v>
      </c>
      <c r="Z203" s="1355"/>
      <c r="AA203" s="1355" t="s">
        <v>4674</v>
      </c>
      <c r="AB203" s="1356"/>
      <c r="AC203" s="1356"/>
      <c r="AD203" s="1356"/>
      <c r="AE203" s="1356"/>
      <c r="AF203" s="1357" t="str">
        <f t="shared" si="140"/>
        <v/>
      </c>
      <c r="AG203" s="1380"/>
      <c r="AH203" s="1380"/>
      <c r="AI203" s="1381">
        <v>0</v>
      </c>
      <c r="AJ203" s="1382">
        <f>$AI203*$AG203</f>
        <v>0</v>
      </c>
      <c r="AK203" s="1383">
        <f t="shared" si="292"/>
        <v>0</v>
      </c>
      <c r="AL203" s="1384">
        <v>0</v>
      </c>
      <c r="AM203" s="1363">
        <f t="shared" si="293"/>
        <v>0</v>
      </c>
      <c r="AN203" s="1364">
        <v>0</v>
      </c>
      <c r="AO203" s="1365">
        <f t="shared" si="294"/>
        <v>0</v>
      </c>
      <c r="AP203" s="1366">
        <v>0</v>
      </c>
      <c r="AQ203" s="1367">
        <f t="shared" si="295"/>
        <v>0</v>
      </c>
      <c r="AR203" s="1368">
        <v>0</v>
      </c>
      <c r="AS203" s="1369">
        <f t="shared" si="296"/>
        <v>0</v>
      </c>
      <c r="AT203" s="1370">
        <v>0</v>
      </c>
      <c r="AU203" s="1371">
        <f t="shared" si="297"/>
        <v>0</v>
      </c>
      <c r="AV203" s="1359">
        <f t="shared" si="298"/>
        <v>0</v>
      </c>
      <c r="AW203" s="1372">
        <f t="shared" si="299"/>
        <v>0</v>
      </c>
      <c r="AX203" s="1373">
        <f t="shared" si="300"/>
        <v>0</v>
      </c>
      <c r="AY203" s="1374">
        <f t="shared" si="301"/>
        <v>0</v>
      </c>
      <c r="AZ203" s="1375">
        <f t="shared" si="302"/>
        <v>0</v>
      </c>
      <c r="BA203" s="1376">
        <f t="shared" si="303"/>
        <v>0</v>
      </c>
      <c r="BB203" s="1377"/>
      <c r="BC203" s="1820"/>
      <c r="BD203" s="1820"/>
      <c r="BE203" s="1823"/>
      <c r="BF203" s="1826"/>
      <c r="BG203" s="1829"/>
    </row>
    <row r="204" spans="1:59" s="1396" customFormat="1" ht="38.25">
      <c r="A204" s="1347" t="str">
        <f>$L$196</f>
        <v>Carlsbad Technology, Inc.</v>
      </c>
      <c r="B204" s="1347" t="s">
        <v>4835</v>
      </c>
      <c r="C204" s="1348">
        <f>$Z$196</f>
        <v>85</v>
      </c>
      <c r="D204" s="1349">
        <v>42979</v>
      </c>
      <c r="E204" s="1349"/>
      <c r="F204" s="1347" t="s">
        <v>72</v>
      </c>
      <c r="G204" s="1347" t="s">
        <v>85</v>
      </c>
      <c r="H204" s="1347" t="s">
        <v>72</v>
      </c>
      <c r="I204" s="1347" t="s">
        <v>72</v>
      </c>
      <c r="J204" s="1349" t="s">
        <v>4670</v>
      </c>
      <c r="K204" s="1349" t="s">
        <v>254</v>
      </c>
      <c r="L204" s="1350" t="s">
        <v>48</v>
      </c>
      <c r="M204" s="1350" t="s">
        <v>253</v>
      </c>
      <c r="N204" s="1390" t="s">
        <v>4703</v>
      </c>
      <c r="O204" s="1352" t="s">
        <v>4704</v>
      </c>
      <c r="P204" s="1449"/>
      <c r="Q204" s="1445"/>
      <c r="R204" s="1445"/>
      <c r="S204" s="1445"/>
      <c r="T204" s="1445"/>
      <c r="U204" s="1445"/>
      <c r="V204" s="1445"/>
      <c r="W204" s="1445"/>
      <c r="X204" s="1353">
        <v>43101</v>
      </c>
      <c r="Y204" s="1353">
        <v>43466</v>
      </c>
      <c r="Z204" s="1425"/>
      <c r="AA204" s="1355" t="s">
        <v>4674</v>
      </c>
      <c r="AB204" s="1394"/>
      <c r="AC204" s="1394"/>
      <c r="AD204" s="1356"/>
      <c r="AE204" s="1356"/>
      <c r="AF204" s="1395" t="str">
        <f t="shared" si="140"/>
        <v/>
      </c>
      <c r="AG204" s="1380"/>
      <c r="AH204" s="1380"/>
      <c r="AI204" s="1381">
        <v>0</v>
      </c>
      <c r="AJ204" s="1382">
        <f>$AI204*$AG204</f>
        <v>0</v>
      </c>
      <c r="AK204" s="1383">
        <f t="shared" si="292"/>
        <v>0</v>
      </c>
      <c r="AL204" s="1384">
        <v>0</v>
      </c>
      <c r="AM204" s="1363">
        <f t="shared" si="293"/>
        <v>0</v>
      </c>
      <c r="AN204" s="1364">
        <v>0</v>
      </c>
      <c r="AO204" s="1365">
        <f t="shared" si="294"/>
        <v>0</v>
      </c>
      <c r="AP204" s="1366">
        <v>0</v>
      </c>
      <c r="AQ204" s="1367">
        <f t="shared" si="295"/>
        <v>0</v>
      </c>
      <c r="AR204" s="1368">
        <v>0</v>
      </c>
      <c r="AS204" s="1369">
        <f t="shared" si="296"/>
        <v>0</v>
      </c>
      <c r="AT204" s="1370">
        <v>0</v>
      </c>
      <c r="AU204" s="1371">
        <f t="shared" si="297"/>
        <v>0</v>
      </c>
      <c r="AV204" s="1359">
        <f t="shared" si="298"/>
        <v>0</v>
      </c>
      <c r="AW204" s="1372">
        <f t="shared" si="299"/>
        <v>0</v>
      </c>
      <c r="AX204" s="1373">
        <f t="shared" si="300"/>
        <v>0</v>
      </c>
      <c r="AY204" s="1374">
        <f t="shared" si="301"/>
        <v>0</v>
      </c>
      <c r="AZ204" s="1375">
        <f t="shared" si="302"/>
        <v>0</v>
      </c>
      <c r="BA204" s="1376">
        <f t="shared" si="303"/>
        <v>0</v>
      </c>
      <c r="BB204" s="1391"/>
      <c r="BC204" s="1820"/>
      <c r="BD204" s="1820"/>
      <c r="BE204" s="1823"/>
      <c r="BF204" s="1826"/>
      <c r="BG204" s="1829"/>
    </row>
    <row r="205" spans="1:59" s="1396" customFormat="1" ht="38.25">
      <c r="A205" s="1347" t="str">
        <f>$L$196</f>
        <v>Carlsbad Technology, Inc.</v>
      </c>
      <c r="B205" s="1347" t="s">
        <v>4835</v>
      </c>
      <c r="C205" s="1348">
        <f>$Z$196</f>
        <v>85</v>
      </c>
      <c r="D205" s="1349">
        <v>42979</v>
      </c>
      <c r="E205" s="1349"/>
      <c r="F205" s="1347" t="s">
        <v>72</v>
      </c>
      <c r="G205" s="1347" t="s">
        <v>85</v>
      </c>
      <c r="H205" s="1347" t="s">
        <v>72</v>
      </c>
      <c r="I205" s="1347" t="s">
        <v>72</v>
      </c>
      <c r="J205" s="1349" t="s">
        <v>4670</v>
      </c>
      <c r="K205" s="1349" t="s">
        <v>254</v>
      </c>
      <c r="L205" s="1350" t="s">
        <v>49</v>
      </c>
      <c r="M205" s="1350" t="s">
        <v>4705</v>
      </c>
      <c r="N205" s="1390" t="s">
        <v>4706</v>
      </c>
      <c r="O205" s="1352" t="s">
        <v>4707</v>
      </c>
      <c r="P205" s="1449"/>
      <c r="Q205" s="1445"/>
      <c r="R205" s="1445"/>
      <c r="S205" s="1445"/>
      <c r="T205" s="1445"/>
      <c r="U205" s="1445"/>
      <c r="V205" s="1445"/>
      <c r="W205" s="1445"/>
      <c r="X205" s="1353">
        <v>43101</v>
      </c>
      <c r="Y205" s="1353">
        <v>43466</v>
      </c>
      <c r="Z205" s="1425"/>
      <c r="AA205" s="1355" t="s">
        <v>4674</v>
      </c>
      <c r="AB205" s="1394"/>
      <c r="AC205" s="1394"/>
      <c r="AD205" s="1356"/>
      <c r="AE205" s="1356"/>
      <c r="AF205" s="1395" t="str">
        <f t="shared" si="140"/>
        <v/>
      </c>
      <c r="AG205" s="1380"/>
      <c r="AH205" s="1380"/>
      <c r="AI205" s="1381">
        <v>0</v>
      </c>
      <c r="AJ205" s="1382">
        <f>$AI205*$AG205</f>
        <v>0</v>
      </c>
      <c r="AK205" s="1383">
        <f t="shared" si="292"/>
        <v>0</v>
      </c>
      <c r="AL205" s="1384">
        <v>0</v>
      </c>
      <c r="AM205" s="1363">
        <f t="shared" si="293"/>
        <v>0</v>
      </c>
      <c r="AN205" s="1364">
        <v>0</v>
      </c>
      <c r="AO205" s="1365">
        <f t="shared" si="294"/>
        <v>0</v>
      </c>
      <c r="AP205" s="1366">
        <v>0</v>
      </c>
      <c r="AQ205" s="1367">
        <f t="shared" si="295"/>
        <v>0</v>
      </c>
      <c r="AR205" s="1368">
        <v>0</v>
      </c>
      <c r="AS205" s="1369">
        <f t="shared" si="296"/>
        <v>0</v>
      </c>
      <c r="AT205" s="1370">
        <v>0</v>
      </c>
      <c r="AU205" s="1371">
        <f t="shared" si="297"/>
        <v>0</v>
      </c>
      <c r="AV205" s="1359">
        <f t="shared" si="298"/>
        <v>0</v>
      </c>
      <c r="AW205" s="1372">
        <f t="shared" si="299"/>
        <v>0</v>
      </c>
      <c r="AX205" s="1373">
        <f t="shared" si="300"/>
        <v>0</v>
      </c>
      <c r="AY205" s="1374">
        <f t="shared" si="301"/>
        <v>0</v>
      </c>
      <c r="AZ205" s="1375">
        <f t="shared" si="302"/>
        <v>0</v>
      </c>
      <c r="BA205" s="1376">
        <f t="shared" si="303"/>
        <v>0</v>
      </c>
      <c r="BB205" s="1391"/>
      <c r="BC205" s="1820"/>
      <c r="BD205" s="1820"/>
      <c r="BE205" s="1823"/>
      <c r="BF205" s="1826"/>
      <c r="BG205" s="1829"/>
    </row>
    <row r="206" spans="1:59" s="1378" customFormat="1" ht="21.75" customHeight="1">
      <c r="A206" s="1347" t="str">
        <f>A205</f>
        <v>Carlsbad Technology, Inc.</v>
      </c>
      <c r="B206" s="1348" t="str">
        <f>B205</f>
        <v>Duenas</v>
      </c>
      <c r="C206" s="1348">
        <f>C205</f>
        <v>85</v>
      </c>
      <c r="D206" s="1349">
        <v>42979</v>
      </c>
      <c r="E206" s="1349"/>
      <c r="F206" s="1347" t="s">
        <v>72</v>
      </c>
      <c r="G206" s="1347" t="s">
        <v>85</v>
      </c>
      <c r="H206" s="1347" t="s">
        <v>72</v>
      </c>
      <c r="I206" s="1347" t="s">
        <v>72</v>
      </c>
      <c r="J206" s="1349" t="s">
        <v>4670</v>
      </c>
      <c r="K206" s="1349" t="s">
        <v>254</v>
      </c>
      <c r="L206" s="1350" t="s">
        <v>3056</v>
      </c>
      <c r="M206" s="1350" t="s">
        <v>4708</v>
      </c>
      <c r="N206" s="1390" t="s">
        <v>4709</v>
      </c>
      <c r="O206" s="1352" t="s">
        <v>4710</v>
      </c>
      <c r="P206" s="1352"/>
      <c r="Q206" s="1354"/>
      <c r="R206" s="1354"/>
      <c r="S206" s="1354"/>
      <c r="T206" s="1354"/>
      <c r="U206" s="1354"/>
      <c r="V206" s="1354"/>
      <c r="W206" s="1354"/>
      <c r="X206" s="1353">
        <v>43101</v>
      </c>
      <c r="Y206" s="1353">
        <v>43466</v>
      </c>
      <c r="Z206" s="1355"/>
      <c r="AA206" s="1355" t="s">
        <v>4674</v>
      </c>
      <c r="AB206" s="1356"/>
      <c r="AC206" s="1356"/>
      <c r="AD206" s="1356"/>
      <c r="AE206" s="1356"/>
      <c r="AF206" s="1357" t="str">
        <f t="shared" si="140"/>
        <v/>
      </c>
      <c r="AG206" s="1380"/>
      <c r="AH206" s="1380"/>
      <c r="AI206" s="1381">
        <v>0</v>
      </c>
      <c r="AJ206" s="1382">
        <f>$AI206*$AG206</f>
        <v>0</v>
      </c>
      <c r="AK206" s="1383">
        <f t="shared" si="292"/>
        <v>0</v>
      </c>
      <c r="AL206" s="1384">
        <v>0</v>
      </c>
      <c r="AM206" s="1363">
        <f t="shared" si="293"/>
        <v>0</v>
      </c>
      <c r="AN206" s="1364">
        <v>0</v>
      </c>
      <c r="AO206" s="1365">
        <f t="shared" si="294"/>
        <v>0</v>
      </c>
      <c r="AP206" s="1366">
        <v>0</v>
      </c>
      <c r="AQ206" s="1367">
        <f t="shared" si="295"/>
        <v>0</v>
      </c>
      <c r="AR206" s="1368">
        <v>0</v>
      </c>
      <c r="AS206" s="1369">
        <f t="shared" si="296"/>
        <v>0</v>
      </c>
      <c r="AT206" s="1370">
        <v>0</v>
      </c>
      <c r="AU206" s="1371">
        <f t="shared" si="297"/>
        <v>0</v>
      </c>
      <c r="AV206" s="1359">
        <f t="shared" si="298"/>
        <v>0</v>
      </c>
      <c r="AW206" s="1372">
        <f t="shared" si="299"/>
        <v>0</v>
      </c>
      <c r="AX206" s="1373">
        <f t="shared" si="300"/>
        <v>0</v>
      </c>
      <c r="AY206" s="1374">
        <f t="shared" si="301"/>
        <v>0</v>
      </c>
      <c r="AZ206" s="1375">
        <f t="shared" si="302"/>
        <v>0</v>
      </c>
      <c r="BA206" s="1376">
        <f t="shared" si="303"/>
        <v>0</v>
      </c>
      <c r="BB206" s="1391"/>
      <c r="BC206" s="1821"/>
      <c r="BD206" s="1821"/>
      <c r="BE206" s="1824"/>
      <c r="BF206" s="1827"/>
      <c r="BG206" s="1830"/>
    </row>
    <row r="207" spans="1:59" s="1315" customFormat="1" ht="57" customHeight="1">
      <c r="A207" s="1277" t="str">
        <f t="shared" ref="A207:A224" si="305">L$207</f>
        <v>Carol Cole Company, Inc.</v>
      </c>
      <c r="B207" s="1316" t="str">
        <f t="shared" ref="B207:B224" si="306">N$207</f>
        <v>HUB SD</v>
      </c>
      <c r="C207" s="1316">
        <f t="shared" ref="C207:C224" si="307">Z$207</f>
        <v>88</v>
      </c>
      <c r="D207" s="1317">
        <v>43101</v>
      </c>
      <c r="E207" s="1317"/>
      <c r="F207" s="1277" t="s">
        <v>72</v>
      </c>
      <c r="G207" s="1277" t="s">
        <v>72</v>
      </c>
      <c r="H207" s="1277" t="s">
        <v>72</v>
      </c>
      <c r="I207" s="1277" t="s">
        <v>4711</v>
      </c>
      <c r="J207" s="1317"/>
      <c r="K207" s="1317"/>
      <c r="L207" s="1318" t="s">
        <v>3673</v>
      </c>
      <c r="M207" s="1318" t="s">
        <v>4888</v>
      </c>
      <c r="N207" s="1320" t="s">
        <v>4661</v>
      </c>
      <c r="O207" s="1321" t="s">
        <v>2473</v>
      </c>
      <c r="P207" s="1419"/>
      <c r="Q207" s="1322"/>
      <c r="R207" s="1322"/>
      <c r="S207" s="1322"/>
      <c r="T207" s="1322"/>
      <c r="U207" s="1322"/>
      <c r="V207" s="1322"/>
      <c r="W207" s="1322"/>
      <c r="X207" s="1317">
        <v>43101</v>
      </c>
      <c r="Y207" s="1317">
        <v>43466</v>
      </c>
      <c r="Z207" s="1316">
        <v>88</v>
      </c>
      <c r="AA207" s="1316" t="s">
        <v>4889</v>
      </c>
      <c r="AB207" s="1323">
        <f>SUM(AB208:AB224)</f>
        <v>0</v>
      </c>
      <c r="AC207" s="1323">
        <f>SUM(AC208:AC224)</f>
        <v>0</v>
      </c>
      <c r="AD207" s="1323">
        <f>SUM(AD208:AD224)</f>
        <v>0</v>
      </c>
      <c r="AE207" s="1324">
        <f t="shared" ref="AE207" si="308">AD207-AB207</f>
        <v>0</v>
      </c>
      <c r="AF207" s="1325" t="str">
        <f t="shared" si="140"/>
        <v/>
      </c>
      <c r="AG207" s="1326">
        <f t="shared" si="260"/>
        <v>66173.704166666677</v>
      </c>
      <c r="AH207" s="1326">
        <f>SUM(AH208:AH224)</f>
        <v>794084.45000000007</v>
      </c>
      <c r="AI207" s="1339"/>
      <c r="AJ207" s="1328">
        <f>SUM(AJ208:AJ224)</f>
        <v>5703.252625000001</v>
      </c>
      <c r="AK207" s="1328">
        <f>SUM(AK208:AK224)</f>
        <v>68439.031500000026</v>
      </c>
      <c r="AL207" s="1329"/>
      <c r="AM207" s="1330">
        <f>SUM(AM208:AM224)</f>
        <v>3335.1540000000005</v>
      </c>
      <c r="AN207" s="1331"/>
      <c r="AO207" s="1332">
        <f>SUM(AO208:AO224)</f>
        <v>0</v>
      </c>
      <c r="AP207" s="1333"/>
      <c r="AQ207" s="1334">
        <f>SUM(AQ208:AQ224)</f>
        <v>0</v>
      </c>
      <c r="AR207" s="1335"/>
      <c r="AS207" s="1336">
        <f>SUM(AS208:AS224)</f>
        <v>37794.005000000012</v>
      </c>
      <c r="AT207" s="1337"/>
      <c r="AU207" s="1338">
        <f>SUM(AU208:AU224)</f>
        <v>16675.77</v>
      </c>
      <c r="AV207" s="1339"/>
      <c r="AW207" s="1340">
        <f>SUM(AW208:AW224)</f>
        <v>10634.102499999999</v>
      </c>
      <c r="AX207" s="1306"/>
      <c r="AY207" s="1307">
        <f>SUM(AW207+AS207+AU207)</f>
        <v>65103.877500000017</v>
      </c>
      <c r="AZ207" s="1341"/>
      <c r="BA207" s="1309">
        <f>SUM(AY207+AQ207)</f>
        <v>65103.877500000017</v>
      </c>
      <c r="BB207" s="1342">
        <f>(AW207+AU207)/(AK207-AM207)</f>
        <v>0.41948150476905138</v>
      </c>
      <c r="BC207" s="1343"/>
      <c r="BD207" s="1343"/>
      <c r="BE207" s="1344"/>
      <c r="BF207" s="1345" t="s">
        <v>4890</v>
      </c>
      <c r="BG207" s="1346"/>
    </row>
    <row r="208" spans="1:59" s="1378" customFormat="1" ht="76.5">
      <c r="A208" s="1347" t="str">
        <f t="shared" si="305"/>
        <v>Carol Cole Company, Inc.</v>
      </c>
      <c r="B208" s="1348" t="str">
        <f t="shared" si="306"/>
        <v>HUB SD</v>
      </c>
      <c r="C208" s="1348">
        <f t="shared" si="307"/>
        <v>88</v>
      </c>
      <c r="D208" s="1349">
        <v>43101</v>
      </c>
      <c r="E208" s="1349"/>
      <c r="F208" s="1347" t="s">
        <v>85</v>
      </c>
      <c r="G208" s="1347" t="s">
        <v>85</v>
      </c>
      <c r="H208" s="1347" t="s">
        <v>85</v>
      </c>
      <c r="I208" s="1347" t="s">
        <v>113</v>
      </c>
      <c r="J208" s="1349"/>
      <c r="K208" s="1349" t="s">
        <v>254</v>
      </c>
      <c r="L208" s="1350" t="s">
        <v>2661</v>
      </c>
      <c r="M208" s="1350" t="s">
        <v>3647</v>
      </c>
      <c r="N208" s="1351" t="s">
        <v>4891</v>
      </c>
      <c r="O208" s="1352" t="s">
        <v>4892</v>
      </c>
      <c r="P208" s="1352" t="s">
        <v>4893</v>
      </c>
      <c r="Q208" s="1353" t="s">
        <v>317</v>
      </c>
      <c r="R208" s="1353" t="s">
        <v>3655</v>
      </c>
      <c r="S208" s="1353" t="s">
        <v>307</v>
      </c>
      <c r="T208" s="1353" t="s">
        <v>113</v>
      </c>
      <c r="U208" s="1354"/>
      <c r="V208" s="1354"/>
      <c r="W208" s="1354"/>
      <c r="X208" s="1353">
        <v>43101</v>
      </c>
      <c r="Y208" s="1353">
        <v>43466</v>
      </c>
      <c r="Z208" s="1355"/>
      <c r="AA208" s="1355" t="s">
        <v>4667</v>
      </c>
      <c r="AB208" s="1356"/>
      <c r="AC208" s="1356"/>
      <c r="AD208" s="1356"/>
      <c r="AE208" s="1356"/>
      <c r="AF208" s="1357" t="str">
        <f t="shared" si="140"/>
        <v/>
      </c>
      <c r="AG208" s="1358">
        <f t="shared" si="260"/>
        <v>55585.9</v>
      </c>
      <c r="AH208" s="1358">
        <v>667030.80000000005</v>
      </c>
      <c r="AI208" s="1359">
        <v>0.08</v>
      </c>
      <c r="AJ208" s="1360">
        <f t="shared" ref="AJ208:AJ224" si="309">$AI208*$AG208</f>
        <v>4446.8720000000003</v>
      </c>
      <c r="AK208" s="1361">
        <f t="shared" ref="AK208:AK224" si="310">AI208*$AH208</f>
        <v>53362.464000000007</v>
      </c>
      <c r="AL208" s="1362">
        <v>5.0000000000000001E-3</v>
      </c>
      <c r="AM208" s="1363">
        <f t="shared" ref="AM208:AM224" si="311">AL208*$AH208</f>
        <v>3335.1540000000005</v>
      </c>
      <c r="AN208" s="1364">
        <v>0</v>
      </c>
      <c r="AO208" s="1365">
        <f t="shared" ref="AO208:AO224" si="312">AN208*$AH208</f>
        <v>0</v>
      </c>
      <c r="AP208" s="1366">
        <v>0</v>
      </c>
      <c r="AQ208" s="1367">
        <f t="shared" ref="AQ208:AQ224" si="313">AP208*$AH208</f>
        <v>0</v>
      </c>
      <c r="AR208" s="1368">
        <v>0.04</v>
      </c>
      <c r="AS208" s="1369">
        <f t="shared" ref="AS208:AS224" si="314">AR208*$AH208</f>
        <v>26681.232000000004</v>
      </c>
      <c r="AT208" s="1370">
        <v>2.5000000000000001E-2</v>
      </c>
      <c r="AU208" s="1371">
        <f t="shared" ref="AU208:AU224" si="315">AT208*$AH208</f>
        <v>16675.77</v>
      </c>
      <c r="AV208" s="1359">
        <f t="shared" ref="AV208:AV224" si="316">AZ208-AR208-AT208-AP208</f>
        <v>9.999999999999995E-3</v>
      </c>
      <c r="AW208" s="1372">
        <f t="shared" ref="AW208:AW224" si="317">AV208*$AH208</f>
        <v>6670.3079999999973</v>
      </c>
      <c r="AX208" s="1373">
        <f t="shared" ref="AX208:AX224" si="318">$AZ208-$AP208</f>
        <v>7.4999999999999997E-2</v>
      </c>
      <c r="AY208" s="1374">
        <f t="shared" ref="AY208:AY224" si="319">AX208*$AH208</f>
        <v>50027.310000000005</v>
      </c>
      <c r="AZ208" s="1375">
        <f t="shared" ref="AZ208:AZ224" si="320">$AI208-$AL208-$AN208</f>
        <v>7.4999999999999997E-2</v>
      </c>
      <c r="BA208" s="1376">
        <f t="shared" ref="BA208:BA224" si="321">AZ208*$AH208</f>
        <v>50027.310000000005</v>
      </c>
      <c r="BB208" s="1391"/>
      <c r="BC208" s="1819" t="s">
        <v>1307</v>
      </c>
      <c r="BD208" s="1819" t="s">
        <v>1308</v>
      </c>
      <c r="BE208" s="1822" t="s">
        <v>1309</v>
      </c>
      <c r="BF208" s="1834" t="s">
        <v>4894</v>
      </c>
      <c r="BG208" s="1828">
        <v>912091977</v>
      </c>
    </row>
    <row r="209" spans="1:59" s="1378" customFormat="1" ht="38.25">
      <c r="A209" s="1347" t="str">
        <f t="shared" si="305"/>
        <v>Carol Cole Company, Inc.</v>
      </c>
      <c r="B209" s="1348" t="str">
        <f t="shared" si="306"/>
        <v>HUB SD</v>
      </c>
      <c r="C209" s="1348">
        <f t="shared" si="307"/>
        <v>88</v>
      </c>
      <c r="D209" s="1349">
        <v>43101</v>
      </c>
      <c r="E209" s="1349"/>
      <c r="F209" s="1347" t="s">
        <v>72</v>
      </c>
      <c r="G209" s="1347" t="s">
        <v>85</v>
      </c>
      <c r="H209" s="1347" t="s">
        <v>72</v>
      </c>
      <c r="I209" s="1347" t="s">
        <v>72</v>
      </c>
      <c r="J209" s="1349" t="s">
        <v>4670</v>
      </c>
      <c r="K209" s="1349" t="s">
        <v>254</v>
      </c>
      <c r="L209" s="1350" t="s">
        <v>4671</v>
      </c>
      <c r="M209" s="1350" t="s">
        <v>3649</v>
      </c>
      <c r="N209" s="1379" t="s">
        <v>4820</v>
      </c>
      <c r="O209" s="1352" t="s">
        <v>4895</v>
      </c>
      <c r="P209" s="1388"/>
      <c r="Q209" s="1354"/>
      <c r="R209" s="1354"/>
      <c r="S209" s="1354"/>
      <c r="T209" s="1354"/>
      <c r="U209" s="1354"/>
      <c r="V209" s="1354"/>
      <c r="W209" s="1354"/>
      <c r="X209" s="1353">
        <v>43101</v>
      </c>
      <c r="Y209" s="1353">
        <v>43466</v>
      </c>
      <c r="Z209" s="1355"/>
      <c r="AA209" s="1355" t="s">
        <v>4674</v>
      </c>
      <c r="AB209" s="1356"/>
      <c r="AC209" s="1356"/>
      <c r="AD209" s="1356"/>
      <c r="AE209" s="1356"/>
      <c r="AF209" s="1357" t="str">
        <f t="shared" si="140"/>
        <v/>
      </c>
      <c r="AG209" s="1380"/>
      <c r="AH209" s="1380"/>
      <c r="AI209" s="1381">
        <v>0</v>
      </c>
      <c r="AJ209" s="1382">
        <f t="shared" si="309"/>
        <v>0</v>
      </c>
      <c r="AK209" s="1383">
        <f t="shared" si="310"/>
        <v>0</v>
      </c>
      <c r="AL209" s="1384">
        <v>0</v>
      </c>
      <c r="AM209" s="1363">
        <f t="shared" si="311"/>
        <v>0</v>
      </c>
      <c r="AN209" s="1364">
        <v>0</v>
      </c>
      <c r="AO209" s="1365">
        <f t="shared" si="312"/>
        <v>0</v>
      </c>
      <c r="AP209" s="1366">
        <v>0</v>
      </c>
      <c r="AQ209" s="1367">
        <f t="shared" si="313"/>
        <v>0</v>
      </c>
      <c r="AR209" s="1368">
        <v>0</v>
      </c>
      <c r="AS209" s="1369">
        <f t="shared" si="314"/>
        <v>0</v>
      </c>
      <c r="AT209" s="1370">
        <v>0</v>
      </c>
      <c r="AU209" s="1371">
        <f t="shared" si="315"/>
        <v>0</v>
      </c>
      <c r="AV209" s="1359">
        <f t="shared" si="316"/>
        <v>0</v>
      </c>
      <c r="AW209" s="1372">
        <f t="shared" si="317"/>
        <v>0</v>
      </c>
      <c r="AX209" s="1373">
        <f t="shared" si="318"/>
        <v>0</v>
      </c>
      <c r="AY209" s="1374">
        <f t="shared" si="319"/>
        <v>0</v>
      </c>
      <c r="AZ209" s="1375">
        <f t="shared" si="320"/>
        <v>0</v>
      </c>
      <c r="BA209" s="1376">
        <f t="shared" si="321"/>
        <v>0</v>
      </c>
      <c r="BB209" s="1391"/>
      <c r="BC209" s="1820"/>
      <c r="BD209" s="1820"/>
      <c r="BE209" s="1823"/>
      <c r="BF209" s="1834"/>
      <c r="BG209" s="1829"/>
    </row>
    <row r="210" spans="1:59" s="1378" customFormat="1" ht="38.25">
      <c r="A210" s="1347" t="str">
        <f t="shared" si="305"/>
        <v>Carol Cole Company, Inc.</v>
      </c>
      <c r="B210" s="1348" t="str">
        <f t="shared" si="306"/>
        <v>HUB SD</v>
      </c>
      <c r="C210" s="1348">
        <f t="shared" si="307"/>
        <v>88</v>
      </c>
      <c r="D210" s="1349">
        <v>43101</v>
      </c>
      <c r="E210" s="1349"/>
      <c r="F210" s="1347" t="s">
        <v>113</v>
      </c>
      <c r="G210" s="1347" t="s">
        <v>85</v>
      </c>
      <c r="H210" s="1347" t="s">
        <v>85</v>
      </c>
      <c r="I210" s="1347" t="s">
        <v>113</v>
      </c>
      <c r="J210" s="1349"/>
      <c r="K210" s="1349" t="s">
        <v>254</v>
      </c>
      <c r="L210" s="1350" t="s">
        <v>4675</v>
      </c>
      <c r="M210" s="1350" t="s">
        <v>3650</v>
      </c>
      <c r="N210" s="1385" t="s">
        <v>4896</v>
      </c>
      <c r="O210" s="1352" t="s">
        <v>4677</v>
      </c>
      <c r="P210" s="1388"/>
      <c r="Q210" s="1354"/>
      <c r="R210" s="1354"/>
      <c r="S210" s="1354"/>
      <c r="T210" s="1354"/>
      <c r="U210" s="1353" t="s">
        <v>4678</v>
      </c>
      <c r="V210" s="1353" t="s">
        <v>2482</v>
      </c>
      <c r="W210" s="1354"/>
      <c r="X210" s="1353">
        <v>43101</v>
      </c>
      <c r="Y210" s="1353">
        <v>43466</v>
      </c>
      <c r="Z210" s="1355"/>
      <c r="AA210" s="1355" t="s">
        <v>4679</v>
      </c>
      <c r="AB210" s="1356"/>
      <c r="AC210" s="1356"/>
      <c r="AD210" s="1356"/>
      <c r="AE210" s="1356"/>
      <c r="AF210" s="1357" t="str">
        <f t="shared" si="140"/>
        <v/>
      </c>
      <c r="AG210" s="1358">
        <f t="shared" si="260"/>
        <v>5864.3600000000006</v>
      </c>
      <c r="AH210" s="1358">
        <v>70372.320000000007</v>
      </c>
      <c r="AI210" s="1359">
        <v>0.1</v>
      </c>
      <c r="AJ210" s="1360">
        <f t="shared" si="309"/>
        <v>586.43600000000004</v>
      </c>
      <c r="AK210" s="1361">
        <f t="shared" si="310"/>
        <v>7037.2320000000009</v>
      </c>
      <c r="AL210" s="1384">
        <v>0</v>
      </c>
      <c r="AM210" s="1363">
        <f t="shared" si="311"/>
        <v>0</v>
      </c>
      <c r="AN210" s="1364">
        <v>0</v>
      </c>
      <c r="AO210" s="1365">
        <f t="shared" si="312"/>
        <v>0</v>
      </c>
      <c r="AP210" s="1366">
        <v>0</v>
      </c>
      <c r="AQ210" s="1367">
        <f t="shared" si="313"/>
        <v>0</v>
      </c>
      <c r="AR210" s="1368">
        <v>0.08</v>
      </c>
      <c r="AS210" s="1369">
        <f t="shared" si="314"/>
        <v>5629.7856000000011</v>
      </c>
      <c r="AT210" s="1370">
        <v>0</v>
      </c>
      <c r="AU210" s="1371">
        <f t="shared" si="315"/>
        <v>0</v>
      </c>
      <c r="AV210" s="1359">
        <f t="shared" si="316"/>
        <v>2.0000000000000004E-2</v>
      </c>
      <c r="AW210" s="1372">
        <f t="shared" si="317"/>
        <v>1407.4464000000005</v>
      </c>
      <c r="AX210" s="1373">
        <f t="shared" si="318"/>
        <v>0.1</v>
      </c>
      <c r="AY210" s="1374">
        <f t="shared" si="319"/>
        <v>7037.2320000000009</v>
      </c>
      <c r="AZ210" s="1375">
        <f t="shared" si="320"/>
        <v>0.1</v>
      </c>
      <c r="BA210" s="1376">
        <f t="shared" si="321"/>
        <v>7037.2320000000009</v>
      </c>
      <c r="BB210" s="1391"/>
      <c r="BC210" s="1820"/>
      <c r="BD210" s="1820"/>
      <c r="BE210" s="1823"/>
      <c r="BF210" s="1834"/>
      <c r="BG210" s="1829"/>
    </row>
    <row r="211" spans="1:59" s="1378" customFormat="1" ht="38.25">
      <c r="A211" s="1347" t="str">
        <f t="shared" si="305"/>
        <v>Carol Cole Company, Inc.</v>
      </c>
      <c r="B211" s="1348" t="str">
        <f t="shared" si="306"/>
        <v>HUB SD</v>
      </c>
      <c r="C211" s="1348">
        <f t="shared" si="307"/>
        <v>88</v>
      </c>
      <c r="D211" s="1349">
        <v>43101</v>
      </c>
      <c r="E211" s="1349"/>
      <c r="F211" s="1347" t="s">
        <v>113</v>
      </c>
      <c r="G211" s="1347" t="s">
        <v>85</v>
      </c>
      <c r="H211" s="1347" t="s">
        <v>85</v>
      </c>
      <c r="I211" s="1347" t="s">
        <v>113</v>
      </c>
      <c r="J211" s="1349"/>
      <c r="K211" s="1349" t="s">
        <v>254</v>
      </c>
      <c r="L211" s="1350" t="s">
        <v>4675</v>
      </c>
      <c r="M211" s="1350" t="s">
        <v>3651</v>
      </c>
      <c r="N211" s="1351" t="s">
        <v>4897</v>
      </c>
      <c r="O211" s="1352" t="s">
        <v>4681</v>
      </c>
      <c r="P211" s="1388"/>
      <c r="Q211" s="1354"/>
      <c r="R211" s="1354"/>
      <c r="S211" s="1354"/>
      <c r="T211" s="1354"/>
      <c r="U211" s="1354"/>
      <c r="V211" s="1354"/>
      <c r="W211" s="1353" t="s">
        <v>2482</v>
      </c>
      <c r="X211" s="1353">
        <v>43101</v>
      </c>
      <c r="Y211" s="1353">
        <v>43466</v>
      </c>
      <c r="Z211" s="1355"/>
      <c r="AA211" s="1355" t="s">
        <v>4679</v>
      </c>
      <c r="AB211" s="1356"/>
      <c r="AC211" s="1356"/>
      <c r="AD211" s="1356"/>
      <c r="AE211" s="1356"/>
      <c r="AF211" s="1357" t="str">
        <f t="shared" si="140"/>
        <v/>
      </c>
      <c r="AG211" s="1358">
        <f t="shared" si="260"/>
        <v>757.42000000000007</v>
      </c>
      <c r="AH211" s="1358">
        <v>9089.0400000000009</v>
      </c>
      <c r="AI211" s="1359">
        <v>0.1</v>
      </c>
      <c r="AJ211" s="1360">
        <f t="shared" si="309"/>
        <v>75.742000000000004</v>
      </c>
      <c r="AK211" s="1361">
        <f t="shared" si="310"/>
        <v>908.90400000000011</v>
      </c>
      <c r="AL211" s="1384">
        <v>0</v>
      </c>
      <c r="AM211" s="1363">
        <f t="shared" si="311"/>
        <v>0</v>
      </c>
      <c r="AN211" s="1364">
        <v>0</v>
      </c>
      <c r="AO211" s="1365">
        <f t="shared" si="312"/>
        <v>0</v>
      </c>
      <c r="AP211" s="1366">
        <v>0</v>
      </c>
      <c r="AQ211" s="1367">
        <f t="shared" si="313"/>
        <v>0</v>
      </c>
      <c r="AR211" s="1368">
        <v>0.08</v>
      </c>
      <c r="AS211" s="1369">
        <f t="shared" si="314"/>
        <v>727.12320000000011</v>
      </c>
      <c r="AT211" s="1370">
        <v>0</v>
      </c>
      <c r="AU211" s="1371">
        <f t="shared" si="315"/>
        <v>0</v>
      </c>
      <c r="AV211" s="1359">
        <f t="shared" si="316"/>
        <v>2.0000000000000004E-2</v>
      </c>
      <c r="AW211" s="1372">
        <f t="shared" si="317"/>
        <v>181.78080000000006</v>
      </c>
      <c r="AX211" s="1373">
        <f t="shared" si="318"/>
        <v>0.1</v>
      </c>
      <c r="AY211" s="1374">
        <f t="shared" si="319"/>
        <v>908.90400000000011</v>
      </c>
      <c r="AZ211" s="1375">
        <f t="shared" si="320"/>
        <v>0.1</v>
      </c>
      <c r="BA211" s="1376">
        <f t="shared" si="321"/>
        <v>908.90400000000011</v>
      </c>
      <c r="BB211" s="1391"/>
      <c r="BC211" s="1820"/>
      <c r="BD211" s="1820"/>
      <c r="BE211" s="1823"/>
      <c r="BF211" s="1834"/>
      <c r="BG211" s="1829"/>
    </row>
    <row r="212" spans="1:59" s="1378" customFormat="1" ht="38.25">
      <c r="A212" s="1347" t="str">
        <f t="shared" si="305"/>
        <v>Carol Cole Company, Inc.</v>
      </c>
      <c r="B212" s="1348" t="str">
        <f t="shared" si="306"/>
        <v>HUB SD</v>
      </c>
      <c r="C212" s="1348">
        <f t="shared" si="307"/>
        <v>88</v>
      </c>
      <c r="D212" s="1349">
        <v>43101</v>
      </c>
      <c r="E212" s="1349"/>
      <c r="F212" s="1347" t="s">
        <v>113</v>
      </c>
      <c r="G212" s="1347" t="s">
        <v>85</v>
      </c>
      <c r="H212" s="1347" t="s">
        <v>85</v>
      </c>
      <c r="I212" s="1347" t="s">
        <v>113</v>
      </c>
      <c r="J212" s="1349"/>
      <c r="K212" s="1349" t="s">
        <v>254</v>
      </c>
      <c r="L212" s="1350" t="s">
        <v>4682</v>
      </c>
      <c r="M212" s="1350" t="s">
        <v>4683</v>
      </c>
      <c r="N212" s="1386" t="s">
        <v>1249</v>
      </c>
      <c r="O212" s="1352" t="s">
        <v>4684</v>
      </c>
      <c r="P212" s="1421"/>
      <c r="Q212" s="1354"/>
      <c r="R212" s="1354"/>
      <c r="S212" s="1354"/>
      <c r="T212" s="1354"/>
      <c r="U212" s="1354"/>
      <c r="V212" s="1354"/>
      <c r="W212" s="1354"/>
      <c r="X212" s="1353">
        <v>43101</v>
      </c>
      <c r="Y212" s="1353">
        <v>43466</v>
      </c>
      <c r="Z212" s="1355"/>
      <c r="AA212" s="1355" t="s">
        <v>4685</v>
      </c>
      <c r="AB212" s="1356"/>
      <c r="AC212" s="1356"/>
      <c r="AD212" s="1356"/>
      <c r="AE212" s="1356"/>
      <c r="AF212" s="1357" t="str">
        <f t="shared" si="140"/>
        <v/>
      </c>
      <c r="AG212" s="1358">
        <f t="shared" si="260"/>
        <v>762.09</v>
      </c>
      <c r="AH212" s="1358">
        <v>9145.08</v>
      </c>
      <c r="AI212" s="1359">
        <v>0.15</v>
      </c>
      <c r="AJ212" s="1360">
        <f t="shared" si="309"/>
        <v>114.3135</v>
      </c>
      <c r="AK212" s="1361">
        <f t="shared" si="310"/>
        <v>1371.7619999999999</v>
      </c>
      <c r="AL212" s="1384">
        <v>0</v>
      </c>
      <c r="AM212" s="1363">
        <f t="shared" si="311"/>
        <v>0</v>
      </c>
      <c r="AN212" s="1364">
        <v>0</v>
      </c>
      <c r="AO212" s="1365">
        <f t="shared" si="312"/>
        <v>0</v>
      </c>
      <c r="AP212" s="1366">
        <v>0</v>
      </c>
      <c r="AQ212" s="1367">
        <f t="shared" si="313"/>
        <v>0</v>
      </c>
      <c r="AR212" s="1368">
        <v>0.1</v>
      </c>
      <c r="AS212" s="1369">
        <f t="shared" si="314"/>
        <v>914.50800000000004</v>
      </c>
      <c r="AT212" s="1370">
        <v>0</v>
      </c>
      <c r="AU212" s="1371">
        <f t="shared" si="315"/>
        <v>0</v>
      </c>
      <c r="AV212" s="1359">
        <f t="shared" si="316"/>
        <v>4.9999999999999989E-2</v>
      </c>
      <c r="AW212" s="1372">
        <f t="shared" si="317"/>
        <v>457.25399999999991</v>
      </c>
      <c r="AX212" s="1373">
        <f t="shared" si="318"/>
        <v>0.15</v>
      </c>
      <c r="AY212" s="1374">
        <f t="shared" si="319"/>
        <v>1371.7619999999999</v>
      </c>
      <c r="AZ212" s="1375">
        <f t="shared" si="320"/>
        <v>0.15</v>
      </c>
      <c r="BA212" s="1376">
        <f t="shared" si="321"/>
        <v>1371.7619999999999</v>
      </c>
      <c r="BB212" s="1391"/>
      <c r="BC212" s="1820"/>
      <c r="BD212" s="1820"/>
      <c r="BE212" s="1823"/>
      <c r="BF212" s="1834"/>
      <c r="BG212" s="1829"/>
    </row>
    <row r="213" spans="1:59" s="1378" customFormat="1" ht="38.25">
      <c r="A213" s="1347" t="str">
        <f t="shared" si="305"/>
        <v>Carol Cole Company, Inc.</v>
      </c>
      <c r="B213" s="1348" t="str">
        <f t="shared" si="306"/>
        <v>HUB SD</v>
      </c>
      <c r="C213" s="1348">
        <f t="shared" si="307"/>
        <v>88</v>
      </c>
      <c r="D213" s="1349">
        <v>43101</v>
      </c>
      <c r="E213" s="1349"/>
      <c r="F213" s="1347" t="s">
        <v>113</v>
      </c>
      <c r="G213" s="1347" t="s">
        <v>85</v>
      </c>
      <c r="H213" s="1347" t="s">
        <v>85</v>
      </c>
      <c r="I213" s="1347" t="s">
        <v>113</v>
      </c>
      <c r="J213" s="1349"/>
      <c r="K213" s="1349" t="s">
        <v>254</v>
      </c>
      <c r="L213" s="1350" t="s">
        <v>4682</v>
      </c>
      <c r="M213" s="1350" t="s">
        <v>4686</v>
      </c>
      <c r="N213" s="1386" t="s">
        <v>60</v>
      </c>
      <c r="O213" s="1352" t="s">
        <v>4687</v>
      </c>
      <c r="P213" s="1421"/>
      <c r="Q213" s="1354"/>
      <c r="R213" s="1354"/>
      <c r="S213" s="1354"/>
      <c r="T213" s="1354"/>
      <c r="U213" s="1354"/>
      <c r="V213" s="1354"/>
      <c r="W213" s="1354"/>
      <c r="X213" s="1353">
        <v>43101</v>
      </c>
      <c r="Y213" s="1353">
        <v>43466</v>
      </c>
      <c r="Z213" s="1355"/>
      <c r="AA213" s="1355" t="s">
        <v>4685</v>
      </c>
      <c r="AB213" s="1356"/>
      <c r="AC213" s="1356"/>
      <c r="AD213" s="1356"/>
      <c r="AE213" s="1356"/>
      <c r="AF213" s="1357" t="str">
        <f t="shared" si="140"/>
        <v/>
      </c>
      <c r="AG213" s="1358">
        <f t="shared" si="260"/>
        <v>425.82</v>
      </c>
      <c r="AH213" s="1358">
        <v>5109.84</v>
      </c>
      <c r="AI213" s="1359">
        <v>0.15</v>
      </c>
      <c r="AJ213" s="1360">
        <f t="shared" si="309"/>
        <v>63.872999999999998</v>
      </c>
      <c r="AK213" s="1361">
        <f t="shared" si="310"/>
        <v>766.476</v>
      </c>
      <c r="AL213" s="1384">
        <v>0</v>
      </c>
      <c r="AM213" s="1363">
        <f t="shared" si="311"/>
        <v>0</v>
      </c>
      <c r="AN213" s="1364">
        <v>0</v>
      </c>
      <c r="AO213" s="1365">
        <f t="shared" si="312"/>
        <v>0</v>
      </c>
      <c r="AP213" s="1366">
        <v>0</v>
      </c>
      <c r="AQ213" s="1367">
        <f t="shared" si="313"/>
        <v>0</v>
      </c>
      <c r="AR213" s="1368">
        <v>0.1</v>
      </c>
      <c r="AS213" s="1369">
        <f t="shared" si="314"/>
        <v>510.98400000000004</v>
      </c>
      <c r="AT213" s="1370">
        <v>0</v>
      </c>
      <c r="AU213" s="1371">
        <f t="shared" si="315"/>
        <v>0</v>
      </c>
      <c r="AV213" s="1359">
        <f t="shared" si="316"/>
        <v>4.9999999999999989E-2</v>
      </c>
      <c r="AW213" s="1372">
        <f t="shared" si="317"/>
        <v>255.49199999999996</v>
      </c>
      <c r="AX213" s="1373">
        <f t="shared" si="318"/>
        <v>0.15</v>
      </c>
      <c r="AY213" s="1374">
        <f t="shared" si="319"/>
        <v>766.476</v>
      </c>
      <c r="AZ213" s="1375">
        <f t="shared" si="320"/>
        <v>0.15</v>
      </c>
      <c r="BA213" s="1376">
        <f t="shared" si="321"/>
        <v>766.476</v>
      </c>
      <c r="BB213" s="1391"/>
      <c r="BC213" s="1820"/>
      <c r="BD213" s="1820"/>
      <c r="BE213" s="1823"/>
      <c r="BF213" s="1834"/>
      <c r="BG213" s="1829"/>
    </row>
    <row r="214" spans="1:59" s="1378" customFormat="1" ht="38.25">
      <c r="A214" s="1347" t="str">
        <f t="shared" si="305"/>
        <v>Carol Cole Company, Inc.</v>
      </c>
      <c r="B214" s="1348" t="str">
        <f t="shared" si="306"/>
        <v>HUB SD</v>
      </c>
      <c r="C214" s="1348">
        <f t="shared" si="307"/>
        <v>88</v>
      </c>
      <c r="D214" s="1349">
        <v>43101</v>
      </c>
      <c r="E214" s="1349"/>
      <c r="F214" s="1347" t="s">
        <v>113</v>
      </c>
      <c r="G214" s="1347" t="s">
        <v>85</v>
      </c>
      <c r="H214" s="1347" t="s">
        <v>85</v>
      </c>
      <c r="I214" s="1347" t="s">
        <v>113</v>
      </c>
      <c r="J214" s="1349"/>
      <c r="K214" s="1349" t="s">
        <v>254</v>
      </c>
      <c r="L214" s="1350" t="s">
        <v>4682</v>
      </c>
      <c r="M214" s="1350" t="s">
        <v>62</v>
      </c>
      <c r="N214" s="1351" t="s">
        <v>266</v>
      </c>
      <c r="O214" s="1352" t="s">
        <v>4688</v>
      </c>
      <c r="P214" s="1388"/>
      <c r="Q214" s="1354"/>
      <c r="R214" s="1354"/>
      <c r="S214" s="1354"/>
      <c r="T214" s="1354"/>
      <c r="U214" s="1354"/>
      <c r="V214" s="1354"/>
      <c r="W214" s="1354"/>
      <c r="X214" s="1353">
        <v>43101</v>
      </c>
      <c r="Y214" s="1353">
        <v>43466</v>
      </c>
      <c r="Z214" s="1355"/>
      <c r="AA214" s="1355" t="s">
        <v>4685</v>
      </c>
      <c r="AB214" s="1356"/>
      <c r="AC214" s="1356"/>
      <c r="AD214" s="1356"/>
      <c r="AE214" s="1356"/>
      <c r="AF214" s="1357" t="str">
        <f t="shared" si="140"/>
        <v/>
      </c>
      <c r="AG214" s="1358">
        <f t="shared" si="260"/>
        <v>732.89666666666665</v>
      </c>
      <c r="AH214" s="1358">
        <v>8794.76</v>
      </c>
      <c r="AI214" s="1359">
        <v>0.15</v>
      </c>
      <c r="AJ214" s="1360">
        <f t="shared" si="309"/>
        <v>109.9345</v>
      </c>
      <c r="AK214" s="1361">
        <f t="shared" si="310"/>
        <v>1319.2139999999999</v>
      </c>
      <c r="AL214" s="1384">
        <v>0</v>
      </c>
      <c r="AM214" s="1363">
        <f t="shared" si="311"/>
        <v>0</v>
      </c>
      <c r="AN214" s="1364">
        <v>0</v>
      </c>
      <c r="AO214" s="1365">
        <f t="shared" si="312"/>
        <v>0</v>
      </c>
      <c r="AP214" s="1366">
        <v>0</v>
      </c>
      <c r="AQ214" s="1367">
        <f t="shared" si="313"/>
        <v>0</v>
      </c>
      <c r="AR214" s="1368">
        <v>0.1</v>
      </c>
      <c r="AS214" s="1369">
        <f t="shared" si="314"/>
        <v>879.47600000000011</v>
      </c>
      <c r="AT214" s="1370">
        <v>0</v>
      </c>
      <c r="AU214" s="1371">
        <f t="shared" si="315"/>
        <v>0</v>
      </c>
      <c r="AV214" s="1359">
        <f t="shared" si="316"/>
        <v>4.9999999999999989E-2</v>
      </c>
      <c r="AW214" s="1372">
        <f t="shared" si="317"/>
        <v>439.73799999999989</v>
      </c>
      <c r="AX214" s="1373">
        <f t="shared" si="318"/>
        <v>0.15</v>
      </c>
      <c r="AY214" s="1374">
        <f t="shared" si="319"/>
        <v>1319.2139999999999</v>
      </c>
      <c r="AZ214" s="1375">
        <f t="shared" si="320"/>
        <v>0.15</v>
      </c>
      <c r="BA214" s="1376">
        <f t="shared" si="321"/>
        <v>1319.2139999999999</v>
      </c>
      <c r="BB214" s="1391"/>
      <c r="BC214" s="1820"/>
      <c r="BD214" s="1820"/>
      <c r="BE214" s="1823"/>
      <c r="BF214" s="1834"/>
      <c r="BG214" s="1829"/>
    </row>
    <row r="215" spans="1:59" s="1378" customFormat="1" ht="38.25">
      <c r="A215" s="1347" t="str">
        <f t="shared" si="305"/>
        <v>Carol Cole Company, Inc.</v>
      </c>
      <c r="B215" s="1348" t="str">
        <f t="shared" si="306"/>
        <v>HUB SD</v>
      </c>
      <c r="C215" s="1348">
        <f t="shared" si="307"/>
        <v>88</v>
      </c>
      <c r="D215" s="1349">
        <v>43101</v>
      </c>
      <c r="E215" s="1349"/>
      <c r="F215" s="1347" t="s">
        <v>113</v>
      </c>
      <c r="G215" s="1347" t="s">
        <v>85</v>
      </c>
      <c r="H215" s="1347" t="s">
        <v>85</v>
      </c>
      <c r="I215" s="1347" t="s">
        <v>113</v>
      </c>
      <c r="J215" s="1349"/>
      <c r="K215" s="1450" t="s">
        <v>254</v>
      </c>
      <c r="L215" s="1350" t="s">
        <v>4682</v>
      </c>
      <c r="M215" s="1350" t="s">
        <v>4741</v>
      </c>
      <c r="N215" s="1351" t="s">
        <v>4742</v>
      </c>
      <c r="O215" s="1352" t="s">
        <v>4898</v>
      </c>
      <c r="P215" s="1388"/>
      <c r="Q215" s="1354"/>
      <c r="R215" s="1354"/>
      <c r="S215" s="1354"/>
      <c r="T215" s="1354"/>
      <c r="U215" s="1354"/>
      <c r="V215" s="1354"/>
      <c r="W215" s="1354"/>
      <c r="X215" s="1353">
        <v>43101</v>
      </c>
      <c r="Y215" s="1353">
        <v>43466</v>
      </c>
      <c r="Z215" s="1355"/>
      <c r="AA215" s="1355" t="s">
        <v>4679</v>
      </c>
      <c r="AB215" s="1356"/>
      <c r="AC215" s="1356"/>
      <c r="AD215" s="1356"/>
      <c r="AE215" s="1356"/>
      <c r="AF215" s="1357" t="str">
        <f t="shared" si="140"/>
        <v/>
      </c>
      <c r="AG215" s="1358">
        <f t="shared" si="260"/>
        <v>14.020000000000001</v>
      </c>
      <c r="AH215" s="1358">
        <v>168.24</v>
      </c>
      <c r="AI215" s="1359">
        <v>0.1</v>
      </c>
      <c r="AJ215" s="1360">
        <f t="shared" si="309"/>
        <v>1.4020000000000001</v>
      </c>
      <c r="AK215" s="1361">
        <f t="shared" si="310"/>
        <v>16.824000000000002</v>
      </c>
      <c r="AL215" s="1384">
        <v>0</v>
      </c>
      <c r="AM215" s="1363">
        <f t="shared" si="311"/>
        <v>0</v>
      </c>
      <c r="AN215" s="1364">
        <v>0</v>
      </c>
      <c r="AO215" s="1365">
        <f t="shared" si="312"/>
        <v>0</v>
      </c>
      <c r="AP215" s="1366">
        <v>0</v>
      </c>
      <c r="AQ215" s="1367">
        <f t="shared" si="313"/>
        <v>0</v>
      </c>
      <c r="AR215" s="1368">
        <v>0.08</v>
      </c>
      <c r="AS215" s="1369">
        <f t="shared" si="314"/>
        <v>13.459200000000001</v>
      </c>
      <c r="AT215" s="1370">
        <v>0</v>
      </c>
      <c r="AU215" s="1371">
        <f t="shared" si="315"/>
        <v>0</v>
      </c>
      <c r="AV215" s="1359">
        <f t="shared" si="316"/>
        <v>2.0000000000000004E-2</v>
      </c>
      <c r="AW215" s="1372">
        <f t="shared" si="317"/>
        <v>3.3648000000000007</v>
      </c>
      <c r="AX215" s="1373">
        <f t="shared" si="318"/>
        <v>0.1</v>
      </c>
      <c r="AY215" s="1374">
        <f t="shared" si="319"/>
        <v>16.824000000000002</v>
      </c>
      <c r="AZ215" s="1375">
        <f t="shared" si="320"/>
        <v>0.1</v>
      </c>
      <c r="BA215" s="1376">
        <f t="shared" si="321"/>
        <v>16.824000000000002</v>
      </c>
      <c r="BB215" s="1391"/>
      <c r="BC215" s="1820"/>
      <c r="BD215" s="1820"/>
      <c r="BE215" s="1823"/>
      <c r="BF215" s="1834"/>
      <c r="BG215" s="1829"/>
    </row>
    <row r="216" spans="1:59" s="1378" customFormat="1" ht="38.25">
      <c r="A216" s="1347" t="str">
        <f t="shared" si="305"/>
        <v>Carol Cole Company, Inc.</v>
      </c>
      <c r="B216" s="1348" t="str">
        <f t="shared" si="306"/>
        <v>HUB SD</v>
      </c>
      <c r="C216" s="1348">
        <f t="shared" si="307"/>
        <v>88</v>
      </c>
      <c r="D216" s="1349">
        <v>43101</v>
      </c>
      <c r="E216" s="1349"/>
      <c r="F216" s="1347" t="s">
        <v>113</v>
      </c>
      <c r="G216" s="1347" t="s">
        <v>85</v>
      </c>
      <c r="H216" s="1347" t="s">
        <v>85</v>
      </c>
      <c r="I216" s="1347" t="s">
        <v>113</v>
      </c>
      <c r="J216" s="1349"/>
      <c r="K216" s="1349" t="s">
        <v>254</v>
      </c>
      <c r="L216" s="1350" t="s">
        <v>4682</v>
      </c>
      <c r="M216" s="1350" t="s">
        <v>67</v>
      </c>
      <c r="N216" s="1351" t="s">
        <v>82</v>
      </c>
      <c r="O216" s="1352" t="s">
        <v>4689</v>
      </c>
      <c r="P216" s="1388"/>
      <c r="Q216" s="1354"/>
      <c r="R216" s="1354"/>
      <c r="S216" s="1354"/>
      <c r="T216" s="1354"/>
      <c r="U216" s="1354"/>
      <c r="V216" s="1354"/>
      <c r="W216" s="1354"/>
      <c r="X216" s="1353">
        <v>43101</v>
      </c>
      <c r="Y216" s="1353">
        <v>43466</v>
      </c>
      <c r="Z216" s="1355"/>
      <c r="AA216" s="1355" t="s">
        <v>4685</v>
      </c>
      <c r="AB216" s="1356"/>
      <c r="AC216" s="1356"/>
      <c r="AD216" s="1356"/>
      <c r="AE216" s="1356"/>
      <c r="AF216" s="1357" t="str">
        <f t="shared" si="140"/>
        <v/>
      </c>
      <c r="AG216" s="1358">
        <f t="shared" si="260"/>
        <v>1376.9775</v>
      </c>
      <c r="AH216" s="1358">
        <v>16523.73</v>
      </c>
      <c r="AI216" s="1359">
        <v>0.15</v>
      </c>
      <c r="AJ216" s="1360">
        <f t="shared" si="309"/>
        <v>206.54662499999998</v>
      </c>
      <c r="AK216" s="1361">
        <f t="shared" si="310"/>
        <v>2478.5594999999998</v>
      </c>
      <c r="AL216" s="1384">
        <v>0</v>
      </c>
      <c r="AM216" s="1363">
        <f t="shared" si="311"/>
        <v>0</v>
      </c>
      <c r="AN216" s="1364">
        <v>0</v>
      </c>
      <c r="AO216" s="1365">
        <f t="shared" si="312"/>
        <v>0</v>
      </c>
      <c r="AP216" s="1366">
        <v>0</v>
      </c>
      <c r="AQ216" s="1367">
        <f t="shared" si="313"/>
        <v>0</v>
      </c>
      <c r="AR216" s="1368">
        <v>0.1</v>
      </c>
      <c r="AS216" s="1369">
        <f t="shared" si="314"/>
        <v>1652.373</v>
      </c>
      <c r="AT216" s="1370">
        <v>0</v>
      </c>
      <c r="AU216" s="1371">
        <f t="shared" si="315"/>
        <v>0</v>
      </c>
      <c r="AV216" s="1359">
        <f t="shared" si="316"/>
        <v>4.9999999999999989E-2</v>
      </c>
      <c r="AW216" s="1372">
        <f t="shared" si="317"/>
        <v>826.1864999999998</v>
      </c>
      <c r="AX216" s="1373">
        <f t="shared" si="318"/>
        <v>0.15</v>
      </c>
      <c r="AY216" s="1374">
        <f t="shared" si="319"/>
        <v>2478.5594999999998</v>
      </c>
      <c r="AZ216" s="1375">
        <f t="shared" si="320"/>
        <v>0.15</v>
      </c>
      <c r="BA216" s="1376">
        <f t="shared" si="321"/>
        <v>2478.5594999999998</v>
      </c>
      <c r="BB216" s="1391"/>
      <c r="BC216" s="1820"/>
      <c r="BD216" s="1820"/>
      <c r="BE216" s="1823"/>
      <c r="BF216" s="1834"/>
      <c r="BG216" s="1829"/>
    </row>
    <row r="217" spans="1:59" s="1378" customFormat="1" ht="38.25">
      <c r="A217" s="1347" t="str">
        <f t="shared" si="305"/>
        <v>Carol Cole Company, Inc.</v>
      </c>
      <c r="B217" s="1348" t="str">
        <f t="shared" si="306"/>
        <v>HUB SD</v>
      </c>
      <c r="C217" s="1348">
        <f t="shared" si="307"/>
        <v>88</v>
      </c>
      <c r="D217" s="1349">
        <v>43101</v>
      </c>
      <c r="E217" s="1349"/>
      <c r="F217" s="1347" t="s">
        <v>113</v>
      </c>
      <c r="G217" s="1347" t="s">
        <v>85</v>
      </c>
      <c r="H217" s="1347" t="s">
        <v>85</v>
      </c>
      <c r="I217" s="1347" t="s">
        <v>113</v>
      </c>
      <c r="J217" s="1349" t="s">
        <v>4690</v>
      </c>
      <c r="K217" s="1349" t="s">
        <v>254</v>
      </c>
      <c r="L217" s="1350" t="s">
        <v>4682</v>
      </c>
      <c r="M217" s="1350" t="s">
        <v>4691</v>
      </c>
      <c r="N217" s="1351" t="s">
        <v>94</v>
      </c>
      <c r="O217" s="1352" t="s">
        <v>4692</v>
      </c>
      <c r="P217" s="1388"/>
      <c r="Q217" s="1354"/>
      <c r="R217" s="1354"/>
      <c r="S217" s="1354"/>
      <c r="T217" s="1354"/>
      <c r="U217" s="1354"/>
      <c r="V217" s="1354"/>
      <c r="W217" s="1354"/>
      <c r="X217" s="1353">
        <v>43101</v>
      </c>
      <c r="Y217" s="1353">
        <v>43466</v>
      </c>
      <c r="Z217" s="1355">
        <v>16</v>
      </c>
      <c r="AA217" s="1355" t="s">
        <v>4685</v>
      </c>
      <c r="AB217" s="1356"/>
      <c r="AC217" s="1356"/>
      <c r="AD217" s="1356"/>
      <c r="AE217" s="1356"/>
      <c r="AF217" s="1357" t="str">
        <f t="shared" si="140"/>
        <v/>
      </c>
      <c r="AG217" s="1358">
        <v>236.8</v>
      </c>
      <c r="AH217" s="1358">
        <f t="shared" ref="AH217:AH219" si="322">AG217*12</f>
        <v>2841.6000000000004</v>
      </c>
      <c r="AI217" s="1359">
        <v>0.15</v>
      </c>
      <c r="AJ217" s="1360">
        <f t="shared" si="309"/>
        <v>35.520000000000003</v>
      </c>
      <c r="AK217" s="1361">
        <f t="shared" si="310"/>
        <v>426.24000000000007</v>
      </c>
      <c r="AL217" s="1384">
        <v>0</v>
      </c>
      <c r="AM217" s="1363">
        <f t="shared" si="311"/>
        <v>0</v>
      </c>
      <c r="AN217" s="1364">
        <v>0</v>
      </c>
      <c r="AO217" s="1365">
        <f t="shared" si="312"/>
        <v>0</v>
      </c>
      <c r="AP217" s="1366">
        <v>0</v>
      </c>
      <c r="AQ217" s="1367">
        <f t="shared" si="313"/>
        <v>0</v>
      </c>
      <c r="AR217" s="1368">
        <v>0.1</v>
      </c>
      <c r="AS217" s="1369">
        <f t="shared" si="314"/>
        <v>284.16000000000003</v>
      </c>
      <c r="AT217" s="1370">
        <v>0</v>
      </c>
      <c r="AU217" s="1371">
        <f t="shared" si="315"/>
        <v>0</v>
      </c>
      <c r="AV217" s="1359">
        <f t="shared" si="316"/>
        <v>4.9999999999999989E-2</v>
      </c>
      <c r="AW217" s="1372">
        <f t="shared" si="317"/>
        <v>142.07999999999998</v>
      </c>
      <c r="AX217" s="1373">
        <f t="shared" si="318"/>
        <v>0.15</v>
      </c>
      <c r="AY217" s="1374">
        <f t="shared" si="319"/>
        <v>426.24000000000007</v>
      </c>
      <c r="AZ217" s="1375">
        <f t="shared" si="320"/>
        <v>0.15</v>
      </c>
      <c r="BA217" s="1376">
        <f t="shared" si="321"/>
        <v>426.24000000000007</v>
      </c>
      <c r="BB217" s="1377"/>
      <c r="BC217" s="1820"/>
      <c r="BD217" s="1820"/>
      <c r="BE217" s="1823"/>
      <c r="BF217" s="1834"/>
      <c r="BG217" s="1829"/>
    </row>
    <row r="218" spans="1:59" s="1378" customFormat="1" ht="38.25">
      <c r="A218" s="1347" t="str">
        <f t="shared" si="305"/>
        <v>Carol Cole Company, Inc.</v>
      </c>
      <c r="B218" s="1348" t="str">
        <f t="shared" si="306"/>
        <v>HUB SD</v>
      </c>
      <c r="C218" s="1348">
        <f t="shared" si="307"/>
        <v>88</v>
      </c>
      <c r="D218" s="1349">
        <v>43101</v>
      </c>
      <c r="E218" s="1349"/>
      <c r="F218" s="1347" t="s">
        <v>113</v>
      </c>
      <c r="G218" s="1347" t="s">
        <v>85</v>
      </c>
      <c r="H218" s="1347" t="s">
        <v>85</v>
      </c>
      <c r="I218" s="1347" t="s">
        <v>113</v>
      </c>
      <c r="J218" s="1349" t="s">
        <v>4690</v>
      </c>
      <c r="K218" s="1349" t="s">
        <v>254</v>
      </c>
      <c r="L218" s="1350" t="s">
        <v>4682</v>
      </c>
      <c r="M218" s="1350" t="s">
        <v>4691</v>
      </c>
      <c r="N218" s="1351" t="s">
        <v>98</v>
      </c>
      <c r="O218" s="1352" t="s">
        <v>4693</v>
      </c>
      <c r="P218" s="1388"/>
      <c r="Q218" s="1354"/>
      <c r="R218" s="1354"/>
      <c r="S218" s="1354"/>
      <c r="T218" s="1354"/>
      <c r="U218" s="1354"/>
      <c r="V218" s="1354"/>
      <c r="W218" s="1354"/>
      <c r="X218" s="1353">
        <v>43101</v>
      </c>
      <c r="Y218" s="1353">
        <v>43466</v>
      </c>
      <c r="Z218" s="1355">
        <v>25</v>
      </c>
      <c r="AA218" s="1355" t="s">
        <v>4685</v>
      </c>
      <c r="AB218" s="1356"/>
      <c r="AC218" s="1356"/>
      <c r="AD218" s="1356"/>
      <c r="AE218" s="1356"/>
      <c r="AF218" s="1357" t="str">
        <f t="shared" si="140"/>
        <v/>
      </c>
      <c r="AG218" s="1358">
        <v>203.4</v>
      </c>
      <c r="AH218" s="1358">
        <f t="shared" si="322"/>
        <v>2440.8000000000002</v>
      </c>
      <c r="AI218" s="1359">
        <v>0.15</v>
      </c>
      <c r="AJ218" s="1360">
        <f t="shared" si="309"/>
        <v>30.509999999999998</v>
      </c>
      <c r="AK218" s="1361">
        <f t="shared" si="310"/>
        <v>366.12</v>
      </c>
      <c r="AL218" s="1384">
        <v>0</v>
      </c>
      <c r="AM218" s="1363">
        <f t="shared" si="311"/>
        <v>0</v>
      </c>
      <c r="AN218" s="1364">
        <v>0</v>
      </c>
      <c r="AO218" s="1365">
        <f t="shared" si="312"/>
        <v>0</v>
      </c>
      <c r="AP218" s="1366">
        <v>0</v>
      </c>
      <c r="AQ218" s="1367">
        <f t="shared" si="313"/>
        <v>0</v>
      </c>
      <c r="AR218" s="1368">
        <v>0.1</v>
      </c>
      <c r="AS218" s="1369">
        <f t="shared" si="314"/>
        <v>244.08000000000004</v>
      </c>
      <c r="AT218" s="1370">
        <v>0</v>
      </c>
      <c r="AU218" s="1371">
        <f t="shared" si="315"/>
        <v>0</v>
      </c>
      <c r="AV218" s="1359">
        <f t="shared" si="316"/>
        <v>4.9999999999999989E-2</v>
      </c>
      <c r="AW218" s="1372">
        <f t="shared" si="317"/>
        <v>122.03999999999998</v>
      </c>
      <c r="AX218" s="1373">
        <f t="shared" si="318"/>
        <v>0.15</v>
      </c>
      <c r="AY218" s="1374">
        <f t="shared" si="319"/>
        <v>366.12</v>
      </c>
      <c r="AZ218" s="1375">
        <f t="shared" si="320"/>
        <v>0.15</v>
      </c>
      <c r="BA218" s="1376">
        <f t="shared" si="321"/>
        <v>366.12</v>
      </c>
      <c r="BB218" s="1377"/>
      <c r="BC218" s="1820"/>
      <c r="BD218" s="1820"/>
      <c r="BE218" s="1823"/>
      <c r="BF218" s="1834"/>
      <c r="BG218" s="1829"/>
    </row>
    <row r="219" spans="1:59" s="1378" customFormat="1" ht="38.25">
      <c r="A219" s="1347" t="str">
        <f t="shared" si="305"/>
        <v>Carol Cole Company, Inc.</v>
      </c>
      <c r="B219" s="1348" t="str">
        <f t="shared" si="306"/>
        <v>HUB SD</v>
      </c>
      <c r="C219" s="1348">
        <f t="shared" si="307"/>
        <v>88</v>
      </c>
      <c r="D219" s="1349">
        <v>43101</v>
      </c>
      <c r="E219" s="1349"/>
      <c r="F219" s="1347" t="s">
        <v>113</v>
      </c>
      <c r="G219" s="1347" t="s">
        <v>85</v>
      </c>
      <c r="H219" s="1347" t="s">
        <v>85</v>
      </c>
      <c r="I219" s="1347" t="s">
        <v>113</v>
      </c>
      <c r="J219" s="1349" t="s">
        <v>4690</v>
      </c>
      <c r="K219" s="1349" t="s">
        <v>254</v>
      </c>
      <c r="L219" s="1350" t="s">
        <v>4682</v>
      </c>
      <c r="M219" s="1350" t="s">
        <v>4691</v>
      </c>
      <c r="N219" s="1351" t="s">
        <v>4694</v>
      </c>
      <c r="O219" s="1352" t="s">
        <v>4695</v>
      </c>
      <c r="P219" s="1388"/>
      <c r="Q219" s="1354"/>
      <c r="R219" s="1354"/>
      <c r="S219" s="1354"/>
      <c r="T219" s="1354"/>
      <c r="U219" s="1354"/>
      <c r="V219" s="1354"/>
      <c r="W219" s="1354"/>
      <c r="X219" s="1353">
        <v>43101</v>
      </c>
      <c r="Y219" s="1353">
        <v>43466</v>
      </c>
      <c r="Z219" s="1355">
        <v>12</v>
      </c>
      <c r="AA219" s="1355" t="s">
        <v>4685</v>
      </c>
      <c r="AB219" s="1356"/>
      <c r="AC219" s="1356"/>
      <c r="AD219" s="1356"/>
      <c r="AE219" s="1356"/>
      <c r="AF219" s="1357" t="str">
        <f t="shared" si="140"/>
        <v/>
      </c>
      <c r="AG219" s="1358">
        <v>214.02</v>
      </c>
      <c r="AH219" s="1358">
        <f t="shared" si="322"/>
        <v>2568.2400000000002</v>
      </c>
      <c r="AI219" s="1359">
        <v>0.15</v>
      </c>
      <c r="AJ219" s="1360">
        <f t="shared" si="309"/>
        <v>32.103000000000002</v>
      </c>
      <c r="AK219" s="1361">
        <f t="shared" si="310"/>
        <v>385.23600000000005</v>
      </c>
      <c r="AL219" s="1384">
        <v>0</v>
      </c>
      <c r="AM219" s="1363">
        <f t="shared" si="311"/>
        <v>0</v>
      </c>
      <c r="AN219" s="1364">
        <v>0</v>
      </c>
      <c r="AO219" s="1365">
        <f t="shared" si="312"/>
        <v>0</v>
      </c>
      <c r="AP219" s="1366">
        <v>0</v>
      </c>
      <c r="AQ219" s="1367">
        <f t="shared" si="313"/>
        <v>0</v>
      </c>
      <c r="AR219" s="1368">
        <v>0.1</v>
      </c>
      <c r="AS219" s="1369">
        <f t="shared" si="314"/>
        <v>256.82400000000001</v>
      </c>
      <c r="AT219" s="1370">
        <v>0</v>
      </c>
      <c r="AU219" s="1371">
        <f t="shared" si="315"/>
        <v>0</v>
      </c>
      <c r="AV219" s="1359">
        <f t="shared" si="316"/>
        <v>4.9999999999999989E-2</v>
      </c>
      <c r="AW219" s="1372">
        <f t="shared" si="317"/>
        <v>128.41199999999998</v>
      </c>
      <c r="AX219" s="1373">
        <f t="shared" si="318"/>
        <v>0.15</v>
      </c>
      <c r="AY219" s="1374">
        <f t="shared" si="319"/>
        <v>385.23600000000005</v>
      </c>
      <c r="AZ219" s="1375">
        <f t="shared" si="320"/>
        <v>0.15</v>
      </c>
      <c r="BA219" s="1376">
        <f t="shared" si="321"/>
        <v>385.23600000000005</v>
      </c>
      <c r="BB219" s="1377"/>
      <c r="BC219" s="1820"/>
      <c r="BD219" s="1820"/>
      <c r="BE219" s="1823"/>
      <c r="BF219" s="1834"/>
      <c r="BG219" s="1829"/>
    </row>
    <row r="220" spans="1:59" s="1378" customFormat="1" ht="27.75" customHeight="1">
      <c r="A220" s="1347" t="str">
        <f t="shared" si="305"/>
        <v>Carol Cole Company, Inc.</v>
      </c>
      <c r="B220" s="1348" t="str">
        <f t="shared" si="306"/>
        <v>HUB SD</v>
      </c>
      <c r="C220" s="1348">
        <f t="shared" si="307"/>
        <v>88</v>
      </c>
      <c r="D220" s="1349">
        <v>43101</v>
      </c>
      <c r="E220" s="1349"/>
      <c r="F220" s="1347" t="s">
        <v>72</v>
      </c>
      <c r="G220" s="1347" t="s">
        <v>85</v>
      </c>
      <c r="H220" s="1347" t="s">
        <v>72</v>
      </c>
      <c r="I220" s="1347" t="s">
        <v>72</v>
      </c>
      <c r="J220" s="1349" t="s">
        <v>4670</v>
      </c>
      <c r="K220" s="1349" t="s">
        <v>254</v>
      </c>
      <c r="L220" s="1350" t="s">
        <v>4696</v>
      </c>
      <c r="M220" s="1350" t="s">
        <v>4697</v>
      </c>
      <c r="N220" s="1389" t="s">
        <v>4698</v>
      </c>
      <c r="O220" s="1352" t="s">
        <v>4699</v>
      </c>
      <c r="P220" s="1388"/>
      <c r="Q220" s="1354"/>
      <c r="R220" s="1354"/>
      <c r="S220" s="1354"/>
      <c r="T220" s="1354"/>
      <c r="U220" s="1354"/>
      <c r="V220" s="1354"/>
      <c r="W220" s="1354"/>
      <c r="X220" s="1353">
        <v>43101</v>
      </c>
      <c r="Y220" s="1353">
        <v>43466</v>
      </c>
      <c r="Z220" s="1355"/>
      <c r="AA220" s="1355" t="s">
        <v>4674</v>
      </c>
      <c r="AB220" s="1356"/>
      <c r="AC220" s="1356"/>
      <c r="AD220" s="1356"/>
      <c r="AE220" s="1356"/>
      <c r="AF220" s="1357" t="str">
        <f t="shared" si="140"/>
        <v/>
      </c>
      <c r="AG220" s="1380"/>
      <c r="AH220" s="1380"/>
      <c r="AI220" s="1381">
        <v>0</v>
      </c>
      <c r="AJ220" s="1382">
        <f t="shared" si="309"/>
        <v>0</v>
      </c>
      <c r="AK220" s="1383">
        <f t="shared" si="310"/>
        <v>0</v>
      </c>
      <c r="AL220" s="1384">
        <v>0</v>
      </c>
      <c r="AM220" s="1363">
        <f t="shared" si="311"/>
        <v>0</v>
      </c>
      <c r="AN220" s="1364">
        <v>0</v>
      </c>
      <c r="AO220" s="1365">
        <f t="shared" si="312"/>
        <v>0</v>
      </c>
      <c r="AP220" s="1366">
        <v>0</v>
      </c>
      <c r="AQ220" s="1367">
        <f t="shared" si="313"/>
        <v>0</v>
      </c>
      <c r="AR220" s="1368">
        <v>0</v>
      </c>
      <c r="AS220" s="1369">
        <f t="shared" si="314"/>
        <v>0</v>
      </c>
      <c r="AT220" s="1370">
        <v>0</v>
      </c>
      <c r="AU220" s="1371">
        <f t="shared" si="315"/>
        <v>0</v>
      </c>
      <c r="AV220" s="1359">
        <f t="shared" si="316"/>
        <v>0</v>
      </c>
      <c r="AW220" s="1372">
        <f t="shared" si="317"/>
        <v>0</v>
      </c>
      <c r="AX220" s="1373">
        <f t="shared" si="318"/>
        <v>0</v>
      </c>
      <c r="AY220" s="1374">
        <f t="shared" si="319"/>
        <v>0</v>
      </c>
      <c r="AZ220" s="1375">
        <f t="shared" si="320"/>
        <v>0</v>
      </c>
      <c r="BA220" s="1376">
        <f t="shared" si="321"/>
        <v>0</v>
      </c>
      <c r="BB220" s="1377"/>
      <c r="BC220" s="1820"/>
      <c r="BD220" s="1820"/>
      <c r="BE220" s="1823"/>
      <c r="BF220" s="1834"/>
      <c r="BG220" s="1829"/>
    </row>
    <row r="221" spans="1:59" s="1378" customFormat="1" ht="38.25">
      <c r="A221" s="1347" t="str">
        <f t="shared" si="305"/>
        <v>Carol Cole Company, Inc.</v>
      </c>
      <c r="B221" s="1348" t="str">
        <f t="shared" si="306"/>
        <v>HUB SD</v>
      </c>
      <c r="C221" s="1348">
        <f t="shared" si="307"/>
        <v>88</v>
      </c>
      <c r="D221" s="1349">
        <v>43101</v>
      </c>
      <c r="E221" s="1349"/>
      <c r="F221" s="1347" t="s">
        <v>72</v>
      </c>
      <c r="G221" s="1347" t="s">
        <v>4700</v>
      </c>
      <c r="H221" s="1347" t="s">
        <v>72</v>
      </c>
      <c r="I221" s="1347" t="s">
        <v>72</v>
      </c>
      <c r="J221" s="1349" t="s">
        <v>4670</v>
      </c>
      <c r="K221" s="1349" t="s">
        <v>254</v>
      </c>
      <c r="L221" s="1350" t="s">
        <v>48</v>
      </c>
      <c r="M221" s="1350" t="s">
        <v>3652</v>
      </c>
      <c r="N221" s="1390" t="s">
        <v>4899</v>
      </c>
      <c r="O221" s="1352" t="s">
        <v>4702</v>
      </c>
      <c r="P221" s="1388"/>
      <c r="Q221" s="1354"/>
      <c r="R221" s="1354"/>
      <c r="S221" s="1354"/>
      <c r="T221" s="1354"/>
      <c r="U221" s="1354"/>
      <c r="V221" s="1354"/>
      <c r="W221" s="1354"/>
      <c r="X221" s="1353">
        <v>43101</v>
      </c>
      <c r="Y221" s="1353">
        <v>43466</v>
      </c>
      <c r="Z221" s="1355"/>
      <c r="AA221" s="1355" t="s">
        <v>4674</v>
      </c>
      <c r="AB221" s="1356"/>
      <c r="AC221" s="1356"/>
      <c r="AD221" s="1356"/>
      <c r="AE221" s="1356"/>
      <c r="AF221" s="1357" t="str">
        <f t="shared" si="140"/>
        <v/>
      </c>
      <c r="AG221" s="1380"/>
      <c r="AH221" s="1380"/>
      <c r="AI221" s="1381">
        <v>0</v>
      </c>
      <c r="AJ221" s="1382">
        <f t="shared" si="309"/>
        <v>0</v>
      </c>
      <c r="AK221" s="1383">
        <f t="shared" si="310"/>
        <v>0</v>
      </c>
      <c r="AL221" s="1384">
        <v>0</v>
      </c>
      <c r="AM221" s="1363">
        <f t="shared" si="311"/>
        <v>0</v>
      </c>
      <c r="AN221" s="1364">
        <v>0</v>
      </c>
      <c r="AO221" s="1365">
        <f t="shared" si="312"/>
        <v>0</v>
      </c>
      <c r="AP221" s="1366">
        <v>0</v>
      </c>
      <c r="AQ221" s="1367">
        <f t="shared" si="313"/>
        <v>0</v>
      </c>
      <c r="AR221" s="1368">
        <v>0</v>
      </c>
      <c r="AS221" s="1369">
        <f t="shared" si="314"/>
        <v>0</v>
      </c>
      <c r="AT221" s="1370">
        <v>0</v>
      </c>
      <c r="AU221" s="1371">
        <f t="shared" si="315"/>
        <v>0</v>
      </c>
      <c r="AV221" s="1359">
        <f t="shared" si="316"/>
        <v>0</v>
      </c>
      <c r="AW221" s="1372">
        <f t="shared" si="317"/>
        <v>0</v>
      </c>
      <c r="AX221" s="1373">
        <f t="shared" si="318"/>
        <v>0</v>
      </c>
      <c r="AY221" s="1374">
        <f t="shared" si="319"/>
        <v>0</v>
      </c>
      <c r="AZ221" s="1375">
        <f t="shared" si="320"/>
        <v>0</v>
      </c>
      <c r="BA221" s="1376">
        <f t="shared" si="321"/>
        <v>0</v>
      </c>
      <c r="BB221" s="1377"/>
      <c r="BC221" s="1820"/>
      <c r="BD221" s="1820"/>
      <c r="BE221" s="1823"/>
      <c r="BF221" s="1834"/>
      <c r="BG221" s="1829"/>
    </row>
    <row r="222" spans="1:59" s="1378" customFormat="1" ht="38.25">
      <c r="A222" s="1347" t="str">
        <f t="shared" si="305"/>
        <v>Carol Cole Company, Inc.</v>
      </c>
      <c r="B222" s="1348" t="str">
        <f t="shared" si="306"/>
        <v>HUB SD</v>
      </c>
      <c r="C222" s="1348">
        <f t="shared" si="307"/>
        <v>88</v>
      </c>
      <c r="D222" s="1349">
        <v>43101</v>
      </c>
      <c r="E222" s="1349"/>
      <c r="F222" s="1347" t="s">
        <v>72</v>
      </c>
      <c r="G222" s="1347" t="s">
        <v>85</v>
      </c>
      <c r="H222" s="1347" t="s">
        <v>72</v>
      </c>
      <c r="I222" s="1347" t="s">
        <v>72</v>
      </c>
      <c r="J222" s="1349" t="s">
        <v>4670</v>
      </c>
      <c r="K222" s="1349" t="s">
        <v>254</v>
      </c>
      <c r="L222" s="1350" t="s">
        <v>48</v>
      </c>
      <c r="M222" s="1350" t="s">
        <v>253</v>
      </c>
      <c r="N222" s="1390" t="s">
        <v>4703</v>
      </c>
      <c r="O222" s="1352" t="s">
        <v>4704</v>
      </c>
      <c r="P222" s="1388"/>
      <c r="Q222" s="1354"/>
      <c r="R222" s="1354"/>
      <c r="S222" s="1354"/>
      <c r="T222" s="1354"/>
      <c r="U222" s="1354"/>
      <c r="V222" s="1354"/>
      <c r="W222" s="1354"/>
      <c r="X222" s="1353">
        <v>43101</v>
      </c>
      <c r="Y222" s="1353">
        <v>43466</v>
      </c>
      <c r="Z222" s="1355"/>
      <c r="AA222" s="1355" t="s">
        <v>4674</v>
      </c>
      <c r="AB222" s="1356"/>
      <c r="AC222" s="1356"/>
      <c r="AD222" s="1356"/>
      <c r="AE222" s="1356"/>
      <c r="AF222" s="1357" t="str">
        <f t="shared" si="140"/>
        <v/>
      </c>
      <c r="AG222" s="1380"/>
      <c r="AH222" s="1380"/>
      <c r="AI222" s="1381">
        <v>0</v>
      </c>
      <c r="AJ222" s="1382">
        <f t="shared" si="309"/>
        <v>0</v>
      </c>
      <c r="AK222" s="1383">
        <f t="shared" si="310"/>
        <v>0</v>
      </c>
      <c r="AL222" s="1384">
        <v>0</v>
      </c>
      <c r="AM222" s="1363">
        <f t="shared" si="311"/>
        <v>0</v>
      </c>
      <c r="AN222" s="1364">
        <v>0</v>
      </c>
      <c r="AO222" s="1365">
        <f t="shared" si="312"/>
        <v>0</v>
      </c>
      <c r="AP222" s="1366">
        <v>0</v>
      </c>
      <c r="AQ222" s="1367">
        <f t="shared" si="313"/>
        <v>0</v>
      </c>
      <c r="AR222" s="1368">
        <v>0</v>
      </c>
      <c r="AS222" s="1369">
        <f t="shared" si="314"/>
        <v>0</v>
      </c>
      <c r="AT222" s="1370">
        <v>0</v>
      </c>
      <c r="AU222" s="1371">
        <f t="shared" si="315"/>
        <v>0</v>
      </c>
      <c r="AV222" s="1359">
        <f t="shared" si="316"/>
        <v>0</v>
      </c>
      <c r="AW222" s="1372">
        <f t="shared" si="317"/>
        <v>0</v>
      </c>
      <c r="AX222" s="1373">
        <f t="shared" si="318"/>
        <v>0</v>
      </c>
      <c r="AY222" s="1374">
        <f t="shared" si="319"/>
        <v>0</v>
      </c>
      <c r="AZ222" s="1375">
        <f t="shared" si="320"/>
        <v>0</v>
      </c>
      <c r="BA222" s="1376">
        <f t="shared" si="321"/>
        <v>0</v>
      </c>
      <c r="BB222" s="1391"/>
      <c r="BC222" s="1820"/>
      <c r="BD222" s="1820"/>
      <c r="BE222" s="1823"/>
      <c r="BF222" s="1834"/>
      <c r="BG222" s="1829"/>
    </row>
    <row r="223" spans="1:59" s="1378" customFormat="1" ht="38.25">
      <c r="A223" s="1347" t="str">
        <f t="shared" si="305"/>
        <v>Carol Cole Company, Inc.</v>
      </c>
      <c r="B223" s="1348" t="str">
        <f t="shared" si="306"/>
        <v>HUB SD</v>
      </c>
      <c r="C223" s="1348">
        <f t="shared" si="307"/>
        <v>88</v>
      </c>
      <c r="D223" s="1349">
        <v>43101</v>
      </c>
      <c r="E223" s="1349"/>
      <c r="F223" s="1347" t="s">
        <v>72</v>
      </c>
      <c r="G223" s="1347" t="s">
        <v>85</v>
      </c>
      <c r="H223" s="1347" t="s">
        <v>72</v>
      </c>
      <c r="I223" s="1347" t="s">
        <v>72</v>
      </c>
      <c r="J223" s="1349" t="s">
        <v>4670</v>
      </c>
      <c r="K223" s="1349" t="s">
        <v>254</v>
      </c>
      <c r="L223" s="1350" t="s">
        <v>49</v>
      </c>
      <c r="M223" s="1350" t="s">
        <v>4705</v>
      </c>
      <c r="N223" s="1390" t="s">
        <v>4706</v>
      </c>
      <c r="O223" s="1352" t="s">
        <v>4707</v>
      </c>
      <c r="P223" s="1388"/>
      <c r="Q223" s="1354"/>
      <c r="R223" s="1354"/>
      <c r="S223" s="1354"/>
      <c r="T223" s="1354"/>
      <c r="U223" s="1354"/>
      <c r="V223" s="1354"/>
      <c r="W223" s="1354"/>
      <c r="X223" s="1353">
        <v>43101</v>
      </c>
      <c r="Y223" s="1353">
        <v>43466</v>
      </c>
      <c r="Z223" s="1355"/>
      <c r="AA223" s="1355" t="s">
        <v>4674</v>
      </c>
      <c r="AB223" s="1356"/>
      <c r="AC223" s="1356"/>
      <c r="AD223" s="1356"/>
      <c r="AE223" s="1356"/>
      <c r="AF223" s="1357" t="str">
        <f t="shared" si="140"/>
        <v/>
      </c>
      <c r="AG223" s="1380"/>
      <c r="AH223" s="1380"/>
      <c r="AI223" s="1381">
        <v>0</v>
      </c>
      <c r="AJ223" s="1382">
        <f t="shared" si="309"/>
        <v>0</v>
      </c>
      <c r="AK223" s="1383">
        <f t="shared" si="310"/>
        <v>0</v>
      </c>
      <c r="AL223" s="1384">
        <v>0</v>
      </c>
      <c r="AM223" s="1363">
        <f t="shared" si="311"/>
        <v>0</v>
      </c>
      <c r="AN223" s="1364">
        <v>0</v>
      </c>
      <c r="AO223" s="1365">
        <f t="shared" si="312"/>
        <v>0</v>
      </c>
      <c r="AP223" s="1366">
        <v>0</v>
      </c>
      <c r="AQ223" s="1367">
        <f t="shared" si="313"/>
        <v>0</v>
      </c>
      <c r="AR223" s="1368">
        <v>0</v>
      </c>
      <c r="AS223" s="1369">
        <f t="shared" si="314"/>
        <v>0</v>
      </c>
      <c r="AT223" s="1370">
        <v>0</v>
      </c>
      <c r="AU223" s="1371">
        <f t="shared" si="315"/>
        <v>0</v>
      </c>
      <c r="AV223" s="1359">
        <f t="shared" si="316"/>
        <v>0</v>
      </c>
      <c r="AW223" s="1372">
        <f t="shared" si="317"/>
        <v>0</v>
      </c>
      <c r="AX223" s="1373">
        <f t="shared" si="318"/>
        <v>0</v>
      </c>
      <c r="AY223" s="1374">
        <f t="shared" si="319"/>
        <v>0</v>
      </c>
      <c r="AZ223" s="1375">
        <f t="shared" si="320"/>
        <v>0</v>
      </c>
      <c r="BA223" s="1376">
        <f t="shared" si="321"/>
        <v>0</v>
      </c>
      <c r="BB223" s="1391"/>
      <c r="BC223" s="1820"/>
      <c r="BD223" s="1820"/>
      <c r="BE223" s="1823"/>
      <c r="BF223" s="1834"/>
      <c r="BG223" s="1829"/>
    </row>
    <row r="224" spans="1:59" s="1378" customFormat="1" ht="38.25">
      <c r="A224" s="1347" t="str">
        <f t="shared" si="305"/>
        <v>Carol Cole Company, Inc.</v>
      </c>
      <c r="B224" s="1348" t="str">
        <f t="shared" si="306"/>
        <v>HUB SD</v>
      </c>
      <c r="C224" s="1348">
        <f t="shared" si="307"/>
        <v>88</v>
      </c>
      <c r="D224" s="1349">
        <v>43101</v>
      </c>
      <c r="E224" s="1349"/>
      <c r="F224" s="1347" t="s">
        <v>72</v>
      </c>
      <c r="G224" s="1347" t="s">
        <v>85</v>
      </c>
      <c r="H224" s="1347" t="s">
        <v>72</v>
      </c>
      <c r="I224" s="1347" t="s">
        <v>72</v>
      </c>
      <c r="J224" s="1349" t="s">
        <v>4670</v>
      </c>
      <c r="K224" s="1349" t="s">
        <v>254</v>
      </c>
      <c r="L224" s="1350" t="s">
        <v>3056</v>
      </c>
      <c r="M224" s="1350" t="s">
        <v>4708</v>
      </c>
      <c r="N224" s="1390" t="s">
        <v>4709</v>
      </c>
      <c r="O224" s="1352" t="s">
        <v>4710</v>
      </c>
      <c r="P224" s="1388"/>
      <c r="Q224" s="1354"/>
      <c r="R224" s="1354"/>
      <c r="S224" s="1354"/>
      <c r="T224" s="1354"/>
      <c r="U224" s="1354"/>
      <c r="V224" s="1354"/>
      <c r="W224" s="1354"/>
      <c r="X224" s="1353">
        <v>43101</v>
      </c>
      <c r="Y224" s="1353">
        <v>43466</v>
      </c>
      <c r="Z224" s="1355"/>
      <c r="AA224" s="1355" t="s">
        <v>4674</v>
      </c>
      <c r="AB224" s="1356"/>
      <c r="AC224" s="1356"/>
      <c r="AD224" s="1356"/>
      <c r="AE224" s="1356"/>
      <c r="AF224" s="1357" t="str">
        <f t="shared" si="140"/>
        <v/>
      </c>
      <c r="AG224" s="1380"/>
      <c r="AH224" s="1380"/>
      <c r="AI224" s="1381">
        <v>0</v>
      </c>
      <c r="AJ224" s="1382">
        <f t="shared" si="309"/>
        <v>0</v>
      </c>
      <c r="AK224" s="1383">
        <f t="shared" si="310"/>
        <v>0</v>
      </c>
      <c r="AL224" s="1384">
        <v>0</v>
      </c>
      <c r="AM224" s="1363">
        <f t="shared" si="311"/>
        <v>0</v>
      </c>
      <c r="AN224" s="1364">
        <v>0</v>
      </c>
      <c r="AO224" s="1365">
        <f t="shared" si="312"/>
        <v>0</v>
      </c>
      <c r="AP224" s="1366">
        <v>0</v>
      </c>
      <c r="AQ224" s="1367">
        <f t="shared" si="313"/>
        <v>0</v>
      </c>
      <c r="AR224" s="1368">
        <v>0</v>
      </c>
      <c r="AS224" s="1369">
        <f t="shared" si="314"/>
        <v>0</v>
      </c>
      <c r="AT224" s="1370">
        <v>0</v>
      </c>
      <c r="AU224" s="1371">
        <f t="shared" si="315"/>
        <v>0</v>
      </c>
      <c r="AV224" s="1359">
        <f t="shared" si="316"/>
        <v>0</v>
      </c>
      <c r="AW224" s="1372">
        <f t="shared" si="317"/>
        <v>0</v>
      </c>
      <c r="AX224" s="1373">
        <f t="shared" si="318"/>
        <v>0</v>
      </c>
      <c r="AY224" s="1374">
        <f t="shared" si="319"/>
        <v>0</v>
      </c>
      <c r="AZ224" s="1375">
        <f t="shared" si="320"/>
        <v>0</v>
      </c>
      <c r="BA224" s="1376">
        <f t="shared" si="321"/>
        <v>0</v>
      </c>
      <c r="BB224" s="1391"/>
      <c r="BC224" s="1821"/>
      <c r="BD224" s="1821"/>
      <c r="BE224" s="1824"/>
      <c r="BF224" s="1834"/>
      <c r="BG224" s="1830"/>
    </row>
    <row r="225" spans="1:63" s="1315" customFormat="1" ht="38.25">
      <c r="A225" s="1277" t="str">
        <f t="shared" ref="A225:A237" si="323">$L$225</f>
        <v>Cellerant Therapeutics, Inc.</v>
      </c>
      <c r="B225" s="1277" t="s">
        <v>4806</v>
      </c>
      <c r="C225" s="1316">
        <f t="shared" ref="C225:C237" si="324">$Z$225</f>
        <v>34</v>
      </c>
      <c r="D225" s="1317">
        <v>42887</v>
      </c>
      <c r="E225" s="1317"/>
      <c r="F225" s="1277" t="s">
        <v>72</v>
      </c>
      <c r="G225" s="1277" t="s">
        <v>72</v>
      </c>
      <c r="H225" s="1277" t="s">
        <v>72</v>
      </c>
      <c r="I225" s="1277" t="s">
        <v>4711</v>
      </c>
      <c r="J225" s="1317"/>
      <c r="K225" s="1317"/>
      <c r="L225" s="1318" t="s">
        <v>408</v>
      </c>
      <c r="M225" s="1319"/>
      <c r="N225" s="1417" t="s">
        <v>3654</v>
      </c>
      <c r="O225" s="1418" t="s">
        <v>2474</v>
      </c>
      <c r="P225" s="1418"/>
      <c r="Q225" s="1322"/>
      <c r="R225" s="1322"/>
      <c r="S225" s="1322"/>
      <c r="T225" s="1322"/>
      <c r="U225" s="1322"/>
      <c r="V225" s="1322"/>
      <c r="W225" s="1322"/>
      <c r="X225" s="1317">
        <v>43101</v>
      </c>
      <c r="Y225" s="1317">
        <v>43466</v>
      </c>
      <c r="Z225" s="1316">
        <v>34</v>
      </c>
      <c r="AA225" s="1316" t="s">
        <v>4900</v>
      </c>
      <c r="AB225" s="1323">
        <f>SUM(AB226:AB238)</f>
        <v>0</v>
      </c>
      <c r="AC225" s="1323">
        <f>SUM(AC226:AC238)</f>
        <v>0</v>
      </c>
      <c r="AD225" s="1323">
        <f>SUM(AD226:AD238)</f>
        <v>0</v>
      </c>
      <c r="AE225" s="1324">
        <f t="shared" si="168"/>
        <v>0</v>
      </c>
      <c r="AF225" s="1325" t="str">
        <f t="shared" si="140"/>
        <v/>
      </c>
      <c r="AG225" s="1326">
        <f t="shared" si="260"/>
        <v>32657.585000000003</v>
      </c>
      <c r="AH225" s="1326">
        <f>SUM(AH226:AH238)</f>
        <v>391891.02</v>
      </c>
      <c r="AI225" s="1327"/>
      <c r="AJ225" s="1328">
        <f>SUM(AJ226:AJ238)</f>
        <v>2861.6471499999998</v>
      </c>
      <c r="AK225" s="1328">
        <f>SUM(AK226:AK238)</f>
        <v>34339.765799999994</v>
      </c>
      <c r="AL225" s="1329"/>
      <c r="AM225" s="1330">
        <f>SUM(AM226:AM238)</f>
        <v>1528.6157999999998</v>
      </c>
      <c r="AN225" s="1331"/>
      <c r="AO225" s="1332">
        <f>SUM(AO226:AO238)</f>
        <v>19628.405999999999</v>
      </c>
      <c r="AP225" s="1333"/>
      <c r="AQ225" s="1334">
        <f>SUM(AQ226:AQ238)</f>
        <v>0</v>
      </c>
      <c r="AR225" s="1335"/>
      <c r="AS225" s="1336">
        <f>SUM(AS226:AS238)</f>
        <v>0</v>
      </c>
      <c r="AT225" s="1337"/>
      <c r="AU225" s="1338">
        <f>SUM(AU226:AU238)</f>
        <v>7643.0789999999997</v>
      </c>
      <c r="AV225" s="1339"/>
      <c r="AW225" s="1340">
        <f>SUM(AW226:AW238)</f>
        <v>5539.6649999999981</v>
      </c>
      <c r="AX225" s="1306"/>
      <c r="AY225" s="1307">
        <f>SUM(AW225+AS225+AU225)</f>
        <v>13182.743999999999</v>
      </c>
      <c r="AZ225" s="1341"/>
      <c r="BA225" s="1309">
        <f>SUM(AY225+AQ225)</f>
        <v>13182.743999999999</v>
      </c>
      <c r="BB225" s="1342">
        <f>(AW225+AU225)/(AK225-AM225)</f>
        <v>0.4017763473697204</v>
      </c>
      <c r="BC225" s="1343"/>
      <c r="BD225" s="1343"/>
      <c r="BE225" s="1344"/>
      <c r="BF225" s="1420" t="s">
        <v>4901</v>
      </c>
      <c r="BG225" s="1346"/>
    </row>
    <row r="226" spans="1:63" s="1378" customFormat="1" ht="52.5" customHeight="1">
      <c r="A226" s="1347" t="str">
        <f t="shared" si="323"/>
        <v>Cellerant Therapeutics, Inc.</v>
      </c>
      <c r="B226" s="1347" t="s">
        <v>4806</v>
      </c>
      <c r="C226" s="1348">
        <f t="shared" si="324"/>
        <v>34</v>
      </c>
      <c r="D226" s="1349">
        <v>42887</v>
      </c>
      <c r="E226" s="1349"/>
      <c r="F226" s="1347" t="s">
        <v>85</v>
      </c>
      <c r="G226" s="1347" t="s">
        <v>85</v>
      </c>
      <c r="H226" s="1347" t="s">
        <v>85</v>
      </c>
      <c r="I226" s="1347" t="s">
        <v>113</v>
      </c>
      <c r="J226" s="1349"/>
      <c r="K226" s="1349" t="s">
        <v>254</v>
      </c>
      <c r="L226" s="1350" t="s">
        <v>2661</v>
      </c>
      <c r="M226" s="1350" t="s">
        <v>3647</v>
      </c>
      <c r="N226" s="1351" t="s">
        <v>4902</v>
      </c>
      <c r="O226" s="1352" t="s">
        <v>4903</v>
      </c>
      <c r="P226" s="1352" t="s">
        <v>4752</v>
      </c>
      <c r="Q226" s="1353" t="s">
        <v>303</v>
      </c>
      <c r="R226" s="1353" t="s">
        <v>3656</v>
      </c>
      <c r="S226" s="1353" t="s">
        <v>307</v>
      </c>
      <c r="T226" s="1353" t="s">
        <v>113</v>
      </c>
      <c r="U226" s="1354"/>
      <c r="V226" s="1354"/>
      <c r="W226" s="1354"/>
      <c r="X226" s="1353">
        <v>43101</v>
      </c>
      <c r="Y226" s="1353">
        <v>43466</v>
      </c>
      <c r="Z226" s="1355"/>
      <c r="AA226" s="1355" t="s">
        <v>4667</v>
      </c>
      <c r="AB226" s="1356"/>
      <c r="AC226" s="1356"/>
      <c r="AD226" s="1356"/>
      <c r="AE226" s="1356"/>
      <c r="AF226" s="1357"/>
      <c r="AG226" s="1358">
        <f t="shared" si="260"/>
        <v>25476.929999999997</v>
      </c>
      <c r="AH226" s="1358">
        <v>305723.15999999997</v>
      </c>
      <c r="AI226" s="1359">
        <v>0.08</v>
      </c>
      <c r="AJ226" s="1360">
        <f>$AI226*$AG226</f>
        <v>2038.1543999999997</v>
      </c>
      <c r="AK226" s="1361">
        <f t="shared" ref="AK226:AK234" si="325">AI226*$AH226</f>
        <v>24457.852799999997</v>
      </c>
      <c r="AL226" s="1362">
        <v>5.0000000000000001E-3</v>
      </c>
      <c r="AM226" s="1363">
        <f t="shared" ref="AM226:AM238" si="326">AL226*$AH226</f>
        <v>1528.6157999999998</v>
      </c>
      <c r="AN226" s="1364">
        <v>0.04</v>
      </c>
      <c r="AO226" s="1365">
        <f t="shared" ref="AO226:AO238" si="327">AN226*$AH226</f>
        <v>12228.926399999998</v>
      </c>
      <c r="AP226" s="1366">
        <v>0</v>
      </c>
      <c r="AQ226" s="1367">
        <f t="shared" ref="AQ226:AQ238" si="328">AP226*$AH226</f>
        <v>0</v>
      </c>
      <c r="AR226" s="1368">
        <v>0</v>
      </c>
      <c r="AS226" s="1369">
        <f t="shared" ref="AS226:AS238" si="329">AR226*$AH226</f>
        <v>0</v>
      </c>
      <c r="AT226" s="1370">
        <v>2.5000000000000001E-2</v>
      </c>
      <c r="AU226" s="1371">
        <f t="shared" ref="AU226:AU238" si="330">AT226*$AH226</f>
        <v>7643.0789999999997</v>
      </c>
      <c r="AV226" s="1359">
        <f t="shared" ref="AV226:AV238" si="331">AZ226-AR226-AT226-AP226</f>
        <v>9.999999999999995E-3</v>
      </c>
      <c r="AW226" s="1372">
        <f t="shared" ref="AW226:AW238" si="332">AV226*$AH226</f>
        <v>3057.2315999999983</v>
      </c>
      <c r="AX226" s="1373">
        <f t="shared" ref="AX226:AX238" si="333">$AZ226-$AP226</f>
        <v>3.4999999999999996E-2</v>
      </c>
      <c r="AY226" s="1374">
        <f t="shared" ref="AY226:AY238" si="334">AX226*$AH226</f>
        <v>10700.310599999999</v>
      </c>
      <c r="AZ226" s="1375">
        <f t="shared" ref="AZ226:AZ238" si="335">$AI226-$AL226-$AN226</f>
        <v>3.4999999999999996E-2</v>
      </c>
      <c r="BA226" s="1376">
        <f t="shared" ref="BA226:BA238" si="336">AZ226*$AH226</f>
        <v>10700.310599999999</v>
      </c>
      <c r="BB226" s="1377"/>
      <c r="BC226" s="1847" t="s">
        <v>114</v>
      </c>
      <c r="BD226" s="1819" t="s">
        <v>115</v>
      </c>
      <c r="BE226" s="1822" t="s">
        <v>115</v>
      </c>
      <c r="BF226" s="1825" t="s">
        <v>116</v>
      </c>
      <c r="BG226" s="1850">
        <v>61673385</v>
      </c>
    </row>
    <row r="227" spans="1:63" s="1378" customFormat="1" ht="38.25">
      <c r="A227" s="1347" t="str">
        <f t="shared" si="323"/>
        <v>Cellerant Therapeutics, Inc.</v>
      </c>
      <c r="B227" s="1347" t="s">
        <v>4806</v>
      </c>
      <c r="C227" s="1348">
        <f t="shared" si="324"/>
        <v>34</v>
      </c>
      <c r="D227" s="1349">
        <v>42887</v>
      </c>
      <c r="E227" s="1349"/>
      <c r="F227" s="1347" t="s">
        <v>72</v>
      </c>
      <c r="G227" s="1347" t="s">
        <v>85</v>
      </c>
      <c r="H227" s="1347" t="s">
        <v>72</v>
      </c>
      <c r="I227" s="1347" t="s">
        <v>72</v>
      </c>
      <c r="J227" s="1349" t="s">
        <v>4670</v>
      </c>
      <c r="K227" s="1349" t="s">
        <v>254</v>
      </c>
      <c r="L227" s="1350" t="s">
        <v>4671</v>
      </c>
      <c r="M227" s="1350" t="s">
        <v>3649</v>
      </c>
      <c r="N227" s="1379" t="s">
        <v>4904</v>
      </c>
      <c r="O227" s="1352" t="s">
        <v>4905</v>
      </c>
      <c r="P227" s="1352"/>
      <c r="Q227" s="1354"/>
      <c r="R227" s="1354"/>
      <c r="S227" s="1354"/>
      <c r="T227" s="1354"/>
      <c r="U227" s="1354"/>
      <c r="V227" s="1354"/>
      <c r="W227" s="1354"/>
      <c r="X227" s="1353">
        <v>43101</v>
      </c>
      <c r="Y227" s="1353">
        <v>43466</v>
      </c>
      <c r="Z227" s="1355"/>
      <c r="AA227" s="1355" t="s">
        <v>4674</v>
      </c>
      <c r="AB227" s="1356"/>
      <c r="AC227" s="1356"/>
      <c r="AD227" s="1356"/>
      <c r="AE227" s="1356"/>
      <c r="AF227" s="1357" t="str">
        <f t="shared" ref="AF227:AF228" si="337">IFERROR((AE227/AB227),"")</f>
        <v/>
      </c>
      <c r="AG227" s="1380"/>
      <c r="AH227" s="1380"/>
      <c r="AI227" s="1381">
        <v>0</v>
      </c>
      <c r="AJ227" s="1382">
        <f>$AI227*$AG227</f>
        <v>0</v>
      </c>
      <c r="AK227" s="1383">
        <f t="shared" si="325"/>
        <v>0</v>
      </c>
      <c r="AL227" s="1384">
        <v>0</v>
      </c>
      <c r="AM227" s="1363">
        <f t="shared" si="326"/>
        <v>0</v>
      </c>
      <c r="AN227" s="1364">
        <v>0</v>
      </c>
      <c r="AO227" s="1365">
        <f t="shared" si="327"/>
        <v>0</v>
      </c>
      <c r="AP227" s="1366">
        <v>0</v>
      </c>
      <c r="AQ227" s="1367">
        <f t="shared" si="328"/>
        <v>0</v>
      </c>
      <c r="AR227" s="1368">
        <v>0</v>
      </c>
      <c r="AS227" s="1369">
        <f t="shared" si="329"/>
        <v>0</v>
      </c>
      <c r="AT227" s="1370">
        <v>0</v>
      </c>
      <c r="AU227" s="1371">
        <f t="shared" si="330"/>
        <v>0</v>
      </c>
      <c r="AV227" s="1359">
        <f t="shared" si="331"/>
        <v>0</v>
      </c>
      <c r="AW227" s="1372">
        <f t="shared" si="332"/>
        <v>0</v>
      </c>
      <c r="AX227" s="1373">
        <f t="shared" si="333"/>
        <v>0</v>
      </c>
      <c r="AY227" s="1374">
        <f t="shared" si="334"/>
        <v>0</v>
      </c>
      <c r="AZ227" s="1375">
        <f t="shared" si="335"/>
        <v>0</v>
      </c>
      <c r="BA227" s="1376">
        <f t="shared" si="336"/>
        <v>0</v>
      </c>
      <c r="BB227" s="1377"/>
      <c r="BC227" s="1848"/>
      <c r="BD227" s="1820"/>
      <c r="BE227" s="1823"/>
      <c r="BF227" s="1826"/>
      <c r="BG227" s="1851"/>
      <c r="BH227" s="1396"/>
      <c r="BI227" s="1396"/>
      <c r="BJ227" s="1396"/>
      <c r="BK227" s="1396"/>
    </row>
    <row r="228" spans="1:63" s="1378" customFormat="1" ht="60" customHeight="1">
      <c r="A228" s="1347" t="str">
        <f t="shared" si="323"/>
        <v>Cellerant Therapeutics, Inc.</v>
      </c>
      <c r="B228" s="1347" t="s">
        <v>4806</v>
      </c>
      <c r="C228" s="1348">
        <f t="shared" si="324"/>
        <v>34</v>
      </c>
      <c r="D228" s="1349">
        <v>42887</v>
      </c>
      <c r="E228" s="1349"/>
      <c r="F228" s="1347" t="s">
        <v>113</v>
      </c>
      <c r="G228" s="1347" t="s">
        <v>113</v>
      </c>
      <c r="H228" s="1347" t="s">
        <v>113</v>
      </c>
      <c r="I228" s="1347" t="s">
        <v>113</v>
      </c>
      <c r="J228" s="1349" t="s">
        <v>4766</v>
      </c>
      <c r="K228" s="1349" t="s">
        <v>254</v>
      </c>
      <c r="L228" s="1397" t="s">
        <v>4734</v>
      </c>
      <c r="M228" s="1397" t="s">
        <v>3647</v>
      </c>
      <c r="N228" s="1398" t="s">
        <v>4906</v>
      </c>
      <c r="O228" s="1399">
        <v>645410</v>
      </c>
      <c r="P228" s="1399"/>
      <c r="Q228" s="1400"/>
      <c r="R228" s="1400"/>
      <c r="S228" s="1400"/>
      <c r="T228" s="1400"/>
      <c r="U228" s="1400"/>
      <c r="V228" s="1400"/>
      <c r="W228" s="1400"/>
      <c r="X228" s="1400">
        <v>43101</v>
      </c>
      <c r="Y228" s="1400">
        <v>43466</v>
      </c>
      <c r="Z228" s="1401"/>
      <c r="AA228" s="1401" t="s">
        <v>4738</v>
      </c>
      <c r="AB228" s="1369"/>
      <c r="AC228" s="1369"/>
      <c r="AD228" s="1369"/>
      <c r="AE228" s="1369"/>
      <c r="AF228" s="1403" t="str">
        <f t="shared" si="337"/>
        <v/>
      </c>
      <c r="AG228" s="1404"/>
      <c r="AH228" s="1358"/>
      <c r="AI228" s="1405">
        <v>0</v>
      </c>
      <c r="AJ228" s="1406">
        <v>0</v>
      </c>
      <c r="AK228" s="1406">
        <v>0</v>
      </c>
      <c r="AL228" s="1362">
        <v>0</v>
      </c>
      <c r="AM228" s="1363">
        <f t="shared" si="326"/>
        <v>0</v>
      </c>
      <c r="AN228" s="1364">
        <v>0</v>
      </c>
      <c r="AO228" s="1365">
        <f t="shared" si="327"/>
        <v>0</v>
      </c>
      <c r="AP228" s="1366">
        <v>0</v>
      </c>
      <c r="AQ228" s="1367">
        <f t="shared" si="328"/>
        <v>0</v>
      </c>
      <c r="AR228" s="1368">
        <v>0</v>
      </c>
      <c r="AS228" s="1369">
        <f t="shared" si="329"/>
        <v>0</v>
      </c>
      <c r="AT228" s="1370">
        <v>0.01</v>
      </c>
      <c r="AU228" s="1371">
        <f t="shared" si="330"/>
        <v>0</v>
      </c>
      <c r="AV228" s="1359">
        <f t="shared" si="331"/>
        <v>-0.01</v>
      </c>
      <c r="AW228" s="1372">
        <f t="shared" si="332"/>
        <v>0</v>
      </c>
      <c r="AX228" s="1373">
        <f t="shared" si="333"/>
        <v>0</v>
      </c>
      <c r="AY228" s="1374">
        <f t="shared" si="334"/>
        <v>0</v>
      </c>
      <c r="AZ228" s="1375">
        <f t="shared" si="335"/>
        <v>0</v>
      </c>
      <c r="BA228" s="1376">
        <f t="shared" si="336"/>
        <v>0</v>
      </c>
      <c r="BB228" s="1377"/>
      <c r="BC228" s="1848"/>
      <c r="BD228" s="1820"/>
      <c r="BE228" s="1823"/>
      <c r="BF228" s="1826"/>
      <c r="BG228" s="1851"/>
    </row>
    <row r="229" spans="1:63" s="1378" customFormat="1" ht="38.25">
      <c r="A229" s="1347" t="str">
        <f t="shared" si="323"/>
        <v>Cellerant Therapeutics, Inc.</v>
      </c>
      <c r="B229" s="1347" t="s">
        <v>4806</v>
      </c>
      <c r="C229" s="1348">
        <f t="shared" si="324"/>
        <v>34</v>
      </c>
      <c r="D229" s="1349">
        <v>42887</v>
      </c>
      <c r="E229" s="1349"/>
      <c r="F229" s="1347" t="s">
        <v>113</v>
      </c>
      <c r="G229" s="1347" t="s">
        <v>85</v>
      </c>
      <c r="H229" s="1347" t="s">
        <v>85</v>
      </c>
      <c r="I229" s="1347" t="s">
        <v>113</v>
      </c>
      <c r="J229" s="1349"/>
      <c r="K229" s="1349" t="s">
        <v>254</v>
      </c>
      <c r="L229" s="1350" t="s">
        <v>4675</v>
      </c>
      <c r="M229" s="1350" t="s">
        <v>3650</v>
      </c>
      <c r="N229" s="1385" t="s">
        <v>4907</v>
      </c>
      <c r="O229" s="1352" t="s">
        <v>4677</v>
      </c>
      <c r="P229" s="1352"/>
      <c r="Q229" s="1354"/>
      <c r="R229" s="1354"/>
      <c r="S229" s="1354"/>
      <c r="T229" s="1354"/>
      <c r="U229" s="1353" t="s">
        <v>4723</v>
      </c>
      <c r="V229" s="1353" t="s">
        <v>2481</v>
      </c>
      <c r="W229" s="1354"/>
      <c r="X229" s="1353">
        <v>43101</v>
      </c>
      <c r="Y229" s="1353">
        <v>43466</v>
      </c>
      <c r="Z229" s="1355"/>
      <c r="AA229" s="1355" t="s">
        <v>4679</v>
      </c>
      <c r="AB229" s="1356"/>
      <c r="AC229" s="1356"/>
      <c r="AD229" s="1356"/>
      <c r="AE229" s="1356"/>
      <c r="AF229" s="1357"/>
      <c r="AG229" s="1358">
        <f t="shared" si="260"/>
        <v>4640.6099999999997</v>
      </c>
      <c r="AH229" s="1358">
        <v>55687.32</v>
      </c>
      <c r="AI229" s="1359">
        <v>0.1</v>
      </c>
      <c r="AJ229" s="1360">
        <f t="shared" ref="AJ229:AJ234" si="338">$AI229*$AG229</f>
        <v>464.06099999999998</v>
      </c>
      <c r="AK229" s="1361">
        <f t="shared" si="325"/>
        <v>5568.732</v>
      </c>
      <c r="AL229" s="1384">
        <v>0</v>
      </c>
      <c r="AM229" s="1363">
        <f t="shared" si="326"/>
        <v>0</v>
      </c>
      <c r="AN229" s="1364">
        <v>0.08</v>
      </c>
      <c r="AO229" s="1365">
        <f t="shared" si="327"/>
        <v>4454.9856</v>
      </c>
      <c r="AP229" s="1366">
        <v>0</v>
      </c>
      <c r="AQ229" s="1367">
        <f t="shared" si="328"/>
        <v>0</v>
      </c>
      <c r="AR229" s="1368">
        <v>0</v>
      </c>
      <c r="AS229" s="1369">
        <f t="shared" si="329"/>
        <v>0</v>
      </c>
      <c r="AT229" s="1370">
        <v>0</v>
      </c>
      <c r="AU229" s="1371">
        <f t="shared" si="330"/>
        <v>0</v>
      </c>
      <c r="AV229" s="1359">
        <f t="shared" si="331"/>
        <v>2.0000000000000004E-2</v>
      </c>
      <c r="AW229" s="1372">
        <f t="shared" si="332"/>
        <v>1113.7464000000002</v>
      </c>
      <c r="AX229" s="1373">
        <f t="shared" si="333"/>
        <v>2.0000000000000004E-2</v>
      </c>
      <c r="AY229" s="1374">
        <f t="shared" si="334"/>
        <v>1113.7464000000002</v>
      </c>
      <c r="AZ229" s="1375">
        <f t="shared" si="335"/>
        <v>2.0000000000000004E-2</v>
      </c>
      <c r="BA229" s="1376">
        <f t="shared" si="336"/>
        <v>1113.7464000000002</v>
      </c>
      <c r="BB229" s="1377"/>
      <c r="BC229" s="1848"/>
      <c r="BD229" s="1820"/>
      <c r="BE229" s="1823"/>
      <c r="BF229" s="1826"/>
      <c r="BG229" s="1851"/>
    </row>
    <row r="230" spans="1:63" s="1378" customFormat="1" ht="35.25" customHeight="1">
      <c r="A230" s="1347" t="str">
        <f t="shared" si="323"/>
        <v>Cellerant Therapeutics, Inc.</v>
      </c>
      <c r="B230" s="1347" t="s">
        <v>4806</v>
      </c>
      <c r="C230" s="1348">
        <f t="shared" si="324"/>
        <v>34</v>
      </c>
      <c r="D230" s="1349">
        <v>42887</v>
      </c>
      <c r="E230" s="1349"/>
      <c r="F230" s="1347" t="s">
        <v>113</v>
      </c>
      <c r="G230" s="1347" t="s">
        <v>85</v>
      </c>
      <c r="H230" s="1347" t="s">
        <v>85</v>
      </c>
      <c r="I230" s="1347" t="s">
        <v>113</v>
      </c>
      <c r="J230" s="1349"/>
      <c r="K230" s="1349" t="s">
        <v>254</v>
      </c>
      <c r="L230" s="1350" t="s">
        <v>4675</v>
      </c>
      <c r="M230" s="1350" t="s">
        <v>3651</v>
      </c>
      <c r="N230" s="1351" t="s">
        <v>4908</v>
      </c>
      <c r="O230" s="1352" t="s">
        <v>4681</v>
      </c>
      <c r="P230" s="1352"/>
      <c r="Q230" s="1354"/>
      <c r="R230" s="1354"/>
      <c r="S230" s="1354"/>
      <c r="T230" s="1354"/>
      <c r="U230" s="1354"/>
      <c r="V230" s="1354"/>
      <c r="W230" s="1353" t="s">
        <v>2492</v>
      </c>
      <c r="X230" s="1353">
        <v>43101</v>
      </c>
      <c r="Y230" s="1353">
        <v>43466</v>
      </c>
      <c r="Z230" s="1355"/>
      <c r="AA230" s="1355" t="s">
        <v>4679</v>
      </c>
      <c r="AB230" s="1356"/>
      <c r="AC230" s="1356"/>
      <c r="AD230" s="1356"/>
      <c r="AE230" s="1356"/>
      <c r="AF230" s="1357"/>
      <c r="AG230" s="1358">
        <f t="shared" si="260"/>
        <v>431.5</v>
      </c>
      <c r="AH230" s="1358">
        <v>5178</v>
      </c>
      <c r="AI230" s="1359">
        <v>0.1</v>
      </c>
      <c r="AJ230" s="1360">
        <f t="shared" si="338"/>
        <v>43.150000000000006</v>
      </c>
      <c r="AK230" s="1361">
        <f t="shared" si="325"/>
        <v>517.80000000000007</v>
      </c>
      <c r="AL230" s="1384">
        <v>0</v>
      </c>
      <c r="AM230" s="1363">
        <f t="shared" si="326"/>
        <v>0</v>
      </c>
      <c r="AN230" s="1364">
        <v>0.08</v>
      </c>
      <c r="AO230" s="1365">
        <f t="shared" si="327"/>
        <v>414.24</v>
      </c>
      <c r="AP230" s="1366">
        <v>0</v>
      </c>
      <c r="AQ230" s="1367">
        <f t="shared" si="328"/>
        <v>0</v>
      </c>
      <c r="AR230" s="1368">
        <v>0</v>
      </c>
      <c r="AS230" s="1369">
        <f t="shared" si="329"/>
        <v>0</v>
      </c>
      <c r="AT230" s="1370">
        <v>0</v>
      </c>
      <c r="AU230" s="1371">
        <f t="shared" si="330"/>
        <v>0</v>
      </c>
      <c r="AV230" s="1359">
        <f t="shared" si="331"/>
        <v>2.0000000000000004E-2</v>
      </c>
      <c r="AW230" s="1372">
        <f t="shared" si="332"/>
        <v>103.56000000000002</v>
      </c>
      <c r="AX230" s="1373">
        <f t="shared" si="333"/>
        <v>2.0000000000000004E-2</v>
      </c>
      <c r="AY230" s="1374">
        <f t="shared" si="334"/>
        <v>103.56000000000002</v>
      </c>
      <c r="AZ230" s="1375">
        <f t="shared" si="335"/>
        <v>2.0000000000000004E-2</v>
      </c>
      <c r="BA230" s="1376">
        <f t="shared" si="336"/>
        <v>103.56000000000002</v>
      </c>
      <c r="BB230" s="1377"/>
      <c r="BC230" s="1848"/>
      <c r="BD230" s="1820"/>
      <c r="BE230" s="1823"/>
      <c r="BF230" s="1826"/>
      <c r="BG230" s="1851"/>
    </row>
    <row r="231" spans="1:63" s="1378" customFormat="1" ht="38.25">
      <c r="A231" s="1347" t="str">
        <f t="shared" si="323"/>
        <v>Cellerant Therapeutics, Inc.</v>
      </c>
      <c r="B231" s="1347" t="s">
        <v>4806</v>
      </c>
      <c r="C231" s="1348">
        <f t="shared" si="324"/>
        <v>34</v>
      </c>
      <c r="D231" s="1349">
        <v>42887</v>
      </c>
      <c r="E231" s="1349"/>
      <c r="F231" s="1347" t="s">
        <v>113</v>
      </c>
      <c r="G231" s="1347" t="s">
        <v>85</v>
      </c>
      <c r="H231" s="1347" t="s">
        <v>85</v>
      </c>
      <c r="I231" s="1347" t="s">
        <v>113</v>
      </c>
      <c r="J231" s="1349"/>
      <c r="K231" s="1349" t="s">
        <v>254</v>
      </c>
      <c r="L231" s="1350" t="s">
        <v>4682</v>
      </c>
      <c r="M231" s="1350" t="s">
        <v>4683</v>
      </c>
      <c r="N231" s="1386" t="s">
        <v>57</v>
      </c>
      <c r="O231" s="1352" t="s">
        <v>4684</v>
      </c>
      <c r="P231" s="1387"/>
      <c r="Q231" s="1354"/>
      <c r="R231" s="1354"/>
      <c r="S231" s="1354"/>
      <c r="T231" s="1354"/>
      <c r="U231" s="1354"/>
      <c r="V231" s="1354"/>
      <c r="W231" s="1354"/>
      <c r="X231" s="1353">
        <v>43101</v>
      </c>
      <c r="Y231" s="1353">
        <v>43466</v>
      </c>
      <c r="Z231" s="1355"/>
      <c r="AA231" s="1355" t="s">
        <v>4685</v>
      </c>
      <c r="AB231" s="1356"/>
      <c r="AC231" s="1356"/>
      <c r="AD231" s="1356"/>
      <c r="AE231" s="1356"/>
      <c r="AF231" s="1357"/>
      <c r="AG231" s="1358">
        <f t="shared" ref="AG231:AG294" si="339">AH231/12</f>
        <v>1005.105</v>
      </c>
      <c r="AH231" s="1358">
        <v>12061.26</v>
      </c>
      <c r="AI231" s="1359">
        <v>0.15</v>
      </c>
      <c r="AJ231" s="1360">
        <f t="shared" si="338"/>
        <v>150.76575</v>
      </c>
      <c r="AK231" s="1361">
        <f t="shared" si="325"/>
        <v>1809.1890000000001</v>
      </c>
      <c r="AL231" s="1384">
        <v>0</v>
      </c>
      <c r="AM231" s="1363">
        <f t="shared" si="326"/>
        <v>0</v>
      </c>
      <c r="AN231" s="1364">
        <v>0.1</v>
      </c>
      <c r="AO231" s="1365">
        <f t="shared" si="327"/>
        <v>1206.126</v>
      </c>
      <c r="AP231" s="1366">
        <v>0</v>
      </c>
      <c r="AQ231" s="1367">
        <f t="shared" si="328"/>
        <v>0</v>
      </c>
      <c r="AR231" s="1368">
        <v>0</v>
      </c>
      <c r="AS231" s="1369">
        <f t="shared" si="329"/>
        <v>0</v>
      </c>
      <c r="AT231" s="1370">
        <v>0</v>
      </c>
      <c r="AU231" s="1371">
        <f t="shared" si="330"/>
        <v>0</v>
      </c>
      <c r="AV231" s="1359">
        <f t="shared" si="331"/>
        <v>4.9999999999999989E-2</v>
      </c>
      <c r="AW231" s="1372">
        <f t="shared" si="332"/>
        <v>603.06299999999987</v>
      </c>
      <c r="AX231" s="1373">
        <f t="shared" si="333"/>
        <v>4.9999999999999989E-2</v>
      </c>
      <c r="AY231" s="1374">
        <f t="shared" si="334"/>
        <v>603.06299999999987</v>
      </c>
      <c r="AZ231" s="1375">
        <f t="shared" si="335"/>
        <v>4.9999999999999989E-2</v>
      </c>
      <c r="BA231" s="1376">
        <f t="shared" si="336"/>
        <v>603.06299999999987</v>
      </c>
      <c r="BB231" s="1377"/>
      <c r="BC231" s="1848"/>
      <c r="BD231" s="1820"/>
      <c r="BE231" s="1823"/>
      <c r="BF231" s="1826"/>
      <c r="BG231" s="1851"/>
    </row>
    <row r="232" spans="1:63" s="1378" customFormat="1" ht="38.25">
      <c r="A232" s="1347" t="str">
        <f t="shared" si="323"/>
        <v>Cellerant Therapeutics, Inc.</v>
      </c>
      <c r="B232" s="1347" t="s">
        <v>4806</v>
      </c>
      <c r="C232" s="1348">
        <f t="shared" si="324"/>
        <v>34</v>
      </c>
      <c r="D232" s="1349">
        <v>42887</v>
      </c>
      <c r="E232" s="1349"/>
      <c r="F232" s="1347" t="s">
        <v>113</v>
      </c>
      <c r="G232" s="1347" t="s">
        <v>85</v>
      </c>
      <c r="H232" s="1347" t="s">
        <v>85</v>
      </c>
      <c r="I232" s="1347" t="s">
        <v>113</v>
      </c>
      <c r="J232" s="1349"/>
      <c r="K232" s="1349" t="s">
        <v>254</v>
      </c>
      <c r="L232" s="1350" t="s">
        <v>4682</v>
      </c>
      <c r="M232" s="1350" t="s">
        <v>4686</v>
      </c>
      <c r="N232" s="1386" t="s">
        <v>60</v>
      </c>
      <c r="O232" s="1352" t="s">
        <v>4687</v>
      </c>
      <c r="P232" s="1387"/>
      <c r="Q232" s="1354"/>
      <c r="R232" s="1354"/>
      <c r="S232" s="1354"/>
      <c r="T232" s="1354"/>
      <c r="U232" s="1354"/>
      <c r="V232" s="1354"/>
      <c r="W232" s="1354"/>
      <c r="X232" s="1353">
        <v>43101</v>
      </c>
      <c r="Y232" s="1353">
        <v>43466</v>
      </c>
      <c r="Z232" s="1355"/>
      <c r="AA232" s="1355" t="s">
        <v>4685</v>
      </c>
      <c r="AB232" s="1356"/>
      <c r="AC232" s="1356"/>
      <c r="AD232" s="1356"/>
      <c r="AE232" s="1356"/>
      <c r="AF232" s="1357"/>
      <c r="AG232" s="1358">
        <f t="shared" si="339"/>
        <v>205.19000000000003</v>
      </c>
      <c r="AH232" s="1358">
        <v>2462.2800000000002</v>
      </c>
      <c r="AI232" s="1359">
        <v>0.15</v>
      </c>
      <c r="AJ232" s="1360">
        <f t="shared" si="338"/>
        <v>30.778500000000001</v>
      </c>
      <c r="AK232" s="1361">
        <f t="shared" si="325"/>
        <v>369.34200000000004</v>
      </c>
      <c r="AL232" s="1384">
        <v>0</v>
      </c>
      <c r="AM232" s="1363">
        <f t="shared" si="326"/>
        <v>0</v>
      </c>
      <c r="AN232" s="1364">
        <v>0.1</v>
      </c>
      <c r="AO232" s="1365">
        <f t="shared" si="327"/>
        <v>246.22800000000004</v>
      </c>
      <c r="AP232" s="1366">
        <v>0</v>
      </c>
      <c r="AQ232" s="1367">
        <f t="shared" si="328"/>
        <v>0</v>
      </c>
      <c r="AR232" s="1368">
        <v>0</v>
      </c>
      <c r="AS232" s="1369">
        <f t="shared" si="329"/>
        <v>0</v>
      </c>
      <c r="AT232" s="1370">
        <v>0</v>
      </c>
      <c r="AU232" s="1371">
        <f t="shared" si="330"/>
        <v>0</v>
      </c>
      <c r="AV232" s="1359">
        <f t="shared" si="331"/>
        <v>4.9999999999999989E-2</v>
      </c>
      <c r="AW232" s="1372">
        <f t="shared" si="332"/>
        <v>123.11399999999998</v>
      </c>
      <c r="AX232" s="1373">
        <f t="shared" si="333"/>
        <v>4.9999999999999989E-2</v>
      </c>
      <c r="AY232" s="1374">
        <f t="shared" si="334"/>
        <v>123.11399999999998</v>
      </c>
      <c r="AZ232" s="1375">
        <f t="shared" si="335"/>
        <v>4.9999999999999989E-2</v>
      </c>
      <c r="BA232" s="1376">
        <f t="shared" si="336"/>
        <v>123.11399999999998</v>
      </c>
      <c r="BB232" s="1377"/>
      <c r="BC232" s="1848"/>
      <c r="BD232" s="1820"/>
      <c r="BE232" s="1823"/>
      <c r="BF232" s="1826"/>
      <c r="BG232" s="1851"/>
    </row>
    <row r="233" spans="1:63" s="1378" customFormat="1" ht="21" customHeight="1">
      <c r="A233" s="1347" t="str">
        <f t="shared" si="323"/>
        <v>Cellerant Therapeutics, Inc.</v>
      </c>
      <c r="B233" s="1347" t="s">
        <v>4806</v>
      </c>
      <c r="C233" s="1348">
        <f t="shared" si="324"/>
        <v>34</v>
      </c>
      <c r="D233" s="1349">
        <v>42887</v>
      </c>
      <c r="E233" s="1349"/>
      <c r="F233" s="1347" t="s">
        <v>113</v>
      </c>
      <c r="G233" s="1347" t="s">
        <v>85</v>
      </c>
      <c r="H233" s="1347" t="s">
        <v>85</v>
      </c>
      <c r="I233" s="1347" t="s">
        <v>113</v>
      </c>
      <c r="J233" s="1349"/>
      <c r="K233" s="1349" t="s">
        <v>254</v>
      </c>
      <c r="L233" s="1350" t="s">
        <v>4682</v>
      </c>
      <c r="M233" s="1350" t="s">
        <v>67</v>
      </c>
      <c r="N233" s="1351" t="s">
        <v>82</v>
      </c>
      <c r="O233" s="1352" t="s">
        <v>4689</v>
      </c>
      <c r="P233" s="1352"/>
      <c r="Q233" s="1354"/>
      <c r="R233" s="1354"/>
      <c r="S233" s="1354"/>
      <c r="T233" s="1354"/>
      <c r="U233" s="1354"/>
      <c r="V233" s="1354"/>
      <c r="W233" s="1354"/>
      <c r="X233" s="1353">
        <v>43101</v>
      </c>
      <c r="Y233" s="1353">
        <v>43466</v>
      </c>
      <c r="Z233" s="1355"/>
      <c r="AA233" s="1355" t="s">
        <v>4685</v>
      </c>
      <c r="AB233" s="1356"/>
      <c r="AC233" s="1356"/>
      <c r="AD233" s="1356"/>
      <c r="AE233" s="1356"/>
      <c r="AF233" s="1357"/>
      <c r="AG233" s="1358">
        <f t="shared" si="339"/>
        <v>898.25</v>
      </c>
      <c r="AH233" s="1358">
        <v>10779</v>
      </c>
      <c r="AI233" s="1359">
        <v>0.15</v>
      </c>
      <c r="AJ233" s="1360">
        <f t="shared" si="338"/>
        <v>134.73749999999998</v>
      </c>
      <c r="AK233" s="1361">
        <f t="shared" si="325"/>
        <v>1616.85</v>
      </c>
      <c r="AL233" s="1384">
        <v>0</v>
      </c>
      <c r="AM233" s="1363">
        <f t="shared" si="326"/>
        <v>0</v>
      </c>
      <c r="AN233" s="1364">
        <v>0.1</v>
      </c>
      <c r="AO233" s="1365">
        <f t="shared" si="327"/>
        <v>1077.9000000000001</v>
      </c>
      <c r="AP233" s="1366">
        <v>0</v>
      </c>
      <c r="AQ233" s="1367">
        <f t="shared" si="328"/>
        <v>0</v>
      </c>
      <c r="AR233" s="1368">
        <v>0</v>
      </c>
      <c r="AS233" s="1369">
        <f t="shared" si="329"/>
        <v>0</v>
      </c>
      <c r="AT233" s="1370">
        <v>0</v>
      </c>
      <c r="AU233" s="1371">
        <f t="shared" si="330"/>
        <v>0</v>
      </c>
      <c r="AV233" s="1359">
        <f t="shared" si="331"/>
        <v>4.9999999999999989E-2</v>
      </c>
      <c r="AW233" s="1372">
        <f t="shared" si="332"/>
        <v>538.94999999999993</v>
      </c>
      <c r="AX233" s="1373">
        <f t="shared" si="333"/>
        <v>4.9999999999999989E-2</v>
      </c>
      <c r="AY233" s="1374">
        <f t="shared" si="334"/>
        <v>538.94999999999993</v>
      </c>
      <c r="AZ233" s="1375">
        <f t="shared" si="335"/>
        <v>4.9999999999999989E-2</v>
      </c>
      <c r="BA233" s="1376">
        <f t="shared" si="336"/>
        <v>538.94999999999993</v>
      </c>
      <c r="BB233" s="1377"/>
      <c r="BC233" s="1848"/>
      <c r="BD233" s="1820"/>
      <c r="BE233" s="1823"/>
      <c r="BF233" s="1826"/>
      <c r="BG233" s="1851"/>
    </row>
    <row r="234" spans="1:63" s="1378" customFormat="1" ht="27.75" customHeight="1">
      <c r="A234" s="1347" t="s">
        <v>408</v>
      </c>
      <c r="B234" s="1348" t="s">
        <v>4806</v>
      </c>
      <c r="C234" s="1348">
        <v>45</v>
      </c>
      <c r="D234" s="1349">
        <v>42887</v>
      </c>
      <c r="E234" s="1349"/>
      <c r="F234" s="1347" t="s">
        <v>72</v>
      </c>
      <c r="G234" s="1347" t="s">
        <v>85</v>
      </c>
      <c r="H234" s="1347" t="s">
        <v>72</v>
      </c>
      <c r="I234" s="1347" t="s">
        <v>72</v>
      </c>
      <c r="J234" s="1349" t="s">
        <v>4670</v>
      </c>
      <c r="K234" s="1349" t="s">
        <v>254</v>
      </c>
      <c r="L234" s="1350" t="s">
        <v>4696</v>
      </c>
      <c r="M234" s="1350" t="s">
        <v>4697</v>
      </c>
      <c r="N234" s="1389" t="s">
        <v>4698</v>
      </c>
      <c r="O234" s="1352" t="s">
        <v>4699</v>
      </c>
      <c r="P234" s="1352"/>
      <c r="Q234" s="1354"/>
      <c r="R234" s="1354"/>
      <c r="S234" s="1354"/>
      <c r="T234" s="1354"/>
      <c r="U234" s="1354"/>
      <c r="V234" s="1354"/>
      <c r="W234" s="1354"/>
      <c r="X234" s="1353">
        <v>43101</v>
      </c>
      <c r="Y234" s="1353">
        <v>43466</v>
      </c>
      <c r="Z234" s="1355"/>
      <c r="AA234" s="1355" t="s">
        <v>4674</v>
      </c>
      <c r="AB234" s="1356"/>
      <c r="AC234" s="1356"/>
      <c r="AD234" s="1356"/>
      <c r="AE234" s="1356"/>
      <c r="AF234" s="1357" t="str">
        <f t="shared" ref="AF234" si="340">IFERROR((AE234/AB234),"")</f>
        <v/>
      </c>
      <c r="AG234" s="1380"/>
      <c r="AH234" s="1380"/>
      <c r="AI234" s="1381">
        <v>0</v>
      </c>
      <c r="AJ234" s="1382">
        <f t="shared" si="338"/>
        <v>0</v>
      </c>
      <c r="AK234" s="1383">
        <f t="shared" si="325"/>
        <v>0</v>
      </c>
      <c r="AL234" s="1384">
        <v>0</v>
      </c>
      <c r="AM234" s="1363">
        <f t="shared" si="326"/>
        <v>0</v>
      </c>
      <c r="AN234" s="1364">
        <v>0</v>
      </c>
      <c r="AO234" s="1365">
        <f t="shared" si="327"/>
        <v>0</v>
      </c>
      <c r="AP234" s="1366">
        <v>0</v>
      </c>
      <c r="AQ234" s="1367">
        <f t="shared" si="328"/>
        <v>0</v>
      </c>
      <c r="AR234" s="1368">
        <v>0</v>
      </c>
      <c r="AS234" s="1369">
        <f t="shared" si="329"/>
        <v>0</v>
      </c>
      <c r="AT234" s="1370">
        <v>0</v>
      </c>
      <c r="AU234" s="1371">
        <f t="shared" si="330"/>
        <v>0</v>
      </c>
      <c r="AV234" s="1359">
        <f t="shared" si="331"/>
        <v>0</v>
      </c>
      <c r="AW234" s="1372">
        <f t="shared" si="332"/>
        <v>0</v>
      </c>
      <c r="AX234" s="1373">
        <f t="shared" si="333"/>
        <v>0</v>
      </c>
      <c r="AY234" s="1374">
        <f t="shared" si="334"/>
        <v>0</v>
      </c>
      <c r="AZ234" s="1375">
        <f t="shared" si="335"/>
        <v>0</v>
      </c>
      <c r="BA234" s="1376">
        <f t="shared" si="336"/>
        <v>0</v>
      </c>
      <c r="BB234" s="1377"/>
      <c r="BC234" s="1848"/>
      <c r="BD234" s="1820"/>
      <c r="BE234" s="1823"/>
      <c r="BF234" s="1826"/>
      <c r="BG234" s="1851"/>
    </row>
    <row r="235" spans="1:63" s="1378" customFormat="1" ht="30.75" customHeight="1">
      <c r="A235" s="1347" t="str">
        <f t="shared" si="323"/>
        <v>Cellerant Therapeutics, Inc.</v>
      </c>
      <c r="B235" s="1347" t="s">
        <v>4806</v>
      </c>
      <c r="C235" s="1348">
        <f t="shared" si="324"/>
        <v>34</v>
      </c>
      <c r="D235" s="1349">
        <v>42887</v>
      </c>
      <c r="E235" s="1349"/>
      <c r="F235" s="1347" t="s">
        <v>72</v>
      </c>
      <c r="G235" s="1347" t="s">
        <v>4700</v>
      </c>
      <c r="H235" s="1347" t="s">
        <v>72</v>
      </c>
      <c r="I235" s="1347" t="s">
        <v>72</v>
      </c>
      <c r="J235" s="1349" t="s">
        <v>4670</v>
      </c>
      <c r="K235" s="1349" t="s">
        <v>254</v>
      </c>
      <c r="L235" s="1350" t="s">
        <v>48</v>
      </c>
      <c r="M235" s="1350" t="s">
        <v>3652</v>
      </c>
      <c r="N235" s="1390" t="s">
        <v>4909</v>
      </c>
      <c r="O235" s="1352" t="s">
        <v>4702</v>
      </c>
      <c r="P235" s="1352"/>
      <c r="Q235" s="1354"/>
      <c r="R235" s="1354"/>
      <c r="S235" s="1354"/>
      <c r="T235" s="1354"/>
      <c r="U235" s="1354"/>
      <c r="V235" s="1354"/>
      <c r="W235" s="1354"/>
      <c r="X235" s="1353">
        <v>43101</v>
      </c>
      <c r="Y235" s="1353">
        <v>43466</v>
      </c>
      <c r="Z235" s="1355"/>
      <c r="AA235" s="1355" t="s">
        <v>4674</v>
      </c>
      <c r="AB235" s="1356"/>
      <c r="AC235" s="1356"/>
      <c r="AD235" s="1356"/>
      <c r="AE235" s="1356"/>
      <c r="AF235" s="1357" t="str">
        <f t="shared" si="140"/>
        <v/>
      </c>
      <c r="AG235" s="1380"/>
      <c r="AH235" s="1380"/>
      <c r="AI235" s="1381">
        <v>0</v>
      </c>
      <c r="AJ235" s="1383">
        <v>0</v>
      </c>
      <c r="AK235" s="1383">
        <v>0</v>
      </c>
      <c r="AL235" s="1384">
        <v>0</v>
      </c>
      <c r="AM235" s="1363">
        <f t="shared" si="326"/>
        <v>0</v>
      </c>
      <c r="AN235" s="1364">
        <v>0</v>
      </c>
      <c r="AO235" s="1365">
        <f t="shared" si="327"/>
        <v>0</v>
      </c>
      <c r="AP235" s="1366">
        <v>0</v>
      </c>
      <c r="AQ235" s="1367">
        <f t="shared" si="328"/>
        <v>0</v>
      </c>
      <c r="AR235" s="1368">
        <v>0</v>
      </c>
      <c r="AS235" s="1369">
        <f t="shared" si="329"/>
        <v>0</v>
      </c>
      <c r="AT235" s="1370">
        <v>0</v>
      </c>
      <c r="AU235" s="1371">
        <f t="shared" si="330"/>
        <v>0</v>
      </c>
      <c r="AV235" s="1359">
        <f t="shared" si="331"/>
        <v>0</v>
      </c>
      <c r="AW235" s="1372">
        <f t="shared" si="332"/>
        <v>0</v>
      </c>
      <c r="AX235" s="1373">
        <f t="shared" si="333"/>
        <v>0</v>
      </c>
      <c r="AY235" s="1374">
        <f t="shared" si="334"/>
        <v>0</v>
      </c>
      <c r="AZ235" s="1375">
        <f t="shared" si="335"/>
        <v>0</v>
      </c>
      <c r="BA235" s="1376">
        <f t="shared" si="336"/>
        <v>0</v>
      </c>
      <c r="BB235" s="1377"/>
      <c r="BC235" s="1848"/>
      <c r="BD235" s="1820"/>
      <c r="BE235" s="1823"/>
      <c r="BF235" s="1826"/>
      <c r="BG235" s="1851"/>
    </row>
    <row r="236" spans="1:63" s="1378" customFormat="1" ht="19.5" customHeight="1">
      <c r="A236" s="1347" t="str">
        <f t="shared" si="323"/>
        <v>Cellerant Therapeutics, Inc.</v>
      </c>
      <c r="B236" s="1347" t="s">
        <v>4806</v>
      </c>
      <c r="C236" s="1348">
        <f t="shared" si="324"/>
        <v>34</v>
      </c>
      <c r="D236" s="1349">
        <v>42887</v>
      </c>
      <c r="E236" s="1349"/>
      <c r="F236" s="1347" t="s">
        <v>72</v>
      </c>
      <c r="G236" s="1347" t="s">
        <v>85</v>
      </c>
      <c r="H236" s="1347" t="s">
        <v>72</v>
      </c>
      <c r="I236" s="1347" t="s">
        <v>72</v>
      </c>
      <c r="J236" s="1349" t="s">
        <v>4670</v>
      </c>
      <c r="K236" s="1349" t="s">
        <v>254</v>
      </c>
      <c r="L236" s="1350" t="s">
        <v>48</v>
      </c>
      <c r="M236" s="1350" t="s">
        <v>253</v>
      </c>
      <c r="N236" s="1390" t="s">
        <v>4703</v>
      </c>
      <c r="O236" s="1352" t="s">
        <v>4704</v>
      </c>
      <c r="P236" s="1352"/>
      <c r="Q236" s="1445"/>
      <c r="R236" s="1445"/>
      <c r="S236" s="1445"/>
      <c r="T236" s="1445"/>
      <c r="U236" s="1445"/>
      <c r="V236" s="1445"/>
      <c r="W236" s="1445"/>
      <c r="X236" s="1353">
        <v>43101</v>
      </c>
      <c r="Y236" s="1353">
        <v>43466</v>
      </c>
      <c r="Z236" s="1355"/>
      <c r="AA236" s="1355" t="s">
        <v>4674</v>
      </c>
      <c r="AB236" s="1356"/>
      <c r="AC236" s="1356"/>
      <c r="AD236" s="1356"/>
      <c r="AE236" s="1356"/>
      <c r="AF236" s="1357" t="str">
        <f t="shared" si="140"/>
        <v/>
      </c>
      <c r="AG236" s="1380"/>
      <c r="AH236" s="1380"/>
      <c r="AI236" s="1381">
        <v>0</v>
      </c>
      <c r="AJ236" s="1383">
        <v>0</v>
      </c>
      <c r="AK236" s="1383">
        <v>0</v>
      </c>
      <c r="AL236" s="1384">
        <v>0</v>
      </c>
      <c r="AM236" s="1363">
        <f t="shared" si="326"/>
        <v>0</v>
      </c>
      <c r="AN236" s="1364">
        <v>0</v>
      </c>
      <c r="AO236" s="1365">
        <f t="shared" si="327"/>
        <v>0</v>
      </c>
      <c r="AP236" s="1366">
        <v>0</v>
      </c>
      <c r="AQ236" s="1367">
        <f t="shared" si="328"/>
        <v>0</v>
      </c>
      <c r="AR236" s="1368">
        <v>0</v>
      </c>
      <c r="AS236" s="1369">
        <f t="shared" si="329"/>
        <v>0</v>
      </c>
      <c r="AT236" s="1370">
        <v>0</v>
      </c>
      <c r="AU236" s="1371">
        <f t="shared" si="330"/>
        <v>0</v>
      </c>
      <c r="AV236" s="1359">
        <f t="shared" si="331"/>
        <v>0</v>
      </c>
      <c r="AW236" s="1372">
        <f t="shared" si="332"/>
        <v>0</v>
      </c>
      <c r="AX236" s="1373">
        <f t="shared" si="333"/>
        <v>0</v>
      </c>
      <c r="AY236" s="1374">
        <f t="shared" si="334"/>
        <v>0</v>
      </c>
      <c r="AZ236" s="1375">
        <f t="shared" si="335"/>
        <v>0</v>
      </c>
      <c r="BA236" s="1376">
        <f t="shared" si="336"/>
        <v>0</v>
      </c>
      <c r="BB236" s="1377"/>
      <c r="BC236" s="1848"/>
      <c r="BD236" s="1820"/>
      <c r="BE236" s="1823"/>
      <c r="BF236" s="1826"/>
      <c r="BG236" s="1851"/>
      <c r="BH236" s="1396"/>
      <c r="BI236" s="1396"/>
      <c r="BJ236" s="1396"/>
      <c r="BK236" s="1396"/>
    </row>
    <row r="237" spans="1:63" s="1378" customFormat="1" ht="22.5" customHeight="1">
      <c r="A237" s="1347" t="str">
        <f t="shared" si="323"/>
        <v>Cellerant Therapeutics, Inc.</v>
      </c>
      <c r="B237" s="1347" t="s">
        <v>4806</v>
      </c>
      <c r="C237" s="1348">
        <f t="shared" si="324"/>
        <v>34</v>
      </c>
      <c r="D237" s="1349">
        <v>42887</v>
      </c>
      <c r="E237" s="1349"/>
      <c r="F237" s="1347" t="s">
        <v>72</v>
      </c>
      <c r="G237" s="1347" t="s">
        <v>85</v>
      </c>
      <c r="H237" s="1347" t="s">
        <v>72</v>
      </c>
      <c r="I237" s="1347" t="s">
        <v>72</v>
      </c>
      <c r="J237" s="1349" t="s">
        <v>4670</v>
      </c>
      <c r="K237" s="1349" t="s">
        <v>254</v>
      </c>
      <c r="L237" s="1350" t="s">
        <v>49</v>
      </c>
      <c r="M237" s="1350" t="s">
        <v>4705</v>
      </c>
      <c r="N237" s="1390" t="s">
        <v>4784</v>
      </c>
      <c r="O237" s="1352" t="s">
        <v>4707</v>
      </c>
      <c r="P237" s="1352"/>
      <c r="Q237" s="1445"/>
      <c r="R237" s="1445"/>
      <c r="S237" s="1445"/>
      <c r="T237" s="1445"/>
      <c r="U237" s="1445"/>
      <c r="V237" s="1445"/>
      <c r="W237" s="1445"/>
      <c r="X237" s="1353">
        <v>43101</v>
      </c>
      <c r="Y237" s="1353">
        <v>43466</v>
      </c>
      <c r="Z237" s="1355"/>
      <c r="AA237" s="1355" t="s">
        <v>4674</v>
      </c>
      <c r="AB237" s="1356"/>
      <c r="AC237" s="1356"/>
      <c r="AD237" s="1356"/>
      <c r="AE237" s="1356"/>
      <c r="AF237" s="1357" t="str">
        <f t="shared" si="140"/>
        <v/>
      </c>
      <c r="AG237" s="1380"/>
      <c r="AH237" s="1380"/>
      <c r="AI237" s="1381">
        <v>0</v>
      </c>
      <c r="AJ237" s="1382">
        <f>$AI237*$AG237</f>
        <v>0</v>
      </c>
      <c r="AK237" s="1383">
        <f t="shared" ref="AK237:AK238" si="341">AI237*$AH237</f>
        <v>0</v>
      </c>
      <c r="AL237" s="1384">
        <v>0</v>
      </c>
      <c r="AM237" s="1363">
        <f t="shared" si="326"/>
        <v>0</v>
      </c>
      <c r="AN237" s="1364">
        <v>0</v>
      </c>
      <c r="AO237" s="1365">
        <f t="shared" si="327"/>
        <v>0</v>
      </c>
      <c r="AP237" s="1366">
        <v>0</v>
      </c>
      <c r="AQ237" s="1367">
        <f t="shared" si="328"/>
        <v>0</v>
      </c>
      <c r="AR237" s="1368">
        <v>0</v>
      </c>
      <c r="AS237" s="1369">
        <f t="shared" si="329"/>
        <v>0</v>
      </c>
      <c r="AT237" s="1370">
        <v>0</v>
      </c>
      <c r="AU237" s="1371">
        <f t="shared" si="330"/>
        <v>0</v>
      </c>
      <c r="AV237" s="1359">
        <f t="shared" si="331"/>
        <v>0</v>
      </c>
      <c r="AW237" s="1372">
        <f t="shared" si="332"/>
        <v>0</v>
      </c>
      <c r="AX237" s="1373">
        <f t="shared" si="333"/>
        <v>0</v>
      </c>
      <c r="AY237" s="1374">
        <f t="shared" si="334"/>
        <v>0</v>
      </c>
      <c r="AZ237" s="1375">
        <f t="shared" si="335"/>
        <v>0</v>
      </c>
      <c r="BA237" s="1376">
        <f t="shared" si="336"/>
        <v>0</v>
      </c>
      <c r="BB237" s="1377"/>
      <c r="BC237" s="1848"/>
      <c r="BD237" s="1820"/>
      <c r="BE237" s="1823"/>
      <c r="BF237" s="1826"/>
      <c r="BG237" s="1851"/>
      <c r="BH237" s="1396"/>
      <c r="BI237" s="1396"/>
      <c r="BJ237" s="1396"/>
      <c r="BK237" s="1396"/>
    </row>
    <row r="238" spans="1:63" s="1378" customFormat="1" ht="21.75" customHeight="1">
      <c r="A238" s="1347" t="str">
        <f>A237</f>
        <v>Cellerant Therapeutics, Inc.</v>
      </c>
      <c r="B238" s="1348" t="str">
        <f>B237</f>
        <v xml:space="preserve">ABD </v>
      </c>
      <c r="C238" s="1348">
        <f>C237</f>
        <v>34</v>
      </c>
      <c r="D238" s="1349">
        <v>42887</v>
      </c>
      <c r="E238" s="1349"/>
      <c r="F238" s="1347" t="s">
        <v>72</v>
      </c>
      <c r="G238" s="1347" t="s">
        <v>85</v>
      </c>
      <c r="H238" s="1347" t="s">
        <v>72</v>
      </c>
      <c r="I238" s="1347" t="s">
        <v>72</v>
      </c>
      <c r="J238" s="1349" t="s">
        <v>4670</v>
      </c>
      <c r="K238" s="1349" t="s">
        <v>254</v>
      </c>
      <c r="L238" s="1350" t="s">
        <v>3056</v>
      </c>
      <c r="M238" s="1350" t="s">
        <v>4708</v>
      </c>
      <c r="N238" s="1390" t="s">
        <v>4709</v>
      </c>
      <c r="O238" s="1352" t="s">
        <v>4710</v>
      </c>
      <c r="P238" s="1352"/>
      <c r="Q238" s="1354"/>
      <c r="R238" s="1354"/>
      <c r="S238" s="1354"/>
      <c r="T238" s="1354"/>
      <c r="U238" s="1354"/>
      <c r="V238" s="1354"/>
      <c r="W238" s="1354"/>
      <c r="X238" s="1353">
        <v>43101</v>
      </c>
      <c r="Y238" s="1353">
        <v>43466</v>
      </c>
      <c r="Z238" s="1355"/>
      <c r="AA238" s="1355" t="s">
        <v>4674</v>
      </c>
      <c r="AB238" s="1356"/>
      <c r="AC238" s="1356"/>
      <c r="AD238" s="1356"/>
      <c r="AE238" s="1356"/>
      <c r="AF238" s="1357" t="str">
        <f t="shared" si="140"/>
        <v/>
      </c>
      <c r="AG238" s="1380"/>
      <c r="AH238" s="1380"/>
      <c r="AI238" s="1381">
        <v>0</v>
      </c>
      <c r="AJ238" s="1382">
        <f>$AI238*$AG238</f>
        <v>0</v>
      </c>
      <c r="AK238" s="1383">
        <f t="shared" si="341"/>
        <v>0</v>
      </c>
      <c r="AL238" s="1384">
        <v>0</v>
      </c>
      <c r="AM238" s="1363">
        <f t="shared" si="326"/>
        <v>0</v>
      </c>
      <c r="AN238" s="1364">
        <v>0</v>
      </c>
      <c r="AO238" s="1365">
        <f t="shared" si="327"/>
        <v>0</v>
      </c>
      <c r="AP238" s="1366">
        <v>0</v>
      </c>
      <c r="AQ238" s="1367">
        <f t="shared" si="328"/>
        <v>0</v>
      </c>
      <c r="AR238" s="1368">
        <v>0</v>
      </c>
      <c r="AS238" s="1369">
        <f t="shared" si="329"/>
        <v>0</v>
      </c>
      <c r="AT238" s="1370">
        <v>0</v>
      </c>
      <c r="AU238" s="1371">
        <f t="shared" si="330"/>
        <v>0</v>
      </c>
      <c r="AV238" s="1359">
        <f t="shared" si="331"/>
        <v>0</v>
      </c>
      <c r="AW238" s="1372">
        <f t="shared" si="332"/>
        <v>0</v>
      </c>
      <c r="AX238" s="1373">
        <f t="shared" si="333"/>
        <v>0</v>
      </c>
      <c r="AY238" s="1374">
        <f t="shared" si="334"/>
        <v>0</v>
      </c>
      <c r="AZ238" s="1375">
        <f t="shared" si="335"/>
        <v>0</v>
      </c>
      <c r="BA238" s="1376">
        <f t="shared" si="336"/>
        <v>0</v>
      </c>
      <c r="BB238" s="1391"/>
      <c r="BC238" s="1849"/>
      <c r="BD238" s="1821"/>
      <c r="BE238" s="1824"/>
      <c r="BF238" s="1827"/>
      <c r="BG238" s="1852"/>
    </row>
    <row r="239" spans="1:63" s="1315" customFormat="1" ht="38.25">
      <c r="A239" s="1277" t="str">
        <f>L239</f>
        <v>ChemDiv, Inc.</v>
      </c>
      <c r="B239" s="1277" t="s">
        <v>4661</v>
      </c>
      <c r="C239" s="1316">
        <f>Z239</f>
        <v>17</v>
      </c>
      <c r="D239" s="1317">
        <v>43040</v>
      </c>
      <c r="E239" s="1317"/>
      <c r="F239" s="1277" t="s">
        <v>72</v>
      </c>
      <c r="G239" s="1277" t="s">
        <v>72</v>
      </c>
      <c r="H239" s="1277" t="s">
        <v>72</v>
      </c>
      <c r="I239" s="1277" t="s">
        <v>4711</v>
      </c>
      <c r="J239" s="1317"/>
      <c r="K239" s="1317"/>
      <c r="L239" s="1318" t="s">
        <v>353</v>
      </c>
      <c r="M239" s="1319"/>
      <c r="N239" s="1320" t="s">
        <v>4661</v>
      </c>
      <c r="O239" s="1321" t="s">
        <v>4910</v>
      </c>
      <c r="P239" s="1321"/>
      <c r="Q239" s="1322"/>
      <c r="R239" s="1322"/>
      <c r="S239" s="1322"/>
      <c r="T239" s="1322"/>
      <c r="U239" s="1322"/>
      <c r="V239" s="1322"/>
      <c r="W239" s="1322"/>
      <c r="X239" s="1317">
        <v>43040</v>
      </c>
      <c r="Y239" s="1317">
        <v>43466</v>
      </c>
      <c r="Z239" s="1316">
        <v>17</v>
      </c>
      <c r="AA239" s="1316" t="s">
        <v>4911</v>
      </c>
      <c r="AB239" s="1323">
        <f>SUM(AB240:AB247)</f>
        <v>0</v>
      </c>
      <c r="AC239" s="1323">
        <f>SUM(AC240:AC247)</f>
        <v>0</v>
      </c>
      <c r="AD239" s="1323">
        <f>SUM(AD240:AD247)</f>
        <v>0</v>
      </c>
      <c r="AE239" s="1324">
        <f t="shared" si="168"/>
        <v>0</v>
      </c>
      <c r="AF239" s="1325" t="str">
        <f t="shared" si="140"/>
        <v/>
      </c>
      <c r="AG239" s="1326">
        <f t="shared" si="339"/>
        <v>13318.325833333331</v>
      </c>
      <c r="AH239" s="1326">
        <f>SUM(AH240:AH247)</f>
        <v>159819.90999999997</v>
      </c>
      <c r="AI239" s="1327"/>
      <c r="AJ239" s="1328">
        <f>SUM(AJ240:AJ247)</f>
        <v>1090.3199749999999</v>
      </c>
      <c r="AK239" s="1328">
        <f>SUM(AK240:AK247)</f>
        <v>13083.8397</v>
      </c>
      <c r="AL239" s="1329"/>
      <c r="AM239" s="1330">
        <f>SUM(AM240:AM247)</f>
        <v>777.7962</v>
      </c>
      <c r="AN239" s="1331"/>
      <c r="AO239" s="1332">
        <f>SUM(AO240:AO247)</f>
        <v>0</v>
      </c>
      <c r="AP239" s="1333"/>
      <c r="AQ239" s="1334">
        <f>SUM(AQ240:AQ247)</f>
        <v>0</v>
      </c>
      <c r="AR239" s="1335"/>
      <c r="AS239" s="1336">
        <f>SUM(AS240:AS247)</f>
        <v>6648.4366</v>
      </c>
      <c r="AT239" s="1337"/>
      <c r="AU239" s="1338">
        <f>SUM(AU240:AU247)</f>
        <v>3888.9809999999998</v>
      </c>
      <c r="AV239" s="1339"/>
      <c r="AW239" s="1340">
        <f>SUM(AW240:AW247)</f>
        <v>1768.6258999999989</v>
      </c>
      <c r="AX239" s="1306"/>
      <c r="AY239" s="1307">
        <f>SUM(AW239+AS239+AU239)</f>
        <v>12306.043499999998</v>
      </c>
      <c r="AZ239" s="1341"/>
      <c r="BA239" s="1309">
        <f>SUM(AY239+AQ239)</f>
        <v>12306.043499999998</v>
      </c>
      <c r="BB239" s="1342">
        <f>(AW239+AU239)/(AK239-AM239)</f>
        <v>0.45974215026949961</v>
      </c>
      <c r="BC239" s="1343"/>
      <c r="BD239" s="1343"/>
      <c r="BE239" s="1344"/>
      <c r="BF239" s="1345" t="s">
        <v>4912</v>
      </c>
      <c r="BG239" s="1346"/>
    </row>
    <row r="240" spans="1:63" s="1378" customFormat="1" ht="76.5">
      <c r="A240" s="1347" t="str">
        <f>L239</f>
        <v>ChemDiv, Inc.</v>
      </c>
      <c r="B240" s="1348" t="str">
        <f t="shared" ref="B240:B247" si="342">N$800</f>
        <v>HUB SD</v>
      </c>
      <c r="C240" s="1348">
        <f>Z239</f>
        <v>17</v>
      </c>
      <c r="D240" s="1349">
        <v>43040</v>
      </c>
      <c r="E240" s="1349"/>
      <c r="F240" s="1347" t="s">
        <v>85</v>
      </c>
      <c r="G240" s="1347" t="s">
        <v>85</v>
      </c>
      <c r="H240" s="1347" t="s">
        <v>85</v>
      </c>
      <c r="I240" s="1347" t="s">
        <v>113</v>
      </c>
      <c r="J240" s="1349"/>
      <c r="K240" s="1349" t="s">
        <v>254</v>
      </c>
      <c r="L240" s="1350" t="s">
        <v>2661</v>
      </c>
      <c r="M240" s="1350" t="s">
        <v>3647</v>
      </c>
      <c r="N240" s="1451" t="s">
        <v>4913</v>
      </c>
      <c r="O240" s="1352" t="s">
        <v>4914</v>
      </c>
      <c r="P240" s="1352" t="s">
        <v>4829</v>
      </c>
      <c r="Q240" s="1353" t="s">
        <v>317</v>
      </c>
      <c r="R240" s="1353" t="s">
        <v>3656</v>
      </c>
      <c r="S240" s="1353" t="s">
        <v>307</v>
      </c>
      <c r="T240" s="1353" t="s">
        <v>113</v>
      </c>
      <c r="U240" s="1354"/>
      <c r="V240" s="1354"/>
      <c r="W240" s="1354"/>
      <c r="X240" s="1353">
        <v>43040</v>
      </c>
      <c r="Y240" s="1353">
        <v>43466</v>
      </c>
      <c r="Z240" s="1355"/>
      <c r="AA240" s="1355" t="s">
        <v>4667</v>
      </c>
      <c r="AB240" s="1356"/>
      <c r="AC240" s="1356"/>
      <c r="AD240" s="1356"/>
      <c r="AE240" s="1356"/>
      <c r="AF240" s="1357"/>
      <c r="AG240" s="1358">
        <f t="shared" si="339"/>
        <v>12963.269999999999</v>
      </c>
      <c r="AH240" s="1358">
        <v>155559.24</v>
      </c>
      <c r="AI240" s="1359">
        <v>0.08</v>
      </c>
      <c r="AJ240" s="1360">
        <f t="shared" ref="AJ240:AJ247" si="343">$AI240*$AG240</f>
        <v>1037.0616</v>
      </c>
      <c r="AK240" s="1361">
        <f t="shared" ref="AK240:AK247" si="344">AI240*$AH240</f>
        <v>12444.7392</v>
      </c>
      <c r="AL240" s="1362">
        <v>5.0000000000000001E-3</v>
      </c>
      <c r="AM240" s="1363">
        <f t="shared" ref="AM240:AM247" si="345">AL240*$AH240</f>
        <v>777.7962</v>
      </c>
      <c r="AN240" s="1364">
        <v>0</v>
      </c>
      <c r="AO240" s="1365">
        <f t="shared" ref="AO240:AO247" si="346">AN240*$AH240</f>
        <v>0</v>
      </c>
      <c r="AP240" s="1366">
        <v>0</v>
      </c>
      <c r="AQ240" s="1367">
        <f t="shared" ref="AQ240:AQ247" si="347">AP240*$AH240</f>
        <v>0</v>
      </c>
      <c r="AR240" s="1368">
        <v>0.04</v>
      </c>
      <c r="AS240" s="1369">
        <f t="shared" ref="AS240:AS247" si="348">AR240*$AH240</f>
        <v>6222.3696</v>
      </c>
      <c r="AT240" s="1370">
        <v>2.5000000000000001E-2</v>
      </c>
      <c r="AU240" s="1371">
        <f t="shared" ref="AU240:AU247" si="349">AT240*$AH240</f>
        <v>3888.9809999999998</v>
      </c>
      <c r="AV240" s="1359">
        <f t="shared" ref="AV240:AV247" si="350">AZ240-AR240-AT240-AP240</f>
        <v>9.999999999999995E-3</v>
      </c>
      <c r="AW240" s="1372">
        <f t="shared" ref="AW240:AW247" si="351">AV240*$AH240</f>
        <v>1555.5923999999991</v>
      </c>
      <c r="AX240" s="1373">
        <f t="shared" ref="AX240:AX247" si="352">$AZ240-$AP240</f>
        <v>7.4999999999999997E-2</v>
      </c>
      <c r="AY240" s="1374">
        <f t="shared" ref="AY240:AY247" si="353">AX240*$AH240</f>
        <v>11666.942999999999</v>
      </c>
      <c r="AZ240" s="1375">
        <f t="shared" ref="AZ240:AZ247" si="354">$AI240-$AL240-$AN240</f>
        <v>7.4999999999999997E-2</v>
      </c>
      <c r="BA240" s="1376">
        <f t="shared" ref="BA240:BA247" si="355">AZ240*$AH240</f>
        <v>11666.942999999999</v>
      </c>
      <c r="BB240" s="1377"/>
      <c r="BC240" s="1820" t="s">
        <v>4915</v>
      </c>
      <c r="BD240" s="1820" t="s">
        <v>378</v>
      </c>
      <c r="BE240" s="1823" t="s">
        <v>377</v>
      </c>
      <c r="BF240" s="1826" t="s">
        <v>4916</v>
      </c>
      <c r="BG240" s="1829">
        <v>391834508</v>
      </c>
    </row>
    <row r="241" spans="1:59" s="1378" customFormat="1" ht="38.25">
      <c r="A241" s="1347" t="str">
        <f>L239</f>
        <v>ChemDiv, Inc.</v>
      </c>
      <c r="B241" s="1348" t="str">
        <f t="shared" si="342"/>
        <v>HUB SD</v>
      </c>
      <c r="C241" s="1348">
        <f>Z239</f>
        <v>17</v>
      </c>
      <c r="D241" s="1349">
        <v>43040</v>
      </c>
      <c r="E241" s="1349"/>
      <c r="F241" s="1347" t="s">
        <v>72</v>
      </c>
      <c r="G241" s="1347" t="s">
        <v>85</v>
      </c>
      <c r="H241" s="1347" t="s">
        <v>72</v>
      </c>
      <c r="I241" s="1347" t="s">
        <v>72</v>
      </c>
      <c r="J241" s="1349" t="s">
        <v>4670</v>
      </c>
      <c r="K241" s="1349" t="s">
        <v>254</v>
      </c>
      <c r="L241" s="1350" t="s">
        <v>4671</v>
      </c>
      <c r="M241" s="1350" t="s">
        <v>3649</v>
      </c>
      <c r="N241" s="1379" t="s">
        <v>4917</v>
      </c>
      <c r="O241" s="1352" t="s">
        <v>4918</v>
      </c>
      <c r="P241" s="1352"/>
      <c r="Q241" s="1354"/>
      <c r="R241" s="1354"/>
      <c r="S241" s="1354"/>
      <c r="T241" s="1354"/>
      <c r="U241" s="1354"/>
      <c r="V241" s="1354"/>
      <c r="W241" s="1354"/>
      <c r="X241" s="1353">
        <v>43040</v>
      </c>
      <c r="Y241" s="1353">
        <v>43466</v>
      </c>
      <c r="Z241" s="1355"/>
      <c r="AA241" s="1355" t="s">
        <v>4674</v>
      </c>
      <c r="AB241" s="1356"/>
      <c r="AC241" s="1356"/>
      <c r="AD241" s="1356"/>
      <c r="AE241" s="1356"/>
      <c r="AF241" s="1357"/>
      <c r="AG241" s="1380"/>
      <c r="AH241" s="1380"/>
      <c r="AI241" s="1381">
        <v>0</v>
      </c>
      <c r="AJ241" s="1382">
        <f t="shared" si="343"/>
        <v>0</v>
      </c>
      <c r="AK241" s="1383">
        <f t="shared" si="344"/>
        <v>0</v>
      </c>
      <c r="AL241" s="1384">
        <v>0</v>
      </c>
      <c r="AM241" s="1363">
        <f t="shared" si="345"/>
        <v>0</v>
      </c>
      <c r="AN241" s="1364">
        <v>0</v>
      </c>
      <c r="AO241" s="1365">
        <f t="shared" si="346"/>
        <v>0</v>
      </c>
      <c r="AP241" s="1366">
        <v>0</v>
      </c>
      <c r="AQ241" s="1367">
        <f t="shared" si="347"/>
        <v>0</v>
      </c>
      <c r="AR241" s="1368">
        <v>0</v>
      </c>
      <c r="AS241" s="1369">
        <f t="shared" si="348"/>
        <v>0</v>
      </c>
      <c r="AT241" s="1370">
        <v>0</v>
      </c>
      <c r="AU241" s="1371">
        <f t="shared" si="349"/>
        <v>0</v>
      </c>
      <c r="AV241" s="1359">
        <f t="shared" si="350"/>
        <v>0</v>
      </c>
      <c r="AW241" s="1372">
        <f t="shared" si="351"/>
        <v>0</v>
      </c>
      <c r="AX241" s="1373">
        <f t="shared" si="352"/>
        <v>0</v>
      </c>
      <c r="AY241" s="1374">
        <f t="shared" si="353"/>
        <v>0</v>
      </c>
      <c r="AZ241" s="1375">
        <f t="shared" si="354"/>
        <v>0</v>
      </c>
      <c r="BA241" s="1376">
        <f t="shared" si="355"/>
        <v>0</v>
      </c>
      <c r="BB241" s="1377"/>
      <c r="BC241" s="1820"/>
      <c r="BD241" s="1820"/>
      <c r="BE241" s="1823"/>
      <c r="BF241" s="1826"/>
      <c r="BG241" s="1829"/>
    </row>
    <row r="242" spans="1:59" s="1378" customFormat="1" ht="38.25">
      <c r="A242" s="1347" t="str">
        <f>L239</f>
        <v>ChemDiv, Inc.</v>
      </c>
      <c r="B242" s="1348" t="str">
        <f t="shared" si="342"/>
        <v>HUB SD</v>
      </c>
      <c r="C242" s="1348">
        <f>Z239</f>
        <v>17</v>
      </c>
      <c r="D242" s="1349">
        <v>43040</v>
      </c>
      <c r="E242" s="1349"/>
      <c r="F242" s="1347" t="s">
        <v>113</v>
      </c>
      <c r="G242" s="1347" t="s">
        <v>85</v>
      </c>
      <c r="H242" s="1347" t="s">
        <v>85</v>
      </c>
      <c r="I242" s="1347" t="s">
        <v>113</v>
      </c>
      <c r="J242" s="1349"/>
      <c r="K242" s="1349" t="s">
        <v>254</v>
      </c>
      <c r="L242" s="1350" t="s">
        <v>4682</v>
      </c>
      <c r="M242" s="1350" t="s">
        <v>4683</v>
      </c>
      <c r="N242" s="1386" t="s">
        <v>1249</v>
      </c>
      <c r="O242" s="1352" t="s">
        <v>4684</v>
      </c>
      <c r="P242" s="1387"/>
      <c r="Q242" s="1354"/>
      <c r="R242" s="1354"/>
      <c r="S242" s="1354"/>
      <c r="T242" s="1354"/>
      <c r="U242" s="1354"/>
      <c r="V242" s="1354"/>
      <c r="W242" s="1354"/>
      <c r="X242" s="1353">
        <v>43040</v>
      </c>
      <c r="Y242" s="1353">
        <v>43466</v>
      </c>
      <c r="Z242" s="1355"/>
      <c r="AA242" s="1355" t="s">
        <v>4685</v>
      </c>
      <c r="AB242" s="1356"/>
      <c r="AC242" s="1356"/>
      <c r="AD242" s="1356"/>
      <c r="AE242" s="1356"/>
      <c r="AF242" s="1357"/>
      <c r="AG242" s="1358">
        <f t="shared" si="339"/>
        <v>172.59583333333333</v>
      </c>
      <c r="AH242" s="1358">
        <f>1707.79+363.36</f>
        <v>2071.15</v>
      </c>
      <c r="AI242" s="1359">
        <v>0.15</v>
      </c>
      <c r="AJ242" s="1360">
        <f t="shared" si="343"/>
        <v>25.889374999999998</v>
      </c>
      <c r="AK242" s="1361">
        <f t="shared" si="344"/>
        <v>310.67250000000001</v>
      </c>
      <c r="AL242" s="1384">
        <v>0</v>
      </c>
      <c r="AM242" s="1363">
        <f t="shared" si="345"/>
        <v>0</v>
      </c>
      <c r="AN242" s="1364">
        <v>0</v>
      </c>
      <c r="AO242" s="1365">
        <f t="shared" si="346"/>
        <v>0</v>
      </c>
      <c r="AP242" s="1366">
        <v>0</v>
      </c>
      <c r="AQ242" s="1367">
        <f t="shared" si="347"/>
        <v>0</v>
      </c>
      <c r="AR242" s="1368">
        <v>0.1</v>
      </c>
      <c r="AS242" s="1369">
        <f t="shared" si="348"/>
        <v>207.11500000000001</v>
      </c>
      <c r="AT242" s="1370">
        <v>0</v>
      </c>
      <c r="AU242" s="1371">
        <f t="shared" si="349"/>
        <v>0</v>
      </c>
      <c r="AV242" s="1359">
        <f t="shared" si="350"/>
        <v>4.9999999999999989E-2</v>
      </c>
      <c r="AW242" s="1372">
        <f t="shared" si="351"/>
        <v>103.55749999999998</v>
      </c>
      <c r="AX242" s="1373">
        <f t="shared" si="352"/>
        <v>0.15</v>
      </c>
      <c r="AY242" s="1374">
        <f t="shared" si="353"/>
        <v>310.67250000000001</v>
      </c>
      <c r="AZ242" s="1375">
        <f t="shared" si="354"/>
        <v>0.15</v>
      </c>
      <c r="BA242" s="1376">
        <f t="shared" si="355"/>
        <v>310.67250000000001</v>
      </c>
      <c r="BB242" s="1377"/>
      <c r="BC242" s="1820"/>
      <c r="BD242" s="1820"/>
      <c r="BE242" s="1823"/>
      <c r="BF242" s="1826"/>
      <c r="BG242" s="1829"/>
    </row>
    <row r="243" spans="1:59" s="1378" customFormat="1" ht="38.25">
      <c r="A243" s="1347" t="str">
        <f>L239</f>
        <v>ChemDiv, Inc.</v>
      </c>
      <c r="B243" s="1348" t="str">
        <f t="shared" si="342"/>
        <v>HUB SD</v>
      </c>
      <c r="C243" s="1348">
        <f>Z239</f>
        <v>17</v>
      </c>
      <c r="D243" s="1349">
        <v>43040</v>
      </c>
      <c r="E243" s="1349"/>
      <c r="F243" s="1347" t="s">
        <v>113</v>
      </c>
      <c r="G243" s="1347" t="s">
        <v>85</v>
      </c>
      <c r="H243" s="1347" t="s">
        <v>85</v>
      </c>
      <c r="I243" s="1347" t="s">
        <v>113</v>
      </c>
      <c r="J243" s="1349"/>
      <c r="K243" s="1349" t="s">
        <v>254</v>
      </c>
      <c r="L243" s="1350" t="s">
        <v>4682</v>
      </c>
      <c r="M243" s="1350" t="s">
        <v>4686</v>
      </c>
      <c r="N243" s="1386" t="s">
        <v>60</v>
      </c>
      <c r="O243" s="1352" t="s">
        <v>4687</v>
      </c>
      <c r="P243" s="1387"/>
      <c r="Q243" s="1354"/>
      <c r="R243" s="1354"/>
      <c r="S243" s="1354"/>
      <c r="T243" s="1354"/>
      <c r="U243" s="1354"/>
      <c r="V243" s="1354"/>
      <c r="W243" s="1354"/>
      <c r="X243" s="1353">
        <v>43040</v>
      </c>
      <c r="Y243" s="1353">
        <v>43466</v>
      </c>
      <c r="Z243" s="1355"/>
      <c r="AA243" s="1355" t="s">
        <v>4685</v>
      </c>
      <c r="AB243" s="1356"/>
      <c r="AC243" s="1356"/>
      <c r="AD243" s="1356"/>
      <c r="AE243" s="1356"/>
      <c r="AF243" s="1357"/>
      <c r="AG243" s="1358">
        <f t="shared" si="339"/>
        <v>182.46</v>
      </c>
      <c r="AH243" s="1358">
        <f>1904.4 +285.12</f>
        <v>2189.52</v>
      </c>
      <c r="AI243" s="1359">
        <v>0.15</v>
      </c>
      <c r="AJ243" s="1360">
        <f t="shared" si="343"/>
        <v>27.369</v>
      </c>
      <c r="AK243" s="1361">
        <f t="shared" si="344"/>
        <v>328.428</v>
      </c>
      <c r="AL243" s="1384">
        <v>0</v>
      </c>
      <c r="AM243" s="1363">
        <f t="shared" si="345"/>
        <v>0</v>
      </c>
      <c r="AN243" s="1364">
        <v>0</v>
      </c>
      <c r="AO243" s="1365">
        <f t="shared" si="346"/>
        <v>0</v>
      </c>
      <c r="AP243" s="1366">
        <v>0</v>
      </c>
      <c r="AQ243" s="1367">
        <f t="shared" si="347"/>
        <v>0</v>
      </c>
      <c r="AR243" s="1368">
        <v>0.1</v>
      </c>
      <c r="AS243" s="1369">
        <f t="shared" si="348"/>
        <v>218.952</v>
      </c>
      <c r="AT243" s="1370">
        <v>0</v>
      </c>
      <c r="AU243" s="1371">
        <f t="shared" si="349"/>
        <v>0</v>
      </c>
      <c r="AV243" s="1359">
        <f t="shared" si="350"/>
        <v>4.9999999999999989E-2</v>
      </c>
      <c r="AW243" s="1372">
        <f t="shared" si="351"/>
        <v>109.47599999999997</v>
      </c>
      <c r="AX243" s="1373">
        <f t="shared" si="352"/>
        <v>0.15</v>
      </c>
      <c r="AY243" s="1374">
        <f t="shared" si="353"/>
        <v>328.428</v>
      </c>
      <c r="AZ243" s="1375">
        <f t="shared" si="354"/>
        <v>0.15</v>
      </c>
      <c r="BA243" s="1376">
        <f t="shared" si="355"/>
        <v>328.428</v>
      </c>
      <c r="BB243" s="1377"/>
      <c r="BC243" s="1820"/>
      <c r="BD243" s="1820"/>
      <c r="BE243" s="1823"/>
      <c r="BF243" s="1826"/>
      <c r="BG243" s="1829"/>
    </row>
    <row r="244" spans="1:59" s="1378" customFormat="1" ht="27.75" customHeight="1">
      <c r="A244" s="1347" t="s">
        <v>353</v>
      </c>
      <c r="B244" s="1348" t="str">
        <f t="shared" si="342"/>
        <v>HUB SD</v>
      </c>
      <c r="C244" s="1348">
        <v>17</v>
      </c>
      <c r="D244" s="1349">
        <v>43040</v>
      </c>
      <c r="E244" s="1349"/>
      <c r="F244" s="1347" t="s">
        <v>72</v>
      </c>
      <c r="G244" s="1347" t="s">
        <v>85</v>
      </c>
      <c r="H244" s="1347" t="s">
        <v>72</v>
      </c>
      <c r="I244" s="1347" t="s">
        <v>72</v>
      </c>
      <c r="J244" s="1349" t="s">
        <v>4670</v>
      </c>
      <c r="K244" s="1349" t="s">
        <v>254</v>
      </c>
      <c r="L244" s="1350" t="s">
        <v>4696</v>
      </c>
      <c r="M244" s="1350" t="s">
        <v>4697</v>
      </c>
      <c r="N244" s="1389" t="s">
        <v>4698</v>
      </c>
      <c r="O244" s="1352" t="s">
        <v>4699</v>
      </c>
      <c r="P244" s="1352"/>
      <c r="Q244" s="1354"/>
      <c r="R244" s="1354"/>
      <c r="S244" s="1354"/>
      <c r="T244" s="1354"/>
      <c r="U244" s="1354"/>
      <c r="V244" s="1354"/>
      <c r="W244" s="1354"/>
      <c r="X244" s="1353">
        <v>43101</v>
      </c>
      <c r="Y244" s="1353">
        <v>43466</v>
      </c>
      <c r="Z244" s="1355"/>
      <c r="AA244" s="1355" t="s">
        <v>4674</v>
      </c>
      <c r="AB244" s="1356"/>
      <c r="AC244" s="1356"/>
      <c r="AD244" s="1356"/>
      <c r="AE244" s="1356"/>
      <c r="AF244" s="1357"/>
      <c r="AG244" s="1380"/>
      <c r="AH244" s="1380"/>
      <c r="AI244" s="1381">
        <v>0</v>
      </c>
      <c r="AJ244" s="1382">
        <f t="shared" si="343"/>
        <v>0</v>
      </c>
      <c r="AK244" s="1383">
        <f t="shared" si="344"/>
        <v>0</v>
      </c>
      <c r="AL244" s="1384">
        <v>0</v>
      </c>
      <c r="AM244" s="1363">
        <f t="shared" si="345"/>
        <v>0</v>
      </c>
      <c r="AN244" s="1364">
        <v>0</v>
      </c>
      <c r="AO244" s="1365">
        <f t="shared" si="346"/>
        <v>0</v>
      </c>
      <c r="AP244" s="1366">
        <v>0</v>
      </c>
      <c r="AQ244" s="1367">
        <f t="shared" si="347"/>
        <v>0</v>
      </c>
      <c r="AR244" s="1368">
        <v>0</v>
      </c>
      <c r="AS244" s="1369">
        <f t="shared" si="348"/>
        <v>0</v>
      </c>
      <c r="AT244" s="1370">
        <v>0</v>
      </c>
      <c r="AU244" s="1371">
        <f t="shared" si="349"/>
        <v>0</v>
      </c>
      <c r="AV244" s="1359">
        <f t="shared" si="350"/>
        <v>0</v>
      </c>
      <c r="AW244" s="1372">
        <f t="shared" si="351"/>
        <v>0</v>
      </c>
      <c r="AX244" s="1373">
        <f t="shared" si="352"/>
        <v>0</v>
      </c>
      <c r="AY244" s="1374">
        <f t="shared" si="353"/>
        <v>0</v>
      </c>
      <c r="AZ244" s="1375">
        <f t="shared" si="354"/>
        <v>0</v>
      </c>
      <c r="BA244" s="1376">
        <f t="shared" si="355"/>
        <v>0</v>
      </c>
      <c r="BB244" s="1377"/>
      <c r="BC244" s="1820"/>
      <c r="BD244" s="1820"/>
      <c r="BE244" s="1823"/>
      <c r="BF244" s="1826"/>
      <c r="BG244" s="1829"/>
    </row>
    <row r="245" spans="1:59" s="1378" customFormat="1" ht="25.5">
      <c r="A245" s="1347" t="str">
        <f>L239</f>
        <v>ChemDiv, Inc.</v>
      </c>
      <c r="B245" s="1348" t="str">
        <f t="shared" si="342"/>
        <v>HUB SD</v>
      </c>
      <c r="C245" s="1348">
        <f>Z239</f>
        <v>17</v>
      </c>
      <c r="D245" s="1349">
        <v>43040</v>
      </c>
      <c r="E245" s="1349"/>
      <c r="F245" s="1347" t="s">
        <v>72</v>
      </c>
      <c r="G245" s="1347" t="s">
        <v>85</v>
      </c>
      <c r="H245" s="1347" t="s">
        <v>72</v>
      </c>
      <c r="I245" s="1347" t="s">
        <v>72</v>
      </c>
      <c r="J245" s="1349" t="s">
        <v>4670</v>
      </c>
      <c r="K245" s="1349" t="s">
        <v>254</v>
      </c>
      <c r="L245" s="1350" t="s">
        <v>48</v>
      </c>
      <c r="M245" s="1350" t="s">
        <v>253</v>
      </c>
      <c r="N245" s="1390" t="s">
        <v>4703</v>
      </c>
      <c r="O245" s="1352" t="s">
        <v>4704</v>
      </c>
      <c r="P245" s="1352"/>
      <c r="Q245" s="1354"/>
      <c r="R245" s="1354"/>
      <c r="S245" s="1354"/>
      <c r="T245" s="1354"/>
      <c r="U245" s="1354"/>
      <c r="V245" s="1354"/>
      <c r="W245" s="1354"/>
      <c r="X245" s="1353">
        <v>43040</v>
      </c>
      <c r="Y245" s="1353">
        <v>43466</v>
      </c>
      <c r="Z245" s="1355"/>
      <c r="AA245" s="1355" t="s">
        <v>4674</v>
      </c>
      <c r="AB245" s="1356"/>
      <c r="AC245" s="1356"/>
      <c r="AD245" s="1356"/>
      <c r="AE245" s="1356"/>
      <c r="AF245" s="1357"/>
      <c r="AG245" s="1380"/>
      <c r="AH245" s="1380"/>
      <c r="AI245" s="1381">
        <v>0</v>
      </c>
      <c r="AJ245" s="1382">
        <f t="shared" si="343"/>
        <v>0</v>
      </c>
      <c r="AK245" s="1383">
        <f t="shared" si="344"/>
        <v>0</v>
      </c>
      <c r="AL245" s="1384">
        <v>0</v>
      </c>
      <c r="AM245" s="1363">
        <f t="shared" si="345"/>
        <v>0</v>
      </c>
      <c r="AN245" s="1364">
        <v>0</v>
      </c>
      <c r="AO245" s="1365">
        <f t="shared" si="346"/>
        <v>0</v>
      </c>
      <c r="AP245" s="1366">
        <v>0</v>
      </c>
      <c r="AQ245" s="1367">
        <f t="shared" si="347"/>
        <v>0</v>
      </c>
      <c r="AR245" s="1368">
        <v>0</v>
      </c>
      <c r="AS245" s="1369">
        <f t="shared" si="348"/>
        <v>0</v>
      </c>
      <c r="AT245" s="1370">
        <v>0</v>
      </c>
      <c r="AU245" s="1371">
        <f t="shared" si="349"/>
        <v>0</v>
      </c>
      <c r="AV245" s="1359">
        <f t="shared" si="350"/>
        <v>0</v>
      </c>
      <c r="AW245" s="1372">
        <f t="shared" si="351"/>
        <v>0</v>
      </c>
      <c r="AX245" s="1373">
        <f t="shared" si="352"/>
        <v>0</v>
      </c>
      <c r="AY245" s="1374">
        <f t="shared" si="353"/>
        <v>0</v>
      </c>
      <c r="AZ245" s="1375">
        <f t="shared" si="354"/>
        <v>0</v>
      </c>
      <c r="BA245" s="1376">
        <f t="shared" si="355"/>
        <v>0</v>
      </c>
      <c r="BB245" s="1377"/>
      <c r="BC245" s="1820"/>
      <c r="BD245" s="1820"/>
      <c r="BE245" s="1823"/>
      <c r="BF245" s="1826"/>
      <c r="BG245" s="1829"/>
    </row>
    <row r="246" spans="1:59" s="1378" customFormat="1" ht="25.5">
      <c r="A246" s="1347" t="str">
        <f>L239</f>
        <v>ChemDiv, Inc.</v>
      </c>
      <c r="B246" s="1348" t="str">
        <f t="shared" si="342"/>
        <v>HUB SD</v>
      </c>
      <c r="C246" s="1348">
        <f>Z239</f>
        <v>17</v>
      </c>
      <c r="D246" s="1349">
        <v>43040</v>
      </c>
      <c r="E246" s="1349"/>
      <c r="F246" s="1347" t="s">
        <v>72</v>
      </c>
      <c r="G246" s="1347" t="s">
        <v>85</v>
      </c>
      <c r="H246" s="1347" t="s">
        <v>72</v>
      </c>
      <c r="I246" s="1347" t="s">
        <v>72</v>
      </c>
      <c r="J246" s="1349" t="s">
        <v>4670</v>
      </c>
      <c r="K246" s="1349" t="s">
        <v>254</v>
      </c>
      <c r="L246" s="1350" t="s">
        <v>49</v>
      </c>
      <c r="M246" s="1350" t="s">
        <v>4705</v>
      </c>
      <c r="N246" s="1390" t="s">
        <v>4706</v>
      </c>
      <c r="O246" s="1352" t="s">
        <v>4707</v>
      </c>
      <c r="P246" s="1352"/>
      <c r="Q246" s="1354"/>
      <c r="R246" s="1354"/>
      <c r="S246" s="1354"/>
      <c r="T246" s="1354"/>
      <c r="U246" s="1354"/>
      <c r="V246" s="1354"/>
      <c r="W246" s="1354"/>
      <c r="X246" s="1353">
        <v>43040</v>
      </c>
      <c r="Y246" s="1353">
        <v>43466</v>
      </c>
      <c r="Z246" s="1355"/>
      <c r="AA246" s="1355" t="s">
        <v>4674</v>
      </c>
      <c r="AB246" s="1356"/>
      <c r="AC246" s="1356"/>
      <c r="AD246" s="1356"/>
      <c r="AE246" s="1356"/>
      <c r="AF246" s="1357" t="str">
        <f t="shared" ref="AF246:AF247" si="356">IFERROR((AE246/AB246),"")</f>
        <v/>
      </c>
      <c r="AG246" s="1380"/>
      <c r="AH246" s="1380"/>
      <c r="AI246" s="1381">
        <v>0</v>
      </c>
      <c r="AJ246" s="1382">
        <f t="shared" si="343"/>
        <v>0</v>
      </c>
      <c r="AK246" s="1383">
        <f t="shared" si="344"/>
        <v>0</v>
      </c>
      <c r="AL246" s="1384">
        <v>0</v>
      </c>
      <c r="AM246" s="1363">
        <f t="shared" si="345"/>
        <v>0</v>
      </c>
      <c r="AN246" s="1364">
        <v>0</v>
      </c>
      <c r="AO246" s="1365">
        <f t="shared" si="346"/>
        <v>0</v>
      </c>
      <c r="AP246" s="1366">
        <v>0</v>
      </c>
      <c r="AQ246" s="1367">
        <f t="shared" si="347"/>
        <v>0</v>
      </c>
      <c r="AR246" s="1368">
        <v>0</v>
      </c>
      <c r="AS246" s="1369">
        <f t="shared" si="348"/>
        <v>0</v>
      </c>
      <c r="AT246" s="1370">
        <v>0</v>
      </c>
      <c r="AU246" s="1371">
        <f t="shared" si="349"/>
        <v>0</v>
      </c>
      <c r="AV246" s="1359">
        <f t="shared" si="350"/>
        <v>0</v>
      </c>
      <c r="AW246" s="1372">
        <f t="shared" si="351"/>
        <v>0</v>
      </c>
      <c r="AX246" s="1373">
        <f t="shared" si="352"/>
        <v>0</v>
      </c>
      <c r="AY246" s="1374">
        <f t="shared" si="353"/>
        <v>0</v>
      </c>
      <c r="AZ246" s="1375">
        <f t="shared" si="354"/>
        <v>0</v>
      </c>
      <c r="BA246" s="1376">
        <f t="shared" si="355"/>
        <v>0</v>
      </c>
      <c r="BB246" s="1377"/>
      <c r="BC246" s="1820"/>
      <c r="BD246" s="1820"/>
      <c r="BE246" s="1823"/>
      <c r="BF246" s="1826"/>
      <c r="BG246" s="1829"/>
    </row>
    <row r="247" spans="1:59" s="1378" customFormat="1" ht="21.75" customHeight="1">
      <c r="A247" s="1347" t="str">
        <f>A246</f>
        <v>ChemDiv, Inc.</v>
      </c>
      <c r="B247" s="1348" t="str">
        <f t="shared" si="342"/>
        <v>HUB SD</v>
      </c>
      <c r="C247" s="1348">
        <f>C246</f>
        <v>17</v>
      </c>
      <c r="D247" s="1349">
        <v>43040</v>
      </c>
      <c r="E247" s="1349"/>
      <c r="F247" s="1347" t="s">
        <v>72</v>
      </c>
      <c r="G247" s="1347" t="s">
        <v>85</v>
      </c>
      <c r="H247" s="1347" t="s">
        <v>72</v>
      </c>
      <c r="I247" s="1347" t="s">
        <v>72</v>
      </c>
      <c r="J247" s="1349" t="s">
        <v>4670</v>
      </c>
      <c r="K247" s="1349" t="s">
        <v>254</v>
      </c>
      <c r="L247" s="1350" t="s">
        <v>3056</v>
      </c>
      <c r="M247" s="1350" t="s">
        <v>4708</v>
      </c>
      <c r="N247" s="1390" t="s">
        <v>4709</v>
      </c>
      <c r="O247" s="1352" t="s">
        <v>4710</v>
      </c>
      <c r="P247" s="1352"/>
      <c r="Q247" s="1354"/>
      <c r="R247" s="1354"/>
      <c r="S247" s="1354"/>
      <c r="T247" s="1354"/>
      <c r="U247" s="1354"/>
      <c r="V247" s="1354"/>
      <c r="W247" s="1354"/>
      <c r="X247" s="1353">
        <v>43040</v>
      </c>
      <c r="Y247" s="1353">
        <v>43466</v>
      </c>
      <c r="Z247" s="1355"/>
      <c r="AA247" s="1355" t="s">
        <v>4674</v>
      </c>
      <c r="AB247" s="1356"/>
      <c r="AC247" s="1356"/>
      <c r="AD247" s="1356"/>
      <c r="AE247" s="1356"/>
      <c r="AF247" s="1357" t="str">
        <f t="shared" si="356"/>
        <v/>
      </c>
      <c r="AG247" s="1380"/>
      <c r="AH247" s="1380"/>
      <c r="AI247" s="1381">
        <v>0</v>
      </c>
      <c r="AJ247" s="1382">
        <f t="shared" si="343"/>
        <v>0</v>
      </c>
      <c r="AK247" s="1383">
        <f t="shared" si="344"/>
        <v>0</v>
      </c>
      <c r="AL247" s="1384">
        <v>0</v>
      </c>
      <c r="AM247" s="1363">
        <f t="shared" si="345"/>
        <v>0</v>
      </c>
      <c r="AN247" s="1364">
        <v>0</v>
      </c>
      <c r="AO247" s="1365">
        <f t="shared" si="346"/>
        <v>0</v>
      </c>
      <c r="AP247" s="1366">
        <v>0</v>
      </c>
      <c r="AQ247" s="1367">
        <f t="shared" si="347"/>
        <v>0</v>
      </c>
      <c r="AR247" s="1368">
        <v>0</v>
      </c>
      <c r="AS247" s="1369">
        <f t="shared" si="348"/>
        <v>0</v>
      </c>
      <c r="AT247" s="1370">
        <v>0</v>
      </c>
      <c r="AU247" s="1371">
        <f t="shared" si="349"/>
        <v>0</v>
      </c>
      <c r="AV247" s="1359">
        <f t="shared" si="350"/>
        <v>0</v>
      </c>
      <c r="AW247" s="1372">
        <f t="shared" si="351"/>
        <v>0</v>
      </c>
      <c r="AX247" s="1373">
        <f t="shared" si="352"/>
        <v>0</v>
      </c>
      <c r="AY247" s="1374">
        <f t="shared" si="353"/>
        <v>0</v>
      </c>
      <c r="AZ247" s="1375">
        <f t="shared" si="354"/>
        <v>0</v>
      </c>
      <c r="BA247" s="1376">
        <f t="shared" si="355"/>
        <v>0</v>
      </c>
      <c r="BB247" s="1391"/>
      <c r="BC247" s="1821"/>
      <c r="BD247" s="1821"/>
      <c r="BE247" s="1824"/>
      <c r="BF247" s="1827"/>
      <c r="BG247" s="1830"/>
    </row>
    <row r="248" spans="1:59" s="1315" customFormat="1" ht="57" customHeight="1">
      <c r="A248" s="1277" t="str">
        <f>L248</f>
        <v>Cidara Therapeutics, Inc.</v>
      </c>
      <c r="B248" s="1316" t="str">
        <f>N248</f>
        <v>HUB SD</v>
      </c>
      <c r="C248" s="1316">
        <f>Z248</f>
        <v>64</v>
      </c>
      <c r="D248" s="1317">
        <v>43101</v>
      </c>
      <c r="E248" s="1317"/>
      <c r="F248" s="1277" t="s">
        <v>72</v>
      </c>
      <c r="G248" s="1277" t="s">
        <v>72</v>
      </c>
      <c r="H248" s="1277" t="s">
        <v>72</v>
      </c>
      <c r="I248" s="1277" t="s">
        <v>4711</v>
      </c>
      <c r="J248" s="1317"/>
      <c r="K248" s="1317"/>
      <c r="L248" s="1318" t="s">
        <v>356</v>
      </c>
      <c r="M248" s="1319"/>
      <c r="N248" s="1320" t="s">
        <v>4661</v>
      </c>
      <c r="O248" s="1321" t="s">
        <v>2473</v>
      </c>
      <c r="P248" s="1321"/>
      <c r="Q248" s="1322"/>
      <c r="R248" s="1322"/>
      <c r="S248" s="1322"/>
      <c r="T248" s="1322"/>
      <c r="U248" s="1322"/>
      <c r="V248" s="1322"/>
      <c r="W248" s="1322"/>
      <c r="X248" s="1317">
        <v>43101</v>
      </c>
      <c r="Y248" s="1317">
        <v>43466</v>
      </c>
      <c r="Z248" s="1316">
        <v>64</v>
      </c>
      <c r="AA248" s="1316" t="s">
        <v>4793</v>
      </c>
      <c r="AB248" s="1323">
        <f>SUM(AB249:AB261)</f>
        <v>828449</v>
      </c>
      <c r="AC248" s="1323">
        <f>SUM(AC249:AC261)</f>
        <v>906016</v>
      </c>
      <c r="AD248" s="1323">
        <f>SUM(AD249:AD261)</f>
        <v>817509.89</v>
      </c>
      <c r="AE248" s="1324">
        <f t="shared" si="168"/>
        <v>-10939.109999999986</v>
      </c>
      <c r="AF248" s="1325">
        <f t="shared" si="140"/>
        <v>-1.3204325190808349E-2</v>
      </c>
      <c r="AG248" s="1326">
        <f t="shared" si="339"/>
        <v>68654.494166666671</v>
      </c>
      <c r="AH248" s="1326">
        <f>SUM(AH249:AH261)</f>
        <v>823853.93</v>
      </c>
      <c r="AI248" s="1327"/>
      <c r="AJ248" s="1328">
        <f>SUM(AJ249:AJ261)</f>
        <v>6064.7264250000007</v>
      </c>
      <c r="AK248" s="1328">
        <f>SUM(AK249:AK261)</f>
        <v>72776.717100000009</v>
      </c>
      <c r="AL248" s="1329"/>
      <c r="AM248" s="1330">
        <f>SUM(AM249:AM261)</f>
        <v>3317.3346000000001</v>
      </c>
      <c r="AN248" s="1331"/>
      <c r="AO248" s="1332">
        <f>SUM(AO249:AO261)</f>
        <v>0</v>
      </c>
      <c r="AP248" s="1333"/>
      <c r="AQ248" s="1334">
        <f>SUM(AQ249:AQ261)</f>
        <v>0</v>
      </c>
      <c r="AR248" s="1335"/>
      <c r="AS248" s="1336">
        <f>SUM(AS249:AS261)</f>
        <v>40833.902600000009</v>
      </c>
      <c r="AT248" s="1337"/>
      <c r="AU248" s="1338">
        <f>SUM(AU249:AU261)</f>
        <v>16586.673000000003</v>
      </c>
      <c r="AV248" s="1339"/>
      <c r="AW248" s="1340">
        <f>SUM(AW249:AW261)</f>
        <v>12038.806899999996</v>
      </c>
      <c r="AX248" s="1306"/>
      <c r="AY248" s="1307">
        <f>SUM(AW248+AS248+AU248)</f>
        <v>69459.382500000007</v>
      </c>
      <c r="AZ248" s="1341"/>
      <c r="BA248" s="1309">
        <f>SUM(AY248+AQ248)</f>
        <v>69459.382500000007</v>
      </c>
      <c r="BB248" s="1342">
        <f>(AW248+AU248)/(AK248-AM248)</f>
        <v>0.41211826062519336</v>
      </c>
      <c r="BC248" s="1343"/>
      <c r="BD248" s="1343"/>
      <c r="BE248" s="1344"/>
      <c r="BF248" s="1345" t="s">
        <v>4919</v>
      </c>
      <c r="BG248" s="1346"/>
    </row>
    <row r="249" spans="1:59" s="1378" customFormat="1" ht="66" customHeight="1">
      <c r="A249" s="1347" t="str">
        <f>L248</f>
        <v>Cidara Therapeutics, Inc.</v>
      </c>
      <c r="B249" s="1348" t="str">
        <f>N248</f>
        <v>HUB SD</v>
      </c>
      <c r="C249" s="1348">
        <f>Z248</f>
        <v>64</v>
      </c>
      <c r="D249" s="1349">
        <v>43101</v>
      </c>
      <c r="E249" s="1349"/>
      <c r="F249" s="1347" t="s">
        <v>85</v>
      </c>
      <c r="G249" s="1347" t="s">
        <v>85</v>
      </c>
      <c r="H249" s="1347" t="s">
        <v>85</v>
      </c>
      <c r="I249" s="1347" t="s">
        <v>85</v>
      </c>
      <c r="J249" s="1349"/>
      <c r="K249" s="1349" t="s">
        <v>254</v>
      </c>
      <c r="L249" s="1350" t="s">
        <v>2661</v>
      </c>
      <c r="M249" s="1350" t="s">
        <v>3647</v>
      </c>
      <c r="N249" s="1351" t="s">
        <v>4920</v>
      </c>
      <c r="O249" s="1352" t="s">
        <v>4921</v>
      </c>
      <c r="P249" s="1352" t="s">
        <v>4922</v>
      </c>
      <c r="Q249" s="1353" t="s">
        <v>317</v>
      </c>
      <c r="R249" s="1353" t="s">
        <v>3655</v>
      </c>
      <c r="S249" s="1353" t="s">
        <v>307</v>
      </c>
      <c r="T249" s="1353" t="s">
        <v>113</v>
      </c>
      <c r="U249" s="1354"/>
      <c r="V249" s="1354"/>
      <c r="W249" s="1354"/>
      <c r="X249" s="1353">
        <v>43101</v>
      </c>
      <c r="Y249" s="1353">
        <v>43466</v>
      </c>
      <c r="Z249" s="1355"/>
      <c r="AA249" s="1355" t="s">
        <v>4667</v>
      </c>
      <c r="AB249" s="1422">
        <v>666621</v>
      </c>
      <c r="AC249" s="1422">
        <v>743824</v>
      </c>
      <c r="AD249" s="1422">
        <f t="shared" ref="AD249:AD256" si="357">AH249</f>
        <v>663466.92000000004</v>
      </c>
      <c r="AE249" s="1422">
        <f t="shared" si="168"/>
        <v>-3154.0799999999581</v>
      </c>
      <c r="AF249" s="1423">
        <f t="shared" si="140"/>
        <v>-4.7314441039210554E-3</v>
      </c>
      <c r="AG249" s="1358">
        <f t="shared" si="339"/>
        <v>55288.91</v>
      </c>
      <c r="AH249" s="1358">
        <v>663466.92000000004</v>
      </c>
      <c r="AI249" s="1359">
        <v>0.08</v>
      </c>
      <c r="AJ249" s="1360">
        <f t="shared" ref="AJ249:AJ261" si="358">$AI249*$AG249</f>
        <v>4423.1128000000008</v>
      </c>
      <c r="AK249" s="1361">
        <f t="shared" ref="AK249:AK261" si="359">AI249*$AH249</f>
        <v>53077.353600000002</v>
      </c>
      <c r="AL249" s="1362">
        <v>5.0000000000000001E-3</v>
      </c>
      <c r="AM249" s="1363">
        <f t="shared" ref="AM249:AM261" si="360">AL249*$AH249</f>
        <v>3317.3346000000001</v>
      </c>
      <c r="AN249" s="1364">
        <v>0</v>
      </c>
      <c r="AO249" s="1365">
        <f t="shared" ref="AO249:AO261" si="361">AN249*$AH249</f>
        <v>0</v>
      </c>
      <c r="AP249" s="1366">
        <v>0</v>
      </c>
      <c r="AQ249" s="1367">
        <f t="shared" ref="AQ249:AQ261" si="362">AP249*$AH249</f>
        <v>0</v>
      </c>
      <c r="AR249" s="1368">
        <v>0.04</v>
      </c>
      <c r="AS249" s="1369">
        <f t="shared" ref="AS249:AS261" si="363">AR249*$AH249</f>
        <v>26538.676800000001</v>
      </c>
      <c r="AT249" s="1370">
        <v>2.5000000000000001E-2</v>
      </c>
      <c r="AU249" s="1371">
        <f t="shared" ref="AU249:AU261" si="364">AT249*$AH249</f>
        <v>16586.673000000003</v>
      </c>
      <c r="AV249" s="1359">
        <f t="shared" ref="AV249:AV261" si="365">AZ249-AR249-AT249-AP249</f>
        <v>9.999999999999995E-3</v>
      </c>
      <c r="AW249" s="1372">
        <f t="shared" ref="AW249:AW261" si="366">AV249*$AH249</f>
        <v>6634.6691999999975</v>
      </c>
      <c r="AX249" s="1373">
        <f t="shared" ref="AX249:AX261" si="367">$AZ249-$AP249</f>
        <v>7.4999999999999997E-2</v>
      </c>
      <c r="AY249" s="1374">
        <f t="shared" ref="AY249:AY261" si="368">AX249*$AH249</f>
        <v>49760.019</v>
      </c>
      <c r="AZ249" s="1375">
        <f t="shared" ref="AZ249:AZ261" si="369">$AI249-$AL249-$AN249</f>
        <v>7.4999999999999997E-2</v>
      </c>
      <c r="BA249" s="1376">
        <f t="shared" ref="BA249:BA261" si="370">AZ249*$AH249</f>
        <v>49760.019</v>
      </c>
      <c r="BB249" s="1377"/>
      <c r="BC249" s="1820" t="s">
        <v>365</v>
      </c>
      <c r="BD249" s="1820" t="s">
        <v>366</v>
      </c>
      <c r="BE249" s="1823" t="s">
        <v>1318</v>
      </c>
      <c r="BF249" s="1826" t="s">
        <v>4923</v>
      </c>
      <c r="BG249" s="1829">
        <v>461537286</v>
      </c>
    </row>
    <row r="250" spans="1:59" s="1378" customFormat="1" ht="38.25">
      <c r="A250" s="1347" t="str">
        <f>L248</f>
        <v>Cidara Therapeutics, Inc.</v>
      </c>
      <c r="B250" s="1348" t="str">
        <f>N248</f>
        <v>HUB SD</v>
      </c>
      <c r="C250" s="1348">
        <f>Z248</f>
        <v>64</v>
      </c>
      <c r="D250" s="1349">
        <v>43101</v>
      </c>
      <c r="E250" s="1349"/>
      <c r="F250" s="1347" t="s">
        <v>72</v>
      </c>
      <c r="G250" s="1347" t="s">
        <v>85</v>
      </c>
      <c r="H250" s="1347" t="s">
        <v>72</v>
      </c>
      <c r="I250" s="1347" t="s">
        <v>72</v>
      </c>
      <c r="J250" s="1349" t="s">
        <v>4670</v>
      </c>
      <c r="K250" s="1349" t="s">
        <v>254</v>
      </c>
      <c r="L250" s="1350" t="s">
        <v>4671</v>
      </c>
      <c r="M250" s="1350" t="s">
        <v>3649</v>
      </c>
      <c r="N250" s="1379" t="s">
        <v>4924</v>
      </c>
      <c r="O250" s="1352" t="s">
        <v>4925</v>
      </c>
      <c r="P250" s="1352"/>
      <c r="Q250" s="1354"/>
      <c r="R250" s="1354"/>
      <c r="S250" s="1354"/>
      <c r="T250" s="1354"/>
      <c r="U250" s="1354"/>
      <c r="V250" s="1354"/>
      <c r="W250" s="1354"/>
      <c r="X250" s="1353">
        <v>43101</v>
      </c>
      <c r="Y250" s="1353">
        <v>43466</v>
      </c>
      <c r="Z250" s="1355"/>
      <c r="AA250" s="1355" t="s">
        <v>4674</v>
      </c>
      <c r="AB250" s="1356"/>
      <c r="AC250" s="1356"/>
      <c r="AD250" s="1356"/>
      <c r="AE250" s="1356"/>
      <c r="AF250" s="1357" t="str">
        <f t="shared" si="140"/>
        <v/>
      </c>
      <c r="AG250" s="1380"/>
      <c r="AH250" s="1380"/>
      <c r="AI250" s="1381">
        <v>0</v>
      </c>
      <c r="AJ250" s="1382">
        <f t="shared" si="358"/>
        <v>0</v>
      </c>
      <c r="AK250" s="1383">
        <f t="shared" si="359"/>
        <v>0</v>
      </c>
      <c r="AL250" s="1384">
        <v>0</v>
      </c>
      <c r="AM250" s="1363">
        <f t="shared" si="360"/>
        <v>0</v>
      </c>
      <c r="AN250" s="1364">
        <v>0</v>
      </c>
      <c r="AO250" s="1365">
        <f t="shared" si="361"/>
        <v>0</v>
      </c>
      <c r="AP250" s="1366">
        <v>0</v>
      </c>
      <c r="AQ250" s="1367">
        <f t="shared" si="362"/>
        <v>0</v>
      </c>
      <c r="AR250" s="1368">
        <v>0</v>
      </c>
      <c r="AS250" s="1369">
        <f t="shared" si="363"/>
        <v>0</v>
      </c>
      <c r="AT250" s="1370">
        <v>0</v>
      </c>
      <c r="AU250" s="1371">
        <f t="shared" si="364"/>
        <v>0</v>
      </c>
      <c r="AV250" s="1359">
        <f t="shared" si="365"/>
        <v>0</v>
      </c>
      <c r="AW250" s="1372">
        <f t="shared" si="366"/>
        <v>0</v>
      </c>
      <c r="AX250" s="1373">
        <f t="shared" si="367"/>
        <v>0</v>
      </c>
      <c r="AY250" s="1374">
        <f t="shared" si="368"/>
        <v>0</v>
      </c>
      <c r="AZ250" s="1375">
        <f t="shared" si="369"/>
        <v>0</v>
      </c>
      <c r="BA250" s="1376">
        <f t="shared" si="370"/>
        <v>0</v>
      </c>
      <c r="BB250" s="1377"/>
      <c r="BC250" s="1820"/>
      <c r="BD250" s="1820"/>
      <c r="BE250" s="1823"/>
      <c r="BF250" s="1826"/>
      <c r="BG250" s="1829"/>
    </row>
    <row r="251" spans="1:59" s="1378" customFormat="1" ht="38.25" customHeight="1">
      <c r="A251" s="1347" t="str">
        <f>L248</f>
        <v>Cidara Therapeutics, Inc.</v>
      </c>
      <c r="B251" s="1348" t="str">
        <f>N248</f>
        <v>HUB SD</v>
      </c>
      <c r="C251" s="1348">
        <f>Z248</f>
        <v>64</v>
      </c>
      <c r="D251" s="1349">
        <v>43101</v>
      </c>
      <c r="E251" s="1349"/>
      <c r="F251" s="1347" t="s">
        <v>113</v>
      </c>
      <c r="G251" s="1347" t="s">
        <v>85</v>
      </c>
      <c r="H251" s="1347" t="s">
        <v>85</v>
      </c>
      <c r="I251" s="1347" t="s">
        <v>85</v>
      </c>
      <c r="J251" s="1349"/>
      <c r="K251" s="1349" t="s">
        <v>254</v>
      </c>
      <c r="L251" s="1350" t="s">
        <v>4675</v>
      </c>
      <c r="M251" s="1350" t="s">
        <v>3650</v>
      </c>
      <c r="N251" s="1385" t="s">
        <v>4926</v>
      </c>
      <c r="O251" s="1352" t="s">
        <v>4677</v>
      </c>
      <c r="P251" s="1352"/>
      <c r="Q251" s="1354"/>
      <c r="R251" s="1354"/>
      <c r="S251" s="1354"/>
      <c r="T251" s="1354"/>
      <c r="U251" s="1353" t="s">
        <v>4802</v>
      </c>
      <c r="V251" s="1353" t="s">
        <v>2482</v>
      </c>
      <c r="W251" s="1354"/>
      <c r="X251" s="1353">
        <v>43101</v>
      </c>
      <c r="Y251" s="1353">
        <v>43466</v>
      </c>
      <c r="Z251" s="1355"/>
      <c r="AA251" s="1355" t="s">
        <v>4679</v>
      </c>
      <c r="AB251" s="1422">
        <v>68390</v>
      </c>
      <c r="AC251" s="1422">
        <v>68400</v>
      </c>
      <c r="AD251" s="1422">
        <f t="shared" si="357"/>
        <v>76038</v>
      </c>
      <c r="AE251" s="1422">
        <f t="shared" si="168"/>
        <v>7648</v>
      </c>
      <c r="AF251" s="1423">
        <f t="shared" si="140"/>
        <v>0.11182921479748502</v>
      </c>
      <c r="AG251" s="1358">
        <f t="shared" si="339"/>
        <v>6336.5</v>
      </c>
      <c r="AH251" s="1358">
        <v>76038</v>
      </c>
      <c r="AI251" s="1359">
        <v>0.1</v>
      </c>
      <c r="AJ251" s="1360">
        <f t="shared" si="358"/>
        <v>633.65000000000009</v>
      </c>
      <c r="AK251" s="1361">
        <f t="shared" si="359"/>
        <v>7603.8</v>
      </c>
      <c r="AL251" s="1384">
        <v>0</v>
      </c>
      <c r="AM251" s="1363">
        <f t="shared" si="360"/>
        <v>0</v>
      </c>
      <c r="AN251" s="1364">
        <v>0</v>
      </c>
      <c r="AO251" s="1365">
        <f t="shared" si="361"/>
        <v>0</v>
      </c>
      <c r="AP251" s="1366">
        <v>0</v>
      </c>
      <c r="AQ251" s="1367">
        <f t="shared" si="362"/>
        <v>0</v>
      </c>
      <c r="AR251" s="1368">
        <v>0.08</v>
      </c>
      <c r="AS251" s="1369">
        <f t="shared" si="363"/>
        <v>6083.04</v>
      </c>
      <c r="AT251" s="1370">
        <v>0</v>
      </c>
      <c r="AU251" s="1371">
        <f t="shared" si="364"/>
        <v>0</v>
      </c>
      <c r="AV251" s="1359">
        <f t="shared" si="365"/>
        <v>2.0000000000000004E-2</v>
      </c>
      <c r="AW251" s="1372">
        <f t="shared" si="366"/>
        <v>1520.7600000000002</v>
      </c>
      <c r="AX251" s="1373">
        <f t="shared" si="367"/>
        <v>0.1</v>
      </c>
      <c r="AY251" s="1374">
        <f t="shared" si="368"/>
        <v>7603.8</v>
      </c>
      <c r="AZ251" s="1375">
        <f t="shared" si="369"/>
        <v>0.1</v>
      </c>
      <c r="BA251" s="1376">
        <f t="shared" si="370"/>
        <v>7603.8</v>
      </c>
      <c r="BB251" s="1377"/>
      <c r="BC251" s="1820"/>
      <c r="BD251" s="1820"/>
      <c r="BE251" s="1823"/>
      <c r="BF251" s="1826"/>
      <c r="BG251" s="1829"/>
    </row>
    <row r="252" spans="1:59" s="1378" customFormat="1" ht="38.25" customHeight="1">
      <c r="A252" s="1347" t="str">
        <f>L248</f>
        <v>Cidara Therapeutics, Inc.</v>
      </c>
      <c r="B252" s="1348" t="str">
        <f>N248</f>
        <v>HUB SD</v>
      </c>
      <c r="C252" s="1348">
        <f>Z248</f>
        <v>64</v>
      </c>
      <c r="D252" s="1349">
        <v>43101</v>
      </c>
      <c r="E252" s="1349"/>
      <c r="F252" s="1347" t="s">
        <v>113</v>
      </c>
      <c r="G252" s="1347" t="s">
        <v>85</v>
      </c>
      <c r="H252" s="1347" t="s">
        <v>85</v>
      </c>
      <c r="I252" s="1347" t="s">
        <v>85</v>
      </c>
      <c r="J252" s="1349"/>
      <c r="K252" s="1349" t="s">
        <v>254</v>
      </c>
      <c r="L252" s="1350" t="s">
        <v>4675</v>
      </c>
      <c r="M252" s="1350" t="s">
        <v>3651</v>
      </c>
      <c r="N252" s="1351" t="s">
        <v>4847</v>
      </c>
      <c r="O252" s="1352" t="s">
        <v>4681</v>
      </c>
      <c r="P252" s="1352"/>
      <c r="Q252" s="1354"/>
      <c r="R252" s="1354"/>
      <c r="S252" s="1354"/>
      <c r="T252" s="1354"/>
      <c r="U252" s="1354"/>
      <c r="V252" s="1354"/>
      <c r="W252" s="1353" t="s">
        <v>2482</v>
      </c>
      <c r="X252" s="1353">
        <v>43101</v>
      </c>
      <c r="Y252" s="1353">
        <v>43466</v>
      </c>
      <c r="Z252" s="1355"/>
      <c r="AA252" s="1355" t="s">
        <v>4679</v>
      </c>
      <c r="AB252" s="1422">
        <v>14127</v>
      </c>
      <c r="AC252" s="1422">
        <v>14481</v>
      </c>
      <c r="AD252" s="1422">
        <f t="shared" si="357"/>
        <v>11135.76</v>
      </c>
      <c r="AE252" s="1422">
        <f t="shared" si="168"/>
        <v>-2991.24</v>
      </c>
      <c r="AF252" s="1423">
        <f t="shared" si="140"/>
        <v>-0.21173922276491822</v>
      </c>
      <c r="AG252" s="1358">
        <f t="shared" si="339"/>
        <v>927.98</v>
      </c>
      <c r="AH252" s="1358">
        <v>11135.76</v>
      </c>
      <c r="AI252" s="1359">
        <v>0.1</v>
      </c>
      <c r="AJ252" s="1360">
        <f t="shared" si="358"/>
        <v>92.798000000000002</v>
      </c>
      <c r="AK252" s="1361">
        <f t="shared" si="359"/>
        <v>1113.576</v>
      </c>
      <c r="AL252" s="1384">
        <v>0</v>
      </c>
      <c r="AM252" s="1363">
        <f t="shared" si="360"/>
        <v>0</v>
      </c>
      <c r="AN252" s="1364">
        <v>0</v>
      </c>
      <c r="AO252" s="1365">
        <f t="shared" si="361"/>
        <v>0</v>
      </c>
      <c r="AP252" s="1366">
        <v>0</v>
      </c>
      <c r="AQ252" s="1367">
        <f t="shared" si="362"/>
        <v>0</v>
      </c>
      <c r="AR252" s="1368">
        <v>0.08</v>
      </c>
      <c r="AS252" s="1369">
        <f t="shared" si="363"/>
        <v>890.86080000000004</v>
      </c>
      <c r="AT252" s="1370">
        <v>0</v>
      </c>
      <c r="AU252" s="1371">
        <f t="shared" si="364"/>
        <v>0</v>
      </c>
      <c r="AV252" s="1359">
        <f t="shared" si="365"/>
        <v>2.0000000000000004E-2</v>
      </c>
      <c r="AW252" s="1372">
        <f t="shared" si="366"/>
        <v>222.71520000000004</v>
      </c>
      <c r="AX252" s="1373">
        <f t="shared" si="367"/>
        <v>0.1</v>
      </c>
      <c r="AY252" s="1374">
        <f t="shared" si="368"/>
        <v>1113.576</v>
      </c>
      <c r="AZ252" s="1375">
        <f t="shared" si="369"/>
        <v>0.1</v>
      </c>
      <c r="BA252" s="1376">
        <f t="shared" si="370"/>
        <v>1113.576</v>
      </c>
      <c r="BB252" s="1377"/>
      <c r="BC252" s="1820"/>
      <c r="BD252" s="1820"/>
      <c r="BE252" s="1823"/>
      <c r="BF252" s="1826"/>
      <c r="BG252" s="1829"/>
    </row>
    <row r="253" spans="1:59" s="1378" customFormat="1" ht="38.25">
      <c r="A253" s="1347" t="str">
        <f>L248</f>
        <v>Cidara Therapeutics, Inc.</v>
      </c>
      <c r="B253" s="1348" t="str">
        <f>N248</f>
        <v>HUB SD</v>
      </c>
      <c r="C253" s="1348">
        <f>Z248</f>
        <v>64</v>
      </c>
      <c r="D253" s="1349">
        <v>43101</v>
      </c>
      <c r="E253" s="1349"/>
      <c r="F253" s="1347" t="s">
        <v>113</v>
      </c>
      <c r="G253" s="1347" t="s">
        <v>85</v>
      </c>
      <c r="H253" s="1347" t="s">
        <v>85</v>
      </c>
      <c r="I253" s="1347" t="s">
        <v>85</v>
      </c>
      <c r="J253" s="1349"/>
      <c r="K253" s="1349" t="s">
        <v>254</v>
      </c>
      <c r="L253" s="1350" t="s">
        <v>4682</v>
      </c>
      <c r="M253" s="1350" t="s">
        <v>4683</v>
      </c>
      <c r="N253" s="1386" t="s">
        <v>57</v>
      </c>
      <c r="O253" s="1352" t="s">
        <v>4684</v>
      </c>
      <c r="P253" s="1387"/>
      <c r="Q253" s="1354"/>
      <c r="R253" s="1354"/>
      <c r="S253" s="1354"/>
      <c r="T253" s="1354"/>
      <c r="U253" s="1354"/>
      <c r="V253" s="1354"/>
      <c r="W253" s="1354"/>
      <c r="X253" s="1353">
        <v>43101</v>
      </c>
      <c r="Y253" s="1353">
        <v>43466</v>
      </c>
      <c r="Z253" s="1355"/>
      <c r="AA253" s="1355" t="s">
        <v>4685</v>
      </c>
      <c r="AB253" s="1422">
        <v>40105</v>
      </c>
      <c r="AC253" s="1422">
        <v>40105</v>
      </c>
      <c r="AD253" s="1422">
        <f t="shared" si="357"/>
        <v>24007.97</v>
      </c>
      <c r="AE253" s="1422">
        <f t="shared" si="168"/>
        <v>-16097.029999999999</v>
      </c>
      <c r="AF253" s="1423">
        <f t="shared" si="140"/>
        <v>-0.40137214811120803</v>
      </c>
      <c r="AG253" s="1358">
        <f t="shared" si="339"/>
        <v>2000.6641666666667</v>
      </c>
      <c r="AH253" s="1358">
        <v>24007.97</v>
      </c>
      <c r="AI253" s="1359">
        <v>0.15</v>
      </c>
      <c r="AJ253" s="1360">
        <f t="shared" si="358"/>
        <v>300.099625</v>
      </c>
      <c r="AK253" s="1361">
        <f t="shared" si="359"/>
        <v>3601.1955000000003</v>
      </c>
      <c r="AL253" s="1384">
        <v>0</v>
      </c>
      <c r="AM253" s="1363">
        <f t="shared" si="360"/>
        <v>0</v>
      </c>
      <c r="AN253" s="1364">
        <v>0</v>
      </c>
      <c r="AO253" s="1365">
        <f t="shared" si="361"/>
        <v>0</v>
      </c>
      <c r="AP253" s="1366">
        <v>0</v>
      </c>
      <c r="AQ253" s="1367">
        <f t="shared" si="362"/>
        <v>0</v>
      </c>
      <c r="AR253" s="1368">
        <v>0.1</v>
      </c>
      <c r="AS253" s="1369">
        <f t="shared" si="363"/>
        <v>2400.797</v>
      </c>
      <c r="AT253" s="1370">
        <v>0</v>
      </c>
      <c r="AU253" s="1371">
        <f t="shared" si="364"/>
        <v>0</v>
      </c>
      <c r="AV253" s="1359">
        <f t="shared" si="365"/>
        <v>4.9999999999999989E-2</v>
      </c>
      <c r="AW253" s="1372">
        <f t="shared" si="366"/>
        <v>1200.3984999999998</v>
      </c>
      <c r="AX253" s="1373">
        <f t="shared" si="367"/>
        <v>0.15</v>
      </c>
      <c r="AY253" s="1374">
        <f t="shared" si="368"/>
        <v>3601.1955000000003</v>
      </c>
      <c r="AZ253" s="1375">
        <f t="shared" si="369"/>
        <v>0.15</v>
      </c>
      <c r="BA253" s="1376">
        <f t="shared" si="370"/>
        <v>3601.1955000000003</v>
      </c>
      <c r="BB253" s="1377"/>
      <c r="BC253" s="1820"/>
      <c r="BD253" s="1820"/>
      <c r="BE253" s="1823"/>
      <c r="BF253" s="1826"/>
      <c r="BG253" s="1829"/>
    </row>
    <row r="254" spans="1:59" s="1378" customFormat="1" ht="38.25">
      <c r="A254" s="1347" t="str">
        <f>L248</f>
        <v>Cidara Therapeutics, Inc.</v>
      </c>
      <c r="B254" s="1348" t="str">
        <f>N248</f>
        <v>HUB SD</v>
      </c>
      <c r="C254" s="1348">
        <f>Z248</f>
        <v>64</v>
      </c>
      <c r="D254" s="1349">
        <v>43101</v>
      </c>
      <c r="E254" s="1349"/>
      <c r="F254" s="1347" t="s">
        <v>113</v>
      </c>
      <c r="G254" s="1347" t="s">
        <v>85</v>
      </c>
      <c r="H254" s="1347" t="s">
        <v>85</v>
      </c>
      <c r="I254" s="1347" t="s">
        <v>113</v>
      </c>
      <c r="J254" s="1349"/>
      <c r="K254" s="1349" t="s">
        <v>254</v>
      </c>
      <c r="L254" s="1350" t="s">
        <v>4682</v>
      </c>
      <c r="M254" s="1350" t="s">
        <v>4686</v>
      </c>
      <c r="N254" s="1386" t="s">
        <v>60</v>
      </c>
      <c r="O254" s="1352" t="s">
        <v>4687</v>
      </c>
      <c r="P254" s="1387"/>
      <c r="Q254" s="1354"/>
      <c r="R254" s="1354"/>
      <c r="S254" s="1354"/>
      <c r="T254" s="1354"/>
      <c r="U254" s="1354"/>
      <c r="V254" s="1354"/>
      <c r="W254" s="1354"/>
      <c r="X254" s="1353">
        <v>43101</v>
      </c>
      <c r="Y254" s="1353">
        <v>43466</v>
      </c>
      <c r="Z254" s="1355"/>
      <c r="AA254" s="1355" t="s">
        <v>4685</v>
      </c>
      <c r="AB254" s="1356"/>
      <c r="AC254" s="1356"/>
      <c r="AD254" s="1356"/>
      <c r="AE254" s="1356"/>
      <c r="AF254" s="1357"/>
      <c r="AG254" s="1358">
        <f t="shared" si="339"/>
        <v>528.66999999999996</v>
      </c>
      <c r="AH254" s="1358">
        <v>6344.04</v>
      </c>
      <c r="AI254" s="1359">
        <v>0.15</v>
      </c>
      <c r="AJ254" s="1360">
        <f t="shared" si="358"/>
        <v>79.300499999999985</v>
      </c>
      <c r="AK254" s="1361">
        <f t="shared" si="359"/>
        <v>951.60599999999999</v>
      </c>
      <c r="AL254" s="1384">
        <v>0</v>
      </c>
      <c r="AM254" s="1363">
        <f t="shared" si="360"/>
        <v>0</v>
      </c>
      <c r="AN254" s="1364">
        <v>0</v>
      </c>
      <c r="AO254" s="1365">
        <f t="shared" si="361"/>
        <v>0</v>
      </c>
      <c r="AP254" s="1366">
        <v>0</v>
      </c>
      <c r="AQ254" s="1367">
        <f t="shared" si="362"/>
        <v>0</v>
      </c>
      <c r="AR254" s="1368">
        <v>0.1</v>
      </c>
      <c r="AS254" s="1369">
        <f t="shared" si="363"/>
        <v>634.404</v>
      </c>
      <c r="AT254" s="1370">
        <v>0</v>
      </c>
      <c r="AU254" s="1371">
        <f t="shared" si="364"/>
        <v>0</v>
      </c>
      <c r="AV254" s="1359">
        <f t="shared" si="365"/>
        <v>4.9999999999999989E-2</v>
      </c>
      <c r="AW254" s="1372">
        <f t="shared" si="366"/>
        <v>317.20199999999994</v>
      </c>
      <c r="AX254" s="1373">
        <f t="shared" si="367"/>
        <v>0.15</v>
      </c>
      <c r="AY254" s="1374">
        <f t="shared" si="368"/>
        <v>951.60599999999999</v>
      </c>
      <c r="AZ254" s="1375">
        <f t="shared" si="369"/>
        <v>0.15</v>
      </c>
      <c r="BA254" s="1376">
        <f t="shared" si="370"/>
        <v>951.60599999999999</v>
      </c>
      <c r="BB254" s="1377"/>
      <c r="BC254" s="1820"/>
      <c r="BD254" s="1820"/>
      <c r="BE254" s="1823"/>
      <c r="BF254" s="1826"/>
      <c r="BG254" s="1829"/>
    </row>
    <row r="255" spans="1:59" s="1378" customFormat="1" ht="38.25">
      <c r="A255" s="1347" t="str">
        <f>L248</f>
        <v>Cidara Therapeutics, Inc.</v>
      </c>
      <c r="B255" s="1348" t="str">
        <f>N248</f>
        <v>HUB SD</v>
      </c>
      <c r="C255" s="1348">
        <f>Z248</f>
        <v>64</v>
      </c>
      <c r="D255" s="1349">
        <v>43101</v>
      </c>
      <c r="E255" s="1349"/>
      <c r="F255" s="1347" t="s">
        <v>113</v>
      </c>
      <c r="G255" s="1347" t="s">
        <v>85</v>
      </c>
      <c r="H255" s="1347" t="s">
        <v>85</v>
      </c>
      <c r="I255" s="1347" t="s">
        <v>85</v>
      </c>
      <c r="J255" s="1349"/>
      <c r="K255" s="1349" t="s">
        <v>254</v>
      </c>
      <c r="L255" s="1350" t="s">
        <v>4682</v>
      </c>
      <c r="M255" s="1350" t="s">
        <v>62</v>
      </c>
      <c r="N255" s="1351" t="s">
        <v>101</v>
      </c>
      <c r="O255" s="1352" t="s">
        <v>4688</v>
      </c>
      <c r="P255" s="1352"/>
      <c r="Q255" s="1354"/>
      <c r="R255" s="1354"/>
      <c r="S255" s="1354"/>
      <c r="T255" s="1354"/>
      <c r="U255" s="1354"/>
      <c r="V255" s="1354"/>
      <c r="W255" s="1354"/>
      <c r="X255" s="1353">
        <v>43101</v>
      </c>
      <c r="Y255" s="1353">
        <v>43466</v>
      </c>
      <c r="Z255" s="1355"/>
      <c r="AA255" s="1355" t="s">
        <v>4685</v>
      </c>
      <c r="AB255" s="1422">
        <v>8901</v>
      </c>
      <c r="AC255" s="1422">
        <v>8901</v>
      </c>
      <c r="AD255" s="1422">
        <f t="shared" si="357"/>
        <v>12883.79</v>
      </c>
      <c r="AE255" s="1422">
        <f t="shared" si="168"/>
        <v>3982.7900000000009</v>
      </c>
      <c r="AF255" s="1423">
        <f t="shared" si="140"/>
        <v>0.44745421862712065</v>
      </c>
      <c r="AG255" s="1358">
        <f t="shared" si="339"/>
        <v>1073.6491666666668</v>
      </c>
      <c r="AH255" s="1358">
        <v>12883.79</v>
      </c>
      <c r="AI255" s="1359">
        <v>0.15</v>
      </c>
      <c r="AJ255" s="1360">
        <f t="shared" si="358"/>
        <v>161.04737500000002</v>
      </c>
      <c r="AK255" s="1361">
        <f t="shared" si="359"/>
        <v>1932.5685000000001</v>
      </c>
      <c r="AL255" s="1384">
        <v>0</v>
      </c>
      <c r="AM255" s="1363">
        <f t="shared" si="360"/>
        <v>0</v>
      </c>
      <c r="AN255" s="1364">
        <v>0</v>
      </c>
      <c r="AO255" s="1365">
        <f t="shared" si="361"/>
        <v>0</v>
      </c>
      <c r="AP255" s="1366">
        <v>0</v>
      </c>
      <c r="AQ255" s="1367">
        <f t="shared" si="362"/>
        <v>0</v>
      </c>
      <c r="AR255" s="1368">
        <v>0.1</v>
      </c>
      <c r="AS255" s="1369">
        <f t="shared" si="363"/>
        <v>1288.3790000000001</v>
      </c>
      <c r="AT255" s="1370">
        <v>0</v>
      </c>
      <c r="AU255" s="1371">
        <f t="shared" si="364"/>
        <v>0</v>
      </c>
      <c r="AV255" s="1359">
        <f t="shared" si="365"/>
        <v>4.9999999999999989E-2</v>
      </c>
      <c r="AW255" s="1372">
        <f t="shared" si="366"/>
        <v>644.18949999999995</v>
      </c>
      <c r="AX255" s="1373">
        <f t="shared" si="367"/>
        <v>0.15</v>
      </c>
      <c r="AY255" s="1374">
        <f t="shared" si="368"/>
        <v>1932.5685000000001</v>
      </c>
      <c r="AZ255" s="1375">
        <f t="shared" si="369"/>
        <v>0.15</v>
      </c>
      <c r="BA255" s="1376">
        <f t="shared" si="370"/>
        <v>1932.5685000000001</v>
      </c>
      <c r="BB255" s="1377"/>
      <c r="BC255" s="1820"/>
      <c r="BD255" s="1820"/>
      <c r="BE255" s="1823"/>
      <c r="BF255" s="1826"/>
      <c r="BG255" s="1829"/>
    </row>
    <row r="256" spans="1:59" s="1378" customFormat="1" ht="38.25">
      <c r="A256" s="1347" t="str">
        <f>L248</f>
        <v>Cidara Therapeutics, Inc.</v>
      </c>
      <c r="B256" s="1348" t="str">
        <f>N248</f>
        <v>HUB SD</v>
      </c>
      <c r="C256" s="1348">
        <f>Z248</f>
        <v>64</v>
      </c>
      <c r="D256" s="1349">
        <v>43101</v>
      </c>
      <c r="E256" s="1349"/>
      <c r="F256" s="1347" t="s">
        <v>113</v>
      </c>
      <c r="G256" s="1347" t="s">
        <v>85</v>
      </c>
      <c r="H256" s="1347" t="s">
        <v>85</v>
      </c>
      <c r="I256" s="1347" t="s">
        <v>85</v>
      </c>
      <c r="J256" s="1349"/>
      <c r="K256" s="1349" t="s">
        <v>254</v>
      </c>
      <c r="L256" s="1350" t="s">
        <v>4682</v>
      </c>
      <c r="M256" s="1350" t="s">
        <v>67</v>
      </c>
      <c r="N256" s="1351" t="s">
        <v>413</v>
      </c>
      <c r="O256" s="1352" t="s">
        <v>4689</v>
      </c>
      <c r="P256" s="1352"/>
      <c r="Q256" s="1354"/>
      <c r="R256" s="1354"/>
      <c r="S256" s="1354"/>
      <c r="T256" s="1354"/>
      <c r="U256" s="1354"/>
      <c r="V256" s="1354"/>
      <c r="W256" s="1354"/>
      <c r="X256" s="1353">
        <v>43101</v>
      </c>
      <c r="Y256" s="1353">
        <v>43466</v>
      </c>
      <c r="Z256" s="1355"/>
      <c r="AA256" s="1355" t="s">
        <v>4685</v>
      </c>
      <c r="AB256" s="1422">
        <v>30305</v>
      </c>
      <c r="AC256" s="1422">
        <v>30305</v>
      </c>
      <c r="AD256" s="1422">
        <f t="shared" si="357"/>
        <v>29977.45</v>
      </c>
      <c r="AE256" s="1422">
        <f t="shared" si="168"/>
        <v>-327.54999999999927</v>
      </c>
      <c r="AF256" s="1423">
        <f t="shared" si="140"/>
        <v>-1.0808447450915666E-2</v>
      </c>
      <c r="AG256" s="1358">
        <f t="shared" si="339"/>
        <v>2498.1208333333334</v>
      </c>
      <c r="AH256" s="1358">
        <v>29977.45</v>
      </c>
      <c r="AI256" s="1359">
        <v>0.15</v>
      </c>
      <c r="AJ256" s="1360">
        <f t="shared" si="358"/>
        <v>374.71812499999999</v>
      </c>
      <c r="AK256" s="1361">
        <f t="shared" si="359"/>
        <v>4496.6175000000003</v>
      </c>
      <c r="AL256" s="1384">
        <v>0</v>
      </c>
      <c r="AM256" s="1363">
        <f t="shared" si="360"/>
        <v>0</v>
      </c>
      <c r="AN256" s="1364">
        <v>0</v>
      </c>
      <c r="AO256" s="1365">
        <f t="shared" si="361"/>
        <v>0</v>
      </c>
      <c r="AP256" s="1366">
        <v>0</v>
      </c>
      <c r="AQ256" s="1367">
        <f t="shared" si="362"/>
        <v>0</v>
      </c>
      <c r="AR256" s="1368">
        <v>0.1</v>
      </c>
      <c r="AS256" s="1369">
        <f t="shared" si="363"/>
        <v>2997.7450000000003</v>
      </c>
      <c r="AT256" s="1370">
        <v>0</v>
      </c>
      <c r="AU256" s="1371">
        <f t="shared" si="364"/>
        <v>0</v>
      </c>
      <c r="AV256" s="1359">
        <f t="shared" si="365"/>
        <v>4.9999999999999989E-2</v>
      </c>
      <c r="AW256" s="1372">
        <f t="shared" si="366"/>
        <v>1498.8724999999997</v>
      </c>
      <c r="AX256" s="1373">
        <f t="shared" si="367"/>
        <v>0.15</v>
      </c>
      <c r="AY256" s="1374">
        <f t="shared" si="368"/>
        <v>4496.6175000000003</v>
      </c>
      <c r="AZ256" s="1375">
        <f t="shared" si="369"/>
        <v>0.15</v>
      </c>
      <c r="BA256" s="1376">
        <f t="shared" si="370"/>
        <v>4496.6175000000003</v>
      </c>
      <c r="BB256" s="1377"/>
      <c r="BC256" s="1820"/>
      <c r="BD256" s="1820"/>
      <c r="BE256" s="1823"/>
      <c r="BF256" s="1826"/>
      <c r="BG256" s="1829"/>
    </row>
    <row r="257" spans="1:59" s="1378" customFormat="1" ht="27.75" customHeight="1">
      <c r="A257" s="1347" t="s">
        <v>356</v>
      </c>
      <c r="B257" s="1348" t="s">
        <v>4661</v>
      </c>
      <c r="C257" s="1348">
        <v>61</v>
      </c>
      <c r="D257" s="1349">
        <v>43101</v>
      </c>
      <c r="E257" s="1349"/>
      <c r="F257" s="1347" t="s">
        <v>72</v>
      </c>
      <c r="G257" s="1347" t="s">
        <v>85</v>
      </c>
      <c r="H257" s="1347" t="s">
        <v>72</v>
      </c>
      <c r="I257" s="1347" t="s">
        <v>72</v>
      </c>
      <c r="J257" s="1349" t="s">
        <v>4670</v>
      </c>
      <c r="K257" s="1349" t="s">
        <v>254</v>
      </c>
      <c r="L257" s="1350" t="s">
        <v>4696</v>
      </c>
      <c r="M257" s="1350" t="s">
        <v>4697</v>
      </c>
      <c r="N257" s="1389" t="s">
        <v>4698</v>
      </c>
      <c r="O257" s="1352" t="s">
        <v>4699</v>
      </c>
      <c r="P257" s="1352"/>
      <c r="Q257" s="1354"/>
      <c r="R257" s="1354"/>
      <c r="S257" s="1354"/>
      <c r="T257" s="1354"/>
      <c r="U257" s="1354"/>
      <c r="V257" s="1354"/>
      <c r="W257" s="1354"/>
      <c r="X257" s="1353">
        <v>43101</v>
      </c>
      <c r="Y257" s="1353">
        <v>43466</v>
      </c>
      <c r="Z257" s="1355"/>
      <c r="AA257" s="1355" t="s">
        <v>4674</v>
      </c>
      <c r="AB257" s="1356"/>
      <c r="AC257" s="1356"/>
      <c r="AD257" s="1356"/>
      <c r="AE257" s="1356"/>
      <c r="AF257" s="1357" t="str">
        <f t="shared" si="140"/>
        <v/>
      </c>
      <c r="AG257" s="1380"/>
      <c r="AH257" s="1380"/>
      <c r="AI257" s="1381">
        <v>0</v>
      </c>
      <c r="AJ257" s="1382">
        <f t="shared" si="358"/>
        <v>0</v>
      </c>
      <c r="AK257" s="1383">
        <f t="shared" si="359"/>
        <v>0</v>
      </c>
      <c r="AL257" s="1384">
        <v>0</v>
      </c>
      <c r="AM257" s="1363">
        <f t="shared" si="360"/>
        <v>0</v>
      </c>
      <c r="AN257" s="1364">
        <v>0</v>
      </c>
      <c r="AO257" s="1365">
        <f t="shared" si="361"/>
        <v>0</v>
      </c>
      <c r="AP257" s="1366">
        <v>0</v>
      </c>
      <c r="AQ257" s="1367">
        <f t="shared" si="362"/>
        <v>0</v>
      </c>
      <c r="AR257" s="1368">
        <v>0</v>
      </c>
      <c r="AS257" s="1369">
        <f t="shared" si="363"/>
        <v>0</v>
      </c>
      <c r="AT257" s="1370">
        <v>0</v>
      </c>
      <c r="AU257" s="1371">
        <f t="shared" si="364"/>
        <v>0</v>
      </c>
      <c r="AV257" s="1359">
        <f t="shared" si="365"/>
        <v>0</v>
      </c>
      <c r="AW257" s="1372">
        <f t="shared" si="366"/>
        <v>0</v>
      </c>
      <c r="AX257" s="1373">
        <f t="shared" si="367"/>
        <v>0</v>
      </c>
      <c r="AY257" s="1374">
        <f t="shared" si="368"/>
        <v>0</v>
      </c>
      <c r="AZ257" s="1375">
        <f t="shared" si="369"/>
        <v>0</v>
      </c>
      <c r="BA257" s="1376">
        <f t="shared" si="370"/>
        <v>0</v>
      </c>
      <c r="BB257" s="1377"/>
      <c r="BC257" s="1820"/>
      <c r="BD257" s="1820"/>
      <c r="BE257" s="1823"/>
      <c r="BF257" s="1826"/>
      <c r="BG257" s="1829"/>
    </row>
    <row r="258" spans="1:59" s="1378" customFormat="1" ht="38.25">
      <c r="A258" s="1347" t="str">
        <f>L248</f>
        <v>Cidara Therapeutics, Inc.</v>
      </c>
      <c r="B258" s="1348" t="str">
        <f>N248</f>
        <v>HUB SD</v>
      </c>
      <c r="C258" s="1348">
        <f>Z248</f>
        <v>64</v>
      </c>
      <c r="D258" s="1349">
        <v>43101</v>
      </c>
      <c r="E258" s="1349"/>
      <c r="F258" s="1347" t="s">
        <v>72</v>
      </c>
      <c r="G258" s="1347" t="s">
        <v>4700</v>
      </c>
      <c r="H258" s="1347" t="s">
        <v>72</v>
      </c>
      <c r="I258" s="1347" t="s">
        <v>72</v>
      </c>
      <c r="J258" s="1349" t="s">
        <v>4670</v>
      </c>
      <c r="K258" s="1349" t="s">
        <v>254</v>
      </c>
      <c r="L258" s="1350" t="s">
        <v>48</v>
      </c>
      <c r="M258" s="1350" t="s">
        <v>3652</v>
      </c>
      <c r="N258" s="1390" t="s">
        <v>4927</v>
      </c>
      <c r="O258" s="1352" t="s">
        <v>4702</v>
      </c>
      <c r="P258" s="1352"/>
      <c r="Q258" s="1354"/>
      <c r="R258" s="1354"/>
      <c r="S258" s="1354"/>
      <c r="T258" s="1354"/>
      <c r="U258" s="1354"/>
      <c r="V258" s="1354"/>
      <c r="W258" s="1354"/>
      <c r="X258" s="1353">
        <v>43101</v>
      </c>
      <c r="Y258" s="1353">
        <v>43466</v>
      </c>
      <c r="Z258" s="1355"/>
      <c r="AA258" s="1355" t="s">
        <v>4674</v>
      </c>
      <c r="AB258" s="1356"/>
      <c r="AC258" s="1356"/>
      <c r="AD258" s="1356"/>
      <c r="AE258" s="1356"/>
      <c r="AF258" s="1357" t="str">
        <f t="shared" si="140"/>
        <v/>
      </c>
      <c r="AG258" s="1380"/>
      <c r="AH258" s="1380"/>
      <c r="AI258" s="1381">
        <v>0</v>
      </c>
      <c r="AJ258" s="1382">
        <f t="shared" si="358"/>
        <v>0</v>
      </c>
      <c r="AK258" s="1383">
        <f t="shared" si="359"/>
        <v>0</v>
      </c>
      <c r="AL258" s="1384">
        <v>0</v>
      </c>
      <c r="AM258" s="1363">
        <f t="shared" si="360"/>
        <v>0</v>
      </c>
      <c r="AN258" s="1364">
        <v>0</v>
      </c>
      <c r="AO258" s="1365">
        <f t="shared" si="361"/>
        <v>0</v>
      </c>
      <c r="AP258" s="1366">
        <v>0</v>
      </c>
      <c r="AQ258" s="1367">
        <f t="shared" si="362"/>
        <v>0</v>
      </c>
      <c r="AR258" s="1368">
        <v>0</v>
      </c>
      <c r="AS258" s="1369">
        <f t="shared" si="363"/>
        <v>0</v>
      </c>
      <c r="AT258" s="1370">
        <v>0</v>
      </c>
      <c r="AU258" s="1371">
        <f t="shared" si="364"/>
        <v>0</v>
      </c>
      <c r="AV258" s="1359">
        <f t="shared" si="365"/>
        <v>0</v>
      </c>
      <c r="AW258" s="1372">
        <f t="shared" si="366"/>
        <v>0</v>
      </c>
      <c r="AX258" s="1373">
        <f t="shared" si="367"/>
        <v>0</v>
      </c>
      <c r="AY258" s="1374">
        <f t="shared" si="368"/>
        <v>0</v>
      </c>
      <c r="AZ258" s="1375">
        <f t="shared" si="369"/>
        <v>0</v>
      </c>
      <c r="BA258" s="1376">
        <f t="shared" si="370"/>
        <v>0</v>
      </c>
      <c r="BB258" s="1377"/>
      <c r="BC258" s="1820"/>
      <c r="BD258" s="1820"/>
      <c r="BE258" s="1823"/>
      <c r="BF258" s="1826"/>
      <c r="BG258" s="1829"/>
    </row>
    <row r="259" spans="1:59" s="1378" customFormat="1" ht="38.25">
      <c r="A259" s="1347" t="str">
        <f>L248</f>
        <v>Cidara Therapeutics, Inc.</v>
      </c>
      <c r="B259" s="1348" t="str">
        <f>N248</f>
        <v>HUB SD</v>
      </c>
      <c r="C259" s="1348">
        <f>Z248</f>
        <v>64</v>
      </c>
      <c r="D259" s="1349">
        <v>43101</v>
      </c>
      <c r="E259" s="1349"/>
      <c r="F259" s="1347" t="s">
        <v>72</v>
      </c>
      <c r="G259" s="1347" t="s">
        <v>85</v>
      </c>
      <c r="H259" s="1347" t="s">
        <v>72</v>
      </c>
      <c r="I259" s="1347" t="s">
        <v>72</v>
      </c>
      <c r="J259" s="1349" t="s">
        <v>4670</v>
      </c>
      <c r="K259" s="1349" t="s">
        <v>254</v>
      </c>
      <c r="L259" s="1350" t="s">
        <v>48</v>
      </c>
      <c r="M259" s="1350" t="s">
        <v>253</v>
      </c>
      <c r="N259" s="1390" t="s">
        <v>4703</v>
      </c>
      <c r="O259" s="1352" t="s">
        <v>4704</v>
      </c>
      <c r="P259" s="1352"/>
      <c r="Q259" s="1354"/>
      <c r="R259" s="1354"/>
      <c r="S259" s="1354"/>
      <c r="T259" s="1354"/>
      <c r="U259" s="1354"/>
      <c r="V259" s="1354"/>
      <c r="W259" s="1354"/>
      <c r="X259" s="1353">
        <v>43101</v>
      </c>
      <c r="Y259" s="1353">
        <v>43466</v>
      </c>
      <c r="Z259" s="1355"/>
      <c r="AA259" s="1355" t="s">
        <v>4674</v>
      </c>
      <c r="AB259" s="1356"/>
      <c r="AC259" s="1356"/>
      <c r="AD259" s="1356"/>
      <c r="AE259" s="1356"/>
      <c r="AF259" s="1357" t="str">
        <f t="shared" si="140"/>
        <v/>
      </c>
      <c r="AG259" s="1380"/>
      <c r="AH259" s="1380"/>
      <c r="AI259" s="1381">
        <v>0</v>
      </c>
      <c r="AJ259" s="1382">
        <f t="shared" si="358"/>
        <v>0</v>
      </c>
      <c r="AK259" s="1383">
        <f t="shared" si="359"/>
        <v>0</v>
      </c>
      <c r="AL259" s="1384">
        <v>0</v>
      </c>
      <c r="AM259" s="1363">
        <f t="shared" si="360"/>
        <v>0</v>
      </c>
      <c r="AN259" s="1364">
        <v>0</v>
      </c>
      <c r="AO259" s="1365">
        <f t="shared" si="361"/>
        <v>0</v>
      </c>
      <c r="AP259" s="1366">
        <v>0</v>
      </c>
      <c r="AQ259" s="1367">
        <f t="shared" si="362"/>
        <v>0</v>
      </c>
      <c r="AR259" s="1368">
        <v>0</v>
      </c>
      <c r="AS259" s="1369">
        <f t="shared" si="363"/>
        <v>0</v>
      </c>
      <c r="AT259" s="1370">
        <v>0</v>
      </c>
      <c r="AU259" s="1371">
        <f t="shared" si="364"/>
        <v>0</v>
      </c>
      <c r="AV259" s="1359">
        <f t="shared" si="365"/>
        <v>0</v>
      </c>
      <c r="AW259" s="1372">
        <f t="shared" si="366"/>
        <v>0</v>
      </c>
      <c r="AX259" s="1373">
        <f t="shared" si="367"/>
        <v>0</v>
      </c>
      <c r="AY259" s="1374">
        <f t="shared" si="368"/>
        <v>0</v>
      </c>
      <c r="AZ259" s="1375">
        <f t="shared" si="369"/>
        <v>0</v>
      </c>
      <c r="BA259" s="1376">
        <f t="shared" si="370"/>
        <v>0</v>
      </c>
      <c r="BB259" s="1377"/>
      <c r="BC259" s="1820"/>
      <c r="BD259" s="1820"/>
      <c r="BE259" s="1823"/>
      <c r="BF259" s="1826"/>
      <c r="BG259" s="1829"/>
    </row>
    <row r="260" spans="1:59" s="1378" customFormat="1" ht="25.5" customHeight="1">
      <c r="A260" s="1347" t="str">
        <f>L248</f>
        <v>Cidara Therapeutics, Inc.</v>
      </c>
      <c r="B260" s="1348" t="str">
        <f>N248</f>
        <v>HUB SD</v>
      </c>
      <c r="C260" s="1348">
        <f>Z248</f>
        <v>64</v>
      </c>
      <c r="D260" s="1349">
        <v>43101</v>
      </c>
      <c r="E260" s="1349"/>
      <c r="F260" s="1347" t="s">
        <v>72</v>
      </c>
      <c r="G260" s="1347" t="s">
        <v>85</v>
      </c>
      <c r="H260" s="1347" t="s">
        <v>72</v>
      </c>
      <c r="I260" s="1347" t="s">
        <v>72</v>
      </c>
      <c r="J260" s="1349" t="s">
        <v>4670</v>
      </c>
      <c r="K260" s="1349" t="s">
        <v>254</v>
      </c>
      <c r="L260" s="1350" t="s">
        <v>49</v>
      </c>
      <c r="M260" s="1350" t="s">
        <v>4705</v>
      </c>
      <c r="N260" s="1390" t="s">
        <v>4706</v>
      </c>
      <c r="O260" s="1352" t="s">
        <v>4707</v>
      </c>
      <c r="P260" s="1352"/>
      <c r="Q260" s="1354"/>
      <c r="R260" s="1354"/>
      <c r="S260" s="1354"/>
      <c r="T260" s="1354"/>
      <c r="U260" s="1354"/>
      <c r="V260" s="1354"/>
      <c r="W260" s="1354"/>
      <c r="X260" s="1353">
        <v>43101</v>
      </c>
      <c r="Y260" s="1353">
        <v>43466</v>
      </c>
      <c r="Z260" s="1355"/>
      <c r="AA260" s="1355" t="s">
        <v>4674</v>
      </c>
      <c r="AB260" s="1356"/>
      <c r="AC260" s="1356"/>
      <c r="AD260" s="1356"/>
      <c r="AE260" s="1356"/>
      <c r="AF260" s="1357" t="str">
        <f t="shared" si="140"/>
        <v/>
      </c>
      <c r="AG260" s="1380"/>
      <c r="AH260" s="1380"/>
      <c r="AI260" s="1381">
        <v>0</v>
      </c>
      <c r="AJ260" s="1382">
        <f t="shared" si="358"/>
        <v>0</v>
      </c>
      <c r="AK260" s="1383">
        <f t="shared" si="359"/>
        <v>0</v>
      </c>
      <c r="AL260" s="1384">
        <v>0</v>
      </c>
      <c r="AM260" s="1363">
        <f t="shared" si="360"/>
        <v>0</v>
      </c>
      <c r="AN260" s="1364">
        <v>0</v>
      </c>
      <c r="AO260" s="1365">
        <f t="shared" si="361"/>
        <v>0</v>
      </c>
      <c r="AP260" s="1366">
        <v>0</v>
      </c>
      <c r="AQ260" s="1367">
        <f t="shared" si="362"/>
        <v>0</v>
      </c>
      <c r="AR260" s="1368">
        <v>0</v>
      </c>
      <c r="AS260" s="1369">
        <f t="shared" si="363"/>
        <v>0</v>
      </c>
      <c r="AT260" s="1370">
        <v>0</v>
      </c>
      <c r="AU260" s="1371">
        <f t="shared" si="364"/>
        <v>0</v>
      </c>
      <c r="AV260" s="1359">
        <f t="shared" si="365"/>
        <v>0</v>
      </c>
      <c r="AW260" s="1372">
        <f t="shared" si="366"/>
        <v>0</v>
      </c>
      <c r="AX260" s="1373">
        <f t="shared" si="367"/>
        <v>0</v>
      </c>
      <c r="AY260" s="1374">
        <f t="shared" si="368"/>
        <v>0</v>
      </c>
      <c r="AZ260" s="1375">
        <f t="shared" si="369"/>
        <v>0</v>
      </c>
      <c r="BA260" s="1376">
        <f t="shared" si="370"/>
        <v>0</v>
      </c>
      <c r="BB260" s="1377"/>
      <c r="BC260" s="1820"/>
      <c r="BD260" s="1820"/>
      <c r="BE260" s="1823"/>
      <c r="BF260" s="1826"/>
      <c r="BG260" s="1829"/>
    </row>
    <row r="261" spans="1:59" s="1378" customFormat="1" ht="25.5" customHeight="1">
      <c r="A261" s="1347" t="str">
        <f>L248</f>
        <v>Cidara Therapeutics, Inc.</v>
      </c>
      <c r="B261" s="1348" t="str">
        <f>N248</f>
        <v>HUB SD</v>
      </c>
      <c r="C261" s="1348">
        <f>Z248</f>
        <v>64</v>
      </c>
      <c r="D261" s="1349">
        <v>43101</v>
      </c>
      <c r="E261" s="1349"/>
      <c r="F261" s="1347" t="s">
        <v>72</v>
      </c>
      <c r="G261" s="1347" t="s">
        <v>85</v>
      </c>
      <c r="H261" s="1347" t="s">
        <v>72</v>
      </c>
      <c r="I261" s="1347" t="s">
        <v>72</v>
      </c>
      <c r="J261" s="1349" t="s">
        <v>4670</v>
      </c>
      <c r="K261" s="1349" t="s">
        <v>254</v>
      </c>
      <c r="L261" s="1350" t="s">
        <v>112</v>
      </c>
      <c r="M261" s="1350" t="s">
        <v>4708</v>
      </c>
      <c r="N261" s="1390" t="s">
        <v>4709</v>
      </c>
      <c r="O261" s="1352" t="s">
        <v>4710</v>
      </c>
      <c r="P261" s="1352"/>
      <c r="Q261" s="1354"/>
      <c r="R261" s="1354"/>
      <c r="S261" s="1354"/>
      <c r="T261" s="1354"/>
      <c r="U261" s="1354"/>
      <c r="V261" s="1354"/>
      <c r="W261" s="1354"/>
      <c r="X261" s="1353">
        <v>43101</v>
      </c>
      <c r="Y261" s="1353">
        <v>43466</v>
      </c>
      <c r="Z261" s="1355"/>
      <c r="AA261" s="1355" t="s">
        <v>4674</v>
      </c>
      <c r="AB261" s="1356"/>
      <c r="AC261" s="1356"/>
      <c r="AD261" s="1356"/>
      <c r="AE261" s="1356"/>
      <c r="AF261" s="1357" t="str">
        <f t="shared" si="140"/>
        <v/>
      </c>
      <c r="AG261" s="1380"/>
      <c r="AH261" s="1380"/>
      <c r="AI261" s="1381">
        <v>0</v>
      </c>
      <c r="AJ261" s="1382">
        <f t="shared" si="358"/>
        <v>0</v>
      </c>
      <c r="AK261" s="1383">
        <f t="shared" si="359"/>
        <v>0</v>
      </c>
      <c r="AL261" s="1384">
        <v>0</v>
      </c>
      <c r="AM261" s="1363">
        <f t="shared" si="360"/>
        <v>0</v>
      </c>
      <c r="AN261" s="1364">
        <v>0</v>
      </c>
      <c r="AO261" s="1365">
        <f t="shared" si="361"/>
        <v>0</v>
      </c>
      <c r="AP261" s="1366">
        <v>0</v>
      </c>
      <c r="AQ261" s="1367">
        <f t="shared" si="362"/>
        <v>0</v>
      </c>
      <c r="AR261" s="1368">
        <v>0</v>
      </c>
      <c r="AS261" s="1369">
        <f t="shared" si="363"/>
        <v>0</v>
      </c>
      <c r="AT261" s="1370">
        <v>0</v>
      </c>
      <c r="AU261" s="1371">
        <f t="shared" si="364"/>
        <v>0</v>
      </c>
      <c r="AV261" s="1359">
        <f t="shared" si="365"/>
        <v>0</v>
      </c>
      <c r="AW261" s="1372">
        <f t="shared" si="366"/>
        <v>0</v>
      </c>
      <c r="AX261" s="1373">
        <f t="shared" si="367"/>
        <v>0</v>
      </c>
      <c r="AY261" s="1374">
        <f t="shared" si="368"/>
        <v>0</v>
      </c>
      <c r="AZ261" s="1375">
        <f t="shared" si="369"/>
        <v>0</v>
      </c>
      <c r="BA261" s="1376">
        <f t="shared" si="370"/>
        <v>0</v>
      </c>
      <c r="BB261" s="1377"/>
      <c r="BC261" s="1821"/>
      <c r="BD261" s="1821"/>
      <c r="BE261" s="1824"/>
      <c r="BF261" s="1827"/>
      <c r="BG261" s="1830"/>
    </row>
    <row r="262" spans="1:59" s="1315" customFormat="1" ht="25.5">
      <c r="A262" s="1277" t="str">
        <f t="shared" ref="A262:A274" si="371">$L$262</f>
        <v>CLSA</v>
      </c>
      <c r="B262" s="1277" t="s">
        <v>4835</v>
      </c>
      <c r="C262" s="1316">
        <f t="shared" ref="C262:C274" si="372">$Z$262</f>
        <v>32</v>
      </c>
      <c r="D262" s="1317">
        <v>42370</v>
      </c>
      <c r="E262" s="1317"/>
      <c r="F262" s="1277" t="s">
        <v>72</v>
      </c>
      <c r="G262" s="1277" t="s">
        <v>72</v>
      </c>
      <c r="H262" s="1277" t="s">
        <v>72</v>
      </c>
      <c r="I262" s="1277" t="s">
        <v>4711</v>
      </c>
      <c r="J262" s="1317"/>
      <c r="K262" s="1317"/>
      <c r="L262" s="1452" t="s">
        <v>118</v>
      </c>
      <c r="M262" s="1453"/>
      <c r="N262" s="1427" t="s">
        <v>4835</v>
      </c>
      <c r="O262" s="1419" t="s">
        <v>2474</v>
      </c>
      <c r="P262" s="1419"/>
      <c r="Q262" s="1322"/>
      <c r="R262" s="1322"/>
      <c r="S262" s="1322"/>
      <c r="T262" s="1322"/>
      <c r="U262" s="1322"/>
      <c r="V262" s="1322"/>
      <c r="W262" s="1322"/>
      <c r="X262" s="1317">
        <v>43101</v>
      </c>
      <c r="Y262" s="1317">
        <v>43466</v>
      </c>
      <c r="Z262" s="1316">
        <v>32</v>
      </c>
      <c r="AA262" s="1316" t="s">
        <v>4928</v>
      </c>
      <c r="AB262" s="1454">
        <f>SUM(AB263:AB275)</f>
        <v>0</v>
      </c>
      <c r="AC262" s="1454">
        <f>SUM(AC263:AC275)</f>
        <v>0</v>
      </c>
      <c r="AD262" s="1454">
        <f>SUM(AD263:AD275)</f>
        <v>0</v>
      </c>
      <c r="AE262" s="1324">
        <f t="shared" si="168"/>
        <v>0</v>
      </c>
      <c r="AF262" s="1325" t="str">
        <f t="shared" si="140"/>
        <v/>
      </c>
      <c r="AG262" s="1455">
        <f t="shared" si="339"/>
        <v>27862.944166666668</v>
      </c>
      <c r="AH262" s="1326">
        <f>SUM(AH263:AH275)</f>
        <v>334355.33</v>
      </c>
      <c r="AI262" s="1327"/>
      <c r="AJ262" s="1328">
        <f>SUM(AJ263:AJ275)</f>
        <v>2410.6413249999996</v>
      </c>
      <c r="AK262" s="1328">
        <f>SUM(AK263:AK275)</f>
        <v>28927.695899999999</v>
      </c>
      <c r="AL262" s="1329"/>
      <c r="AM262" s="1330">
        <f>SUM(AM263:AM275)</f>
        <v>1396.6554000000001</v>
      </c>
      <c r="AN262" s="1331"/>
      <c r="AO262" s="1332">
        <f>SUM(AO263:AO275)</f>
        <v>0</v>
      </c>
      <c r="AP262" s="1333"/>
      <c r="AQ262" s="1334">
        <f>SUM(AQ263:AQ275)</f>
        <v>0</v>
      </c>
      <c r="AR262" s="1335"/>
      <c r="AS262" s="1336">
        <f>SUM(AS263:AS275)</f>
        <v>0</v>
      </c>
      <c r="AT262" s="1337"/>
      <c r="AU262" s="1338">
        <f>SUM(AU263:AU275)</f>
        <v>6983.277000000001</v>
      </c>
      <c r="AV262" s="1339"/>
      <c r="AW262" s="1340">
        <f>SUM(AW263:AW275)</f>
        <v>20547.763499999997</v>
      </c>
      <c r="AX262" s="1306"/>
      <c r="AY262" s="1307">
        <f>SUM(AW262+AS262+AU262)</f>
        <v>27531.040499999999</v>
      </c>
      <c r="AZ262" s="1308"/>
      <c r="BA262" s="1309">
        <f>SUM(AY262+AQ262)</f>
        <v>27531.040499999999</v>
      </c>
      <c r="BB262" s="1342">
        <f>(AW262+AU262)/(AK262-AM262)</f>
        <v>1</v>
      </c>
      <c r="BC262" s="1343"/>
      <c r="BD262" s="1343"/>
      <c r="BE262" s="1344"/>
      <c r="BF262" s="1428" t="s">
        <v>4929</v>
      </c>
      <c r="BG262" s="1346"/>
    </row>
    <row r="263" spans="1:59" s="1396" customFormat="1" ht="63.75">
      <c r="A263" s="1347" t="str">
        <f t="shared" si="371"/>
        <v>CLSA</v>
      </c>
      <c r="B263" s="1347" t="s">
        <v>4835</v>
      </c>
      <c r="C263" s="1348">
        <f t="shared" si="372"/>
        <v>32</v>
      </c>
      <c r="D263" s="1349">
        <v>42370</v>
      </c>
      <c r="E263" s="1349"/>
      <c r="F263" s="1347" t="s">
        <v>85</v>
      </c>
      <c r="G263" s="1347" t="s">
        <v>85</v>
      </c>
      <c r="H263" s="1347" t="s">
        <v>85</v>
      </c>
      <c r="I263" s="1347" t="s">
        <v>113</v>
      </c>
      <c r="J263" s="1349"/>
      <c r="K263" s="1349" t="s">
        <v>254</v>
      </c>
      <c r="L263" s="1350" t="s">
        <v>2661</v>
      </c>
      <c r="M263" s="1350" t="s">
        <v>3647</v>
      </c>
      <c r="N263" s="1351" t="s">
        <v>4930</v>
      </c>
      <c r="O263" s="1352" t="s">
        <v>4931</v>
      </c>
      <c r="P263" s="1352" t="s">
        <v>4932</v>
      </c>
      <c r="Q263" s="1353" t="s">
        <v>317</v>
      </c>
      <c r="R263" s="1353" t="s">
        <v>3648</v>
      </c>
      <c r="S263" s="1353" t="s">
        <v>315</v>
      </c>
      <c r="T263" s="1353" t="s">
        <v>113</v>
      </c>
      <c r="U263" s="1354"/>
      <c r="V263" s="1354"/>
      <c r="W263" s="1354"/>
      <c r="X263" s="1353">
        <v>43101</v>
      </c>
      <c r="Y263" s="1353">
        <v>43466</v>
      </c>
      <c r="Z263" s="1355"/>
      <c r="AA263" s="1355" t="s">
        <v>4841</v>
      </c>
      <c r="AB263" s="1394"/>
      <c r="AC263" s="1394"/>
      <c r="AD263" s="1356"/>
      <c r="AE263" s="1356"/>
      <c r="AF263" s="1395" t="str">
        <f t="shared" si="140"/>
        <v/>
      </c>
      <c r="AG263" s="1358">
        <f t="shared" si="339"/>
        <v>23277.59</v>
      </c>
      <c r="AH263" s="1358">
        <v>279331.08</v>
      </c>
      <c r="AI263" s="1359">
        <v>0.08</v>
      </c>
      <c r="AJ263" s="1360">
        <f>$AI263*$AG263</f>
        <v>1862.2072000000001</v>
      </c>
      <c r="AK263" s="1361">
        <f t="shared" ref="AK263:AK275" si="373">AI263*$AH263</f>
        <v>22346.486400000002</v>
      </c>
      <c r="AL263" s="1384">
        <v>5.0000000000000001E-3</v>
      </c>
      <c r="AM263" s="1363">
        <f t="shared" ref="AM263:AM275" si="374">AL263*$AH263</f>
        <v>1396.6554000000001</v>
      </c>
      <c r="AN263" s="1364">
        <v>0</v>
      </c>
      <c r="AO263" s="1365">
        <f t="shared" ref="AO263:AO275" si="375">AN263*$AH263</f>
        <v>0</v>
      </c>
      <c r="AP263" s="1366">
        <v>0</v>
      </c>
      <c r="AQ263" s="1367">
        <f t="shared" ref="AQ263:AQ275" si="376">AP263*$AH263</f>
        <v>0</v>
      </c>
      <c r="AR263" s="1368">
        <v>0</v>
      </c>
      <c r="AS263" s="1369">
        <f t="shared" ref="AS263:AS275" si="377">AR263*$AH263</f>
        <v>0</v>
      </c>
      <c r="AT263" s="1370">
        <v>2.5000000000000001E-2</v>
      </c>
      <c r="AU263" s="1371">
        <f t="shared" ref="AU263:AU275" si="378">AT263*$AH263</f>
        <v>6983.277000000001</v>
      </c>
      <c r="AV263" s="1359">
        <f t="shared" ref="AV263:AV273" si="379">AZ263-AR263-AT263-AP263</f>
        <v>4.9999999999999996E-2</v>
      </c>
      <c r="AW263" s="1372">
        <f t="shared" ref="AW263:AW275" si="380">AV263*$AH263</f>
        <v>13966.554</v>
      </c>
      <c r="AX263" s="1373">
        <f t="shared" ref="AX263:AX275" si="381">$AZ263-$AP263</f>
        <v>7.4999999999999997E-2</v>
      </c>
      <c r="AY263" s="1374">
        <f t="shared" ref="AY263:AY275" si="382">AX263*$AH263</f>
        <v>20949.831000000002</v>
      </c>
      <c r="AZ263" s="1375">
        <f t="shared" ref="AZ263:AZ275" si="383">$AI263-$AL263-$AN263</f>
        <v>7.4999999999999997E-2</v>
      </c>
      <c r="BA263" s="1376">
        <f t="shared" ref="BA263:BA275" si="384">AZ263*$AH263</f>
        <v>20949.831000000002</v>
      </c>
      <c r="BB263" s="1377"/>
      <c r="BC263" s="1819" t="s">
        <v>119</v>
      </c>
      <c r="BD263" s="1819" t="s">
        <v>120</v>
      </c>
      <c r="BE263" s="1822" t="s">
        <v>236</v>
      </c>
      <c r="BF263" s="1825" t="s">
        <v>230</v>
      </c>
      <c r="BG263" s="1828">
        <v>473226523</v>
      </c>
    </row>
    <row r="264" spans="1:59" s="1396" customFormat="1" ht="38.25">
      <c r="A264" s="1347" t="str">
        <f t="shared" si="371"/>
        <v>CLSA</v>
      </c>
      <c r="B264" s="1347" t="s">
        <v>4835</v>
      </c>
      <c r="C264" s="1348">
        <f t="shared" si="372"/>
        <v>32</v>
      </c>
      <c r="D264" s="1349">
        <v>42370</v>
      </c>
      <c r="E264" s="1349"/>
      <c r="F264" s="1347" t="s">
        <v>72</v>
      </c>
      <c r="G264" s="1347" t="s">
        <v>85</v>
      </c>
      <c r="H264" s="1347" t="s">
        <v>72</v>
      </c>
      <c r="I264" s="1347" t="s">
        <v>72</v>
      </c>
      <c r="J264" s="1349" t="s">
        <v>4670</v>
      </c>
      <c r="K264" s="1349" t="s">
        <v>254</v>
      </c>
      <c r="L264" s="1350" t="s">
        <v>4671</v>
      </c>
      <c r="M264" s="1350" t="s">
        <v>3649</v>
      </c>
      <c r="N264" s="1379" t="s">
        <v>4933</v>
      </c>
      <c r="O264" s="1352" t="s">
        <v>4934</v>
      </c>
      <c r="P264" s="1352"/>
      <c r="Q264" s="1354"/>
      <c r="R264" s="1354"/>
      <c r="S264" s="1354"/>
      <c r="T264" s="1354"/>
      <c r="U264" s="1354"/>
      <c r="V264" s="1354"/>
      <c r="W264" s="1354"/>
      <c r="X264" s="1353">
        <v>43101</v>
      </c>
      <c r="Y264" s="1353">
        <v>43466</v>
      </c>
      <c r="Z264" s="1355"/>
      <c r="AA264" s="1355" t="s">
        <v>4674</v>
      </c>
      <c r="AB264" s="1356"/>
      <c r="AC264" s="1356"/>
      <c r="AD264" s="1356"/>
      <c r="AE264" s="1356"/>
      <c r="AF264" s="1357" t="str">
        <f t="shared" si="140"/>
        <v/>
      </c>
      <c r="AG264" s="1380"/>
      <c r="AH264" s="1380"/>
      <c r="AI264" s="1381">
        <v>0</v>
      </c>
      <c r="AJ264" s="1382">
        <f>$AI264*$AG264</f>
        <v>0</v>
      </c>
      <c r="AK264" s="1383">
        <f t="shared" si="373"/>
        <v>0</v>
      </c>
      <c r="AL264" s="1384">
        <v>0</v>
      </c>
      <c r="AM264" s="1363">
        <f t="shared" si="374"/>
        <v>0</v>
      </c>
      <c r="AN264" s="1364">
        <v>0</v>
      </c>
      <c r="AO264" s="1365">
        <f t="shared" si="375"/>
        <v>0</v>
      </c>
      <c r="AP264" s="1366">
        <v>0</v>
      </c>
      <c r="AQ264" s="1367">
        <f t="shared" si="376"/>
        <v>0</v>
      </c>
      <c r="AR264" s="1368">
        <v>0</v>
      </c>
      <c r="AS264" s="1369">
        <f t="shared" si="377"/>
        <v>0</v>
      </c>
      <c r="AT264" s="1370">
        <v>0</v>
      </c>
      <c r="AU264" s="1371">
        <f t="shared" si="378"/>
        <v>0</v>
      </c>
      <c r="AV264" s="1359">
        <f t="shared" si="379"/>
        <v>0</v>
      </c>
      <c r="AW264" s="1372">
        <f t="shared" si="380"/>
        <v>0</v>
      </c>
      <c r="AX264" s="1373">
        <f t="shared" si="381"/>
        <v>0</v>
      </c>
      <c r="AY264" s="1374">
        <f t="shared" si="382"/>
        <v>0</v>
      </c>
      <c r="AZ264" s="1375">
        <f t="shared" si="383"/>
        <v>0</v>
      </c>
      <c r="BA264" s="1376">
        <f t="shared" si="384"/>
        <v>0</v>
      </c>
      <c r="BB264" s="1377"/>
      <c r="BC264" s="1820"/>
      <c r="BD264" s="1820"/>
      <c r="BE264" s="1823"/>
      <c r="BF264" s="1826"/>
      <c r="BG264" s="1829"/>
    </row>
    <row r="265" spans="1:59" s="1378" customFormat="1" ht="30" customHeight="1">
      <c r="A265" s="1347" t="str">
        <f t="shared" si="371"/>
        <v>CLSA</v>
      </c>
      <c r="B265" s="1347" t="s">
        <v>4835</v>
      </c>
      <c r="C265" s="1348">
        <f t="shared" si="372"/>
        <v>32</v>
      </c>
      <c r="D265" s="1349">
        <v>42370</v>
      </c>
      <c r="E265" s="1349"/>
      <c r="F265" s="1347" t="s">
        <v>113</v>
      </c>
      <c r="G265" s="1347" t="s">
        <v>113</v>
      </c>
      <c r="H265" s="1347" t="s">
        <v>113</v>
      </c>
      <c r="I265" s="1347" t="s">
        <v>113</v>
      </c>
      <c r="J265" s="1349"/>
      <c r="K265" s="1349" t="s">
        <v>254</v>
      </c>
      <c r="L265" s="1397" t="s">
        <v>4734</v>
      </c>
      <c r="M265" s="1397" t="s">
        <v>3647</v>
      </c>
      <c r="N265" s="1398" t="s">
        <v>4935</v>
      </c>
      <c r="O265" s="1399">
        <v>702751</v>
      </c>
      <c r="P265" s="1399"/>
      <c r="Q265" s="1400"/>
      <c r="R265" s="1400"/>
      <c r="S265" s="1400"/>
      <c r="T265" s="1400"/>
      <c r="U265" s="1400"/>
      <c r="V265" s="1400"/>
      <c r="W265" s="1400"/>
      <c r="X265" s="1400">
        <v>43101</v>
      </c>
      <c r="Y265" s="1400">
        <v>43466</v>
      </c>
      <c r="Z265" s="1401"/>
      <c r="AA265" s="1401" t="s">
        <v>4887</v>
      </c>
      <c r="AB265" s="1369"/>
      <c r="AC265" s="1369"/>
      <c r="AD265" s="1369"/>
      <c r="AE265" s="1369"/>
      <c r="AF265" s="1403" t="str">
        <f t="shared" si="140"/>
        <v/>
      </c>
      <c r="AG265" s="1404"/>
      <c r="AH265" s="1358"/>
      <c r="AI265" s="1405">
        <v>7.0000000000000007E-2</v>
      </c>
      <c r="AJ265" s="1406">
        <v>0</v>
      </c>
      <c r="AK265" s="1406">
        <v>0</v>
      </c>
      <c r="AL265" s="1384">
        <v>0</v>
      </c>
      <c r="AM265" s="1363">
        <f t="shared" si="374"/>
        <v>0</v>
      </c>
      <c r="AN265" s="1364">
        <v>0</v>
      </c>
      <c r="AO265" s="1365">
        <f t="shared" si="375"/>
        <v>0</v>
      </c>
      <c r="AP265" s="1366">
        <v>0</v>
      </c>
      <c r="AQ265" s="1367">
        <f t="shared" si="376"/>
        <v>0</v>
      </c>
      <c r="AR265" s="1368">
        <v>0</v>
      </c>
      <c r="AS265" s="1369">
        <f t="shared" si="377"/>
        <v>0</v>
      </c>
      <c r="AT265" s="1370">
        <v>0</v>
      </c>
      <c r="AU265" s="1371">
        <f>AS265</f>
        <v>0</v>
      </c>
      <c r="AV265" s="1359">
        <f t="shared" si="379"/>
        <v>7.0000000000000007E-2</v>
      </c>
      <c r="AW265" s="1372">
        <f t="shared" si="380"/>
        <v>0</v>
      </c>
      <c r="AX265" s="1373">
        <f t="shared" si="381"/>
        <v>7.0000000000000007E-2</v>
      </c>
      <c r="AY265" s="1374">
        <f t="shared" si="382"/>
        <v>0</v>
      </c>
      <c r="AZ265" s="1375">
        <f t="shared" si="383"/>
        <v>7.0000000000000007E-2</v>
      </c>
      <c r="BA265" s="1376">
        <f t="shared" si="384"/>
        <v>0</v>
      </c>
      <c r="BB265" s="1377"/>
      <c r="BC265" s="1820"/>
      <c r="BD265" s="1820"/>
      <c r="BE265" s="1823"/>
      <c r="BF265" s="1826"/>
      <c r="BG265" s="1829"/>
    </row>
    <row r="266" spans="1:59" s="1396" customFormat="1" ht="38.25" customHeight="1">
      <c r="A266" s="1347" t="str">
        <f t="shared" si="371"/>
        <v>CLSA</v>
      </c>
      <c r="B266" s="1347" t="s">
        <v>4835</v>
      </c>
      <c r="C266" s="1348">
        <f t="shared" si="372"/>
        <v>32</v>
      </c>
      <c r="D266" s="1349">
        <v>42370</v>
      </c>
      <c r="E266" s="1349"/>
      <c r="F266" s="1347" t="s">
        <v>113</v>
      </c>
      <c r="G266" s="1347" t="s">
        <v>85</v>
      </c>
      <c r="H266" s="1347" t="s">
        <v>85</v>
      </c>
      <c r="I266" s="1347" t="s">
        <v>113</v>
      </c>
      <c r="J266" s="1349"/>
      <c r="K266" s="1349" t="s">
        <v>254</v>
      </c>
      <c r="L266" s="1350" t="s">
        <v>4675</v>
      </c>
      <c r="M266" s="1350" t="s">
        <v>3650</v>
      </c>
      <c r="N266" s="1385" t="s">
        <v>4936</v>
      </c>
      <c r="O266" s="1352" t="s">
        <v>4677</v>
      </c>
      <c r="P266" s="1352"/>
      <c r="Q266" s="1354"/>
      <c r="R266" s="1354"/>
      <c r="S266" s="1354"/>
      <c r="T266" s="1354"/>
      <c r="U266" s="1353" t="s">
        <v>4802</v>
      </c>
      <c r="V266" s="1353" t="s">
        <v>2481</v>
      </c>
      <c r="W266" s="1354"/>
      <c r="X266" s="1353">
        <v>43101</v>
      </c>
      <c r="Y266" s="1353">
        <v>43466</v>
      </c>
      <c r="Z266" s="1425"/>
      <c r="AA266" s="1355" t="s">
        <v>4846</v>
      </c>
      <c r="AB266" s="1394"/>
      <c r="AC266" s="1394"/>
      <c r="AD266" s="1356"/>
      <c r="AE266" s="1356"/>
      <c r="AF266" s="1395" t="str">
        <f t="shared" si="140"/>
        <v/>
      </c>
      <c r="AG266" s="1358">
        <f t="shared" si="339"/>
        <v>2435.94</v>
      </c>
      <c r="AH266" s="1358">
        <v>29231.279999999999</v>
      </c>
      <c r="AI266" s="1359">
        <v>0.1</v>
      </c>
      <c r="AJ266" s="1360">
        <f t="shared" ref="AJ266:AJ275" si="385">$AI266*$AG266</f>
        <v>243.59400000000002</v>
      </c>
      <c r="AK266" s="1361">
        <f t="shared" si="373"/>
        <v>2923.1280000000002</v>
      </c>
      <c r="AL266" s="1384">
        <v>0</v>
      </c>
      <c r="AM266" s="1363">
        <f t="shared" si="374"/>
        <v>0</v>
      </c>
      <c r="AN266" s="1364">
        <v>0</v>
      </c>
      <c r="AO266" s="1365">
        <f t="shared" si="375"/>
        <v>0</v>
      </c>
      <c r="AP266" s="1366">
        <v>0</v>
      </c>
      <c r="AQ266" s="1367">
        <f t="shared" si="376"/>
        <v>0</v>
      </c>
      <c r="AR266" s="1368">
        <v>0</v>
      </c>
      <c r="AS266" s="1369">
        <f t="shared" si="377"/>
        <v>0</v>
      </c>
      <c r="AT266" s="1370">
        <v>0</v>
      </c>
      <c r="AU266" s="1371">
        <f t="shared" si="378"/>
        <v>0</v>
      </c>
      <c r="AV266" s="1359">
        <f t="shared" si="379"/>
        <v>0.1</v>
      </c>
      <c r="AW266" s="1372">
        <f t="shared" si="380"/>
        <v>2923.1280000000002</v>
      </c>
      <c r="AX266" s="1373">
        <f t="shared" si="381"/>
        <v>0.1</v>
      </c>
      <c r="AY266" s="1374">
        <f t="shared" si="382"/>
        <v>2923.1280000000002</v>
      </c>
      <c r="AZ266" s="1375">
        <f t="shared" si="383"/>
        <v>0.1</v>
      </c>
      <c r="BA266" s="1376">
        <f t="shared" si="384"/>
        <v>2923.1280000000002</v>
      </c>
      <c r="BB266" s="1377"/>
      <c r="BC266" s="1820"/>
      <c r="BD266" s="1820"/>
      <c r="BE266" s="1823"/>
      <c r="BF266" s="1826"/>
      <c r="BG266" s="1829"/>
    </row>
    <row r="267" spans="1:59" s="1396" customFormat="1" ht="38.25" customHeight="1">
      <c r="A267" s="1347" t="str">
        <f t="shared" si="371"/>
        <v>CLSA</v>
      </c>
      <c r="B267" s="1347" t="s">
        <v>4835</v>
      </c>
      <c r="C267" s="1348">
        <f t="shared" si="372"/>
        <v>32</v>
      </c>
      <c r="D267" s="1349">
        <v>42370</v>
      </c>
      <c r="E267" s="1349"/>
      <c r="F267" s="1347" t="s">
        <v>113</v>
      </c>
      <c r="G267" s="1347" t="s">
        <v>85</v>
      </c>
      <c r="H267" s="1347" t="s">
        <v>85</v>
      </c>
      <c r="I267" s="1347" t="s">
        <v>113</v>
      </c>
      <c r="J267" s="1349"/>
      <c r="K267" s="1349" t="s">
        <v>254</v>
      </c>
      <c r="L267" s="1350" t="s">
        <v>4675</v>
      </c>
      <c r="M267" s="1350" t="s">
        <v>3651</v>
      </c>
      <c r="N267" s="1351" t="s">
        <v>4875</v>
      </c>
      <c r="O267" s="1352" t="s">
        <v>4681</v>
      </c>
      <c r="P267" s="1352"/>
      <c r="Q267" s="1354"/>
      <c r="R267" s="1354"/>
      <c r="S267" s="1354"/>
      <c r="T267" s="1354"/>
      <c r="U267" s="1354"/>
      <c r="V267" s="1354"/>
      <c r="W267" s="1353" t="s">
        <v>2492</v>
      </c>
      <c r="X267" s="1353">
        <v>43101</v>
      </c>
      <c r="Y267" s="1353">
        <v>43466</v>
      </c>
      <c r="Z267" s="1425"/>
      <c r="AA267" s="1355" t="s">
        <v>4846</v>
      </c>
      <c r="AB267" s="1394"/>
      <c r="AC267" s="1394"/>
      <c r="AD267" s="1356"/>
      <c r="AE267" s="1356"/>
      <c r="AF267" s="1395" t="str">
        <f t="shared" si="140"/>
        <v/>
      </c>
      <c r="AG267" s="1358">
        <f t="shared" si="339"/>
        <v>351.44</v>
      </c>
      <c r="AH267" s="1358">
        <v>4217.28</v>
      </c>
      <c r="AI267" s="1359">
        <v>0.1</v>
      </c>
      <c r="AJ267" s="1360">
        <f t="shared" si="385"/>
        <v>35.143999999999998</v>
      </c>
      <c r="AK267" s="1361">
        <f t="shared" si="373"/>
        <v>421.72800000000001</v>
      </c>
      <c r="AL267" s="1384">
        <v>0</v>
      </c>
      <c r="AM267" s="1363">
        <f t="shared" si="374"/>
        <v>0</v>
      </c>
      <c r="AN267" s="1364">
        <v>0</v>
      </c>
      <c r="AO267" s="1365">
        <f t="shared" si="375"/>
        <v>0</v>
      </c>
      <c r="AP267" s="1366">
        <v>0</v>
      </c>
      <c r="AQ267" s="1367">
        <f t="shared" si="376"/>
        <v>0</v>
      </c>
      <c r="AR267" s="1368">
        <v>0</v>
      </c>
      <c r="AS267" s="1369">
        <f t="shared" si="377"/>
        <v>0</v>
      </c>
      <c r="AT267" s="1370">
        <v>0</v>
      </c>
      <c r="AU267" s="1371">
        <f t="shared" si="378"/>
        <v>0</v>
      </c>
      <c r="AV267" s="1359">
        <f t="shared" si="379"/>
        <v>0.1</v>
      </c>
      <c r="AW267" s="1372">
        <f t="shared" si="380"/>
        <v>421.72800000000001</v>
      </c>
      <c r="AX267" s="1373">
        <f t="shared" si="381"/>
        <v>0.1</v>
      </c>
      <c r="AY267" s="1374">
        <f t="shared" si="382"/>
        <v>421.72800000000001</v>
      </c>
      <c r="AZ267" s="1375">
        <f t="shared" si="383"/>
        <v>0.1</v>
      </c>
      <c r="BA267" s="1376">
        <f t="shared" si="384"/>
        <v>421.72800000000001</v>
      </c>
      <c r="BB267" s="1377"/>
      <c r="BC267" s="1820"/>
      <c r="BD267" s="1820"/>
      <c r="BE267" s="1823"/>
      <c r="BF267" s="1826"/>
      <c r="BG267" s="1829"/>
    </row>
    <row r="268" spans="1:59" s="1396" customFormat="1" ht="25.5">
      <c r="A268" s="1347" t="str">
        <f t="shared" si="371"/>
        <v>CLSA</v>
      </c>
      <c r="B268" s="1347" t="s">
        <v>4835</v>
      </c>
      <c r="C268" s="1348">
        <f t="shared" si="372"/>
        <v>32</v>
      </c>
      <c r="D268" s="1349">
        <v>42370</v>
      </c>
      <c r="E268" s="1349"/>
      <c r="F268" s="1347" t="s">
        <v>113</v>
      </c>
      <c r="G268" s="1347" t="s">
        <v>85</v>
      </c>
      <c r="H268" s="1347" t="s">
        <v>85</v>
      </c>
      <c r="I268" s="1347" t="s">
        <v>113</v>
      </c>
      <c r="J268" s="1349"/>
      <c r="K268" s="1349" t="s">
        <v>254</v>
      </c>
      <c r="L268" s="1350" t="s">
        <v>4682</v>
      </c>
      <c r="M268" s="1350" t="s">
        <v>4683</v>
      </c>
      <c r="N268" s="1386" t="s">
        <v>1249</v>
      </c>
      <c r="O268" s="1352" t="s">
        <v>4684</v>
      </c>
      <c r="P268" s="1387"/>
      <c r="Q268" s="1354"/>
      <c r="R268" s="1354"/>
      <c r="S268" s="1354"/>
      <c r="T268" s="1354"/>
      <c r="U268" s="1354"/>
      <c r="V268" s="1354"/>
      <c r="W268" s="1354"/>
      <c r="X268" s="1353">
        <v>43101</v>
      </c>
      <c r="Y268" s="1353">
        <v>43466</v>
      </c>
      <c r="Z268" s="1425"/>
      <c r="AA268" s="1355" t="s">
        <v>4884</v>
      </c>
      <c r="AB268" s="1394"/>
      <c r="AC268" s="1394"/>
      <c r="AD268" s="1356"/>
      <c r="AE268" s="1356"/>
      <c r="AF268" s="1395" t="str">
        <f t="shared" si="140"/>
        <v/>
      </c>
      <c r="AG268" s="1358">
        <f t="shared" si="339"/>
        <v>412.33833333333337</v>
      </c>
      <c r="AH268" s="1358">
        <v>4948.0600000000004</v>
      </c>
      <c r="AI268" s="1359">
        <v>0.15</v>
      </c>
      <c r="AJ268" s="1360">
        <f t="shared" si="385"/>
        <v>61.850750000000005</v>
      </c>
      <c r="AK268" s="1361">
        <f t="shared" si="373"/>
        <v>742.20900000000006</v>
      </c>
      <c r="AL268" s="1384">
        <v>0</v>
      </c>
      <c r="AM268" s="1363">
        <f t="shared" si="374"/>
        <v>0</v>
      </c>
      <c r="AN268" s="1364">
        <v>0</v>
      </c>
      <c r="AO268" s="1365">
        <f t="shared" si="375"/>
        <v>0</v>
      </c>
      <c r="AP268" s="1366">
        <v>0</v>
      </c>
      <c r="AQ268" s="1367">
        <f t="shared" si="376"/>
        <v>0</v>
      </c>
      <c r="AR268" s="1368">
        <v>0</v>
      </c>
      <c r="AS268" s="1369">
        <f t="shared" si="377"/>
        <v>0</v>
      </c>
      <c r="AT268" s="1370">
        <v>0</v>
      </c>
      <c r="AU268" s="1371">
        <f t="shared" si="378"/>
        <v>0</v>
      </c>
      <c r="AV268" s="1359">
        <f t="shared" si="379"/>
        <v>0.15</v>
      </c>
      <c r="AW268" s="1372">
        <f t="shared" si="380"/>
        <v>742.20900000000006</v>
      </c>
      <c r="AX268" s="1373">
        <f t="shared" si="381"/>
        <v>0.15</v>
      </c>
      <c r="AY268" s="1374">
        <f t="shared" si="382"/>
        <v>742.20900000000006</v>
      </c>
      <c r="AZ268" s="1375">
        <f t="shared" si="383"/>
        <v>0.15</v>
      </c>
      <c r="BA268" s="1376">
        <f t="shared" si="384"/>
        <v>742.20900000000006</v>
      </c>
      <c r="BB268" s="1377"/>
      <c r="BC268" s="1820"/>
      <c r="BD268" s="1820"/>
      <c r="BE268" s="1823"/>
      <c r="BF268" s="1826"/>
      <c r="BG268" s="1829"/>
    </row>
    <row r="269" spans="1:59" s="1396" customFormat="1" ht="25.5">
      <c r="A269" s="1347" t="str">
        <f t="shared" si="371"/>
        <v>CLSA</v>
      </c>
      <c r="B269" s="1347" t="s">
        <v>4835</v>
      </c>
      <c r="C269" s="1348">
        <f t="shared" si="372"/>
        <v>32</v>
      </c>
      <c r="D269" s="1349">
        <v>42370</v>
      </c>
      <c r="E269" s="1349"/>
      <c r="F269" s="1347" t="s">
        <v>113</v>
      </c>
      <c r="G269" s="1347" t="s">
        <v>85</v>
      </c>
      <c r="H269" s="1347" t="s">
        <v>85</v>
      </c>
      <c r="I269" s="1347" t="s">
        <v>113</v>
      </c>
      <c r="J269" s="1349"/>
      <c r="K269" s="1349" t="s">
        <v>254</v>
      </c>
      <c r="L269" s="1350" t="s">
        <v>4682</v>
      </c>
      <c r="M269" s="1350" t="s">
        <v>4686</v>
      </c>
      <c r="N269" s="1386" t="s">
        <v>60</v>
      </c>
      <c r="O269" s="1352" t="s">
        <v>4687</v>
      </c>
      <c r="P269" s="1387"/>
      <c r="Q269" s="1354"/>
      <c r="R269" s="1354"/>
      <c r="S269" s="1354"/>
      <c r="T269" s="1354"/>
      <c r="U269" s="1354"/>
      <c r="V269" s="1354"/>
      <c r="W269" s="1354"/>
      <c r="X269" s="1353">
        <v>43101</v>
      </c>
      <c r="Y269" s="1353">
        <v>43466</v>
      </c>
      <c r="Z269" s="1425"/>
      <c r="AA269" s="1355" t="s">
        <v>4884</v>
      </c>
      <c r="AB269" s="1394"/>
      <c r="AC269" s="1394"/>
      <c r="AD269" s="1356"/>
      <c r="AE269" s="1356"/>
      <c r="AF269" s="1395" t="str">
        <f t="shared" si="140"/>
        <v/>
      </c>
      <c r="AG269" s="1358">
        <f t="shared" si="339"/>
        <v>320.99</v>
      </c>
      <c r="AH269" s="1358">
        <v>3851.88</v>
      </c>
      <c r="AI269" s="1359">
        <v>0.15</v>
      </c>
      <c r="AJ269" s="1360">
        <f t="shared" si="385"/>
        <v>48.148499999999999</v>
      </c>
      <c r="AK269" s="1361">
        <f t="shared" si="373"/>
        <v>577.78200000000004</v>
      </c>
      <c r="AL269" s="1384">
        <v>0</v>
      </c>
      <c r="AM269" s="1363">
        <f t="shared" si="374"/>
        <v>0</v>
      </c>
      <c r="AN269" s="1364">
        <v>0</v>
      </c>
      <c r="AO269" s="1365">
        <f t="shared" si="375"/>
        <v>0</v>
      </c>
      <c r="AP269" s="1366">
        <v>0</v>
      </c>
      <c r="AQ269" s="1367">
        <f t="shared" si="376"/>
        <v>0</v>
      </c>
      <c r="AR269" s="1368">
        <v>0</v>
      </c>
      <c r="AS269" s="1369">
        <f t="shared" si="377"/>
        <v>0</v>
      </c>
      <c r="AT269" s="1370">
        <v>0</v>
      </c>
      <c r="AU269" s="1371">
        <f t="shared" si="378"/>
        <v>0</v>
      </c>
      <c r="AV269" s="1359">
        <f t="shared" si="379"/>
        <v>0.15</v>
      </c>
      <c r="AW269" s="1372">
        <f t="shared" si="380"/>
        <v>577.78200000000004</v>
      </c>
      <c r="AX269" s="1373">
        <f t="shared" si="381"/>
        <v>0.15</v>
      </c>
      <c r="AY269" s="1374">
        <f t="shared" si="382"/>
        <v>577.78200000000004</v>
      </c>
      <c r="AZ269" s="1375">
        <f t="shared" si="383"/>
        <v>0.15</v>
      </c>
      <c r="BA269" s="1376">
        <f t="shared" si="384"/>
        <v>577.78200000000004</v>
      </c>
      <c r="BB269" s="1377"/>
      <c r="BC269" s="1820"/>
      <c r="BD269" s="1820"/>
      <c r="BE269" s="1823"/>
      <c r="BF269" s="1826"/>
      <c r="BG269" s="1829"/>
    </row>
    <row r="270" spans="1:59" s="1396" customFormat="1">
      <c r="A270" s="1347" t="str">
        <f t="shared" si="371"/>
        <v>CLSA</v>
      </c>
      <c r="B270" s="1347" t="s">
        <v>4835</v>
      </c>
      <c r="C270" s="1348">
        <f t="shared" si="372"/>
        <v>32</v>
      </c>
      <c r="D270" s="1349">
        <v>42370</v>
      </c>
      <c r="E270" s="1349"/>
      <c r="F270" s="1347" t="s">
        <v>113</v>
      </c>
      <c r="G270" s="1347" t="s">
        <v>85</v>
      </c>
      <c r="H270" s="1347" t="s">
        <v>85</v>
      </c>
      <c r="I270" s="1347" t="s">
        <v>113</v>
      </c>
      <c r="J270" s="1349"/>
      <c r="K270" s="1349" t="s">
        <v>254</v>
      </c>
      <c r="L270" s="1350" t="s">
        <v>4682</v>
      </c>
      <c r="M270" s="1350" t="s">
        <v>62</v>
      </c>
      <c r="N270" s="1351" t="s">
        <v>81</v>
      </c>
      <c r="O270" s="1352" t="s">
        <v>4688</v>
      </c>
      <c r="P270" s="1352"/>
      <c r="Q270" s="1354"/>
      <c r="R270" s="1354"/>
      <c r="S270" s="1354"/>
      <c r="T270" s="1354"/>
      <c r="U270" s="1354"/>
      <c r="V270" s="1354"/>
      <c r="W270" s="1354"/>
      <c r="X270" s="1353">
        <v>43101</v>
      </c>
      <c r="Y270" s="1353">
        <v>43466</v>
      </c>
      <c r="Z270" s="1425"/>
      <c r="AA270" s="1355" t="s">
        <v>4884</v>
      </c>
      <c r="AB270" s="1394"/>
      <c r="AC270" s="1394"/>
      <c r="AD270" s="1356"/>
      <c r="AE270" s="1356"/>
      <c r="AF270" s="1395" t="str">
        <f t="shared" si="140"/>
        <v/>
      </c>
      <c r="AG270" s="1358">
        <f t="shared" si="339"/>
        <v>366.92666666666668</v>
      </c>
      <c r="AH270" s="1358">
        <v>4403.12</v>
      </c>
      <c r="AI270" s="1359">
        <v>0.15</v>
      </c>
      <c r="AJ270" s="1360">
        <f t="shared" si="385"/>
        <v>55.039000000000001</v>
      </c>
      <c r="AK270" s="1361">
        <f t="shared" si="373"/>
        <v>660.46799999999996</v>
      </c>
      <c r="AL270" s="1384">
        <v>0</v>
      </c>
      <c r="AM270" s="1363">
        <f t="shared" si="374"/>
        <v>0</v>
      </c>
      <c r="AN270" s="1364">
        <v>0</v>
      </c>
      <c r="AO270" s="1365">
        <f t="shared" si="375"/>
        <v>0</v>
      </c>
      <c r="AP270" s="1366">
        <v>0</v>
      </c>
      <c r="AQ270" s="1367">
        <f t="shared" si="376"/>
        <v>0</v>
      </c>
      <c r="AR270" s="1368">
        <v>0</v>
      </c>
      <c r="AS270" s="1369">
        <f t="shared" si="377"/>
        <v>0</v>
      </c>
      <c r="AT270" s="1370">
        <v>0</v>
      </c>
      <c r="AU270" s="1371">
        <f t="shared" si="378"/>
        <v>0</v>
      </c>
      <c r="AV270" s="1359">
        <f t="shared" si="379"/>
        <v>0.15</v>
      </c>
      <c r="AW270" s="1372">
        <f t="shared" si="380"/>
        <v>660.46799999999996</v>
      </c>
      <c r="AX270" s="1373">
        <f t="shared" si="381"/>
        <v>0.15</v>
      </c>
      <c r="AY270" s="1374">
        <f t="shared" si="382"/>
        <v>660.46799999999996</v>
      </c>
      <c r="AZ270" s="1375">
        <f t="shared" si="383"/>
        <v>0.15</v>
      </c>
      <c r="BA270" s="1376">
        <f t="shared" si="384"/>
        <v>660.46799999999996</v>
      </c>
      <c r="BB270" s="1377"/>
      <c r="BC270" s="1820"/>
      <c r="BD270" s="1820"/>
      <c r="BE270" s="1823"/>
      <c r="BF270" s="1826"/>
      <c r="BG270" s="1829"/>
    </row>
    <row r="271" spans="1:59" s="1396" customFormat="1">
      <c r="A271" s="1347" t="str">
        <f t="shared" si="371"/>
        <v>CLSA</v>
      </c>
      <c r="B271" s="1347" t="s">
        <v>4835</v>
      </c>
      <c r="C271" s="1348">
        <f t="shared" si="372"/>
        <v>32</v>
      </c>
      <c r="D271" s="1349">
        <v>42370</v>
      </c>
      <c r="E271" s="1349"/>
      <c r="F271" s="1347" t="s">
        <v>113</v>
      </c>
      <c r="G271" s="1347" t="s">
        <v>85</v>
      </c>
      <c r="H271" s="1347" t="s">
        <v>85</v>
      </c>
      <c r="I271" s="1347" t="s">
        <v>113</v>
      </c>
      <c r="J271" s="1349"/>
      <c r="K271" s="1349" t="s">
        <v>254</v>
      </c>
      <c r="L271" s="1350" t="s">
        <v>4682</v>
      </c>
      <c r="M271" s="1350" t="s">
        <v>67</v>
      </c>
      <c r="N271" s="1351" t="s">
        <v>82</v>
      </c>
      <c r="O271" s="1352" t="s">
        <v>4689</v>
      </c>
      <c r="P271" s="1352"/>
      <c r="Q271" s="1354"/>
      <c r="R271" s="1354"/>
      <c r="S271" s="1354"/>
      <c r="T271" s="1354"/>
      <c r="U271" s="1354"/>
      <c r="V271" s="1354"/>
      <c r="W271" s="1354"/>
      <c r="X271" s="1353">
        <v>43101</v>
      </c>
      <c r="Y271" s="1353">
        <v>43466</v>
      </c>
      <c r="Z271" s="1425"/>
      <c r="AA271" s="1355" t="s">
        <v>4884</v>
      </c>
      <c r="AB271" s="1394"/>
      <c r="AC271" s="1394"/>
      <c r="AD271" s="1356"/>
      <c r="AE271" s="1356"/>
      <c r="AF271" s="1395"/>
      <c r="AG271" s="1358">
        <f t="shared" si="339"/>
        <v>697.71916666666664</v>
      </c>
      <c r="AH271" s="1358">
        <v>8372.6299999999992</v>
      </c>
      <c r="AI271" s="1359">
        <v>0.15</v>
      </c>
      <c r="AJ271" s="1360">
        <f t="shared" si="385"/>
        <v>104.65787499999999</v>
      </c>
      <c r="AK271" s="1361">
        <f t="shared" si="373"/>
        <v>1255.8944999999999</v>
      </c>
      <c r="AL271" s="1384">
        <v>0</v>
      </c>
      <c r="AM271" s="1363">
        <f t="shared" si="374"/>
        <v>0</v>
      </c>
      <c r="AN271" s="1364">
        <v>0</v>
      </c>
      <c r="AO271" s="1365">
        <f t="shared" si="375"/>
        <v>0</v>
      </c>
      <c r="AP271" s="1366">
        <v>0</v>
      </c>
      <c r="AQ271" s="1367">
        <f t="shared" si="376"/>
        <v>0</v>
      </c>
      <c r="AR271" s="1368">
        <v>0</v>
      </c>
      <c r="AS271" s="1369">
        <f t="shared" si="377"/>
        <v>0</v>
      </c>
      <c r="AT271" s="1370">
        <v>0</v>
      </c>
      <c r="AU271" s="1371">
        <f t="shared" si="378"/>
        <v>0</v>
      </c>
      <c r="AV271" s="1359">
        <f t="shared" si="379"/>
        <v>0.15</v>
      </c>
      <c r="AW271" s="1372">
        <f t="shared" si="380"/>
        <v>1255.8944999999999</v>
      </c>
      <c r="AX271" s="1373">
        <f t="shared" si="381"/>
        <v>0.15</v>
      </c>
      <c r="AY271" s="1374">
        <f t="shared" si="382"/>
        <v>1255.8944999999999</v>
      </c>
      <c r="AZ271" s="1375">
        <f t="shared" si="383"/>
        <v>0.15</v>
      </c>
      <c r="BA271" s="1376">
        <f t="shared" si="384"/>
        <v>1255.8944999999999</v>
      </c>
      <c r="BB271" s="1377"/>
      <c r="BC271" s="1820"/>
      <c r="BD271" s="1820"/>
      <c r="BE271" s="1823"/>
      <c r="BF271" s="1826"/>
      <c r="BG271" s="1829"/>
    </row>
    <row r="272" spans="1:59" s="1396" customFormat="1" ht="25.5">
      <c r="A272" s="1347" t="str">
        <f t="shared" si="371"/>
        <v>CLSA</v>
      </c>
      <c r="B272" s="1347" t="s">
        <v>4835</v>
      </c>
      <c r="C272" s="1348">
        <f t="shared" si="372"/>
        <v>32</v>
      </c>
      <c r="D272" s="1349">
        <v>42370</v>
      </c>
      <c r="E272" s="1349"/>
      <c r="F272" s="1347" t="s">
        <v>72</v>
      </c>
      <c r="G272" s="1347" t="s">
        <v>4700</v>
      </c>
      <c r="H272" s="1347" t="s">
        <v>72</v>
      </c>
      <c r="I272" s="1347" t="s">
        <v>72</v>
      </c>
      <c r="J272" s="1349" t="s">
        <v>4670</v>
      </c>
      <c r="K272" s="1349" t="s">
        <v>254</v>
      </c>
      <c r="L272" s="1350" t="s">
        <v>48</v>
      </c>
      <c r="M272" s="1350" t="s">
        <v>3652</v>
      </c>
      <c r="N272" s="1390" t="s">
        <v>4937</v>
      </c>
      <c r="O272" s="1352" t="s">
        <v>4702</v>
      </c>
      <c r="P272" s="1352"/>
      <c r="Q272" s="1354"/>
      <c r="R272" s="1354"/>
      <c r="S272" s="1354"/>
      <c r="T272" s="1354"/>
      <c r="U272" s="1354"/>
      <c r="V272" s="1354"/>
      <c r="W272" s="1354"/>
      <c r="X272" s="1353">
        <v>43101</v>
      </c>
      <c r="Y272" s="1353">
        <v>43466</v>
      </c>
      <c r="Z272" s="1425"/>
      <c r="AA272" s="1355" t="s">
        <v>4674</v>
      </c>
      <c r="AB272" s="1394"/>
      <c r="AC272" s="1394"/>
      <c r="AD272" s="1356"/>
      <c r="AE272" s="1356"/>
      <c r="AF272" s="1395" t="str">
        <f t="shared" si="140"/>
        <v/>
      </c>
      <c r="AG272" s="1380"/>
      <c r="AH272" s="1380"/>
      <c r="AI272" s="1381">
        <v>0</v>
      </c>
      <c r="AJ272" s="1382">
        <f t="shared" si="385"/>
        <v>0</v>
      </c>
      <c r="AK272" s="1383">
        <f t="shared" si="373"/>
        <v>0</v>
      </c>
      <c r="AL272" s="1384">
        <v>0</v>
      </c>
      <c r="AM272" s="1363">
        <f t="shared" si="374"/>
        <v>0</v>
      </c>
      <c r="AN272" s="1364">
        <v>0</v>
      </c>
      <c r="AO272" s="1365">
        <f t="shared" si="375"/>
        <v>0</v>
      </c>
      <c r="AP272" s="1366">
        <v>0</v>
      </c>
      <c r="AQ272" s="1367">
        <f t="shared" si="376"/>
        <v>0</v>
      </c>
      <c r="AR272" s="1368">
        <v>0</v>
      </c>
      <c r="AS272" s="1369">
        <f t="shared" si="377"/>
        <v>0</v>
      </c>
      <c r="AT272" s="1370">
        <v>0</v>
      </c>
      <c r="AU272" s="1371">
        <f t="shared" si="378"/>
        <v>0</v>
      </c>
      <c r="AV272" s="1359">
        <f t="shared" si="379"/>
        <v>0</v>
      </c>
      <c r="AW272" s="1372">
        <f t="shared" si="380"/>
        <v>0</v>
      </c>
      <c r="AX272" s="1373">
        <f t="shared" si="381"/>
        <v>0</v>
      </c>
      <c r="AY272" s="1374">
        <f t="shared" si="382"/>
        <v>0</v>
      </c>
      <c r="AZ272" s="1375">
        <f t="shared" si="383"/>
        <v>0</v>
      </c>
      <c r="BA272" s="1376">
        <f t="shared" si="384"/>
        <v>0</v>
      </c>
      <c r="BB272" s="1377"/>
      <c r="BC272" s="1820"/>
      <c r="BD272" s="1820"/>
      <c r="BE272" s="1823"/>
      <c r="BF272" s="1826"/>
      <c r="BG272" s="1829"/>
    </row>
    <row r="273" spans="1:59" s="1396" customFormat="1" ht="28.5" customHeight="1">
      <c r="A273" s="1347" t="str">
        <f t="shared" si="371"/>
        <v>CLSA</v>
      </c>
      <c r="B273" s="1347" t="s">
        <v>4835</v>
      </c>
      <c r="C273" s="1348">
        <f t="shared" si="372"/>
        <v>32</v>
      </c>
      <c r="D273" s="1349">
        <v>42370</v>
      </c>
      <c r="E273" s="1349"/>
      <c r="F273" s="1347" t="s">
        <v>72</v>
      </c>
      <c r="G273" s="1347" t="s">
        <v>85</v>
      </c>
      <c r="H273" s="1347" t="s">
        <v>72</v>
      </c>
      <c r="I273" s="1347" t="s">
        <v>72</v>
      </c>
      <c r="J273" s="1349" t="s">
        <v>4670</v>
      </c>
      <c r="K273" s="1349" t="s">
        <v>254</v>
      </c>
      <c r="L273" s="1350" t="s">
        <v>48</v>
      </c>
      <c r="M273" s="1350" t="s">
        <v>253</v>
      </c>
      <c r="N273" s="1390" t="s">
        <v>4703</v>
      </c>
      <c r="O273" s="1352" t="s">
        <v>4704</v>
      </c>
      <c r="P273" s="1352"/>
      <c r="Q273" s="1354"/>
      <c r="R273" s="1354"/>
      <c r="S273" s="1354"/>
      <c r="T273" s="1354"/>
      <c r="U273" s="1354"/>
      <c r="V273" s="1354"/>
      <c r="W273" s="1354"/>
      <c r="X273" s="1353">
        <v>43101</v>
      </c>
      <c r="Y273" s="1353">
        <v>43466</v>
      </c>
      <c r="Z273" s="1425"/>
      <c r="AA273" s="1355" t="s">
        <v>4674</v>
      </c>
      <c r="AB273" s="1394"/>
      <c r="AC273" s="1394"/>
      <c r="AD273" s="1356"/>
      <c r="AE273" s="1356"/>
      <c r="AF273" s="1395" t="str">
        <f t="shared" si="140"/>
        <v/>
      </c>
      <c r="AG273" s="1380"/>
      <c r="AH273" s="1380"/>
      <c r="AI273" s="1381">
        <v>0</v>
      </c>
      <c r="AJ273" s="1382">
        <f t="shared" si="385"/>
        <v>0</v>
      </c>
      <c r="AK273" s="1383">
        <f t="shared" si="373"/>
        <v>0</v>
      </c>
      <c r="AL273" s="1384">
        <v>0</v>
      </c>
      <c r="AM273" s="1363">
        <f t="shared" si="374"/>
        <v>0</v>
      </c>
      <c r="AN273" s="1364">
        <v>0</v>
      </c>
      <c r="AO273" s="1365">
        <f t="shared" si="375"/>
        <v>0</v>
      </c>
      <c r="AP273" s="1366">
        <v>0</v>
      </c>
      <c r="AQ273" s="1367">
        <f t="shared" si="376"/>
        <v>0</v>
      </c>
      <c r="AR273" s="1368">
        <v>0</v>
      </c>
      <c r="AS273" s="1369">
        <f t="shared" si="377"/>
        <v>0</v>
      </c>
      <c r="AT273" s="1370">
        <v>0</v>
      </c>
      <c r="AU273" s="1371">
        <f t="shared" si="378"/>
        <v>0</v>
      </c>
      <c r="AV273" s="1359">
        <f t="shared" si="379"/>
        <v>0</v>
      </c>
      <c r="AW273" s="1372">
        <f t="shared" si="380"/>
        <v>0</v>
      </c>
      <c r="AX273" s="1373">
        <f t="shared" si="381"/>
        <v>0</v>
      </c>
      <c r="AY273" s="1374">
        <f t="shared" si="382"/>
        <v>0</v>
      </c>
      <c r="AZ273" s="1375">
        <f t="shared" si="383"/>
        <v>0</v>
      </c>
      <c r="BA273" s="1376">
        <f t="shared" si="384"/>
        <v>0</v>
      </c>
      <c r="BB273" s="1377"/>
      <c r="BC273" s="1820"/>
      <c r="BD273" s="1820"/>
      <c r="BE273" s="1823"/>
      <c r="BF273" s="1826"/>
      <c r="BG273" s="1829"/>
    </row>
    <row r="274" spans="1:59" s="1396" customFormat="1" ht="23.25" customHeight="1">
      <c r="A274" s="1347" t="str">
        <f t="shared" si="371"/>
        <v>CLSA</v>
      </c>
      <c r="B274" s="1347" t="s">
        <v>4835</v>
      </c>
      <c r="C274" s="1348">
        <f t="shared" si="372"/>
        <v>32</v>
      </c>
      <c r="D274" s="1349">
        <v>42370</v>
      </c>
      <c r="E274" s="1349"/>
      <c r="F274" s="1347" t="s">
        <v>72</v>
      </c>
      <c r="G274" s="1347" t="s">
        <v>85</v>
      </c>
      <c r="H274" s="1347" t="s">
        <v>72</v>
      </c>
      <c r="I274" s="1347" t="s">
        <v>72</v>
      </c>
      <c r="J274" s="1349" t="s">
        <v>4670</v>
      </c>
      <c r="K274" s="1349" t="s">
        <v>254</v>
      </c>
      <c r="L274" s="1456" t="s">
        <v>49</v>
      </c>
      <c r="M274" s="1456" t="s">
        <v>4705</v>
      </c>
      <c r="N274" s="1390" t="s">
        <v>4706</v>
      </c>
      <c r="O274" s="1352" t="s">
        <v>4707</v>
      </c>
      <c r="P274" s="1352"/>
      <c r="Q274" s="1354"/>
      <c r="R274" s="1354"/>
      <c r="S274" s="1354"/>
      <c r="T274" s="1354"/>
      <c r="U274" s="1354"/>
      <c r="V274" s="1354"/>
      <c r="W274" s="1354"/>
      <c r="X274" s="1353">
        <v>43101</v>
      </c>
      <c r="Y274" s="1353">
        <v>43466</v>
      </c>
      <c r="Z274" s="1425"/>
      <c r="AA274" s="1355" t="s">
        <v>4674</v>
      </c>
      <c r="AB274" s="1356"/>
      <c r="AC274" s="1356"/>
      <c r="AD274" s="1356"/>
      <c r="AE274" s="1356"/>
      <c r="AF274" s="1357" t="str">
        <f t="shared" si="140"/>
        <v/>
      </c>
      <c r="AG274" s="1380"/>
      <c r="AH274" s="1380"/>
      <c r="AI274" s="1381">
        <v>0</v>
      </c>
      <c r="AJ274" s="1382">
        <f t="shared" si="385"/>
        <v>0</v>
      </c>
      <c r="AK274" s="1383">
        <f t="shared" si="373"/>
        <v>0</v>
      </c>
      <c r="AL274" s="1384">
        <v>0</v>
      </c>
      <c r="AM274" s="1363">
        <f t="shared" si="374"/>
        <v>0</v>
      </c>
      <c r="AN274" s="1364">
        <v>0</v>
      </c>
      <c r="AO274" s="1365">
        <f t="shared" si="375"/>
        <v>0</v>
      </c>
      <c r="AP274" s="1366">
        <v>0</v>
      </c>
      <c r="AQ274" s="1367">
        <f t="shared" si="376"/>
        <v>0</v>
      </c>
      <c r="AR274" s="1368">
        <v>0</v>
      </c>
      <c r="AS274" s="1369">
        <f t="shared" si="377"/>
        <v>0</v>
      </c>
      <c r="AT274" s="1370">
        <v>0</v>
      </c>
      <c r="AU274" s="1371">
        <f t="shared" si="378"/>
        <v>0</v>
      </c>
      <c r="AV274" s="1359">
        <f>AZ274-AR274-AT274-AP274</f>
        <v>0</v>
      </c>
      <c r="AW274" s="1372">
        <f t="shared" si="380"/>
        <v>0</v>
      </c>
      <c r="AX274" s="1373">
        <f t="shared" si="381"/>
        <v>0</v>
      </c>
      <c r="AY274" s="1374">
        <f t="shared" si="382"/>
        <v>0</v>
      </c>
      <c r="AZ274" s="1375">
        <f t="shared" si="383"/>
        <v>0</v>
      </c>
      <c r="BA274" s="1376">
        <f t="shared" si="384"/>
        <v>0</v>
      </c>
      <c r="BB274" s="1377"/>
      <c r="BC274" s="1820"/>
      <c r="BD274" s="1820"/>
      <c r="BE274" s="1823"/>
      <c r="BF274" s="1826"/>
      <c r="BG274" s="1829"/>
    </row>
    <row r="275" spans="1:59" s="1378" customFormat="1" ht="21.75" customHeight="1">
      <c r="A275" s="1347" t="str">
        <f>A274</f>
        <v>CLSA</v>
      </c>
      <c r="B275" s="1348" t="str">
        <f>B274</f>
        <v>Duenas</v>
      </c>
      <c r="C275" s="1348">
        <f>C274</f>
        <v>32</v>
      </c>
      <c r="D275" s="1349">
        <v>42370</v>
      </c>
      <c r="E275" s="1349"/>
      <c r="F275" s="1347" t="s">
        <v>72</v>
      </c>
      <c r="G275" s="1347" t="s">
        <v>85</v>
      </c>
      <c r="H275" s="1347" t="s">
        <v>72</v>
      </c>
      <c r="I275" s="1347" t="s">
        <v>72</v>
      </c>
      <c r="J275" s="1349" t="s">
        <v>4670</v>
      </c>
      <c r="K275" s="1349" t="s">
        <v>254</v>
      </c>
      <c r="L275" s="1350" t="s">
        <v>3056</v>
      </c>
      <c r="M275" s="1350" t="s">
        <v>4708</v>
      </c>
      <c r="N275" s="1390" t="s">
        <v>4709</v>
      </c>
      <c r="O275" s="1352" t="s">
        <v>4710</v>
      </c>
      <c r="P275" s="1352"/>
      <c r="Q275" s="1354"/>
      <c r="R275" s="1354"/>
      <c r="S275" s="1354"/>
      <c r="T275" s="1354"/>
      <c r="U275" s="1354"/>
      <c r="V275" s="1354"/>
      <c r="W275" s="1354"/>
      <c r="X275" s="1353">
        <v>43101</v>
      </c>
      <c r="Y275" s="1353">
        <v>43466</v>
      </c>
      <c r="Z275" s="1355"/>
      <c r="AA275" s="1355" t="s">
        <v>4674</v>
      </c>
      <c r="AB275" s="1356"/>
      <c r="AC275" s="1356"/>
      <c r="AD275" s="1356"/>
      <c r="AE275" s="1356"/>
      <c r="AF275" s="1357" t="str">
        <f t="shared" si="140"/>
        <v/>
      </c>
      <c r="AG275" s="1380"/>
      <c r="AH275" s="1380"/>
      <c r="AI275" s="1381">
        <v>0</v>
      </c>
      <c r="AJ275" s="1382">
        <f t="shared" si="385"/>
        <v>0</v>
      </c>
      <c r="AK275" s="1383">
        <f t="shared" si="373"/>
        <v>0</v>
      </c>
      <c r="AL275" s="1384">
        <v>0</v>
      </c>
      <c r="AM275" s="1363">
        <f t="shared" si="374"/>
        <v>0</v>
      </c>
      <c r="AN275" s="1364">
        <v>0</v>
      </c>
      <c r="AO275" s="1365">
        <f t="shared" si="375"/>
        <v>0</v>
      </c>
      <c r="AP275" s="1366">
        <v>0</v>
      </c>
      <c r="AQ275" s="1367">
        <f t="shared" si="376"/>
        <v>0</v>
      </c>
      <c r="AR275" s="1368">
        <v>0</v>
      </c>
      <c r="AS275" s="1369">
        <f t="shared" si="377"/>
        <v>0</v>
      </c>
      <c r="AT275" s="1370">
        <v>0</v>
      </c>
      <c r="AU275" s="1371">
        <f t="shared" si="378"/>
        <v>0</v>
      </c>
      <c r="AV275" s="1359">
        <f t="shared" ref="AV275" si="386">AZ275-AR275-AT275-AP275</f>
        <v>0</v>
      </c>
      <c r="AW275" s="1372">
        <f t="shared" si="380"/>
        <v>0</v>
      </c>
      <c r="AX275" s="1373">
        <f t="shared" si="381"/>
        <v>0</v>
      </c>
      <c r="AY275" s="1374">
        <f t="shared" si="382"/>
        <v>0</v>
      </c>
      <c r="AZ275" s="1375">
        <f t="shared" si="383"/>
        <v>0</v>
      </c>
      <c r="BA275" s="1376">
        <f t="shared" si="384"/>
        <v>0</v>
      </c>
      <c r="BB275" s="1391"/>
      <c r="BC275" s="1820"/>
      <c r="BD275" s="1820"/>
      <c r="BE275" s="1823"/>
      <c r="BF275" s="1826"/>
      <c r="BG275" s="1829"/>
    </row>
    <row r="276" spans="1:59" s="1315" customFormat="1" ht="57" customHeight="1">
      <c r="A276" s="1277" t="str">
        <f>L276</f>
        <v>Crinetics Pharmaceuticals, Inc.</v>
      </c>
      <c r="B276" s="1316" t="str">
        <f>N276</f>
        <v>HUB SD</v>
      </c>
      <c r="C276" s="1316">
        <f>Z276</f>
        <v>24</v>
      </c>
      <c r="D276" s="1317">
        <v>43101</v>
      </c>
      <c r="E276" s="1317"/>
      <c r="F276" s="1277" t="s">
        <v>72</v>
      </c>
      <c r="G276" s="1277" t="s">
        <v>72</v>
      </c>
      <c r="H276" s="1277" t="s">
        <v>72</v>
      </c>
      <c r="I276" s="1277" t="s">
        <v>4711</v>
      </c>
      <c r="J276" s="1317"/>
      <c r="K276" s="1317"/>
      <c r="L276" s="1318" t="s">
        <v>367</v>
      </c>
      <c r="M276" s="1319"/>
      <c r="N276" s="1320" t="s">
        <v>4661</v>
      </c>
      <c r="O276" s="1321" t="s">
        <v>2473</v>
      </c>
      <c r="P276" s="1321"/>
      <c r="Q276" s="1322"/>
      <c r="R276" s="1322"/>
      <c r="S276" s="1322"/>
      <c r="T276" s="1322"/>
      <c r="U276" s="1322"/>
      <c r="V276" s="1322"/>
      <c r="W276" s="1322"/>
      <c r="X276" s="1317">
        <v>43101</v>
      </c>
      <c r="Y276" s="1317">
        <v>43466</v>
      </c>
      <c r="Z276" s="1316">
        <v>24</v>
      </c>
      <c r="AA276" s="1316" t="s">
        <v>4938</v>
      </c>
      <c r="AB276" s="1323">
        <f>SUM(AB277:AB290)</f>
        <v>394172.62</v>
      </c>
      <c r="AC276" s="1323">
        <f>SUM(AC277:AC290)</f>
        <v>437278.26999999996</v>
      </c>
      <c r="AD276" s="1323">
        <f>SUM(AD277:AD290)</f>
        <v>340355.74</v>
      </c>
      <c r="AE276" s="1324">
        <f t="shared" si="168"/>
        <v>-53816.880000000005</v>
      </c>
      <c r="AF276" s="1325">
        <f t="shared" si="140"/>
        <v>-0.13653124866968183</v>
      </c>
      <c r="AG276" s="1326">
        <f t="shared" si="339"/>
        <v>28689.87833333333</v>
      </c>
      <c r="AH276" s="1326">
        <f>SUM(AH277:AH290)</f>
        <v>344278.54</v>
      </c>
      <c r="AI276" s="1327"/>
      <c r="AJ276" s="1328">
        <f>SUM(AJ277:AJ290)</f>
        <v>2505.0370500000004</v>
      </c>
      <c r="AK276" s="1328">
        <f>SUM(AK277:AK290)</f>
        <v>30060.444599999999</v>
      </c>
      <c r="AL276" s="1329"/>
      <c r="AM276" s="1330">
        <f>SUM(AM277:AM290)</f>
        <v>1438.9746</v>
      </c>
      <c r="AN276" s="1331"/>
      <c r="AO276" s="1332">
        <f>SUM(AO277:AO290)</f>
        <v>0</v>
      </c>
      <c r="AP276" s="1333"/>
      <c r="AQ276" s="1334">
        <f>SUM(AQ277:AQ290)</f>
        <v>0</v>
      </c>
      <c r="AR276" s="1335"/>
      <c r="AS276" s="1336">
        <f>SUM(AS277:AS290)</f>
        <v>16585.882000000001</v>
      </c>
      <c r="AT276" s="1337"/>
      <c r="AU276" s="1338">
        <f>SUM(AU277:AU290)</f>
        <v>7194.8729999999996</v>
      </c>
      <c r="AV276" s="1339"/>
      <c r="AW276" s="1340">
        <f>SUM(AW277:AW290)</f>
        <v>4840.7149999999983</v>
      </c>
      <c r="AX276" s="1306"/>
      <c r="AY276" s="1307">
        <f>SUM(AW276+AS276+AU276)</f>
        <v>28621.47</v>
      </c>
      <c r="AZ276" s="1341"/>
      <c r="BA276" s="1309">
        <f>SUM(AY276+AQ276)</f>
        <v>28621.47</v>
      </c>
      <c r="BB276" s="1342">
        <f>(AW276+AU276)/(AK276-AM276)</f>
        <v>0.42050907937293225</v>
      </c>
      <c r="BC276" s="1343"/>
      <c r="BD276" s="1343"/>
      <c r="BE276" s="1344"/>
      <c r="BF276" s="1345" t="s">
        <v>4939</v>
      </c>
      <c r="BG276" s="1346"/>
    </row>
    <row r="277" spans="1:59" s="1378" customFormat="1" ht="66" customHeight="1">
      <c r="A277" s="1347" t="str">
        <f>L276</f>
        <v>Crinetics Pharmaceuticals, Inc.</v>
      </c>
      <c r="B277" s="1348" t="str">
        <f>N276</f>
        <v>HUB SD</v>
      </c>
      <c r="C277" s="1348">
        <f>Z276</f>
        <v>24</v>
      </c>
      <c r="D277" s="1349">
        <v>43101</v>
      </c>
      <c r="E277" s="1349"/>
      <c r="F277" s="1347" t="s">
        <v>85</v>
      </c>
      <c r="G277" s="1347" t="s">
        <v>85</v>
      </c>
      <c r="H277" s="1347" t="s">
        <v>85</v>
      </c>
      <c r="I277" s="1347" t="s">
        <v>85</v>
      </c>
      <c r="J277" s="1349"/>
      <c r="K277" s="1349" t="s">
        <v>254</v>
      </c>
      <c r="L277" s="1350" t="s">
        <v>2661</v>
      </c>
      <c r="M277" s="1350" t="s">
        <v>3647</v>
      </c>
      <c r="N277" s="1351" t="s">
        <v>4940</v>
      </c>
      <c r="O277" s="1352" t="s">
        <v>4941</v>
      </c>
      <c r="P277" s="1457" t="s">
        <v>4942</v>
      </c>
      <c r="Q277" s="1353" t="s">
        <v>317</v>
      </c>
      <c r="R277" s="1353" t="s">
        <v>3658</v>
      </c>
      <c r="S277" s="1353" t="s">
        <v>307</v>
      </c>
      <c r="T277" s="1353" t="s">
        <v>113</v>
      </c>
      <c r="U277" s="1354"/>
      <c r="V277" s="1354"/>
      <c r="W277" s="1354"/>
      <c r="X277" s="1353">
        <v>43101</v>
      </c>
      <c r="Y277" s="1353">
        <v>43466</v>
      </c>
      <c r="Z277" s="1355"/>
      <c r="AA277" s="1355" t="s">
        <v>4667</v>
      </c>
      <c r="AB277" s="1422">
        <v>344845.2</v>
      </c>
      <c r="AC277" s="1422">
        <v>387950.85</v>
      </c>
      <c r="AD277" s="1422">
        <f t="shared" ref="AD277:AD282" si="387">AH277</f>
        <v>287794.92</v>
      </c>
      <c r="AE277" s="1422">
        <f t="shared" si="168"/>
        <v>-57050.280000000028</v>
      </c>
      <c r="AF277" s="1423">
        <f t="shared" si="140"/>
        <v>-0.16543736145957672</v>
      </c>
      <c r="AG277" s="1358">
        <f t="shared" si="339"/>
        <v>23982.91</v>
      </c>
      <c r="AH277" s="1358">
        <v>287794.92</v>
      </c>
      <c r="AI277" s="1359">
        <v>0.08</v>
      </c>
      <c r="AJ277" s="1360">
        <f t="shared" ref="AJ277:AJ290" si="388">$AI277*$AG277</f>
        <v>1918.6328000000001</v>
      </c>
      <c r="AK277" s="1361">
        <f t="shared" ref="AK277:AK290" si="389">AI277*$AH277</f>
        <v>23023.5936</v>
      </c>
      <c r="AL277" s="1362">
        <v>5.0000000000000001E-3</v>
      </c>
      <c r="AM277" s="1363">
        <f t="shared" ref="AM277:AM290" si="390">AL277*$AH277</f>
        <v>1438.9746</v>
      </c>
      <c r="AN277" s="1364">
        <v>0</v>
      </c>
      <c r="AO277" s="1365">
        <f t="shared" ref="AO277:AO290" si="391">AN277*$AH277</f>
        <v>0</v>
      </c>
      <c r="AP277" s="1366">
        <v>0</v>
      </c>
      <c r="AQ277" s="1367">
        <f t="shared" ref="AQ277:AQ290" si="392">AP277*$AH277</f>
        <v>0</v>
      </c>
      <c r="AR277" s="1368">
        <v>0.04</v>
      </c>
      <c r="AS277" s="1369">
        <f t="shared" ref="AS277:AS290" si="393">AR277*$AH277</f>
        <v>11511.7968</v>
      </c>
      <c r="AT277" s="1370">
        <v>2.5000000000000001E-2</v>
      </c>
      <c r="AU277" s="1371">
        <f t="shared" ref="AU277:AU290" si="394">AT277*$AH277</f>
        <v>7194.8729999999996</v>
      </c>
      <c r="AV277" s="1359">
        <f t="shared" ref="AV277:AV290" si="395">AZ277-AR277-AT277-AP277</f>
        <v>9.999999999999995E-3</v>
      </c>
      <c r="AW277" s="1372">
        <f t="shared" ref="AW277:AW290" si="396">AV277*$AH277</f>
        <v>2877.9491999999982</v>
      </c>
      <c r="AX277" s="1373">
        <f t="shared" ref="AX277:AX290" si="397">$AZ277-$AP277</f>
        <v>7.4999999999999997E-2</v>
      </c>
      <c r="AY277" s="1374">
        <f t="shared" ref="AY277:AY290" si="398">AX277*$AH277</f>
        <v>21584.618999999999</v>
      </c>
      <c r="AZ277" s="1375">
        <f t="shared" ref="AZ277:AZ290" si="399">$AI277-$AL277-$AN277</f>
        <v>7.4999999999999997E-2</v>
      </c>
      <c r="BA277" s="1376">
        <f t="shared" ref="BA277:BA290" si="400">AZ277*$AH277</f>
        <v>21584.618999999999</v>
      </c>
      <c r="BB277" s="1377"/>
      <c r="BC277" s="1820" t="s">
        <v>1296</v>
      </c>
      <c r="BD277" s="1820" t="s">
        <v>4261</v>
      </c>
      <c r="BE277" s="1823" t="s">
        <v>1297</v>
      </c>
      <c r="BF277" s="1826" t="s">
        <v>4943</v>
      </c>
      <c r="BG277" s="1829">
        <v>263744114</v>
      </c>
    </row>
    <row r="278" spans="1:59" s="1378" customFormat="1" ht="38.25" customHeight="1">
      <c r="A278" s="1347" t="str">
        <f>L276</f>
        <v>Crinetics Pharmaceuticals, Inc.</v>
      </c>
      <c r="B278" s="1348" t="str">
        <f>N276</f>
        <v>HUB SD</v>
      </c>
      <c r="C278" s="1348">
        <f>Z276</f>
        <v>24</v>
      </c>
      <c r="D278" s="1349">
        <v>43101</v>
      </c>
      <c r="E278" s="1349"/>
      <c r="F278" s="1347" t="s">
        <v>113</v>
      </c>
      <c r="G278" s="1347" t="s">
        <v>85</v>
      </c>
      <c r="H278" s="1347" t="s">
        <v>85</v>
      </c>
      <c r="I278" s="1347" t="s">
        <v>85</v>
      </c>
      <c r="J278" s="1349"/>
      <c r="K278" s="1349" t="s">
        <v>254</v>
      </c>
      <c r="L278" s="1350" t="s">
        <v>4675</v>
      </c>
      <c r="M278" s="1350" t="s">
        <v>3650</v>
      </c>
      <c r="N278" s="1385" t="s">
        <v>4944</v>
      </c>
      <c r="O278" s="1352" t="s">
        <v>4677</v>
      </c>
      <c r="P278" s="1388"/>
      <c r="Q278" s="1354"/>
      <c r="R278" s="1354"/>
      <c r="S278" s="1354"/>
      <c r="T278" s="1354"/>
      <c r="U278" s="1353" t="s">
        <v>4802</v>
      </c>
      <c r="V278" s="1353" t="s">
        <v>2497</v>
      </c>
      <c r="W278" s="1354"/>
      <c r="X278" s="1353">
        <v>43101</v>
      </c>
      <c r="Y278" s="1353">
        <v>43466</v>
      </c>
      <c r="Z278" s="1355"/>
      <c r="AA278" s="1355" t="s">
        <v>4679</v>
      </c>
      <c r="AB278" s="1422">
        <v>27492</v>
      </c>
      <c r="AC278" s="1422">
        <v>27492</v>
      </c>
      <c r="AD278" s="1422">
        <f t="shared" si="387"/>
        <v>28713.84</v>
      </c>
      <c r="AE278" s="1422">
        <f t="shared" si="168"/>
        <v>1221.8400000000001</v>
      </c>
      <c r="AF278" s="1423">
        <f t="shared" si="140"/>
        <v>4.4443474465299004E-2</v>
      </c>
      <c r="AG278" s="1358">
        <f t="shared" si="339"/>
        <v>2392.8200000000002</v>
      </c>
      <c r="AH278" s="1358">
        <v>28713.84</v>
      </c>
      <c r="AI278" s="1359">
        <v>0.1</v>
      </c>
      <c r="AJ278" s="1360">
        <f t="shared" si="388"/>
        <v>239.28200000000004</v>
      </c>
      <c r="AK278" s="1361">
        <f t="shared" si="389"/>
        <v>2871.384</v>
      </c>
      <c r="AL278" s="1384">
        <v>0</v>
      </c>
      <c r="AM278" s="1363">
        <f t="shared" si="390"/>
        <v>0</v>
      </c>
      <c r="AN278" s="1364">
        <v>0</v>
      </c>
      <c r="AO278" s="1365">
        <f t="shared" si="391"/>
        <v>0</v>
      </c>
      <c r="AP278" s="1366">
        <v>0</v>
      </c>
      <c r="AQ278" s="1367">
        <f t="shared" si="392"/>
        <v>0</v>
      </c>
      <c r="AR278" s="1368">
        <v>0.08</v>
      </c>
      <c r="AS278" s="1369">
        <f t="shared" si="393"/>
        <v>2297.1071999999999</v>
      </c>
      <c r="AT278" s="1370">
        <v>0</v>
      </c>
      <c r="AU278" s="1371">
        <f t="shared" si="394"/>
        <v>0</v>
      </c>
      <c r="AV278" s="1359">
        <f t="shared" si="395"/>
        <v>2.0000000000000004E-2</v>
      </c>
      <c r="AW278" s="1372">
        <f t="shared" si="396"/>
        <v>574.27680000000009</v>
      </c>
      <c r="AX278" s="1373">
        <f t="shared" si="397"/>
        <v>0.1</v>
      </c>
      <c r="AY278" s="1374">
        <f t="shared" si="398"/>
        <v>2871.384</v>
      </c>
      <c r="AZ278" s="1375">
        <f t="shared" si="399"/>
        <v>0.1</v>
      </c>
      <c r="BA278" s="1376">
        <f t="shared" si="400"/>
        <v>2871.384</v>
      </c>
      <c r="BB278" s="1377"/>
      <c r="BC278" s="1820"/>
      <c r="BD278" s="1820"/>
      <c r="BE278" s="1823"/>
      <c r="BF278" s="1826"/>
      <c r="BG278" s="1829"/>
    </row>
    <row r="279" spans="1:59" s="1378" customFormat="1" ht="38.25">
      <c r="A279" s="1347" t="str">
        <f>L276</f>
        <v>Crinetics Pharmaceuticals, Inc.</v>
      </c>
      <c r="B279" s="1348" t="str">
        <f>N276</f>
        <v>HUB SD</v>
      </c>
      <c r="C279" s="1348">
        <f>Z276</f>
        <v>24</v>
      </c>
      <c r="D279" s="1349">
        <v>43101</v>
      </c>
      <c r="E279" s="1349"/>
      <c r="F279" s="1347" t="s">
        <v>113</v>
      </c>
      <c r="G279" s="1347" t="s">
        <v>85</v>
      </c>
      <c r="H279" s="1347" t="s">
        <v>85</v>
      </c>
      <c r="I279" s="1347" t="s">
        <v>85</v>
      </c>
      <c r="J279" s="1349"/>
      <c r="K279" s="1349" t="s">
        <v>254</v>
      </c>
      <c r="L279" s="1350" t="s">
        <v>4682</v>
      </c>
      <c r="M279" s="1350" t="s">
        <v>4683</v>
      </c>
      <c r="N279" s="1386" t="s">
        <v>1249</v>
      </c>
      <c r="O279" s="1352" t="s">
        <v>4684</v>
      </c>
      <c r="P279" s="1421"/>
      <c r="Q279" s="1354"/>
      <c r="R279" s="1354"/>
      <c r="S279" s="1354"/>
      <c r="T279" s="1354"/>
      <c r="U279" s="1354"/>
      <c r="V279" s="1354"/>
      <c r="W279" s="1354"/>
      <c r="X279" s="1353">
        <v>43101</v>
      </c>
      <c r="Y279" s="1353">
        <v>43466</v>
      </c>
      <c r="Z279" s="1355"/>
      <c r="AA279" s="1355" t="s">
        <v>4685</v>
      </c>
      <c r="AB279" s="1422">
        <v>5750.7</v>
      </c>
      <c r="AC279" s="1422">
        <v>5750.7</v>
      </c>
      <c r="AD279" s="1422">
        <f t="shared" si="387"/>
        <v>4581.43</v>
      </c>
      <c r="AE279" s="1422">
        <f t="shared" si="168"/>
        <v>-1169.2699999999995</v>
      </c>
      <c r="AF279" s="1423">
        <f t="shared" si="140"/>
        <v>-0.20332655155024598</v>
      </c>
      <c r="AG279" s="1358">
        <f t="shared" si="339"/>
        <v>381.78583333333336</v>
      </c>
      <c r="AH279" s="1358">
        <v>4581.43</v>
      </c>
      <c r="AI279" s="1359">
        <v>0.15</v>
      </c>
      <c r="AJ279" s="1360">
        <f t="shared" si="388"/>
        <v>57.267875000000004</v>
      </c>
      <c r="AK279" s="1361">
        <f t="shared" si="389"/>
        <v>687.21450000000004</v>
      </c>
      <c r="AL279" s="1384">
        <v>0</v>
      </c>
      <c r="AM279" s="1363">
        <f t="shared" si="390"/>
        <v>0</v>
      </c>
      <c r="AN279" s="1364">
        <v>0</v>
      </c>
      <c r="AO279" s="1365">
        <f t="shared" si="391"/>
        <v>0</v>
      </c>
      <c r="AP279" s="1366">
        <v>0</v>
      </c>
      <c r="AQ279" s="1367">
        <f t="shared" si="392"/>
        <v>0</v>
      </c>
      <c r="AR279" s="1368">
        <v>0.1</v>
      </c>
      <c r="AS279" s="1369">
        <f t="shared" si="393"/>
        <v>458.14300000000003</v>
      </c>
      <c r="AT279" s="1370">
        <v>0</v>
      </c>
      <c r="AU279" s="1371">
        <f t="shared" si="394"/>
        <v>0</v>
      </c>
      <c r="AV279" s="1359">
        <f t="shared" si="395"/>
        <v>4.9999999999999989E-2</v>
      </c>
      <c r="AW279" s="1372">
        <f t="shared" si="396"/>
        <v>229.07149999999996</v>
      </c>
      <c r="AX279" s="1373">
        <f t="shared" si="397"/>
        <v>0.15</v>
      </c>
      <c r="AY279" s="1374">
        <f t="shared" si="398"/>
        <v>687.21450000000004</v>
      </c>
      <c r="AZ279" s="1375">
        <f t="shared" si="399"/>
        <v>0.15</v>
      </c>
      <c r="BA279" s="1376">
        <f t="shared" si="400"/>
        <v>687.21450000000004</v>
      </c>
      <c r="BB279" s="1377"/>
      <c r="BC279" s="1820"/>
      <c r="BD279" s="1820"/>
      <c r="BE279" s="1823"/>
      <c r="BF279" s="1826"/>
      <c r="BG279" s="1829"/>
    </row>
    <row r="280" spans="1:59" s="1378" customFormat="1" ht="38.25">
      <c r="A280" s="1347" t="str">
        <f>L276</f>
        <v>Crinetics Pharmaceuticals, Inc.</v>
      </c>
      <c r="B280" s="1348" t="str">
        <f>N276</f>
        <v>HUB SD</v>
      </c>
      <c r="C280" s="1348">
        <f>Z276</f>
        <v>24</v>
      </c>
      <c r="D280" s="1349">
        <v>43101</v>
      </c>
      <c r="E280" s="1349"/>
      <c r="F280" s="1347" t="s">
        <v>113</v>
      </c>
      <c r="G280" s="1347" t="s">
        <v>85</v>
      </c>
      <c r="H280" s="1347" t="s">
        <v>85</v>
      </c>
      <c r="I280" s="1347" t="s">
        <v>113</v>
      </c>
      <c r="J280" s="1349"/>
      <c r="K280" s="1349" t="s">
        <v>254</v>
      </c>
      <c r="L280" s="1350" t="s">
        <v>4682</v>
      </c>
      <c r="M280" s="1350" t="s">
        <v>4686</v>
      </c>
      <c r="N280" s="1386" t="s">
        <v>60</v>
      </c>
      <c r="O280" s="1352" t="s">
        <v>4687</v>
      </c>
      <c r="P280" s="1421"/>
      <c r="Q280" s="1354"/>
      <c r="R280" s="1354"/>
      <c r="S280" s="1354"/>
      <c r="T280" s="1354"/>
      <c r="U280" s="1354"/>
      <c r="V280" s="1354"/>
      <c r="W280" s="1354"/>
      <c r="X280" s="1353">
        <v>43101</v>
      </c>
      <c r="Y280" s="1353">
        <v>43466</v>
      </c>
      <c r="Z280" s="1355"/>
      <c r="AA280" s="1355" t="s">
        <v>4685</v>
      </c>
      <c r="AB280" s="1356"/>
      <c r="AC280" s="1356"/>
      <c r="AD280" s="1356"/>
      <c r="AE280" s="1356"/>
      <c r="AF280" s="1357"/>
      <c r="AG280" s="1358">
        <f t="shared" si="339"/>
        <v>144.41999999999999</v>
      </c>
      <c r="AH280" s="1358">
        <v>1733.04</v>
      </c>
      <c r="AI280" s="1359">
        <v>0.15</v>
      </c>
      <c r="AJ280" s="1360">
        <f t="shared" si="388"/>
        <v>21.662999999999997</v>
      </c>
      <c r="AK280" s="1361">
        <f t="shared" si="389"/>
        <v>259.95599999999996</v>
      </c>
      <c r="AL280" s="1384">
        <v>0</v>
      </c>
      <c r="AM280" s="1363">
        <f t="shared" si="390"/>
        <v>0</v>
      </c>
      <c r="AN280" s="1364">
        <v>0</v>
      </c>
      <c r="AO280" s="1365">
        <f t="shared" si="391"/>
        <v>0</v>
      </c>
      <c r="AP280" s="1366">
        <v>0</v>
      </c>
      <c r="AQ280" s="1367">
        <f t="shared" si="392"/>
        <v>0</v>
      </c>
      <c r="AR280" s="1368">
        <v>0.1</v>
      </c>
      <c r="AS280" s="1369">
        <f t="shared" si="393"/>
        <v>173.304</v>
      </c>
      <c r="AT280" s="1370">
        <v>0</v>
      </c>
      <c r="AU280" s="1371">
        <f t="shared" si="394"/>
        <v>0</v>
      </c>
      <c r="AV280" s="1359">
        <f t="shared" si="395"/>
        <v>4.9999999999999989E-2</v>
      </c>
      <c r="AW280" s="1372">
        <f t="shared" si="396"/>
        <v>86.651999999999973</v>
      </c>
      <c r="AX280" s="1373">
        <f t="shared" si="397"/>
        <v>0.15</v>
      </c>
      <c r="AY280" s="1374">
        <f t="shared" si="398"/>
        <v>259.95599999999996</v>
      </c>
      <c r="AZ280" s="1375">
        <f t="shared" si="399"/>
        <v>0.15</v>
      </c>
      <c r="BA280" s="1376">
        <f t="shared" si="400"/>
        <v>259.95599999999996</v>
      </c>
      <c r="BB280" s="1377"/>
      <c r="BC280" s="1820"/>
      <c r="BD280" s="1820"/>
      <c r="BE280" s="1823"/>
      <c r="BF280" s="1826"/>
      <c r="BG280" s="1829"/>
    </row>
    <row r="281" spans="1:59" s="1378" customFormat="1" ht="38.25">
      <c r="A281" s="1347" t="str">
        <f>L276</f>
        <v>Crinetics Pharmaceuticals, Inc.</v>
      </c>
      <c r="B281" s="1348" t="str">
        <f>N276</f>
        <v>HUB SD</v>
      </c>
      <c r="C281" s="1348">
        <f>Z276</f>
        <v>24</v>
      </c>
      <c r="D281" s="1349">
        <v>43101</v>
      </c>
      <c r="E281" s="1349"/>
      <c r="F281" s="1347" t="s">
        <v>113</v>
      </c>
      <c r="G281" s="1347" t="s">
        <v>85</v>
      </c>
      <c r="H281" s="1347" t="s">
        <v>85</v>
      </c>
      <c r="I281" s="1347" t="s">
        <v>85</v>
      </c>
      <c r="J281" s="1349"/>
      <c r="K281" s="1349" t="s">
        <v>254</v>
      </c>
      <c r="L281" s="1350" t="s">
        <v>4682</v>
      </c>
      <c r="M281" s="1350" t="s">
        <v>62</v>
      </c>
      <c r="N281" s="1351" t="s">
        <v>256</v>
      </c>
      <c r="O281" s="1352" t="s">
        <v>4688</v>
      </c>
      <c r="P281" s="1388"/>
      <c r="Q281" s="1354"/>
      <c r="R281" s="1354"/>
      <c r="S281" s="1354"/>
      <c r="T281" s="1354"/>
      <c r="U281" s="1354"/>
      <c r="V281" s="1354"/>
      <c r="W281" s="1354"/>
      <c r="X281" s="1353">
        <v>43101</v>
      </c>
      <c r="Y281" s="1353">
        <v>43466</v>
      </c>
      <c r="Z281" s="1355"/>
      <c r="AA281" s="1355" t="s">
        <v>4685</v>
      </c>
      <c r="AB281" s="1422">
        <v>3910.67</v>
      </c>
      <c r="AC281" s="1422">
        <v>3910.67</v>
      </c>
      <c r="AD281" s="1422">
        <f t="shared" si="387"/>
        <v>6077.74</v>
      </c>
      <c r="AE281" s="1422">
        <f t="shared" si="168"/>
        <v>2167.0699999999997</v>
      </c>
      <c r="AF281" s="1423">
        <f t="shared" si="140"/>
        <v>0.55414289623005764</v>
      </c>
      <c r="AG281" s="1358">
        <f t="shared" si="339"/>
        <v>506.4783333333333</v>
      </c>
      <c r="AH281" s="1358">
        <v>6077.74</v>
      </c>
      <c r="AI281" s="1359">
        <v>0.15</v>
      </c>
      <c r="AJ281" s="1360">
        <f t="shared" si="388"/>
        <v>75.971749999999986</v>
      </c>
      <c r="AK281" s="1361">
        <f t="shared" si="389"/>
        <v>911.66099999999994</v>
      </c>
      <c r="AL281" s="1384">
        <v>0</v>
      </c>
      <c r="AM281" s="1363">
        <f t="shared" si="390"/>
        <v>0</v>
      </c>
      <c r="AN281" s="1364">
        <v>0</v>
      </c>
      <c r="AO281" s="1365">
        <f t="shared" si="391"/>
        <v>0</v>
      </c>
      <c r="AP281" s="1366">
        <v>0</v>
      </c>
      <c r="AQ281" s="1367">
        <f t="shared" si="392"/>
        <v>0</v>
      </c>
      <c r="AR281" s="1368">
        <v>0.1</v>
      </c>
      <c r="AS281" s="1369">
        <f t="shared" si="393"/>
        <v>607.774</v>
      </c>
      <c r="AT281" s="1370">
        <v>0</v>
      </c>
      <c r="AU281" s="1371">
        <f t="shared" si="394"/>
        <v>0</v>
      </c>
      <c r="AV281" s="1359">
        <f t="shared" si="395"/>
        <v>4.9999999999999989E-2</v>
      </c>
      <c r="AW281" s="1372">
        <f t="shared" si="396"/>
        <v>303.88699999999994</v>
      </c>
      <c r="AX281" s="1373">
        <f t="shared" si="397"/>
        <v>0.15</v>
      </c>
      <c r="AY281" s="1374">
        <f t="shared" si="398"/>
        <v>911.66099999999994</v>
      </c>
      <c r="AZ281" s="1375">
        <f t="shared" si="399"/>
        <v>0.15</v>
      </c>
      <c r="BA281" s="1376">
        <f t="shared" si="400"/>
        <v>911.66099999999994</v>
      </c>
      <c r="BB281" s="1377"/>
      <c r="BC281" s="1820"/>
      <c r="BD281" s="1820"/>
      <c r="BE281" s="1823"/>
      <c r="BF281" s="1826"/>
      <c r="BG281" s="1829"/>
    </row>
    <row r="282" spans="1:59" s="1378" customFormat="1" ht="38.25">
      <c r="A282" s="1347" t="str">
        <f>L276</f>
        <v>Crinetics Pharmaceuticals, Inc.</v>
      </c>
      <c r="B282" s="1348" t="str">
        <f>N276</f>
        <v>HUB SD</v>
      </c>
      <c r="C282" s="1348">
        <f>Z276</f>
        <v>24</v>
      </c>
      <c r="D282" s="1349">
        <v>43101</v>
      </c>
      <c r="E282" s="1349"/>
      <c r="F282" s="1347" t="s">
        <v>113</v>
      </c>
      <c r="G282" s="1347" t="s">
        <v>85</v>
      </c>
      <c r="H282" s="1347" t="s">
        <v>85</v>
      </c>
      <c r="I282" s="1347" t="s">
        <v>85</v>
      </c>
      <c r="J282" s="1349"/>
      <c r="K282" s="1349" t="s">
        <v>254</v>
      </c>
      <c r="L282" s="1350" t="s">
        <v>4682</v>
      </c>
      <c r="M282" s="1350" t="s">
        <v>67</v>
      </c>
      <c r="N282" s="1351" t="s">
        <v>68</v>
      </c>
      <c r="O282" s="1352" t="s">
        <v>4689</v>
      </c>
      <c r="P282" s="1388"/>
      <c r="Q282" s="1354"/>
      <c r="R282" s="1354"/>
      <c r="S282" s="1354"/>
      <c r="T282" s="1354"/>
      <c r="U282" s="1354"/>
      <c r="V282" s="1354"/>
      <c r="W282" s="1354"/>
      <c r="X282" s="1353">
        <v>43101</v>
      </c>
      <c r="Y282" s="1353">
        <v>43466</v>
      </c>
      <c r="Z282" s="1355"/>
      <c r="AA282" s="1355" t="s">
        <v>4685</v>
      </c>
      <c r="AB282" s="1422">
        <v>12174.05</v>
      </c>
      <c r="AC282" s="1422">
        <v>12174.05</v>
      </c>
      <c r="AD282" s="1422">
        <f t="shared" si="387"/>
        <v>13187.81</v>
      </c>
      <c r="AE282" s="1422">
        <f t="shared" si="168"/>
        <v>1013.7600000000002</v>
      </c>
      <c r="AF282" s="1423">
        <f t="shared" si="140"/>
        <v>8.3272206044824881E-2</v>
      </c>
      <c r="AG282" s="1358">
        <f t="shared" si="339"/>
        <v>1098.9841666666666</v>
      </c>
      <c r="AH282" s="1358">
        <v>13187.81</v>
      </c>
      <c r="AI282" s="1359">
        <v>0.15</v>
      </c>
      <c r="AJ282" s="1360">
        <f t="shared" si="388"/>
        <v>164.84762499999999</v>
      </c>
      <c r="AK282" s="1361">
        <f t="shared" si="389"/>
        <v>1978.1714999999999</v>
      </c>
      <c r="AL282" s="1384">
        <v>0</v>
      </c>
      <c r="AM282" s="1363">
        <f t="shared" si="390"/>
        <v>0</v>
      </c>
      <c r="AN282" s="1364">
        <v>0</v>
      </c>
      <c r="AO282" s="1365">
        <f t="shared" si="391"/>
        <v>0</v>
      </c>
      <c r="AP282" s="1366">
        <v>0</v>
      </c>
      <c r="AQ282" s="1367">
        <f t="shared" si="392"/>
        <v>0</v>
      </c>
      <c r="AR282" s="1368">
        <v>0.1</v>
      </c>
      <c r="AS282" s="1369">
        <f t="shared" si="393"/>
        <v>1318.7809999999999</v>
      </c>
      <c r="AT282" s="1370">
        <v>0</v>
      </c>
      <c r="AU282" s="1371">
        <f t="shared" si="394"/>
        <v>0</v>
      </c>
      <c r="AV282" s="1359">
        <f t="shared" si="395"/>
        <v>4.9999999999999989E-2</v>
      </c>
      <c r="AW282" s="1372">
        <f t="shared" si="396"/>
        <v>659.39049999999986</v>
      </c>
      <c r="AX282" s="1373">
        <f t="shared" si="397"/>
        <v>0.15</v>
      </c>
      <c r="AY282" s="1374">
        <f t="shared" si="398"/>
        <v>1978.1714999999999</v>
      </c>
      <c r="AZ282" s="1375">
        <f t="shared" si="399"/>
        <v>0.15</v>
      </c>
      <c r="BA282" s="1376">
        <f t="shared" si="400"/>
        <v>1978.1714999999999</v>
      </c>
      <c r="BB282" s="1377"/>
      <c r="BC282" s="1820"/>
      <c r="BD282" s="1820"/>
      <c r="BE282" s="1823"/>
      <c r="BF282" s="1826"/>
      <c r="BG282" s="1829"/>
    </row>
    <row r="283" spans="1:59" s="1378" customFormat="1" ht="35.25" customHeight="1">
      <c r="A283" s="1347" t="str">
        <f>L276</f>
        <v>Crinetics Pharmaceuticals, Inc.</v>
      </c>
      <c r="B283" s="1348" t="str">
        <f>N276</f>
        <v>HUB SD</v>
      </c>
      <c r="C283" s="1348">
        <f>Z276</f>
        <v>24</v>
      </c>
      <c r="D283" s="1349">
        <v>43101</v>
      </c>
      <c r="E283" s="1349"/>
      <c r="F283" s="1347" t="s">
        <v>113</v>
      </c>
      <c r="G283" s="1347" t="s">
        <v>85</v>
      </c>
      <c r="H283" s="1347" t="s">
        <v>85</v>
      </c>
      <c r="I283" s="1347" t="s">
        <v>113</v>
      </c>
      <c r="J283" s="1349" t="s">
        <v>4690</v>
      </c>
      <c r="K283" s="1349" t="s">
        <v>254</v>
      </c>
      <c r="L283" s="1350" t="s">
        <v>4682</v>
      </c>
      <c r="M283" s="1350" t="s">
        <v>4691</v>
      </c>
      <c r="N283" s="1351" t="s">
        <v>94</v>
      </c>
      <c r="O283" s="1352" t="s">
        <v>4692</v>
      </c>
      <c r="P283" s="1388"/>
      <c r="Q283" s="1354"/>
      <c r="R283" s="1354"/>
      <c r="S283" s="1354"/>
      <c r="T283" s="1354"/>
      <c r="U283" s="1354"/>
      <c r="V283" s="1354"/>
      <c r="W283" s="1354"/>
      <c r="X283" s="1353">
        <v>43101</v>
      </c>
      <c r="Y283" s="1353">
        <v>43466</v>
      </c>
      <c r="Z283" s="1355">
        <v>4</v>
      </c>
      <c r="AA283" s="1355" t="s">
        <v>4685</v>
      </c>
      <c r="AB283" s="1356"/>
      <c r="AC283" s="1356"/>
      <c r="AD283" s="1356"/>
      <c r="AE283" s="1356"/>
      <c r="AF283" s="1357" t="str">
        <f t="shared" si="140"/>
        <v/>
      </c>
      <c r="AG283" s="1358">
        <v>70.88</v>
      </c>
      <c r="AH283" s="1358">
        <f t="shared" ref="AH283:AH285" si="401">AG283*12</f>
        <v>850.56</v>
      </c>
      <c r="AI283" s="1359">
        <v>0.15</v>
      </c>
      <c r="AJ283" s="1360">
        <f t="shared" si="388"/>
        <v>10.632</v>
      </c>
      <c r="AK283" s="1361">
        <f t="shared" si="389"/>
        <v>127.58399999999999</v>
      </c>
      <c r="AL283" s="1384">
        <v>0</v>
      </c>
      <c r="AM283" s="1363">
        <f t="shared" si="390"/>
        <v>0</v>
      </c>
      <c r="AN283" s="1364">
        <v>0</v>
      </c>
      <c r="AO283" s="1365">
        <f t="shared" si="391"/>
        <v>0</v>
      </c>
      <c r="AP283" s="1366">
        <v>0</v>
      </c>
      <c r="AQ283" s="1367">
        <f t="shared" si="392"/>
        <v>0</v>
      </c>
      <c r="AR283" s="1368">
        <v>0.1</v>
      </c>
      <c r="AS283" s="1369">
        <f t="shared" si="393"/>
        <v>85.055999999999997</v>
      </c>
      <c r="AT283" s="1370">
        <v>0</v>
      </c>
      <c r="AU283" s="1371">
        <f t="shared" si="394"/>
        <v>0</v>
      </c>
      <c r="AV283" s="1359">
        <f t="shared" si="395"/>
        <v>4.9999999999999989E-2</v>
      </c>
      <c r="AW283" s="1372">
        <f t="shared" si="396"/>
        <v>42.527999999999984</v>
      </c>
      <c r="AX283" s="1373">
        <f t="shared" si="397"/>
        <v>0.15</v>
      </c>
      <c r="AY283" s="1374">
        <f t="shared" si="398"/>
        <v>127.58399999999999</v>
      </c>
      <c r="AZ283" s="1375">
        <f t="shared" si="399"/>
        <v>0.15</v>
      </c>
      <c r="BA283" s="1376">
        <f t="shared" si="400"/>
        <v>127.58399999999999</v>
      </c>
      <c r="BB283" s="1377"/>
      <c r="BC283" s="1820"/>
      <c r="BD283" s="1820"/>
      <c r="BE283" s="1823"/>
      <c r="BF283" s="1826"/>
      <c r="BG283" s="1829"/>
    </row>
    <row r="284" spans="1:59" s="1378" customFormat="1" ht="27" customHeight="1">
      <c r="A284" s="1347" t="str">
        <f>L276</f>
        <v>Crinetics Pharmaceuticals, Inc.</v>
      </c>
      <c r="B284" s="1348" t="str">
        <f>N276</f>
        <v>HUB SD</v>
      </c>
      <c r="C284" s="1348">
        <f>Z276</f>
        <v>24</v>
      </c>
      <c r="D284" s="1349">
        <v>43101</v>
      </c>
      <c r="E284" s="1349"/>
      <c r="F284" s="1347" t="s">
        <v>113</v>
      </c>
      <c r="G284" s="1347" t="s">
        <v>85</v>
      </c>
      <c r="H284" s="1347" t="s">
        <v>85</v>
      </c>
      <c r="I284" s="1347" t="s">
        <v>113</v>
      </c>
      <c r="J284" s="1349" t="s">
        <v>4690</v>
      </c>
      <c r="K284" s="1349" t="s">
        <v>254</v>
      </c>
      <c r="L284" s="1350" t="s">
        <v>4682</v>
      </c>
      <c r="M284" s="1350" t="s">
        <v>4691</v>
      </c>
      <c r="N284" s="1351" t="s">
        <v>98</v>
      </c>
      <c r="O284" s="1352" t="s">
        <v>4693</v>
      </c>
      <c r="P284" s="1388"/>
      <c r="Q284" s="1354"/>
      <c r="R284" s="1354"/>
      <c r="S284" s="1354"/>
      <c r="T284" s="1354"/>
      <c r="U284" s="1354"/>
      <c r="V284" s="1354"/>
      <c r="W284" s="1354"/>
      <c r="X284" s="1353">
        <v>43101</v>
      </c>
      <c r="Y284" s="1353">
        <v>43466</v>
      </c>
      <c r="Z284" s="1355">
        <v>2</v>
      </c>
      <c r="AA284" s="1355" t="s">
        <v>4685</v>
      </c>
      <c r="AB284" s="1356"/>
      <c r="AC284" s="1356"/>
      <c r="AD284" s="1356"/>
      <c r="AE284" s="1356"/>
      <c r="AF284" s="1357" t="str">
        <f t="shared" si="140"/>
        <v/>
      </c>
      <c r="AG284" s="1358">
        <v>7.34</v>
      </c>
      <c r="AH284" s="1358">
        <f t="shared" si="401"/>
        <v>88.08</v>
      </c>
      <c r="AI284" s="1359">
        <v>0.15</v>
      </c>
      <c r="AJ284" s="1360">
        <f t="shared" si="388"/>
        <v>1.101</v>
      </c>
      <c r="AK284" s="1361">
        <f t="shared" si="389"/>
        <v>13.212</v>
      </c>
      <c r="AL284" s="1384">
        <v>0</v>
      </c>
      <c r="AM284" s="1363">
        <f t="shared" si="390"/>
        <v>0</v>
      </c>
      <c r="AN284" s="1364">
        <v>0</v>
      </c>
      <c r="AO284" s="1365">
        <f t="shared" si="391"/>
        <v>0</v>
      </c>
      <c r="AP284" s="1366">
        <v>0</v>
      </c>
      <c r="AQ284" s="1367">
        <f t="shared" si="392"/>
        <v>0</v>
      </c>
      <c r="AR284" s="1368">
        <v>0.1</v>
      </c>
      <c r="AS284" s="1369">
        <f t="shared" si="393"/>
        <v>8.8079999999999998</v>
      </c>
      <c r="AT284" s="1370">
        <v>0</v>
      </c>
      <c r="AU284" s="1371">
        <f t="shared" si="394"/>
        <v>0</v>
      </c>
      <c r="AV284" s="1359">
        <f t="shared" si="395"/>
        <v>4.9999999999999989E-2</v>
      </c>
      <c r="AW284" s="1372">
        <f t="shared" si="396"/>
        <v>4.403999999999999</v>
      </c>
      <c r="AX284" s="1373">
        <f t="shared" si="397"/>
        <v>0.15</v>
      </c>
      <c r="AY284" s="1374">
        <f t="shared" si="398"/>
        <v>13.212</v>
      </c>
      <c r="AZ284" s="1375">
        <f t="shared" si="399"/>
        <v>0.15</v>
      </c>
      <c r="BA284" s="1376">
        <f t="shared" si="400"/>
        <v>13.212</v>
      </c>
      <c r="BB284" s="1377"/>
      <c r="BC284" s="1820"/>
      <c r="BD284" s="1820"/>
      <c r="BE284" s="1823"/>
      <c r="BF284" s="1826"/>
      <c r="BG284" s="1829"/>
    </row>
    <row r="285" spans="1:59" s="1378" customFormat="1" ht="26.25" customHeight="1">
      <c r="A285" s="1347" t="str">
        <f>L276</f>
        <v>Crinetics Pharmaceuticals, Inc.</v>
      </c>
      <c r="B285" s="1348" t="str">
        <f>N276</f>
        <v>HUB SD</v>
      </c>
      <c r="C285" s="1348">
        <f>Z276</f>
        <v>24</v>
      </c>
      <c r="D285" s="1349">
        <v>43101</v>
      </c>
      <c r="E285" s="1349"/>
      <c r="F285" s="1347" t="s">
        <v>113</v>
      </c>
      <c r="G285" s="1347" t="s">
        <v>85</v>
      </c>
      <c r="H285" s="1347" t="s">
        <v>85</v>
      </c>
      <c r="I285" s="1347" t="s">
        <v>113</v>
      </c>
      <c r="J285" s="1349" t="s">
        <v>4690</v>
      </c>
      <c r="K285" s="1349" t="s">
        <v>254</v>
      </c>
      <c r="L285" s="1350" t="s">
        <v>4682</v>
      </c>
      <c r="M285" s="1350" t="s">
        <v>4691</v>
      </c>
      <c r="N285" s="1351" t="s">
        <v>4857</v>
      </c>
      <c r="O285" s="1352" t="s">
        <v>4695</v>
      </c>
      <c r="P285" s="1388"/>
      <c r="Q285" s="1354"/>
      <c r="R285" s="1354"/>
      <c r="S285" s="1354"/>
      <c r="T285" s="1354"/>
      <c r="U285" s="1354"/>
      <c r="V285" s="1354"/>
      <c r="W285" s="1354"/>
      <c r="X285" s="1353">
        <v>43101</v>
      </c>
      <c r="Y285" s="1353">
        <v>43466</v>
      </c>
      <c r="Z285" s="1355">
        <v>4</v>
      </c>
      <c r="AA285" s="1355" t="s">
        <v>4685</v>
      </c>
      <c r="AB285" s="1356"/>
      <c r="AC285" s="1356"/>
      <c r="AD285" s="1356"/>
      <c r="AE285" s="1356"/>
      <c r="AF285" s="1357" t="str">
        <f t="shared" si="140"/>
        <v/>
      </c>
      <c r="AG285" s="1358">
        <v>104.26</v>
      </c>
      <c r="AH285" s="1358">
        <f t="shared" si="401"/>
        <v>1251.1200000000001</v>
      </c>
      <c r="AI285" s="1359">
        <v>0.15</v>
      </c>
      <c r="AJ285" s="1360">
        <f t="shared" si="388"/>
        <v>15.638999999999999</v>
      </c>
      <c r="AK285" s="1361">
        <f t="shared" si="389"/>
        <v>187.66800000000001</v>
      </c>
      <c r="AL285" s="1384">
        <v>0</v>
      </c>
      <c r="AM285" s="1363">
        <f t="shared" si="390"/>
        <v>0</v>
      </c>
      <c r="AN285" s="1364">
        <v>0</v>
      </c>
      <c r="AO285" s="1365">
        <f t="shared" si="391"/>
        <v>0</v>
      </c>
      <c r="AP285" s="1366">
        <v>0</v>
      </c>
      <c r="AQ285" s="1367">
        <f t="shared" si="392"/>
        <v>0</v>
      </c>
      <c r="AR285" s="1368">
        <v>0.1</v>
      </c>
      <c r="AS285" s="1369">
        <f t="shared" si="393"/>
        <v>125.11200000000002</v>
      </c>
      <c r="AT285" s="1370">
        <v>0</v>
      </c>
      <c r="AU285" s="1371">
        <f t="shared" si="394"/>
        <v>0</v>
      </c>
      <c r="AV285" s="1359">
        <f t="shared" si="395"/>
        <v>4.9999999999999989E-2</v>
      </c>
      <c r="AW285" s="1372">
        <f t="shared" si="396"/>
        <v>62.55599999999999</v>
      </c>
      <c r="AX285" s="1373">
        <f t="shared" si="397"/>
        <v>0.15</v>
      </c>
      <c r="AY285" s="1374">
        <f t="shared" si="398"/>
        <v>187.66800000000001</v>
      </c>
      <c r="AZ285" s="1375">
        <f t="shared" si="399"/>
        <v>0.15</v>
      </c>
      <c r="BA285" s="1376">
        <f t="shared" si="400"/>
        <v>187.66800000000001</v>
      </c>
      <c r="BB285" s="1377"/>
      <c r="BC285" s="1820"/>
      <c r="BD285" s="1820"/>
      <c r="BE285" s="1823"/>
      <c r="BF285" s="1826"/>
      <c r="BG285" s="1829"/>
    </row>
    <row r="286" spans="1:59" s="1378" customFormat="1" ht="27.75" customHeight="1">
      <c r="A286" s="1347" t="s">
        <v>367</v>
      </c>
      <c r="B286" s="1348" t="s">
        <v>4661</v>
      </c>
      <c r="C286" s="1348">
        <v>24</v>
      </c>
      <c r="D286" s="1349">
        <v>43101</v>
      </c>
      <c r="E286" s="1349"/>
      <c r="F286" s="1347" t="s">
        <v>72</v>
      </c>
      <c r="G286" s="1347" t="s">
        <v>85</v>
      </c>
      <c r="H286" s="1347" t="s">
        <v>72</v>
      </c>
      <c r="I286" s="1347" t="s">
        <v>72</v>
      </c>
      <c r="J286" s="1349" t="s">
        <v>4670</v>
      </c>
      <c r="K286" s="1349" t="s">
        <v>254</v>
      </c>
      <c r="L286" s="1350" t="s">
        <v>4696</v>
      </c>
      <c r="M286" s="1350" t="s">
        <v>4697</v>
      </c>
      <c r="N286" s="1389" t="s">
        <v>4698</v>
      </c>
      <c r="O286" s="1352" t="s">
        <v>4699</v>
      </c>
      <c r="P286" s="1352"/>
      <c r="Q286" s="1354"/>
      <c r="R286" s="1354"/>
      <c r="S286" s="1354"/>
      <c r="T286" s="1354"/>
      <c r="U286" s="1354"/>
      <c r="V286" s="1354"/>
      <c r="W286" s="1354"/>
      <c r="X286" s="1353">
        <v>43101</v>
      </c>
      <c r="Y286" s="1353">
        <v>43466</v>
      </c>
      <c r="Z286" s="1355"/>
      <c r="AA286" s="1355" t="s">
        <v>4674</v>
      </c>
      <c r="AB286" s="1356"/>
      <c r="AC286" s="1356"/>
      <c r="AD286" s="1356"/>
      <c r="AE286" s="1356"/>
      <c r="AF286" s="1357" t="str">
        <f t="shared" si="140"/>
        <v/>
      </c>
      <c r="AG286" s="1380"/>
      <c r="AH286" s="1380"/>
      <c r="AI286" s="1381">
        <v>0</v>
      </c>
      <c r="AJ286" s="1382">
        <f t="shared" si="388"/>
        <v>0</v>
      </c>
      <c r="AK286" s="1383">
        <f t="shared" si="389"/>
        <v>0</v>
      </c>
      <c r="AL286" s="1384">
        <v>0</v>
      </c>
      <c r="AM286" s="1363">
        <f t="shared" si="390"/>
        <v>0</v>
      </c>
      <c r="AN286" s="1364">
        <v>0</v>
      </c>
      <c r="AO286" s="1365">
        <f t="shared" si="391"/>
        <v>0</v>
      </c>
      <c r="AP286" s="1366">
        <v>0</v>
      </c>
      <c r="AQ286" s="1367">
        <f t="shared" si="392"/>
        <v>0</v>
      </c>
      <c r="AR286" s="1368">
        <v>0</v>
      </c>
      <c r="AS286" s="1369">
        <f t="shared" si="393"/>
        <v>0</v>
      </c>
      <c r="AT286" s="1370">
        <v>0</v>
      </c>
      <c r="AU286" s="1371">
        <f t="shared" si="394"/>
        <v>0</v>
      </c>
      <c r="AV286" s="1359">
        <f t="shared" si="395"/>
        <v>0</v>
      </c>
      <c r="AW286" s="1372">
        <f t="shared" si="396"/>
        <v>0</v>
      </c>
      <c r="AX286" s="1373">
        <f t="shared" si="397"/>
        <v>0</v>
      </c>
      <c r="AY286" s="1374">
        <f t="shared" si="398"/>
        <v>0</v>
      </c>
      <c r="AZ286" s="1375">
        <f t="shared" si="399"/>
        <v>0</v>
      </c>
      <c r="BA286" s="1376">
        <f t="shared" si="400"/>
        <v>0</v>
      </c>
      <c r="BB286" s="1377"/>
      <c r="BC286" s="1820"/>
      <c r="BD286" s="1820"/>
      <c r="BE286" s="1823"/>
      <c r="BF286" s="1826"/>
      <c r="BG286" s="1829"/>
    </row>
    <row r="287" spans="1:59" s="1378" customFormat="1" ht="38.25">
      <c r="A287" s="1347" t="str">
        <f>L276</f>
        <v>Crinetics Pharmaceuticals, Inc.</v>
      </c>
      <c r="B287" s="1348" t="str">
        <f>N276</f>
        <v>HUB SD</v>
      </c>
      <c r="C287" s="1348">
        <f>Z276</f>
        <v>24</v>
      </c>
      <c r="D287" s="1349">
        <v>43101</v>
      </c>
      <c r="E287" s="1349"/>
      <c r="F287" s="1347" t="s">
        <v>72</v>
      </c>
      <c r="G287" s="1347" t="s">
        <v>4700</v>
      </c>
      <c r="H287" s="1347" t="s">
        <v>72</v>
      </c>
      <c r="I287" s="1347" t="s">
        <v>72</v>
      </c>
      <c r="J287" s="1349" t="s">
        <v>4670</v>
      </c>
      <c r="K287" s="1349" t="s">
        <v>254</v>
      </c>
      <c r="L287" s="1350" t="s">
        <v>48</v>
      </c>
      <c r="M287" s="1350" t="s">
        <v>3652</v>
      </c>
      <c r="N287" s="1390" t="s">
        <v>4945</v>
      </c>
      <c r="O287" s="1352" t="s">
        <v>4702</v>
      </c>
      <c r="P287" s="1388"/>
      <c r="Q287" s="1354"/>
      <c r="R287" s="1354"/>
      <c r="S287" s="1354"/>
      <c r="T287" s="1354"/>
      <c r="U287" s="1354"/>
      <c r="V287" s="1354"/>
      <c r="W287" s="1354"/>
      <c r="X287" s="1353">
        <v>43101</v>
      </c>
      <c r="Y287" s="1353">
        <v>43466</v>
      </c>
      <c r="Z287" s="1355"/>
      <c r="AA287" s="1355" t="s">
        <v>4674</v>
      </c>
      <c r="AB287" s="1356"/>
      <c r="AC287" s="1356"/>
      <c r="AD287" s="1356"/>
      <c r="AE287" s="1356"/>
      <c r="AF287" s="1357" t="str">
        <f t="shared" si="140"/>
        <v/>
      </c>
      <c r="AG287" s="1380"/>
      <c r="AH287" s="1380"/>
      <c r="AI287" s="1381">
        <v>0</v>
      </c>
      <c r="AJ287" s="1382">
        <f t="shared" si="388"/>
        <v>0</v>
      </c>
      <c r="AK287" s="1383">
        <f t="shared" si="389"/>
        <v>0</v>
      </c>
      <c r="AL287" s="1384">
        <v>0</v>
      </c>
      <c r="AM287" s="1363">
        <f t="shared" si="390"/>
        <v>0</v>
      </c>
      <c r="AN287" s="1364">
        <v>0</v>
      </c>
      <c r="AO287" s="1365">
        <f t="shared" si="391"/>
        <v>0</v>
      </c>
      <c r="AP287" s="1366">
        <v>0</v>
      </c>
      <c r="AQ287" s="1367">
        <f t="shared" si="392"/>
        <v>0</v>
      </c>
      <c r="AR287" s="1368">
        <v>0</v>
      </c>
      <c r="AS287" s="1369">
        <f t="shared" si="393"/>
        <v>0</v>
      </c>
      <c r="AT287" s="1370">
        <v>0</v>
      </c>
      <c r="AU287" s="1371">
        <f t="shared" si="394"/>
        <v>0</v>
      </c>
      <c r="AV287" s="1359">
        <f t="shared" si="395"/>
        <v>0</v>
      </c>
      <c r="AW287" s="1372">
        <f t="shared" si="396"/>
        <v>0</v>
      </c>
      <c r="AX287" s="1373">
        <f t="shared" si="397"/>
        <v>0</v>
      </c>
      <c r="AY287" s="1374">
        <f t="shared" si="398"/>
        <v>0</v>
      </c>
      <c r="AZ287" s="1375">
        <f t="shared" si="399"/>
        <v>0</v>
      </c>
      <c r="BA287" s="1376">
        <f t="shared" si="400"/>
        <v>0</v>
      </c>
      <c r="BB287" s="1377"/>
      <c r="BC287" s="1820"/>
      <c r="BD287" s="1820"/>
      <c r="BE287" s="1823"/>
      <c r="BF287" s="1826"/>
      <c r="BG287" s="1829"/>
    </row>
    <row r="288" spans="1:59" s="1378" customFormat="1" ht="38.25">
      <c r="A288" s="1347" t="str">
        <f>L276</f>
        <v>Crinetics Pharmaceuticals, Inc.</v>
      </c>
      <c r="B288" s="1348" t="str">
        <f>N276</f>
        <v>HUB SD</v>
      </c>
      <c r="C288" s="1348">
        <f>Z276</f>
        <v>24</v>
      </c>
      <c r="D288" s="1349">
        <v>43101</v>
      </c>
      <c r="E288" s="1349"/>
      <c r="F288" s="1347" t="s">
        <v>72</v>
      </c>
      <c r="G288" s="1347" t="s">
        <v>85</v>
      </c>
      <c r="H288" s="1347" t="s">
        <v>72</v>
      </c>
      <c r="I288" s="1347" t="s">
        <v>72</v>
      </c>
      <c r="J288" s="1349" t="s">
        <v>4670</v>
      </c>
      <c r="K288" s="1349" t="s">
        <v>254</v>
      </c>
      <c r="L288" s="1350" t="s">
        <v>48</v>
      </c>
      <c r="M288" s="1350" t="s">
        <v>253</v>
      </c>
      <c r="N288" s="1390" t="s">
        <v>4703</v>
      </c>
      <c r="O288" s="1352" t="s">
        <v>4704</v>
      </c>
      <c r="P288" s="1352"/>
      <c r="Q288" s="1354"/>
      <c r="R288" s="1354"/>
      <c r="S288" s="1354"/>
      <c r="T288" s="1354"/>
      <c r="U288" s="1354"/>
      <c r="V288" s="1354"/>
      <c r="W288" s="1354"/>
      <c r="X288" s="1353">
        <v>43101</v>
      </c>
      <c r="Y288" s="1353">
        <v>43466</v>
      </c>
      <c r="Z288" s="1355"/>
      <c r="AA288" s="1355" t="s">
        <v>4674</v>
      </c>
      <c r="AB288" s="1356"/>
      <c r="AC288" s="1356"/>
      <c r="AD288" s="1356"/>
      <c r="AE288" s="1356"/>
      <c r="AF288" s="1357" t="str">
        <f t="shared" si="140"/>
        <v/>
      </c>
      <c r="AG288" s="1380"/>
      <c r="AH288" s="1380"/>
      <c r="AI288" s="1381">
        <v>0</v>
      </c>
      <c r="AJ288" s="1382">
        <f t="shared" si="388"/>
        <v>0</v>
      </c>
      <c r="AK288" s="1383">
        <f t="shared" si="389"/>
        <v>0</v>
      </c>
      <c r="AL288" s="1384">
        <v>0</v>
      </c>
      <c r="AM288" s="1363">
        <f t="shared" si="390"/>
        <v>0</v>
      </c>
      <c r="AN288" s="1364">
        <v>0</v>
      </c>
      <c r="AO288" s="1365">
        <f t="shared" si="391"/>
        <v>0</v>
      </c>
      <c r="AP288" s="1366">
        <v>0</v>
      </c>
      <c r="AQ288" s="1367">
        <f t="shared" si="392"/>
        <v>0</v>
      </c>
      <c r="AR288" s="1368">
        <v>0</v>
      </c>
      <c r="AS288" s="1369">
        <f t="shared" si="393"/>
        <v>0</v>
      </c>
      <c r="AT288" s="1370">
        <v>0</v>
      </c>
      <c r="AU288" s="1371">
        <f t="shared" si="394"/>
        <v>0</v>
      </c>
      <c r="AV288" s="1359">
        <f t="shared" si="395"/>
        <v>0</v>
      </c>
      <c r="AW288" s="1372">
        <f t="shared" si="396"/>
        <v>0</v>
      </c>
      <c r="AX288" s="1373">
        <f t="shared" si="397"/>
        <v>0</v>
      </c>
      <c r="AY288" s="1374">
        <f t="shared" si="398"/>
        <v>0</v>
      </c>
      <c r="AZ288" s="1375">
        <f t="shared" si="399"/>
        <v>0</v>
      </c>
      <c r="BA288" s="1376">
        <f t="shared" si="400"/>
        <v>0</v>
      </c>
      <c r="BB288" s="1377"/>
      <c r="BC288" s="1820"/>
      <c r="BD288" s="1820"/>
      <c r="BE288" s="1823"/>
      <c r="BF288" s="1826"/>
      <c r="BG288" s="1829"/>
    </row>
    <row r="289" spans="1:59" s="1378" customFormat="1" ht="25.5" customHeight="1">
      <c r="A289" s="1347" t="str">
        <f>L276</f>
        <v>Crinetics Pharmaceuticals, Inc.</v>
      </c>
      <c r="B289" s="1348" t="str">
        <f>N276</f>
        <v>HUB SD</v>
      </c>
      <c r="C289" s="1348">
        <f>Z276</f>
        <v>24</v>
      </c>
      <c r="D289" s="1349">
        <v>43101</v>
      </c>
      <c r="E289" s="1349"/>
      <c r="F289" s="1347" t="s">
        <v>72</v>
      </c>
      <c r="G289" s="1347" t="s">
        <v>85</v>
      </c>
      <c r="H289" s="1347" t="s">
        <v>72</v>
      </c>
      <c r="I289" s="1347" t="s">
        <v>72</v>
      </c>
      <c r="J289" s="1349" t="s">
        <v>4670</v>
      </c>
      <c r="K289" s="1349" t="s">
        <v>254</v>
      </c>
      <c r="L289" s="1350" t="s">
        <v>49</v>
      </c>
      <c r="M289" s="1350" t="s">
        <v>4705</v>
      </c>
      <c r="N289" s="1390" t="s">
        <v>4706</v>
      </c>
      <c r="O289" s="1352" t="s">
        <v>4707</v>
      </c>
      <c r="P289" s="1352"/>
      <c r="Q289" s="1354"/>
      <c r="R289" s="1354"/>
      <c r="S289" s="1354"/>
      <c r="T289" s="1354"/>
      <c r="U289" s="1354"/>
      <c r="V289" s="1354"/>
      <c r="W289" s="1354"/>
      <c r="X289" s="1353">
        <v>43101</v>
      </c>
      <c r="Y289" s="1353">
        <v>43466</v>
      </c>
      <c r="Z289" s="1355"/>
      <c r="AA289" s="1355" t="s">
        <v>4674</v>
      </c>
      <c r="AB289" s="1356"/>
      <c r="AC289" s="1356"/>
      <c r="AD289" s="1356"/>
      <c r="AE289" s="1356"/>
      <c r="AF289" s="1357" t="str">
        <f t="shared" si="140"/>
        <v/>
      </c>
      <c r="AG289" s="1380"/>
      <c r="AH289" s="1380"/>
      <c r="AI289" s="1381">
        <v>0</v>
      </c>
      <c r="AJ289" s="1382">
        <f t="shared" si="388"/>
        <v>0</v>
      </c>
      <c r="AK289" s="1383">
        <f t="shared" si="389"/>
        <v>0</v>
      </c>
      <c r="AL289" s="1384">
        <v>0</v>
      </c>
      <c r="AM289" s="1363">
        <f t="shared" si="390"/>
        <v>0</v>
      </c>
      <c r="AN289" s="1364">
        <v>0</v>
      </c>
      <c r="AO289" s="1365">
        <f t="shared" si="391"/>
        <v>0</v>
      </c>
      <c r="AP289" s="1366">
        <v>0</v>
      </c>
      <c r="AQ289" s="1367">
        <f t="shared" si="392"/>
        <v>0</v>
      </c>
      <c r="AR289" s="1368">
        <v>0</v>
      </c>
      <c r="AS289" s="1369">
        <f t="shared" si="393"/>
        <v>0</v>
      </c>
      <c r="AT289" s="1370">
        <v>0</v>
      </c>
      <c r="AU289" s="1371">
        <f t="shared" si="394"/>
        <v>0</v>
      </c>
      <c r="AV289" s="1359">
        <f t="shared" si="395"/>
        <v>0</v>
      </c>
      <c r="AW289" s="1372">
        <f t="shared" si="396"/>
        <v>0</v>
      </c>
      <c r="AX289" s="1373">
        <f t="shared" si="397"/>
        <v>0</v>
      </c>
      <c r="AY289" s="1374">
        <f t="shared" si="398"/>
        <v>0</v>
      </c>
      <c r="AZ289" s="1375">
        <f t="shared" si="399"/>
        <v>0</v>
      </c>
      <c r="BA289" s="1376">
        <f t="shared" si="400"/>
        <v>0</v>
      </c>
      <c r="BB289" s="1377"/>
      <c r="BC289" s="1820"/>
      <c r="BD289" s="1820"/>
      <c r="BE289" s="1823"/>
      <c r="BF289" s="1826"/>
      <c r="BG289" s="1829"/>
    </row>
    <row r="290" spans="1:59" s="1378" customFormat="1" ht="21.75" customHeight="1">
      <c r="A290" s="1347" t="str">
        <f>A289</f>
        <v>Crinetics Pharmaceuticals, Inc.</v>
      </c>
      <c r="B290" s="1348" t="str">
        <f>B289</f>
        <v>HUB SD</v>
      </c>
      <c r="C290" s="1348">
        <f>C289</f>
        <v>24</v>
      </c>
      <c r="D290" s="1349">
        <v>43101</v>
      </c>
      <c r="E290" s="1349"/>
      <c r="F290" s="1347" t="s">
        <v>72</v>
      </c>
      <c r="G290" s="1347" t="s">
        <v>85</v>
      </c>
      <c r="H290" s="1347" t="s">
        <v>72</v>
      </c>
      <c r="I290" s="1347" t="s">
        <v>72</v>
      </c>
      <c r="J290" s="1349" t="s">
        <v>4670</v>
      </c>
      <c r="K290" s="1349" t="s">
        <v>254</v>
      </c>
      <c r="L290" s="1350" t="s">
        <v>3056</v>
      </c>
      <c r="M290" s="1350" t="s">
        <v>4708</v>
      </c>
      <c r="N290" s="1390" t="s">
        <v>4709</v>
      </c>
      <c r="O290" s="1352" t="s">
        <v>4710</v>
      </c>
      <c r="P290" s="1352"/>
      <c r="Q290" s="1354"/>
      <c r="R290" s="1354"/>
      <c r="S290" s="1354"/>
      <c r="T290" s="1354"/>
      <c r="U290" s="1354"/>
      <c r="V290" s="1354"/>
      <c r="W290" s="1354"/>
      <c r="X290" s="1353">
        <v>43101</v>
      </c>
      <c r="Y290" s="1353">
        <v>43466</v>
      </c>
      <c r="Z290" s="1355"/>
      <c r="AA290" s="1355" t="s">
        <v>4674</v>
      </c>
      <c r="AB290" s="1356"/>
      <c r="AC290" s="1356"/>
      <c r="AD290" s="1356"/>
      <c r="AE290" s="1356"/>
      <c r="AF290" s="1357" t="str">
        <f t="shared" si="140"/>
        <v/>
      </c>
      <c r="AG290" s="1380"/>
      <c r="AH290" s="1380"/>
      <c r="AI290" s="1381">
        <v>0</v>
      </c>
      <c r="AJ290" s="1382">
        <f t="shared" si="388"/>
        <v>0</v>
      </c>
      <c r="AK290" s="1383">
        <f t="shared" si="389"/>
        <v>0</v>
      </c>
      <c r="AL290" s="1384">
        <v>0</v>
      </c>
      <c r="AM290" s="1363">
        <f t="shared" si="390"/>
        <v>0</v>
      </c>
      <c r="AN290" s="1364">
        <v>0</v>
      </c>
      <c r="AO290" s="1365">
        <f t="shared" si="391"/>
        <v>0</v>
      </c>
      <c r="AP290" s="1366">
        <v>0</v>
      </c>
      <c r="AQ290" s="1367">
        <f t="shared" si="392"/>
        <v>0</v>
      </c>
      <c r="AR290" s="1368">
        <v>0</v>
      </c>
      <c r="AS290" s="1369">
        <f t="shared" si="393"/>
        <v>0</v>
      </c>
      <c r="AT290" s="1370">
        <v>0</v>
      </c>
      <c r="AU290" s="1371">
        <f t="shared" si="394"/>
        <v>0</v>
      </c>
      <c r="AV290" s="1359">
        <f t="shared" si="395"/>
        <v>0</v>
      </c>
      <c r="AW290" s="1372">
        <f t="shared" si="396"/>
        <v>0</v>
      </c>
      <c r="AX290" s="1373">
        <f t="shared" si="397"/>
        <v>0</v>
      </c>
      <c r="AY290" s="1374">
        <f t="shared" si="398"/>
        <v>0</v>
      </c>
      <c r="AZ290" s="1375">
        <f t="shared" si="399"/>
        <v>0</v>
      </c>
      <c r="BA290" s="1376">
        <f t="shared" si="400"/>
        <v>0</v>
      </c>
      <c r="BB290" s="1391"/>
      <c r="BC290" s="1821"/>
      <c r="BD290" s="1821"/>
      <c r="BE290" s="1824"/>
      <c r="BF290" s="1827"/>
      <c r="BG290" s="1830"/>
    </row>
    <row r="291" spans="1:59" s="1315" customFormat="1" ht="38.25">
      <c r="A291" s="1277" t="str">
        <f>L291</f>
        <v>CTK Biotech Inc.</v>
      </c>
      <c r="B291" s="1277" t="s">
        <v>4661</v>
      </c>
      <c r="C291" s="1316">
        <f>Z291</f>
        <v>42</v>
      </c>
      <c r="D291" s="1317">
        <v>43101</v>
      </c>
      <c r="E291" s="1317"/>
      <c r="F291" s="1277" t="s">
        <v>72</v>
      </c>
      <c r="G291" s="1277" t="s">
        <v>72</v>
      </c>
      <c r="H291" s="1277" t="s">
        <v>72</v>
      </c>
      <c r="I291" s="1277" t="s">
        <v>4711</v>
      </c>
      <c r="J291" s="1317"/>
      <c r="K291" s="1317"/>
      <c r="L291" s="1318" t="s">
        <v>393</v>
      </c>
      <c r="M291" s="1319"/>
      <c r="N291" s="1320" t="s">
        <v>4661</v>
      </c>
      <c r="O291" s="1321" t="s">
        <v>2473</v>
      </c>
      <c r="P291" s="1321"/>
      <c r="Q291" s="1322"/>
      <c r="R291" s="1322"/>
      <c r="S291" s="1322"/>
      <c r="T291" s="1322"/>
      <c r="U291" s="1322"/>
      <c r="V291" s="1322"/>
      <c r="W291" s="1322"/>
      <c r="X291" s="1317">
        <v>43101</v>
      </c>
      <c r="Y291" s="1317">
        <v>43466</v>
      </c>
      <c r="Z291" s="1316">
        <v>42</v>
      </c>
      <c r="AA291" s="1316" t="s">
        <v>4946</v>
      </c>
      <c r="AB291" s="1323">
        <f>SUM(AB292:AB301)</f>
        <v>0</v>
      </c>
      <c r="AC291" s="1323">
        <f>SUM(AC292:AC301)</f>
        <v>0</v>
      </c>
      <c r="AD291" s="1323">
        <f>SUM(AD292:AD301)</f>
        <v>0</v>
      </c>
      <c r="AE291" s="1324">
        <f t="shared" si="168"/>
        <v>0</v>
      </c>
      <c r="AF291" s="1325" t="str">
        <f t="shared" si="140"/>
        <v/>
      </c>
      <c r="AG291" s="1326">
        <f t="shared" si="339"/>
        <v>22088.039999999997</v>
      </c>
      <c r="AH291" s="1326">
        <f>SUM(AH292:AH301)</f>
        <v>265056.48</v>
      </c>
      <c r="AI291" s="1327"/>
      <c r="AJ291" s="1328">
        <f>SUM(AJ292:AJ301)</f>
        <v>1804.4378999999999</v>
      </c>
      <c r="AK291" s="1328">
        <f>SUM(AK292:AK301)</f>
        <v>21653.254800000002</v>
      </c>
      <c r="AL291" s="1329"/>
      <c r="AM291" s="1330">
        <f>SUM(AM292:AM301)</f>
        <v>1293.2298000000001</v>
      </c>
      <c r="AN291" s="1331"/>
      <c r="AO291" s="1332">
        <f>SUM(AO292:AO301)</f>
        <v>0</v>
      </c>
      <c r="AP291" s="1333"/>
      <c r="AQ291" s="1334">
        <f>SUM(AQ292:AQ301)</f>
        <v>0</v>
      </c>
      <c r="AR291" s="1335"/>
      <c r="AS291" s="1336">
        <f>SUM(AS292:AS301)</f>
        <v>10986.8904</v>
      </c>
      <c r="AT291" s="1337"/>
      <c r="AU291" s="1338">
        <f>SUM(AU292:AU301)</f>
        <v>6466.1490000000003</v>
      </c>
      <c r="AV291" s="1339"/>
      <c r="AW291" s="1340">
        <f>SUM(AW292:AW301)</f>
        <v>2906.9855999999986</v>
      </c>
      <c r="AX291" s="1306"/>
      <c r="AY291" s="1307">
        <f>SUM(AW291+AS291+AU291)</f>
        <v>20360.024999999998</v>
      </c>
      <c r="AZ291" s="1341"/>
      <c r="BA291" s="1309">
        <f>SUM(AY291+AQ291)</f>
        <v>20360.024999999998</v>
      </c>
      <c r="BB291" s="1342">
        <f>(AW291+AU291)/(AK291-AM291)</f>
        <v>0.46036950347556049</v>
      </c>
      <c r="BC291" s="1343"/>
      <c r="BD291" s="1343"/>
      <c r="BE291" s="1344"/>
      <c r="BF291" s="1345" t="s">
        <v>4850</v>
      </c>
      <c r="BG291" s="1346"/>
    </row>
    <row r="292" spans="1:59" s="1378" customFormat="1" ht="76.5">
      <c r="A292" s="1347" t="str">
        <f>L291</f>
        <v>CTK Biotech Inc.</v>
      </c>
      <c r="B292" s="1348" t="str">
        <f t="shared" ref="B292:B301" si="402">N$800</f>
        <v>HUB SD</v>
      </c>
      <c r="C292" s="1348">
        <f>Z291</f>
        <v>42</v>
      </c>
      <c r="D292" s="1349">
        <v>43101</v>
      </c>
      <c r="E292" s="1349"/>
      <c r="F292" s="1347" t="s">
        <v>85</v>
      </c>
      <c r="G292" s="1347" t="s">
        <v>85</v>
      </c>
      <c r="H292" s="1347" t="s">
        <v>85</v>
      </c>
      <c r="I292" s="1347" t="s">
        <v>113</v>
      </c>
      <c r="J292" s="1349"/>
      <c r="K292" s="1349" t="s">
        <v>254</v>
      </c>
      <c r="L292" s="1350" t="s">
        <v>2661</v>
      </c>
      <c r="M292" s="1350" t="s">
        <v>3647</v>
      </c>
      <c r="N292" s="1351" t="s">
        <v>4947</v>
      </c>
      <c r="O292" s="1352" t="s">
        <v>4948</v>
      </c>
      <c r="P292" s="1352" t="s">
        <v>72</v>
      </c>
      <c r="Q292" s="1353" t="s">
        <v>317</v>
      </c>
      <c r="R292" s="1353" t="s">
        <v>3655</v>
      </c>
      <c r="S292" s="1353" t="s">
        <v>307</v>
      </c>
      <c r="T292" s="1353" t="s">
        <v>113</v>
      </c>
      <c r="U292" s="1354"/>
      <c r="V292" s="1354"/>
      <c r="W292" s="1354"/>
      <c r="X292" s="1353">
        <v>43101</v>
      </c>
      <c r="Y292" s="1353">
        <v>43466</v>
      </c>
      <c r="Z292" s="1355"/>
      <c r="AA292" s="1355" t="s">
        <v>4667</v>
      </c>
      <c r="AB292" s="1356"/>
      <c r="AC292" s="1356"/>
      <c r="AD292" s="1356"/>
      <c r="AE292" s="1356"/>
      <c r="AF292" s="1357" t="str">
        <f t="shared" si="140"/>
        <v/>
      </c>
      <c r="AG292" s="1358">
        <f t="shared" si="339"/>
        <v>21553.829999999998</v>
      </c>
      <c r="AH292" s="1358">
        <v>258645.96</v>
      </c>
      <c r="AI292" s="1359">
        <v>0.08</v>
      </c>
      <c r="AJ292" s="1360">
        <f t="shared" ref="AJ292:AJ301" si="403">$AI292*$AG292</f>
        <v>1724.3063999999999</v>
      </c>
      <c r="AK292" s="1361">
        <f t="shared" ref="AK292:AK301" si="404">AI292*$AH292</f>
        <v>20691.676800000001</v>
      </c>
      <c r="AL292" s="1362">
        <v>5.0000000000000001E-3</v>
      </c>
      <c r="AM292" s="1363">
        <f t="shared" ref="AM292:AM301" si="405">AL292*$AH292</f>
        <v>1293.2298000000001</v>
      </c>
      <c r="AN292" s="1364">
        <v>0</v>
      </c>
      <c r="AO292" s="1365">
        <f t="shared" ref="AO292:AO301" si="406">AN292*$AH292</f>
        <v>0</v>
      </c>
      <c r="AP292" s="1366">
        <v>0</v>
      </c>
      <c r="AQ292" s="1367">
        <f t="shared" ref="AQ292:AQ301" si="407">AP292*$AH292</f>
        <v>0</v>
      </c>
      <c r="AR292" s="1368">
        <v>0.04</v>
      </c>
      <c r="AS292" s="1369">
        <f t="shared" ref="AS292:AS301" si="408">AR292*$AH292</f>
        <v>10345.838400000001</v>
      </c>
      <c r="AT292" s="1370">
        <v>2.5000000000000001E-2</v>
      </c>
      <c r="AU292" s="1371">
        <f t="shared" ref="AU292:AU301" si="409">AT292*$AH292</f>
        <v>6466.1490000000003</v>
      </c>
      <c r="AV292" s="1359">
        <f t="shared" ref="AV292:AV301" si="410">AZ292-AR292-AT292-AP292</f>
        <v>9.999999999999995E-3</v>
      </c>
      <c r="AW292" s="1372">
        <f t="shared" ref="AW292:AW301" si="411">AV292*$AH292</f>
        <v>2586.4595999999988</v>
      </c>
      <c r="AX292" s="1373">
        <f t="shared" ref="AX292:AX301" si="412">$AZ292-$AP292</f>
        <v>7.4999999999999997E-2</v>
      </c>
      <c r="AY292" s="1374">
        <f t="shared" ref="AY292:AY301" si="413">AX292*$AH292</f>
        <v>19398.447</v>
      </c>
      <c r="AZ292" s="1375">
        <f t="shared" ref="AZ292:AZ301" si="414">$AI292-$AL292-$AN292</f>
        <v>7.4999999999999997E-2</v>
      </c>
      <c r="BA292" s="1376">
        <f t="shared" ref="BA292:BA301" si="415">AZ292*$AH292</f>
        <v>19398.447</v>
      </c>
      <c r="BB292" s="1377"/>
      <c r="BC292" s="1820" t="s">
        <v>441</v>
      </c>
      <c r="BD292" s="1820" t="s">
        <v>396</v>
      </c>
      <c r="BE292" s="1823" t="s">
        <v>396</v>
      </c>
      <c r="BF292" s="1826" t="s">
        <v>4949</v>
      </c>
      <c r="BG292" s="1829">
        <v>330857068</v>
      </c>
    </row>
    <row r="293" spans="1:59" s="1378" customFormat="1" ht="38.25">
      <c r="A293" s="1347" t="str">
        <f>L291</f>
        <v>CTK Biotech Inc.</v>
      </c>
      <c r="B293" s="1348" t="str">
        <f t="shared" si="402"/>
        <v>HUB SD</v>
      </c>
      <c r="C293" s="1348">
        <f>Z291</f>
        <v>42</v>
      </c>
      <c r="D293" s="1349">
        <v>43101</v>
      </c>
      <c r="E293" s="1349"/>
      <c r="F293" s="1347" t="s">
        <v>113</v>
      </c>
      <c r="G293" s="1347" t="s">
        <v>85</v>
      </c>
      <c r="H293" s="1347" t="s">
        <v>85</v>
      </c>
      <c r="I293" s="1347" t="s">
        <v>113</v>
      </c>
      <c r="J293" s="1349"/>
      <c r="K293" s="1349" t="s">
        <v>254</v>
      </c>
      <c r="L293" s="1350" t="s">
        <v>4682</v>
      </c>
      <c r="M293" s="1350" t="s">
        <v>4683</v>
      </c>
      <c r="N293" s="1386" t="s">
        <v>148</v>
      </c>
      <c r="O293" s="1352" t="s">
        <v>4684</v>
      </c>
      <c r="P293" s="1387"/>
      <c r="Q293" s="1354"/>
      <c r="R293" s="1354"/>
      <c r="S293" s="1354"/>
      <c r="T293" s="1354"/>
      <c r="U293" s="1354"/>
      <c r="V293" s="1354"/>
      <c r="W293" s="1354"/>
      <c r="X293" s="1353">
        <v>43101</v>
      </c>
      <c r="Y293" s="1353">
        <v>43466</v>
      </c>
      <c r="Z293" s="1355"/>
      <c r="AA293" s="1355" t="s">
        <v>4685</v>
      </c>
      <c r="AB293" s="1356"/>
      <c r="AC293" s="1356"/>
      <c r="AD293" s="1356"/>
      <c r="AE293" s="1356"/>
      <c r="AF293" s="1357" t="str">
        <f t="shared" si="140"/>
        <v/>
      </c>
      <c r="AG293" s="1358">
        <f t="shared" si="339"/>
        <v>237.29999999999998</v>
      </c>
      <c r="AH293" s="1358">
        <v>2847.6</v>
      </c>
      <c r="AI293" s="1359">
        <v>0.15</v>
      </c>
      <c r="AJ293" s="1360">
        <f t="shared" si="403"/>
        <v>35.594999999999999</v>
      </c>
      <c r="AK293" s="1361">
        <f t="shared" si="404"/>
        <v>427.14</v>
      </c>
      <c r="AL293" s="1384">
        <v>0</v>
      </c>
      <c r="AM293" s="1363">
        <f t="shared" si="405"/>
        <v>0</v>
      </c>
      <c r="AN293" s="1364">
        <v>0</v>
      </c>
      <c r="AO293" s="1365">
        <f t="shared" si="406"/>
        <v>0</v>
      </c>
      <c r="AP293" s="1366">
        <v>0</v>
      </c>
      <c r="AQ293" s="1367">
        <f t="shared" si="407"/>
        <v>0</v>
      </c>
      <c r="AR293" s="1368">
        <v>0.1</v>
      </c>
      <c r="AS293" s="1369">
        <f t="shared" si="408"/>
        <v>284.76</v>
      </c>
      <c r="AT293" s="1370">
        <v>0</v>
      </c>
      <c r="AU293" s="1371">
        <f t="shared" si="409"/>
        <v>0</v>
      </c>
      <c r="AV293" s="1359">
        <f t="shared" si="410"/>
        <v>4.9999999999999989E-2</v>
      </c>
      <c r="AW293" s="1372">
        <f t="shared" si="411"/>
        <v>142.37999999999997</v>
      </c>
      <c r="AX293" s="1373">
        <f t="shared" si="412"/>
        <v>0.15</v>
      </c>
      <c r="AY293" s="1374">
        <f t="shared" si="413"/>
        <v>427.14</v>
      </c>
      <c r="AZ293" s="1375">
        <f t="shared" si="414"/>
        <v>0.15</v>
      </c>
      <c r="BA293" s="1376">
        <f t="shared" si="415"/>
        <v>427.14</v>
      </c>
      <c r="BB293" s="1377"/>
      <c r="BC293" s="1820"/>
      <c r="BD293" s="1820"/>
      <c r="BE293" s="1823"/>
      <c r="BF293" s="1826"/>
      <c r="BG293" s="1829"/>
    </row>
    <row r="294" spans="1:59" s="1378" customFormat="1" ht="38.25">
      <c r="A294" s="1347" t="str">
        <f>L291</f>
        <v>CTK Biotech Inc.</v>
      </c>
      <c r="B294" s="1348" t="str">
        <f t="shared" si="402"/>
        <v>HUB SD</v>
      </c>
      <c r="C294" s="1348">
        <f>Z291</f>
        <v>42</v>
      </c>
      <c r="D294" s="1349">
        <v>43101</v>
      </c>
      <c r="E294" s="1349"/>
      <c r="F294" s="1347" t="s">
        <v>113</v>
      </c>
      <c r="G294" s="1347" t="s">
        <v>85</v>
      </c>
      <c r="H294" s="1347" t="s">
        <v>85</v>
      </c>
      <c r="I294" s="1347" t="s">
        <v>113</v>
      </c>
      <c r="J294" s="1349"/>
      <c r="K294" s="1349" t="s">
        <v>254</v>
      </c>
      <c r="L294" s="1350" t="s">
        <v>4682</v>
      </c>
      <c r="M294" s="1350" t="s">
        <v>4686</v>
      </c>
      <c r="N294" s="1386" t="s">
        <v>4950</v>
      </c>
      <c r="O294" s="1352" t="s">
        <v>4687</v>
      </c>
      <c r="P294" s="1387"/>
      <c r="Q294" s="1354"/>
      <c r="R294" s="1354"/>
      <c r="S294" s="1354"/>
      <c r="T294" s="1354"/>
      <c r="U294" s="1354"/>
      <c r="V294" s="1354"/>
      <c r="W294" s="1354"/>
      <c r="X294" s="1353">
        <v>43101</v>
      </c>
      <c r="Y294" s="1353">
        <v>43466</v>
      </c>
      <c r="Z294" s="1355"/>
      <c r="AA294" s="1355" t="s">
        <v>4685</v>
      </c>
      <c r="AB294" s="1356"/>
      <c r="AC294" s="1356"/>
      <c r="AD294" s="1356"/>
      <c r="AE294" s="1356"/>
      <c r="AF294" s="1357"/>
      <c r="AG294" s="1358">
        <f t="shared" si="339"/>
        <v>116.90999999999998</v>
      </c>
      <c r="AH294" s="1358">
        <f>1134.6+268.32</f>
        <v>1402.9199999999998</v>
      </c>
      <c r="AI294" s="1359">
        <v>0.15</v>
      </c>
      <c r="AJ294" s="1360">
        <f t="shared" si="403"/>
        <v>17.536499999999997</v>
      </c>
      <c r="AK294" s="1361">
        <f t="shared" si="404"/>
        <v>210.43799999999996</v>
      </c>
      <c r="AL294" s="1384">
        <v>0</v>
      </c>
      <c r="AM294" s="1363">
        <f t="shared" si="405"/>
        <v>0</v>
      </c>
      <c r="AN294" s="1364">
        <v>0</v>
      </c>
      <c r="AO294" s="1365">
        <f t="shared" si="406"/>
        <v>0</v>
      </c>
      <c r="AP294" s="1366">
        <v>0</v>
      </c>
      <c r="AQ294" s="1367">
        <f t="shared" si="407"/>
        <v>0</v>
      </c>
      <c r="AR294" s="1368">
        <v>0.1</v>
      </c>
      <c r="AS294" s="1369">
        <f t="shared" si="408"/>
        <v>140.292</v>
      </c>
      <c r="AT294" s="1370">
        <v>0</v>
      </c>
      <c r="AU294" s="1371">
        <f t="shared" si="409"/>
        <v>0</v>
      </c>
      <c r="AV294" s="1359">
        <f t="shared" si="410"/>
        <v>4.9999999999999989E-2</v>
      </c>
      <c r="AW294" s="1372">
        <f t="shared" si="411"/>
        <v>70.145999999999972</v>
      </c>
      <c r="AX294" s="1373">
        <f t="shared" si="412"/>
        <v>0.15</v>
      </c>
      <c r="AY294" s="1374">
        <f t="shared" si="413"/>
        <v>210.43799999999996</v>
      </c>
      <c r="AZ294" s="1375">
        <f t="shared" si="414"/>
        <v>0.15</v>
      </c>
      <c r="BA294" s="1376">
        <f t="shared" si="415"/>
        <v>210.43799999999996</v>
      </c>
      <c r="BB294" s="1377"/>
      <c r="BC294" s="1820"/>
      <c r="BD294" s="1820"/>
      <c r="BE294" s="1823"/>
      <c r="BF294" s="1826"/>
      <c r="BG294" s="1829"/>
    </row>
    <row r="295" spans="1:59" s="1378" customFormat="1" ht="38.25">
      <c r="A295" s="1347" t="str">
        <f>L291</f>
        <v>CTK Biotech Inc.</v>
      </c>
      <c r="B295" s="1348" t="str">
        <f t="shared" si="402"/>
        <v>HUB SD</v>
      </c>
      <c r="C295" s="1348">
        <f>Z291</f>
        <v>42</v>
      </c>
      <c r="D295" s="1349">
        <v>43101</v>
      </c>
      <c r="E295" s="1349"/>
      <c r="F295" s="1347" t="s">
        <v>113</v>
      </c>
      <c r="G295" s="1347" t="s">
        <v>85</v>
      </c>
      <c r="H295" s="1347" t="s">
        <v>85</v>
      </c>
      <c r="I295" s="1347" t="s">
        <v>113</v>
      </c>
      <c r="J295" s="1349" t="s">
        <v>4690</v>
      </c>
      <c r="K295" s="1349" t="s">
        <v>254</v>
      </c>
      <c r="L295" s="1350" t="s">
        <v>4682</v>
      </c>
      <c r="M295" s="1350" t="s">
        <v>4691</v>
      </c>
      <c r="N295" s="1351" t="s">
        <v>94</v>
      </c>
      <c r="O295" s="1352" t="s">
        <v>4692</v>
      </c>
      <c r="P295" s="1352"/>
      <c r="Q295" s="1354"/>
      <c r="R295" s="1354"/>
      <c r="S295" s="1354"/>
      <c r="T295" s="1354"/>
      <c r="U295" s="1354"/>
      <c r="V295" s="1354"/>
      <c r="W295" s="1354"/>
      <c r="X295" s="1353">
        <v>43101</v>
      </c>
      <c r="Y295" s="1353">
        <v>43466</v>
      </c>
      <c r="Z295" s="1355">
        <v>9</v>
      </c>
      <c r="AA295" s="1355" t="s">
        <v>4685</v>
      </c>
      <c r="AB295" s="1356"/>
      <c r="AC295" s="1356"/>
      <c r="AD295" s="1356"/>
      <c r="AE295" s="1356"/>
      <c r="AF295" s="1357" t="str">
        <f t="shared" si="140"/>
        <v/>
      </c>
      <c r="AG295" s="1358">
        <v>117.9</v>
      </c>
      <c r="AH295" s="1358">
        <f t="shared" ref="AH295:AH297" si="416">AG295*12</f>
        <v>1414.8000000000002</v>
      </c>
      <c r="AI295" s="1359">
        <v>0.15</v>
      </c>
      <c r="AJ295" s="1360">
        <f t="shared" si="403"/>
        <v>17.684999999999999</v>
      </c>
      <c r="AK295" s="1361">
        <f t="shared" si="404"/>
        <v>212.22000000000003</v>
      </c>
      <c r="AL295" s="1384">
        <v>0</v>
      </c>
      <c r="AM295" s="1363">
        <f t="shared" si="405"/>
        <v>0</v>
      </c>
      <c r="AN295" s="1364">
        <v>0</v>
      </c>
      <c r="AO295" s="1365">
        <f t="shared" si="406"/>
        <v>0</v>
      </c>
      <c r="AP295" s="1366">
        <v>0</v>
      </c>
      <c r="AQ295" s="1367">
        <f t="shared" si="407"/>
        <v>0</v>
      </c>
      <c r="AR295" s="1368">
        <v>0.1</v>
      </c>
      <c r="AS295" s="1369">
        <f t="shared" si="408"/>
        <v>141.48000000000002</v>
      </c>
      <c r="AT295" s="1370">
        <v>0</v>
      </c>
      <c r="AU295" s="1371">
        <f t="shared" si="409"/>
        <v>0</v>
      </c>
      <c r="AV295" s="1359">
        <f t="shared" si="410"/>
        <v>4.9999999999999989E-2</v>
      </c>
      <c r="AW295" s="1372">
        <f t="shared" si="411"/>
        <v>70.739999999999995</v>
      </c>
      <c r="AX295" s="1373">
        <f t="shared" si="412"/>
        <v>0.15</v>
      </c>
      <c r="AY295" s="1374">
        <f t="shared" si="413"/>
        <v>212.22000000000003</v>
      </c>
      <c r="AZ295" s="1375">
        <f t="shared" si="414"/>
        <v>0.15</v>
      </c>
      <c r="BA295" s="1376">
        <f t="shared" si="415"/>
        <v>212.22000000000003</v>
      </c>
      <c r="BB295" s="1377"/>
      <c r="BC295" s="1820"/>
      <c r="BD295" s="1820"/>
      <c r="BE295" s="1823"/>
      <c r="BF295" s="1826"/>
      <c r="BG295" s="1829"/>
    </row>
    <row r="296" spans="1:59" s="1378" customFormat="1" ht="38.25">
      <c r="A296" s="1347" t="str">
        <f>L291</f>
        <v>CTK Biotech Inc.</v>
      </c>
      <c r="B296" s="1348" t="str">
        <f t="shared" si="402"/>
        <v>HUB SD</v>
      </c>
      <c r="C296" s="1348">
        <f>Z291</f>
        <v>42</v>
      </c>
      <c r="D296" s="1349">
        <v>43101</v>
      </c>
      <c r="E296" s="1349"/>
      <c r="F296" s="1347" t="s">
        <v>113</v>
      </c>
      <c r="G296" s="1347" t="s">
        <v>85</v>
      </c>
      <c r="H296" s="1347" t="s">
        <v>85</v>
      </c>
      <c r="I296" s="1347" t="s">
        <v>113</v>
      </c>
      <c r="J296" s="1349" t="s">
        <v>4690</v>
      </c>
      <c r="K296" s="1349" t="s">
        <v>254</v>
      </c>
      <c r="L296" s="1350" t="s">
        <v>4682</v>
      </c>
      <c r="M296" s="1350" t="s">
        <v>4691</v>
      </c>
      <c r="N296" s="1351" t="s">
        <v>98</v>
      </c>
      <c r="O296" s="1352" t="s">
        <v>4693</v>
      </c>
      <c r="P296" s="1352"/>
      <c r="Q296" s="1354"/>
      <c r="R296" s="1354"/>
      <c r="S296" s="1354"/>
      <c r="T296" s="1354"/>
      <c r="U296" s="1354"/>
      <c r="V296" s="1354"/>
      <c r="W296" s="1354"/>
      <c r="X296" s="1353">
        <v>43101</v>
      </c>
      <c r="Y296" s="1353">
        <v>43466</v>
      </c>
      <c r="Z296" s="1355">
        <v>8</v>
      </c>
      <c r="AA296" s="1355" t="s">
        <v>4685</v>
      </c>
      <c r="AB296" s="1356"/>
      <c r="AC296" s="1356"/>
      <c r="AD296" s="1356"/>
      <c r="AE296" s="1356"/>
      <c r="AF296" s="1357" t="str">
        <f t="shared" si="140"/>
        <v/>
      </c>
      <c r="AG296" s="1358">
        <v>34.340000000000003</v>
      </c>
      <c r="AH296" s="1358">
        <f t="shared" si="416"/>
        <v>412.08000000000004</v>
      </c>
      <c r="AI296" s="1359">
        <v>0.15</v>
      </c>
      <c r="AJ296" s="1360">
        <f t="shared" si="403"/>
        <v>5.1510000000000007</v>
      </c>
      <c r="AK296" s="1361">
        <f t="shared" si="404"/>
        <v>61.812000000000005</v>
      </c>
      <c r="AL296" s="1384">
        <v>0</v>
      </c>
      <c r="AM296" s="1363">
        <f t="shared" si="405"/>
        <v>0</v>
      </c>
      <c r="AN296" s="1364">
        <v>0</v>
      </c>
      <c r="AO296" s="1365">
        <f t="shared" si="406"/>
        <v>0</v>
      </c>
      <c r="AP296" s="1366">
        <v>0</v>
      </c>
      <c r="AQ296" s="1367">
        <f t="shared" si="407"/>
        <v>0</v>
      </c>
      <c r="AR296" s="1368">
        <v>0.1</v>
      </c>
      <c r="AS296" s="1369">
        <f t="shared" si="408"/>
        <v>41.208000000000006</v>
      </c>
      <c r="AT296" s="1370">
        <v>0</v>
      </c>
      <c r="AU296" s="1371">
        <f t="shared" si="409"/>
        <v>0</v>
      </c>
      <c r="AV296" s="1359">
        <f t="shared" si="410"/>
        <v>4.9999999999999989E-2</v>
      </c>
      <c r="AW296" s="1372">
        <f t="shared" si="411"/>
        <v>20.603999999999999</v>
      </c>
      <c r="AX296" s="1373">
        <f t="shared" si="412"/>
        <v>0.15</v>
      </c>
      <c r="AY296" s="1374">
        <f t="shared" si="413"/>
        <v>61.812000000000005</v>
      </c>
      <c r="AZ296" s="1375">
        <f t="shared" si="414"/>
        <v>0.15</v>
      </c>
      <c r="BA296" s="1376">
        <f t="shared" si="415"/>
        <v>61.812000000000005</v>
      </c>
      <c r="BB296" s="1377"/>
      <c r="BC296" s="1820"/>
      <c r="BD296" s="1820"/>
      <c r="BE296" s="1823"/>
      <c r="BF296" s="1826"/>
      <c r="BG296" s="1829"/>
    </row>
    <row r="297" spans="1:59" s="1378" customFormat="1" ht="38.25">
      <c r="A297" s="1347" t="str">
        <f>L291</f>
        <v>CTK Biotech Inc.</v>
      </c>
      <c r="B297" s="1348" t="str">
        <f t="shared" si="402"/>
        <v>HUB SD</v>
      </c>
      <c r="C297" s="1348">
        <f>Z291</f>
        <v>42</v>
      </c>
      <c r="D297" s="1349">
        <v>43101</v>
      </c>
      <c r="E297" s="1349"/>
      <c r="F297" s="1347" t="s">
        <v>113</v>
      </c>
      <c r="G297" s="1347" t="s">
        <v>85</v>
      </c>
      <c r="H297" s="1347" t="s">
        <v>85</v>
      </c>
      <c r="I297" s="1347" t="s">
        <v>113</v>
      </c>
      <c r="J297" s="1349" t="s">
        <v>4690</v>
      </c>
      <c r="K297" s="1349" t="s">
        <v>254</v>
      </c>
      <c r="L297" s="1350" t="s">
        <v>4682</v>
      </c>
      <c r="M297" s="1350" t="s">
        <v>4691</v>
      </c>
      <c r="N297" s="1351" t="s">
        <v>4694</v>
      </c>
      <c r="O297" s="1352" t="s">
        <v>4695</v>
      </c>
      <c r="P297" s="1352"/>
      <c r="Q297" s="1354"/>
      <c r="R297" s="1354"/>
      <c r="S297" s="1354"/>
      <c r="T297" s="1354"/>
      <c r="U297" s="1354"/>
      <c r="V297" s="1354"/>
      <c r="W297" s="1354"/>
      <c r="X297" s="1353">
        <v>43101</v>
      </c>
      <c r="Y297" s="1353">
        <v>43466</v>
      </c>
      <c r="Z297" s="1355">
        <v>2</v>
      </c>
      <c r="AA297" s="1355" t="s">
        <v>4685</v>
      </c>
      <c r="AB297" s="1356"/>
      <c r="AC297" s="1356"/>
      <c r="AD297" s="1356"/>
      <c r="AE297" s="1356"/>
      <c r="AF297" s="1357" t="str">
        <f t="shared" si="140"/>
        <v/>
      </c>
      <c r="AG297" s="1358">
        <v>27.76</v>
      </c>
      <c r="AH297" s="1358">
        <f t="shared" si="416"/>
        <v>333.12</v>
      </c>
      <c r="AI297" s="1359">
        <v>0.15</v>
      </c>
      <c r="AJ297" s="1360">
        <f t="shared" si="403"/>
        <v>4.1639999999999997</v>
      </c>
      <c r="AK297" s="1361">
        <f t="shared" si="404"/>
        <v>49.967999999999996</v>
      </c>
      <c r="AL297" s="1384">
        <v>0</v>
      </c>
      <c r="AM297" s="1363">
        <f t="shared" si="405"/>
        <v>0</v>
      </c>
      <c r="AN297" s="1364">
        <v>0</v>
      </c>
      <c r="AO297" s="1365">
        <f t="shared" si="406"/>
        <v>0</v>
      </c>
      <c r="AP297" s="1366">
        <v>0</v>
      </c>
      <c r="AQ297" s="1367">
        <f t="shared" si="407"/>
        <v>0</v>
      </c>
      <c r="AR297" s="1368">
        <v>0.1</v>
      </c>
      <c r="AS297" s="1369">
        <f t="shared" si="408"/>
        <v>33.312000000000005</v>
      </c>
      <c r="AT297" s="1370">
        <v>0</v>
      </c>
      <c r="AU297" s="1371">
        <f t="shared" si="409"/>
        <v>0</v>
      </c>
      <c r="AV297" s="1359">
        <f t="shared" si="410"/>
        <v>4.9999999999999989E-2</v>
      </c>
      <c r="AW297" s="1372">
        <f t="shared" si="411"/>
        <v>16.655999999999995</v>
      </c>
      <c r="AX297" s="1373">
        <f t="shared" si="412"/>
        <v>0.15</v>
      </c>
      <c r="AY297" s="1374">
        <f t="shared" si="413"/>
        <v>49.967999999999996</v>
      </c>
      <c r="AZ297" s="1375">
        <f t="shared" si="414"/>
        <v>0.15</v>
      </c>
      <c r="BA297" s="1376">
        <f t="shared" si="415"/>
        <v>49.967999999999996</v>
      </c>
      <c r="BB297" s="1377"/>
      <c r="BC297" s="1820"/>
      <c r="BD297" s="1820"/>
      <c r="BE297" s="1823"/>
      <c r="BF297" s="1826"/>
      <c r="BG297" s="1829"/>
    </row>
    <row r="298" spans="1:59" s="1378" customFormat="1" ht="27.75" customHeight="1">
      <c r="A298" s="1347" t="s">
        <v>393</v>
      </c>
      <c r="B298" s="1348" t="str">
        <f t="shared" si="402"/>
        <v>HUB SD</v>
      </c>
      <c r="C298" s="1348">
        <v>37</v>
      </c>
      <c r="D298" s="1349">
        <v>43101</v>
      </c>
      <c r="E298" s="1349"/>
      <c r="F298" s="1347" t="s">
        <v>72</v>
      </c>
      <c r="G298" s="1347" t="s">
        <v>85</v>
      </c>
      <c r="H298" s="1347" t="s">
        <v>72</v>
      </c>
      <c r="I298" s="1347" t="s">
        <v>72</v>
      </c>
      <c r="J298" s="1349" t="s">
        <v>4670</v>
      </c>
      <c r="K298" s="1349" t="s">
        <v>254</v>
      </c>
      <c r="L298" s="1350" t="s">
        <v>4696</v>
      </c>
      <c r="M298" s="1350" t="s">
        <v>4697</v>
      </c>
      <c r="N298" s="1389" t="s">
        <v>4698</v>
      </c>
      <c r="O298" s="1352" t="s">
        <v>4699</v>
      </c>
      <c r="P298" s="1352"/>
      <c r="Q298" s="1354"/>
      <c r="R298" s="1354"/>
      <c r="S298" s="1354"/>
      <c r="T298" s="1354"/>
      <c r="U298" s="1354"/>
      <c r="V298" s="1354"/>
      <c r="W298" s="1354"/>
      <c r="X298" s="1353">
        <v>43101</v>
      </c>
      <c r="Y298" s="1353">
        <v>43466</v>
      </c>
      <c r="Z298" s="1355"/>
      <c r="AA298" s="1355" t="s">
        <v>4674</v>
      </c>
      <c r="AB298" s="1356"/>
      <c r="AC298" s="1356"/>
      <c r="AD298" s="1356"/>
      <c r="AE298" s="1356"/>
      <c r="AF298" s="1357" t="str">
        <f t="shared" si="140"/>
        <v/>
      </c>
      <c r="AG298" s="1380"/>
      <c r="AH298" s="1380"/>
      <c r="AI298" s="1381">
        <v>0</v>
      </c>
      <c r="AJ298" s="1382">
        <f t="shared" si="403"/>
        <v>0</v>
      </c>
      <c r="AK298" s="1383">
        <f t="shared" si="404"/>
        <v>0</v>
      </c>
      <c r="AL298" s="1384">
        <v>0</v>
      </c>
      <c r="AM298" s="1363">
        <f t="shared" si="405"/>
        <v>0</v>
      </c>
      <c r="AN298" s="1364">
        <v>0</v>
      </c>
      <c r="AO298" s="1365">
        <f t="shared" si="406"/>
        <v>0</v>
      </c>
      <c r="AP298" s="1366">
        <v>0</v>
      </c>
      <c r="AQ298" s="1367">
        <f t="shared" si="407"/>
        <v>0</v>
      </c>
      <c r="AR298" s="1368">
        <v>0</v>
      </c>
      <c r="AS298" s="1369">
        <f t="shared" si="408"/>
        <v>0</v>
      </c>
      <c r="AT298" s="1370">
        <v>0</v>
      </c>
      <c r="AU298" s="1371">
        <f t="shared" si="409"/>
        <v>0</v>
      </c>
      <c r="AV298" s="1359">
        <f t="shared" si="410"/>
        <v>0</v>
      </c>
      <c r="AW298" s="1372">
        <f t="shared" si="411"/>
        <v>0</v>
      </c>
      <c r="AX298" s="1373">
        <f t="shared" si="412"/>
        <v>0</v>
      </c>
      <c r="AY298" s="1374">
        <f t="shared" si="413"/>
        <v>0</v>
      </c>
      <c r="AZ298" s="1375">
        <f t="shared" si="414"/>
        <v>0</v>
      </c>
      <c r="BA298" s="1376">
        <f t="shared" si="415"/>
        <v>0</v>
      </c>
      <c r="BB298" s="1377"/>
      <c r="BC298" s="1820"/>
      <c r="BD298" s="1820"/>
      <c r="BE298" s="1823"/>
      <c r="BF298" s="1826"/>
      <c r="BG298" s="1829"/>
    </row>
    <row r="299" spans="1:59" s="1378" customFormat="1" ht="38.25">
      <c r="A299" s="1347" t="str">
        <f>L291</f>
        <v>CTK Biotech Inc.</v>
      </c>
      <c r="B299" s="1348" t="str">
        <f t="shared" si="402"/>
        <v>HUB SD</v>
      </c>
      <c r="C299" s="1348">
        <f>Z291</f>
        <v>42</v>
      </c>
      <c r="D299" s="1349">
        <v>43101</v>
      </c>
      <c r="E299" s="1349"/>
      <c r="F299" s="1347" t="s">
        <v>72</v>
      </c>
      <c r="G299" s="1347" t="s">
        <v>85</v>
      </c>
      <c r="H299" s="1347" t="s">
        <v>72</v>
      </c>
      <c r="I299" s="1347" t="s">
        <v>72</v>
      </c>
      <c r="J299" s="1349" t="s">
        <v>4670</v>
      </c>
      <c r="K299" s="1349" t="s">
        <v>254</v>
      </c>
      <c r="L299" s="1350" t="s">
        <v>48</v>
      </c>
      <c r="M299" s="1350" t="s">
        <v>253</v>
      </c>
      <c r="N299" s="1390" t="s">
        <v>4703</v>
      </c>
      <c r="O299" s="1352" t="s">
        <v>4704</v>
      </c>
      <c r="P299" s="1352"/>
      <c r="Q299" s="1354"/>
      <c r="R299" s="1354"/>
      <c r="S299" s="1354"/>
      <c r="T299" s="1354"/>
      <c r="U299" s="1354"/>
      <c r="V299" s="1354"/>
      <c r="W299" s="1354"/>
      <c r="X299" s="1353">
        <v>43101</v>
      </c>
      <c r="Y299" s="1353">
        <v>43466</v>
      </c>
      <c r="Z299" s="1355"/>
      <c r="AA299" s="1355" t="s">
        <v>4674</v>
      </c>
      <c r="AB299" s="1356"/>
      <c r="AC299" s="1356"/>
      <c r="AD299" s="1356"/>
      <c r="AE299" s="1356"/>
      <c r="AF299" s="1357" t="str">
        <f t="shared" si="140"/>
        <v/>
      </c>
      <c r="AG299" s="1380"/>
      <c r="AH299" s="1380"/>
      <c r="AI299" s="1381">
        <v>0</v>
      </c>
      <c r="AJ299" s="1382">
        <f t="shared" si="403"/>
        <v>0</v>
      </c>
      <c r="AK299" s="1383">
        <f t="shared" si="404"/>
        <v>0</v>
      </c>
      <c r="AL299" s="1384">
        <v>0</v>
      </c>
      <c r="AM299" s="1363">
        <f t="shared" si="405"/>
        <v>0</v>
      </c>
      <c r="AN299" s="1364">
        <v>0</v>
      </c>
      <c r="AO299" s="1365">
        <f t="shared" si="406"/>
        <v>0</v>
      </c>
      <c r="AP299" s="1366">
        <v>0</v>
      </c>
      <c r="AQ299" s="1367">
        <f t="shared" si="407"/>
        <v>0</v>
      </c>
      <c r="AR299" s="1368">
        <v>0</v>
      </c>
      <c r="AS299" s="1369">
        <f t="shared" si="408"/>
        <v>0</v>
      </c>
      <c r="AT299" s="1370">
        <v>0</v>
      </c>
      <c r="AU299" s="1371">
        <f t="shared" si="409"/>
        <v>0</v>
      </c>
      <c r="AV299" s="1359">
        <f t="shared" si="410"/>
        <v>0</v>
      </c>
      <c r="AW299" s="1372">
        <f t="shared" si="411"/>
        <v>0</v>
      </c>
      <c r="AX299" s="1373">
        <f t="shared" si="412"/>
        <v>0</v>
      </c>
      <c r="AY299" s="1374">
        <f t="shared" si="413"/>
        <v>0</v>
      </c>
      <c r="AZ299" s="1375">
        <f t="shared" si="414"/>
        <v>0</v>
      </c>
      <c r="BA299" s="1376">
        <f t="shared" si="415"/>
        <v>0</v>
      </c>
      <c r="BB299" s="1377"/>
      <c r="BC299" s="1820"/>
      <c r="BD299" s="1820"/>
      <c r="BE299" s="1823"/>
      <c r="BF299" s="1826"/>
      <c r="BG299" s="1829"/>
    </row>
    <row r="300" spans="1:59" s="1378" customFormat="1" ht="38.25">
      <c r="A300" s="1347" t="str">
        <f>L291</f>
        <v>CTK Biotech Inc.</v>
      </c>
      <c r="B300" s="1348" t="str">
        <f t="shared" si="402"/>
        <v>HUB SD</v>
      </c>
      <c r="C300" s="1348">
        <f>Z291</f>
        <v>42</v>
      </c>
      <c r="D300" s="1349">
        <v>43101</v>
      </c>
      <c r="E300" s="1349"/>
      <c r="F300" s="1347" t="s">
        <v>72</v>
      </c>
      <c r="G300" s="1347" t="s">
        <v>85</v>
      </c>
      <c r="H300" s="1347" t="s">
        <v>72</v>
      </c>
      <c r="I300" s="1347" t="s">
        <v>72</v>
      </c>
      <c r="J300" s="1349" t="s">
        <v>4670</v>
      </c>
      <c r="K300" s="1349" t="s">
        <v>254</v>
      </c>
      <c r="L300" s="1350" t="s">
        <v>49</v>
      </c>
      <c r="M300" s="1350" t="s">
        <v>4705</v>
      </c>
      <c r="N300" s="1390" t="s">
        <v>4706</v>
      </c>
      <c r="O300" s="1352" t="s">
        <v>4707</v>
      </c>
      <c r="P300" s="1352"/>
      <c r="Q300" s="1354"/>
      <c r="R300" s="1354"/>
      <c r="S300" s="1354"/>
      <c r="T300" s="1354"/>
      <c r="U300" s="1354"/>
      <c r="V300" s="1354"/>
      <c r="W300" s="1354"/>
      <c r="X300" s="1353">
        <v>43101</v>
      </c>
      <c r="Y300" s="1353">
        <v>43466</v>
      </c>
      <c r="Z300" s="1355"/>
      <c r="AA300" s="1355" t="s">
        <v>4674</v>
      </c>
      <c r="AB300" s="1356"/>
      <c r="AC300" s="1356"/>
      <c r="AD300" s="1356"/>
      <c r="AE300" s="1356"/>
      <c r="AF300" s="1357" t="str">
        <f t="shared" si="140"/>
        <v/>
      </c>
      <c r="AG300" s="1380"/>
      <c r="AH300" s="1380"/>
      <c r="AI300" s="1381">
        <v>0</v>
      </c>
      <c r="AJ300" s="1382">
        <f t="shared" si="403"/>
        <v>0</v>
      </c>
      <c r="AK300" s="1383">
        <f t="shared" si="404"/>
        <v>0</v>
      </c>
      <c r="AL300" s="1384">
        <v>0</v>
      </c>
      <c r="AM300" s="1363">
        <f t="shared" si="405"/>
        <v>0</v>
      </c>
      <c r="AN300" s="1364">
        <v>0</v>
      </c>
      <c r="AO300" s="1365">
        <f t="shared" si="406"/>
        <v>0</v>
      </c>
      <c r="AP300" s="1366">
        <v>0</v>
      </c>
      <c r="AQ300" s="1367">
        <f t="shared" si="407"/>
        <v>0</v>
      </c>
      <c r="AR300" s="1368">
        <v>0</v>
      </c>
      <c r="AS300" s="1369">
        <f t="shared" si="408"/>
        <v>0</v>
      </c>
      <c r="AT300" s="1370">
        <v>0</v>
      </c>
      <c r="AU300" s="1371">
        <f t="shared" si="409"/>
        <v>0</v>
      </c>
      <c r="AV300" s="1359">
        <f t="shared" si="410"/>
        <v>0</v>
      </c>
      <c r="AW300" s="1372">
        <f t="shared" si="411"/>
        <v>0</v>
      </c>
      <c r="AX300" s="1373">
        <f t="shared" si="412"/>
        <v>0</v>
      </c>
      <c r="AY300" s="1374">
        <f t="shared" si="413"/>
        <v>0</v>
      </c>
      <c r="AZ300" s="1375">
        <f t="shared" si="414"/>
        <v>0</v>
      </c>
      <c r="BA300" s="1376">
        <f t="shared" si="415"/>
        <v>0</v>
      </c>
      <c r="BB300" s="1377"/>
      <c r="BC300" s="1820"/>
      <c r="BD300" s="1820"/>
      <c r="BE300" s="1823"/>
      <c r="BF300" s="1826"/>
      <c r="BG300" s="1829"/>
    </row>
    <row r="301" spans="1:59" s="1378" customFormat="1" ht="21.75" customHeight="1">
      <c r="A301" s="1347" t="str">
        <f>A300</f>
        <v>CTK Biotech Inc.</v>
      </c>
      <c r="B301" s="1348" t="str">
        <f t="shared" si="402"/>
        <v>HUB SD</v>
      </c>
      <c r="C301" s="1348">
        <f>C300</f>
        <v>42</v>
      </c>
      <c r="D301" s="1349">
        <v>43101</v>
      </c>
      <c r="E301" s="1349"/>
      <c r="F301" s="1347" t="s">
        <v>72</v>
      </c>
      <c r="G301" s="1347" t="s">
        <v>85</v>
      </c>
      <c r="H301" s="1347" t="s">
        <v>72</v>
      </c>
      <c r="I301" s="1347" t="s">
        <v>72</v>
      </c>
      <c r="J301" s="1349" t="s">
        <v>4670</v>
      </c>
      <c r="K301" s="1349" t="s">
        <v>254</v>
      </c>
      <c r="L301" s="1350" t="s">
        <v>3056</v>
      </c>
      <c r="M301" s="1350" t="s">
        <v>4708</v>
      </c>
      <c r="N301" s="1390" t="s">
        <v>4709</v>
      </c>
      <c r="O301" s="1352" t="s">
        <v>4710</v>
      </c>
      <c r="P301" s="1352"/>
      <c r="Q301" s="1354"/>
      <c r="R301" s="1354"/>
      <c r="S301" s="1354"/>
      <c r="T301" s="1354"/>
      <c r="U301" s="1354"/>
      <c r="V301" s="1354"/>
      <c r="W301" s="1354"/>
      <c r="X301" s="1353">
        <v>43101</v>
      </c>
      <c r="Y301" s="1353">
        <v>43466</v>
      </c>
      <c r="Z301" s="1355"/>
      <c r="AA301" s="1355" t="s">
        <v>4674</v>
      </c>
      <c r="AB301" s="1356"/>
      <c r="AC301" s="1356"/>
      <c r="AD301" s="1356"/>
      <c r="AE301" s="1356"/>
      <c r="AF301" s="1357" t="str">
        <f t="shared" si="140"/>
        <v/>
      </c>
      <c r="AG301" s="1380"/>
      <c r="AH301" s="1380"/>
      <c r="AI301" s="1381">
        <v>0</v>
      </c>
      <c r="AJ301" s="1382">
        <f t="shared" si="403"/>
        <v>0</v>
      </c>
      <c r="AK301" s="1383">
        <f t="shared" si="404"/>
        <v>0</v>
      </c>
      <c r="AL301" s="1384">
        <v>0</v>
      </c>
      <c r="AM301" s="1363">
        <f t="shared" si="405"/>
        <v>0</v>
      </c>
      <c r="AN301" s="1364">
        <v>0</v>
      </c>
      <c r="AO301" s="1365">
        <f t="shared" si="406"/>
        <v>0</v>
      </c>
      <c r="AP301" s="1366">
        <v>0</v>
      </c>
      <c r="AQ301" s="1367">
        <f t="shared" si="407"/>
        <v>0</v>
      </c>
      <c r="AR301" s="1368">
        <v>0</v>
      </c>
      <c r="AS301" s="1369">
        <f t="shared" si="408"/>
        <v>0</v>
      </c>
      <c r="AT301" s="1370">
        <v>0</v>
      </c>
      <c r="AU301" s="1371">
        <f t="shared" si="409"/>
        <v>0</v>
      </c>
      <c r="AV301" s="1359">
        <f t="shared" si="410"/>
        <v>0</v>
      </c>
      <c r="AW301" s="1372">
        <f t="shared" si="411"/>
        <v>0</v>
      </c>
      <c r="AX301" s="1373">
        <f t="shared" si="412"/>
        <v>0</v>
      </c>
      <c r="AY301" s="1374">
        <f t="shared" si="413"/>
        <v>0</v>
      </c>
      <c r="AZ301" s="1375">
        <f t="shared" si="414"/>
        <v>0</v>
      </c>
      <c r="BA301" s="1376">
        <f t="shared" si="415"/>
        <v>0</v>
      </c>
      <c r="BB301" s="1391"/>
      <c r="BC301" s="1821"/>
      <c r="BD301" s="1821"/>
      <c r="BE301" s="1824"/>
      <c r="BF301" s="1827"/>
      <c r="BG301" s="1830"/>
    </row>
    <row r="302" spans="1:59" s="1315" customFormat="1" ht="38.25">
      <c r="A302" s="1277" t="str">
        <f t="shared" ref="A302:A315" si="417">$L$302</f>
        <v>CymaBay Therapeutics, Inc.</v>
      </c>
      <c r="B302" s="1277" t="str">
        <f>N302</f>
        <v>ABD</v>
      </c>
      <c r="C302" s="1316">
        <f t="shared" ref="C302:C315" si="418">$Z$302</f>
        <v>24</v>
      </c>
      <c r="D302" s="1317">
        <v>42370</v>
      </c>
      <c r="E302" s="1317"/>
      <c r="F302" s="1277" t="s">
        <v>72</v>
      </c>
      <c r="G302" s="1277" t="s">
        <v>72</v>
      </c>
      <c r="H302" s="1277" t="s">
        <v>72</v>
      </c>
      <c r="I302" s="1277" t="s">
        <v>4711</v>
      </c>
      <c r="J302" s="1317"/>
      <c r="K302" s="1317"/>
      <c r="L302" s="1318" t="s">
        <v>411</v>
      </c>
      <c r="M302" s="1319"/>
      <c r="N302" s="1417" t="s">
        <v>3654</v>
      </c>
      <c r="O302" s="1419" t="s">
        <v>2474</v>
      </c>
      <c r="P302" s="1419"/>
      <c r="Q302" s="1322"/>
      <c r="R302" s="1322"/>
      <c r="S302" s="1322"/>
      <c r="T302" s="1322"/>
      <c r="U302" s="1322"/>
      <c r="V302" s="1322"/>
      <c r="W302" s="1322"/>
      <c r="X302" s="1317">
        <v>43101</v>
      </c>
      <c r="Y302" s="1317">
        <v>43466</v>
      </c>
      <c r="Z302" s="1316">
        <v>24</v>
      </c>
      <c r="AA302" s="1316" t="s">
        <v>4951</v>
      </c>
      <c r="AB302" s="1454">
        <f>SUM(AB303:AB316)</f>
        <v>0</v>
      </c>
      <c r="AC302" s="1454">
        <f>SUM(AC303:AC316)</f>
        <v>0</v>
      </c>
      <c r="AD302" s="1454">
        <f>SUM(AD303:AD316)</f>
        <v>0</v>
      </c>
      <c r="AE302" s="1324">
        <f t="shared" si="168"/>
        <v>0</v>
      </c>
      <c r="AF302" s="1325" t="str">
        <f t="shared" si="140"/>
        <v/>
      </c>
      <c r="AG302" s="1455">
        <f t="shared" ref="AG302:AG377" si="419">AH302/12</f>
        <v>31780.733333333337</v>
      </c>
      <c r="AH302" s="1455">
        <f>SUM(AH303:AH316)</f>
        <v>381368.80000000005</v>
      </c>
      <c r="AI302" s="1327"/>
      <c r="AJ302" s="1328">
        <f>SUM(AJ303:AJ316)</f>
        <v>2847.7222000000002</v>
      </c>
      <c r="AK302" s="1328">
        <f>SUM(AK303:AK316)</f>
        <v>34172.666399999995</v>
      </c>
      <c r="AL302" s="1329"/>
      <c r="AM302" s="1330">
        <f>SUM(AM303:AM316)</f>
        <v>1460.0664000000002</v>
      </c>
      <c r="AN302" s="1331"/>
      <c r="AO302" s="1332">
        <f>SUM(AO303:AO316)</f>
        <v>20175.913600000003</v>
      </c>
      <c r="AP302" s="1333"/>
      <c r="AQ302" s="1458">
        <f>SUM(AQ303:AQ316)</f>
        <v>0</v>
      </c>
      <c r="AR302" s="1335"/>
      <c r="AS302" s="1459">
        <f>SUM(AS303:AS316)</f>
        <v>0</v>
      </c>
      <c r="AT302" s="1337"/>
      <c r="AU302" s="1338">
        <f>SUM(AU303:AU316)</f>
        <v>7300.3320000000012</v>
      </c>
      <c r="AV302" s="1339"/>
      <c r="AW302" s="1340">
        <f>SUM(AW303:AW316)</f>
        <v>5832.8743999999988</v>
      </c>
      <c r="AX302" s="1306"/>
      <c r="AY302" s="1307">
        <f>SUM(AW302+AS302+AU302)</f>
        <v>13133.206399999999</v>
      </c>
      <c r="AZ302" s="1308"/>
      <c r="BA302" s="1309">
        <f>SUM(AY302+AQ302)</f>
        <v>13133.206399999999</v>
      </c>
      <c r="BB302" s="1342">
        <f>(AW302+AU302)/(AK302-AM302)</f>
        <v>0.40147241124215138</v>
      </c>
      <c r="BC302" s="1343"/>
      <c r="BD302" s="1343"/>
      <c r="BE302" s="1344"/>
      <c r="BF302" s="1420" t="s">
        <v>4749</v>
      </c>
      <c r="BG302" s="1346"/>
    </row>
    <row r="303" spans="1:59" s="1396" customFormat="1" ht="76.5">
      <c r="A303" s="1347" t="str">
        <f t="shared" si="417"/>
        <v>CymaBay Therapeutics, Inc.</v>
      </c>
      <c r="B303" s="1347" t="str">
        <f t="shared" ref="B303:B311" si="420">$B$302</f>
        <v>ABD</v>
      </c>
      <c r="C303" s="1348">
        <f t="shared" si="418"/>
        <v>24</v>
      </c>
      <c r="D303" s="1349">
        <v>42370</v>
      </c>
      <c r="E303" s="1349"/>
      <c r="F303" s="1347" t="s">
        <v>85</v>
      </c>
      <c r="G303" s="1347" t="s">
        <v>85</v>
      </c>
      <c r="H303" s="1347" t="s">
        <v>85</v>
      </c>
      <c r="I303" s="1347" t="s">
        <v>113</v>
      </c>
      <c r="J303" s="1349"/>
      <c r="K303" s="1349" t="s">
        <v>254</v>
      </c>
      <c r="L303" s="1350" t="s">
        <v>2661</v>
      </c>
      <c r="M303" s="1350" t="s">
        <v>3647</v>
      </c>
      <c r="N303" s="1351" t="s">
        <v>4952</v>
      </c>
      <c r="O303" s="1352" t="s">
        <v>4953</v>
      </c>
      <c r="P303" s="1352" t="s">
        <v>4752</v>
      </c>
      <c r="Q303" s="1353" t="s">
        <v>303</v>
      </c>
      <c r="R303" s="1353" t="s">
        <v>3656</v>
      </c>
      <c r="S303" s="1353" t="s">
        <v>307</v>
      </c>
      <c r="T303" s="1353" t="s">
        <v>113</v>
      </c>
      <c r="U303" s="1354"/>
      <c r="V303" s="1354"/>
      <c r="W303" s="1354"/>
      <c r="X303" s="1353">
        <v>43101</v>
      </c>
      <c r="Y303" s="1353">
        <v>43466</v>
      </c>
      <c r="Z303" s="1425"/>
      <c r="AA303" s="1355" t="s">
        <v>4667</v>
      </c>
      <c r="AB303" s="1394"/>
      <c r="AC303" s="1394"/>
      <c r="AD303" s="1356"/>
      <c r="AE303" s="1356"/>
      <c r="AF303" s="1395"/>
      <c r="AG303" s="1358">
        <f t="shared" si="419"/>
        <v>24334.440000000002</v>
      </c>
      <c r="AH303" s="1358">
        <v>292013.28000000003</v>
      </c>
      <c r="AI303" s="1359">
        <v>0.08</v>
      </c>
      <c r="AJ303" s="1360">
        <f>$AI303*$AG303</f>
        <v>1946.7552000000003</v>
      </c>
      <c r="AK303" s="1361">
        <f t="shared" ref="AK303:AK316" si="421">AI303*$AH303</f>
        <v>23361.062400000003</v>
      </c>
      <c r="AL303" s="1362">
        <v>5.0000000000000001E-3</v>
      </c>
      <c r="AM303" s="1363">
        <f t="shared" ref="AM303:AM316" si="422">AL303*$AH303</f>
        <v>1460.0664000000002</v>
      </c>
      <c r="AN303" s="1364">
        <v>0.04</v>
      </c>
      <c r="AO303" s="1365">
        <f t="shared" ref="AO303:AO316" si="423">AN303*$AH303</f>
        <v>11680.531200000001</v>
      </c>
      <c r="AP303" s="1366">
        <v>0</v>
      </c>
      <c r="AQ303" s="1367">
        <f t="shared" ref="AQ303:AQ316" si="424">AP303*$AH303</f>
        <v>0</v>
      </c>
      <c r="AR303" s="1368">
        <v>0</v>
      </c>
      <c r="AS303" s="1369">
        <f t="shared" ref="AS303:AS316" si="425">AR303*$AH303</f>
        <v>0</v>
      </c>
      <c r="AT303" s="1370">
        <v>2.5000000000000001E-2</v>
      </c>
      <c r="AU303" s="1371">
        <f t="shared" ref="AU303:AU316" si="426">AT303*$AH303</f>
        <v>7300.3320000000012</v>
      </c>
      <c r="AV303" s="1359">
        <f t="shared" ref="AV303:AV316" si="427">AZ303-AR303-AT303-AP303</f>
        <v>9.999999999999995E-3</v>
      </c>
      <c r="AW303" s="1372">
        <f t="shared" ref="AW303:AW316" si="428">AV303*$AH303</f>
        <v>2920.132799999999</v>
      </c>
      <c r="AX303" s="1373">
        <f t="shared" ref="AX303:AX316" si="429">$AZ303-$AP303</f>
        <v>3.4999999999999996E-2</v>
      </c>
      <c r="AY303" s="1374">
        <f t="shared" ref="AY303:AY316" si="430">AX303*$AH303</f>
        <v>10220.4648</v>
      </c>
      <c r="AZ303" s="1375">
        <f t="shared" ref="AZ303:AZ316" si="431">$AI303-$AL303-$AN303</f>
        <v>3.4999999999999996E-2</v>
      </c>
      <c r="BA303" s="1376">
        <f t="shared" ref="BA303:BA316" si="432">AZ303*$AH303</f>
        <v>10220.4648</v>
      </c>
      <c r="BB303" s="1377"/>
      <c r="BC303" s="1819" t="s">
        <v>122</v>
      </c>
      <c r="BD303" s="1819" t="s">
        <v>123</v>
      </c>
      <c r="BE303" s="1822" t="s">
        <v>237</v>
      </c>
      <c r="BF303" s="1825" t="s">
        <v>4954</v>
      </c>
      <c r="BG303" s="1828">
        <v>943103561</v>
      </c>
    </row>
    <row r="304" spans="1:59" s="1396" customFormat="1" ht="63.75">
      <c r="A304" s="1347" t="str">
        <f t="shared" si="417"/>
        <v>CymaBay Therapeutics, Inc.</v>
      </c>
      <c r="B304" s="1347" t="str">
        <f t="shared" si="420"/>
        <v>ABD</v>
      </c>
      <c r="C304" s="1348">
        <f t="shared" si="418"/>
        <v>24</v>
      </c>
      <c r="D304" s="1349">
        <v>42370</v>
      </c>
      <c r="E304" s="1349"/>
      <c r="F304" s="1347" t="s">
        <v>72</v>
      </c>
      <c r="G304" s="1347" t="s">
        <v>113</v>
      </c>
      <c r="H304" s="1347" t="s">
        <v>72</v>
      </c>
      <c r="I304" s="1347" t="s">
        <v>72</v>
      </c>
      <c r="J304" s="1349" t="s">
        <v>4766</v>
      </c>
      <c r="K304" s="1349" t="s">
        <v>254</v>
      </c>
      <c r="L304" s="1397" t="s">
        <v>4737</v>
      </c>
      <c r="M304" s="1397" t="s">
        <v>3649</v>
      </c>
      <c r="N304" s="1398" t="s">
        <v>4955</v>
      </c>
      <c r="O304" s="1399">
        <v>72500</v>
      </c>
      <c r="P304" s="1399"/>
      <c r="Q304" s="1400"/>
      <c r="R304" s="1400"/>
      <c r="S304" s="1400"/>
      <c r="T304" s="1400"/>
      <c r="U304" s="1400"/>
      <c r="V304" s="1400"/>
      <c r="W304" s="1400"/>
      <c r="X304" s="1400">
        <v>43101</v>
      </c>
      <c r="Y304" s="1400">
        <v>43466</v>
      </c>
      <c r="Z304" s="1460"/>
      <c r="AA304" s="1401" t="s">
        <v>4738</v>
      </c>
      <c r="AB304" s="1402"/>
      <c r="AC304" s="1402"/>
      <c r="AD304" s="1369"/>
      <c r="AE304" s="1369"/>
      <c r="AF304" s="1448" t="str">
        <f t="shared" si="140"/>
        <v/>
      </c>
      <c r="AG304" s="1404"/>
      <c r="AH304" s="1404"/>
      <c r="AI304" s="1405">
        <v>0</v>
      </c>
      <c r="AJ304" s="1411">
        <f>$AI304*$AG304</f>
        <v>0</v>
      </c>
      <c r="AK304" s="1406">
        <f t="shared" si="421"/>
        <v>0</v>
      </c>
      <c r="AL304" s="1384">
        <v>0</v>
      </c>
      <c r="AM304" s="1363">
        <f t="shared" si="422"/>
        <v>0</v>
      </c>
      <c r="AN304" s="1364">
        <v>0</v>
      </c>
      <c r="AO304" s="1365">
        <f t="shared" si="423"/>
        <v>0</v>
      </c>
      <c r="AP304" s="1366">
        <v>0</v>
      </c>
      <c r="AQ304" s="1367">
        <f t="shared" si="424"/>
        <v>0</v>
      </c>
      <c r="AR304" s="1368">
        <v>0</v>
      </c>
      <c r="AS304" s="1369">
        <f t="shared" si="425"/>
        <v>0</v>
      </c>
      <c r="AT304" s="1370">
        <v>0</v>
      </c>
      <c r="AU304" s="1371">
        <f t="shared" si="426"/>
        <v>0</v>
      </c>
      <c r="AV304" s="1359">
        <f t="shared" si="427"/>
        <v>0</v>
      </c>
      <c r="AW304" s="1372">
        <f t="shared" si="428"/>
        <v>0</v>
      </c>
      <c r="AX304" s="1373">
        <f t="shared" si="429"/>
        <v>0</v>
      </c>
      <c r="AY304" s="1374">
        <f t="shared" si="430"/>
        <v>0</v>
      </c>
      <c r="AZ304" s="1375">
        <f t="shared" si="431"/>
        <v>0</v>
      </c>
      <c r="BA304" s="1376">
        <f t="shared" si="432"/>
        <v>0</v>
      </c>
      <c r="BB304" s="1377"/>
      <c r="BC304" s="1820"/>
      <c r="BD304" s="1820"/>
      <c r="BE304" s="1823"/>
      <c r="BF304" s="1826"/>
      <c r="BG304" s="1829"/>
    </row>
    <row r="305" spans="1:59" s="1396" customFormat="1" ht="45" customHeight="1">
      <c r="A305" s="1347" t="str">
        <f t="shared" si="417"/>
        <v>CymaBay Therapeutics, Inc.</v>
      </c>
      <c r="B305" s="1347" t="str">
        <f t="shared" si="420"/>
        <v>ABD</v>
      </c>
      <c r="C305" s="1348">
        <f t="shared" si="418"/>
        <v>24</v>
      </c>
      <c r="D305" s="1349">
        <v>42370</v>
      </c>
      <c r="E305" s="1349"/>
      <c r="F305" s="1347" t="s">
        <v>113</v>
      </c>
      <c r="G305" s="1347" t="s">
        <v>113</v>
      </c>
      <c r="H305" s="1347" t="s">
        <v>113</v>
      </c>
      <c r="I305" s="1347" t="s">
        <v>113</v>
      </c>
      <c r="J305" s="1349" t="s">
        <v>4766</v>
      </c>
      <c r="K305" s="1349" t="s">
        <v>254</v>
      </c>
      <c r="L305" s="1397" t="s">
        <v>4734</v>
      </c>
      <c r="M305" s="1397" t="s">
        <v>3647</v>
      </c>
      <c r="N305" s="1461" t="s">
        <v>4956</v>
      </c>
      <c r="O305" s="1399">
        <v>37278</v>
      </c>
      <c r="P305" s="1399"/>
      <c r="Q305" s="1400"/>
      <c r="R305" s="1400"/>
      <c r="S305" s="1400"/>
      <c r="T305" s="1400"/>
      <c r="U305" s="1400"/>
      <c r="V305" s="1400"/>
      <c r="W305" s="1400"/>
      <c r="X305" s="1400">
        <v>43101</v>
      </c>
      <c r="Y305" s="1400">
        <v>43466</v>
      </c>
      <c r="Z305" s="1460"/>
      <c r="AA305" s="1401" t="s">
        <v>4738</v>
      </c>
      <c r="AB305" s="1402"/>
      <c r="AC305" s="1402"/>
      <c r="AD305" s="1369"/>
      <c r="AE305" s="1369"/>
      <c r="AF305" s="1448" t="str">
        <f t="shared" ref="AF305" si="433">IFERROR((AE305/AB305),"")</f>
        <v/>
      </c>
      <c r="AG305" s="1404"/>
      <c r="AH305" s="1404"/>
      <c r="AI305" s="1405" t="s">
        <v>4957</v>
      </c>
      <c r="AJ305" s="1406">
        <v>0</v>
      </c>
      <c r="AK305" s="1406">
        <v>0</v>
      </c>
      <c r="AL305" s="1384">
        <v>0</v>
      </c>
      <c r="AM305" s="1363">
        <f t="shared" si="422"/>
        <v>0</v>
      </c>
      <c r="AN305" s="1364" t="str">
        <f>AI305</f>
        <v>$16.57pmpm</v>
      </c>
      <c r="AO305" s="1365">
        <v>596.52</v>
      </c>
      <c r="AP305" s="1366">
        <v>0</v>
      </c>
      <c r="AQ305" s="1367">
        <f t="shared" si="424"/>
        <v>0</v>
      </c>
      <c r="AR305" s="1368">
        <v>0</v>
      </c>
      <c r="AS305" s="1369">
        <f t="shared" si="425"/>
        <v>0</v>
      </c>
      <c r="AT305" s="1370">
        <v>0</v>
      </c>
      <c r="AU305" s="1371">
        <f>AS305</f>
        <v>0</v>
      </c>
      <c r="AV305" s="1359">
        <v>0</v>
      </c>
      <c r="AW305" s="1372">
        <v>0</v>
      </c>
      <c r="AX305" s="1373">
        <v>0</v>
      </c>
      <c r="AY305" s="1374">
        <v>0</v>
      </c>
      <c r="AZ305" s="1375">
        <v>0</v>
      </c>
      <c r="BA305" s="1376">
        <f>SUM(AY305+AQ305)</f>
        <v>0</v>
      </c>
      <c r="BB305" s="1377"/>
      <c r="BC305" s="1820"/>
      <c r="BD305" s="1820"/>
      <c r="BE305" s="1823"/>
      <c r="BF305" s="1826"/>
      <c r="BG305" s="1829"/>
    </row>
    <row r="306" spans="1:59" s="1396" customFormat="1" ht="41.25" customHeight="1">
      <c r="A306" s="1347" t="str">
        <f t="shared" si="417"/>
        <v>CymaBay Therapeutics, Inc.</v>
      </c>
      <c r="B306" s="1347" t="str">
        <f t="shared" si="420"/>
        <v>ABD</v>
      </c>
      <c r="C306" s="1348">
        <f t="shared" si="418"/>
        <v>24</v>
      </c>
      <c r="D306" s="1349">
        <v>42370</v>
      </c>
      <c r="E306" s="1349"/>
      <c r="F306" s="1347" t="s">
        <v>113</v>
      </c>
      <c r="G306" s="1347" t="s">
        <v>85</v>
      </c>
      <c r="H306" s="1347" t="s">
        <v>85</v>
      </c>
      <c r="I306" s="1347" t="s">
        <v>113</v>
      </c>
      <c r="J306" s="1349"/>
      <c r="K306" s="1349" t="s">
        <v>254</v>
      </c>
      <c r="L306" s="1350" t="s">
        <v>4675</v>
      </c>
      <c r="M306" s="1350" t="s">
        <v>3650</v>
      </c>
      <c r="N306" s="1389" t="s">
        <v>4958</v>
      </c>
      <c r="O306" s="1352" t="s">
        <v>4677</v>
      </c>
      <c r="P306" s="1352"/>
      <c r="Q306" s="1354"/>
      <c r="R306" s="1354"/>
      <c r="S306" s="1354"/>
      <c r="T306" s="1354"/>
      <c r="U306" s="1353" t="s">
        <v>4959</v>
      </c>
      <c r="V306" s="1353" t="s">
        <v>2481</v>
      </c>
      <c r="W306" s="1354"/>
      <c r="X306" s="1353">
        <v>43101</v>
      </c>
      <c r="Y306" s="1353">
        <v>43466</v>
      </c>
      <c r="Z306" s="1425"/>
      <c r="AA306" s="1355" t="s">
        <v>4679</v>
      </c>
      <c r="AB306" s="1394"/>
      <c r="AC306" s="1394"/>
      <c r="AD306" s="1356"/>
      <c r="AE306" s="1356"/>
      <c r="AF306" s="1395"/>
      <c r="AG306" s="1358">
        <f t="shared" si="419"/>
        <v>3902.85</v>
      </c>
      <c r="AH306" s="1358">
        <v>46834.2</v>
      </c>
      <c r="AI306" s="1359">
        <v>0.1</v>
      </c>
      <c r="AJ306" s="1360">
        <f t="shared" ref="AJ306:AJ316" si="434">$AI306*$AG306</f>
        <v>390.28500000000003</v>
      </c>
      <c r="AK306" s="1361">
        <f t="shared" si="421"/>
        <v>4683.42</v>
      </c>
      <c r="AL306" s="1384">
        <v>0</v>
      </c>
      <c r="AM306" s="1363">
        <f t="shared" si="422"/>
        <v>0</v>
      </c>
      <c r="AN306" s="1364">
        <v>0.08</v>
      </c>
      <c r="AO306" s="1365">
        <f t="shared" si="423"/>
        <v>3746.7359999999999</v>
      </c>
      <c r="AP306" s="1366">
        <v>0</v>
      </c>
      <c r="AQ306" s="1367">
        <f t="shared" si="424"/>
        <v>0</v>
      </c>
      <c r="AR306" s="1368">
        <v>0</v>
      </c>
      <c r="AS306" s="1369">
        <f t="shared" si="425"/>
        <v>0</v>
      </c>
      <c r="AT306" s="1370">
        <v>0</v>
      </c>
      <c r="AU306" s="1371">
        <f t="shared" si="426"/>
        <v>0</v>
      </c>
      <c r="AV306" s="1359">
        <f t="shared" si="427"/>
        <v>2.0000000000000004E-2</v>
      </c>
      <c r="AW306" s="1372">
        <f t="shared" si="428"/>
        <v>936.68400000000008</v>
      </c>
      <c r="AX306" s="1373">
        <f t="shared" si="429"/>
        <v>2.0000000000000004E-2</v>
      </c>
      <c r="AY306" s="1374">
        <f t="shared" si="430"/>
        <v>936.68400000000008</v>
      </c>
      <c r="AZ306" s="1375">
        <f t="shared" si="431"/>
        <v>2.0000000000000004E-2</v>
      </c>
      <c r="BA306" s="1376">
        <f t="shared" si="432"/>
        <v>936.68400000000008</v>
      </c>
      <c r="BB306" s="1377"/>
      <c r="BC306" s="1820"/>
      <c r="BD306" s="1820"/>
      <c r="BE306" s="1823"/>
      <c r="BF306" s="1826"/>
      <c r="BG306" s="1829"/>
    </row>
    <row r="307" spans="1:59" s="1396" customFormat="1" ht="40.5" customHeight="1">
      <c r="A307" s="1347" t="str">
        <f t="shared" si="417"/>
        <v>CymaBay Therapeutics, Inc.</v>
      </c>
      <c r="B307" s="1347" t="str">
        <f t="shared" si="420"/>
        <v>ABD</v>
      </c>
      <c r="C307" s="1348">
        <f t="shared" si="418"/>
        <v>24</v>
      </c>
      <c r="D307" s="1349">
        <v>42370</v>
      </c>
      <c r="E307" s="1349"/>
      <c r="F307" s="1347" t="s">
        <v>113</v>
      </c>
      <c r="G307" s="1347" t="s">
        <v>85</v>
      </c>
      <c r="H307" s="1347" t="s">
        <v>85</v>
      </c>
      <c r="I307" s="1347" t="s">
        <v>113</v>
      </c>
      <c r="J307" s="1349"/>
      <c r="K307" s="1349" t="s">
        <v>254</v>
      </c>
      <c r="L307" s="1350" t="s">
        <v>4675</v>
      </c>
      <c r="M307" s="1350" t="s">
        <v>3651</v>
      </c>
      <c r="N307" s="1351" t="s">
        <v>4875</v>
      </c>
      <c r="O307" s="1352" t="s">
        <v>4681</v>
      </c>
      <c r="P307" s="1352"/>
      <c r="Q307" s="1354"/>
      <c r="R307" s="1354"/>
      <c r="S307" s="1354"/>
      <c r="T307" s="1354"/>
      <c r="U307" s="1354"/>
      <c r="V307" s="1354"/>
      <c r="W307" s="1353" t="s">
        <v>2492</v>
      </c>
      <c r="X307" s="1353">
        <v>43101</v>
      </c>
      <c r="Y307" s="1353">
        <v>43466</v>
      </c>
      <c r="Z307" s="1425"/>
      <c r="AA307" s="1355" t="s">
        <v>4679</v>
      </c>
      <c r="AB307" s="1394"/>
      <c r="AC307" s="1394"/>
      <c r="AD307" s="1356"/>
      <c r="AE307" s="1356"/>
      <c r="AF307" s="1395"/>
      <c r="AG307" s="1358">
        <f t="shared" si="419"/>
        <v>416.69</v>
      </c>
      <c r="AH307" s="1358">
        <v>5000.28</v>
      </c>
      <c r="AI307" s="1359">
        <v>0.1</v>
      </c>
      <c r="AJ307" s="1360">
        <f t="shared" si="434"/>
        <v>41.669000000000004</v>
      </c>
      <c r="AK307" s="1361">
        <f t="shared" si="421"/>
        <v>500.02800000000002</v>
      </c>
      <c r="AL307" s="1384">
        <v>0</v>
      </c>
      <c r="AM307" s="1363">
        <f t="shared" si="422"/>
        <v>0</v>
      </c>
      <c r="AN307" s="1364">
        <v>0.08</v>
      </c>
      <c r="AO307" s="1365">
        <f t="shared" si="423"/>
        <v>400.0224</v>
      </c>
      <c r="AP307" s="1366">
        <v>0</v>
      </c>
      <c r="AQ307" s="1367">
        <f t="shared" si="424"/>
        <v>0</v>
      </c>
      <c r="AR307" s="1368">
        <v>0</v>
      </c>
      <c r="AS307" s="1369">
        <f t="shared" si="425"/>
        <v>0</v>
      </c>
      <c r="AT307" s="1370">
        <v>0</v>
      </c>
      <c r="AU307" s="1371">
        <f t="shared" si="426"/>
        <v>0</v>
      </c>
      <c r="AV307" s="1359">
        <f t="shared" si="427"/>
        <v>2.0000000000000004E-2</v>
      </c>
      <c r="AW307" s="1372">
        <f t="shared" si="428"/>
        <v>100.00560000000002</v>
      </c>
      <c r="AX307" s="1373">
        <f t="shared" si="429"/>
        <v>2.0000000000000004E-2</v>
      </c>
      <c r="AY307" s="1374">
        <f t="shared" si="430"/>
        <v>100.00560000000002</v>
      </c>
      <c r="AZ307" s="1375">
        <f t="shared" si="431"/>
        <v>2.0000000000000004E-2</v>
      </c>
      <c r="BA307" s="1376">
        <f t="shared" si="432"/>
        <v>100.00560000000002</v>
      </c>
      <c r="BB307" s="1377"/>
      <c r="BC307" s="1820"/>
      <c r="BD307" s="1820"/>
      <c r="BE307" s="1823"/>
      <c r="BF307" s="1826"/>
      <c r="BG307" s="1829"/>
    </row>
    <row r="308" spans="1:59" s="1396" customFormat="1" ht="38.25">
      <c r="A308" s="1347" t="str">
        <f t="shared" si="417"/>
        <v>CymaBay Therapeutics, Inc.</v>
      </c>
      <c r="B308" s="1347" t="str">
        <f t="shared" si="420"/>
        <v>ABD</v>
      </c>
      <c r="C308" s="1348">
        <f t="shared" si="418"/>
        <v>24</v>
      </c>
      <c r="D308" s="1349">
        <v>42370</v>
      </c>
      <c r="E308" s="1349"/>
      <c r="F308" s="1347" t="s">
        <v>113</v>
      </c>
      <c r="G308" s="1347" t="s">
        <v>85</v>
      </c>
      <c r="H308" s="1347" t="s">
        <v>85</v>
      </c>
      <c r="I308" s="1347" t="s">
        <v>113</v>
      </c>
      <c r="J308" s="1349"/>
      <c r="K308" s="1349" t="s">
        <v>254</v>
      </c>
      <c r="L308" s="1350" t="s">
        <v>4682</v>
      </c>
      <c r="M308" s="1350" t="s">
        <v>4683</v>
      </c>
      <c r="N308" s="1386" t="s">
        <v>4960</v>
      </c>
      <c r="O308" s="1352" t="s">
        <v>4684</v>
      </c>
      <c r="P308" s="1387"/>
      <c r="Q308" s="1354"/>
      <c r="R308" s="1354"/>
      <c r="S308" s="1354"/>
      <c r="T308" s="1354"/>
      <c r="U308" s="1354"/>
      <c r="V308" s="1354"/>
      <c r="W308" s="1354"/>
      <c r="X308" s="1353">
        <v>43101</v>
      </c>
      <c r="Y308" s="1353">
        <v>43466</v>
      </c>
      <c r="Z308" s="1425"/>
      <c r="AA308" s="1355" t="s">
        <v>4685</v>
      </c>
      <c r="AB308" s="1394"/>
      <c r="AC308" s="1394"/>
      <c r="AD308" s="1356"/>
      <c r="AE308" s="1356"/>
      <c r="AF308" s="1395"/>
      <c r="AG308" s="1358">
        <f t="shared" si="419"/>
        <v>1204.9641666666666</v>
      </c>
      <c r="AH308" s="1358">
        <v>14459.57</v>
      </c>
      <c r="AI308" s="1359">
        <v>0.15</v>
      </c>
      <c r="AJ308" s="1360">
        <f t="shared" si="434"/>
        <v>180.74462499999998</v>
      </c>
      <c r="AK308" s="1361">
        <f t="shared" si="421"/>
        <v>2168.9355</v>
      </c>
      <c r="AL308" s="1384">
        <v>0</v>
      </c>
      <c r="AM308" s="1363">
        <f t="shared" si="422"/>
        <v>0</v>
      </c>
      <c r="AN308" s="1364">
        <v>0.1</v>
      </c>
      <c r="AO308" s="1365">
        <f t="shared" si="423"/>
        <v>1445.9570000000001</v>
      </c>
      <c r="AP308" s="1366">
        <v>0</v>
      </c>
      <c r="AQ308" s="1367">
        <f t="shared" si="424"/>
        <v>0</v>
      </c>
      <c r="AR308" s="1368">
        <v>0</v>
      </c>
      <c r="AS308" s="1369">
        <f t="shared" si="425"/>
        <v>0</v>
      </c>
      <c r="AT308" s="1370">
        <v>0</v>
      </c>
      <c r="AU308" s="1371">
        <f t="shared" si="426"/>
        <v>0</v>
      </c>
      <c r="AV308" s="1359">
        <f t="shared" si="427"/>
        <v>4.9999999999999989E-2</v>
      </c>
      <c r="AW308" s="1372">
        <f t="shared" si="428"/>
        <v>722.97849999999983</v>
      </c>
      <c r="AX308" s="1373">
        <f t="shared" si="429"/>
        <v>4.9999999999999989E-2</v>
      </c>
      <c r="AY308" s="1374">
        <f t="shared" si="430"/>
        <v>722.97849999999983</v>
      </c>
      <c r="AZ308" s="1375">
        <f t="shared" si="431"/>
        <v>4.9999999999999989E-2</v>
      </c>
      <c r="BA308" s="1376">
        <f t="shared" si="432"/>
        <v>722.97849999999983</v>
      </c>
      <c r="BB308" s="1377"/>
      <c r="BC308" s="1820"/>
      <c r="BD308" s="1820"/>
      <c r="BE308" s="1823"/>
      <c r="BF308" s="1826"/>
      <c r="BG308" s="1829"/>
    </row>
    <row r="309" spans="1:59" s="1396" customFormat="1" ht="38.25">
      <c r="A309" s="1347" t="str">
        <f t="shared" si="417"/>
        <v>CymaBay Therapeutics, Inc.</v>
      </c>
      <c r="B309" s="1347" t="str">
        <f t="shared" si="420"/>
        <v>ABD</v>
      </c>
      <c r="C309" s="1348">
        <f t="shared" si="418"/>
        <v>24</v>
      </c>
      <c r="D309" s="1349">
        <v>42370</v>
      </c>
      <c r="E309" s="1349"/>
      <c r="F309" s="1347" t="s">
        <v>113</v>
      </c>
      <c r="G309" s="1347" t="s">
        <v>85</v>
      </c>
      <c r="H309" s="1347" t="s">
        <v>85</v>
      </c>
      <c r="I309" s="1347" t="s">
        <v>113</v>
      </c>
      <c r="J309" s="1349"/>
      <c r="K309" s="1349" t="s">
        <v>254</v>
      </c>
      <c r="L309" s="1350" t="s">
        <v>4682</v>
      </c>
      <c r="M309" s="1350" t="s">
        <v>4686</v>
      </c>
      <c r="N309" s="1386" t="s">
        <v>60</v>
      </c>
      <c r="O309" s="1352" t="s">
        <v>4687</v>
      </c>
      <c r="P309" s="1387"/>
      <c r="Q309" s="1354"/>
      <c r="R309" s="1354"/>
      <c r="S309" s="1354"/>
      <c r="T309" s="1354"/>
      <c r="U309" s="1354"/>
      <c r="V309" s="1354"/>
      <c r="W309" s="1354"/>
      <c r="X309" s="1353">
        <v>43101</v>
      </c>
      <c r="Y309" s="1353">
        <v>43466</v>
      </c>
      <c r="Z309" s="1425"/>
      <c r="AA309" s="1355" t="s">
        <v>4685</v>
      </c>
      <c r="AB309" s="1394"/>
      <c r="AC309" s="1394"/>
      <c r="AD309" s="1356"/>
      <c r="AE309" s="1356"/>
      <c r="AF309" s="1395"/>
      <c r="AG309" s="1358">
        <f t="shared" si="419"/>
        <v>79.59</v>
      </c>
      <c r="AH309" s="1358">
        <v>955.08</v>
      </c>
      <c r="AI309" s="1359">
        <v>0.15</v>
      </c>
      <c r="AJ309" s="1360">
        <f t="shared" si="434"/>
        <v>11.938499999999999</v>
      </c>
      <c r="AK309" s="1361">
        <f t="shared" si="421"/>
        <v>143.262</v>
      </c>
      <c r="AL309" s="1384">
        <v>0</v>
      </c>
      <c r="AM309" s="1363">
        <f t="shared" si="422"/>
        <v>0</v>
      </c>
      <c r="AN309" s="1364">
        <v>0.1</v>
      </c>
      <c r="AO309" s="1365">
        <f t="shared" si="423"/>
        <v>95.50800000000001</v>
      </c>
      <c r="AP309" s="1366">
        <v>0</v>
      </c>
      <c r="AQ309" s="1367">
        <f t="shared" si="424"/>
        <v>0</v>
      </c>
      <c r="AR309" s="1368">
        <v>0</v>
      </c>
      <c r="AS309" s="1369">
        <f t="shared" si="425"/>
        <v>0</v>
      </c>
      <c r="AT309" s="1370">
        <v>0</v>
      </c>
      <c r="AU309" s="1371">
        <f t="shared" si="426"/>
        <v>0</v>
      </c>
      <c r="AV309" s="1359">
        <f t="shared" si="427"/>
        <v>4.9999999999999989E-2</v>
      </c>
      <c r="AW309" s="1372">
        <f t="shared" si="428"/>
        <v>47.753999999999991</v>
      </c>
      <c r="AX309" s="1373">
        <f t="shared" si="429"/>
        <v>4.9999999999999989E-2</v>
      </c>
      <c r="AY309" s="1374">
        <f t="shared" si="430"/>
        <v>47.753999999999991</v>
      </c>
      <c r="AZ309" s="1375">
        <f t="shared" si="431"/>
        <v>4.9999999999999989E-2</v>
      </c>
      <c r="BA309" s="1376">
        <f t="shared" si="432"/>
        <v>47.753999999999991</v>
      </c>
      <c r="BB309" s="1377"/>
      <c r="BC309" s="1820"/>
      <c r="BD309" s="1820"/>
      <c r="BE309" s="1823"/>
      <c r="BF309" s="1826"/>
      <c r="BG309" s="1829"/>
    </row>
    <row r="310" spans="1:59" s="1396" customFormat="1" ht="38.25">
      <c r="A310" s="1347" t="str">
        <f t="shared" si="417"/>
        <v>CymaBay Therapeutics, Inc.</v>
      </c>
      <c r="B310" s="1347" t="str">
        <f t="shared" si="420"/>
        <v>ABD</v>
      </c>
      <c r="C310" s="1348">
        <f t="shared" si="418"/>
        <v>24</v>
      </c>
      <c r="D310" s="1349">
        <v>42370</v>
      </c>
      <c r="E310" s="1349"/>
      <c r="F310" s="1347" t="s">
        <v>113</v>
      </c>
      <c r="G310" s="1347" t="s">
        <v>85</v>
      </c>
      <c r="H310" s="1347" t="s">
        <v>85</v>
      </c>
      <c r="I310" s="1347" t="s">
        <v>113</v>
      </c>
      <c r="J310" s="1349"/>
      <c r="K310" s="1349" t="s">
        <v>254</v>
      </c>
      <c r="L310" s="1350" t="s">
        <v>4682</v>
      </c>
      <c r="M310" s="1350" t="s">
        <v>62</v>
      </c>
      <c r="N310" s="1351" t="s">
        <v>81</v>
      </c>
      <c r="O310" s="1352" t="s">
        <v>4688</v>
      </c>
      <c r="P310" s="1352"/>
      <c r="Q310" s="1354"/>
      <c r="R310" s="1354"/>
      <c r="S310" s="1354"/>
      <c r="T310" s="1354"/>
      <c r="U310" s="1354"/>
      <c r="V310" s="1354"/>
      <c r="W310" s="1354"/>
      <c r="X310" s="1353">
        <v>43101</v>
      </c>
      <c r="Y310" s="1353">
        <v>43466</v>
      </c>
      <c r="Z310" s="1425"/>
      <c r="AA310" s="1355" t="s">
        <v>4685</v>
      </c>
      <c r="AB310" s="1394"/>
      <c r="AC310" s="1394"/>
      <c r="AD310" s="1356"/>
      <c r="AE310" s="1356"/>
      <c r="AF310" s="1395"/>
      <c r="AG310" s="1358">
        <f t="shared" si="419"/>
        <v>455.72749999999996</v>
      </c>
      <c r="AH310" s="1358">
        <v>5468.73</v>
      </c>
      <c r="AI310" s="1359">
        <v>0.15</v>
      </c>
      <c r="AJ310" s="1360">
        <f t="shared" si="434"/>
        <v>68.359124999999992</v>
      </c>
      <c r="AK310" s="1361">
        <f t="shared" si="421"/>
        <v>820.30949999999996</v>
      </c>
      <c r="AL310" s="1384">
        <v>0</v>
      </c>
      <c r="AM310" s="1363">
        <f t="shared" si="422"/>
        <v>0</v>
      </c>
      <c r="AN310" s="1364">
        <v>0.1</v>
      </c>
      <c r="AO310" s="1365">
        <f t="shared" si="423"/>
        <v>546.87299999999993</v>
      </c>
      <c r="AP310" s="1366">
        <v>0</v>
      </c>
      <c r="AQ310" s="1367">
        <f t="shared" si="424"/>
        <v>0</v>
      </c>
      <c r="AR310" s="1368">
        <v>0</v>
      </c>
      <c r="AS310" s="1369">
        <f t="shared" si="425"/>
        <v>0</v>
      </c>
      <c r="AT310" s="1370">
        <v>0</v>
      </c>
      <c r="AU310" s="1371">
        <f t="shared" si="426"/>
        <v>0</v>
      </c>
      <c r="AV310" s="1359">
        <f t="shared" si="427"/>
        <v>4.9999999999999989E-2</v>
      </c>
      <c r="AW310" s="1372">
        <f t="shared" si="428"/>
        <v>273.43649999999991</v>
      </c>
      <c r="AX310" s="1373">
        <f t="shared" si="429"/>
        <v>4.9999999999999989E-2</v>
      </c>
      <c r="AY310" s="1374">
        <f t="shared" si="430"/>
        <v>273.43649999999991</v>
      </c>
      <c r="AZ310" s="1375">
        <f t="shared" si="431"/>
        <v>4.9999999999999989E-2</v>
      </c>
      <c r="BA310" s="1376">
        <f t="shared" si="432"/>
        <v>273.43649999999991</v>
      </c>
      <c r="BB310" s="1377"/>
      <c r="BC310" s="1820"/>
      <c r="BD310" s="1820"/>
      <c r="BE310" s="1823"/>
      <c r="BF310" s="1826"/>
      <c r="BG310" s="1829"/>
    </row>
    <row r="311" spans="1:59" s="1396" customFormat="1" ht="38.25">
      <c r="A311" s="1347" t="str">
        <f t="shared" si="417"/>
        <v>CymaBay Therapeutics, Inc.</v>
      </c>
      <c r="B311" s="1347" t="str">
        <f t="shared" si="420"/>
        <v>ABD</v>
      </c>
      <c r="C311" s="1348">
        <f t="shared" si="418"/>
        <v>24</v>
      </c>
      <c r="D311" s="1349">
        <v>42370</v>
      </c>
      <c r="E311" s="1349"/>
      <c r="F311" s="1347" t="s">
        <v>113</v>
      </c>
      <c r="G311" s="1347" t="s">
        <v>85</v>
      </c>
      <c r="H311" s="1347" t="s">
        <v>85</v>
      </c>
      <c r="I311" s="1347" t="s">
        <v>113</v>
      </c>
      <c r="J311" s="1349"/>
      <c r="K311" s="1349" t="s">
        <v>254</v>
      </c>
      <c r="L311" s="1350" t="s">
        <v>4682</v>
      </c>
      <c r="M311" s="1350" t="s">
        <v>67</v>
      </c>
      <c r="N311" s="1351" t="s">
        <v>68</v>
      </c>
      <c r="O311" s="1352" t="s">
        <v>4689</v>
      </c>
      <c r="P311" s="1352"/>
      <c r="Q311" s="1354"/>
      <c r="R311" s="1354"/>
      <c r="S311" s="1354"/>
      <c r="T311" s="1354"/>
      <c r="U311" s="1354"/>
      <c r="V311" s="1354"/>
      <c r="W311" s="1354"/>
      <c r="X311" s="1353">
        <v>43101</v>
      </c>
      <c r="Y311" s="1353">
        <v>43466</v>
      </c>
      <c r="Z311" s="1425"/>
      <c r="AA311" s="1355" t="s">
        <v>4685</v>
      </c>
      <c r="AB311" s="1394"/>
      <c r="AC311" s="1394"/>
      <c r="AD311" s="1356"/>
      <c r="AE311" s="1356"/>
      <c r="AF311" s="1395"/>
      <c r="AG311" s="1358">
        <f t="shared" si="419"/>
        <v>1386.4716666666666</v>
      </c>
      <c r="AH311" s="1358">
        <v>16637.66</v>
      </c>
      <c r="AI311" s="1359">
        <v>0.15</v>
      </c>
      <c r="AJ311" s="1360">
        <f t="shared" si="434"/>
        <v>207.97074999999998</v>
      </c>
      <c r="AK311" s="1361">
        <f t="shared" si="421"/>
        <v>2495.6489999999999</v>
      </c>
      <c r="AL311" s="1384">
        <v>0</v>
      </c>
      <c r="AM311" s="1363">
        <f t="shared" si="422"/>
        <v>0</v>
      </c>
      <c r="AN311" s="1364">
        <v>0.1</v>
      </c>
      <c r="AO311" s="1365">
        <f t="shared" si="423"/>
        <v>1663.7660000000001</v>
      </c>
      <c r="AP311" s="1366">
        <v>0</v>
      </c>
      <c r="AQ311" s="1367">
        <f t="shared" si="424"/>
        <v>0</v>
      </c>
      <c r="AR311" s="1368">
        <v>0</v>
      </c>
      <c r="AS311" s="1369">
        <f t="shared" si="425"/>
        <v>0</v>
      </c>
      <c r="AT311" s="1370">
        <v>0</v>
      </c>
      <c r="AU311" s="1371">
        <f t="shared" si="426"/>
        <v>0</v>
      </c>
      <c r="AV311" s="1359">
        <f t="shared" si="427"/>
        <v>4.9999999999999989E-2</v>
      </c>
      <c r="AW311" s="1372">
        <f t="shared" si="428"/>
        <v>831.88299999999981</v>
      </c>
      <c r="AX311" s="1373">
        <f t="shared" si="429"/>
        <v>4.9999999999999989E-2</v>
      </c>
      <c r="AY311" s="1374">
        <f t="shared" si="430"/>
        <v>831.88299999999981</v>
      </c>
      <c r="AZ311" s="1375">
        <f t="shared" si="431"/>
        <v>4.9999999999999989E-2</v>
      </c>
      <c r="BA311" s="1376">
        <f t="shared" si="432"/>
        <v>831.88299999999981</v>
      </c>
      <c r="BB311" s="1377"/>
      <c r="BC311" s="1820"/>
      <c r="BD311" s="1820"/>
      <c r="BE311" s="1823"/>
      <c r="BF311" s="1826"/>
      <c r="BG311" s="1829"/>
    </row>
    <row r="312" spans="1:59" s="1396" customFormat="1" ht="27.75" customHeight="1">
      <c r="A312" s="1347" t="s">
        <v>411</v>
      </c>
      <c r="B312" s="1348" t="s">
        <v>3654</v>
      </c>
      <c r="C312" s="1348">
        <v>22</v>
      </c>
      <c r="D312" s="1349">
        <v>42370</v>
      </c>
      <c r="E312" s="1349"/>
      <c r="F312" s="1347" t="s">
        <v>72</v>
      </c>
      <c r="G312" s="1347" t="s">
        <v>85</v>
      </c>
      <c r="H312" s="1347" t="s">
        <v>72</v>
      </c>
      <c r="I312" s="1347" t="s">
        <v>72</v>
      </c>
      <c r="J312" s="1349" t="s">
        <v>4670</v>
      </c>
      <c r="K312" s="1349" t="s">
        <v>254</v>
      </c>
      <c r="L312" s="1350" t="s">
        <v>4696</v>
      </c>
      <c r="M312" s="1350" t="s">
        <v>4697</v>
      </c>
      <c r="N312" s="1389" t="s">
        <v>4698</v>
      </c>
      <c r="O312" s="1352" t="s">
        <v>4699</v>
      </c>
      <c r="P312" s="1352"/>
      <c r="Q312" s="1354"/>
      <c r="R312" s="1354"/>
      <c r="S312" s="1354"/>
      <c r="T312" s="1354"/>
      <c r="U312" s="1354"/>
      <c r="V312" s="1354"/>
      <c r="W312" s="1354"/>
      <c r="X312" s="1353">
        <v>43101</v>
      </c>
      <c r="Y312" s="1353">
        <v>43466</v>
      </c>
      <c r="Z312" s="1425"/>
      <c r="AA312" s="1355" t="s">
        <v>4674</v>
      </c>
      <c r="AB312" s="1394"/>
      <c r="AC312" s="1394"/>
      <c r="AD312" s="1394"/>
      <c r="AE312" s="1356"/>
      <c r="AF312" s="1395" t="str">
        <f t="shared" ref="AF312:AF329" si="435">IFERROR((AE312/AB312),"")</f>
        <v/>
      </c>
      <c r="AG312" s="1380"/>
      <c r="AH312" s="1380"/>
      <c r="AI312" s="1381">
        <v>0</v>
      </c>
      <c r="AJ312" s="1382">
        <f t="shared" si="434"/>
        <v>0</v>
      </c>
      <c r="AK312" s="1383">
        <f t="shared" si="421"/>
        <v>0</v>
      </c>
      <c r="AL312" s="1462">
        <v>0</v>
      </c>
      <c r="AM312" s="1463">
        <f t="shared" si="422"/>
        <v>0</v>
      </c>
      <c r="AN312" s="1464">
        <v>0</v>
      </c>
      <c r="AO312" s="1465">
        <f t="shared" si="423"/>
        <v>0</v>
      </c>
      <c r="AP312" s="1466">
        <v>0</v>
      </c>
      <c r="AQ312" s="1467">
        <f t="shared" si="424"/>
        <v>0</v>
      </c>
      <c r="AR312" s="1468">
        <v>0</v>
      </c>
      <c r="AS312" s="1402">
        <f t="shared" si="425"/>
        <v>0</v>
      </c>
      <c r="AT312" s="1469">
        <v>0</v>
      </c>
      <c r="AU312" s="1470">
        <f t="shared" si="426"/>
        <v>0</v>
      </c>
      <c r="AV312" s="1471">
        <f t="shared" si="427"/>
        <v>0</v>
      </c>
      <c r="AW312" s="1472">
        <f t="shared" si="428"/>
        <v>0</v>
      </c>
      <c r="AX312" s="1473">
        <f t="shared" si="429"/>
        <v>0</v>
      </c>
      <c r="AY312" s="1474">
        <f t="shared" si="430"/>
        <v>0</v>
      </c>
      <c r="AZ312" s="1475">
        <f t="shared" si="431"/>
        <v>0</v>
      </c>
      <c r="BA312" s="1476">
        <f t="shared" si="432"/>
        <v>0</v>
      </c>
      <c r="BB312" s="1477"/>
      <c r="BC312" s="1820"/>
      <c r="BD312" s="1820"/>
      <c r="BE312" s="1823"/>
      <c r="BF312" s="1826"/>
      <c r="BG312" s="1829"/>
    </row>
    <row r="313" spans="1:59" s="1396" customFormat="1" ht="38.25">
      <c r="A313" s="1347" t="str">
        <f t="shared" si="417"/>
        <v>CymaBay Therapeutics, Inc.</v>
      </c>
      <c r="B313" s="1347" t="str">
        <f>$B$302</f>
        <v>ABD</v>
      </c>
      <c r="C313" s="1348">
        <f t="shared" si="418"/>
        <v>24</v>
      </c>
      <c r="D313" s="1349">
        <v>42370</v>
      </c>
      <c r="E313" s="1349"/>
      <c r="F313" s="1347" t="s">
        <v>72</v>
      </c>
      <c r="G313" s="1347" t="s">
        <v>4700</v>
      </c>
      <c r="H313" s="1347" t="s">
        <v>72</v>
      </c>
      <c r="I313" s="1347" t="s">
        <v>72</v>
      </c>
      <c r="J313" s="1349" t="s">
        <v>4670</v>
      </c>
      <c r="K313" s="1349" t="s">
        <v>254</v>
      </c>
      <c r="L313" s="1350" t="s">
        <v>48</v>
      </c>
      <c r="M313" s="1350" t="s">
        <v>3652</v>
      </c>
      <c r="N313" s="1390" t="s">
        <v>4909</v>
      </c>
      <c r="O313" s="1352" t="s">
        <v>4961</v>
      </c>
      <c r="P313" s="1352"/>
      <c r="Q313" s="1354"/>
      <c r="R313" s="1354"/>
      <c r="S313" s="1354"/>
      <c r="T313" s="1354"/>
      <c r="U313" s="1354"/>
      <c r="V313" s="1354"/>
      <c r="W313" s="1354"/>
      <c r="X313" s="1353">
        <v>43101</v>
      </c>
      <c r="Y313" s="1353">
        <v>43466</v>
      </c>
      <c r="Z313" s="1425"/>
      <c r="AA313" s="1355" t="s">
        <v>4674</v>
      </c>
      <c r="AB313" s="1394"/>
      <c r="AC313" s="1394"/>
      <c r="AD313" s="1356"/>
      <c r="AE313" s="1356"/>
      <c r="AF313" s="1395" t="str">
        <f t="shared" si="435"/>
        <v/>
      </c>
      <c r="AG313" s="1380"/>
      <c r="AH313" s="1380"/>
      <c r="AI313" s="1381">
        <v>0</v>
      </c>
      <c r="AJ313" s="1382">
        <f t="shared" si="434"/>
        <v>0</v>
      </c>
      <c r="AK313" s="1383">
        <f t="shared" si="421"/>
        <v>0</v>
      </c>
      <c r="AL313" s="1384">
        <v>0</v>
      </c>
      <c r="AM313" s="1363">
        <f t="shared" si="422"/>
        <v>0</v>
      </c>
      <c r="AN313" s="1364">
        <v>0</v>
      </c>
      <c r="AO313" s="1365">
        <f t="shared" si="423"/>
        <v>0</v>
      </c>
      <c r="AP313" s="1366">
        <v>0</v>
      </c>
      <c r="AQ313" s="1367">
        <f t="shared" si="424"/>
        <v>0</v>
      </c>
      <c r="AR313" s="1368">
        <v>0</v>
      </c>
      <c r="AS313" s="1369">
        <f t="shared" si="425"/>
        <v>0</v>
      </c>
      <c r="AT313" s="1370">
        <v>0</v>
      </c>
      <c r="AU313" s="1371">
        <f t="shared" si="426"/>
        <v>0</v>
      </c>
      <c r="AV313" s="1359">
        <f t="shared" si="427"/>
        <v>0</v>
      </c>
      <c r="AW313" s="1372">
        <f t="shared" si="428"/>
        <v>0</v>
      </c>
      <c r="AX313" s="1373">
        <f t="shared" si="429"/>
        <v>0</v>
      </c>
      <c r="AY313" s="1374">
        <f t="shared" si="430"/>
        <v>0</v>
      </c>
      <c r="AZ313" s="1375">
        <f t="shared" si="431"/>
        <v>0</v>
      </c>
      <c r="BA313" s="1376">
        <f t="shared" si="432"/>
        <v>0</v>
      </c>
      <c r="BB313" s="1377"/>
      <c r="BC313" s="1820"/>
      <c r="BD313" s="1820"/>
      <c r="BE313" s="1823"/>
      <c r="BF313" s="1826"/>
      <c r="BG313" s="1829"/>
    </row>
    <row r="314" spans="1:59" s="1396" customFormat="1" ht="38.25">
      <c r="A314" s="1347" t="str">
        <f t="shared" si="417"/>
        <v>CymaBay Therapeutics, Inc.</v>
      </c>
      <c r="B314" s="1347" t="str">
        <f>$B$302</f>
        <v>ABD</v>
      </c>
      <c r="C314" s="1348">
        <f t="shared" si="418"/>
        <v>24</v>
      </c>
      <c r="D314" s="1349">
        <v>42370</v>
      </c>
      <c r="E314" s="1349"/>
      <c r="F314" s="1347" t="s">
        <v>72</v>
      </c>
      <c r="G314" s="1347" t="s">
        <v>85</v>
      </c>
      <c r="H314" s="1347" t="s">
        <v>72</v>
      </c>
      <c r="I314" s="1347" t="s">
        <v>72</v>
      </c>
      <c r="J314" s="1349" t="s">
        <v>4670</v>
      </c>
      <c r="K314" s="1349" t="s">
        <v>254</v>
      </c>
      <c r="L314" s="1350" t="s">
        <v>48</v>
      </c>
      <c r="M314" s="1350" t="s">
        <v>253</v>
      </c>
      <c r="N314" s="1390" t="s">
        <v>4703</v>
      </c>
      <c r="O314" s="1352" t="s">
        <v>4962</v>
      </c>
      <c r="P314" s="1352"/>
      <c r="Q314" s="1354"/>
      <c r="R314" s="1354"/>
      <c r="S314" s="1354"/>
      <c r="T314" s="1354"/>
      <c r="U314" s="1354"/>
      <c r="V314" s="1354"/>
      <c r="W314" s="1354"/>
      <c r="X314" s="1353">
        <v>43101</v>
      </c>
      <c r="Y314" s="1353">
        <v>43466</v>
      </c>
      <c r="Z314" s="1425"/>
      <c r="AA314" s="1355" t="s">
        <v>4674</v>
      </c>
      <c r="AB314" s="1394"/>
      <c r="AC314" s="1394"/>
      <c r="AD314" s="1356"/>
      <c r="AE314" s="1356"/>
      <c r="AF314" s="1395" t="str">
        <f t="shared" si="435"/>
        <v/>
      </c>
      <c r="AG314" s="1380"/>
      <c r="AH314" s="1380"/>
      <c r="AI314" s="1381">
        <v>0</v>
      </c>
      <c r="AJ314" s="1382">
        <f t="shared" si="434"/>
        <v>0</v>
      </c>
      <c r="AK314" s="1383">
        <f t="shared" si="421"/>
        <v>0</v>
      </c>
      <c r="AL314" s="1384">
        <v>0</v>
      </c>
      <c r="AM314" s="1363">
        <f t="shared" si="422"/>
        <v>0</v>
      </c>
      <c r="AN314" s="1364">
        <v>0</v>
      </c>
      <c r="AO314" s="1365">
        <f t="shared" si="423"/>
        <v>0</v>
      </c>
      <c r="AP314" s="1366">
        <v>0</v>
      </c>
      <c r="AQ314" s="1367">
        <f t="shared" si="424"/>
        <v>0</v>
      </c>
      <c r="AR314" s="1368">
        <v>0</v>
      </c>
      <c r="AS314" s="1369">
        <f t="shared" si="425"/>
        <v>0</v>
      </c>
      <c r="AT314" s="1370">
        <v>0</v>
      </c>
      <c r="AU314" s="1371">
        <f t="shared" si="426"/>
        <v>0</v>
      </c>
      <c r="AV314" s="1359">
        <f t="shared" si="427"/>
        <v>0</v>
      </c>
      <c r="AW314" s="1372">
        <f t="shared" si="428"/>
        <v>0</v>
      </c>
      <c r="AX314" s="1373">
        <f t="shared" si="429"/>
        <v>0</v>
      </c>
      <c r="AY314" s="1374">
        <f t="shared" si="430"/>
        <v>0</v>
      </c>
      <c r="AZ314" s="1375">
        <f t="shared" si="431"/>
        <v>0</v>
      </c>
      <c r="BA314" s="1376">
        <f t="shared" si="432"/>
        <v>0</v>
      </c>
      <c r="BB314" s="1377"/>
      <c r="BC314" s="1820"/>
      <c r="BD314" s="1820"/>
      <c r="BE314" s="1823"/>
      <c r="BF314" s="1826"/>
      <c r="BG314" s="1829"/>
    </row>
    <row r="315" spans="1:59" s="1396" customFormat="1" ht="38.25">
      <c r="A315" s="1347" t="str">
        <f t="shared" si="417"/>
        <v>CymaBay Therapeutics, Inc.</v>
      </c>
      <c r="B315" s="1347" t="str">
        <f>$B$302</f>
        <v>ABD</v>
      </c>
      <c r="C315" s="1348">
        <f t="shared" si="418"/>
        <v>24</v>
      </c>
      <c r="D315" s="1349">
        <v>42370</v>
      </c>
      <c r="E315" s="1349"/>
      <c r="F315" s="1347" t="s">
        <v>72</v>
      </c>
      <c r="G315" s="1347" t="s">
        <v>85</v>
      </c>
      <c r="H315" s="1347" t="s">
        <v>72</v>
      </c>
      <c r="I315" s="1347" t="s">
        <v>113</v>
      </c>
      <c r="J315" s="1349" t="s">
        <v>4670</v>
      </c>
      <c r="K315" s="1349" t="s">
        <v>254</v>
      </c>
      <c r="L315" s="1350" t="s">
        <v>49</v>
      </c>
      <c r="M315" s="1350" t="s">
        <v>4705</v>
      </c>
      <c r="N315" s="1390" t="s">
        <v>4706</v>
      </c>
      <c r="O315" s="1352" t="s">
        <v>4707</v>
      </c>
      <c r="P315" s="1352"/>
      <c r="Q315" s="1354"/>
      <c r="R315" s="1354"/>
      <c r="S315" s="1354"/>
      <c r="T315" s="1354"/>
      <c r="U315" s="1354"/>
      <c r="V315" s="1354"/>
      <c r="W315" s="1354"/>
      <c r="X315" s="1353">
        <v>43101</v>
      </c>
      <c r="Y315" s="1353">
        <v>43466</v>
      </c>
      <c r="Z315" s="1355"/>
      <c r="AA315" s="1355" t="s">
        <v>4674</v>
      </c>
      <c r="AB315" s="1356"/>
      <c r="AC315" s="1356"/>
      <c r="AD315" s="1356"/>
      <c r="AE315" s="1356"/>
      <c r="AF315" s="1357" t="str">
        <f t="shared" si="435"/>
        <v/>
      </c>
      <c r="AG315" s="1380"/>
      <c r="AH315" s="1380"/>
      <c r="AI315" s="1381">
        <v>0</v>
      </c>
      <c r="AJ315" s="1382">
        <f t="shared" si="434"/>
        <v>0</v>
      </c>
      <c r="AK315" s="1383">
        <f t="shared" si="421"/>
        <v>0</v>
      </c>
      <c r="AL315" s="1384">
        <v>0</v>
      </c>
      <c r="AM315" s="1363">
        <f t="shared" si="422"/>
        <v>0</v>
      </c>
      <c r="AN315" s="1364">
        <v>0</v>
      </c>
      <c r="AO315" s="1365">
        <f t="shared" si="423"/>
        <v>0</v>
      </c>
      <c r="AP315" s="1366">
        <v>0</v>
      </c>
      <c r="AQ315" s="1367">
        <f t="shared" si="424"/>
        <v>0</v>
      </c>
      <c r="AR315" s="1368">
        <v>0</v>
      </c>
      <c r="AS315" s="1369">
        <f t="shared" si="425"/>
        <v>0</v>
      </c>
      <c r="AT315" s="1370">
        <v>0</v>
      </c>
      <c r="AU315" s="1371">
        <f t="shared" si="426"/>
        <v>0</v>
      </c>
      <c r="AV315" s="1359">
        <f t="shared" si="427"/>
        <v>0</v>
      </c>
      <c r="AW315" s="1372">
        <f t="shared" si="428"/>
        <v>0</v>
      </c>
      <c r="AX315" s="1373">
        <f t="shared" si="429"/>
        <v>0</v>
      </c>
      <c r="AY315" s="1374">
        <f t="shared" si="430"/>
        <v>0</v>
      </c>
      <c r="AZ315" s="1375">
        <f t="shared" si="431"/>
        <v>0</v>
      </c>
      <c r="BA315" s="1376">
        <f t="shared" si="432"/>
        <v>0</v>
      </c>
      <c r="BB315" s="1377"/>
      <c r="BC315" s="1820"/>
      <c r="BD315" s="1820"/>
      <c r="BE315" s="1823"/>
      <c r="BF315" s="1826"/>
      <c r="BG315" s="1829"/>
    </row>
    <row r="316" spans="1:59" s="1378" customFormat="1" ht="21.75" customHeight="1">
      <c r="A316" s="1347" t="str">
        <f>A315</f>
        <v>CymaBay Therapeutics, Inc.</v>
      </c>
      <c r="B316" s="1347" t="str">
        <f>$B$302</f>
        <v>ABD</v>
      </c>
      <c r="C316" s="1348">
        <f>C315</f>
        <v>24</v>
      </c>
      <c r="D316" s="1349">
        <v>42370</v>
      </c>
      <c r="E316" s="1349"/>
      <c r="F316" s="1347" t="s">
        <v>72</v>
      </c>
      <c r="G316" s="1347" t="s">
        <v>85</v>
      </c>
      <c r="H316" s="1347" t="s">
        <v>72</v>
      </c>
      <c r="I316" s="1347" t="s">
        <v>72</v>
      </c>
      <c r="J316" s="1349" t="s">
        <v>4670</v>
      </c>
      <c r="K316" s="1349" t="s">
        <v>254</v>
      </c>
      <c r="L316" s="1350" t="s">
        <v>3056</v>
      </c>
      <c r="M316" s="1350" t="s">
        <v>4708</v>
      </c>
      <c r="N316" s="1390" t="s">
        <v>4709</v>
      </c>
      <c r="O316" s="1352" t="s">
        <v>4710</v>
      </c>
      <c r="P316" s="1352"/>
      <c r="Q316" s="1354"/>
      <c r="R316" s="1354"/>
      <c r="S316" s="1354"/>
      <c r="T316" s="1354"/>
      <c r="U316" s="1354"/>
      <c r="V316" s="1354"/>
      <c r="W316" s="1354"/>
      <c r="X316" s="1353">
        <v>43101</v>
      </c>
      <c r="Y316" s="1353">
        <v>43466</v>
      </c>
      <c r="Z316" s="1425"/>
      <c r="AA316" s="1355" t="s">
        <v>4674</v>
      </c>
      <c r="AB316" s="1356"/>
      <c r="AC316" s="1356"/>
      <c r="AD316" s="1356"/>
      <c r="AE316" s="1356"/>
      <c r="AF316" s="1357" t="str">
        <f t="shared" si="435"/>
        <v/>
      </c>
      <c r="AG316" s="1380"/>
      <c r="AH316" s="1380"/>
      <c r="AI316" s="1381">
        <v>0</v>
      </c>
      <c r="AJ316" s="1382">
        <f t="shared" si="434"/>
        <v>0</v>
      </c>
      <c r="AK316" s="1383">
        <f t="shared" si="421"/>
        <v>0</v>
      </c>
      <c r="AL316" s="1384">
        <v>0</v>
      </c>
      <c r="AM316" s="1363">
        <f t="shared" si="422"/>
        <v>0</v>
      </c>
      <c r="AN316" s="1364">
        <v>0</v>
      </c>
      <c r="AO316" s="1365">
        <f t="shared" si="423"/>
        <v>0</v>
      </c>
      <c r="AP316" s="1366">
        <v>0</v>
      </c>
      <c r="AQ316" s="1367">
        <f t="shared" si="424"/>
        <v>0</v>
      </c>
      <c r="AR316" s="1368">
        <v>0</v>
      </c>
      <c r="AS316" s="1369">
        <f t="shared" si="425"/>
        <v>0</v>
      </c>
      <c r="AT316" s="1370">
        <v>0</v>
      </c>
      <c r="AU316" s="1371">
        <f t="shared" si="426"/>
        <v>0</v>
      </c>
      <c r="AV316" s="1359">
        <f t="shared" si="427"/>
        <v>0</v>
      </c>
      <c r="AW316" s="1372">
        <f t="shared" si="428"/>
        <v>0</v>
      </c>
      <c r="AX316" s="1373">
        <f t="shared" si="429"/>
        <v>0</v>
      </c>
      <c r="AY316" s="1374">
        <f t="shared" si="430"/>
        <v>0</v>
      </c>
      <c r="AZ316" s="1375">
        <f t="shared" si="431"/>
        <v>0</v>
      </c>
      <c r="BA316" s="1376">
        <f t="shared" si="432"/>
        <v>0</v>
      </c>
      <c r="BB316" s="1391"/>
      <c r="BC316" s="1821"/>
      <c r="BD316" s="1821"/>
      <c r="BE316" s="1824"/>
      <c r="BF316" s="1827"/>
      <c r="BG316" s="1830"/>
    </row>
    <row r="317" spans="1:59" s="1315" customFormat="1" ht="38.25">
      <c r="A317" s="1277" t="str">
        <f t="shared" ref="A317:A327" si="436">$L$317</f>
        <v>Cytori Therapeutics Inc.</v>
      </c>
      <c r="B317" s="1277" t="s">
        <v>4660</v>
      </c>
      <c r="C317" s="1316">
        <f t="shared" ref="C317:C327" si="437">$Z$317</f>
        <v>25</v>
      </c>
      <c r="D317" s="1317">
        <v>42705</v>
      </c>
      <c r="E317" s="1317"/>
      <c r="F317" s="1277" t="s">
        <v>72</v>
      </c>
      <c r="G317" s="1277" t="s">
        <v>72</v>
      </c>
      <c r="H317" s="1277" t="s">
        <v>72</v>
      </c>
      <c r="I317" s="1277" t="s">
        <v>4711</v>
      </c>
      <c r="J317" s="1317"/>
      <c r="K317" s="1317"/>
      <c r="L317" s="1318" t="s">
        <v>128</v>
      </c>
      <c r="M317" s="1319"/>
      <c r="N317" s="1320" t="s">
        <v>4661</v>
      </c>
      <c r="O317" s="1321" t="s">
        <v>2474</v>
      </c>
      <c r="P317" s="1321"/>
      <c r="Q317" s="1322"/>
      <c r="R317" s="1322"/>
      <c r="S317" s="1322"/>
      <c r="T317" s="1322"/>
      <c r="U317" s="1322"/>
      <c r="V317" s="1322"/>
      <c r="W317" s="1322"/>
      <c r="X317" s="1317">
        <v>43101</v>
      </c>
      <c r="Y317" s="1317">
        <v>43101</v>
      </c>
      <c r="Z317" s="1316">
        <v>25</v>
      </c>
      <c r="AA317" s="1316" t="s">
        <v>4963</v>
      </c>
      <c r="AB317" s="1323">
        <f>SUM(AB318:AB328)</f>
        <v>0</v>
      </c>
      <c r="AC317" s="1323">
        <v>785744</v>
      </c>
      <c r="AD317" s="1323">
        <f>SUM(AD318:AD328)</f>
        <v>0</v>
      </c>
      <c r="AE317" s="1324">
        <f t="shared" ref="AE317:AE522" si="438">AD317-AB317</f>
        <v>0</v>
      </c>
      <c r="AF317" s="1325" t="str">
        <f t="shared" si="435"/>
        <v/>
      </c>
      <c r="AG317" s="1326">
        <f t="shared" si="419"/>
        <v>25148.335833333331</v>
      </c>
      <c r="AH317" s="1326">
        <f>SUM(AH318:AH328)</f>
        <v>301780.02999999997</v>
      </c>
      <c r="AI317" s="1327"/>
      <c r="AJ317" s="1328">
        <f>SUM(AJ318:AJ328)</f>
        <v>2141.2846749999994</v>
      </c>
      <c r="AK317" s="1328">
        <f>SUM(AK318:AK328)</f>
        <v>25695.416100000006</v>
      </c>
      <c r="AL317" s="1329"/>
      <c r="AM317" s="1330">
        <f>SUM(AM318:AM328)</f>
        <v>1397.9706000000001</v>
      </c>
      <c r="AN317" s="1331"/>
      <c r="AO317" s="1332">
        <f>SUM(AO318:AO328)</f>
        <v>0</v>
      </c>
      <c r="AP317" s="1333"/>
      <c r="AQ317" s="1334">
        <f>SUM(AQ318:AQ328)</f>
        <v>0</v>
      </c>
      <c r="AR317" s="1335"/>
      <c r="AS317" s="1336">
        <f>SUM(AS318:AS328)</f>
        <v>13402.355799999999</v>
      </c>
      <c r="AT317" s="1337"/>
      <c r="AU317" s="1338">
        <f>SUM(AU318:AU328)</f>
        <v>6989.8530000000001</v>
      </c>
      <c r="AV317" s="1339"/>
      <c r="AW317" s="1340">
        <f>SUM(AW318:AW328)</f>
        <v>3905.2366999999977</v>
      </c>
      <c r="AX317" s="1306"/>
      <c r="AY317" s="1307">
        <f>SUM(AW317+AS317+AU317)</f>
        <v>24297.445499999998</v>
      </c>
      <c r="AZ317" s="1341"/>
      <c r="BA317" s="1309">
        <f>SUM(AY317+AQ317)</f>
        <v>24297.445499999998</v>
      </c>
      <c r="BB317" s="1342">
        <f>(AW317+AU317)/(AK317-AM317)</f>
        <v>0.4484047386792161</v>
      </c>
      <c r="BC317" s="1343"/>
      <c r="BD317" s="1343"/>
      <c r="BE317" s="1344"/>
      <c r="BF317" s="1345" t="s">
        <v>4964</v>
      </c>
      <c r="BG317" s="1346"/>
    </row>
    <row r="318" spans="1:59" s="1378" customFormat="1" ht="63" customHeight="1">
      <c r="A318" s="1347" t="str">
        <f t="shared" si="436"/>
        <v>Cytori Therapeutics Inc.</v>
      </c>
      <c r="B318" s="1347" t="s">
        <v>4660</v>
      </c>
      <c r="C318" s="1348">
        <f t="shared" si="437"/>
        <v>25</v>
      </c>
      <c r="D318" s="1349">
        <v>42705</v>
      </c>
      <c r="E318" s="1349"/>
      <c r="F318" s="1347" t="s">
        <v>85</v>
      </c>
      <c r="G318" s="1347" t="s">
        <v>85</v>
      </c>
      <c r="H318" s="1347" t="s">
        <v>85</v>
      </c>
      <c r="I318" s="1347" t="s">
        <v>113</v>
      </c>
      <c r="J318" s="1349"/>
      <c r="K318" s="1349" t="s">
        <v>254</v>
      </c>
      <c r="L318" s="1350" t="s">
        <v>2661</v>
      </c>
      <c r="M318" s="1350" t="s">
        <v>3647</v>
      </c>
      <c r="N318" s="1351" t="s">
        <v>4965</v>
      </c>
      <c r="O318" s="1352" t="s">
        <v>4828</v>
      </c>
      <c r="P318" s="1352" t="s">
        <v>4829</v>
      </c>
      <c r="Q318" s="1353" t="s">
        <v>317</v>
      </c>
      <c r="R318" s="1353" t="s">
        <v>3656</v>
      </c>
      <c r="S318" s="1353" t="s">
        <v>307</v>
      </c>
      <c r="T318" s="1353" t="s">
        <v>113</v>
      </c>
      <c r="U318" s="1354"/>
      <c r="V318" s="1354"/>
      <c r="W318" s="1354"/>
      <c r="X318" s="1353">
        <v>43101</v>
      </c>
      <c r="Y318" s="1353">
        <v>43466</v>
      </c>
      <c r="Z318" s="1355"/>
      <c r="AA318" s="1355" t="s">
        <v>4667</v>
      </c>
      <c r="AB318" s="1356"/>
      <c r="AC318" s="1356"/>
      <c r="AD318" s="1356"/>
      <c r="AE318" s="1356"/>
      <c r="AF318" s="1357"/>
      <c r="AG318" s="1358">
        <f t="shared" si="419"/>
        <v>23299.51</v>
      </c>
      <c r="AH318" s="1358">
        <v>279594.12</v>
      </c>
      <c r="AI318" s="1359">
        <v>0.08</v>
      </c>
      <c r="AJ318" s="1360">
        <f t="shared" ref="AJ318:AJ326" si="439">$AI318*$AG318</f>
        <v>1863.9607999999998</v>
      </c>
      <c r="AK318" s="1361">
        <f t="shared" ref="AK318:AK326" si="440">AI318*$AH318</f>
        <v>22367.529600000002</v>
      </c>
      <c r="AL318" s="1362">
        <v>5.0000000000000001E-3</v>
      </c>
      <c r="AM318" s="1363">
        <f t="shared" ref="AM318:AM328" si="441">AL318*$AH318</f>
        <v>1397.9706000000001</v>
      </c>
      <c r="AN318" s="1364">
        <v>0</v>
      </c>
      <c r="AO318" s="1365">
        <f t="shared" ref="AO318:AO328" si="442">AN318*$AH318</f>
        <v>0</v>
      </c>
      <c r="AP318" s="1366">
        <v>0</v>
      </c>
      <c r="AQ318" s="1367">
        <f t="shared" ref="AQ318:AQ328" si="443">AP318*$AH318</f>
        <v>0</v>
      </c>
      <c r="AR318" s="1368">
        <v>0.04</v>
      </c>
      <c r="AS318" s="1369">
        <f t="shared" ref="AS318:AS328" si="444">AR318*$AH318</f>
        <v>11183.764800000001</v>
      </c>
      <c r="AT318" s="1370">
        <v>2.5000000000000001E-2</v>
      </c>
      <c r="AU318" s="1371">
        <f t="shared" ref="AU318:AU328" si="445">AT318*$AH318</f>
        <v>6989.8530000000001</v>
      </c>
      <c r="AV318" s="1359">
        <f t="shared" ref="AV318:AV328" si="446">AZ318-AR318-AT318-AP318</f>
        <v>9.999999999999995E-3</v>
      </c>
      <c r="AW318" s="1372">
        <f t="shared" ref="AW318:AW328" si="447">AV318*$AH318</f>
        <v>2795.9411999999984</v>
      </c>
      <c r="AX318" s="1373">
        <f t="shared" ref="AX318:AX328" si="448">$AZ318-$AP318</f>
        <v>7.4999999999999997E-2</v>
      </c>
      <c r="AY318" s="1374">
        <f t="shared" ref="AY318:AY328" si="449">AX318*$AH318</f>
        <v>20969.558999999997</v>
      </c>
      <c r="AZ318" s="1375">
        <f t="shared" ref="AZ318:AZ328" si="450">$AI318-$AL318-$AN318</f>
        <v>7.4999999999999997E-2</v>
      </c>
      <c r="BA318" s="1376">
        <f t="shared" ref="BA318:BA328" si="451">AZ318*$AH318</f>
        <v>20969.558999999997</v>
      </c>
      <c r="BB318" s="1377"/>
      <c r="BC318" s="1856" t="s">
        <v>129</v>
      </c>
      <c r="BD318" s="1819" t="s">
        <v>231</v>
      </c>
      <c r="BE318" s="1822" t="s">
        <v>231</v>
      </c>
      <c r="BF318" s="1825" t="s">
        <v>4966</v>
      </c>
      <c r="BG318" s="1828">
        <v>330827593</v>
      </c>
    </row>
    <row r="319" spans="1:59" s="1378" customFormat="1" ht="38.25">
      <c r="A319" s="1347" t="str">
        <f t="shared" si="436"/>
        <v>Cytori Therapeutics Inc.</v>
      </c>
      <c r="B319" s="1347" t="s">
        <v>4660</v>
      </c>
      <c r="C319" s="1348">
        <f t="shared" si="437"/>
        <v>25</v>
      </c>
      <c r="D319" s="1349">
        <v>42705</v>
      </c>
      <c r="E319" s="1349"/>
      <c r="F319" s="1347" t="s">
        <v>72</v>
      </c>
      <c r="G319" s="1347" t="s">
        <v>85</v>
      </c>
      <c r="H319" s="1347" t="s">
        <v>72</v>
      </c>
      <c r="I319" s="1347" t="s">
        <v>72</v>
      </c>
      <c r="J319" s="1349" t="s">
        <v>4670</v>
      </c>
      <c r="K319" s="1349" t="s">
        <v>254</v>
      </c>
      <c r="L319" s="1350" t="s">
        <v>4671</v>
      </c>
      <c r="M319" s="1350" t="s">
        <v>3649</v>
      </c>
      <c r="N319" s="1379" t="s">
        <v>4820</v>
      </c>
      <c r="O319" s="1352" t="s">
        <v>4967</v>
      </c>
      <c r="P319" s="1352"/>
      <c r="Q319" s="1354"/>
      <c r="R319" s="1354"/>
      <c r="S319" s="1354"/>
      <c r="T319" s="1354"/>
      <c r="U319" s="1354"/>
      <c r="V319" s="1354"/>
      <c r="W319" s="1354"/>
      <c r="X319" s="1353">
        <v>43101</v>
      </c>
      <c r="Y319" s="1353">
        <v>43466</v>
      </c>
      <c r="Z319" s="1355"/>
      <c r="AA319" s="1355" t="s">
        <v>4674</v>
      </c>
      <c r="AB319" s="1356"/>
      <c r="AC319" s="1356"/>
      <c r="AD319" s="1356"/>
      <c r="AE319" s="1356"/>
      <c r="AF319" s="1357"/>
      <c r="AG319" s="1380"/>
      <c r="AH319" s="1380"/>
      <c r="AI319" s="1381">
        <v>0</v>
      </c>
      <c r="AJ319" s="1382">
        <f t="shared" si="439"/>
        <v>0</v>
      </c>
      <c r="AK319" s="1383">
        <f t="shared" si="440"/>
        <v>0</v>
      </c>
      <c r="AL319" s="1384">
        <v>0</v>
      </c>
      <c r="AM319" s="1363">
        <f t="shared" si="441"/>
        <v>0</v>
      </c>
      <c r="AN319" s="1364">
        <v>0</v>
      </c>
      <c r="AO319" s="1365">
        <f t="shared" si="442"/>
        <v>0</v>
      </c>
      <c r="AP319" s="1366">
        <v>0</v>
      </c>
      <c r="AQ319" s="1367">
        <f t="shared" si="443"/>
        <v>0</v>
      </c>
      <c r="AR319" s="1368">
        <v>0</v>
      </c>
      <c r="AS319" s="1369">
        <f t="shared" si="444"/>
        <v>0</v>
      </c>
      <c r="AT319" s="1370">
        <v>0</v>
      </c>
      <c r="AU319" s="1371">
        <f t="shared" si="445"/>
        <v>0</v>
      </c>
      <c r="AV319" s="1359">
        <f t="shared" si="446"/>
        <v>0</v>
      </c>
      <c r="AW319" s="1372">
        <f t="shared" si="447"/>
        <v>0</v>
      </c>
      <c r="AX319" s="1373">
        <f t="shared" si="448"/>
        <v>0</v>
      </c>
      <c r="AY319" s="1374">
        <f t="shared" si="449"/>
        <v>0</v>
      </c>
      <c r="AZ319" s="1375">
        <f t="shared" si="450"/>
        <v>0</v>
      </c>
      <c r="BA319" s="1376">
        <f t="shared" si="451"/>
        <v>0</v>
      </c>
      <c r="BB319" s="1377"/>
      <c r="BC319" s="1857"/>
      <c r="BD319" s="1820"/>
      <c r="BE319" s="1823"/>
      <c r="BF319" s="1826"/>
      <c r="BG319" s="1829"/>
    </row>
    <row r="320" spans="1:59" s="1378" customFormat="1" ht="38.25">
      <c r="A320" s="1347" t="str">
        <f>L$317</f>
        <v>Cytori Therapeutics Inc.</v>
      </c>
      <c r="B320" s="1348" t="str">
        <f>N$317</f>
        <v>HUB SD</v>
      </c>
      <c r="C320" s="1348">
        <f>Z$317</f>
        <v>25</v>
      </c>
      <c r="D320" s="1349">
        <v>42705</v>
      </c>
      <c r="E320" s="1349"/>
      <c r="F320" s="1347" t="s">
        <v>113</v>
      </c>
      <c r="G320" s="1347" t="s">
        <v>85</v>
      </c>
      <c r="H320" s="1347" t="s">
        <v>85</v>
      </c>
      <c r="I320" s="1347" t="s">
        <v>113</v>
      </c>
      <c r="J320" s="1349"/>
      <c r="K320" s="1349" t="s">
        <v>254</v>
      </c>
      <c r="L320" s="1350" t="s">
        <v>4682</v>
      </c>
      <c r="M320" s="1350" t="s">
        <v>4683</v>
      </c>
      <c r="N320" s="1386" t="s">
        <v>1249</v>
      </c>
      <c r="O320" s="1352" t="s">
        <v>4684</v>
      </c>
      <c r="P320" s="1421"/>
      <c r="Q320" s="1354"/>
      <c r="R320" s="1354"/>
      <c r="S320" s="1354"/>
      <c r="T320" s="1354"/>
      <c r="U320" s="1354"/>
      <c r="V320" s="1354"/>
      <c r="W320" s="1354"/>
      <c r="X320" s="1353">
        <f t="shared" ref="X320:Y323" si="452">X$317</f>
        <v>43101</v>
      </c>
      <c r="Y320" s="1353">
        <f t="shared" si="452"/>
        <v>43101</v>
      </c>
      <c r="Z320" s="1355"/>
      <c r="AA320" s="1355" t="s">
        <v>4685</v>
      </c>
      <c r="AB320" s="1356"/>
      <c r="AC320" s="1356"/>
      <c r="AD320" s="1356"/>
      <c r="AE320" s="1356"/>
      <c r="AF320" s="1357"/>
      <c r="AG320" s="1358">
        <f t="shared" si="419"/>
        <v>416.44166666666666</v>
      </c>
      <c r="AH320" s="1358">
        <f>4120.58+876.72</f>
        <v>4997.3</v>
      </c>
      <c r="AI320" s="1359">
        <v>0.15</v>
      </c>
      <c r="AJ320" s="1360">
        <f t="shared" si="439"/>
        <v>62.466249999999995</v>
      </c>
      <c r="AK320" s="1361">
        <f t="shared" si="440"/>
        <v>749.59500000000003</v>
      </c>
      <c r="AL320" s="1384">
        <v>0</v>
      </c>
      <c r="AM320" s="1363">
        <f t="shared" si="441"/>
        <v>0</v>
      </c>
      <c r="AN320" s="1364">
        <v>0</v>
      </c>
      <c r="AO320" s="1365">
        <f t="shared" si="442"/>
        <v>0</v>
      </c>
      <c r="AP320" s="1366">
        <v>0</v>
      </c>
      <c r="AQ320" s="1367">
        <f t="shared" si="443"/>
        <v>0</v>
      </c>
      <c r="AR320" s="1368">
        <v>0.1</v>
      </c>
      <c r="AS320" s="1369">
        <f t="shared" si="444"/>
        <v>499.73</v>
      </c>
      <c r="AT320" s="1370">
        <v>0</v>
      </c>
      <c r="AU320" s="1371">
        <f t="shared" si="445"/>
        <v>0</v>
      </c>
      <c r="AV320" s="1359">
        <f t="shared" si="446"/>
        <v>4.9999999999999989E-2</v>
      </c>
      <c r="AW320" s="1372">
        <f t="shared" si="447"/>
        <v>249.86499999999995</v>
      </c>
      <c r="AX320" s="1373">
        <f t="shared" si="448"/>
        <v>0.15</v>
      </c>
      <c r="AY320" s="1374">
        <f t="shared" si="449"/>
        <v>749.59500000000003</v>
      </c>
      <c r="AZ320" s="1375">
        <f t="shared" si="450"/>
        <v>0.15</v>
      </c>
      <c r="BA320" s="1376">
        <f t="shared" si="451"/>
        <v>749.59500000000003</v>
      </c>
      <c r="BB320" s="1391"/>
      <c r="BC320" s="1857"/>
      <c r="BD320" s="1820"/>
      <c r="BE320" s="1823"/>
      <c r="BF320" s="1826"/>
      <c r="BG320" s="1829"/>
    </row>
    <row r="321" spans="1:59" s="1378" customFormat="1" ht="38.25">
      <c r="A321" s="1347" t="str">
        <f>L$317</f>
        <v>Cytori Therapeutics Inc.</v>
      </c>
      <c r="B321" s="1348" t="str">
        <f>N$317</f>
        <v>HUB SD</v>
      </c>
      <c r="C321" s="1348">
        <f>Z$317</f>
        <v>25</v>
      </c>
      <c r="D321" s="1349">
        <v>42705</v>
      </c>
      <c r="E321" s="1349"/>
      <c r="F321" s="1347" t="s">
        <v>113</v>
      </c>
      <c r="G321" s="1347" t="s">
        <v>85</v>
      </c>
      <c r="H321" s="1347" t="s">
        <v>85</v>
      </c>
      <c r="I321" s="1347" t="s">
        <v>113</v>
      </c>
      <c r="J321" s="1349"/>
      <c r="K321" s="1349" t="s">
        <v>254</v>
      </c>
      <c r="L321" s="1350" t="s">
        <v>4682</v>
      </c>
      <c r="M321" s="1350" t="s">
        <v>4686</v>
      </c>
      <c r="N321" s="1386" t="s">
        <v>60</v>
      </c>
      <c r="O321" s="1352" t="s">
        <v>4687</v>
      </c>
      <c r="P321" s="1421"/>
      <c r="Q321" s="1354"/>
      <c r="R321" s="1354"/>
      <c r="S321" s="1354"/>
      <c r="T321" s="1354"/>
      <c r="U321" s="1354"/>
      <c r="V321" s="1354"/>
      <c r="W321" s="1354"/>
      <c r="X321" s="1353">
        <f t="shared" si="452"/>
        <v>43101</v>
      </c>
      <c r="Y321" s="1353">
        <f t="shared" si="452"/>
        <v>43101</v>
      </c>
      <c r="Z321" s="1355"/>
      <c r="AA321" s="1355" t="s">
        <v>4685</v>
      </c>
      <c r="AB321" s="1356"/>
      <c r="AC321" s="1356"/>
      <c r="AD321" s="1356"/>
      <c r="AE321" s="1356"/>
      <c r="AF321" s="1357"/>
      <c r="AG321" s="1358">
        <f t="shared" si="419"/>
        <v>506.53</v>
      </c>
      <c r="AH321" s="1358">
        <f>5172+906.36</f>
        <v>6078.36</v>
      </c>
      <c r="AI321" s="1359">
        <v>0.15</v>
      </c>
      <c r="AJ321" s="1360">
        <f t="shared" si="439"/>
        <v>75.979499999999987</v>
      </c>
      <c r="AK321" s="1361">
        <f t="shared" si="440"/>
        <v>911.75399999999991</v>
      </c>
      <c r="AL321" s="1384">
        <v>0</v>
      </c>
      <c r="AM321" s="1363">
        <f t="shared" si="441"/>
        <v>0</v>
      </c>
      <c r="AN321" s="1364">
        <v>0</v>
      </c>
      <c r="AO321" s="1365">
        <f t="shared" si="442"/>
        <v>0</v>
      </c>
      <c r="AP321" s="1366">
        <v>0</v>
      </c>
      <c r="AQ321" s="1367">
        <f t="shared" si="443"/>
        <v>0</v>
      </c>
      <c r="AR321" s="1368">
        <v>0.1</v>
      </c>
      <c r="AS321" s="1369">
        <f t="shared" si="444"/>
        <v>607.83600000000001</v>
      </c>
      <c r="AT321" s="1370">
        <v>0</v>
      </c>
      <c r="AU321" s="1371">
        <f t="shared" si="445"/>
        <v>0</v>
      </c>
      <c r="AV321" s="1359">
        <f t="shared" si="446"/>
        <v>4.9999999999999989E-2</v>
      </c>
      <c r="AW321" s="1372">
        <f t="shared" si="447"/>
        <v>303.91799999999989</v>
      </c>
      <c r="AX321" s="1373">
        <f t="shared" si="448"/>
        <v>0.15</v>
      </c>
      <c r="AY321" s="1374">
        <f t="shared" si="449"/>
        <v>911.75399999999991</v>
      </c>
      <c r="AZ321" s="1375">
        <f t="shared" si="450"/>
        <v>0.15</v>
      </c>
      <c r="BA321" s="1376">
        <f t="shared" si="451"/>
        <v>911.75399999999991</v>
      </c>
      <c r="BB321" s="1391"/>
      <c r="BC321" s="1857"/>
      <c r="BD321" s="1820"/>
      <c r="BE321" s="1823"/>
      <c r="BF321" s="1826"/>
      <c r="BG321" s="1829"/>
    </row>
    <row r="322" spans="1:59" s="1378" customFormat="1" ht="38.25">
      <c r="A322" s="1347" t="str">
        <f>L$317</f>
        <v>Cytori Therapeutics Inc.</v>
      </c>
      <c r="B322" s="1348" t="str">
        <f>N$317</f>
        <v>HUB SD</v>
      </c>
      <c r="C322" s="1348">
        <f>Z$317</f>
        <v>25</v>
      </c>
      <c r="D322" s="1349">
        <v>42705</v>
      </c>
      <c r="E322" s="1349"/>
      <c r="F322" s="1347" t="s">
        <v>113</v>
      </c>
      <c r="G322" s="1347" t="s">
        <v>85</v>
      </c>
      <c r="H322" s="1347" t="s">
        <v>85</v>
      </c>
      <c r="I322" s="1347" t="s">
        <v>113</v>
      </c>
      <c r="J322" s="1349"/>
      <c r="K322" s="1349" t="s">
        <v>254</v>
      </c>
      <c r="L322" s="1350" t="s">
        <v>4682</v>
      </c>
      <c r="M322" s="1350" t="s">
        <v>62</v>
      </c>
      <c r="N322" s="1351" t="s">
        <v>81</v>
      </c>
      <c r="O322" s="1352" t="s">
        <v>4688</v>
      </c>
      <c r="P322" s="1388"/>
      <c r="Q322" s="1354"/>
      <c r="R322" s="1354"/>
      <c r="S322" s="1354"/>
      <c r="T322" s="1354"/>
      <c r="U322" s="1354"/>
      <c r="V322" s="1354"/>
      <c r="W322" s="1354"/>
      <c r="X322" s="1353">
        <f t="shared" si="452"/>
        <v>43101</v>
      </c>
      <c r="Y322" s="1353">
        <f t="shared" si="452"/>
        <v>43101</v>
      </c>
      <c r="Z322" s="1355"/>
      <c r="AA322" s="1355" t="s">
        <v>4685</v>
      </c>
      <c r="AB322" s="1356"/>
      <c r="AC322" s="1356"/>
      <c r="AD322" s="1356"/>
      <c r="AE322" s="1356"/>
      <c r="AF322" s="1357"/>
      <c r="AG322" s="1358">
        <f t="shared" si="419"/>
        <v>324.19</v>
      </c>
      <c r="AH322" s="1358">
        <v>3890.28</v>
      </c>
      <c r="AI322" s="1359">
        <v>0.15</v>
      </c>
      <c r="AJ322" s="1360">
        <f t="shared" si="439"/>
        <v>48.628499999999995</v>
      </c>
      <c r="AK322" s="1361">
        <f t="shared" si="440"/>
        <v>583.54200000000003</v>
      </c>
      <c r="AL322" s="1384">
        <v>0</v>
      </c>
      <c r="AM322" s="1363">
        <f t="shared" si="441"/>
        <v>0</v>
      </c>
      <c r="AN322" s="1364">
        <v>0</v>
      </c>
      <c r="AO322" s="1365">
        <f t="shared" si="442"/>
        <v>0</v>
      </c>
      <c r="AP322" s="1366">
        <v>0</v>
      </c>
      <c r="AQ322" s="1367">
        <f t="shared" si="443"/>
        <v>0</v>
      </c>
      <c r="AR322" s="1368">
        <v>0.1</v>
      </c>
      <c r="AS322" s="1369">
        <f t="shared" si="444"/>
        <v>389.02800000000002</v>
      </c>
      <c r="AT322" s="1370">
        <v>0</v>
      </c>
      <c r="AU322" s="1371">
        <f t="shared" si="445"/>
        <v>0</v>
      </c>
      <c r="AV322" s="1359">
        <f t="shared" si="446"/>
        <v>4.9999999999999989E-2</v>
      </c>
      <c r="AW322" s="1372">
        <f t="shared" si="447"/>
        <v>194.51399999999995</v>
      </c>
      <c r="AX322" s="1373">
        <f t="shared" si="448"/>
        <v>0.15</v>
      </c>
      <c r="AY322" s="1374">
        <f t="shared" si="449"/>
        <v>583.54200000000003</v>
      </c>
      <c r="AZ322" s="1375">
        <f t="shared" si="450"/>
        <v>0.15</v>
      </c>
      <c r="BA322" s="1376">
        <f t="shared" si="451"/>
        <v>583.54200000000003</v>
      </c>
      <c r="BB322" s="1391"/>
      <c r="BC322" s="1857"/>
      <c r="BD322" s="1820"/>
      <c r="BE322" s="1823"/>
      <c r="BF322" s="1826"/>
      <c r="BG322" s="1829"/>
    </row>
    <row r="323" spans="1:59" s="1378" customFormat="1" ht="38.25">
      <c r="A323" s="1347" t="str">
        <f>L$317</f>
        <v>Cytori Therapeutics Inc.</v>
      </c>
      <c r="B323" s="1348" t="str">
        <f>N$317</f>
        <v>HUB SD</v>
      </c>
      <c r="C323" s="1348">
        <f>Z$317</f>
        <v>25</v>
      </c>
      <c r="D323" s="1349">
        <v>42705</v>
      </c>
      <c r="E323" s="1349"/>
      <c r="F323" s="1347" t="s">
        <v>113</v>
      </c>
      <c r="G323" s="1347" t="s">
        <v>85</v>
      </c>
      <c r="H323" s="1347" t="s">
        <v>85</v>
      </c>
      <c r="I323" s="1347" t="s">
        <v>113</v>
      </c>
      <c r="J323" s="1349"/>
      <c r="K323" s="1349" t="s">
        <v>254</v>
      </c>
      <c r="L323" s="1350" t="s">
        <v>4682</v>
      </c>
      <c r="M323" s="1350" t="s">
        <v>67</v>
      </c>
      <c r="N323" s="1351" t="s">
        <v>82</v>
      </c>
      <c r="O323" s="1352" t="s">
        <v>4689</v>
      </c>
      <c r="P323" s="1352"/>
      <c r="Q323" s="1354"/>
      <c r="R323" s="1354"/>
      <c r="S323" s="1354"/>
      <c r="T323" s="1354"/>
      <c r="U323" s="1354"/>
      <c r="V323" s="1354"/>
      <c r="W323" s="1354"/>
      <c r="X323" s="1353">
        <f t="shared" si="452"/>
        <v>43101</v>
      </c>
      <c r="Y323" s="1353">
        <f t="shared" si="452"/>
        <v>43101</v>
      </c>
      <c r="Z323" s="1355"/>
      <c r="AA323" s="1355" t="s">
        <v>4685</v>
      </c>
      <c r="AB323" s="1356"/>
      <c r="AC323" s="1356"/>
      <c r="AD323" s="1356"/>
      <c r="AE323" s="1356"/>
      <c r="AF323" s="1357"/>
      <c r="AG323" s="1358">
        <f t="shared" si="419"/>
        <v>601.66416666666669</v>
      </c>
      <c r="AH323" s="1358">
        <v>7219.97</v>
      </c>
      <c r="AI323" s="1359">
        <v>0.15</v>
      </c>
      <c r="AJ323" s="1360">
        <f t="shared" si="439"/>
        <v>90.249624999999995</v>
      </c>
      <c r="AK323" s="1361">
        <f t="shared" si="440"/>
        <v>1082.9955</v>
      </c>
      <c r="AL323" s="1384">
        <v>0</v>
      </c>
      <c r="AM323" s="1363">
        <f t="shared" si="441"/>
        <v>0</v>
      </c>
      <c r="AN323" s="1364">
        <v>0</v>
      </c>
      <c r="AO323" s="1365">
        <f t="shared" si="442"/>
        <v>0</v>
      </c>
      <c r="AP323" s="1366">
        <v>0</v>
      </c>
      <c r="AQ323" s="1367">
        <f t="shared" si="443"/>
        <v>0</v>
      </c>
      <c r="AR323" s="1368">
        <v>0.1</v>
      </c>
      <c r="AS323" s="1369">
        <f t="shared" si="444"/>
        <v>721.99700000000007</v>
      </c>
      <c r="AT323" s="1370">
        <v>0</v>
      </c>
      <c r="AU323" s="1371">
        <f t="shared" si="445"/>
        <v>0</v>
      </c>
      <c r="AV323" s="1359">
        <f t="shared" si="446"/>
        <v>4.9999999999999989E-2</v>
      </c>
      <c r="AW323" s="1372">
        <f t="shared" si="447"/>
        <v>360.99849999999992</v>
      </c>
      <c r="AX323" s="1373">
        <f t="shared" si="448"/>
        <v>0.15</v>
      </c>
      <c r="AY323" s="1374">
        <f t="shared" si="449"/>
        <v>1082.9955</v>
      </c>
      <c r="AZ323" s="1375">
        <f t="shared" si="450"/>
        <v>0.15</v>
      </c>
      <c r="BA323" s="1376">
        <f t="shared" si="451"/>
        <v>1082.9955</v>
      </c>
      <c r="BB323" s="1391"/>
      <c r="BC323" s="1857"/>
      <c r="BD323" s="1820"/>
      <c r="BE323" s="1823"/>
      <c r="BF323" s="1826"/>
      <c r="BG323" s="1829"/>
    </row>
    <row r="324" spans="1:59" s="1378" customFormat="1" ht="27.75" customHeight="1">
      <c r="A324" s="1347" t="s">
        <v>128</v>
      </c>
      <c r="B324" s="1348" t="s">
        <v>4660</v>
      </c>
      <c r="C324" s="1348">
        <f t="shared" si="437"/>
        <v>25</v>
      </c>
      <c r="D324" s="1349">
        <v>42705</v>
      </c>
      <c r="E324" s="1349"/>
      <c r="F324" s="1347" t="s">
        <v>72</v>
      </c>
      <c r="G324" s="1347" t="s">
        <v>85</v>
      </c>
      <c r="H324" s="1347" t="s">
        <v>72</v>
      </c>
      <c r="I324" s="1347" t="s">
        <v>72</v>
      </c>
      <c r="J324" s="1349" t="s">
        <v>4670</v>
      </c>
      <c r="K324" s="1349" t="s">
        <v>254</v>
      </c>
      <c r="L324" s="1350" t="s">
        <v>4696</v>
      </c>
      <c r="M324" s="1350" t="s">
        <v>4697</v>
      </c>
      <c r="N324" s="1389" t="s">
        <v>4698</v>
      </c>
      <c r="O324" s="1352" t="s">
        <v>4699</v>
      </c>
      <c r="P324" s="1352"/>
      <c r="Q324" s="1354"/>
      <c r="R324" s="1354"/>
      <c r="S324" s="1354"/>
      <c r="T324" s="1354"/>
      <c r="U324" s="1354"/>
      <c r="V324" s="1354"/>
      <c r="W324" s="1354"/>
      <c r="X324" s="1353">
        <v>43101</v>
      </c>
      <c r="Y324" s="1353">
        <v>43466</v>
      </c>
      <c r="Z324" s="1355"/>
      <c r="AA324" s="1355" t="s">
        <v>4674</v>
      </c>
      <c r="AB324" s="1356"/>
      <c r="AC324" s="1356"/>
      <c r="AD324" s="1356"/>
      <c r="AE324" s="1356"/>
      <c r="AF324" s="1357" t="str">
        <f t="shared" si="435"/>
        <v/>
      </c>
      <c r="AG324" s="1380"/>
      <c r="AH324" s="1380"/>
      <c r="AI324" s="1381">
        <v>0</v>
      </c>
      <c r="AJ324" s="1382">
        <f t="shared" si="439"/>
        <v>0</v>
      </c>
      <c r="AK324" s="1383">
        <f t="shared" si="440"/>
        <v>0</v>
      </c>
      <c r="AL324" s="1384">
        <v>0</v>
      </c>
      <c r="AM324" s="1363">
        <f t="shared" si="441"/>
        <v>0</v>
      </c>
      <c r="AN324" s="1364">
        <v>0</v>
      </c>
      <c r="AO324" s="1365">
        <f t="shared" si="442"/>
        <v>0</v>
      </c>
      <c r="AP324" s="1366">
        <v>0</v>
      </c>
      <c r="AQ324" s="1367">
        <f t="shared" si="443"/>
        <v>0</v>
      </c>
      <c r="AR324" s="1368">
        <v>0</v>
      </c>
      <c r="AS324" s="1369">
        <f t="shared" si="444"/>
        <v>0</v>
      </c>
      <c r="AT324" s="1370">
        <v>0</v>
      </c>
      <c r="AU324" s="1371">
        <f t="shared" si="445"/>
        <v>0</v>
      </c>
      <c r="AV324" s="1359">
        <f t="shared" si="446"/>
        <v>0</v>
      </c>
      <c r="AW324" s="1372">
        <f t="shared" si="447"/>
        <v>0</v>
      </c>
      <c r="AX324" s="1373">
        <f t="shared" si="448"/>
        <v>0</v>
      </c>
      <c r="AY324" s="1374">
        <f t="shared" si="449"/>
        <v>0</v>
      </c>
      <c r="AZ324" s="1375">
        <f t="shared" si="450"/>
        <v>0</v>
      </c>
      <c r="BA324" s="1376">
        <f t="shared" si="451"/>
        <v>0</v>
      </c>
      <c r="BB324" s="1377"/>
      <c r="BC324" s="1858"/>
      <c r="BD324" s="1859"/>
      <c r="BE324" s="1860"/>
      <c r="BF324" s="1861"/>
      <c r="BG324" s="1862"/>
    </row>
    <row r="325" spans="1:59" s="1378" customFormat="1" ht="38.25">
      <c r="A325" s="1347" t="str">
        <f t="shared" si="436"/>
        <v>Cytori Therapeutics Inc.</v>
      </c>
      <c r="B325" s="1347" t="s">
        <v>4660</v>
      </c>
      <c r="C325" s="1348">
        <f t="shared" si="437"/>
        <v>25</v>
      </c>
      <c r="D325" s="1349">
        <v>42705</v>
      </c>
      <c r="E325" s="1349"/>
      <c r="F325" s="1347" t="s">
        <v>72</v>
      </c>
      <c r="G325" s="1347" t="s">
        <v>4700</v>
      </c>
      <c r="H325" s="1347" t="s">
        <v>72</v>
      </c>
      <c r="I325" s="1347" t="s">
        <v>72</v>
      </c>
      <c r="J325" s="1349" t="s">
        <v>4670</v>
      </c>
      <c r="K325" s="1349" t="s">
        <v>254</v>
      </c>
      <c r="L325" s="1350" t="s">
        <v>48</v>
      </c>
      <c r="M325" s="1350" t="s">
        <v>3652</v>
      </c>
      <c r="N325" s="1390" t="s">
        <v>4968</v>
      </c>
      <c r="O325" s="1352" t="s">
        <v>4702</v>
      </c>
      <c r="P325" s="1352"/>
      <c r="Q325" s="1354"/>
      <c r="R325" s="1354"/>
      <c r="S325" s="1354"/>
      <c r="T325" s="1354"/>
      <c r="U325" s="1354"/>
      <c r="V325" s="1354"/>
      <c r="W325" s="1354"/>
      <c r="X325" s="1353">
        <v>43101</v>
      </c>
      <c r="Y325" s="1353">
        <v>43466</v>
      </c>
      <c r="Z325" s="1355"/>
      <c r="AA325" s="1355" t="s">
        <v>4674</v>
      </c>
      <c r="AB325" s="1356"/>
      <c r="AC325" s="1356"/>
      <c r="AD325" s="1356"/>
      <c r="AE325" s="1356"/>
      <c r="AF325" s="1357" t="str">
        <f t="shared" si="435"/>
        <v/>
      </c>
      <c r="AG325" s="1380"/>
      <c r="AH325" s="1380"/>
      <c r="AI325" s="1381">
        <v>0</v>
      </c>
      <c r="AJ325" s="1382">
        <f t="shared" si="439"/>
        <v>0</v>
      </c>
      <c r="AK325" s="1383">
        <f t="shared" si="440"/>
        <v>0</v>
      </c>
      <c r="AL325" s="1384">
        <v>0</v>
      </c>
      <c r="AM325" s="1363">
        <f t="shared" si="441"/>
        <v>0</v>
      </c>
      <c r="AN325" s="1364">
        <v>0</v>
      </c>
      <c r="AO325" s="1365">
        <f t="shared" si="442"/>
        <v>0</v>
      </c>
      <c r="AP325" s="1366">
        <v>0</v>
      </c>
      <c r="AQ325" s="1367">
        <f t="shared" si="443"/>
        <v>0</v>
      </c>
      <c r="AR325" s="1368">
        <v>0</v>
      </c>
      <c r="AS325" s="1369">
        <f t="shared" si="444"/>
        <v>0</v>
      </c>
      <c r="AT325" s="1370">
        <v>0</v>
      </c>
      <c r="AU325" s="1371">
        <f t="shared" si="445"/>
        <v>0</v>
      </c>
      <c r="AV325" s="1359">
        <f t="shared" si="446"/>
        <v>0</v>
      </c>
      <c r="AW325" s="1372">
        <f t="shared" si="447"/>
        <v>0</v>
      </c>
      <c r="AX325" s="1373">
        <f t="shared" si="448"/>
        <v>0</v>
      </c>
      <c r="AY325" s="1374">
        <f t="shared" si="449"/>
        <v>0</v>
      </c>
      <c r="AZ325" s="1375">
        <f t="shared" si="450"/>
        <v>0</v>
      </c>
      <c r="BA325" s="1376">
        <f t="shared" si="451"/>
        <v>0</v>
      </c>
      <c r="BB325" s="1377"/>
      <c r="BC325" s="1857"/>
      <c r="BD325" s="1820"/>
      <c r="BE325" s="1823"/>
      <c r="BF325" s="1826"/>
      <c r="BG325" s="1829"/>
    </row>
    <row r="326" spans="1:59" s="1378" customFormat="1" ht="38.25">
      <c r="A326" s="1347" t="str">
        <f t="shared" si="436"/>
        <v>Cytori Therapeutics Inc.</v>
      </c>
      <c r="B326" s="1347" t="s">
        <v>4660</v>
      </c>
      <c r="C326" s="1348">
        <f t="shared" si="437"/>
        <v>25</v>
      </c>
      <c r="D326" s="1349">
        <v>42705</v>
      </c>
      <c r="E326" s="1349"/>
      <c r="F326" s="1347" t="s">
        <v>72</v>
      </c>
      <c r="G326" s="1347" t="s">
        <v>85</v>
      </c>
      <c r="H326" s="1347" t="s">
        <v>72</v>
      </c>
      <c r="I326" s="1347" t="s">
        <v>72</v>
      </c>
      <c r="J326" s="1349" t="s">
        <v>4670</v>
      </c>
      <c r="K326" s="1349" t="s">
        <v>254</v>
      </c>
      <c r="L326" s="1350" t="s">
        <v>48</v>
      </c>
      <c r="M326" s="1350" t="s">
        <v>253</v>
      </c>
      <c r="N326" s="1390" t="s">
        <v>4969</v>
      </c>
      <c r="O326" s="1352" t="s">
        <v>4704</v>
      </c>
      <c r="P326" s="1352"/>
      <c r="Q326" s="1354"/>
      <c r="R326" s="1354"/>
      <c r="S326" s="1354"/>
      <c r="T326" s="1354"/>
      <c r="U326" s="1354"/>
      <c r="V326" s="1354"/>
      <c r="W326" s="1354"/>
      <c r="X326" s="1353">
        <v>43101</v>
      </c>
      <c r="Y326" s="1353">
        <v>43466</v>
      </c>
      <c r="Z326" s="1355"/>
      <c r="AA326" s="1355" t="s">
        <v>4674</v>
      </c>
      <c r="AB326" s="1356"/>
      <c r="AC326" s="1356"/>
      <c r="AD326" s="1356"/>
      <c r="AE326" s="1356"/>
      <c r="AF326" s="1357" t="str">
        <f t="shared" si="435"/>
        <v/>
      </c>
      <c r="AG326" s="1380"/>
      <c r="AH326" s="1380"/>
      <c r="AI326" s="1381">
        <v>0</v>
      </c>
      <c r="AJ326" s="1382">
        <f t="shared" si="439"/>
        <v>0</v>
      </c>
      <c r="AK326" s="1383">
        <f t="shared" si="440"/>
        <v>0</v>
      </c>
      <c r="AL326" s="1384">
        <v>0</v>
      </c>
      <c r="AM326" s="1363">
        <f t="shared" si="441"/>
        <v>0</v>
      </c>
      <c r="AN326" s="1364">
        <v>0</v>
      </c>
      <c r="AO326" s="1365">
        <f t="shared" si="442"/>
        <v>0</v>
      </c>
      <c r="AP326" s="1366">
        <v>0</v>
      </c>
      <c r="AQ326" s="1367">
        <f t="shared" si="443"/>
        <v>0</v>
      </c>
      <c r="AR326" s="1368">
        <v>0</v>
      </c>
      <c r="AS326" s="1369">
        <f t="shared" si="444"/>
        <v>0</v>
      </c>
      <c r="AT326" s="1370">
        <v>0</v>
      </c>
      <c r="AU326" s="1371">
        <f t="shared" si="445"/>
        <v>0</v>
      </c>
      <c r="AV326" s="1359">
        <f t="shared" si="446"/>
        <v>0</v>
      </c>
      <c r="AW326" s="1372">
        <f t="shared" si="447"/>
        <v>0</v>
      </c>
      <c r="AX326" s="1373">
        <f t="shared" si="448"/>
        <v>0</v>
      </c>
      <c r="AY326" s="1374">
        <f t="shared" si="449"/>
        <v>0</v>
      </c>
      <c r="AZ326" s="1375">
        <f t="shared" si="450"/>
        <v>0</v>
      </c>
      <c r="BA326" s="1376">
        <f t="shared" si="451"/>
        <v>0</v>
      </c>
      <c r="BB326" s="1377"/>
      <c r="BC326" s="1857"/>
      <c r="BD326" s="1820"/>
      <c r="BE326" s="1823"/>
      <c r="BF326" s="1826"/>
      <c r="BG326" s="1829"/>
    </row>
    <row r="327" spans="1:59" s="1378" customFormat="1" ht="38.25">
      <c r="A327" s="1347" t="str">
        <f t="shared" si="436"/>
        <v>Cytori Therapeutics Inc.</v>
      </c>
      <c r="B327" s="1347" t="s">
        <v>4660</v>
      </c>
      <c r="C327" s="1348">
        <f t="shared" si="437"/>
        <v>25</v>
      </c>
      <c r="D327" s="1349">
        <v>42705</v>
      </c>
      <c r="E327" s="1349"/>
      <c r="F327" s="1347" t="s">
        <v>72</v>
      </c>
      <c r="G327" s="1347" t="s">
        <v>113</v>
      </c>
      <c r="H327" s="1347" t="s">
        <v>72</v>
      </c>
      <c r="I327" s="1347" t="s">
        <v>113</v>
      </c>
      <c r="J327" s="1349" t="s">
        <v>4670</v>
      </c>
      <c r="K327" s="1349" t="s">
        <v>254</v>
      </c>
      <c r="L327" s="1397" t="s">
        <v>77</v>
      </c>
      <c r="M327" s="1397" t="s">
        <v>4705</v>
      </c>
      <c r="N327" s="1412" t="s">
        <v>4746</v>
      </c>
      <c r="O327" s="1399" t="s">
        <v>4747</v>
      </c>
      <c r="P327" s="1399"/>
      <c r="Q327" s="1400"/>
      <c r="R327" s="1400"/>
      <c r="S327" s="1400"/>
      <c r="T327" s="1400"/>
      <c r="U327" s="1400"/>
      <c r="V327" s="1400"/>
      <c r="W327" s="1400"/>
      <c r="X327" s="1400">
        <v>43101</v>
      </c>
      <c r="Y327" s="1400">
        <v>43466</v>
      </c>
      <c r="Z327" s="1401"/>
      <c r="AA327" s="1401" t="s">
        <v>4738</v>
      </c>
      <c r="AB327" s="1369"/>
      <c r="AC327" s="1369"/>
      <c r="AD327" s="1369"/>
      <c r="AE327" s="1369"/>
      <c r="AF327" s="1403" t="str">
        <f t="shared" si="435"/>
        <v/>
      </c>
      <c r="AG327" s="1404"/>
      <c r="AH327" s="1404"/>
      <c r="AI327" s="1405">
        <v>0</v>
      </c>
      <c r="AJ327" s="1406">
        <v>0</v>
      </c>
      <c r="AK327" s="1406">
        <v>0</v>
      </c>
      <c r="AL327" s="1384">
        <v>0</v>
      </c>
      <c r="AM327" s="1363">
        <f t="shared" si="441"/>
        <v>0</v>
      </c>
      <c r="AN327" s="1364">
        <v>0</v>
      </c>
      <c r="AO327" s="1365">
        <f t="shared" si="442"/>
        <v>0</v>
      </c>
      <c r="AP327" s="1366">
        <v>0</v>
      </c>
      <c r="AQ327" s="1367">
        <f t="shared" si="443"/>
        <v>0</v>
      </c>
      <c r="AR327" s="1368">
        <v>0</v>
      </c>
      <c r="AS327" s="1369">
        <f t="shared" si="444"/>
        <v>0</v>
      </c>
      <c r="AT327" s="1370">
        <v>0</v>
      </c>
      <c r="AU327" s="1371">
        <f t="shared" si="445"/>
        <v>0</v>
      </c>
      <c r="AV327" s="1359">
        <f t="shared" si="446"/>
        <v>0</v>
      </c>
      <c r="AW327" s="1372">
        <f t="shared" si="447"/>
        <v>0</v>
      </c>
      <c r="AX327" s="1373">
        <f t="shared" si="448"/>
        <v>0</v>
      </c>
      <c r="AY327" s="1374">
        <f t="shared" si="449"/>
        <v>0</v>
      </c>
      <c r="AZ327" s="1375">
        <f t="shared" si="450"/>
        <v>0</v>
      </c>
      <c r="BA327" s="1376">
        <f t="shared" si="451"/>
        <v>0</v>
      </c>
      <c r="BB327" s="1377"/>
      <c r="BC327" s="1857"/>
      <c r="BD327" s="1820"/>
      <c r="BE327" s="1823"/>
      <c r="BF327" s="1826"/>
      <c r="BG327" s="1829"/>
    </row>
    <row r="328" spans="1:59" s="1378" customFormat="1" ht="21.75" customHeight="1">
      <c r="A328" s="1347" t="str">
        <f>A327</f>
        <v>Cytori Therapeutics Inc.</v>
      </c>
      <c r="B328" s="1348" t="str">
        <f>B327</f>
        <v xml:space="preserve">HUB SD </v>
      </c>
      <c r="C328" s="1348">
        <f>C327</f>
        <v>25</v>
      </c>
      <c r="D328" s="1349">
        <v>42705</v>
      </c>
      <c r="E328" s="1349"/>
      <c r="F328" s="1347" t="s">
        <v>72</v>
      </c>
      <c r="G328" s="1347" t="s">
        <v>85</v>
      </c>
      <c r="H328" s="1347" t="s">
        <v>72</v>
      </c>
      <c r="I328" s="1347" t="s">
        <v>72</v>
      </c>
      <c r="J328" s="1349" t="s">
        <v>4670</v>
      </c>
      <c r="K328" s="1349" t="s">
        <v>254</v>
      </c>
      <c r="L328" s="1350" t="s">
        <v>3056</v>
      </c>
      <c r="M328" s="1350" t="s">
        <v>4708</v>
      </c>
      <c r="N328" s="1390" t="s">
        <v>4709</v>
      </c>
      <c r="O328" s="1352" t="s">
        <v>4710</v>
      </c>
      <c r="P328" s="1352"/>
      <c r="Q328" s="1354"/>
      <c r="R328" s="1354"/>
      <c r="S328" s="1354"/>
      <c r="T328" s="1354"/>
      <c r="U328" s="1354"/>
      <c r="V328" s="1354"/>
      <c r="W328" s="1354"/>
      <c r="X328" s="1353">
        <v>43101</v>
      </c>
      <c r="Y328" s="1353">
        <v>43466</v>
      </c>
      <c r="Z328" s="1355"/>
      <c r="AA328" s="1355" t="s">
        <v>4674</v>
      </c>
      <c r="AB328" s="1356"/>
      <c r="AC328" s="1356"/>
      <c r="AD328" s="1356"/>
      <c r="AE328" s="1356"/>
      <c r="AF328" s="1357" t="str">
        <f t="shared" si="435"/>
        <v/>
      </c>
      <c r="AG328" s="1380"/>
      <c r="AH328" s="1380"/>
      <c r="AI328" s="1381">
        <v>0</v>
      </c>
      <c r="AJ328" s="1382">
        <f>$AI328*$AG328</f>
        <v>0</v>
      </c>
      <c r="AK328" s="1383">
        <f t="shared" ref="AK328" si="453">AI328*$AH328</f>
        <v>0</v>
      </c>
      <c r="AL328" s="1384">
        <v>0</v>
      </c>
      <c r="AM328" s="1363">
        <f t="shared" si="441"/>
        <v>0</v>
      </c>
      <c r="AN328" s="1364">
        <v>0</v>
      </c>
      <c r="AO328" s="1365">
        <f t="shared" si="442"/>
        <v>0</v>
      </c>
      <c r="AP328" s="1366">
        <v>0</v>
      </c>
      <c r="AQ328" s="1367">
        <f t="shared" si="443"/>
        <v>0</v>
      </c>
      <c r="AR328" s="1368">
        <v>0</v>
      </c>
      <c r="AS328" s="1369">
        <f t="shared" si="444"/>
        <v>0</v>
      </c>
      <c r="AT328" s="1370">
        <v>0</v>
      </c>
      <c r="AU328" s="1371">
        <f t="shared" si="445"/>
        <v>0</v>
      </c>
      <c r="AV328" s="1359">
        <f t="shared" si="446"/>
        <v>0</v>
      </c>
      <c r="AW328" s="1372">
        <f t="shared" si="447"/>
        <v>0</v>
      </c>
      <c r="AX328" s="1373">
        <f t="shared" si="448"/>
        <v>0</v>
      </c>
      <c r="AY328" s="1374">
        <f t="shared" si="449"/>
        <v>0</v>
      </c>
      <c r="AZ328" s="1375">
        <f t="shared" si="450"/>
        <v>0</v>
      </c>
      <c r="BA328" s="1376">
        <f t="shared" si="451"/>
        <v>0</v>
      </c>
      <c r="BB328" s="1391"/>
      <c r="BC328" s="1857"/>
      <c r="BD328" s="1821"/>
      <c r="BE328" s="1823"/>
      <c r="BF328" s="1826"/>
      <c r="BG328" s="1829"/>
    </row>
    <row r="329" spans="1:59" s="1315" customFormat="1" ht="38.25">
      <c r="A329" s="1277" t="str">
        <f>L329</f>
        <v>Dare Bioscience, Inc.</v>
      </c>
      <c r="B329" s="1277" t="s">
        <v>4660</v>
      </c>
      <c r="C329" s="1316">
        <f>Z329</f>
        <v>6</v>
      </c>
      <c r="D329" s="1317">
        <v>42979</v>
      </c>
      <c r="E329" s="1317"/>
      <c r="F329" s="1277" t="s">
        <v>72</v>
      </c>
      <c r="G329" s="1277" t="s">
        <v>72</v>
      </c>
      <c r="H329" s="1277" t="s">
        <v>72</v>
      </c>
      <c r="I329" s="1277" t="s">
        <v>4711</v>
      </c>
      <c r="J329" s="1317"/>
      <c r="K329" s="1317"/>
      <c r="L329" s="1318" t="s">
        <v>4052</v>
      </c>
      <c r="M329" s="1319"/>
      <c r="N329" s="1320" t="s">
        <v>4661</v>
      </c>
      <c r="O329" s="1321" t="s">
        <v>2474</v>
      </c>
      <c r="P329" s="1321"/>
      <c r="Q329" s="1322"/>
      <c r="R329" s="1322"/>
      <c r="S329" s="1322"/>
      <c r="T329" s="1322"/>
      <c r="U329" s="1322"/>
      <c r="V329" s="1322"/>
      <c r="W329" s="1322"/>
      <c r="X329" s="1317">
        <v>43101</v>
      </c>
      <c r="Y329" s="1317">
        <v>43466</v>
      </c>
      <c r="Z329" s="1316">
        <v>6</v>
      </c>
      <c r="AA329" s="1316" t="s">
        <v>4971</v>
      </c>
      <c r="AB329" s="1323">
        <f>SUM(AB330:AB342)</f>
        <v>0</v>
      </c>
      <c r="AC329" s="1323">
        <f>SUM(AC330:AC342)</f>
        <v>0</v>
      </c>
      <c r="AD329" s="1323">
        <f>SUM(AD330:AD342)</f>
        <v>0</v>
      </c>
      <c r="AE329" s="1324">
        <f t="shared" si="438"/>
        <v>0</v>
      </c>
      <c r="AF329" s="1325" t="str">
        <f t="shared" si="435"/>
        <v/>
      </c>
      <c r="AG329" s="1326">
        <f t="shared" si="419"/>
        <v>9165.4191666666684</v>
      </c>
      <c r="AH329" s="1326">
        <f>SUM(AH330:AH342)</f>
        <v>109985.03000000001</v>
      </c>
      <c r="AI329" s="1339"/>
      <c r="AJ329" s="1328">
        <f>SUM(AJ330:AJ342)</f>
        <v>784.84917500000006</v>
      </c>
      <c r="AK329" s="1328">
        <f>SUM(AK330:AK342)</f>
        <v>9418.1900999999998</v>
      </c>
      <c r="AL329" s="1329"/>
      <c r="AM329" s="1330">
        <f>SUM(AM330:AM342)</f>
        <v>464.5926</v>
      </c>
      <c r="AN329" s="1331"/>
      <c r="AO329" s="1332">
        <f>SUM(AO330:AO342)</f>
        <v>0</v>
      </c>
      <c r="AP329" s="1333"/>
      <c r="AQ329" s="1334">
        <f>SUM(AQ330:AQ342)</f>
        <v>0</v>
      </c>
      <c r="AR329" s="1335"/>
      <c r="AS329" s="1336">
        <f>SUM(AS330:AS342)</f>
        <v>5193.2846000000009</v>
      </c>
      <c r="AT329" s="1337"/>
      <c r="AU329" s="1338">
        <f>SUM(AU330:AU342)</f>
        <v>2322.9630000000002</v>
      </c>
      <c r="AV329" s="1339"/>
      <c r="AW329" s="1340">
        <f>SUM(AW330:AW342)</f>
        <v>1437.3498999999993</v>
      </c>
      <c r="AX329" s="1306"/>
      <c r="AY329" s="1307">
        <f>SUM(AW329+AS329+AU329)</f>
        <v>8953.5974999999999</v>
      </c>
      <c r="AZ329" s="1341"/>
      <c r="BA329" s="1309">
        <f>SUM(AY329+AQ329)</f>
        <v>8953.5974999999999</v>
      </c>
      <c r="BB329" s="1342">
        <f>(AW329+AU329)/(AK329-AM329)</f>
        <v>0.41997788039947065</v>
      </c>
      <c r="BC329" s="1343"/>
      <c r="BD329" s="1343"/>
      <c r="BE329" s="1344"/>
      <c r="BF329" s="1345" t="s">
        <v>4972</v>
      </c>
      <c r="BG329" s="1346"/>
    </row>
    <row r="330" spans="1:59" s="1396" customFormat="1" ht="76.5">
      <c r="A330" s="1347" t="str">
        <f>$L$329</f>
        <v>Dare Bioscience, Inc.</v>
      </c>
      <c r="B330" s="1347" t="s">
        <v>4660</v>
      </c>
      <c r="C330" s="1348">
        <f t="shared" ref="C330:C339" si="454">$C$329</f>
        <v>6</v>
      </c>
      <c r="D330" s="1349">
        <v>42979</v>
      </c>
      <c r="E330" s="1349"/>
      <c r="F330" s="1347" t="s">
        <v>85</v>
      </c>
      <c r="G330" s="1347" t="s">
        <v>85</v>
      </c>
      <c r="H330" s="1347" t="s">
        <v>85</v>
      </c>
      <c r="I330" s="1347" t="s">
        <v>113</v>
      </c>
      <c r="J330" s="1349"/>
      <c r="K330" s="1349" t="s">
        <v>254</v>
      </c>
      <c r="L330" s="1350" t="s">
        <v>2661</v>
      </c>
      <c r="M330" s="1350" t="s">
        <v>3647</v>
      </c>
      <c r="N330" s="1351" t="s">
        <v>4973</v>
      </c>
      <c r="O330" s="1352" t="s">
        <v>4974</v>
      </c>
      <c r="P330" s="1352" t="s">
        <v>4975</v>
      </c>
      <c r="Q330" s="1353" t="s">
        <v>317</v>
      </c>
      <c r="R330" s="1353" t="s">
        <v>3658</v>
      </c>
      <c r="S330" s="1353" t="s">
        <v>307</v>
      </c>
      <c r="T330" s="1353" t="s">
        <v>113</v>
      </c>
      <c r="U330" s="1354"/>
      <c r="V330" s="1354"/>
      <c r="W330" s="1354"/>
      <c r="X330" s="1353">
        <v>43101</v>
      </c>
      <c r="Y330" s="1353">
        <v>43466</v>
      </c>
      <c r="Z330" s="1425"/>
      <c r="AA330" s="1355" t="s">
        <v>4667</v>
      </c>
      <c r="AB330" s="1394"/>
      <c r="AC330" s="1394"/>
      <c r="AD330" s="1356"/>
      <c r="AE330" s="1356"/>
      <c r="AF330" s="1395"/>
      <c r="AG330" s="1358">
        <f t="shared" si="419"/>
        <v>7743.21</v>
      </c>
      <c r="AH330" s="1358">
        <v>92918.52</v>
      </c>
      <c r="AI330" s="1359">
        <v>0.08</v>
      </c>
      <c r="AJ330" s="1360">
        <f t="shared" ref="AJ330:AJ342" si="455">$AI330*$AG330</f>
        <v>619.45680000000004</v>
      </c>
      <c r="AK330" s="1361">
        <f t="shared" ref="AK330:AK342" si="456">AI330*$AH330</f>
        <v>7433.4816000000001</v>
      </c>
      <c r="AL330" s="1362">
        <v>5.0000000000000001E-3</v>
      </c>
      <c r="AM330" s="1363">
        <f t="shared" ref="AM330:AM342" si="457">AL330*$AH330</f>
        <v>464.5926</v>
      </c>
      <c r="AN330" s="1364">
        <v>0</v>
      </c>
      <c r="AO330" s="1365">
        <f t="shared" ref="AO330:AO342" si="458">AN330*$AH330</f>
        <v>0</v>
      </c>
      <c r="AP330" s="1366">
        <v>0</v>
      </c>
      <c r="AQ330" s="1367">
        <f t="shared" ref="AQ330:AQ342" si="459">AP330*$AH330</f>
        <v>0</v>
      </c>
      <c r="AR330" s="1368">
        <v>0.04</v>
      </c>
      <c r="AS330" s="1369">
        <f t="shared" ref="AS330:AS342" si="460">AR330*$AH330</f>
        <v>3716.7408</v>
      </c>
      <c r="AT330" s="1370">
        <v>2.5000000000000001E-2</v>
      </c>
      <c r="AU330" s="1371">
        <f t="shared" ref="AU330:AU342" si="461">AT330*$AH330</f>
        <v>2322.9630000000002</v>
      </c>
      <c r="AV330" s="1359">
        <f t="shared" ref="AV330:AV342" si="462">AZ330-AR330-AT330-AP330</f>
        <v>9.999999999999995E-3</v>
      </c>
      <c r="AW330" s="1372">
        <f t="shared" ref="AW330:AW342" si="463">AV330*$AH330</f>
        <v>929.18519999999955</v>
      </c>
      <c r="AX330" s="1373">
        <f t="shared" ref="AX330:AX342" si="464">$AZ330-$AP330</f>
        <v>7.4999999999999997E-2</v>
      </c>
      <c r="AY330" s="1374">
        <f t="shared" ref="AY330:AY342" si="465">AX330*$AH330</f>
        <v>6968.8890000000001</v>
      </c>
      <c r="AZ330" s="1375">
        <f t="shared" ref="AZ330:AZ342" si="466">$AI330-$AL330-$AN330</f>
        <v>7.4999999999999997E-2</v>
      </c>
      <c r="BA330" s="1376">
        <f t="shared" ref="BA330:BA342" si="467">AZ330*$AH330</f>
        <v>6968.8890000000001</v>
      </c>
      <c r="BB330" s="1377"/>
      <c r="BC330" s="1820" t="s">
        <v>269</v>
      </c>
      <c r="BD330" s="1820" t="s">
        <v>270</v>
      </c>
      <c r="BE330" s="1823" t="s">
        <v>265</v>
      </c>
      <c r="BF330" s="1826" t="s">
        <v>4976</v>
      </c>
      <c r="BG330" s="1829">
        <v>204139823</v>
      </c>
    </row>
    <row r="331" spans="1:59" s="1396" customFormat="1" ht="38.25">
      <c r="A331" s="1347" t="str">
        <f t="shared" ref="A331:A341" si="468">$L$329</f>
        <v>Dare Bioscience, Inc.</v>
      </c>
      <c r="B331" s="1347" t="s">
        <v>4660</v>
      </c>
      <c r="C331" s="1348">
        <f t="shared" si="454"/>
        <v>6</v>
      </c>
      <c r="D331" s="1349">
        <v>42979</v>
      </c>
      <c r="E331" s="1349"/>
      <c r="F331" s="1347" t="s">
        <v>72</v>
      </c>
      <c r="G331" s="1347" t="s">
        <v>85</v>
      </c>
      <c r="H331" s="1347" t="s">
        <v>72</v>
      </c>
      <c r="I331" s="1347" t="s">
        <v>72</v>
      </c>
      <c r="J331" s="1349" t="s">
        <v>4670</v>
      </c>
      <c r="K331" s="1349" t="s">
        <v>254</v>
      </c>
      <c r="L331" s="1350" t="s">
        <v>4671</v>
      </c>
      <c r="M331" s="1350" t="s">
        <v>3649</v>
      </c>
      <c r="N331" s="1379" t="s">
        <v>4977</v>
      </c>
      <c r="O331" s="1352" t="s">
        <v>4791</v>
      </c>
      <c r="P331" s="1352"/>
      <c r="Q331" s="1354"/>
      <c r="R331" s="1354"/>
      <c r="S331" s="1354"/>
      <c r="T331" s="1354"/>
      <c r="U331" s="1354"/>
      <c r="V331" s="1354"/>
      <c r="W331" s="1354"/>
      <c r="X331" s="1353">
        <v>43101</v>
      </c>
      <c r="Y331" s="1353">
        <v>43466</v>
      </c>
      <c r="Z331" s="1425"/>
      <c r="AA331" s="1355" t="s">
        <v>4674</v>
      </c>
      <c r="AB331" s="1394"/>
      <c r="AC331" s="1394"/>
      <c r="AD331" s="1356"/>
      <c r="AE331" s="1356"/>
      <c r="AF331" s="1395"/>
      <c r="AG331" s="1380"/>
      <c r="AH331" s="1380"/>
      <c r="AI331" s="1381">
        <v>0</v>
      </c>
      <c r="AJ331" s="1382">
        <f t="shared" si="455"/>
        <v>0</v>
      </c>
      <c r="AK331" s="1383">
        <f t="shared" si="456"/>
        <v>0</v>
      </c>
      <c r="AL331" s="1384">
        <v>0</v>
      </c>
      <c r="AM331" s="1363">
        <f t="shared" si="457"/>
        <v>0</v>
      </c>
      <c r="AN331" s="1364">
        <v>0</v>
      </c>
      <c r="AO331" s="1365">
        <f t="shared" si="458"/>
        <v>0</v>
      </c>
      <c r="AP331" s="1366">
        <v>0</v>
      </c>
      <c r="AQ331" s="1367">
        <f t="shared" si="459"/>
        <v>0</v>
      </c>
      <c r="AR331" s="1368">
        <v>0</v>
      </c>
      <c r="AS331" s="1369">
        <f t="shared" si="460"/>
        <v>0</v>
      </c>
      <c r="AT331" s="1370">
        <v>0</v>
      </c>
      <c r="AU331" s="1371">
        <f t="shared" si="461"/>
        <v>0</v>
      </c>
      <c r="AV331" s="1359">
        <f t="shared" si="462"/>
        <v>0</v>
      </c>
      <c r="AW331" s="1372">
        <f t="shared" si="463"/>
        <v>0</v>
      </c>
      <c r="AX331" s="1373">
        <f t="shared" si="464"/>
        <v>0</v>
      </c>
      <c r="AY331" s="1374">
        <f t="shared" si="465"/>
        <v>0</v>
      </c>
      <c r="AZ331" s="1375">
        <f t="shared" si="466"/>
        <v>0</v>
      </c>
      <c r="BA331" s="1376">
        <f t="shared" si="467"/>
        <v>0</v>
      </c>
      <c r="BB331" s="1377"/>
      <c r="BC331" s="1820"/>
      <c r="BD331" s="1820"/>
      <c r="BE331" s="1823"/>
      <c r="BF331" s="1826"/>
      <c r="BG331" s="1829"/>
    </row>
    <row r="332" spans="1:59" s="1396" customFormat="1" ht="63" customHeight="1">
      <c r="A332" s="1347" t="str">
        <f t="shared" si="468"/>
        <v>Dare Bioscience, Inc.</v>
      </c>
      <c r="B332" s="1347" t="s">
        <v>4660</v>
      </c>
      <c r="C332" s="1348">
        <f t="shared" si="454"/>
        <v>6</v>
      </c>
      <c r="D332" s="1349">
        <v>42979</v>
      </c>
      <c r="E332" s="1349"/>
      <c r="F332" s="1347" t="s">
        <v>113</v>
      </c>
      <c r="G332" s="1347" t="s">
        <v>85</v>
      </c>
      <c r="H332" s="1347" t="s">
        <v>85</v>
      </c>
      <c r="I332" s="1347" t="s">
        <v>113</v>
      </c>
      <c r="J332" s="1349"/>
      <c r="K332" s="1349" t="s">
        <v>254</v>
      </c>
      <c r="L332" s="1350" t="s">
        <v>4675</v>
      </c>
      <c r="M332" s="1350" t="s">
        <v>3650</v>
      </c>
      <c r="N332" s="1385" t="s">
        <v>4978</v>
      </c>
      <c r="O332" s="1352" t="s">
        <v>4677</v>
      </c>
      <c r="P332" s="1352"/>
      <c r="Q332" s="1354"/>
      <c r="R332" s="1354"/>
      <c r="S332" s="1354"/>
      <c r="T332" s="1354"/>
      <c r="U332" s="1353" t="s">
        <v>4678</v>
      </c>
      <c r="V332" s="1353" t="s">
        <v>2495</v>
      </c>
      <c r="W332" s="1354"/>
      <c r="X332" s="1353">
        <v>43101</v>
      </c>
      <c r="Y332" s="1353">
        <v>43466</v>
      </c>
      <c r="Z332" s="1425"/>
      <c r="AA332" s="1355" t="s">
        <v>4679</v>
      </c>
      <c r="AB332" s="1394"/>
      <c r="AC332" s="1394"/>
      <c r="AD332" s="1356"/>
      <c r="AE332" s="1356"/>
      <c r="AF332" s="1395"/>
      <c r="AG332" s="1358">
        <f t="shared" si="419"/>
        <v>873.82</v>
      </c>
      <c r="AH332" s="1358">
        <v>10485.84</v>
      </c>
      <c r="AI332" s="1359">
        <v>0.1</v>
      </c>
      <c r="AJ332" s="1360">
        <f t="shared" si="455"/>
        <v>87.382000000000005</v>
      </c>
      <c r="AK332" s="1361">
        <f t="shared" si="456"/>
        <v>1048.5840000000001</v>
      </c>
      <c r="AL332" s="1384">
        <v>0</v>
      </c>
      <c r="AM332" s="1363">
        <f t="shared" si="457"/>
        <v>0</v>
      </c>
      <c r="AN332" s="1364">
        <v>0</v>
      </c>
      <c r="AO332" s="1365">
        <f t="shared" si="458"/>
        <v>0</v>
      </c>
      <c r="AP332" s="1366">
        <v>0</v>
      </c>
      <c r="AQ332" s="1367">
        <f t="shared" si="459"/>
        <v>0</v>
      </c>
      <c r="AR332" s="1368">
        <v>0.08</v>
      </c>
      <c r="AS332" s="1369">
        <f t="shared" si="460"/>
        <v>838.86720000000003</v>
      </c>
      <c r="AT332" s="1370">
        <v>0</v>
      </c>
      <c r="AU332" s="1371">
        <f t="shared" si="461"/>
        <v>0</v>
      </c>
      <c r="AV332" s="1359">
        <f t="shared" si="462"/>
        <v>2.0000000000000004E-2</v>
      </c>
      <c r="AW332" s="1372">
        <f t="shared" si="463"/>
        <v>209.71680000000003</v>
      </c>
      <c r="AX332" s="1373">
        <f t="shared" si="464"/>
        <v>0.1</v>
      </c>
      <c r="AY332" s="1374">
        <f t="shared" si="465"/>
        <v>1048.5840000000001</v>
      </c>
      <c r="AZ332" s="1375">
        <f t="shared" si="466"/>
        <v>0.1</v>
      </c>
      <c r="BA332" s="1376">
        <f t="shared" si="467"/>
        <v>1048.5840000000001</v>
      </c>
      <c r="BB332" s="1377"/>
      <c r="BC332" s="1820"/>
      <c r="BD332" s="1820"/>
      <c r="BE332" s="1823"/>
      <c r="BF332" s="1826"/>
      <c r="BG332" s="1829"/>
    </row>
    <row r="333" spans="1:59" s="1378" customFormat="1" ht="41.25" customHeight="1">
      <c r="A333" s="1347" t="str">
        <f t="shared" si="468"/>
        <v>Dare Bioscience, Inc.</v>
      </c>
      <c r="B333" s="1347" t="s">
        <v>4660</v>
      </c>
      <c r="C333" s="1348">
        <f t="shared" si="454"/>
        <v>6</v>
      </c>
      <c r="D333" s="1349">
        <v>42979</v>
      </c>
      <c r="E333" s="1349"/>
      <c r="F333" s="1347" t="s">
        <v>113</v>
      </c>
      <c r="G333" s="1347" t="s">
        <v>85</v>
      </c>
      <c r="H333" s="1347" t="s">
        <v>85</v>
      </c>
      <c r="I333" s="1347" t="s">
        <v>113</v>
      </c>
      <c r="J333" s="1349"/>
      <c r="K333" s="1349" t="s">
        <v>254</v>
      </c>
      <c r="L333" s="1350" t="s">
        <v>4675</v>
      </c>
      <c r="M333" s="1350" t="s">
        <v>3651</v>
      </c>
      <c r="N333" s="1351" t="s">
        <v>4875</v>
      </c>
      <c r="O333" s="1352" t="s">
        <v>4681</v>
      </c>
      <c r="P333" s="1352"/>
      <c r="Q333" s="1354"/>
      <c r="R333" s="1354"/>
      <c r="S333" s="1354"/>
      <c r="T333" s="1354"/>
      <c r="U333" s="1354"/>
      <c r="V333" s="1354"/>
      <c r="W333" s="1353" t="s">
        <v>2492</v>
      </c>
      <c r="X333" s="1353">
        <v>43101</v>
      </c>
      <c r="Y333" s="1353">
        <v>43466</v>
      </c>
      <c r="Z333" s="1425"/>
      <c r="AA333" s="1355" t="s">
        <v>4679</v>
      </c>
      <c r="AB333" s="1394"/>
      <c r="AC333" s="1394"/>
      <c r="AD333" s="1356"/>
      <c r="AE333" s="1356"/>
      <c r="AF333" s="1395"/>
      <c r="AG333" s="1358">
        <f t="shared" si="419"/>
        <v>84.96</v>
      </c>
      <c r="AH333" s="1358">
        <v>1019.52</v>
      </c>
      <c r="AI333" s="1359">
        <v>0.1</v>
      </c>
      <c r="AJ333" s="1360">
        <f t="shared" si="455"/>
        <v>8.4960000000000004</v>
      </c>
      <c r="AK333" s="1361">
        <f t="shared" si="456"/>
        <v>101.952</v>
      </c>
      <c r="AL333" s="1384">
        <v>0</v>
      </c>
      <c r="AM333" s="1363">
        <f t="shared" si="457"/>
        <v>0</v>
      </c>
      <c r="AN333" s="1364">
        <v>0</v>
      </c>
      <c r="AO333" s="1365">
        <f t="shared" si="458"/>
        <v>0</v>
      </c>
      <c r="AP333" s="1366">
        <v>0</v>
      </c>
      <c r="AQ333" s="1367">
        <f t="shared" si="459"/>
        <v>0</v>
      </c>
      <c r="AR333" s="1368">
        <v>0.08</v>
      </c>
      <c r="AS333" s="1369">
        <f t="shared" si="460"/>
        <v>81.561599999999999</v>
      </c>
      <c r="AT333" s="1370">
        <v>0</v>
      </c>
      <c r="AU333" s="1371">
        <f t="shared" si="461"/>
        <v>0</v>
      </c>
      <c r="AV333" s="1359">
        <f t="shared" si="462"/>
        <v>2.0000000000000004E-2</v>
      </c>
      <c r="AW333" s="1372">
        <f t="shared" si="463"/>
        <v>20.390400000000003</v>
      </c>
      <c r="AX333" s="1373">
        <f t="shared" si="464"/>
        <v>0.1</v>
      </c>
      <c r="AY333" s="1374">
        <f t="shared" si="465"/>
        <v>101.952</v>
      </c>
      <c r="AZ333" s="1375">
        <f t="shared" si="466"/>
        <v>0.1</v>
      </c>
      <c r="BA333" s="1376">
        <f t="shared" si="467"/>
        <v>101.952</v>
      </c>
      <c r="BB333" s="1377"/>
      <c r="BC333" s="1820"/>
      <c r="BD333" s="1820"/>
      <c r="BE333" s="1823"/>
      <c r="BF333" s="1826"/>
      <c r="BG333" s="1829"/>
    </row>
    <row r="334" spans="1:59" s="1396" customFormat="1" ht="38.25">
      <c r="A334" s="1347" t="str">
        <f t="shared" si="468"/>
        <v>Dare Bioscience, Inc.</v>
      </c>
      <c r="B334" s="1347" t="s">
        <v>4660</v>
      </c>
      <c r="C334" s="1348">
        <f t="shared" si="454"/>
        <v>6</v>
      </c>
      <c r="D334" s="1349">
        <v>42979</v>
      </c>
      <c r="E334" s="1349"/>
      <c r="F334" s="1347" t="s">
        <v>113</v>
      </c>
      <c r="G334" s="1347" t="s">
        <v>85</v>
      </c>
      <c r="H334" s="1347" t="s">
        <v>85</v>
      </c>
      <c r="I334" s="1347" t="s">
        <v>113</v>
      </c>
      <c r="J334" s="1349"/>
      <c r="K334" s="1349" t="s">
        <v>254</v>
      </c>
      <c r="L334" s="1350" t="s">
        <v>4682</v>
      </c>
      <c r="M334" s="1350" t="s">
        <v>4683</v>
      </c>
      <c r="N334" s="1386" t="s">
        <v>148</v>
      </c>
      <c r="O334" s="1352" t="s">
        <v>4684</v>
      </c>
      <c r="P334" s="1387"/>
      <c r="Q334" s="1354"/>
      <c r="R334" s="1354"/>
      <c r="S334" s="1354"/>
      <c r="T334" s="1354"/>
      <c r="U334" s="1354"/>
      <c r="V334" s="1354"/>
      <c r="W334" s="1354"/>
      <c r="X334" s="1353">
        <v>43101</v>
      </c>
      <c r="Y334" s="1353">
        <v>43466</v>
      </c>
      <c r="Z334" s="1425"/>
      <c r="AA334" s="1355" t="s">
        <v>4685</v>
      </c>
      <c r="AB334" s="1394"/>
      <c r="AC334" s="1394"/>
      <c r="AD334" s="1356"/>
      <c r="AE334" s="1356"/>
      <c r="AF334" s="1395"/>
      <c r="AG334" s="1358">
        <f t="shared" si="419"/>
        <v>33.9</v>
      </c>
      <c r="AH334" s="1358">
        <f>324+82.8</f>
        <v>406.8</v>
      </c>
      <c r="AI334" s="1359">
        <v>0.15</v>
      </c>
      <c r="AJ334" s="1360">
        <f t="shared" si="455"/>
        <v>5.085</v>
      </c>
      <c r="AK334" s="1361">
        <f t="shared" si="456"/>
        <v>61.019999999999996</v>
      </c>
      <c r="AL334" s="1384">
        <v>0</v>
      </c>
      <c r="AM334" s="1363">
        <f t="shared" si="457"/>
        <v>0</v>
      </c>
      <c r="AN334" s="1364">
        <v>0</v>
      </c>
      <c r="AO334" s="1365">
        <f t="shared" si="458"/>
        <v>0</v>
      </c>
      <c r="AP334" s="1366">
        <v>0</v>
      </c>
      <c r="AQ334" s="1367">
        <f t="shared" si="459"/>
        <v>0</v>
      </c>
      <c r="AR334" s="1368">
        <v>0.1</v>
      </c>
      <c r="AS334" s="1369">
        <f t="shared" si="460"/>
        <v>40.680000000000007</v>
      </c>
      <c r="AT334" s="1370">
        <v>0</v>
      </c>
      <c r="AU334" s="1371">
        <f t="shared" si="461"/>
        <v>0</v>
      </c>
      <c r="AV334" s="1359">
        <f t="shared" si="462"/>
        <v>4.9999999999999989E-2</v>
      </c>
      <c r="AW334" s="1372">
        <f t="shared" si="463"/>
        <v>20.339999999999996</v>
      </c>
      <c r="AX334" s="1373">
        <f t="shared" si="464"/>
        <v>0.15</v>
      </c>
      <c r="AY334" s="1374">
        <f t="shared" si="465"/>
        <v>61.019999999999996</v>
      </c>
      <c r="AZ334" s="1375">
        <f t="shared" si="466"/>
        <v>0.15</v>
      </c>
      <c r="BA334" s="1376">
        <f t="shared" si="467"/>
        <v>61.019999999999996</v>
      </c>
      <c r="BB334" s="1377"/>
      <c r="BC334" s="1820"/>
      <c r="BD334" s="1820"/>
      <c r="BE334" s="1823"/>
      <c r="BF334" s="1826"/>
      <c r="BG334" s="1829"/>
    </row>
    <row r="335" spans="1:59" s="1396" customFormat="1" ht="38.25">
      <c r="A335" s="1347" t="str">
        <f t="shared" si="468"/>
        <v>Dare Bioscience, Inc.</v>
      </c>
      <c r="B335" s="1347" t="s">
        <v>4660</v>
      </c>
      <c r="C335" s="1348">
        <f t="shared" si="454"/>
        <v>6</v>
      </c>
      <c r="D335" s="1349">
        <v>42979</v>
      </c>
      <c r="E335" s="1349"/>
      <c r="F335" s="1347" t="s">
        <v>113</v>
      </c>
      <c r="G335" s="1347" t="s">
        <v>85</v>
      </c>
      <c r="H335" s="1347" t="s">
        <v>85</v>
      </c>
      <c r="I335" s="1347" t="s">
        <v>113</v>
      </c>
      <c r="J335" s="1349"/>
      <c r="K335" s="1349" t="s">
        <v>254</v>
      </c>
      <c r="L335" s="1350" t="s">
        <v>4682</v>
      </c>
      <c r="M335" s="1350" t="s">
        <v>4686</v>
      </c>
      <c r="N335" s="1386" t="s">
        <v>60</v>
      </c>
      <c r="O335" s="1352" t="s">
        <v>4687</v>
      </c>
      <c r="P335" s="1387"/>
      <c r="Q335" s="1354"/>
      <c r="R335" s="1354"/>
      <c r="S335" s="1354"/>
      <c r="T335" s="1354"/>
      <c r="U335" s="1354"/>
      <c r="V335" s="1354"/>
      <c r="W335" s="1354"/>
      <c r="X335" s="1353">
        <v>43101</v>
      </c>
      <c r="Y335" s="1353">
        <v>43466</v>
      </c>
      <c r="Z335" s="1425"/>
      <c r="AA335" s="1355" t="s">
        <v>4685</v>
      </c>
      <c r="AB335" s="1394"/>
      <c r="AC335" s="1394"/>
      <c r="AD335" s="1356"/>
      <c r="AE335" s="1356"/>
      <c r="AF335" s="1395"/>
      <c r="AG335" s="1358">
        <f t="shared" si="419"/>
        <v>132.78</v>
      </c>
      <c r="AH335" s="1358">
        <v>1593.36</v>
      </c>
      <c r="AI335" s="1359">
        <v>0.15</v>
      </c>
      <c r="AJ335" s="1360">
        <f t="shared" si="455"/>
        <v>19.916999999999998</v>
      </c>
      <c r="AK335" s="1361">
        <f t="shared" si="456"/>
        <v>239.00399999999996</v>
      </c>
      <c r="AL335" s="1384">
        <v>0</v>
      </c>
      <c r="AM335" s="1363">
        <f t="shared" si="457"/>
        <v>0</v>
      </c>
      <c r="AN335" s="1364">
        <v>0</v>
      </c>
      <c r="AO335" s="1365">
        <f t="shared" si="458"/>
        <v>0</v>
      </c>
      <c r="AP335" s="1366">
        <v>0</v>
      </c>
      <c r="AQ335" s="1367">
        <f t="shared" si="459"/>
        <v>0</v>
      </c>
      <c r="AR335" s="1368">
        <v>0.1</v>
      </c>
      <c r="AS335" s="1369">
        <f t="shared" si="460"/>
        <v>159.33600000000001</v>
      </c>
      <c r="AT335" s="1370">
        <v>0</v>
      </c>
      <c r="AU335" s="1371">
        <f t="shared" si="461"/>
        <v>0</v>
      </c>
      <c r="AV335" s="1359">
        <f t="shared" si="462"/>
        <v>4.9999999999999989E-2</v>
      </c>
      <c r="AW335" s="1372">
        <f t="shared" si="463"/>
        <v>79.667999999999978</v>
      </c>
      <c r="AX335" s="1373">
        <f t="shared" si="464"/>
        <v>0.15</v>
      </c>
      <c r="AY335" s="1374">
        <f t="shared" si="465"/>
        <v>239.00399999999996</v>
      </c>
      <c r="AZ335" s="1375">
        <f t="shared" si="466"/>
        <v>0.15</v>
      </c>
      <c r="BA335" s="1376">
        <f t="shared" si="467"/>
        <v>239.00399999999996</v>
      </c>
      <c r="BB335" s="1377"/>
      <c r="BC335" s="1820"/>
      <c r="BD335" s="1820"/>
      <c r="BE335" s="1823"/>
      <c r="BF335" s="1826"/>
      <c r="BG335" s="1829"/>
    </row>
    <row r="336" spans="1:59" s="1396" customFormat="1" ht="38.25">
      <c r="A336" s="1347" t="str">
        <f t="shared" si="468"/>
        <v>Dare Bioscience, Inc.</v>
      </c>
      <c r="B336" s="1347" t="s">
        <v>4660</v>
      </c>
      <c r="C336" s="1348">
        <f t="shared" si="454"/>
        <v>6</v>
      </c>
      <c r="D336" s="1349">
        <v>42979</v>
      </c>
      <c r="E336" s="1349"/>
      <c r="F336" s="1347" t="s">
        <v>113</v>
      </c>
      <c r="G336" s="1347" t="s">
        <v>85</v>
      </c>
      <c r="H336" s="1347" t="s">
        <v>85</v>
      </c>
      <c r="I336" s="1347" t="s">
        <v>113</v>
      </c>
      <c r="J336" s="1349"/>
      <c r="K336" s="1349" t="s">
        <v>254</v>
      </c>
      <c r="L336" s="1350" t="s">
        <v>4682</v>
      </c>
      <c r="M336" s="1350" t="s">
        <v>62</v>
      </c>
      <c r="N336" s="1351" t="s">
        <v>266</v>
      </c>
      <c r="O336" s="1352" t="s">
        <v>4688</v>
      </c>
      <c r="P336" s="1352"/>
      <c r="Q336" s="1354"/>
      <c r="R336" s="1354"/>
      <c r="S336" s="1354"/>
      <c r="T336" s="1354"/>
      <c r="U336" s="1354"/>
      <c r="V336" s="1354"/>
      <c r="W336" s="1354"/>
      <c r="X336" s="1353">
        <v>43101</v>
      </c>
      <c r="Y336" s="1353">
        <v>43466</v>
      </c>
      <c r="Z336" s="1425"/>
      <c r="AA336" s="1355" t="s">
        <v>4685</v>
      </c>
      <c r="AB336" s="1394"/>
      <c r="AC336" s="1394"/>
      <c r="AD336" s="1356"/>
      <c r="AE336" s="1356"/>
      <c r="AF336" s="1395"/>
      <c r="AG336" s="1358">
        <f t="shared" si="419"/>
        <v>113.13416666666666</v>
      </c>
      <c r="AH336" s="1358">
        <v>1357.61</v>
      </c>
      <c r="AI336" s="1359">
        <v>0.15</v>
      </c>
      <c r="AJ336" s="1360">
        <f t="shared" si="455"/>
        <v>16.970124999999999</v>
      </c>
      <c r="AK336" s="1361">
        <f t="shared" si="456"/>
        <v>203.64149999999998</v>
      </c>
      <c r="AL336" s="1384">
        <v>0</v>
      </c>
      <c r="AM336" s="1363">
        <f t="shared" si="457"/>
        <v>0</v>
      </c>
      <c r="AN336" s="1364">
        <v>0</v>
      </c>
      <c r="AO336" s="1365">
        <f t="shared" si="458"/>
        <v>0</v>
      </c>
      <c r="AP336" s="1366">
        <v>0</v>
      </c>
      <c r="AQ336" s="1367">
        <f t="shared" si="459"/>
        <v>0</v>
      </c>
      <c r="AR336" s="1368">
        <v>0.1</v>
      </c>
      <c r="AS336" s="1369">
        <f t="shared" si="460"/>
        <v>135.761</v>
      </c>
      <c r="AT336" s="1370">
        <v>0</v>
      </c>
      <c r="AU336" s="1371">
        <f t="shared" si="461"/>
        <v>0</v>
      </c>
      <c r="AV336" s="1359">
        <f t="shared" si="462"/>
        <v>4.9999999999999989E-2</v>
      </c>
      <c r="AW336" s="1372">
        <f t="shared" si="463"/>
        <v>67.880499999999984</v>
      </c>
      <c r="AX336" s="1373">
        <f t="shared" si="464"/>
        <v>0.15</v>
      </c>
      <c r="AY336" s="1374">
        <f t="shared" si="465"/>
        <v>203.64149999999998</v>
      </c>
      <c r="AZ336" s="1375">
        <f t="shared" si="466"/>
        <v>0.15</v>
      </c>
      <c r="BA336" s="1376">
        <f t="shared" si="467"/>
        <v>203.64149999999998</v>
      </c>
      <c r="BB336" s="1377"/>
      <c r="BC336" s="1820"/>
      <c r="BD336" s="1820"/>
      <c r="BE336" s="1823"/>
      <c r="BF336" s="1826"/>
      <c r="BG336" s="1829"/>
    </row>
    <row r="337" spans="1:59" s="1378" customFormat="1" ht="38.25">
      <c r="A337" s="1347" t="str">
        <f t="shared" si="468"/>
        <v>Dare Bioscience, Inc.</v>
      </c>
      <c r="B337" s="1347" t="s">
        <v>4660</v>
      </c>
      <c r="C337" s="1348">
        <f t="shared" si="454"/>
        <v>6</v>
      </c>
      <c r="D337" s="1349">
        <v>42979</v>
      </c>
      <c r="E337" s="1349"/>
      <c r="F337" s="1347" t="s">
        <v>113</v>
      </c>
      <c r="G337" s="1347" t="s">
        <v>85</v>
      </c>
      <c r="H337" s="1347" t="s">
        <v>85</v>
      </c>
      <c r="I337" s="1347" t="s">
        <v>113</v>
      </c>
      <c r="J337" s="1349"/>
      <c r="K337" s="1349" t="s">
        <v>254</v>
      </c>
      <c r="L337" s="1350" t="s">
        <v>4682</v>
      </c>
      <c r="M337" s="1350" t="s">
        <v>67</v>
      </c>
      <c r="N337" s="1351" t="s">
        <v>82</v>
      </c>
      <c r="O337" s="1352" t="s">
        <v>4689</v>
      </c>
      <c r="P337" s="1352"/>
      <c r="Q337" s="1354"/>
      <c r="R337" s="1354"/>
      <c r="S337" s="1354"/>
      <c r="T337" s="1354"/>
      <c r="U337" s="1354"/>
      <c r="V337" s="1354"/>
      <c r="W337" s="1354"/>
      <c r="X337" s="1353">
        <v>43101</v>
      </c>
      <c r="Y337" s="1353">
        <v>43466</v>
      </c>
      <c r="Z337" s="1355"/>
      <c r="AA337" s="1355" t="s">
        <v>4685</v>
      </c>
      <c r="AB337" s="1356"/>
      <c r="AC337" s="1356"/>
      <c r="AD337" s="1356"/>
      <c r="AE337" s="1356"/>
      <c r="AF337" s="1357"/>
      <c r="AG337" s="1358">
        <f t="shared" si="419"/>
        <v>183.61500000000001</v>
      </c>
      <c r="AH337" s="1358">
        <v>2203.38</v>
      </c>
      <c r="AI337" s="1359">
        <v>0.15</v>
      </c>
      <c r="AJ337" s="1360">
        <f t="shared" si="455"/>
        <v>27.542249999999999</v>
      </c>
      <c r="AK337" s="1361">
        <f t="shared" si="456"/>
        <v>330.50700000000001</v>
      </c>
      <c r="AL337" s="1384">
        <v>0</v>
      </c>
      <c r="AM337" s="1363">
        <f t="shared" si="457"/>
        <v>0</v>
      </c>
      <c r="AN337" s="1364">
        <v>0</v>
      </c>
      <c r="AO337" s="1365">
        <f t="shared" si="458"/>
        <v>0</v>
      </c>
      <c r="AP337" s="1366">
        <v>0</v>
      </c>
      <c r="AQ337" s="1367">
        <f t="shared" si="459"/>
        <v>0</v>
      </c>
      <c r="AR337" s="1368">
        <v>0.1</v>
      </c>
      <c r="AS337" s="1369">
        <f t="shared" si="460"/>
        <v>220.33800000000002</v>
      </c>
      <c r="AT337" s="1370">
        <v>0</v>
      </c>
      <c r="AU337" s="1371">
        <f t="shared" si="461"/>
        <v>0</v>
      </c>
      <c r="AV337" s="1359">
        <f t="shared" si="462"/>
        <v>4.9999999999999989E-2</v>
      </c>
      <c r="AW337" s="1372">
        <f t="shared" si="463"/>
        <v>110.16899999999998</v>
      </c>
      <c r="AX337" s="1373">
        <f t="shared" si="464"/>
        <v>0.15</v>
      </c>
      <c r="AY337" s="1374">
        <f t="shared" si="465"/>
        <v>330.50700000000001</v>
      </c>
      <c r="AZ337" s="1375">
        <f t="shared" si="466"/>
        <v>0.15</v>
      </c>
      <c r="BA337" s="1376">
        <f t="shared" si="467"/>
        <v>330.50700000000001</v>
      </c>
      <c r="BB337" s="1391"/>
      <c r="BC337" s="1820"/>
      <c r="BD337" s="1820"/>
      <c r="BE337" s="1823"/>
      <c r="BF337" s="1826"/>
      <c r="BG337" s="1829"/>
    </row>
    <row r="338" spans="1:59" s="1378" customFormat="1" ht="27.75" customHeight="1">
      <c r="A338" s="1347" t="str">
        <f t="shared" si="468"/>
        <v>Dare Bioscience, Inc.</v>
      </c>
      <c r="B338" s="1347" t="s">
        <v>4660</v>
      </c>
      <c r="C338" s="1348">
        <f t="shared" si="454"/>
        <v>6</v>
      </c>
      <c r="D338" s="1349">
        <v>42979</v>
      </c>
      <c r="E338" s="1349"/>
      <c r="F338" s="1347" t="s">
        <v>72</v>
      </c>
      <c r="G338" s="1347" t="s">
        <v>85</v>
      </c>
      <c r="H338" s="1347" t="s">
        <v>72</v>
      </c>
      <c r="I338" s="1347" t="s">
        <v>72</v>
      </c>
      <c r="J338" s="1349" t="s">
        <v>4670</v>
      </c>
      <c r="K338" s="1349" t="s">
        <v>254</v>
      </c>
      <c r="L338" s="1350" t="s">
        <v>4696</v>
      </c>
      <c r="M338" s="1350" t="s">
        <v>4697</v>
      </c>
      <c r="N338" s="1389" t="s">
        <v>4698</v>
      </c>
      <c r="O338" s="1352" t="s">
        <v>4699</v>
      </c>
      <c r="P338" s="1352"/>
      <c r="Q338" s="1354"/>
      <c r="R338" s="1354"/>
      <c r="S338" s="1354"/>
      <c r="T338" s="1354"/>
      <c r="U338" s="1354"/>
      <c r="V338" s="1354"/>
      <c r="W338" s="1354"/>
      <c r="X338" s="1353">
        <v>43101</v>
      </c>
      <c r="Y338" s="1353">
        <v>43466</v>
      </c>
      <c r="Z338" s="1425"/>
      <c r="AA338" s="1355" t="s">
        <v>4674</v>
      </c>
      <c r="AB338" s="1356"/>
      <c r="AC338" s="1356"/>
      <c r="AD338" s="1356"/>
      <c r="AE338" s="1356"/>
      <c r="AF338" s="1357"/>
      <c r="AG338" s="1380"/>
      <c r="AH338" s="1380"/>
      <c r="AI338" s="1381">
        <v>0</v>
      </c>
      <c r="AJ338" s="1382">
        <f t="shared" si="455"/>
        <v>0</v>
      </c>
      <c r="AK338" s="1383">
        <f t="shared" si="456"/>
        <v>0</v>
      </c>
      <c r="AL338" s="1384">
        <v>0</v>
      </c>
      <c r="AM338" s="1363">
        <f t="shared" si="457"/>
        <v>0</v>
      </c>
      <c r="AN338" s="1364">
        <v>0</v>
      </c>
      <c r="AO338" s="1365">
        <f t="shared" si="458"/>
        <v>0</v>
      </c>
      <c r="AP338" s="1366">
        <v>0</v>
      </c>
      <c r="AQ338" s="1367">
        <f t="shared" si="459"/>
        <v>0</v>
      </c>
      <c r="AR338" s="1368">
        <v>0</v>
      </c>
      <c r="AS338" s="1369">
        <f t="shared" si="460"/>
        <v>0</v>
      </c>
      <c r="AT338" s="1370">
        <v>0</v>
      </c>
      <c r="AU338" s="1371">
        <f t="shared" si="461"/>
        <v>0</v>
      </c>
      <c r="AV338" s="1359">
        <f t="shared" si="462"/>
        <v>0</v>
      </c>
      <c r="AW338" s="1372">
        <f t="shared" si="463"/>
        <v>0</v>
      </c>
      <c r="AX338" s="1373">
        <f t="shared" si="464"/>
        <v>0</v>
      </c>
      <c r="AY338" s="1374">
        <f t="shared" si="465"/>
        <v>0</v>
      </c>
      <c r="AZ338" s="1375">
        <f t="shared" si="466"/>
        <v>0</v>
      </c>
      <c r="BA338" s="1376">
        <f t="shared" si="467"/>
        <v>0</v>
      </c>
      <c r="BB338" s="1377"/>
      <c r="BC338" s="1820"/>
      <c r="BD338" s="1820"/>
      <c r="BE338" s="1823"/>
      <c r="BF338" s="1826"/>
      <c r="BG338" s="1829"/>
    </row>
    <row r="339" spans="1:59" s="1378" customFormat="1" ht="38.25">
      <c r="A339" s="1347" t="str">
        <f t="shared" si="468"/>
        <v>Dare Bioscience, Inc.</v>
      </c>
      <c r="B339" s="1347" t="s">
        <v>4660</v>
      </c>
      <c r="C339" s="1348">
        <f t="shared" si="454"/>
        <v>6</v>
      </c>
      <c r="D339" s="1349">
        <v>42979</v>
      </c>
      <c r="E339" s="1349"/>
      <c r="F339" s="1347" t="s">
        <v>72</v>
      </c>
      <c r="G339" s="1347" t="s">
        <v>4700</v>
      </c>
      <c r="H339" s="1347" t="s">
        <v>72</v>
      </c>
      <c r="I339" s="1347" t="s">
        <v>72</v>
      </c>
      <c r="J339" s="1349" t="s">
        <v>4670</v>
      </c>
      <c r="K339" s="1349" t="s">
        <v>254</v>
      </c>
      <c r="L339" s="1350" t="s">
        <v>48</v>
      </c>
      <c r="M339" s="1350" t="s">
        <v>3652</v>
      </c>
      <c r="N339" s="1390" t="s">
        <v>4909</v>
      </c>
      <c r="O339" s="1352" t="s">
        <v>4702</v>
      </c>
      <c r="P339" s="1352"/>
      <c r="Q339" s="1354"/>
      <c r="R339" s="1354"/>
      <c r="S339" s="1354"/>
      <c r="T339" s="1354"/>
      <c r="U339" s="1354"/>
      <c r="V339" s="1354"/>
      <c r="W339" s="1354"/>
      <c r="X339" s="1353">
        <v>43101</v>
      </c>
      <c r="Y339" s="1353">
        <v>43466</v>
      </c>
      <c r="Z339" s="1355"/>
      <c r="AA339" s="1355" t="s">
        <v>4674</v>
      </c>
      <c r="AB339" s="1356"/>
      <c r="AC339" s="1356"/>
      <c r="AD339" s="1356"/>
      <c r="AE339" s="1356"/>
      <c r="AF339" s="1357"/>
      <c r="AG339" s="1380"/>
      <c r="AH339" s="1380"/>
      <c r="AI339" s="1381">
        <v>0</v>
      </c>
      <c r="AJ339" s="1382">
        <f t="shared" si="455"/>
        <v>0</v>
      </c>
      <c r="AK339" s="1383">
        <f t="shared" si="456"/>
        <v>0</v>
      </c>
      <c r="AL339" s="1384">
        <v>0</v>
      </c>
      <c r="AM339" s="1363">
        <f t="shared" si="457"/>
        <v>0</v>
      </c>
      <c r="AN339" s="1364">
        <v>0</v>
      </c>
      <c r="AO339" s="1365">
        <f t="shared" si="458"/>
        <v>0</v>
      </c>
      <c r="AP339" s="1366">
        <v>0</v>
      </c>
      <c r="AQ339" s="1367">
        <f t="shared" si="459"/>
        <v>0</v>
      </c>
      <c r="AR339" s="1368">
        <v>0</v>
      </c>
      <c r="AS339" s="1369">
        <f t="shared" si="460"/>
        <v>0</v>
      </c>
      <c r="AT339" s="1370">
        <v>0</v>
      </c>
      <c r="AU339" s="1371">
        <f t="shared" si="461"/>
        <v>0</v>
      </c>
      <c r="AV339" s="1359">
        <f t="shared" si="462"/>
        <v>0</v>
      </c>
      <c r="AW339" s="1372">
        <f t="shared" si="463"/>
        <v>0</v>
      </c>
      <c r="AX339" s="1373">
        <f t="shared" si="464"/>
        <v>0</v>
      </c>
      <c r="AY339" s="1374">
        <f t="shared" si="465"/>
        <v>0</v>
      </c>
      <c r="AZ339" s="1375">
        <f t="shared" si="466"/>
        <v>0</v>
      </c>
      <c r="BA339" s="1376">
        <f t="shared" si="467"/>
        <v>0</v>
      </c>
      <c r="BB339" s="1377"/>
      <c r="BC339" s="1820"/>
      <c r="BD339" s="1820"/>
      <c r="BE339" s="1823"/>
      <c r="BF339" s="1826"/>
      <c r="BG339" s="1829"/>
    </row>
    <row r="340" spans="1:59" s="1396" customFormat="1" ht="38.25">
      <c r="A340" s="1347" t="str">
        <f t="shared" si="468"/>
        <v>Dare Bioscience, Inc.</v>
      </c>
      <c r="B340" s="1347" t="s">
        <v>4660</v>
      </c>
      <c r="C340" s="1348">
        <f>$C$329</f>
        <v>6</v>
      </c>
      <c r="D340" s="1349">
        <v>42979</v>
      </c>
      <c r="E340" s="1349"/>
      <c r="F340" s="1347" t="s">
        <v>72</v>
      </c>
      <c r="G340" s="1347" t="s">
        <v>85</v>
      </c>
      <c r="H340" s="1347" t="s">
        <v>72</v>
      </c>
      <c r="I340" s="1347" t="s">
        <v>72</v>
      </c>
      <c r="J340" s="1349" t="s">
        <v>4670</v>
      </c>
      <c r="K340" s="1349" t="s">
        <v>254</v>
      </c>
      <c r="L340" s="1350" t="s">
        <v>48</v>
      </c>
      <c r="M340" s="1350" t="s">
        <v>253</v>
      </c>
      <c r="N340" s="1390" t="s">
        <v>4703</v>
      </c>
      <c r="O340" s="1352" t="s">
        <v>4979</v>
      </c>
      <c r="P340" s="1352"/>
      <c r="Q340" s="1354"/>
      <c r="R340" s="1354"/>
      <c r="S340" s="1354"/>
      <c r="T340" s="1354"/>
      <c r="U340" s="1354"/>
      <c r="V340" s="1354"/>
      <c r="W340" s="1354"/>
      <c r="X340" s="1353">
        <v>43101</v>
      </c>
      <c r="Y340" s="1353">
        <v>43466</v>
      </c>
      <c r="Z340" s="1425"/>
      <c r="AA340" s="1355" t="s">
        <v>4674</v>
      </c>
      <c r="AB340" s="1394"/>
      <c r="AC340" s="1394"/>
      <c r="AD340" s="1356"/>
      <c r="AE340" s="1356"/>
      <c r="AF340" s="1395"/>
      <c r="AG340" s="1380"/>
      <c r="AH340" s="1380"/>
      <c r="AI340" s="1381">
        <v>0</v>
      </c>
      <c r="AJ340" s="1382">
        <f t="shared" si="455"/>
        <v>0</v>
      </c>
      <c r="AK340" s="1383">
        <f t="shared" si="456"/>
        <v>0</v>
      </c>
      <c r="AL340" s="1384">
        <v>0</v>
      </c>
      <c r="AM340" s="1363">
        <f t="shared" si="457"/>
        <v>0</v>
      </c>
      <c r="AN340" s="1364">
        <v>0</v>
      </c>
      <c r="AO340" s="1365">
        <f t="shared" si="458"/>
        <v>0</v>
      </c>
      <c r="AP340" s="1366">
        <v>0</v>
      </c>
      <c r="AQ340" s="1367">
        <f t="shared" si="459"/>
        <v>0</v>
      </c>
      <c r="AR340" s="1368">
        <v>0</v>
      </c>
      <c r="AS340" s="1369">
        <f t="shared" si="460"/>
        <v>0</v>
      </c>
      <c r="AT340" s="1370">
        <v>0</v>
      </c>
      <c r="AU340" s="1371">
        <f t="shared" si="461"/>
        <v>0</v>
      </c>
      <c r="AV340" s="1359">
        <f t="shared" si="462"/>
        <v>0</v>
      </c>
      <c r="AW340" s="1372">
        <f t="shared" si="463"/>
        <v>0</v>
      </c>
      <c r="AX340" s="1373">
        <f t="shared" si="464"/>
        <v>0</v>
      </c>
      <c r="AY340" s="1374">
        <f t="shared" si="465"/>
        <v>0</v>
      </c>
      <c r="AZ340" s="1375">
        <f t="shared" si="466"/>
        <v>0</v>
      </c>
      <c r="BA340" s="1376">
        <f t="shared" si="467"/>
        <v>0</v>
      </c>
      <c r="BB340" s="1377"/>
      <c r="BC340" s="1820"/>
      <c r="BD340" s="1820"/>
      <c r="BE340" s="1823"/>
      <c r="BF340" s="1826"/>
      <c r="BG340" s="1829"/>
    </row>
    <row r="341" spans="1:59" s="1396" customFormat="1" ht="38.25">
      <c r="A341" s="1347" t="str">
        <f t="shared" si="468"/>
        <v>Dare Bioscience, Inc.</v>
      </c>
      <c r="B341" s="1347" t="s">
        <v>4660</v>
      </c>
      <c r="C341" s="1348">
        <f>$C$329</f>
        <v>6</v>
      </c>
      <c r="D341" s="1349">
        <v>42979</v>
      </c>
      <c r="E341" s="1349"/>
      <c r="F341" s="1347" t="s">
        <v>72</v>
      </c>
      <c r="G341" s="1347" t="s">
        <v>85</v>
      </c>
      <c r="H341" s="1347" t="s">
        <v>72</v>
      </c>
      <c r="I341" s="1347" t="s">
        <v>72</v>
      </c>
      <c r="J341" s="1349" t="s">
        <v>4670</v>
      </c>
      <c r="K341" s="1349" t="s">
        <v>254</v>
      </c>
      <c r="L341" s="1350" t="s">
        <v>49</v>
      </c>
      <c r="M341" s="1350" t="s">
        <v>4705</v>
      </c>
      <c r="N341" s="1390" t="s">
        <v>4706</v>
      </c>
      <c r="O341" s="1352" t="s">
        <v>4980</v>
      </c>
      <c r="P341" s="1352"/>
      <c r="Q341" s="1354"/>
      <c r="R341" s="1354"/>
      <c r="S341" s="1354"/>
      <c r="T341" s="1354"/>
      <c r="U341" s="1354"/>
      <c r="V341" s="1354"/>
      <c r="W341" s="1354"/>
      <c r="X341" s="1353">
        <v>43101</v>
      </c>
      <c r="Y341" s="1353">
        <v>43466</v>
      </c>
      <c r="Z341" s="1425"/>
      <c r="AA341" s="1355" t="s">
        <v>4674</v>
      </c>
      <c r="AB341" s="1394"/>
      <c r="AC341" s="1394"/>
      <c r="AD341" s="1356"/>
      <c r="AE341" s="1356"/>
      <c r="AF341" s="1395"/>
      <c r="AG341" s="1380"/>
      <c r="AH341" s="1380"/>
      <c r="AI341" s="1381">
        <v>0</v>
      </c>
      <c r="AJ341" s="1382">
        <f t="shared" si="455"/>
        <v>0</v>
      </c>
      <c r="AK341" s="1383">
        <f t="shared" si="456"/>
        <v>0</v>
      </c>
      <c r="AL341" s="1384">
        <v>0</v>
      </c>
      <c r="AM341" s="1363">
        <f t="shared" si="457"/>
        <v>0</v>
      </c>
      <c r="AN341" s="1364">
        <v>0</v>
      </c>
      <c r="AO341" s="1365">
        <f t="shared" si="458"/>
        <v>0</v>
      </c>
      <c r="AP341" s="1366">
        <v>0</v>
      </c>
      <c r="AQ341" s="1367">
        <f t="shared" si="459"/>
        <v>0</v>
      </c>
      <c r="AR341" s="1368">
        <v>0</v>
      </c>
      <c r="AS341" s="1369">
        <f t="shared" si="460"/>
        <v>0</v>
      </c>
      <c r="AT341" s="1370">
        <v>0</v>
      </c>
      <c r="AU341" s="1371">
        <f t="shared" si="461"/>
        <v>0</v>
      </c>
      <c r="AV341" s="1359">
        <f t="shared" si="462"/>
        <v>0</v>
      </c>
      <c r="AW341" s="1372">
        <f t="shared" si="463"/>
        <v>0</v>
      </c>
      <c r="AX341" s="1373">
        <f t="shared" si="464"/>
        <v>0</v>
      </c>
      <c r="AY341" s="1374">
        <f t="shared" si="465"/>
        <v>0</v>
      </c>
      <c r="AZ341" s="1375">
        <f t="shared" si="466"/>
        <v>0</v>
      </c>
      <c r="BA341" s="1376">
        <f t="shared" si="467"/>
        <v>0</v>
      </c>
      <c r="BB341" s="1377"/>
      <c r="BC341" s="1820"/>
      <c r="BD341" s="1820"/>
      <c r="BE341" s="1823"/>
      <c r="BF341" s="1826"/>
      <c r="BG341" s="1829"/>
    </row>
    <row r="342" spans="1:59" s="1378" customFormat="1" ht="21.75" customHeight="1">
      <c r="A342" s="1347" t="str">
        <f>A341</f>
        <v>Dare Bioscience, Inc.</v>
      </c>
      <c r="B342" s="1348" t="str">
        <f>B341</f>
        <v xml:space="preserve">HUB SD </v>
      </c>
      <c r="C342" s="1348">
        <f>C341</f>
        <v>6</v>
      </c>
      <c r="D342" s="1349">
        <v>42979</v>
      </c>
      <c r="E342" s="1349"/>
      <c r="F342" s="1347" t="s">
        <v>72</v>
      </c>
      <c r="G342" s="1347" t="s">
        <v>85</v>
      </c>
      <c r="H342" s="1347" t="s">
        <v>72</v>
      </c>
      <c r="I342" s="1347" t="s">
        <v>72</v>
      </c>
      <c r="J342" s="1349" t="s">
        <v>4670</v>
      </c>
      <c r="K342" s="1349" t="s">
        <v>254</v>
      </c>
      <c r="L342" s="1350" t="s">
        <v>3056</v>
      </c>
      <c r="M342" s="1350" t="s">
        <v>4708</v>
      </c>
      <c r="N342" s="1390" t="s">
        <v>4709</v>
      </c>
      <c r="O342" s="1352" t="s">
        <v>4710</v>
      </c>
      <c r="P342" s="1352"/>
      <c r="Q342" s="1354"/>
      <c r="R342" s="1354"/>
      <c r="S342" s="1354"/>
      <c r="T342" s="1354"/>
      <c r="U342" s="1354"/>
      <c r="V342" s="1354"/>
      <c r="W342" s="1354"/>
      <c r="X342" s="1353">
        <v>43101</v>
      </c>
      <c r="Y342" s="1353">
        <v>43466</v>
      </c>
      <c r="Z342" s="1355"/>
      <c r="AA342" s="1355" t="s">
        <v>4674</v>
      </c>
      <c r="AB342" s="1356"/>
      <c r="AC342" s="1356"/>
      <c r="AD342" s="1356"/>
      <c r="AE342" s="1356"/>
      <c r="AF342" s="1357" t="str">
        <f t="shared" ref="AF342:AF405" si="469">IFERROR((AE342/AB342),"")</f>
        <v/>
      </c>
      <c r="AG342" s="1380"/>
      <c r="AH342" s="1380"/>
      <c r="AI342" s="1381">
        <v>0</v>
      </c>
      <c r="AJ342" s="1382">
        <f t="shared" si="455"/>
        <v>0</v>
      </c>
      <c r="AK342" s="1383">
        <f t="shared" si="456"/>
        <v>0</v>
      </c>
      <c r="AL342" s="1384">
        <v>0</v>
      </c>
      <c r="AM342" s="1363">
        <f t="shared" si="457"/>
        <v>0</v>
      </c>
      <c r="AN342" s="1364">
        <v>0</v>
      </c>
      <c r="AO342" s="1365">
        <f t="shared" si="458"/>
        <v>0</v>
      </c>
      <c r="AP342" s="1366">
        <v>0</v>
      </c>
      <c r="AQ342" s="1367">
        <f t="shared" si="459"/>
        <v>0</v>
      </c>
      <c r="AR342" s="1368">
        <v>0</v>
      </c>
      <c r="AS342" s="1369">
        <f t="shared" si="460"/>
        <v>0</v>
      </c>
      <c r="AT342" s="1370">
        <v>0</v>
      </c>
      <c r="AU342" s="1371">
        <f t="shared" si="461"/>
        <v>0</v>
      </c>
      <c r="AV342" s="1359">
        <f t="shared" si="462"/>
        <v>0</v>
      </c>
      <c r="AW342" s="1372">
        <f t="shared" si="463"/>
        <v>0</v>
      </c>
      <c r="AX342" s="1373">
        <f t="shared" si="464"/>
        <v>0</v>
      </c>
      <c r="AY342" s="1374">
        <f t="shared" si="465"/>
        <v>0</v>
      </c>
      <c r="AZ342" s="1375">
        <f t="shared" si="466"/>
        <v>0</v>
      </c>
      <c r="BA342" s="1376">
        <f t="shared" si="467"/>
        <v>0</v>
      </c>
      <c r="BB342" s="1391"/>
      <c r="BC342" s="1821"/>
      <c r="BD342" s="1821"/>
      <c r="BE342" s="1824"/>
      <c r="BF342" s="1827"/>
      <c r="BG342" s="1830"/>
    </row>
    <row r="343" spans="1:59" s="1315" customFormat="1" ht="38.25">
      <c r="A343" s="1277" t="str">
        <f t="shared" ref="A343:A351" si="470">L$343</f>
        <v>DC3 Therapeutics, LLC</v>
      </c>
      <c r="B343" s="1316" t="str">
        <f t="shared" ref="B343:B351" si="471">N$343</f>
        <v>ABD</v>
      </c>
      <c r="C343" s="1316">
        <f>Z343</f>
        <v>5</v>
      </c>
      <c r="D343" s="1317">
        <v>43221</v>
      </c>
      <c r="E343" s="1317"/>
      <c r="F343" s="1277" t="s">
        <v>72</v>
      </c>
      <c r="G343" s="1277" t="s">
        <v>72</v>
      </c>
      <c r="H343" s="1277" t="s">
        <v>72</v>
      </c>
      <c r="I343" s="1277" t="s">
        <v>4711</v>
      </c>
      <c r="J343" s="1317"/>
      <c r="K343" s="1317"/>
      <c r="L343" s="1318" t="s">
        <v>4324</v>
      </c>
      <c r="M343" s="1319"/>
      <c r="N343" s="1417" t="s">
        <v>3654</v>
      </c>
      <c r="O343" s="1418" t="s">
        <v>2473</v>
      </c>
      <c r="P343" s="1419"/>
      <c r="Q343" s="1322"/>
      <c r="R343" s="1322"/>
      <c r="S343" s="1322"/>
      <c r="T343" s="1322"/>
      <c r="U343" s="1322"/>
      <c r="V343" s="1322"/>
      <c r="W343" s="1322"/>
      <c r="X343" s="1317">
        <v>43221</v>
      </c>
      <c r="Y343" s="1317">
        <v>43466</v>
      </c>
      <c r="Z343" s="1316">
        <v>5</v>
      </c>
      <c r="AA343" s="1316" t="s">
        <v>4748</v>
      </c>
      <c r="AB343" s="1323">
        <f>SUM(AB344:AB351)</f>
        <v>0</v>
      </c>
      <c r="AC343" s="1323">
        <f>SUM(AC344:AC351)</f>
        <v>0</v>
      </c>
      <c r="AD343" s="1323">
        <f>SUM(AD344:AD351)</f>
        <v>0</v>
      </c>
      <c r="AE343" s="1324">
        <f t="shared" ref="AE343" si="472">AD343-AB343</f>
        <v>0</v>
      </c>
      <c r="AF343" s="1325" t="str">
        <f t="shared" si="469"/>
        <v/>
      </c>
      <c r="AG343" s="1326"/>
      <c r="AH343" s="1326">
        <f>SUM(AH344:AH351)</f>
        <v>58354.079999999994</v>
      </c>
      <c r="AI343" s="1339"/>
      <c r="AJ343" s="1328">
        <f>SUM(AJ344:AJ351)</f>
        <v>397.1592</v>
      </c>
      <c r="AK343" s="1328">
        <f>SUM(AK344:AK351)</f>
        <v>4765.9103999999998</v>
      </c>
      <c r="AL343" s="1329"/>
      <c r="AM343" s="1330">
        <f>SUM(AM344:AM351)</f>
        <v>267.37439999999998</v>
      </c>
      <c r="AN343" s="1331"/>
      <c r="AO343" s="1332">
        <f>SUM(AO344:AO351)</f>
        <v>2529.3311999999996</v>
      </c>
      <c r="AP343" s="1333"/>
      <c r="AQ343" s="1334">
        <f>SUM(AQ344:AQ351)</f>
        <v>0</v>
      </c>
      <c r="AR343" s="1335"/>
      <c r="AS343" s="1336">
        <f>SUM(AS344:AS351)</f>
        <v>0</v>
      </c>
      <c r="AT343" s="1337"/>
      <c r="AU343" s="1338">
        <f>SUM(AU344:AU351)</f>
        <v>1336.8720000000001</v>
      </c>
      <c r="AV343" s="1339"/>
      <c r="AW343" s="1340">
        <f>SUM(AW344:AW351)</f>
        <v>632.33279999999979</v>
      </c>
      <c r="AX343" s="1306"/>
      <c r="AY343" s="1307">
        <f>SUM(AW343+AS343+AU343)</f>
        <v>1969.2048</v>
      </c>
      <c r="AZ343" s="1341"/>
      <c r="BA343" s="1309">
        <f>SUM(AY343+AQ343)</f>
        <v>1969.2048</v>
      </c>
      <c r="BB343" s="1342">
        <f>(AW343+AU343)/(AK343-AM343)</f>
        <v>0.4377434792119036</v>
      </c>
      <c r="BC343" s="1343"/>
      <c r="BD343" s="1343"/>
      <c r="BE343" s="1344"/>
      <c r="BF343" s="1420" t="s">
        <v>4749</v>
      </c>
      <c r="BG343" s="1346"/>
    </row>
    <row r="344" spans="1:59" s="1378" customFormat="1" ht="76.5">
      <c r="A344" s="1347" t="str">
        <f t="shared" si="470"/>
        <v>DC3 Therapeutics, LLC</v>
      </c>
      <c r="B344" s="1348" t="str">
        <f t="shared" si="471"/>
        <v>ABD</v>
      </c>
      <c r="C344" s="1348">
        <f t="shared" ref="C344:C351" si="473">Z$343</f>
        <v>5</v>
      </c>
      <c r="D344" s="1349">
        <f t="shared" ref="D344:D351" si="474">D$343</f>
        <v>43221</v>
      </c>
      <c r="E344" s="1349"/>
      <c r="F344" s="1347" t="s">
        <v>85</v>
      </c>
      <c r="G344" s="1347" t="s">
        <v>85</v>
      </c>
      <c r="H344" s="1347" t="s">
        <v>85</v>
      </c>
      <c r="I344" s="1347" t="s">
        <v>113</v>
      </c>
      <c r="J344" s="1349"/>
      <c r="K344" s="1349" t="s">
        <v>254</v>
      </c>
      <c r="L344" s="1350" t="s">
        <v>2661</v>
      </c>
      <c r="M344" s="1350" t="s">
        <v>3647</v>
      </c>
      <c r="N344" s="1351" t="s">
        <v>4760</v>
      </c>
      <c r="O344" s="1352" t="s">
        <v>4761</v>
      </c>
      <c r="P344" s="1352" t="s">
        <v>4762</v>
      </c>
      <c r="Q344" s="1353" t="s">
        <v>303</v>
      </c>
      <c r="R344" s="1353" t="s">
        <v>3655</v>
      </c>
      <c r="S344" s="1353" t="s">
        <v>307</v>
      </c>
      <c r="T344" s="1353" t="s">
        <v>113</v>
      </c>
      <c r="U344" s="1354"/>
      <c r="V344" s="1354"/>
      <c r="W344" s="1354"/>
      <c r="X344" s="1353">
        <f t="shared" ref="X344:Y351" si="475">X$343</f>
        <v>43221</v>
      </c>
      <c r="Y344" s="1353">
        <f t="shared" si="475"/>
        <v>43466</v>
      </c>
      <c r="Z344" s="1355"/>
      <c r="AA344" s="1355" t="s">
        <v>4667</v>
      </c>
      <c r="AB344" s="1356"/>
      <c r="AC344" s="1356"/>
      <c r="AD344" s="1356"/>
      <c r="AE344" s="1356"/>
      <c r="AF344" s="1357" t="str">
        <f t="shared" si="469"/>
        <v/>
      </c>
      <c r="AG344" s="1358">
        <v>4456.24</v>
      </c>
      <c r="AH344" s="1358">
        <f t="shared" ref="AH344" si="476">AG344*12</f>
        <v>53474.879999999997</v>
      </c>
      <c r="AI344" s="1359">
        <v>0.08</v>
      </c>
      <c r="AJ344" s="1360">
        <f t="shared" ref="AJ344:AJ351" si="477">$AI344*$AG344</f>
        <v>356.49919999999997</v>
      </c>
      <c r="AK344" s="1361">
        <f t="shared" ref="AK344" si="478">AI344*$AH344</f>
        <v>4277.9903999999997</v>
      </c>
      <c r="AL344" s="1362">
        <v>5.0000000000000001E-3</v>
      </c>
      <c r="AM344" s="1363">
        <f t="shared" ref="AM344:AM351" si="479">AL344*$AH344</f>
        <v>267.37439999999998</v>
      </c>
      <c r="AN344" s="1364">
        <v>0.04</v>
      </c>
      <c r="AO344" s="1365">
        <f t="shared" ref="AO344:AO351" si="480">AN344*$AH344</f>
        <v>2138.9951999999998</v>
      </c>
      <c r="AP344" s="1366">
        <v>0</v>
      </c>
      <c r="AQ344" s="1367">
        <f t="shared" ref="AQ344:AQ351" si="481">AP344*$AH344</f>
        <v>0</v>
      </c>
      <c r="AR344" s="1368">
        <v>0</v>
      </c>
      <c r="AS344" s="1369">
        <f t="shared" ref="AS344:AS351" si="482">AR344*$AH344</f>
        <v>0</v>
      </c>
      <c r="AT344" s="1370">
        <v>2.5000000000000001E-2</v>
      </c>
      <c r="AU344" s="1371">
        <f t="shared" ref="AU344:AU351" si="483">AT344*$AH344</f>
        <v>1336.8720000000001</v>
      </c>
      <c r="AV344" s="1359">
        <f t="shared" ref="AV344:AV351" si="484">AZ344-AR344-AT344-AP344</f>
        <v>9.999999999999995E-3</v>
      </c>
      <c r="AW344" s="1372">
        <f t="shared" ref="AW344:AW351" si="485">AV344*$AH344</f>
        <v>534.74879999999973</v>
      </c>
      <c r="AX344" s="1373">
        <f t="shared" ref="AX344:AX351" si="486">$AZ344-$AP344</f>
        <v>3.4999999999999996E-2</v>
      </c>
      <c r="AY344" s="1374">
        <f t="shared" ref="AY344:AY351" si="487">AX344*$AH344</f>
        <v>1871.6207999999997</v>
      </c>
      <c r="AZ344" s="1375">
        <f t="shared" ref="AZ344:AZ351" si="488">$AI344-$AL344-$AN344</f>
        <v>3.4999999999999996E-2</v>
      </c>
      <c r="BA344" s="1376">
        <f t="shared" ref="BA344:BA351" si="489">AZ344*$AH344</f>
        <v>1871.6207999999997</v>
      </c>
      <c r="BB344" s="1377"/>
      <c r="BC344" s="1819" t="s">
        <v>4325</v>
      </c>
      <c r="BD344" s="1819" t="s">
        <v>4326</v>
      </c>
      <c r="BE344" s="1822" t="s">
        <v>4326</v>
      </c>
      <c r="BF344" s="1825" t="s">
        <v>4754</v>
      </c>
      <c r="BG344" s="1828">
        <v>463373274</v>
      </c>
    </row>
    <row r="345" spans="1:59" s="1378" customFormat="1" ht="38.25">
      <c r="A345" s="1347" t="str">
        <f t="shared" si="470"/>
        <v>DC3 Therapeutics, LLC</v>
      </c>
      <c r="B345" s="1348" t="str">
        <f t="shared" si="471"/>
        <v>ABD</v>
      </c>
      <c r="C345" s="1348">
        <f t="shared" si="473"/>
        <v>5</v>
      </c>
      <c r="D345" s="1349">
        <f t="shared" si="474"/>
        <v>43221</v>
      </c>
      <c r="E345" s="1349"/>
      <c r="F345" s="1347" t="s">
        <v>72</v>
      </c>
      <c r="G345" s="1347" t="s">
        <v>85</v>
      </c>
      <c r="H345" s="1347" t="s">
        <v>72</v>
      </c>
      <c r="I345" s="1347" t="s">
        <v>72</v>
      </c>
      <c r="J345" s="1349" t="s">
        <v>4670</v>
      </c>
      <c r="K345" s="1349" t="s">
        <v>254</v>
      </c>
      <c r="L345" s="1350" t="s">
        <v>4671</v>
      </c>
      <c r="M345" s="1350" t="s">
        <v>3649</v>
      </c>
      <c r="N345" s="1379" t="s">
        <v>4820</v>
      </c>
      <c r="O345" s="1352" t="s">
        <v>4981</v>
      </c>
      <c r="P345" s="1388"/>
      <c r="Q345" s="1354"/>
      <c r="R345" s="1354"/>
      <c r="S345" s="1354"/>
      <c r="T345" s="1354"/>
      <c r="U345" s="1354"/>
      <c r="V345" s="1354"/>
      <c r="W345" s="1354"/>
      <c r="X345" s="1353">
        <f t="shared" si="475"/>
        <v>43221</v>
      </c>
      <c r="Y345" s="1353">
        <f t="shared" si="475"/>
        <v>43466</v>
      </c>
      <c r="Z345" s="1355"/>
      <c r="AA345" s="1355" t="s">
        <v>4674</v>
      </c>
      <c r="AB345" s="1356"/>
      <c r="AC345" s="1356"/>
      <c r="AD345" s="1356"/>
      <c r="AE345" s="1356"/>
      <c r="AF345" s="1357" t="str">
        <f t="shared" si="469"/>
        <v/>
      </c>
      <c r="AG345" s="1380"/>
      <c r="AH345" s="1380"/>
      <c r="AI345" s="1381">
        <v>0</v>
      </c>
      <c r="AJ345" s="1382">
        <f t="shared" si="477"/>
        <v>0</v>
      </c>
      <c r="AK345" s="1383">
        <f>AI345*$AH345</f>
        <v>0</v>
      </c>
      <c r="AL345" s="1384">
        <v>0</v>
      </c>
      <c r="AM345" s="1363">
        <f t="shared" si="479"/>
        <v>0</v>
      </c>
      <c r="AN345" s="1364">
        <v>0</v>
      </c>
      <c r="AO345" s="1365">
        <f t="shared" si="480"/>
        <v>0</v>
      </c>
      <c r="AP345" s="1366">
        <v>0</v>
      </c>
      <c r="AQ345" s="1367">
        <f t="shared" si="481"/>
        <v>0</v>
      </c>
      <c r="AR345" s="1368">
        <v>0</v>
      </c>
      <c r="AS345" s="1369">
        <f t="shared" si="482"/>
        <v>0</v>
      </c>
      <c r="AT345" s="1370">
        <v>0</v>
      </c>
      <c r="AU345" s="1371">
        <f t="shared" si="483"/>
        <v>0</v>
      </c>
      <c r="AV345" s="1359">
        <f t="shared" si="484"/>
        <v>0</v>
      </c>
      <c r="AW345" s="1372">
        <f t="shared" si="485"/>
        <v>0</v>
      </c>
      <c r="AX345" s="1373">
        <f t="shared" si="486"/>
        <v>0</v>
      </c>
      <c r="AY345" s="1374">
        <f t="shared" si="487"/>
        <v>0</v>
      </c>
      <c r="AZ345" s="1375">
        <f t="shared" si="488"/>
        <v>0</v>
      </c>
      <c r="BA345" s="1376">
        <f t="shared" si="489"/>
        <v>0</v>
      </c>
      <c r="BB345" s="1377"/>
      <c r="BC345" s="1820"/>
      <c r="BD345" s="1820"/>
      <c r="BE345" s="1823"/>
      <c r="BF345" s="1826"/>
      <c r="BG345" s="1829"/>
    </row>
    <row r="346" spans="1:59" s="1378" customFormat="1" ht="38.25">
      <c r="A346" s="1347" t="str">
        <f t="shared" si="470"/>
        <v>DC3 Therapeutics, LLC</v>
      </c>
      <c r="B346" s="1348" t="str">
        <f t="shared" si="471"/>
        <v>ABD</v>
      </c>
      <c r="C346" s="1348">
        <f t="shared" si="473"/>
        <v>5</v>
      </c>
      <c r="D346" s="1349">
        <f t="shared" si="474"/>
        <v>43221</v>
      </c>
      <c r="E346" s="1349"/>
      <c r="F346" s="1347" t="s">
        <v>113</v>
      </c>
      <c r="G346" s="1347" t="s">
        <v>85</v>
      </c>
      <c r="H346" s="1347" t="s">
        <v>85</v>
      </c>
      <c r="I346" s="1347" t="s">
        <v>113</v>
      </c>
      <c r="J346" s="1349"/>
      <c r="K346" s="1349" t="s">
        <v>254</v>
      </c>
      <c r="L346" s="1350" t="s">
        <v>4675</v>
      </c>
      <c r="M346" s="1350" t="s">
        <v>3650</v>
      </c>
      <c r="N346" s="1385" t="s">
        <v>4982</v>
      </c>
      <c r="O346" s="1352" t="s">
        <v>4677</v>
      </c>
      <c r="P346" s="1388"/>
      <c r="Q346" s="1354"/>
      <c r="R346" s="1354"/>
      <c r="S346" s="1354"/>
      <c r="T346" s="1354"/>
      <c r="U346" s="1353" t="s">
        <v>4723</v>
      </c>
      <c r="V346" s="1353" t="s">
        <v>2495</v>
      </c>
      <c r="W346" s="1354"/>
      <c r="X346" s="1353">
        <f t="shared" si="475"/>
        <v>43221</v>
      </c>
      <c r="Y346" s="1353">
        <f t="shared" si="475"/>
        <v>43466</v>
      </c>
      <c r="Z346" s="1355"/>
      <c r="AA346" s="1355" t="s">
        <v>4679</v>
      </c>
      <c r="AB346" s="1356"/>
      <c r="AC346" s="1356"/>
      <c r="AD346" s="1356"/>
      <c r="AE346" s="1356"/>
      <c r="AF346" s="1357" t="str">
        <f t="shared" si="469"/>
        <v/>
      </c>
      <c r="AG346" s="1358">
        <v>349.13</v>
      </c>
      <c r="AH346" s="1358">
        <f t="shared" ref="AH346:AH347" si="490">AG346*12</f>
        <v>4189.5599999999995</v>
      </c>
      <c r="AI346" s="1359">
        <v>0.1</v>
      </c>
      <c r="AJ346" s="1360">
        <f t="shared" si="477"/>
        <v>34.913000000000004</v>
      </c>
      <c r="AK346" s="1361">
        <f t="shared" ref="AK346:AK351" si="491">AI346*$AH346</f>
        <v>418.95599999999996</v>
      </c>
      <c r="AL346" s="1384">
        <v>0</v>
      </c>
      <c r="AM346" s="1363">
        <f t="shared" si="479"/>
        <v>0</v>
      </c>
      <c r="AN346" s="1364">
        <v>0.08</v>
      </c>
      <c r="AO346" s="1365">
        <f t="shared" si="480"/>
        <v>335.16479999999996</v>
      </c>
      <c r="AP346" s="1366">
        <v>0</v>
      </c>
      <c r="AQ346" s="1367">
        <f t="shared" si="481"/>
        <v>0</v>
      </c>
      <c r="AR346" s="1368">
        <v>0</v>
      </c>
      <c r="AS346" s="1369">
        <f t="shared" si="482"/>
        <v>0</v>
      </c>
      <c r="AT346" s="1370">
        <v>0</v>
      </c>
      <c r="AU346" s="1371">
        <f t="shared" si="483"/>
        <v>0</v>
      </c>
      <c r="AV346" s="1359">
        <f t="shared" si="484"/>
        <v>2.0000000000000004E-2</v>
      </c>
      <c r="AW346" s="1372">
        <f t="shared" si="485"/>
        <v>83.791200000000003</v>
      </c>
      <c r="AX346" s="1373">
        <f t="shared" si="486"/>
        <v>2.0000000000000004E-2</v>
      </c>
      <c r="AY346" s="1374">
        <f t="shared" si="487"/>
        <v>83.791200000000003</v>
      </c>
      <c r="AZ346" s="1375">
        <f t="shared" si="488"/>
        <v>2.0000000000000004E-2</v>
      </c>
      <c r="BA346" s="1376">
        <f t="shared" si="489"/>
        <v>83.791200000000003</v>
      </c>
      <c r="BB346" s="1377"/>
      <c r="BC346" s="1820"/>
      <c r="BD346" s="1820"/>
      <c r="BE346" s="1823"/>
      <c r="BF346" s="1826"/>
      <c r="BG346" s="1829"/>
    </row>
    <row r="347" spans="1:59" s="1378" customFormat="1" ht="38.25">
      <c r="A347" s="1347" t="str">
        <f t="shared" si="470"/>
        <v>DC3 Therapeutics, LLC</v>
      </c>
      <c r="B347" s="1348" t="str">
        <f t="shared" si="471"/>
        <v>ABD</v>
      </c>
      <c r="C347" s="1348">
        <f t="shared" si="473"/>
        <v>5</v>
      </c>
      <c r="D347" s="1349">
        <f t="shared" si="474"/>
        <v>43221</v>
      </c>
      <c r="E347" s="1349"/>
      <c r="F347" s="1347" t="s">
        <v>113</v>
      </c>
      <c r="G347" s="1347" t="s">
        <v>85</v>
      </c>
      <c r="H347" s="1347" t="s">
        <v>85</v>
      </c>
      <c r="I347" s="1347" t="s">
        <v>113</v>
      </c>
      <c r="J347" s="1349"/>
      <c r="K347" s="1349" t="s">
        <v>254</v>
      </c>
      <c r="L347" s="1350" t="s">
        <v>4675</v>
      </c>
      <c r="M347" s="1350" t="s">
        <v>3651</v>
      </c>
      <c r="N347" s="1351" t="s">
        <v>4875</v>
      </c>
      <c r="O347" s="1352" t="s">
        <v>4681</v>
      </c>
      <c r="P347" s="1388"/>
      <c r="Q347" s="1354"/>
      <c r="R347" s="1354"/>
      <c r="S347" s="1354"/>
      <c r="T347" s="1354"/>
      <c r="U347" s="1354"/>
      <c r="V347" s="1354"/>
      <c r="W347" s="1353" t="s">
        <v>2492</v>
      </c>
      <c r="X347" s="1353">
        <f t="shared" si="475"/>
        <v>43221</v>
      </c>
      <c r="Y347" s="1353">
        <f t="shared" si="475"/>
        <v>43466</v>
      </c>
      <c r="Z347" s="1355"/>
      <c r="AA347" s="1355" t="s">
        <v>4679</v>
      </c>
      <c r="AB347" s="1356"/>
      <c r="AC347" s="1356"/>
      <c r="AD347" s="1356"/>
      <c r="AE347" s="1356"/>
      <c r="AF347" s="1357" t="str">
        <f t="shared" si="469"/>
        <v/>
      </c>
      <c r="AG347" s="1358">
        <v>57.47</v>
      </c>
      <c r="AH347" s="1358">
        <f t="shared" si="490"/>
        <v>689.64</v>
      </c>
      <c r="AI347" s="1359">
        <v>0.1</v>
      </c>
      <c r="AJ347" s="1360">
        <f t="shared" si="477"/>
        <v>5.7469999999999999</v>
      </c>
      <c r="AK347" s="1361">
        <f t="shared" si="491"/>
        <v>68.963999999999999</v>
      </c>
      <c r="AL347" s="1384">
        <v>0</v>
      </c>
      <c r="AM347" s="1363">
        <f t="shared" si="479"/>
        <v>0</v>
      </c>
      <c r="AN347" s="1364">
        <v>0.08</v>
      </c>
      <c r="AO347" s="1365">
        <f t="shared" si="480"/>
        <v>55.171199999999999</v>
      </c>
      <c r="AP347" s="1366">
        <v>0</v>
      </c>
      <c r="AQ347" s="1367">
        <f t="shared" si="481"/>
        <v>0</v>
      </c>
      <c r="AR347" s="1368">
        <v>0</v>
      </c>
      <c r="AS347" s="1369">
        <f t="shared" si="482"/>
        <v>0</v>
      </c>
      <c r="AT347" s="1370">
        <v>0</v>
      </c>
      <c r="AU347" s="1371">
        <f t="shared" si="483"/>
        <v>0</v>
      </c>
      <c r="AV347" s="1359">
        <f t="shared" si="484"/>
        <v>2.0000000000000004E-2</v>
      </c>
      <c r="AW347" s="1372">
        <f t="shared" si="485"/>
        <v>13.792800000000003</v>
      </c>
      <c r="AX347" s="1373">
        <f t="shared" si="486"/>
        <v>2.0000000000000004E-2</v>
      </c>
      <c r="AY347" s="1374">
        <f t="shared" si="487"/>
        <v>13.792800000000003</v>
      </c>
      <c r="AZ347" s="1375">
        <f t="shared" si="488"/>
        <v>2.0000000000000004E-2</v>
      </c>
      <c r="BA347" s="1376">
        <f t="shared" si="489"/>
        <v>13.792800000000003</v>
      </c>
      <c r="BB347" s="1377"/>
      <c r="BC347" s="1820"/>
      <c r="BD347" s="1820"/>
      <c r="BE347" s="1823"/>
      <c r="BF347" s="1826"/>
      <c r="BG347" s="1829"/>
    </row>
    <row r="348" spans="1:59" s="1378" customFormat="1" ht="38.25">
      <c r="A348" s="1347" t="str">
        <f t="shared" si="470"/>
        <v>DC3 Therapeutics, LLC</v>
      </c>
      <c r="B348" s="1348" t="str">
        <f t="shared" si="471"/>
        <v>ABD</v>
      </c>
      <c r="C348" s="1348">
        <f t="shared" si="473"/>
        <v>5</v>
      </c>
      <c r="D348" s="1349">
        <f t="shared" si="474"/>
        <v>43221</v>
      </c>
      <c r="E348" s="1349"/>
      <c r="F348" s="1347" t="s">
        <v>72</v>
      </c>
      <c r="G348" s="1347" t="s">
        <v>85</v>
      </c>
      <c r="H348" s="1347" t="s">
        <v>72</v>
      </c>
      <c r="I348" s="1347" t="s">
        <v>72</v>
      </c>
      <c r="J348" s="1349" t="s">
        <v>4670</v>
      </c>
      <c r="K348" s="1349" t="s">
        <v>254</v>
      </c>
      <c r="L348" s="1350" t="s">
        <v>4696</v>
      </c>
      <c r="M348" s="1350" t="s">
        <v>4697</v>
      </c>
      <c r="N348" s="1389" t="s">
        <v>4698</v>
      </c>
      <c r="O348" s="1352" t="s">
        <v>4699</v>
      </c>
      <c r="P348" s="1388"/>
      <c r="Q348" s="1354"/>
      <c r="R348" s="1354"/>
      <c r="S348" s="1354"/>
      <c r="T348" s="1354"/>
      <c r="U348" s="1354"/>
      <c r="V348" s="1354"/>
      <c r="W348" s="1354"/>
      <c r="X348" s="1353">
        <f t="shared" si="475"/>
        <v>43221</v>
      </c>
      <c r="Y348" s="1353">
        <f t="shared" si="475"/>
        <v>43466</v>
      </c>
      <c r="Z348" s="1355"/>
      <c r="AA348" s="1355" t="s">
        <v>4674</v>
      </c>
      <c r="AB348" s="1356"/>
      <c r="AC348" s="1356"/>
      <c r="AD348" s="1356"/>
      <c r="AE348" s="1356"/>
      <c r="AF348" s="1357" t="str">
        <f t="shared" si="469"/>
        <v/>
      </c>
      <c r="AG348" s="1380"/>
      <c r="AH348" s="1380"/>
      <c r="AI348" s="1381">
        <v>0</v>
      </c>
      <c r="AJ348" s="1382">
        <f t="shared" si="477"/>
        <v>0</v>
      </c>
      <c r="AK348" s="1383">
        <f t="shared" si="491"/>
        <v>0</v>
      </c>
      <c r="AL348" s="1384">
        <v>0</v>
      </c>
      <c r="AM348" s="1363">
        <f t="shared" si="479"/>
        <v>0</v>
      </c>
      <c r="AN348" s="1364">
        <v>0</v>
      </c>
      <c r="AO348" s="1365">
        <f t="shared" si="480"/>
        <v>0</v>
      </c>
      <c r="AP348" s="1366">
        <v>0</v>
      </c>
      <c r="AQ348" s="1367">
        <f t="shared" si="481"/>
        <v>0</v>
      </c>
      <c r="AR348" s="1368">
        <v>0</v>
      </c>
      <c r="AS348" s="1369">
        <f t="shared" si="482"/>
        <v>0</v>
      </c>
      <c r="AT348" s="1370">
        <v>0</v>
      </c>
      <c r="AU348" s="1371">
        <f t="shared" si="483"/>
        <v>0</v>
      </c>
      <c r="AV348" s="1359">
        <f t="shared" si="484"/>
        <v>0</v>
      </c>
      <c r="AW348" s="1372">
        <f t="shared" si="485"/>
        <v>0</v>
      </c>
      <c r="AX348" s="1373">
        <f t="shared" si="486"/>
        <v>0</v>
      </c>
      <c r="AY348" s="1374">
        <f t="shared" si="487"/>
        <v>0</v>
      </c>
      <c r="AZ348" s="1375">
        <f t="shared" si="488"/>
        <v>0</v>
      </c>
      <c r="BA348" s="1376">
        <f t="shared" si="489"/>
        <v>0</v>
      </c>
      <c r="BB348" s="1377"/>
      <c r="BC348" s="1820"/>
      <c r="BD348" s="1820"/>
      <c r="BE348" s="1823"/>
      <c r="BF348" s="1826"/>
      <c r="BG348" s="1829"/>
    </row>
    <row r="349" spans="1:59" s="1378" customFormat="1" ht="38.25">
      <c r="A349" s="1347" t="str">
        <f t="shared" si="470"/>
        <v>DC3 Therapeutics, LLC</v>
      </c>
      <c r="B349" s="1348" t="str">
        <f t="shared" si="471"/>
        <v>ABD</v>
      </c>
      <c r="C349" s="1348">
        <f t="shared" si="473"/>
        <v>5</v>
      </c>
      <c r="D349" s="1349">
        <f t="shared" si="474"/>
        <v>43221</v>
      </c>
      <c r="E349" s="1349"/>
      <c r="F349" s="1347" t="s">
        <v>72</v>
      </c>
      <c r="G349" s="1347" t="s">
        <v>85</v>
      </c>
      <c r="H349" s="1347" t="s">
        <v>72</v>
      </c>
      <c r="I349" s="1347" t="s">
        <v>72</v>
      </c>
      <c r="J349" s="1349" t="s">
        <v>4670</v>
      </c>
      <c r="K349" s="1349" t="s">
        <v>254</v>
      </c>
      <c r="L349" s="1350" t="s">
        <v>48</v>
      </c>
      <c r="M349" s="1350" t="s">
        <v>253</v>
      </c>
      <c r="N349" s="1390" t="s">
        <v>4703</v>
      </c>
      <c r="O349" s="1352" t="s">
        <v>4704</v>
      </c>
      <c r="P349" s="1388"/>
      <c r="Q349" s="1354"/>
      <c r="R349" s="1354"/>
      <c r="S349" s="1354"/>
      <c r="T349" s="1354"/>
      <c r="U349" s="1354"/>
      <c r="V349" s="1354"/>
      <c r="W349" s="1354"/>
      <c r="X349" s="1353">
        <f t="shared" si="475"/>
        <v>43221</v>
      </c>
      <c r="Y349" s="1353">
        <f t="shared" si="475"/>
        <v>43466</v>
      </c>
      <c r="Z349" s="1355"/>
      <c r="AA349" s="1355" t="s">
        <v>4674</v>
      </c>
      <c r="AB349" s="1356"/>
      <c r="AC349" s="1356"/>
      <c r="AD349" s="1356"/>
      <c r="AE349" s="1356"/>
      <c r="AF349" s="1357" t="str">
        <f t="shared" si="469"/>
        <v/>
      </c>
      <c r="AG349" s="1380"/>
      <c r="AH349" s="1380"/>
      <c r="AI349" s="1381">
        <v>0</v>
      </c>
      <c r="AJ349" s="1382">
        <f t="shared" si="477"/>
        <v>0</v>
      </c>
      <c r="AK349" s="1383">
        <f t="shared" si="491"/>
        <v>0</v>
      </c>
      <c r="AL349" s="1384">
        <v>0</v>
      </c>
      <c r="AM349" s="1363">
        <f t="shared" si="479"/>
        <v>0</v>
      </c>
      <c r="AN349" s="1364">
        <v>0</v>
      </c>
      <c r="AO349" s="1365">
        <f t="shared" si="480"/>
        <v>0</v>
      </c>
      <c r="AP349" s="1366">
        <v>0</v>
      </c>
      <c r="AQ349" s="1367">
        <f t="shared" si="481"/>
        <v>0</v>
      </c>
      <c r="AR349" s="1368">
        <v>0</v>
      </c>
      <c r="AS349" s="1369">
        <f t="shared" si="482"/>
        <v>0</v>
      </c>
      <c r="AT349" s="1370">
        <v>0</v>
      </c>
      <c r="AU349" s="1371">
        <f t="shared" si="483"/>
        <v>0</v>
      </c>
      <c r="AV349" s="1359">
        <f t="shared" si="484"/>
        <v>0</v>
      </c>
      <c r="AW349" s="1372">
        <f t="shared" si="485"/>
        <v>0</v>
      </c>
      <c r="AX349" s="1373">
        <f t="shared" si="486"/>
        <v>0</v>
      </c>
      <c r="AY349" s="1374">
        <f t="shared" si="487"/>
        <v>0</v>
      </c>
      <c r="AZ349" s="1375">
        <f t="shared" si="488"/>
        <v>0</v>
      </c>
      <c r="BA349" s="1376">
        <f t="shared" si="489"/>
        <v>0</v>
      </c>
      <c r="BB349" s="1377"/>
      <c r="BC349" s="1820"/>
      <c r="BD349" s="1820"/>
      <c r="BE349" s="1823"/>
      <c r="BF349" s="1826"/>
      <c r="BG349" s="1829"/>
    </row>
    <row r="350" spans="1:59" s="1378" customFormat="1" ht="38.25">
      <c r="A350" s="1347" t="str">
        <f t="shared" si="470"/>
        <v>DC3 Therapeutics, LLC</v>
      </c>
      <c r="B350" s="1348" t="str">
        <f t="shared" si="471"/>
        <v>ABD</v>
      </c>
      <c r="C350" s="1348">
        <f t="shared" si="473"/>
        <v>5</v>
      </c>
      <c r="D350" s="1349">
        <f t="shared" si="474"/>
        <v>43221</v>
      </c>
      <c r="E350" s="1349"/>
      <c r="F350" s="1347" t="s">
        <v>72</v>
      </c>
      <c r="G350" s="1347" t="s">
        <v>85</v>
      </c>
      <c r="H350" s="1347" t="s">
        <v>72</v>
      </c>
      <c r="I350" s="1347" t="s">
        <v>72</v>
      </c>
      <c r="J350" s="1349" t="s">
        <v>4670</v>
      </c>
      <c r="K350" s="1349" t="s">
        <v>254</v>
      </c>
      <c r="L350" s="1350" t="s">
        <v>49</v>
      </c>
      <c r="M350" s="1350" t="s">
        <v>4705</v>
      </c>
      <c r="N350" s="1390" t="s">
        <v>4706</v>
      </c>
      <c r="O350" s="1352" t="s">
        <v>4707</v>
      </c>
      <c r="P350" s="1388"/>
      <c r="Q350" s="1354"/>
      <c r="R350" s="1354"/>
      <c r="S350" s="1354"/>
      <c r="T350" s="1354"/>
      <c r="U350" s="1354"/>
      <c r="V350" s="1354"/>
      <c r="W350" s="1354"/>
      <c r="X350" s="1353">
        <f t="shared" si="475"/>
        <v>43221</v>
      </c>
      <c r="Y350" s="1353">
        <f t="shared" si="475"/>
        <v>43466</v>
      </c>
      <c r="Z350" s="1355"/>
      <c r="AA350" s="1355" t="s">
        <v>4674</v>
      </c>
      <c r="AB350" s="1356"/>
      <c r="AC350" s="1356"/>
      <c r="AD350" s="1356"/>
      <c r="AE350" s="1356"/>
      <c r="AF350" s="1357" t="str">
        <f t="shared" si="469"/>
        <v/>
      </c>
      <c r="AG350" s="1380"/>
      <c r="AH350" s="1380"/>
      <c r="AI350" s="1381">
        <v>0</v>
      </c>
      <c r="AJ350" s="1382">
        <f t="shared" si="477"/>
        <v>0</v>
      </c>
      <c r="AK350" s="1383">
        <f t="shared" si="491"/>
        <v>0</v>
      </c>
      <c r="AL350" s="1384">
        <v>0</v>
      </c>
      <c r="AM350" s="1363">
        <f t="shared" si="479"/>
        <v>0</v>
      </c>
      <c r="AN350" s="1364">
        <v>0</v>
      </c>
      <c r="AO350" s="1365">
        <f t="shared" si="480"/>
        <v>0</v>
      </c>
      <c r="AP350" s="1366">
        <v>0</v>
      </c>
      <c r="AQ350" s="1367">
        <f t="shared" si="481"/>
        <v>0</v>
      </c>
      <c r="AR350" s="1368">
        <v>0</v>
      </c>
      <c r="AS350" s="1369">
        <f t="shared" si="482"/>
        <v>0</v>
      </c>
      <c r="AT350" s="1370">
        <v>0</v>
      </c>
      <c r="AU350" s="1371">
        <f t="shared" si="483"/>
        <v>0</v>
      </c>
      <c r="AV350" s="1359">
        <f t="shared" si="484"/>
        <v>0</v>
      </c>
      <c r="AW350" s="1372">
        <f t="shared" si="485"/>
        <v>0</v>
      </c>
      <c r="AX350" s="1373">
        <f t="shared" si="486"/>
        <v>0</v>
      </c>
      <c r="AY350" s="1374">
        <f t="shared" si="487"/>
        <v>0</v>
      </c>
      <c r="AZ350" s="1375">
        <f t="shared" si="488"/>
        <v>0</v>
      </c>
      <c r="BA350" s="1376">
        <f t="shared" si="489"/>
        <v>0</v>
      </c>
      <c r="BB350" s="1391"/>
      <c r="BC350" s="1820"/>
      <c r="BD350" s="1820"/>
      <c r="BE350" s="1823"/>
      <c r="BF350" s="1826"/>
      <c r="BG350" s="1829"/>
    </row>
    <row r="351" spans="1:59" s="1378" customFormat="1" ht="38.25">
      <c r="A351" s="1347" t="str">
        <f t="shared" si="470"/>
        <v>DC3 Therapeutics, LLC</v>
      </c>
      <c r="B351" s="1348" t="str">
        <f t="shared" si="471"/>
        <v>ABD</v>
      </c>
      <c r="C351" s="1348">
        <f t="shared" si="473"/>
        <v>5</v>
      </c>
      <c r="D351" s="1349">
        <f t="shared" si="474"/>
        <v>43221</v>
      </c>
      <c r="E351" s="1349"/>
      <c r="F351" s="1347" t="s">
        <v>72</v>
      </c>
      <c r="G351" s="1347" t="s">
        <v>85</v>
      </c>
      <c r="H351" s="1347" t="s">
        <v>72</v>
      </c>
      <c r="I351" s="1347" t="s">
        <v>72</v>
      </c>
      <c r="J351" s="1349" t="s">
        <v>4670</v>
      </c>
      <c r="K351" s="1349" t="s">
        <v>254</v>
      </c>
      <c r="L351" s="1350" t="s">
        <v>3056</v>
      </c>
      <c r="M351" s="1350" t="s">
        <v>4708</v>
      </c>
      <c r="N351" s="1390" t="s">
        <v>4709</v>
      </c>
      <c r="O351" s="1352" t="s">
        <v>4710</v>
      </c>
      <c r="P351" s="1388"/>
      <c r="Q351" s="1354"/>
      <c r="R351" s="1354"/>
      <c r="S351" s="1354"/>
      <c r="T351" s="1354"/>
      <c r="U351" s="1354"/>
      <c r="V351" s="1354"/>
      <c r="W351" s="1354"/>
      <c r="X351" s="1353">
        <f t="shared" si="475"/>
        <v>43221</v>
      </c>
      <c r="Y351" s="1353">
        <f t="shared" si="475"/>
        <v>43466</v>
      </c>
      <c r="Z351" s="1355"/>
      <c r="AA351" s="1355" t="s">
        <v>4674</v>
      </c>
      <c r="AB351" s="1356"/>
      <c r="AC351" s="1356"/>
      <c r="AD351" s="1356"/>
      <c r="AE351" s="1356"/>
      <c r="AF351" s="1357" t="str">
        <f t="shared" si="469"/>
        <v/>
      </c>
      <c r="AG351" s="1380"/>
      <c r="AH351" s="1380"/>
      <c r="AI351" s="1381">
        <v>0</v>
      </c>
      <c r="AJ351" s="1382">
        <f t="shared" si="477"/>
        <v>0</v>
      </c>
      <c r="AK351" s="1383">
        <f t="shared" si="491"/>
        <v>0</v>
      </c>
      <c r="AL351" s="1384">
        <v>0</v>
      </c>
      <c r="AM351" s="1363">
        <f t="shared" si="479"/>
        <v>0</v>
      </c>
      <c r="AN351" s="1364">
        <v>0</v>
      </c>
      <c r="AO351" s="1365">
        <f t="shared" si="480"/>
        <v>0</v>
      </c>
      <c r="AP351" s="1366">
        <v>0</v>
      </c>
      <c r="AQ351" s="1367">
        <f t="shared" si="481"/>
        <v>0</v>
      </c>
      <c r="AR351" s="1368">
        <v>0</v>
      </c>
      <c r="AS351" s="1369">
        <f t="shared" si="482"/>
        <v>0</v>
      </c>
      <c r="AT351" s="1370">
        <v>0</v>
      </c>
      <c r="AU351" s="1371">
        <f t="shared" si="483"/>
        <v>0</v>
      </c>
      <c r="AV351" s="1359">
        <f t="shared" si="484"/>
        <v>0</v>
      </c>
      <c r="AW351" s="1372">
        <f t="shared" si="485"/>
        <v>0</v>
      </c>
      <c r="AX351" s="1373">
        <f t="shared" si="486"/>
        <v>0</v>
      </c>
      <c r="AY351" s="1374">
        <f t="shared" si="487"/>
        <v>0</v>
      </c>
      <c r="AZ351" s="1375">
        <f t="shared" si="488"/>
        <v>0</v>
      </c>
      <c r="BA351" s="1376">
        <f t="shared" si="489"/>
        <v>0</v>
      </c>
      <c r="BB351" s="1391"/>
      <c r="BC351" s="1821"/>
      <c r="BD351" s="1821"/>
      <c r="BE351" s="1824"/>
      <c r="BF351" s="1827"/>
      <c r="BG351" s="1830"/>
    </row>
    <row r="352" spans="1:59" s="1315" customFormat="1" ht="25.5">
      <c r="A352" s="1277" t="str">
        <f t="shared" ref="A352:A362" si="492">L$352</f>
        <v>Dermtreat Inc.</v>
      </c>
      <c r="B352" s="1277" t="str">
        <f t="shared" ref="B352:B362" si="493">N$352</f>
        <v>HUB SD (Small)</v>
      </c>
      <c r="C352" s="1316">
        <f>Z352</f>
        <v>2</v>
      </c>
      <c r="D352" s="1317">
        <v>43252</v>
      </c>
      <c r="E352" s="1317"/>
      <c r="F352" s="1277" t="s">
        <v>72</v>
      </c>
      <c r="G352" s="1277" t="s">
        <v>72</v>
      </c>
      <c r="H352" s="1277" t="s">
        <v>72</v>
      </c>
      <c r="I352" s="1277" t="s">
        <v>4711</v>
      </c>
      <c r="J352" s="1317"/>
      <c r="K352" s="1317"/>
      <c r="L352" s="1318" t="s">
        <v>4552</v>
      </c>
      <c r="M352" s="1319"/>
      <c r="N352" s="1427" t="s">
        <v>4983</v>
      </c>
      <c r="O352" s="1419" t="s">
        <v>2473</v>
      </c>
      <c r="P352" s="1419"/>
      <c r="Q352" s="1322"/>
      <c r="R352" s="1322"/>
      <c r="S352" s="1322"/>
      <c r="T352" s="1322"/>
      <c r="U352" s="1322"/>
      <c r="V352" s="1322"/>
      <c r="W352" s="1322"/>
      <c r="X352" s="1317">
        <v>43252</v>
      </c>
      <c r="Y352" s="1317">
        <v>43466</v>
      </c>
      <c r="Z352" s="1316">
        <v>2</v>
      </c>
      <c r="AA352" s="1316" t="s">
        <v>4775</v>
      </c>
      <c r="AB352" s="1323">
        <f>SUM(AB353:AB362)</f>
        <v>0</v>
      </c>
      <c r="AC352" s="1323">
        <f>SUM(AC353:AC362)</f>
        <v>0</v>
      </c>
      <c r="AD352" s="1323">
        <f>SUM(AD353:AD362)</f>
        <v>0</v>
      </c>
      <c r="AE352" s="1324">
        <f t="shared" ref="AE352" si="494">AD352-AB352</f>
        <v>0</v>
      </c>
      <c r="AF352" s="1325" t="str">
        <f t="shared" si="469"/>
        <v/>
      </c>
      <c r="AG352" s="1326">
        <f>SUM(AG353:AG362)</f>
        <v>0</v>
      </c>
      <c r="AH352" s="1326">
        <f>SUM(AH353:AH362)</f>
        <v>0</v>
      </c>
      <c r="AI352" s="1339" t="s">
        <v>4984</v>
      </c>
      <c r="AJ352" s="1328">
        <f>SUM(AJ353:AJ362)</f>
        <v>0</v>
      </c>
      <c r="AK352" s="1328">
        <f>SUM(AK353:AK362)</f>
        <v>0</v>
      </c>
      <c r="AL352" s="1329"/>
      <c r="AM352" s="1330">
        <f>SUM(AM353:AM362)</f>
        <v>0</v>
      </c>
      <c r="AN352" s="1331"/>
      <c r="AO352" s="1332">
        <f>SUM(AO353:AO362)</f>
        <v>0</v>
      </c>
      <c r="AP352" s="1333"/>
      <c r="AQ352" s="1334">
        <f>SUM(AQ353:AQ362)</f>
        <v>0</v>
      </c>
      <c r="AR352" s="1335"/>
      <c r="AS352" s="1336">
        <f>SUM(AS353:AS362)</f>
        <v>0</v>
      </c>
      <c r="AT352" s="1337"/>
      <c r="AU352" s="1338">
        <f>SUM(AU353:AU362)</f>
        <v>0</v>
      </c>
      <c r="AV352" s="1339"/>
      <c r="AW352" s="1340">
        <f>SUM(AW353:AW362)</f>
        <v>0</v>
      </c>
      <c r="AX352" s="1306"/>
      <c r="AY352" s="1307">
        <f>SUM(AW352+AS352+AU352)</f>
        <v>0</v>
      </c>
      <c r="AZ352" s="1341"/>
      <c r="BA352" s="1309">
        <f>SUM(AY352+AQ352)</f>
        <v>0</v>
      </c>
      <c r="BB352" s="1342" t="e">
        <f>(AW352+AU352)/(AK352-AM352)</f>
        <v>#DIV/0!</v>
      </c>
      <c r="BC352" s="1343"/>
      <c r="BD352" s="1343"/>
      <c r="BE352" s="1344"/>
      <c r="BF352" s="1478" t="s">
        <v>4985</v>
      </c>
      <c r="BG352" s="1346"/>
    </row>
    <row r="353" spans="1:59" s="1378" customFormat="1" ht="38.25">
      <c r="A353" s="1347" t="str">
        <f t="shared" si="492"/>
        <v>Dermtreat Inc.</v>
      </c>
      <c r="B353" s="1348" t="str">
        <f t="shared" si="493"/>
        <v>HUB SD (Small)</v>
      </c>
      <c r="C353" s="1348">
        <f t="shared" ref="C353:C362" si="495">Z$352</f>
        <v>2</v>
      </c>
      <c r="D353" s="1349">
        <f t="shared" ref="D353:D362" si="496">D$352</f>
        <v>43252</v>
      </c>
      <c r="E353" s="1349"/>
      <c r="F353" s="1347" t="s">
        <v>85</v>
      </c>
      <c r="G353" s="1347" t="s">
        <v>85</v>
      </c>
      <c r="H353" s="1347" t="s">
        <v>85</v>
      </c>
      <c r="I353" s="1347" t="s">
        <v>113</v>
      </c>
      <c r="J353" s="1349"/>
      <c r="K353" s="1349" t="s">
        <v>254</v>
      </c>
      <c r="L353" s="1350" t="s">
        <v>2661</v>
      </c>
      <c r="M353" s="1350" t="s">
        <v>3647</v>
      </c>
      <c r="N353" s="1351" t="s">
        <v>4986</v>
      </c>
      <c r="O353" s="1352" t="s">
        <v>4778</v>
      </c>
      <c r="P353" s="1352" t="s">
        <v>4987</v>
      </c>
      <c r="Q353" s="1353" t="s">
        <v>317</v>
      </c>
      <c r="R353" s="1353" t="s">
        <v>3648</v>
      </c>
      <c r="S353" s="1353" t="s">
        <v>307</v>
      </c>
      <c r="T353" s="1353" t="s">
        <v>113</v>
      </c>
      <c r="U353" s="1354"/>
      <c r="V353" s="1354"/>
      <c r="W353" s="1354"/>
      <c r="X353" s="1353">
        <f t="shared" ref="X353:Y362" si="497">X$352</f>
        <v>43252</v>
      </c>
      <c r="Y353" s="1353">
        <f t="shared" si="497"/>
        <v>43466</v>
      </c>
      <c r="Z353" s="1355"/>
      <c r="AA353" s="1355" t="s">
        <v>4988</v>
      </c>
      <c r="AB353" s="1356"/>
      <c r="AC353" s="1356"/>
      <c r="AD353" s="1356"/>
      <c r="AE353" s="1356"/>
      <c r="AF353" s="1357" t="str">
        <f t="shared" si="469"/>
        <v/>
      </c>
      <c r="AG353" s="1358">
        <v>0</v>
      </c>
      <c r="AH353" s="1426">
        <f t="shared" ref="AH353:AH356" si="498">AG353*12</f>
        <v>0</v>
      </c>
      <c r="AI353" s="1359">
        <v>0.08</v>
      </c>
      <c r="AJ353" s="1360">
        <f>$AI353*$AG353</f>
        <v>0</v>
      </c>
      <c r="AK353" s="1361">
        <f>AI353*$AH353</f>
        <v>0</v>
      </c>
      <c r="AL353" s="1362">
        <v>5.0000000000000001E-3</v>
      </c>
      <c r="AM353" s="1363">
        <f t="shared" ref="AM353:AM362" si="499">AL353*$AH353</f>
        <v>0</v>
      </c>
      <c r="AN353" s="1364">
        <v>0</v>
      </c>
      <c r="AO353" s="1365">
        <f t="shared" ref="AO353:AO362" si="500">AN353*$AH353</f>
        <v>0</v>
      </c>
      <c r="AP353" s="1366">
        <v>0</v>
      </c>
      <c r="AQ353" s="1367">
        <f t="shared" ref="AQ353:AQ362" si="501">AP353*$AH353</f>
        <v>0</v>
      </c>
      <c r="AR353" s="1368">
        <v>0</v>
      </c>
      <c r="AS353" s="1369">
        <f t="shared" ref="AS353:AS362" si="502">AR353*$AH353</f>
        <v>0</v>
      </c>
      <c r="AT353" s="1370">
        <v>7.4999999999999997E-2</v>
      </c>
      <c r="AU353" s="1371">
        <f t="shared" ref="AU353:AU362" si="503">AT353*$AH353</f>
        <v>0</v>
      </c>
      <c r="AV353" s="1359">
        <f t="shared" ref="AV353:AV362" si="504">AZ353-AR353-AT353-AP353</f>
        <v>0</v>
      </c>
      <c r="AW353" s="1372">
        <f t="shared" ref="AW353:AW362" si="505">AV353*$AH353</f>
        <v>0</v>
      </c>
      <c r="AX353" s="1373">
        <f t="shared" ref="AX353:AX362" si="506">$AZ353-$AP353</f>
        <v>7.4999999999999997E-2</v>
      </c>
      <c r="AY353" s="1374">
        <f t="shared" ref="AY353:AY362" si="507">AX353*$AH353</f>
        <v>0</v>
      </c>
      <c r="AZ353" s="1375">
        <f t="shared" ref="AZ353:AZ362" si="508">$AI353-$AL353-$AN353</f>
        <v>7.4999999999999997E-2</v>
      </c>
      <c r="BA353" s="1376">
        <f t="shared" ref="BA353:BA362" si="509">AZ353*$AH353</f>
        <v>0</v>
      </c>
      <c r="BB353" s="1391"/>
      <c r="BC353" s="1819" t="s">
        <v>4550</v>
      </c>
      <c r="BD353" s="1819" t="s">
        <v>4551</v>
      </c>
      <c r="BE353" s="1822" t="s">
        <v>4551</v>
      </c>
      <c r="BF353" s="1825" t="s">
        <v>4989</v>
      </c>
      <c r="BG353" s="1828" t="s">
        <v>4549</v>
      </c>
    </row>
    <row r="354" spans="1:59" s="1378" customFormat="1" ht="27.75" customHeight="1">
      <c r="A354" s="1347" t="str">
        <f t="shared" si="492"/>
        <v>Dermtreat Inc.</v>
      </c>
      <c r="B354" s="1348" t="str">
        <f t="shared" si="493"/>
        <v>HUB SD (Small)</v>
      </c>
      <c r="C354" s="1348">
        <f t="shared" si="495"/>
        <v>2</v>
      </c>
      <c r="D354" s="1349">
        <f t="shared" si="496"/>
        <v>43252</v>
      </c>
      <c r="E354" s="1349"/>
      <c r="F354" s="1347" t="s">
        <v>113</v>
      </c>
      <c r="G354" s="1347" t="s">
        <v>85</v>
      </c>
      <c r="H354" s="1347" t="s">
        <v>85</v>
      </c>
      <c r="I354" s="1347" t="s">
        <v>113</v>
      </c>
      <c r="J354" s="1349"/>
      <c r="K354" s="1349" t="s">
        <v>254</v>
      </c>
      <c r="L354" s="1350" t="s">
        <v>4675</v>
      </c>
      <c r="M354" s="1350" t="s">
        <v>3650</v>
      </c>
      <c r="N354" s="1385" t="s">
        <v>4990</v>
      </c>
      <c r="O354" s="1352" t="s">
        <v>4677</v>
      </c>
      <c r="P354" s="1388"/>
      <c r="Q354" s="1354"/>
      <c r="R354" s="1354"/>
      <c r="S354" s="1354"/>
      <c r="T354" s="1354"/>
      <c r="U354" s="1353" t="s">
        <v>4678</v>
      </c>
      <c r="V354" s="1353" t="s">
        <v>2495</v>
      </c>
      <c r="W354" s="1354"/>
      <c r="X354" s="1353">
        <f t="shared" si="497"/>
        <v>43252</v>
      </c>
      <c r="Y354" s="1353">
        <f t="shared" si="497"/>
        <v>43466</v>
      </c>
      <c r="Z354" s="1355"/>
      <c r="AA354" s="1355" t="s">
        <v>4991</v>
      </c>
      <c r="AB354" s="1356"/>
      <c r="AC354" s="1356"/>
      <c r="AD354" s="1356"/>
      <c r="AE354" s="1356"/>
      <c r="AF354" s="1357" t="str">
        <f t="shared" si="469"/>
        <v/>
      </c>
      <c r="AG354" s="1358">
        <v>0</v>
      </c>
      <c r="AH354" s="1426">
        <f t="shared" si="498"/>
        <v>0</v>
      </c>
      <c r="AI354" s="1359">
        <v>0.1</v>
      </c>
      <c r="AJ354" s="1360">
        <f t="shared" ref="AJ354:AJ358" si="510">$AI354*$AG354</f>
        <v>0</v>
      </c>
      <c r="AK354" s="1361">
        <f t="shared" ref="AK354:AK362" si="511">AI354*$AH354</f>
        <v>0</v>
      </c>
      <c r="AL354" s="1384">
        <v>0</v>
      </c>
      <c r="AM354" s="1363">
        <f t="shared" si="499"/>
        <v>0</v>
      </c>
      <c r="AN354" s="1364">
        <v>0</v>
      </c>
      <c r="AO354" s="1365">
        <f t="shared" si="500"/>
        <v>0</v>
      </c>
      <c r="AP354" s="1366">
        <v>0</v>
      </c>
      <c r="AQ354" s="1367">
        <f t="shared" si="501"/>
        <v>0</v>
      </c>
      <c r="AR354" s="1368">
        <v>0</v>
      </c>
      <c r="AS354" s="1369">
        <f t="shared" si="502"/>
        <v>0</v>
      </c>
      <c r="AT354" s="1370">
        <v>0.1</v>
      </c>
      <c r="AU354" s="1371">
        <f t="shared" si="503"/>
        <v>0</v>
      </c>
      <c r="AV354" s="1359">
        <f t="shared" si="504"/>
        <v>0</v>
      </c>
      <c r="AW354" s="1372">
        <f t="shared" si="505"/>
        <v>0</v>
      </c>
      <c r="AX354" s="1373">
        <f t="shared" si="506"/>
        <v>0.1</v>
      </c>
      <c r="AY354" s="1374">
        <f t="shared" si="507"/>
        <v>0</v>
      </c>
      <c r="AZ354" s="1375">
        <f t="shared" si="508"/>
        <v>0.1</v>
      </c>
      <c r="BA354" s="1376">
        <f t="shared" si="509"/>
        <v>0</v>
      </c>
      <c r="BB354" s="1391"/>
      <c r="BC354" s="1820"/>
      <c r="BD354" s="1820"/>
      <c r="BE354" s="1823"/>
      <c r="BF354" s="1826"/>
      <c r="BG354" s="1829"/>
    </row>
    <row r="355" spans="1:59" s="1378" customFormat="1" ht="27.75" customHeight="1">
      <c r="A355" s="1347" t="str">
        <f t="shared" si="492"/>
        <v>Dermtreat Inc.</v>
      </c>
      <c r="B355" s="1348" t="str">
        <f t="shared" si="493"/>
        <v>HUB SD (Small)</v>
      </c>
      <c r="C355" s="1348">
        <f t="shared" si="495"/>
        <v>2</v>
      </c>
      <c r="D355" s="1349">
        <f t="shared" si="496"/>
        <v>43252</v>
      </c>
      <c r="E355" s="1349"/>
      <c r="F355" s="1347" t="s">
        <v>113</v>
      </c>
      <c r="G355" s="1347" t="s">
        <v>85</v>
      </c>
      <c r="H355" s="1347" t="s">
        <v>85</v>
      </c>
      <c r="I355" s="1347" t="s">
        <v>113</v>
      </c>
      <c r="J355" s="1349"/>
      <c r="K355" s="1349" t="s">
        <v>254</v>
      </c>
      <c r="L355" s="1350" t="s">
        <v>4675</v>
      </c>
      <c r="M355" s="1350" t="s">
        <v>3651</v>
      </c>
      <c r="N355" s="1351" t="s">
        <v>4856</v>
      </c>
      <c r="O355" s="1352" t="s">
        <v>4681</v>
      </c>
      <c r="P355" s="1388"/>
      <c r="Q355" s="1354"/>
      <c r="R355" s="1354"/>
      <c r="S355" s="1354"/>
      <c r="T355" s="1354"/>
      <c r="U355" s="1354"/>
      <c r="V355" s="1354"/>
      <c r="W355" s="1353" t="s">
        <v>2492</v>
      </c>
      <c r="X355" s="1353">
        <f t="shared" si="497"/>
        <v>43252</v>
      </c>
      <c r="Y355" s="1353">
        <f t="shared" si="497"/>
        <v>43466</v>
      </c>
      <c r="Z355" s="1355"/>
      <c r="AA355" s="1355" t="s">
        <v>4991</v>
      </c>
      <c r="AB355" s="1356"/>
      <c r="AC355" s="1356"/>
      <c r="AD355" s="1356"/>
      <c r="AE355" s="1356"/>
      <c r="AF355" s="1357" t="str">
        <f t="shared" si="469"/>
        <v/>
      </c>
      <c r="AG355" s="1358">
        <v>0</v>
      </c>
      <c r="AH355" s="1426">
        <f t="shared" si="498"/>
        <v>0</v>
      </c>
      <c r="AI355" s="1359">
        <v>0.1</v>
      </c>
      <c r="AJ355" s="1360">
        <f t="shared" si="510"/>
        <v>0</v>
      </c>
      <c r="AK355" s="1361">
        <f t="shared" si="511"/>
        <v>0</v>
      </c>
      <c r="AL355" s="1384">
        <v>0</v>
      </c>
      <c r="AM355" s="1363">
        <f t="shared" si="499"/>
        <v>0</v>
      </c>
      <c r="AN355" s="1364">
        <v>0</v>
      </c>
      <c r="AO355" s="1365">
        <f t="shared" si="500"/>
        <v>0</v>
      </c>
      <c r="AP355" s="1366">
        <v>0</v>
      </c>
      <c r="AQ355" s="1367">
        <f t="shared" si="501"/>
        <v>0</v>
      </c>
      <c r="AR355" s="1368">
        <v>0</v>
      </c>
      <c r="AS355" s="1369">
        <f t="shared" si="502"/>
        <v>0</v>
      </c>
      <c r="AT355" s="1370">
        <v>0.1</v>
      </c>
      <c r="AU355" s="1371">
        <f t="shared" si="503"/>
        <v>0</v>
      </c>
      <c r="AV355" s="1359">
        <f t="shared" si="504"/>
        <v>0</v>
      </c>
      <c r="AW355" s="1372">
        <f t="shared" si="505"/>
        <v>0</v>
      </c>
      <c r="AX355" s="1373">
        <f t="shared" si="506"/>
        <v>0.1</v>
      </c>
      <c r="AY355" s="1374">
        <f t="shared" si="507"/>
        <v>0</v>
      </c>
      <c r="AZ355" s="1375">
        <f t="shared" si="508"/>
        <v>0.1</v>
      </c>
      <c r="BA355" s="1376">
        <f t="shared" si="509"/>
        <v>0</v>
      </c>
      <c r="BB355" s="1391"/>
      <c r="BC355" s="1820"/>
      <c r="BD355" s="1820"/>
      <c r="BE355" s="1823"/>
      <c r="BF355" s="1826"/>
      <c r="BG355" s="1829"/>
    </row>
    <row r="356" spans="1:59" s="1378" customFormat="1" ht="27.75" customHeight="1">
      <c r="A356" s="1347" t="str">
        <f t="shared" si="492"/>
        <v>Dermtreat Inc.</v>
      </c>
      <c r="B356" s="1348" t="str">
        <f t="shared" si="493"/>
        <v>HUB SD (Small)</v>
      </c>
      <c r="C356" s="1348">
        <f t="shared" si="495"/>
        <v>2</v>
      </c>
      <c r="D356" s="1349">
        <f t="shared" si="496"/>
        <v>43252</v>
      </c>
      <c r="E356" s="1349"/>
      <c r="F356" s="1347" t="s">
        <v>113</v>
      </c>
      <c r="G356" s="1347" t="s">
        <v>85</v>
      </c>
      <c r="H356" s="1347" t="s">
        <v>85</v>
      </c>
      <c r="I356" s="1347" t="s">
        <v>113</v>
      </c>
      <c r="J356" s="1349"/>
      <c r="K356" s="1349" t="s">
        <v>254</v>
      </c>
      <c r="L356" s="1350" t="s">
        <v>4682</v>
      </c>
      <c r="M356" s="1350" t="s">
        <v>4683</v>
      </c>
      <c r="N356" s="1386" t="s">
        <v>1249</v>
      </c>
      <c r="O356" s="1352" t="s">
        <v>4684</v>
      </c>
      <c r="P356" s="1421"/>
      <c r="Q356" s="1354"/>
      <c r="R356" s="1354"/>
      <c r="S356" s="1354"/>
      <c r="T356" s="1354"/>
      <c r="U356" s="1354"/>
      <c r="V356" s="1354"/>
      <c r="W356" s="1354"/>
      <c r="X356" s="1353">
        <f t="shared" si="497"/>
        <v>43252</v>
      </c>
      <c r="Y356" s="1353">
        <f t="shared" si="497"/>
        <v>43466</v>
      </c>
      <c r="Z356" s="1355"/>
      <c r="AA356" s="1355" t="s">
        <v>4992</v>
      </c>
      <c r="AB356" s="1356"/>
      <c r="AC356" s="1356"/>
      <c r="AD356" s="1356"/>
      <c r="AE356" s="1356"/>
      <c r="AF356" s="1357" t="str">
        <f t="shared" si="469"/>
        <v/>
      </c>
      <c r="AG356" s="1358">
        <v>0</v>
      </c>
      <c r="AH356" s="1426">
        <f t="shared" si="498"/>
        <v>0</v>
      </c>
      <c r="AI356" s="1359">
        <v>0.15</v>
      </c>
      <c r="AJ356" s="1360">
        <f t="shared" si="510"/>
        <v>0</v>
      </c>
      <c r="AK356" s="1361">
        <f t="shared" si="511"/>
        <v>0</v>
      </c>
      <c r="AL356" s="1384">
        <v>0</v>
      </c>
      <c r="AM356" s="1363">
        <f t="shared" si="499"/>
        <v>0</v>
      </c>
      <c r="AN356" s="1364">
        <v>0</v>
      </c>
      <c r="AO356" s="1365">
        <f t="shared" si="500"/>
        <v>0</v>
      </c>
      <c r="AP356" s="1366">
        <v>0</v>
      </c>
      <c r="AQ356" s="1367">
        <f t="shared" si="501"/>
        <v>0</v>
      </c>
      <c r="AR356" s="1368">
        <v>0</v>
      </c>
      <c r="AS356" s="1369">
        <f t="shared" si="502"/>
        <v>0</v>
      </c>
      <c r="AT356" s="1370">
        <v>0.15</v>
      </c>
      <c r="AU356" s="1371">
        <f t="shared" si="503"/>
        <v>0</v>
      </c>
      <c r="AV356" s="1359">
        <f t="shared" si="504"/>
        <v>0</v>
      </c>
      <c r="AW356" s="1372">
        <f t="shared" si="505"/>
        <v>0</v>
      </c>
      <c r="AX356" s="1373">
        <f t="shared" si="506"/>
        <v>0.15</v>
      </c>
      <c r="AY356" s="1374">
        <f t="shared" si="507"/>
        <v>0</v>
      </c>
      <c r="AZ356" s="1375">
        <f t="shared" si="508"/>
        <v>0.15</v>
      </c>
      <c r="BA356" s="1376">
        <f t="shared" si="509"/>
        <v>0</v>
      </c>
      <c r="BB356" s="1391"/>
      <c r="BC356" s="1820"/>
      <c r="BD356" s="1820"/>
      <c r="BE356" s="1823"/>
      <c r="BF356" s="1826"/>
      <c r="BG356" s="1829"/>
    </row>
    <row r="357" spans="1:59" s="1378" customFormat="1" ht="27.75" customHeight="1">
      <c r="A357" s="1347" t="str">
        <f t="shared" si="492"/>
        <v>Dermtreat Inc.</v>
      </c>
      <c r="B357" s="1348" t="str">
        <f t="shared" si="493"/>
        <v>HUB SD (Small)</v>
      </c>
      <c r="C357" s="1348">
        <f t="shared" si="495"/>
        <v>2</v>
      </c>
      <c r="D357" s="1349">
        <f t="shared" si="496"/>
        <v>43252</v>
      </c>
      <c r="E357" s="1349"/>
      <c r="F357" s="1347" t="s">
        <v>113</v>
      </c>
      <c r="G357" s="1347" t="s">
        <v>85</v>
      </c>
      <c r="H357" s="1347" t="s">
        <v>85</v>
      </c>
      <c r="I357" s="1347" t="s">
        <v>113</v>
      </c>
      <c r="J357" s="1349"/>
      <c r="K357" s="1349" t="s">
        <v>254</v>
      </c>
      <c r="L357" s="1350" t="s">
        <v>4682</v>
      </c>
      <c r="M357" s="1350" t="s">
        <v>4686</v>
      </c>
      <c r="N357" s="1386" t="s">
        <v>60</v>
      </c>
      <c r="O357" s="1352" t="s">
        <v>4687</v>
      </c>
      <c r="P357" s="1421"/>
      <c r="Q357" s="1354"/>
      <c r="R357" s="1354"/>
      <c r="S357" s="1354"/>
      <c r="T357" s="1354"/>
      <c r="U357" s="1354"/>
      <c r="V357" s="1354"/>
      <c r="W357" s="1354"/>
      <c r="X357" s="1353">
        <f t="shared" si="497"/>
        <v>43252</v>
      </c>
      <c r="Y357" s="1353">
        <f t="shared" si="497"/>
        <v>43466</v>
      </c>
      <c r="Z357" s="1355"/>
      <c r="AA357" s="1355" t="s">
        <v>4992</v>
      </c>
      <c r="AB357" s="1356"/>
      <c r="AC357" s="1356"/>
      <c r="AD357" s="1356"/>
      <c r="AE357" s="1356"/>
      <c r="AF357" s="1357" t="str">
        <f t="shared" si="469"/>
        <v/>
      </c>
      <c r="AG357" s="1358">
        <f t="shared" ref="AG357:AG358" si="512">AH357/12</f>
        <v>0</v>
      </c>
      <c r="AH357" s="1426">
        <v>0</v>
      </c>
      <c r="AI357" s="1359">
        <v>0.15</v>
      </c>
      <c r="AJ357" s="1360">
        <f t="shared" si="510"/>
        <v>0</v>
      </c>
      <c r="AK357" s="1361">
        <f t="shared" si="511"/>
        <v>0</v>
      </c>
      <c r="AL357" s="1384">
        <v>0</v>
      </c>
      <c r="AM357" s="1363">
        <f t="shared" si="499"/>
        <v>0</v>
      </c>
      <c r="AN357" s="1364">
        <v>0</v>
      </c>
      <c r="AO357" s="1365">
        <f t="shared" si="500"/>
        <v>0</v>
      </c>
      <c r="AP357" s="1366">
        <v>0</v>
      </c>
      <c r="AQ357" s="1367">
        <f t="shared" si="501"/>
        <v>0</v>
      </c>
      <c r="AR357" s="1368">
        <v>0</v>
      </c>
      <c r="AS357" s="1369">
        <f t="shared" si="502"/>
        <v>0</v>
      </c>
      <c r="AT357" s="1370">
        <v>0.15</v>
      </c>
      <c r="AU357" s="1371">
        <f t="shared" si="503"/>
        <v>0</v>
      </c>
      <c r="AV357" s="1359">
        <f t="shared" si="504"/>
        <v>0</v>
      </c>
      <c r="AW357" s="1372">
        <f t="shared" si="505"/>
        <v>0</v>
      </c>
      <c r="AX357" s="1373">
        <f t="shared" si="506"/>
        <v>0.15</v>
      </c>
      <c r="AY357" s="1374">
        <f t="shared" si="507"/>
        <v>0</v>
      </c>
      <c r="AZ357" s="1375">
        <f t="shared" si="508"/>
        <v>0.15</v>
      </c>
      <c r="BA357" s="1376">
        <f t="shared" si="509"/>
        <v>0</v>
      </c>
      <c r="BB357" s="1391"/>
      <c r="BC357" s="1820"/>
      <c r="BD357" s="1820"/>
      <c r="BE357" s="1823"/>
      <c r="BF357" s="1826"/>
      <c r="BG357" s="1829"/>
    </row>
    <row r="358" spans="1:59" s="1378" customFormat="1" ht="27.75" customHeight="1">
      <c r="A358" s="1347" t="str">
        <f t="shared" si="492"/>
        <v>Dermtreat Inc.</v>
      </c>
      <c r="B358" s="1348" t="str">
        <f t="shared" si="493"/>
        <v>HUB SD (Small)</v>
      </c>
      <c r="C358" s="1348">
        <f t="shared" si="495"/>
        <v>2</v>
      </c>
      <c r="D358" s="1349">
        <f t="shared" si="496"/>
        <v>43252</v>
      </c>
      <c r="E358" s="1349"/>
      <c r="F358" s="1347" t="s">
        <v>113</v>
      </c>
      <c r="G358" s="1347" t="s">
        <v>85</v>
      </c>
      <c r="H358" s="1347" t="s">
        <v>85</v>
      </c>
      <c r="I358" s="1347" t="s">
        <v>113</v>
      </c>
      <c r="J358" s="1349"/>
      <c r="K358" s="1349" t="s">
        <v>254</v>
      </c>
      <c r="L358" s="1350" t="s">
        <v>4682</v>
      </c>
      <c r="M358" s="1350" t="s">
        <v>67</v>
      </c>
      <c r="N358" s="1351" t="s">
        <v>68</v>
      </c>
      <c r="O358" s="1352" t="s">
        <v>4689</v>
      </c>
      <c r="P358" s="1388"/>
      <c r="Q358" s="1354"/>
      <c r="R358" s="1354"/>
      <c r="S358" s="1354"/>
      <c r="T358" s="1354"/>
      <c r="U358" s="1354"/>
      <c r="V358" s="1354"/>
      <c r="W358" s="1354"/>
      <c r="X358" s="1353">
        <f t="shared" si="497"/>
        <v>43252</v>
      </c>
      <c r="Y358" s="1353">
        <f t="shared" si="497"/>
        <v>43466</v>
      </c>
      <c r="Z358" s="1355"/>
      <c r="AA358" s="1355" t="s">
        <v>4992</v>
      </c>
      <c r="AB358" s="1356"/>
      <c r="AC358" s="1356"/>
      <c r="AD358" s="1356"/>
      <c r="AE358" s="1356"/>
      <c r="AF358" s="1357" t="str">
        <f t="shared" si="469"/>
        <v/>
      </c>
      <c r="AG358" s="1358">
        <f t="shared" si="512"/>
        <v>0</v>
      </c>
      <c r="AH358" s="1426">
        <v>0</v>
      </c>
      <c r="AI358" s="1359">
        <v>0.15</v>
      </c>
      <c r="AJ358" s="1360">
        <f t="shared" si="510"/>
        <v>0</v>
      </c>
      <c r="AK358" s="1361">
        <f t="shared" si="511"/>
        <v>0</v>
      </c>
      <c r="AL358" s="1384">
        <v>0</v>
      </c>
      <c r="AM358" s="1363">
        <f t="shared" si="499"/>
        <v>0</v>
      </c>
      <c r="AN358" s="1364">
        <v>0</v>
      </c>
      <c r="AO358" s="1365">
        <f t="shared" si="500"/>
        <v>0</v>
      </c>
      <c r="AP358" s="1366">
        <v>0</v>
      </c>
      <c r="AQ358" s="1367">
        <f t="shared" si="501"/>
        <v>0</v>
      </c>
      <c r="AR358" s="1368">
        <v>0</v>
      </c>
      <c r="AS358" s="1369">
        <f t="shared" si="502"/>
        <v>0</v>
      </c>
      <c r="AT358" s="1370">
        <v>0.15</v>
      </c>
      <c r="AU358" s="1371">
        <f t="shared" si="503"/>
        <v>0</v>
      </c>
      <c r="AV358" s="1359">
        <f t="shared" si="504"/>
        <v>0</v>
      </c>
      <c r="AW358" s="1372">
        <f t="shared" si="505"/>
        <v>0</v>
      </c>
      <c r="AX358" s="1373">
        <f t="shared" si="506"/>
        <v>0.15</v>
      </c>
      <c r="AY358" s="1374">
        <f t="shared" si="507"/>
        <v>0</v>
      </c>
      <c r="AZ358" s="1375">
        <f t="shared" si="508"/>
        <v>0.15</v>
      </c>
      <c r="BA358" s="1376">
        <f t="shared" si="509"/>
        <v>0</v>
      </c>
      <c r="BB358" s="1391"/>
      <c r="BC358" s="1820"/>
      <c r="BD358" s="1820"/>
      <c r="BE358" s="1823"/>
      <c r="BF358" s="1826"/>
      <c r="BG358" s="1829"/>
    </row>
    <row r="359" spans="1:59" s="1378" customFormat="1" ht="27.75" customHeight="1">
      <c r="A359" s="1347" t="str">
        <f t="shared" si="492"/>
        <v>Dermtreat Inc.</v>
      </c>
      <c r="B359" s="1348" t="str">
        <f t="shared" si="493"/>
        <v>HUB SD (Small)</v>
      </c>
      <c r="C359" s="1348">
        <f t="shared" si="495"/>
        <v>2</v>
      </c>
      <c r="D359" s="1349">
        <f t="shared" si="496"/>
        <v>43252</v>
      </c>
      <c r="E359" s="1349"/>
      <c r="F359" s="1347" t="s">
        <v>72</v>
      </c>
      <c r="G359" s="1347" t="s">
        <v>85</v>
      </c>
      <c r="H359" s="1347" t="s">
        <v>72</v>
      </c>
      <c r="I359" s="1347" t="s">
        <v>72</v>
      </c>
      <c r="J359" s="1349" t="s">
        <v>4670</v>
      </c>
      <c r="K359" s="1349" t="s">
        <v>254</v>
      </c>
      <c r="L359" s="1350" t="s">
        <v>4696</v>
      </c>
      <c r="M359" s="1350" t="s">
        <v>4697</v>
      </c>
      <c r="N359" s="1389" t="s">
        <v>4698</v>
      </c>
      <c r="O359" s="1352" t="s">
        <v>4699</v>
      </c>
      <c r="P359" s="1388"/>
      <c r="Q359" s="1354"/>
      <c r="R359" s="1354"/>
      <c r="S359" s="1354"/>
      <c r="T359" s="1354"/>
      <c r="U359" s="1354"/>
      <c r="V359" s="1354"/>
      <c r="W359" s="1354"/>
      <c r="X359" s="1353">
        <f t="shared" si="497"/>
        <v>43252</v>
      </c>
      <c r="Y359" s="1353">
        <f t="shared" si="497"/>
        <v>43466</v>
      </c>
      <c r="Z359" s="1355"/>
      <c r="AA359" s="1355" t="s">
        <v>4674</v>
      </c>
      <c r="AB359" s="1356"/>
      <c r="AC359" s="1356"/>
      <c r="AD359" s="1356"/>
      <c r="AE359" s="1356"/>
      <c r="AF359" s="1357" t="str">
        <f t="shared" si="469"/>
        <v/>
      </c>
      <c r="AG359" s="1380"/>
      <c r="AH359" s="1380"/>
      <c r="AI359" s="1381">
        <v>0</v>
      </c>
      <c r="AJ359" s="1382"/>
      <c r="AK359" s="1383">
        <f t="shared" si="511"/>
        <v>0</v>
      </c>
      <c r="AL359" s="1384">
        <v>0</v>
      </c>
      <c r="AM359" s="1363">
        <f t="shared" si="499"/>
        <v>0</v>
      </c>
      <c r="AN359" s="1364">
        <v>0</v>
      </c>
      <c r="AO359" s="1365">
        <f t="shared" si="500"/>
        <v>0</v>
      </c>
      <c r="AP359" s="1366">
        <v>0</v>
      </c>
      <c r="AQ359" s="1367">
        <f t="shared" si="501"/>
        <v>0</v>
      </c>
      <c r="AR359" s="1368">
        <v>0</v>
      </c>
      <c r="AS359" s="1369">
        <f t="shared" si="502"/>
        <v>0</v>
      </c>
      <c r="AT359" s="1370">
        <v>0</v>
      </c>
      <c r="AU359" s="1371">
        <f t="shared" si="503"/>
        <v>0</v>
      </c>
      <c r="AV359" s="1359">
        <f t="shared" si="504"/>
        <v>0</v>
      </c>
      <c r="AW359" s="1372">
        <f t="shared" si="505"/>
        <v>0</v>
      </c>
      <c r="AX359" s="1373">
        <f t="shared" si="506"/>
        <v>0</v>
      </c>
      <c r="AY359" s="1374">
        <f t="shared" si="507"/>
        <v>0</v>
      </c>
      <c r="AZ359" s="1375">
        <f t="shared" si="508"/>
        <v>0</v>
      </c>
      <c r="BA359" s="1376">
        <f t="shared" si="509"/>
        <v>0</v>
      </c>
      <c r="BB359" s="1377"/>
      <c r="BC359" s="1820"/>
      <c r="BD359" s="1820"/>
      <c r="BE359" s="1823"/>
      <c r="BF359" s="1826"/>
      <c r="BG359" s="1829"/>
    </row>
    <row r="360" spans="1:59" s="1378" customFormat="1" ht="27.75" customHeight="1">
      <c r="A360" s="1347" t="str">
        <f t="shared" si="492"/>
        <v>Dermtreat Inc.</v>
      </c>
      <c r="B360" s="1348" t="str">
        <f t="shared" si="493"/>
        <v>HUB SD (Small)</v>
      </c>
      <c r="C360" s="1348">
        <f t="shared" si="495"/>
        <v>2</v>
      </c>
      <c r="D360" s="1349">
        <f t="shared" si="496"/>
        <v>43252</v>
      </c>
      <c r="E360" s="1349"/>
      <c r="F360" s="1347" t="s">
        <v>72</v>
      </c>
      <c r="G360" s="1347" t="s">
        <v>85</v>
      </c>
      <c r="H360" s="1347" t="s">
        <v>72</v>
      </c>
      <c r="I360" s="1347" t="s">
        <v>72</v>
      </c>
      <c r="J360" s="1349" t="s">
        <v>4670</v>
      </c>
      <c r="K360" s="1349" t="s">
        <v>254</v>
      </c>
      <c r="L360" s="1350" t="s">
        <v>48</v>
      </c>
      <c r="M360" s="1350" t="s">
        <v>253</v>
      </c>
      <c r="N360" s="1390" t="s">
        <v>4703</v>
      </c>
      <c r="O360" s="1352" t="s">
        <v>4704</v>
      </c>
      <c r="P360" s="1388"/>
      <c r="Q360" s="1354"/>
      <c r="R360" s="1354"/>
      <c r="S360" s="1354"/>
      <c r="T360" s="1354"/>
      <c r="U360" s="1354"/>
      <c r="V360" s="1354"/>
      <c r="W360" s="1354"/>
      <c r="X360" s="1353">
        <f t="shared" si="497"/>
        <v>43252</v>
      </c>
      <c r="Y360" s="1353">
        <f t="shared" si="497"/>
        <v>43466</v>
      </c>
      <c r="Z360" s="1355"/>
      <c r="AA360" s="1355" t="s">
        <v>4674</v>
      </c>
      <c r="AB360" s="1356"/>
      <c r="AC360" s="1356"/>
      <c r="AD360" s="1356"/>
      <c r="AE360" s="1356"/>
      <c r="AF360" s="1357" t="str">
        <f t="shared" si="469"/>
        <v/>
      </c>
      <c r="AG360" s="1380"/>
      <c r="AH360" s="1380"/>
      <c r="AI360" s="1381">
        <v>0</v>
      </c>
      <c r="AJ360" s="1382"/>
      <c r="AK360" s="1383">
        <f t="shared" si="511"/>
        <v>0</v>
      </c>
      <c r="AL360" s="1384">
        <v>0</v>
      </c>
      <c r="AM360" s="1363">
        <f t="shared" si="499"/>
        <v>0</v>
      </c>
      <c r="AN360" s="1364">
        <v>0</v>
      </c>
      <c r="AO360" s="1365">
        <f t="shared" si="500"/>
        <v>0</v>
      </c>
      <c r="AP360" s="1366">
        <v>0</v>
      </c>
      <c r="AQ360" s="1367">
        <f t="shared" si="501"/>
        <v>0</v>
      </c>
      <c r="AR360" s="1368">
        <v>0</v>
      </c>
      <c r="AS360" s="1369">
        <f t="shared" si="502"/>
        <v>0</v>
      </c>
      <c r="AT360" s="1370">
        <v>0</v>
      </c>
      <c r="AU360" s="1371">
        <f t="shared" si="503"/>
        <v>0</v>
      </c>
      <c r="AV360" s="1359">
        <f t="shared" si="504"/>
        <v>0</v>
      </c>
      <c r="AW360" s="1372">
        <f t="shared" si="505"/>
        <v>0</v>
      </c>
      <c r="AX360" s="1373">
        <f t="shared" si="506"/>
        <v>0</v>
      </c>
      <c r="AY360" s="1374">
        <f t="shared" si="507"/>
        <v>0</v>
      </c>
      <c r="AZ360" s="1375">
        <f t="shared" si="508"/>
        <v>0</v>
      </c>
      <c r="BA360" s="1376">
        <f t="shared" si="509"/>
        <v>0</v>
      </c>
      <c r="BB360" s="1391"/>
      <c r="BC360" s="1820"/>
      <c r="BD360" s="1820"/>
      <c r="BE360" s="1823"/>
      <c r="BF360" s="1826"/>
      <c r="BG360" s="1829"/>
    </row>
    <row r="361" spans="1:59" s="1378" customFormat="1" ht="27.75" customHeight="1">
      <c r="A361" s="1347" t="str">
        <f t="shared" si="492"/>
        <v>Dermtreat Inc.</v>
      </c>
      <c r="B361" s="1348" t="str">
        <f t="shared" si="493"/>
        <v>HUB SD (Small)</v>
      </c>
      <c r="C361" s="1348">
        <f t="shared" si="495"/>
        <v>2</v>
      </c>
      <c r="D361" s="1349">
        <f t="shared" si="496"/>
        <v>43252</v>
      </c>
      <c r="E361" s="1349"/>
      <c r="F361" s="1347" t="s">
        <v>72</v>
      </c>
      <c r="G361" s="1347" t="s">
        <v>85</v>
      </c>
      <c r="H361" s="1347" t="s">
        <v>72</v>
      </c>
      <c r="I361" s="1347" t="s">
        <v>72</v>
      </c>
      <c r="J361" s="1349" t="s">
        <v>4670</v>
      </c>
      <c r="K361" s="1349" t="s">
        <v>254</v>
      </c>
      <c r="L361" s="1350" t="s">
        <v>49</v>
      </c>
      <c r="M361" s="1350" t="s">
        <v>4705</v>
      </c>
      <c r="N361" s="1390" t="s">
        <v>4706</v>
      </c>
      <c r="O361" s="1352" t="s">
        <v>4707</v>
      </c>
      <c r="P361" s="1388"/>
      <c r="Q361" s="1354"/>
      <c r="R361" s="1354"/>
      <c r="S361" s="1354"/>
      <c r="T361" s="1354"/>
      <c r="U361" s="1354"/>
      <c r="V361" s="1354"/>
      <c r="W361" s="1354"/>
      <c r="X361" s="1353">
        <f t="shared" si="497"/>
        <v>43252</v>
      </c>
      <c r="Y361" s="1353">
        <f t="shared" si="497"/>
        <v>43466</v>
      </c>
      <c r="Z361" s="1355"/>
      <c r="AA361" s="1355" t="s">
        <v>4674</v>
      </c>
      <c r="AB361" s="1356"/>
      <c r="AC361" s="1356"/>
      <c r="AD361" s="1356"/>
      <c r="AE361" s="1356"/>
      <c r="AF361" s="1357" t="str">
        <f t="shared" si="469"/>
        <v/>
      </c>
      <c r="AG361" s="1380"/>
      <c r="AH361" s="1380"/>
      <c r="AI361" s="1381">
        <v>0</v>
      </c>
      <c r="AJ361" s="1382"/>
      <c r="AK361" s="1383">
        <f t="shared" si="511"/>
        <v>0</v>
      </c>
      <c r="AL361" s="1384">
        <v>0</v>
      </c>
      <c r="AM361" s="1363">
        <f t="shared" si="499"/>
        <v>0</v>
      </c>
      <c r="AN361" s="1364">
        <v>0</v>
      </c>
      <c r="AO361" s="1365">
        <f t="shared" si="500"/>
        <v>0</v>
      </c>
      <c r="AP361" s="1366">
        <v>0</v>
      </c>
      <c r="AQ361" s="1367">
        <f t="shared" si="501"/>
        <v>0</v>
      </c>
      <c r="AR361" s="1368">
        <v>0</v>
      </c>
      <c r="AS361" s="1369">
        <f t="shared" si="502"/>
        <v>0</v>
      </c>
      <c r="AT361" s="1370">
        <v>0</v>
      </c>
      <c r="AU361" s="1371">
        <f t="shared" si="503"/>
        <v>0</v>
      </c>
      <c r="AV361" s="1359">
        <f t="shared" si="504"/>
        <v>0</v>
      </c>
      <c r="AW361" s="1372">
        <f t="shared" si="505"/>
        <v>0</v>
      </c>
      <c r="AX361" s="1373">
        <f t="shared" si="506"/>
        <v>0</v>
      </c>
      <c r="AY361" s="1374">
        <f t="shared" si="507"/>
        <v>0</v>
      </c>
      <c r="AZ361" s="1375">
        <f t="shared" si="508"/>
        <v>0</v>
      </c>
      <c r="BA361" s="1376">
        <f t="shared" si="509"/>
        <v>0</v>
      </c>
      <c r="BB361" s="1391"/>
      <c r="BC361" s="1820"/>
      <c r="BD361" s="1820"/>
      <c r="BE361" s="1823"/>
      <c r="BF361" s="1826"/>
      <c r="BG361" s="1829"/>
    </row>
    <row r="362" spans="1:59" s="1378" customFormat="1" ht="27.75" customHeight="1">
      <c r="A362" s="1347" t="str">
        <f t="shared" si="492"/>
        <v>Dermtreat Inc.</v>
      </c>
      <c r="B362" s="1348" t="str">
        <f t="shared" si="493"/>
        <v>HUB SD (Small)</v>
      </c>
      <c r="C362" s="1348">
        <f t="shared" si="495"/>
        <v>2</v>
      </c>
      <c r="D362" s="1349">
        <f t="shared" si="496"/>
        <v>43252</v>
      </c>
      <c r="E362" s="1349"/>
      <c r="F362" s="1347" t="s">
        <v>72</v>
      </c>
      <c r="G362" s="1347" t="s">
        <v>85</v>
      </c>
      <c r="H362" s="1347" t="s">
        <v>72</v>
      </c>
      <c r="I362" s="1347" t="s">
        <v>72</v>
      </c>
      <c r="J362" s="1349" t="s">
        <v>4670</v>
      </c>
      <c r="K362" s="1349" t="s">
        <v>254</v>
      </c>
      <c r="L362" s="1350" t="s">
        <v>3056</v>
      </c>
      <c r="M362" s="1350" t="s">
        <v>4708</v>
      </c>
      <c r="N362" s="1390" t="s">
        <v>4709</v>
      </c>
      <c r="O362" s="1352" t="s">
        <v>4710</v>
      </c>
      <c r="P362" s="1388"/>
      <c r="Q362" s="1354"/>
      <c r="R362" s="1354"/>
      <c r="S362" s="1354"/>
      <c r="T362" s="1354"/>
      <c r="U362" s="1354"/>
      <c r="V362" s="1354"/>
      <c r="W362" s="1354"/>
      <c r="X362" s="1353">
        <f t="shared" si="497"/>
        <v>43252</v>
      </c>
      <c r="Y362" s="1353">
        <f t="shared" si="497"/>
        <v>43466</v>
      </c>
      <c r="Z362" s="1355"/>
      <c r="AA362" s="1355" t="s">
        <v>4674</v>
      </c>
      <c r="AB362" s="1356"/>
      <c r="AC362" s="1356"/>
      <c r="AD362" s="1356"/>
      <c r="AE362" s="1356"/>
      <c r="AF362" s="1357" t="str">
        <f t="shared" si="469"/>
        <v/>
      </c>
      <c r="AG362" s="1380"/>
      <c r="AH362" s="1380"/>
      <c r="AI362" s="1381">
        <v>0</v>
      </c>
      <c r="AJ362" s="1382"/>
      <c r="AK362" s="1383">
        <f t="shared" si="511"/>
        <v>0</v>
      </c>
      <c r="AL362" s="1384">
        <v>0</v>
      </c>
      <c r="AM362" s="1363">
        <f t="shared" si="499"/>
        <v>0</v>
      </c>
      <c r="AN362" s="1364">
        <v>0</v>
      </c>
      <c r="AO362" s="1365">
        <f t="shared" si="500"/>
        <v>0</v>
      </c>
      <c r="AP362" s="1366">
        <v>0</v>
      </c>
      <c r="AQ362" s="1367">
        <f t="shared" si="501"/>
        <v>0</v>
      </c>
      <c r="AR362" s="1368">
        <v>0</v>
      </c>
      <c r="AS362" s="1369">
        <f t="shared" si="502"/>
        <v>0</v>
      </c>
      <c r="AT362" s="1370">
        <v>0</v>
      </c>
      <c r="AU362" s="1371">
        <f t="shared" si="503"/>
        <v>0</v>
      </c>
      <c r="AV362" s="1359">
        <f t="shared" si="504"/>
        <v>0</v>
      </c>
      <c r="AW362" s="1372">
        <f t="shared" si="505"/>
        <v>0</v>
      </c>
      <c r="AX362" s="1373">
        <f t="shared" si="506"/>
        <v>0</v>
      </c>
      <c r="AY362" s="1374">
        <f t="shared" si="507"/>
        <v>0</v>
      </c>
      <c r="AZ362" s="1375">
        <f t="shared" si="508"/>
        <v>0</v>
      </c>
      <c r="BA362" s="1376">
        <f t="shared" si="509"/>
        <v>0</v>
      </c>
      <c r="BB362" s="1391"/>
      <c r="BC362" s="1821"/>
      <c r="BD362" s="1821"/>
      <c r="BE362" s="1824"/>
      <c r="BF362" s="1827"/>
      <c r="BG362" s="1830"/>
    </row>
    <row r="363" spans="1:59" s="1315" customFormat="1" ht="36" customHeight="1">
      <c r="A363" s="1277" t="str">
        <f>$L$363</f>
        <v>Emboline, Inc.</v>
      </c>
      <c r="B363" s="1277" t="s">
        <v>4806</v>
      </c>
      <c r="C363" s="1316">
        <f>$Z$363</f>
        <v>3</v>
      </c>
      <c r="D363" s="1317">
        <v>42887</v>
      </c>
      <c r="E363" s="1317"/>
      <c r="F363" s="1277" t="s">
        <v>72</v>
      </c>
      <c r="G363" s="1277" t="s">
        <v>72</v>
      </c>
      <c r="H363" s="1277" t="s">
        <v>72</v>
      </c>
      <c r="I363" s="1277" t="s">
        <v>4711</v>
      </c>
      <c r="J363" s="1317"/>
      <c r="K363" s="1317"/>
      <c r="L363" s="1318" t="s">
        <v>132</v>
      </c>
      <c r="M363" s="1319"/>
      <c r="N363" s="1417" t="s">
        <v>3654</v>
      </c>
      <c r="O363" s="1418" t="s">
        <v>2474</v>
      </c>
      <c r="P363" s="1418"/>
      <c r="Q363" s="1322"/>
      <c r="R363" s="1322"/>
      <c r="S363" s="1322"/>
      <c r="T363" s="1322"/>
      <c r="U363" s="1322"/>
      <c r="V363" s="1322"/>
      <c r="W363" s="1322"/>
      <c r="X363" s="1317">
        <v>43101</v>
      </c>
      <c r="Y363" s="1317">
        <v>43466</v>
      </c>
      <c r="Z363" s="1316">
        <v>3</v>
      </c>
      <c r="AA363" s="1316" t="s">
        <v>4993</v>
      </c>
      <c r="AB363" s="1323">
        <f>SUM(AB364:AB375)</f>
        <v>0</v>
      </c>
      <c r="AC363" s="1323">
        <f>SUM(AC364:AC375)</f>
        <v>0</v>
      </c>
      <c r="AD363" s="1323">
        <f>SUM(AD364:AD375)</f>
        <v>0</v>
      </c>
      <c r="AE363" s="1324">
        <f t="shared" ref="AE363:AE383" si="513">AD363-AB363</f>
        <v>0</v>
      </c>
      <c r="AF363" s="1325" t="str">
        <f t="shared" si="469"/>
        <v/>
      </c>
      <c r="AG363" s="1326">
        <f t="shared" si="419"/>
        <v>8317.7191666666658</v>
      </c>
      <c r="AH363" s="1326">
        <f>SUM(AH364:AH375)</f>
        <v>99812.62999999999</v>
      </c>
      <c r="AI363" s="1327"/>
      <c r="AJ363" s="1328">
        <f>SUM(AJ364:AJ375)</f>
        <v>703.31537500000013</v>
      </c>
      <c r="AK363" s="1328">
        <f>SUM(AK364:AK375)</f>
        <v>8439.7845000000016</v>
      </c>
      <c r="AL363" s="1329"/>
      <c r="AM363" s="1330">
        <f>SUM(AM364:AM375)</f>
        <v>430.17300000000006</v>
      </c>
      <c r="AN363" s="1331"/>
      <c r="AO363" s="1332">
        <f>SUM(AO364:AO375)</f>
        <v>4615.3118000000004</v>
      </c>
      <c r="AP363" s="1333"/>
      <c r="AQ363" s="1334">
        <f>SUM(AQ364:AQ375)</f>
        <v>0</v>
      </c>
      <c r="AR363" s="1335"/>
      <c r="AS363" s="1336">
        <f>SUM(AS364:AS375)</f>
        <v>0</v>
      </c>
      <c r="AT363" s="1337"/>
      <c r="AU363" s="1338">
        <f>SUM(AU364:AU375)</f>
        <v>2150.8650000000002</v>
      </c>
      <c r="AV363" s="1339"/>
      <c r="AW363" s="1340">
        <f>SUM(AW364:AW375)</f>
        <v>1243.4346999999996</v>
      </c>
      <c r="AX363" s="1306"/>
      <c r="AY363" s="1307">
        <f>SUM(AW363+AS363+AU363)</f>
        <v>3394.2996999999996</v>
      </c>
      <c r="AZ363" s="1341"/>
      <c r="BA363" s="1309">
        <f>SUM(AY363+AQ363)</f>
        <v>3394.2996999999996</v>
      </c>
      <c r="BB363" s="1342">
        <f>(AW363+AU363)/(AK363-AM363)</f>
        <v>0.42377831933546323</v>
      </c>
      <c r="BC363" s="1343"/>
      <c r="BD363" s="1343"/>
      <c r="BE363" s="1344"/>
      <c r="BF363" s="1420" t="s">
        <v>4749</v>
      </c>
      <c r="BG363" s="1346"/>
    </row>
    <row r="364" spans="1:59" s="1396" customFormat="1" ht="67.5" customHeight="1">
      <c r="A364" s="1347" t="str">
        <f t="shared" ref="A364:A374" si="514">$L$363</f>
        <v>Emboline, Inc.</v>
      </c>
      <c r="B364" s="1347" t="s">
        <v>4806</v>
      </c>
      <c r="C364" s="1348">
        <f t="shared" ref="C364:C374" si="515">$Z$363</f>
        <v>3</v>
      </c>
      <c r="D364" s="1349">
        <v>42887</v>
      </c>
      <c r="E364" s="1349"/>
      <c r="F364" s="1347" t="s">
        <v>85</v>
      </c>
      <c r="G364" s="1347" t="s">
        <v>85</v>
      </c>
      <c r="H364" s="1347" t="s">
        <v>85</v>
      </c>
      <c r="I364" s="1347" t="s">
        <v>113</v>
      </c>
      <c r="J364" s="1447"/>
      <c r="K364" s="1349" t="s">
        <v>254</v>
      </c>
      <c r="L364" s="1350" t="s">
        <v>2661</v>
      </c>
      <c r="M364" s="1350" t="s">
        <v>3647</v>
      </c>
      <c r="N364" s="1351" t="s">
        <v>4994</v>
      </c>
      <c r="O364" s="1352" t="s">
        <v>4751</v>
      </c>
      <c r="P364" s="1352" t="s">
        <v>4752</v>
      </c>
      <c r="Q364" s="1353" t="s">
        <v>303</v>
      </c>
      <c r="R364" s="1353" t="s">
        <v>3656</v>
      </c>
      <c r="S364" s="1353" t="s">
        <v>307</v>
      </c>
      <c r="T364" s="1353" t="s">
        <v>113</v>
      </c>
      <c r="U364" s="1445"/>
      <c r="V364" s="1445"/>
      <c r="W364" s="1445"/>
      <c r="X364" s="1353">
        <v>43101</v>
      </c>
      <c r="Y364" s="1353">
        <v>43466</v>
      </c>
      <c r="Z364" s="1425"/>
      <c r="AA364" s="1355" t="s">
        <v>4667</v>
      </c>
      <c r="AB364" s="1394"/>
      <c r="AC364" s="1394"/>
      <c r="AD364" s="1356"/>
      <c r="AE364" s="1356"/>
      <c r="AF364" s="1395"/>
      <c r="AG364" s="1358">
        <f t="shared" si="419"/>
        <v>7169.55</v>
      </c>
      <c r="AH364" s="1358">
        <v>86034.6</v>
      </c>
      <c r="AI364" s="1359">
        <v>0.08</v>
      </c>
      <c r="AJ364" s="1360">
        <f t="shared" ref="AJ364:AJ375" si="516">$AI364*$AG364</f>
        <v>573.56400000000008</v>
      </c>
      <c r="AK364" s="1361">
        <f t="shared" ref="AK364:AK375" si="517">AI364*$AH364</f>
        <v>6882.7680000000009</v>
      </c>
      <c r="AL364" s="1362">
        <v>5.0000000000000001E-3</v>
      </c>
      <c r="AM364" s="1363">
        <f t="shared" ref="AM364:AM375" si="518">AL364*$AH364</f>
        <v>430.17300000000006</v>
      </c>
      <c r="AN364" s="1364">
        <v>0.04</v>
      </c>
      <c r="AO364" s="1365">
        <f t="shared" ref="AO364:AO375" si="519">AN364*$AH364</f>
        <v>3441.3840000000005</v>
      </c>
      <c r="AP364" s="1366">
        <v>0</v>
      </c>
      <c r="AQ364" s="1367">
        <f t="shared" ref="AQ364:AQ375" si="520">AP364*$AH364</f>
        <v>0</v>
      </c>
      <c r="AR364" s="1368">
        <v>0</v>
      </c>
      <c r="AS364" s="1369">
        <f t="shared" ref="AS364:AS375" si="521">AR364*$AH364</f>
        <v>0</v>
      </c>
      <c r="AT364" s="1370">
        <v>2.5000000000000001E-2</v>
      </c>
      <c r="AU364" s="1371">
        <f t="shared" ref="AU364:AU375" si="522">AT364*$AH364</f>
        <v>2150.8650000000002</v>
      </c>
      <c r="AV364" s="1359">
        <f t="shared" ref="AV364:AV375" si="523">AZ364-AR364-AT364-AP364</f>
        <v>9.999999999999995E-3</v>
      </c>
      <c r="AW364" s="1372">
        <f t="shared" ref="AW364:AW375" si="524">AV364*$AH364</f>
        <v>860.34599999999966</v>
      </c>
      <c r="AX364" s="1373">
        <f t="shared" ref="AX364:AX375" si="525">$AZ364-$AP364</f>
        <v>3.4999999999999996E-2</v>
      </c>
      <c r="AY364" s="1374">
        <f t="shared" ref="AY364:AY375" si="526">AX364*$AH364</f>
        <v>3011.2109999999998</v>
      </c>
      <c r="AZ364" s="1375">
        <f t="shared" ref="AZ364:AZ375" si="527">$AI364-$AL364-$AN364</f>
        <v>3.4999999999999996E-2</v>
      </c>
      <c r="BA364" s="1376">
        <f t="shared" ref="BA364:BA375" si="528">AZ364*$AH364</f>
        <v>3011.2109999999998</v>
      </c>
      <c r="BB364" s="1377"/>
      <c r="BC364" s="1819" t="s">
        <v>133</v>
      </c>
      <c r="BD364" s="1819" t="s">
        <v>134</v>
      </c>
      <c r="BE364" s="1822" t="s">
        <v>134</v>
      </c>
      <c r="BF364" s="1825" t="s">
        <v>4789</v>
      </c>
      <c r="BG364" s="1828">
        <v>453603000</v>
      </c>
    </row>
    <row r="365" spans="1:59" s="1396" customFormat="1" ht="38.25">
      <c r="A365" s="1347" t="str">
        <f t="shared" si="514"/>
        <v>Emboline, Inc.</v>
      </c>
      <c r="B365" s="1347" t="s">
        <v>4806</v>
      </c>
      <c r="C365" s="1348">
        <f t="shared" si="515"/>
        <v>3</v>
      </c>
      <c r="D365" s="1349">
        <v>42887</v>
      </c>
      <c r="E365" s="1349"/>
      <c r="F365" s="1347" t="s">
        <v>72</v>
      </c>
      <c r="G365" s="1347" t="s">
        <v>85</v>
      </c>
      <c r="H365" s="1347" t="s">
        <v>72</v>
      </c>
      <c r="I365" s="1347" t="s">
        <v>72</v>
      </c>
      <c r="J365" s="1349" t="s">
        <v>4670</v>
      </c>
      <c r="K365" s="1349" t="s">
        <v>254</v>
      </c>
      <c r="L365" s="1350" t="s">
        <v>4671</v>
      </c>
      <c r="M365" s="1350" t="s">
        <v>3649</v>
      </c>
      <c r="N365" s="1379" t="s">
        <v>4933</v>
      </c>
      <c r="O365" s="1352" t="s">
        <v>4995</v>
      </c>
      <c r="P365" s="1449"/>
      <c r="Q365" s="1445"/>
      <c r="R365" s="1445"/>
      <c r="S365" s="1445"/>
      <c r="T365" s="1445"/>
      <c r="U365" s="1445"/>
      <c r="V365" s="1445"/>
      <c r="W365" s="1445"/>
      <c r="X365" s="1353">
        <v>43101</v>
      </c>
      <c r="Y365" s="1353">
        <v>43466</v>
      </c>
      <c r="Z365" s="1425"/>
      <c r="AA365" s="1355" t="s">
        <v>4674</v>
      </c>
      <c r="AB365" s="1394"/>
      <c r="AC365" s="1394"/>
      <c r="AD365" s="1356"/>
      <c r="AE365" s="1356"/>
      <c r="AF365" s="1395"/>
      <c r="AG365" s="1380"/>
      <c r="AH365" s="1380"/>
      <c r="AI365" s="1381">
        <v>0</v>
      </c>
      <c r="AJ365" s="1382">
        <f t="shared" si="516"/>
        <v>0</v>
      </c>
      <c r="AK365" s="1383">
        <f t="shared" si="517"/>
        <v>0</v>
      </c>
      <c r="AL365" s="1384">
        <v>0</v>
      </c>
      <c r="AM365" s="1363">
        <f t="shared" si="518"/>
        <v>0</v>
      </c>
      <c r="AN365" s="1364">
        <v>0</v>
      </c>
      <c r="AO365" s="1365">
        <f t="shared" si="519"/>
        <v>0</v>
      </c>
      <c r="AP365" s="1366">
        <v>0</v>
      </c>
      <c r="AQ365" s="1367">
        <f t="shared" si="520"/>
        <v>0</v>
      </c>
      <c r="AR365" s="1368">
        <v>0</v>
      </c>
      <c r="AS365" s="1369">
        <f t="shared" si="521"/>
        <v>0</v>
      </c>
      <c r="AT365" s="1370">
        <v>0</v>
      </c>
      <c r="AU365" s="1371">
        <f t="shared" si="522"/>
        <v>0</v>
      </c>
      <c r="AV365" s="1359">
        <f t="shared" si="523"/>
        <v>0</v>
      </c>
      <c r="AW365" s="1372">
        <f t="shared" si="524"/>
        <v>0</v>
      </c>
      <c r="AX365" s="1373">
        <f t="shared" si="525"/>
        <v>0</v>
      </c>
      <c r="AY365" s="1374">
        <f t="shared" si="526"/>
        <v>0</v>
      </c>
      <c r="AZ365" s="1375">
        <f t="shared" si="527"/>
        <v>0</v>
      </c>
      <c r="BA365" s="1376">
        <f t="shared" si="528"/>
        <v>0</v>
      </c>
      <c r="BB365" s="1377"/>
      <c r="BC365" s="1820"/>
      <c r="BD365" s="1820"/>
      <c r="BE365" s="1823"/>
      <c r="BF365" s="1826"/>
      <c r="BG365" s="1829"/>
    </row>
    <row r="366" spans="1:59" s="1396" customFormat="1" ht="38.25">
      <c r="A366" s="1347" t="str">
        <f t="shared" si="514"/>
        <v>Emboline, Inc.</v>
      </c>
      <c r="B366" s="1347" t="s">
        <v>4806</v>
      </c>
      <c r="C366" s="1348">
        <f t="shared" si="515"/>
        <v>3</v>
      </c>
      <c r="D366" s="1349">
        <v>42887</v>
      </c>
      <c r="E366" s="1349"/>
      <c r="F366" s="1347" t="s">
        <v>113</v>
      </c>
      <c r="G366" s="1347" t="s">
        <v>85</v>
      </c>
      <c r="H366" s="1347" t="s">
        <v>85</v>
      </c>
      <c r="I366" s="1347" t="s">
        <v>113</v>
      </c>
      <c r="J366" s="1447"/>
      <c r="K366" s="1349" t="s">
        <v>254</v>
      </c>
      <c r="L366" s="1350" t="s">
        <v>4675</v>
      </c>
      <c r="M366" s="1350" t="s">
        <v>3650</v>
      </c>
      <c r="N366" s="1385" t="s">
        <v>4996</v>
      </c>
      <c r="O366" s="1352" t="s">
        <v>4677</v>
      </c>
      <c r="P366" s="1449"/>
      <c r="Q366" s="1445"/>
      <c r="R366" s="1445"/>
      <c r="S366" s="1445"/>
      <c r="T366" s="1445"/>
      <c r="U366" s="1479" t="s">
        <v>4959</v>
      </c>
      <c r="V366" s="1479" t="s">
        <v>2495</v>
      </c>
      <c r="W366" s="1445"/>
      <c r="X366" s="1353">
        <v>43101</v>
      </c>
      <c r="Y366" s="1353">
        <v>43466</v>
      </c>
      <c r="Z366" s="1425"/>
      <c r="AA366" s="1355" t="s">
        <v>4679</v>
      </c>
      <c r="AB366" s="1394"/>
      <c r="AC366" s="1394"/>
      <c r="AD366" s="1356"/>
      <c r="AE366" s="1356"/>
      <c r="AF366" s="1395"/>
      <c r="AG366" s="1358">
        <f t="shared" si="419"/>
        <v>768.63</v>
      </c>
      <c r="AH366" s="1358">
        <v>9223.56</v>
      </c>
      <c r="AI366" s="1359">
        <v>0.1</v>
      </c>
      <c r="AJ366" s="1360">
        <f t="shared" si="516"/>
        <v>76.863</v>
      </c>
      <c r="AK366" s="1361">
        <f t="shared" si="517"/>
        <v>922.35599999999999</v>
      </c>
      <c r="AL366" s="1384">
        <v>0</v>
      </c>
      <c r="AM366" s="1363">
        <f t="shared" si="518"/>
        <v>0</v>
      </c>
      <c r="AN366" s="1364">
        <v>0.08</v>
      </c>
      <c r="AO366" s="1365">
        <f t="shared" si="519"/>
        <v>737.88479999999993</v>
      </c>
      <c r="AP366" s="1366">
        <v>0</v>
      </c>
      <c r="AQ366" s="1367">
        <f t="shared" si="520"/>
        <v>0</v>
      </c>
      <c r="AR366" s="1368">
        <v>0</v>
      </c>
      <c r="AS366" s="1369">
        <f t="shared" si="521"/>
        <v>0</v>
      </c>
      <c r="AT366" s="1370">
        <v>0</v>
      </c>
      <c r="AU366" s="1371">
        <f t="shared" si="522"/>
        <v>0</v>
      </c>
      <c r="AV366" s="1359">
        <f t="shared" si="523"/>
        <v>2.0000000000000004E-2</v>
      </c>
      <c r="AW366" s="1372">
        <f t="shared" si="524"/>
        <v>184.47120000000004</v>
      </c>
      <c r="AX366" s="1373">
        <f t="shared" si="525"/>
        <v>2.0000000000000004E-2</v>
      </c>
      <c r="AY366" s="1374">
        <f t="shared" si="526"/>
        <v>184.47120000000004</v>
      </c>
      <c r="AZ366" s="1375">
        <f t="shared" si="527"/>
        <v>2.0000000000000004E-2</v>
      </c>
      <c r="BA366" s="1376">
        <f t="shared" si="528"/>
        <v>184.47120000000004</v>
      </c>
      <c r="BB366" s="1377"/>
      <c r="BC366" s="1820"/>
      <c r="BD366" s="1820"/>
      <c r="BE366" s="1823"/>
      <c r="BF366" s="1826"/>
      <c r="BG366" s="1829"/>
    </row>
    <row r="367" spans="1:59" s="1396" customFormat="1" ht="30" customHeight="1">
      <c r="A367" s="1347" t="str">
        <f t="shared" si="514"/>
        <v>Emboline, Inc.</v>
      </c>
      <c r="B367" s="1347" t="s">
        <v>4806</v>
      </c>
      <c r="C367" s="1348">
        <f t="shared" si="515"/>
        <v>3</v>
      </c>
      <c r="D367" s="1349">
        <v>42887</v>
      </c>
      <c r="E367" s="1349"/>
      <c r="F367" s="1347" t="s">
        <v>113</v>
      </c>
      <c r="G367" s="1347" t="s">
        <v>85</v>
      </c>
      <c r="H367" s="1347" t="s">
        <v>85</v>
      </c>
      <c r="I367" s="1347" t="s">
        <v>113</v>
      </c>
      <c r="J367" s="1447"/>
      <c r="K367" s="1349" t="s">
        <v>254</v>
      </c>
      <c r="L367" s="1350" t="s">
        <v>4675</v>
      </c>
      <c r="M367" s="1350" t="s">
        <v>3651</v>
      </c>
      <c r="N367" s="1351" t="s">
        <v>4997</v>
      </c>
      <c r="O367" s="1352" t="s">
        <v>4681</v>
      </c>
      <c r="P367" s="1449"/>
      <c r="Q367" s="1445"/>
      <c r="R367" s="1445"/>
      <c r="S367" s="1445"/>
      <c r="T367" s="1445"/>
      <c r="U367" s="1445"/>
      <c r="V367" s="1445"/>
      <c r="W367" s="1353" t="s">
        <v>2492</v>
      </c>
      <c r="X367" s="1353">
        <v>43101</v>
      </c>
      <c r="Y367" s="1353">
        <v>43466</v>
      </c>
      <c r="Z367" s="1425"/>
      <c r="AA367" s="1355" t="s">
        <v>4679</v>
      </c>
      <c r="AB367" s="1394"/>
      <c r="AC367" s="1394"/>
      <c r="AD367" s="1356"/>
      <c r="AE367" s="1356"/>
      <c r="AF367" s="1395"/>
      <c r="AG367" s="1358">
        <f t="shared" si="419"/>
        <v>80.850000000000009</v>
      </c>
      <c r="AH367" s="1358">
        <v>970.2</v>
      </c>
      <c r="AI367" s="1359">
        <v>0.1</v>
      </c>
      <c r="AJ367" s="1360">
        <f t="shared" si="516"/>
        <v>8.0850000000000009</v>
      </c>
      <c r="AK367" s="1361">
        <f t="shared" si="517"/>
        <v>97.02000000000001</v>
      </c>
      <c r="AL367" s="1384">
        <v>0</v>
      </c>
      <c r="AM367" s="1363">
        <f t="shared" si="518"/>
        <v>0</v>
      </c>
      <c r="AN367" s="1364">
        <v>0.08</v>
      </c>
      <c r="AO367" s="1365">
        <f t="shared" si="519"/>
        <v>77.616</v>
      </c>
      <c r="AP367" s="1366">
        <v>0</v>
      </c>
      <c r="AQ367" s="1367">
        <f t="shared" si="520"/>
        <v>0</v>
      </c>
      <c r="AR367" s="1368">
        <v>0</v>
      </c>
      <c r="AS367" s="1369">
        <f t="shared" si="521"/>
        <v>0</v>
      </c>
      <c r="AT367" s="1370">
        <v>0</v>
      </c>
      <c r="AU367" s="1371">
        <f t="shared" si="522"/>
        <v>0</v>
      </c>
      <c r="AV367" s="1359">
        <f t="shared" si="523"/>
        <v>2.0000000000000004E-2</v>
      </c>
      <c r="AW367" s="1372">
        <f t="shared" si="524"/>
        <v>19.404000000000003</v>
      </c>
      <c r="AX367" s="1373">
        <f t="shared" si="525"/>
        <v>2.0000000000000004E-2</v>
      </c>
      <c r="AY367" s="1374">
        <f t="shared" si="526"/>
        <v>19.404000000000003</v>
      </c>
      <c r="AZ367" s="1375">
        <f t="shared" si="527"/>
        <v>2.0000000000000004E-2</v>
      </c>
      <c r="BA367" s="1376">
        <f t="shared" si="528"/>
        <v>19.404000000000003</v>
      </c>
      <c r="BB367" s="1377"/>
      <c r="BC367" s="1820"/>
      <c r="BD367" s="1820"/>
      <c r="BE367" s="1823"/>
      <c r="BF367" s="1826"/>
      <c r="BG367" s="1829"/>
    </row>
    <row r="368" spans="1:59" s="1378" customFormat="1" ht="38.25">
      <c r="A368" s="1347" t="str">
        <f t="shared" si="514"/>
        <v>Emboline, Inc.</v>
      </c>
      <c r="B368" s="1347" t="s">
        <v>4806</v>
      </c>
      <c r="C368" s="1348">
        <f t="shared" si="515"/>
        <v>3</v>
      </c>
      <c r="D368" s="1349">
        <v>42887</v>
      </c>
      <c r="E368" s="1349"/>
      <c r="F368" s="1347" t="s">
        <v>113</v>
      </c>
      <c r="G368" s="1347" t="s">
        <v>85</v>
      </c>
      <c r="H368" s="1347" t="s">
        <v>85</v>
      </c>
      <c r="I368" s="1347" t="s">
        <v>113</v>
      </c>
      <c r="J368" s="1447"/>
      <c r="K368" s="1349" t="s">
        <v>254</v>
      </c>
      <c r="L368" s="1350" t="s">
        <v>4682</v>
      </c>
      <c r="M368" s="1350" t="s">
        <v>4683</v>
      </c>
      <c r="N368" s="1386" t="s">
        <v>57</v>
      </c>
      <c r="O368" s="1352" t="s">
        <v>4684</v>
      </c>
      <c r="P368" s="1446"/>
      <c r="Q368" s="1445"/>
      <c r="R368" s="1445"/>
      <c r="S368" s="1445"/>
      <c r="T368" s="1445"/>
      <c r="U368" s="1445"/>
      <c r="V368" s="1445"/>
      <c r="W368" s="1445"/>
      <c r="X368" s="1353">
        <v>43101</v>
      </c>
      <c r="Y368" s="1353">
        <v>43466</v>
      </c>
      <c r="Z368" s="1425"/>
      <c r="AA368" s="1355" t="s">
        <v>4685</v>
      </c>
      <c r="AB368" s="1394"/>
      <c r="AC368" s="1394"/>
      <c r="AD368" s="1356"/>
      <c r="AE368" s="1356"/>
      <c r="AF368" s="1395"/>
      <c r="AG368" s="1358">
        <f t="shared" si="419"/>
        <v>70.595833333333331</v>
      </c>
      <c r="AH368" s="1358">
        <v>847.15</v>
      </c>
      <c r="AI368" s="1359">
        <v>0.15</v>
      </c>
      <c r="AJ368" s="1360">
        <f t="shared" si="516"/>
        <v>10.589374999999999</v>
      </c>
      <c r="AK368" s="1361">
        <f t="shared" si="517"/>
        <v>127.07249999999999</v>
      </c>
      <c r="AL368" s="1384">
        <v>0</v>
      </c>
      <c r="AM368" s="1363">
        <f t="shared" si="518"/>
        <v>0</v>
      </c>
      <c r="AN368" s="1364">
        <v>0.1</v>
      </c>
      <c r="AO368" s="1365">
        <f t="shared" si="519"/>
        <v>84.715000000000003</v>
      </c>
      <c r="AP368" s="1366">
        <v>0</v>
      </c>
      <c r="AQ368" s="1367">
        <f t="shared" si="520"/>
        <v>0</v>
      </c>
      <c r="AR368" s="1368">
        <v>0</v>
      </c>
      <c r="AS368" s="1369">
        <f t="shared" si="521"/>
        <v>0</v>
      </c>
      <c r="AT368" s="1370">
        <v>0</v>
      </c>
      <c r="AU368" s="1371">
        <f t="shared" si="522"/>
        <v>0</v>
      </c>
      <c r="AV368" s="1359">
        <f t="shared" si="523"/>
        <v>4.9999999999999989E-2</v>
      </c>
      <c r="AW368" s="1372">
        <f t="shared" si="524"/>
        <v>42.357499999999987</v>
      </c>
      <c r="AX368" s="1373">
        <f t="shared" si="525"/>
        <v>4.9999999999999989E-2</v>
      </c>
      <c r="AY368" s="1374">
        <f t="shared" si="526"/>
        <v>42.357499999999987</v>
      </c>
      <c r="AZ368" s="1375">
        <f t="shared" si="527"/>
        <v>4.9999999999999989E-2</v>
      </c>
      <c r="BA368" s="1376">
        <f t="shared" si="528"/>
        <v>42.357499999999987</v>
      </c>
      <c r="BB368" s="1377"/>
      <c r="BC368" s="1820"/>
      <c r="BD368" s="1820"/>
      <c r="BE368" s="1823"/>
      <c r="BF368" s="1826"/>
      <c r="BG368" s="1829"/>
    </row>
    <row r="369" spans="1:59" s="1378" customFormat="1" ht="38.25">
      <c r="A369" s="1347" t="str">
        <f t="shared" si="514"/>
        <v>Emboline, Inc.</v>
      </c>
      <c r="B369" s="1347" t="s">
        <v>4806</v>
      </c>
      <c r="C369" s="1348">
        <f t="shared" si="515"/>
        <v>3</v>
      </c>
      <c r="D369" s="1349">
        <v>42887</v>
      </c>
      <c r="E369" s="1349"/>
      <c r="F369" s="1347" t="s">
        <v>113</v>
      </c>
      <c r="G369" s="1347" t="s">
        <v>85</v>
      </c>
      <c r="H369" s="1347" t="s">
        <v>85</v>
      </c>
      <c r="I369" s="1347" t="s">
        <v>113</v>
      </c>
      <c r="J369" s="1447"/>
      <c r="K369" s="1349" t="s">
        <v>254</v>
      </c>
      <c r="L369" s="1350" t="s">
        <v>4682</v>
      </c>
      <c r="M369" s="1350" t="s">
        <v>4686</v>
      </c>
      <c r="N369" s="1386" t="s">
        <v>60</v>
      </c>
      <c r="O369" s="1352" t="s">
        <v>4687</v>
      </c>
      <c r="P369" s="1446"/>
      <c r="Q369" s="1445"/>
      <c r="R369" s="1445"/>
      <c r="S369" s="1445"/>
      <c r="T369" s="1445"/>
      <c r="U369" s="1445"/>
      <c r="V369" s="1445"/>
      <c r="W369" s="1445"/>
      <c r="X369" s="1353">
        <v>43101</v>
      </c>
      <c r="Y369" s="1353">
        <v>43466</v>
      </c>
      <c r="Z369" s="1425"/>
      <c r="AA369" s="1355" t="s">
        <v>4685</v>
      </c>
      <c r="AB369" s="1394"/>
      <c r="AC369" s="1394"/>
      <c r="AD369" s="1356"/>
      <c r="AE369" s="1356"/>
      <c r="AF369" s="1395"/>
      <c r="AG369" s="1358">
        <f t="shared" si="419"/>
        <v>114.04666666666667</v>
      </c>
      <c r="AH369" s="1358">
        <v>1368.56</v>
      </c>
      <c r="AI369" s="1359">
        <v>0.15</v>
      </c>
      <c r="AJ369" s="1360">
        <f t="shared" si="516"/>
        <v>17.106999999999999</v>
      </c>
      <c r="AK369" s="1361">
        <f t="shared" si="517"/>
        <v>205.28399999999999</v>
      </c>
      <c r="AL369" s="1384">
        <v>0</v>
      </c>
      <c r="AM369" s="1363">
        <f t="shared" si="518"/>
        <v>0</v>
      </c>
      <c r="AN369" s="1364">
        <v>0.1</v>
      </c>
      <c r="AO369" s="1365">
        <f t="shared" si="519"/>
        <v>136.85599999999999</v>
      </c>
      <c r="AP369" s="1366">
        <v>0</v>
      </c>
      <c r="AQ369" s="1367">
        <f t="shared" si="520"/>
        <v>0</v>
      </c>
      <c r="AR369" s="1368">
        <v>0</v>
      </c>
      <c r="AS369" s="1369">
        <f t="shared" si="521"/>
        <v>0</v>
      </c>
      <c r="AT369" s="1370">
        <v>0</v>
      </c>
      <c r="AU369" s="1371">
        <f t="shared" si="522"/>
        <v>0</v>
      </c>
      <c r="AV369" s="1359">
        <f t="shared" si="523"/>
        <v>4.9999999999999989E-2</v>
      </c>
      <c r="AW369" s="1372">
        <f t="shared" si="524"/>
        <v>68.427999999999983</v>
      </c>
      <c r="AX369" s="1373">
        <f t="shared" si="525"/>
        <v>4.9999999999999989E-2</v>
      </c>
      <c r="AY369" s="1374">
        <f t="shared" si="526"/>
        <v>68.427999999999983</v>
      </c>
      <c r="AZ369" s="1375">
        <f t="shared" si="527"/>
        <v>4.9999999999999989E-2</v>
      </c>
      <c r="BA369" s="1376">
        <f t="shared" si="528"/>
        <v>68.427999999999983</v>
      </c>
      <c r="BB369" s="1377"/>
      <c r="BC369" s="1820"/>
      <c r="BD369" s="1820"/>
      <c r="BE369" s="1823"/>
      <c r="BF369" s="1826"/>
      <c r="BG369" s="1829"/>
    </row>
    <row r="370" spans="1:59" s="1396" customFormat="1" ht="21" customHeight="1">
      <c r="A370" s="1347" t="str">
        <f t="shared" si="514"/>
        <v>Emboline, Inc.</v>
      </c>
      <c r="B370" s="1347" t="s">
        <v>4806</v>
      </c>
      <c r="C370" s="1348">
        <f t="shared" si="515"/>
        <v>3</v>
      </c>
      <c r="D370" s="1349">
        <v>42887</v>
      </c>
      <c r="E370" s="1349"/>
      <c r="F370" s="1347" t="s">
        <v>113</v>
      </c>
      <c r="G370" s="1347" t="s">
        <v>85</v>
      </c>
      <c r="H370" s="1347" t="s">
        <v>85</v>
      </c>
      <c r="I370" s="1347" t="s">
        <v>113</v>
      </c>
      <c r="J370" s="1447"/>
      <c r="K370" s="1349" t="s">
        <v>254</v>
      </c>
      <c r="L370" s="1350" t="s">
        <v>4682</v>
      </c>
      <c r="M370" s="1350" t="s">
        <v>62</v>
      </c>
      <c r="N370" s="1351" t="s">
        <v>81</v>
      </c>
      <c r="O370" s="1352" t="s">
        <v>4688</v>
      </c>
      <c r="P370" s="1449"/>
      <c r="Q370" s="1445"/>
      <c r="R370" s="1445"/>
      <c r="S370" s="1445"/>
      <c r="T370" s="1445"/>
      <c r="U370" s="1445"/>
      <c r="V370" s="1445"/>
      <c r="W370" s="1445"/>
      <c r="X370" s="1353">
        <v>43101</v>
      </c>
      <c r="Y370" s="1353">
        <v>43466</v>
      </c>
      <c r="Z370" s="1425"/>
      <c r="AA370" s="1355" t="s">
        <v>4685</v>
      </c>
      <c r="AB370" s="1394"/>
      <c r="AC370" s="1394"/>
      <c r="AD370" s="1356"/>
      <c r="AE370" s="1356"/>
      <c r="AF370" s="1395"/>
      <c r="AG370" s="1358">
        <f t="shared" si="419"/>
        <v>39.046666666666667</v>
      </c>
      <c r="AH370" s="1358">
        <v>468.56</v>
      </c>
      <c r="AI370" s="1359">
        <v>0.15</v>
      </c>
      <c r="AJ370" s="1360">
        <f t="shared" si="516"/>
        <v>5.8570000000000002</v>
      </c>
      <c r="AK370" s="1361">
        <f t="shared" si="517"/>
        <v>70.283999999999992</v>
      </c>
      <c r="AL370" s="1384">
        <v>0</v>
      </c>
      <c r="AM370" s="1363">
        <f t="shared" si="518"/>
        <v>0</v>
      </c>
      <c r="AN370" s="1364">
        <v>0.1</v>
      </c>
      <c r="AO370" s="1365">
        <f t="shared" si="519"/>
        <v>46.856000000000002</v>
      </c>
      <c r="AP370" s="1366">
        <v>0</v>
      </c>
      <c r="AQ370" s="1367">
        <f t="shared" si="520"/>
        <v>0</v>
      </c>
      <c r="AR370" s="1368">
        <v>0</v>
      </c>
      <c r="AS370" s="1369">
        <f t="shared" si="521"/>
        <v>0</v>
      </c>
      <c r="AT370" s="1370">
        <v>0</v>
      </c>
      <c r="AU370" s="1371">
        <f t="shared" si="522"/>
        <v>0</v>
      </c>
      <c r="AV370" s="1359">
        <f t="shared" si="523"/>
        <v>4.9999999999999989E-2</v>
      </c>
      <c r="AW370" s="1372">
        <f t="shared" si="524"/>
        <v>23.427999999999994</v>
      </c>
      <c r="AX370" s="1373">
        <f t="shared" si="525"/>
        <v>4.9999999999999989E-2</v>
      </c>
      <c r="AY370" s="1374">
        <f t="shared" si="526"/>
        <v>23.427999999999994</v>
      </c>
      <c r="AZ370" s="1375">
        <f t="shared" si="527"/>
        <v>4.9999999999999989E-2</v>
      </c>
      <c r="BA370" s="1376">
        <f t="shared" si="528"/>
        <v>23.427999999999994</v>
      </c>
      <c r="BB370" s="1377"/>
      <c r="BC370" s="1820"/>
      <c r="BD370" s="1820"/>
      <c r="BE370" s="1823"/>
      <c r="BF370" s="1826"/>
      <c r="BG370" s="1829"/>
    </row>
    <row r="371" spans="1:59" s="1396" customFormat="1" ht="38.25">
      <c r="A371" s="1347" t="str">
        <f t="shared" si="514"/>
        <v>Emboline, Inc.</v>
      </c>
      <c r="B371" s="1347" t="s">
        <v>4806</v>
      </c>
      <c r="C371" s="1348">
        <f t="shared" si="515"/>
        <v>3</v>
      </c>
      <c r="D371" s="1349">
        <v>42887</v>
      </c>
      <c r="E371" s="1349"/>
      <c r="F371" s="1347" t="s">
        <v>113</v>
      </c>
      <c r="G371" s="1347" t="s">
        <v>85</v>
      </c>
      <c r="H371" s="1347" t="s">
        <v>85</v>
      </c>
      <c r="I371" s="1347" t="s">
        <v>113</v>
      </c>
      <c r="J371" s="1447"/>
      <c r="K371" s="1349" t="s">
        <v>254</v>
      </c>
      <c r="L371" s="1350" t="s">
        <v>4682</v>
      </c>
      <c r="M371" s="1350" t="s">
        <v>67</v>
      </c>
      <c r="N371" s="1351" t="s">
        <v>82</v>
      </c>
      <c r="O371" s="1352" t="s">
        <v>4689</v>
      </c>
      <c r="P371" s="1449"/>
      <c r="Q371" s="1445"/>
      <c r="R371" s="1445"/>
      <c r="S371" s="1445"/>
      <c r="T371" s="1445"/>
      <c r="U371" s="1445"/>
      <c r="V371" s="1445"/>
      <c r="W371" s="1445"/>
      <c r="X371" s="1353">
        <v>43101</v>
      </c>
      <c r="Y371" s="1353">
        <v>43466</v>
      </c>
      <c r="Z371" s="1425"/>
      <c r="AA371" s="1355" t="s">
        <v>4685</v>
      </c>
      <c r="AB371" s="1394"/>
      <c r="AC371" s="1394"/>
      <c r="AD371" s="1356"/>
      <c r="AE371" s="1356"/>
      <c r="AF371" s="1395"/>
      <c r="AG371" s="1358">
        <f t="shared" si="419"/>
        <v>75</v>
      </c>
      <c r="AH371" s="1358">
        <v>900</v>
      </c>
      <c r="AI371" s="1359">
        <v>0.15</v>
      </c>
      <c r="AJ371" s="1360">
        <f t="shared" si="516"/>
        <v>11.25</v>
      </c>
      <c r="AK371" s="1361">
        <f t="shared" si="517"/>
        <v>135</v>
      </c>
      <c r="AL371" s="1384">
        <v>0</v>
      </c>
      <c r="AM371" s="1363">
        <f t="shared" si="518"/>
        <v>0</v>
      </c>
      <c r="AN371" s="1364">
        <v>0.1</v>
      </c>
      <c r="AO371" s="1365">
        <f t="shared" si="519"/>
        <v>90</v>
      </c>
      <c r="AP371" s="1366">
        <v>0</v>
      </c>
      <c r="AQ371" s="1367">
        <f t="shared" si="520"/>
        <v>0</v>
      </c>
      <c r="AR371" s="1368">
        <v>0</v>
      </c>
      <c r="AS371" s="1369">
        <f t="shared" si="521"/>
        <v>0</v>
      </c>
      <c r="AT371" s="1370">
        <v>0</v>
      </c>
      <c r="AU371" s="1371">
        <f t="shared" si="522"/>
        <v>0</v>
      </c>
      <c r="AV371" s="1359">
        <f t="shared" si="523"/>
        <v>4.9999999999999989E-2</v>
      </c>
      <c r="AW371" s="1372">
        <f t="shared" si="524"/>
        <v>44.999999999999993</v>
      </c>
      <c r="AX371" s="1373">
        <f t="shared" si="525"/>
        <v>4.9999999999999989E-2</v>
      </c>
      <c r="AY371" s="1374">
        <f t="shared" si="526"/>
        <v>44.999999999999993</v>
      </c>
      <c r="AZ371" s="1375">
        <f t="shared" si="527"/>
        <v>4.9999999999999989E-2</v>
      </c>
      <c r="BA371" s="1376">
        <f t="shared" si="528"/>
        <v>44.999999999999993</v>
      </c>
      <c r="BB371" s="1377"/>
      <c r="BC371" s="1820"/>
      <c r="BD371" s="1820"/>
      <c r="BE371" s="1823"/>
      <c r="BF371" s="1826"/>
      <c r="BG371" s="1829"/>
    </row>
    <row r="372" spans="1:59" s="1378" customFormat="1" ht="27.75" customHeight="1">
      <c r="A372" s="1347" t="s">
        <v>132</v>
      </c>
      <c r="B372" s="1348" t="s">
        <v>4806</v>
      </c>
      <c r="C372" s="1348">
        <v>3</v>
      </c>
      <c r="D372" s="1349">
        <v>42887</v>
      </c>
      <c r="E372" s="1349"/>
      <c r="F372" s="1347" t="s">
        <v>72</v>
      </c>
      <c r="G372" s="1347" t="s">
        <v>85</v>
      </c>
      <c r="H372" s="1347" t="s">
        <v>72</v>
      </c>
      <c r="I372" s="1347" t="s">
        <v>72</v>
      </c>
      <c r="J372" s="1349" t="s">
        <v>4670</v>
      </c>
      <c r="K372" s="1349" t="s">
        <v>254</v>
      </c>
      <c r="L372" s="1350" t="s">
        <v>4696</v>
      </c>
      <c r="M372" s="1350" t="s">
        <v>4697</v>
      </c>
      <c r="N372" s="1389" t="s">
        <v>4698</v>
      </c>
      <c r="O372" s="1352" t="s">
        <v>4699</v>
      </c>
      <c r="P372" s="1449"/>
      <c r="Q372" s="1445"/>
      <c r="R372" s="1445"/>
      <c r="S372" s="1445"/>
      <c r="T372" s="1445"/>
      <c r="U372" s="1445"/>
      <c r="V372" s="1445"/>
      <c r="W372" s="1445"/>
      <c r="X372" s="1353">
        <v>43101</v>
      </c>
      <c r="Y372" s="1353">
        <v>43466</v>
      </c>
      <c r="Z372" s="1355"/>
      <c r="AA372" s="1355" t="s">
        <v>4674</v>
      </c>
      <c r="AB372" s="1356"/>
      <c r="AC372" s="1356"/>
      <c r="AD372" s="1356"/>
      <c r="AE372" s="1356"/>
      <c r="AF372" s="1357" t="str">
        <f t="shared" si="469"/>
        <v/>
      </c>
      <c r="AG372" s="1380"/>
      <c r="AH372" s="1380"/>
      <c r="AI372" s="1381">
        <v>0</v>
      </c>
      <c r="AJ372" s="1382">
        <f t="shared" si="516"/>
        <v>0</v>
      </c>
      <c r="AK372" s="1383">
        <f t="shared" si="517"/>
        <v>0</v>
      </c>
      <c r="AL372" s="1384">
        <v>0</v>
      </c>
      <c r="AM372" s="1363">
        <f t="shared" si="518"/>
        <v>0</v>
      </c>
      <c r="AN372" s="1364">
        <v>0</v>
      </c>
      <c r="AO372" s="1365">
        <f t="shared" si="519"/>
        <v>0</v>
      </c>
      <c r="AP372" s="1366">
        <v>0</v>
      </c>
      <c r="AQ372" s="1367">
        <f t="shared" si="520"/>
        <v>0</v>
      </c>
      <c r="AR372" s="1368">
        <v>0</v>
      </c>
      <c r="AS372" s="1369">
        <f t="shared" si="521"/>
        <v>0</v>
      </c>
      <c r="AT372" s="1370">
        <v>0</v>
      </c>
      <c r="AU372" s="1371">
        <f t="shared" si="522"/>
        <v>0</v>
      </c>
      <c r="AV372" s="1359">
        <f t="shared" si="523"/>
        <v>0</v>
      </c>
      <c r="AW372" s="1372">
        <f t="shared" si="524"/>
        <v>0</v>
      </c>
      <c r="AX372" s="1373">
        <f t="shared" si="525"/>
        <v>0</v>
      </c>
      <c r="AY372" s="1374">
        <f t="shared" si="526"/>
        <v>0</v>
      </c>
      <c r="AZ372" s="1375">
        <f t="shared" si="527"/>
        <v>0</v>
      </c>
      <c r="BA372" s="1376">
        <f t="shared" si="528"/>
        <v>0</v>
      </c>
      <c r="BB372" s="1377"/>
      <c r="BC372" s="1820"/>
      <c r="BD372" s="1820"/>
      <c r="BE372" s="1823"/>
      <c r="BF372" s="1826"/>
      <c r="BG372" s="1829"/>
    </row>
    <row r="373" spans="1:59" s="1396" customFormat="1" ht="25.5">
      <c r="A373" s="1347" t="str">
        <f t="shared" si="514"/>
        <v>Emboline, Inc.</v>
      </c>
      <c r="B373" s="1347" t="s">
        <v>4806</v>
      </c>
      <c r="C373" s="1348">
        <f t="shared" si="515"/>
        <v>3</v>
      </c>
      <c r="D373" s="1349">
        <v>42887</v>
      </c>
      <c r="E373" s="1349"/>
      <c r="F373" s="1347" t="s">
        <v>72</v>
      </c>
      <c r="G373" s="1347" t="s">
        <v>85</v>
      </c>
      <c r="H373" s="1347" t="s">
        <v>72</v>
      </c>
      <c r="I373" s="1347" t="s">
        <v>72</v>
      </c>
      <c r="J373" s="1349" t="s">
        <v>4670</v>
      </c>
      <c r="K373" s="1349" t="s">
        <v>254</v>
      </c>
      <c r="L373" s="1350" t="s">
        <v>48</v>
      </c>
      <c r="M373" s="1350" t="s">
        <v>253</v>
      </c>
      <c r="N373" s="1390" t="s">
        <v>4703</v>
      </c>
      <c r="O373" s="1352" t="s">
        <v>4998</v>
      </c>
      <c r="P373" s="1449"/>
      <c r="Q373" s="1445"/>
      <c r="R373" s="1445"/>
      <c r="S373" s="1445"/>
      <c r="T373" s="1445"/>
      <c r="U373" s="1445"/>
      <c r="V373" s="1445"/>
      <c r="W373" s="1445"/>
      <c r="X373" s="1353">
        <v>43101</v>
      </c>
      <c r="Y373" s="1353">
        <v>43466</v>
      </c>
      <c r="Z373" s="1425"/>
      <c r="AA373" s="1355" t="s">
        <v>4674</v>
      </c>
      <c r="AB373" s="1394"/>
      <c r="AC373" s="1394"/>
      <c r="AD373" s="1356"/>
      <c r="AE373" s="1356"/>
      <c r="AF373" s="1395" t="str">
        <f t="shared" si="469"/>
        <v/>
      </c>
      <c r="AG373" s="1380"/>
      <c r="AH373" s="1380"/>
      <c r="AI373" s="1381">
        <v>0</v>
      </c>
      <c r="AJ373" s="1382">
        <f t="shared" si="516"/>
        <v>0</v>
      </c>
      <c r="AK373" s="1383">
        <f t="shared" si="517"/>
        <v>0</v>
      </c>
      <c r="AL373" s="1384">
        <v>0</v>
      </c>
      <c r="AM373" s="1363">
        <f t="shared" si="518"/>
        <v>0</v>
      </c>
      <c r="AN373" s="1364">
        <v>0</v>
      </c>
      <c r="AO373" s="1365">
        <f t="shared" si="519"/>
        <v>0</v>
      </c>
      <c r="AP373" s="1366">
        <v>0</v>
      </c>
      <c r="AQ373" s="1367">
        <f t="shared" si="520"/>
        <v>0</v>
      </c>
      <c r="AR373" s="1368">
        <v>0</v>
      </c>
      <c r="AS373" s="1369">
        <f t="shared" si="521"/>
        <v>0</v>
      </c>
      <c r="AT373" s="1370">
        <v>0</v>
      </c>
      <c r="AU373" s="1371">
        <f t="shared" si="522"/>
        <v>0</v>
      </c>
      <c r="AV373" s="1359">
        <f t="shared" si="523"/>
        <v>0</v>
      </c>
      <c r="AW373" s="1372">
        <f t="shared" si="524"/>
        <v>0</v>
      </c>
      <c r="AX373" s="1373">
        <f t="shared" si="525"/>
        <v>0</v>
      </c>
      <c r="AY373" s="1374">
        <f t="shared" si="526"/>
        <v>0</v>
      </c>
      <c r="AZ373" s="1375">
        <f t="shared" si="527"/>
        <v>0</v>
      </c>
      <c r="BA373" s="1376">
        <f t="shared" si="528"/>
        <v>0</v>
      </c>
      <c r="BB373" s="1377"/>
      <c r="BC373" s="1820"/>
      <c r="BD373" s="1820"/>
      <c r="BE373" s="1823"/>
      <c r="BF373" s="1826"/>
      <c r="BG373" s="1829"/>
    </row>
    <row r="374" spans="1:59" s="1396" customFormat="1" ht="25.5">
      <c r="A374" s="1347" t="str">
        <f t="shared" si="514"/>
        <v>Emboline, Inc.</v>
      </c>
      <c r="B374" s="1347" t="s">
        <v>4806</v>
      </c>
      <c r="C374" s="1348">
        <f t="shared" si="515"/>
        <v>3</v>
      </c>
      <c r="D374" s="1349">
        <v>42887</v>
      </c>
      <c r="E374" s="1349"/>
      <c r="F374" s="1347" t="s">
        <v>72</v>
      </c>
      <c r="G374" s="1347" t="s">
        <v>85</v>
      </c>
      <c r="H374" s="1347" t="s">
        <v>72</v>
      </c>
      <c r="I374" s="1347" t="s">
        <v>72</v>
      </c>
      <c r="J374" s="1349" t="s">
        <v>4670</v>
      </c>
      <c r="K374" s="1349" t="s">
        <v>254</v>
      </c>
      <c r="L374" s="1350" t="s">
        <v>49</v>
      </c>
      <c r="M374" s="1350" t="s">
        <v>4705</v>
      </c>
      <c r="N374" s="1390" t="s">
        <v>4706</v>
      </c>
      <c r="O374" s="1352" t="s">
        <v>4980</v>
      </c>
      <c r="P374" s="1449"/>
      <c r="Q374" s="1445"/>
      <c r="R374" s="1445"/>
      <c r="S374" s="1445"/>
      <c r="T374" s="1445"/>
      <c r="U374" s="1445"/>
      <c r="V374" s="1445"/>
      <c r="W374" s="1445"/>
      <c r="X374" s="1353">
        <v>43101</v>
      </c>
      <c r="Y374" s="1353">
        <v>43466</v>
      </c>
      <c r="Z374" s="1425"/>
      <c r="AA374" s="1355" t="s">
        <v>4674</v>
      </c>
      <c r="AB374" s="1394"/>
      <c r="AC374" s="1394"/>
      <c r="AD374" s="1356"/>
      <c r="AE374" s="1356"/>
      <c r="AF374" s="1395" t="str">
        <f t="shared" si="469"/>
        <v/>
      </c>
      <c r="AG374" s="1380"/>
      <c r="AH374" s="1380"/>
      <c r="AI374" s="1381">
        <v>0</v>
      </c>
      <c r="AJ374" s="1382">
        <f t="shared" si="516"/>
        <v>0</v>
      </c>
      <c r="AK374" s="1383">
        <f t="shared" si="517"/>
        <v>0</v>
      </c>
      <c r="AL374" s="1384">
        <v>0</v>
      </c>
      <c r="AM374" s="1363">
        <f t="shared" si="518"/>
        <v>0</v>
      </c>
      <c r="AN374" s="1364">
        <v>0</v>
      </c>
      <c r="AO374" s="1365">
        <f t="shared" si="519"/>
        <v>0</v>
      </c>
      <c r="AP374" s="1366">
        <v>0</v>
      </c>
      <c r="AQ374" s="1367">
        <f t="shared" si="520"/>
        <v>0</v>
      </c>
      <c r="AR374" s="1368">
        <v>0</v>
      </c>
      <c r="AS374" s="1369">
        <f t="shared" si="521"/>
        <v>0</v>
      </c>
      <c r="AT374" s="1370">
        <v>0</v>
      </c>
      <c r="AU374" s="1371">
        <f t="shared" si="522"/>
        <v>0</v>
      </c>
      <c r="AV374" s="1359">
        <f t="shared" si="523"/>
        <v>0</v>
      </c>
      <c r="AW374" s="1372">
        <f t="shared" si="524"/>
        <v>0</v>
      </c>
      <c r="AX374" s="1373">
        <f t="shared" si="525"/>
        <v>0</v>
      </c>
      <c r="AY374" s="1374">
        <f t="shared" si="526"/>
        <v>0</v>
      </c>
      <c r="AZ374" s="1375">
        <f t="shared" si="527"/>
        <v>0</v>
      </c>
      <c r="BA374" s="1376">
        <f t="shared" si="528"/>
        <v>0</v>
      </c>
      <c r="BB374" s="1377"/>
      <c r="BC374" s="1820"/>
      <c r="BD374" s="1820"/>
      <c r="BE374" s="1823"/>
      <c r="BF374" s="1826"/>
      <c r="BG374" s="1829"/>
    </row>
    <row r="375" spans="1:59" s="1378" customFormat="1" ht="27" customHeight="1">
      <c r="A375" s="1347" t="str">
        <f>A374</f>
        <v>Emboline, Inc.</v>
      </c>
      <c r="B375" s="1348" t="str">
        <f>B374</f>
        <v xml:space="preserve">ABD </v>
      </c>
      <c r="C375" s="1348">
        <f>C374</f>
        <v>3</v>
      </c>
      <c r="D375" s="1349">
        <v>42887</v>
      </c>
      <c r="E375" s="1349"/>
      <c r="F375" s="1347" t="s">
        <v>72</v>
      </c>
      <c r="G375" s="1347" t="s">
        <v>85</v>
      </c>
      <c r="H375" s="1347" t="s">
        <v>72</v>
      </c>
      <c r="I375" s="1347" t="s">
        <v>72</v>
      </c>
      <c r="J375" s="1349" t="s">
        <v>4670</v>
      </c>
      <c r="K375" s="1349" t="s">
        <v>254</v>
      </c>
      <c r="L375" s="1350" t="s">
        <v>3056</v>
      </c>
      <c r="M375" s="1350" t="s">
        <v>4708</v>
      </c>
      <c r="N375" s="1390" t="s">
        <v>4709</v>
      </c>
      <c r="O375" s="1352" t="s">
        <v>4710</v>
      </c>
      <c r="P375" s="1352"/>
      <c r="Q375" s="1354"/>
      <c r="R375" s="1354"/>
      <c r="S375" s="1354"/>
      <c r="T375" s="1354"/>
      <c r="U375" s="1354"/>
      <c r="V375" s="1354"/>
      <c r="W375" s="1354"/>
      <c r="X375" s="1353">
        <v>43101</v>
      </c>
      <c r="Y375" s="1353">
        <v>43466</v>
      </c>
      <c r="Z375" s="1355"/>
      <c r="AA375" s="1355" t="s">
        <v>4674</v>
      </c>
      <c r="AB375" s="1356"/>
      <c r="AC375" s="1356"/>
      <c r="AD375" s="1356"/>
      <c r="AE375" s="1356"/>
      <c r="AF375" s="1357" t="str">
        <f t="shared" si="469"/>
        <v/>
      </c>
      <c r="AG375" s="1380"/>
      <c r="AH375" s="1380"/>
      <c r="AI375" s="1381">
        <v>0</v>
      </c>
      <c r="AJ375" s="1382">
        <f t="shared" si="516"/>
        <v>0</v>
      </c>
      <c r="AK375" s="1383">
        <f t="shared" si="517"/>
        <v>0</v>
      </c>
      <c r="AL375" s="1384">
        <v>0</v>
      </c>
      <c r="AM375" s="1363">
        <f t="shared" si="518"/>
        <v>0</v>
      </c>
      <c r="AN375" s="1364">
        <v>0</v>
      </c>
      <c r="AO375" s="1365">
        <f t="shared" si="519"/>
        <v>0</v>
      </c>
      <c r="AP375" s="1366">
        <v>0</v>
      </c>
      <c r="AQ375" s="1367">
        <f t="shared" si="520"/>
        <v>0</v>
      </c>
      <c r="AR375" s="1368">
        <v>0</v>
      </c>
      <c r="AS375" s="1369">
        <f t="shared" si="521"/>
        <v>0</v>
      </c>
      <c r="AT375" s="1370">
        <v>0</v>
      </c>
      <c r="AU375" s="1371">
        <f t="shared" si="522"/>
        <v>0</v>
      </c>
      <c r="AV375" s="1359">
        <f t="shared" si="523"/>
        <v>0</v>
      </c>
      <c r="AW375" s="1372">
        <f t="shared" si="524"/>
        <v>0</v>
      </c>
      <c r="AX375" s="1373">
        <f t="shared" si="525"/>
        <v>0</v>
      </c>
      <c r="AY375" s="1374">
        <f t="shared" si="526"/>
        <v>0</v>
      </c>
      <c r="AZ375" s="1375">
        <f t="shared" si="527"/>
        <v>0</v>
      </c>
      <c r="BA375" s="1376">
        <f t="shared" si="528"/>
        <v>0</v>
      </c>
      <c r="BB375" s="1391"/>
      <c r="BC375" s="1821"/>
      <c r="BD375" s="1820"/>
      <c r="BE375" s="1823"/>
      <c r="BF375" s="1827"/>
      <c r="BG375" s="1830"/>
    </row>
    <row r="376" spans="1:59" s="1315" customFormat="1" ht="57" customHeight="1">
      <c r="A376" s="1277" t="str">
        <f>L376</f>
        <v>eMolecules, Inc.</v>
      </c>
      <c r="B376" s="1316" t="str">
        <f>N376</f>
        <v>HUB SD</v>
      </c>
      <c r="C376" s="1316">
        <f>Z376</f>
        <v>33</v>
      </c>
      <c r="D376" s="1317">
        <v>43101</v>
      </c>
      <c r="E376" s="1317"/>
      <c r="F376" s="1277" t="s">
        <v>72</v>
      </c>
      <c r="G376" s="1277" t="s">
        <v>72</v>
      </c>
      <c r="H376" s="1277" t="s">
        <v>72</v>
      </c>
      <c r="I376" s="1277" t="s">
        <v>4711</v>
      </c>
      <c r="J376" s="1317"/>
      <c r="K376" s="1317"/>
      <c r="L376" s="1318" t="s">
        <v>357</v>
      </c>
      <c r="M376" s="1319"/>
      <c r="N376" s="1320" t="s">
        <v>4661</v>
      </c>
      <c r="O376" s="1321" t="s">
        <v>2473</v>
      </c>
      <c r="P376" s="1321"/>
      <c r="Q376" s="1322"/>
      <c r="R376" s="1322"/>
      <c r="S376" s="1322"/>
      <c r="T376" s="1322"/>
      <c r="U376" s="1322"/>
      <c r="V376" s="1322"/>
      <c r="W376" s="1322"/>
      <c r="X376" s="1317">
        <v>43101</v>
      </c>
      <c r="Y376" s="1317">
        <v>43466</v>
      </c>
      <c r="Z376" s="1316">
        <v>33</v>
      </c>
      <c r="AA376" s="1316" t="s">
        <v>4999</v>
      </c>
      <c r="AB376" s="1323">
        <f>SUM(AB377:AB391)</f>
        <v>180115.68</v>
      </c>
      <c r="AC376" s="1323">
        <f>SUM(AC377:AC391)</f>
        <v>198434.94</v>
      </c>
      <c r="AD376" s="1323">
        <f>SUM(AD377:AD391)</f>
        <v>307802.85000000003</v>
      </c>
      <c r="AE376" s="1324">
        <f t="shared" si="513"/>
        <v>127687.17000000004</v>
      </c>
      <c r="AF376" s="1325">
        <f t="shared" si="469"/>
        <v>0.70891756897567193</v>
      </c>
      <c r="AG376" s="1326">
        <f t="shared" si="419"/>
        <v>25853.937500000004</v>
      </c>
      <c r="AH376" s="1326">
        <f>SUM(AH377:AH391)</f>
        <v>310247.25000000006</v>
      </c>
      <c r="AI376" s="1327"/>
      <c r="AJ376" s="1328">
        <f>SUM(AJ377:AJ391)</f>
        <v>2219.8489249999998</v>
      </c>
      <c r="AK376" s="1328">
        <f>SUM(AK377:AK391)</f>
        <v>26638.187100000003</v>
      </c>
      <c r="AL376" s="1329"/>
      <c r="AM376" s="1330">
        <f>SUM(AM377:AM391)</f>
        <v>1294.3386</v>
      </c>
      <c r="AN376" s="1331"/>
      <c r="AO376" s="1332">
        <f>SUM(AO377:AO391)</f>
        <v>0</v>
      </c>
      <c r="AP376" s="1333"/>
      <c r="AQ376" s="1334">
        <f>SUM(AQ377:AQ391)</f>
        <v>0</v>
      </c>
      <c r="AR376" s="1335"/>
      <c r="AS376" s="1336">
        <f>SUM(AS377:AS391)</f>
        <v>14781.397800000001</v>
      </c>
      <c r="AT376" s="1337"/>
      <c r="AU376" s="1338">
        <f>SUM(AU377:AU391)</f>
        <v>6471.6930000000002</v>
      </c>
      <c r="AV376" s="1339"/>
      <c r="AW376" s="1340">
        <f>SUM(AW377:AW391)</f>
        <v>4090.7576999999983</v>
      </c>
      <c r="AX376" s="1306"/>
      <c r="AY376" s="1307">
        <f>SUM(AW376+AS376+AU376)</f>
        <v>25343.8485</v>
      </c>
      <c r="AZ376" s="1341"/>
      <c r="BA376" s="1309">
        <f>SUM(AY376+AQ376)</f>
        <v>25343.8485</v>
      </c>
      <c r="BB376" s="1342">
        <f>(AW376+AU376)/(AK376-AM376)</f>
        <v>0.41676585543036199</v>
      </c>
      <c r="BC376" s="1343"/>
      <c r="BD376" s="1343"/>
      <c r="BE376" s="1344"/>
      <c r="BF376" s="1345" t="s">
        <v>5000</v>
      </c>
      <c r="BG376" s="1346"/>
    </row>
    <row r="377" spans="1:59" s="1378" customFormat="1" ht="66" customHeight="1">
      <c r="A377" s="1347" t="str">
        <f>L376</f>
        <v>eMolecules, Inc.</v>
      </c>
      <c r="B377" s="1348" t="str">
        <f>N376</f>
        <v>HUB SD</v>
      </c>
      <c r="C377" s="1348">
        <f>Z376</f>
        <v>33</v>
      </c>
      <c r="D377" s="1349">
        <v>43101</v>
      </c>
      <c r="E377" s="1349"/>
      <c r="F377" s="1347" t="s">
        <v>85</v>
      </c>
      <c r="G377" s="1347" t="s">
        <v>85</v>
      </c>
      <c r="H377" s="1347" t="s">
        <v>85</v>
      </c>
      <c r="I377" s="1347" t="s">
        <v>85</v>
      </c>
      <c r="J377" s="1349"/>
      <c r="K377" s="1349" t="s">
        <v>254</v>
      </c>
      <c r="L377" s="1350" t="s">
        <v>2661</v>
      </c>
      <c r="M377" s="1350" t="s">
        <v>3647</v>
      </c>
      <c r="N377" s="1351" t="s">
        <v>5001</v>
      </c>
      <c r="O377" s="1352" t="s">
        <v>5002</v>
      </c>
      <c r="P377" s="1352" t="s">
        <v>5003</v>
      </c>
      <c r="Q377" s="1353" t="s">
        <v>317</v>
      </c>
      <c r="R377" s="1353" t="s">
        <v>3648</v>
      </c>
      <c r="S377" s="1353" t="s">
        <v>307</v>
      </c>
      <c r="T377" s="1353" t="s">
        <v>113</v>
      </c>
      <c r="U377" s="1354"/>
      <c r="V377" s="1354"/>
      <c r="W377" s="1354"/>
      <c r="X377" s="1353">
        <v>43101</v>
      </c>
      <c r="Y377" s="1353">
        <v>43466</v>
      </c>
      <c r="Z377" s="1355"/>
      <c r="AA377" s="1355" t="s">
        <v>4667</v>
      </c>
      <c r="AB377" s="1422">
        <v>146554.07999999999</v>
      </c>
      <c r="AC377" s="1422">
        <v>164873.34</v>
      </c>
      <c r="AD377" s="1422">
        <f t="shared" ref="AD377:AD383" si="529">AH377</f>
        <v>258867.72</v>
      </c>
      <c r="AE377" s="1422">
        <f t="shared" si="513"/>
        <v>112313.64000000001</v>
      </c>
      <c r="AF377" s="1423">
        <f t="shared" si="469"/>
        <v>0.76636310637001726</v>
      </c>
      <c r="AG377" s="1358">
        <f t="shared" si="419"/>
        <v>21572.31</v>
      </c>
      <c r="AH377" s="1358">
        <v>258867.72</v>
      </c>
      <c r="AI377" s="1359">
        <v>0.08</v>
      </c>
      <c r="AJ377" s="1360">
        <f t="shared" ref="AJ377:AJ391" si="530">$AI377*$AG377</f>
        <v>1725.7848000000001</v>
      </c>
      <c r="AK377" s="1361">
        <f t="shared" ref="AK377:AK391" si="531">AI377*$AH377</f>
        <v>20709.417600000001</v>
      </c>
      <c r="AL377" s="1362">
        <v>5.0000000000000001E-3</v>
      </c>
      <c r="AM377" s="1363">
        <f t="shared" ref="AM377:AM391" si="532">AL377*$AH377</f>
        <v>1294.3386</v>
      </c>
      <c r="AN377" s="1364">
        <v>0</v>
      </c>
      <c r="AO377" s="1365">
        <f t="shared" ref="AO377:AO391" si="533">AN377*$AH377</f>
        <v>0</v>
      </c>
      <c r="AP377" s="1366">
        <v>0</v>
      </c>
      <c r="AQ377" s="1367">
        <f t="shared" ref="AQ377:AQ391" si="534">AP377*$AH377</f>
        <v>0</v>
      </c>
      <c r="AR377" s="1368">
        <v>0.04</v>
      </c>
      <c r="AS377" s="1369">
        <f t="shared" ref="AS377:AS391" si="535">AR377*$AH377</f>
        <v>10354.7088</v>
      </c>
      <c r="AT377" s="1370">
        <v>2.5000000000000001E-2</v>
      </c>
      <c r="AU377" s="1371">
        <f t="shared" ref="AU377:AU391" si="536">AT377*$AH377</f>
        <v>6471.6930000000002</v>
      </c>
      <c r="AV377" s="1359">
        <f t="shared" ref="AV377:AV391" si="537">AZ377-AR377-AT377-AP377</f>
        <v>9.999999999999995E-3</v>
      </c>
      <c r="AW377" s="1372">
        <f t="shared" ref="AW377:AW391" si="538">AV377*$AH377</f>
        <v>2588.6771999999987</v>
      </c>
      <c r="AX377" s="1373">
        <f t="shared" ref="AX377:AX391" si="539">$AZ377-$AP377</f>
        <v>7.4999999999999997E-2</v>
      </c>
      <c r="AY377" s="1374">
        <f t="shared" ref="AY377:AY391" si="540">AX377*$AH377</f>
        <v>19415.078999999998</v>
      </c>
      <c r="AZ377" s="1375">
        <f t="shared" ref="AZ377:AZ391" si="541">$AI377-$AL377-$AN377</f>
        <v>7.4999999999999997E-2</v>
      </c>
      <c r="BA377" s="1376">
        <f t="shared" ref="BA377:BA391" si="542">AZ377*$AH377</f>
        <v>19415.078999999998</v>
      </c>
      <c r="BB377" s="1377"/>
      <c r="BC377" s="1820" t="s">
        <v>368</v>
      </c>
      <c r="BD377" s="1820" t="s">
        <v>369</v>
      </c>
      <c r="BE377" s="1823" t="s">
        <v>3582</v>
      </c>
      <c r="BF377" s="1826" t="s">
        <v>5004</v>
      </c>
      <c r="BG377" s="1829">
        <v>330887500</v>
      </c>
    </row>
    <row r="378" spans="1:59" s="1378" customFormat="1" ht="38.25">
      <c r="A378" s="1347" t="str">
        <f>L376</f>
        <v>eMolecules, Inc.</v>
      </c>
      <c r="B378" s="1348" t="str">
        <f>N376</f>
        <v>HUB SD</v>
      </c>
      <c r="C378" s="1348">
        <f>Z376</f>
        <v>33</v>
      </c>
      <c r="D378" s="1349">
        <v>43101</v>
      </c>
      <c r="E378" s="1349"/>
      <c r="F378" s="1347" t="s">
        <v>72</v>
      </c>
      <c r="G378" s="1347" t="s">
        <v>85</v>
      </c>
      <c r="H378" s="1347" t="s">
        <v>72</v>
      </c>
      <c r="I378" s="1347" t="s">
        <v>72</v>
      </c>
      <c r="J378" s="1349" t="s">
        <v>4670</v>
      </c>
      <c r="K378" s="1349" t="s">
        <v>254</v>
      </c>
      <c r="L378" s="1350" t="s">
        <v>4671</v>
      </c>
      <c r="M378" s="1350" t="s">
        <v>3649</v>
      </c>
      <c r="N378" s="1379" t="s">
        <v>5005</v>
      </c>
      <c r="O378" s="1352" t="s">
        <v>5006</v>
      </c>
      <c r="P378" s="1388"/>
      <c r="Q378" s="1354"/>
      <c r="R378" s="1354"/>
      <c r="S378" s="1354"/>
      <c r="T378" s="1354"/>
      <c r="U378" s="1354"/>
      <c r="V378" s="1354"/>
      <c r="W378" s="1354"/>
      <c r="X378" s="1353">
        <v>43101</v>
      </c>
      <c r="Y378" s="1353">
        <v>43466</v>
      </c>
      <c r="Z378" s="1355"/>
      <c r="AA378" s="1355" t="s">
        <v>4674</v>
      </c>
      <c r="AB378" s="1356"/>
      <c r="AC378" s="1356"/>
      <c r="AD378" s="1356"/>
      <c r="AE378" s="1356"/>
      <c r="AF378" s="1357" t="str">
        <f t="shared" si="469"/>
        <v/>
      </c>
      <c r="AG378" s="1380"/>
      <c r="AH378" s="1380"/>
      <c r="AI378" s="1381">
        <v>0</v>
      </c>
      <c r="AJ378" s="1382">
        <f t="shared" si="530"/>
        <v>0</v>
      </c>
      <c r="AK378" s="1383">
        <f t="shared" si="531"/>
        <v>0</v>
      </c>
      <c r="AL378" s="1384">
        <v>0</v>
      </c>
      <c r="AM378" s="1363">
        <f t="shared" si="532"/>
        <v>0</v>
      </c>
      <c r="AN378" s="1364">
        <v>0</v>
      </c>
      <c r="AO378" s="1365">
        <f t="shared" si="533"/>
        <v>0</v>
      </c>
      <c r="AP378" s="1366">
        <v>0</v>
      </c>
      <c r="AQ378" s="1367">
        <f t="shared" si="534"/>
        <v>0</v>
      </c>
      <c r="AR378" s="1368">
        <v>0</v>
      </c>
      <c r="AS378" s="1369">
        <f t="shared" si="535"/>
        <v>0</v>
      </c>
      <c r="AT378" s="1370">
        <v>0</v>
      </c>
      <c r="AU378" s="1371">
        <f t="shared" si="536"/>
        <v>0</v>
      </c>
      <c r="AV378" s="1359">
        <f t="shared" si="537"/>
        <v>0</v>
      </c>
      <c r="AW378" s="1372">
        <f t="shared" si="538"/>
        <v>0</v>
      </c>
      <c r="AX378" s="1373">
        <f t="shared" si="539"/>
        <v>0</v>
      </c>
      <c r="AY378" s="1374">
        <f t="shared" si="540"/>
        <v>0</v>
      </c>
      <c r="AZ378" s="1375">
        <f t="shared" si="541"/>
        <v>0</v>
      </c>
      <c r="BA378" s="1376">
        <f t="shared" si="542"/>
        <v>0</v>
      </c>
      <c r="BB378" s="1377"/>
      <c r="BC378" s="1820"/>
      <c r="BD378" s="1820"/>
      <c r="BE378" s="1823"/>
      <c r="BF378" s="1826"/>
      <c r="BG378" s="1829"/>
    </row>
    <row r="379" spans="1:59" s="1378" customFormat="1" ht="38.25" customHeight="1">
      <c r="A379" s="1347" t="str">
        <f>L376</f>
        <v>eMolecules, Inc.</v>
      </c>
      <c r="B379" s="1348" t="str">
        <f>N376</f>
        <v>HUB SD</v>
      </c>
      <c r="C379" s="1348">
        <f>Z376</f>
        <v>33</v>
      </c>
      <c r="D379" s="1349">
        <v>43101</v>
      </c>
      <c r="E379" s="1349"/>
      <c r="F379" s="1347" t="s">
        <v>113</v>
      </c>
      <c r="G379" s="1347" t="s">
        <v>85</v>
      </c>
      <c r="H379" s="1347" t="s">
        <v>85</v>
      </c>
      <c r="I379" s="1347" t="s">
        <v>85</v>
      </c>
      <c r="J379" s="1349"/>
      <c r="K379" s="1349" t="s">
        <v>254</v>
      </c>
      <c r="L379" s="1350" t="s">
        <v>4675</v>
      </c>
      <c r="M379" s="1350" t="s">
        <v>3650</v>
      </c>
      <c r="N379" s="1385" t="s">
        <v>4855</v>
      </c>
      <c r="O379" s="1352" t="s">
        <v>4677</v>
      </c>
      <c r="P379" s="1352"/>
      <c r="Q379" s="1354"/>
      <c r="R379" s="1354"/>
      <c r="S379" s="1354"/>
      <c r="T379" s="1354"/>
      <c r="U379" s="1353" t="s">
        <v>4678</v>
      </c>
      <c r="V379" s="1353" t="s">
        <v>2481</v>
      </c>
      <c r="W379" s="1354"/>
      <c r="X379" s="1353">
        <v>43101</v>
      </c>
      <c r="Y379" s="1353">
        <v>43466</v>
      </c>
      <c r="Z379" s="1355"/>
      <c r="AA379" s="1355" t="s">
        <v>4679</v>
      </c>
      <c r="AB379" s="1422">
        <v>14755.68</v>
      </c>
      <c r="AC379" s="1422">
        <v>14755.68</v>
      </c>
      <c r="AD379" s="1422">
        <f t="shared" si="529"/>
        <v>30579.24</v>
      </c>
      <c r="AE379" s="1422">
        <f t="shared" si="513"/>
        <v>15823.560000000001</v>
      </c>
      <c r="AF379" s="1423">
        <f t="shared" si="469"/>
        <v>1.0723707751862335</v>
      </c>
      <c r="AG379" s="1358">
        <f t="shared" ref="AG379:AG465" si="543">AH379/12</f>
        <v>2548.27</v>
      </c>
      <c r="AH379" s="1358">
        <v>30579.24</v>
      </c>
      <c r="AI379" s="1359">
        <v>0.1</v>
      </c>
      <c r="AJ379" s="1360">
        <f t="shared" si="530"/>
        <v>254.827</v>
      </c>
      <c r="AK379" s="1361">
        <f t="shared" si="531"/>
        <v>3057.9240000000004</v>
      </c>
      <c r="AL379" s="1384">
        <v>0</v>
      </c>
      <c r="AM379" s="1363">
        <f t="shared" si="532"/>
        <v>0</v>
      </c>
      <c r="AN379" s="1364">
        <v>0</v>
      </c>
      <c r="AO379" s="1365">
        <f t="shared" si="533"/>
        <v>0</v>
      </c>
      <c r="AP379" s="1366">
        <v>0</v>
      </c>
      <c r="AQ379" s="1367">
        <f t="shared" si="534"/>
        <v>0</v>
      </c>
      <c r="AR379" s="1368">
        <v>0.08</v>
      </c>
      <c r="AS379" s="1369">
        <f t="shared" si="535"/>
        <v>2446.3392000000003</v>
      </c>
      <c r="AT379" s="1370">
        <v>0</v>
      </c>
      <c r="AU379" s="1371">
        <f t="shared" si="536"/>
        <v>0</v>
      </c>
      <c r="AV379" s="1359">
        <f t="shared" si="537"/>
        <v>2.0000000000000004E-2</v>
      </c>
      <c r="AW379" s="1372">
        <f t="shared" si="538"/>
        <v>611.5848000000002</v>
      </c>
      <c r="AX379" s="1373">
        <f t="shared" si="539"/>
        <v>0.1</v>
      </c>
      <c r="AY379" s="1374">
        <f t="shared" si="540"/>
        <v>3057.9240000000004</v>
      </c>
      <c r="AZ379" s="1375">
        <f t="shared" si="541"/>
        <v>0.1</v>
      </c>
      <c r="BA379" s="1376">
        <f t="shared" si="542"/>
        <v>3057.9240000000004</v>
      </c>
      <c r="BB379" s="1377"/>
      <c r="BC379" s="1820"/>
      <c r="BD379" s="1820"/>
      <c r="BE379" s="1823"/>
      <c r="BF379" s="1826"/>
      <c r="BG379" s="1829"/>
    </row>
    <row r="380" spans="1:59" s="1378" customFormat="1" ht="38.25" customHeight="1">
      <c r="A380" s="1347" t="str">
        <f>L376</f>
        <v>eMolecules, Inc.</v>
      </c>
      <c r="B380" s="1348" t="str">
        <f>N376</f>
        <v>HUB SD</v>
      </c>
      <c r="C380" s="1348">
        <f>Z376</f>
        <v>33</v>
      </c>
      <c r="D380" s="1349">
        <v>43101</v>
      </c>
      <c r="E380" s="1349"/>
      <c r="F380" s="1347" t="s">
        <v>113</v>
      </c>
      <c r="G380" s="1347" t="s">
        <v>85</v>
      </c>
      <c r="H380" s="1347" t="s">
        <v>85</v>
      </c>
      <c r="I380" s="1347" t="s">
        <v>85</v>
      </c>
      <c r="J380" s="1349"/>
      <c r="K380" s="1349" t="s">
        <v>254</v>
      </c>
      <c r="L380" s="1350" t="s">
        <v>4675</v>
      </c>
      <c r="M380" s="1350" t="s">
        <v>3651</v>
      </c>
      <c r="N380" s="1351" t="s">
        <v>5007</v>
      </c>
      <c r="O380" s="1352" t="s">
        <v>4681</v>
      </c>
      <c r="P380" s="1388"/>
      <c r="Q380" s="1354"/>
      <c r="R380" s="1354"/>
      <c r="S380" s="1354"/>
      <c r="T380" s="1354"/>
      <c r="U380" s="1354"/>
      <c r="V380" s="1354"/>
      <c r="W380" s="1353" t="s">
        <v>2492</v>
      </c>
      <c r="X380" s="1353">
        <v>43101</v>
      </c>
      <c r="Y380" s="1353">
        <v>43466</v>
      </c>
      <c r="Z380" s="1355"/>
      <c r="AA380" s="1355" t="s">
        <v>4679</v>
      </c>
      <c r="AB380" s="1422">
        <v>2857.92</v>
      </c>
      <c r="AC380" s="1422">
        <v>2857.92</v>
      </c>
      <c r="AD380" s="1422">
        <f t="shared" si="529"/>
        <v>4983.96</v>
      </c>
      <c r="AE380" s="1422">
        <f t="shared" si="513"/>
        <v>2126.04</v>
      </c>
      <c r="AF380" s="1423">
        <f t="shared" si="469"/>
        <v>0.74391165602955989</v>
      </c>
      <c r="AG380" s="1358">
        <f t="shared" si="543"/>
        <v>415.33</v>
      </c>
      <c r="AH380" s="1358">
        <v>4983.96</v>
      </c>
      <c r="AI380" s="1359">
        <v>0.1</v>
      </c>
      <c r="AJ380" s="1360">
        <f t="shared" si="530"/>
        <v>41.533000000000001</v>
      </c>
      <c r="AK380" s="1361">
        <f t="shared" si="531"/>
        <v>498.39600000000002</v>
      </c>
      <c r="AL380" s="1384">
        <v>0</v>
      </c>
      <c r="AM380" s="1363">
        <f t="shared" si="532"/>
        <v>0</v>
      </c>
      <c r="AN380" s="1364">
        <v>0</v>
      </c>
      <c r="AO380" s="1365">
        <f t="shared" si="533"/>
        <v>0</v>
      </c>
      <c r="AP380" s="1366">
        <v>0</v>
      </c>
      <c r="AQ380" s="1367">
        <f t="shared" si="534"/>
        <v>0</v>
      </c>
      <c r="AR380" s="1368">
        <v>0.08</v>
      </c>
      <c r="AS380" s="1369">
        <f t="shared" si="535"/>
        <v>398.71680000000003</v>
      </c>
      <c r="AT380" s="1370">
        <v>0</v>
      </c>
      <c r="AU380" s="1371">
        <f t="shared" si="536"/>
        <v>0</v>
      </c>
      <c r="AV380" s="1359">
        <f t="shared" si="537"/>
        <v>2.0000000000000004E-2</v>
      </c>
      <c r="AW380" s="1372">
        <f t="shared" si="538"/>
        <v>99.679200000000023</v>
      </c>
      <c r="AX380" s="1373">
        <f t="shared" si="539"/>
        <v>0.1</v>
      </c>
      <c r="AY380" s="1374">
        <f t="shared" si="540"/>
        <v>498.39600000000002</v>
      </c>
      <c r="AZ380" s="1375">
        <f t="shared" si="541"/>
        <v>0.1</v>
      </c>
      <c r="BA380" s="1376">
        <f t="shared" si="542"/>
        <v>498.39600000000002</v>
      </c>
      <c r="BB380" s="1377"/>
      <c r="BC380" s="1820"/>
      <c r="BD380" s="1820"/>
      <c r="BE380" s="1823"/>
      <c r="BF380" s="1826"/>
      <c r="BG380" s="1829"/>
    </row>
    <row r="381" spans="1:59" s="1378" customFormat="1" ht="38.25">
      <c r="A381" s="1347" t="str">
        <f>L376</f>
        <v>eMolecules, Inc.</v>
      </c>
      <c r="B381" s="1348" t="str">
        <f>N376</f>
        <v>HUB SD</v>
      </c>
      <c r="C381" s="1348">
        <f>Z376</f>
        <v>33</v>
      </c>
      <c r="D381" s="1349">
        <v>43101</v>
      </c>
      <c r="E381" s="1349"/>
      <c r="F381" s="1347" t="s">
        <v>113</v>
      </c>
      <c r="G381" s="1347" t="s">
        <v>85</v>
      </c>
      <c r="H381" s="1347" t="s">
        <v>85</v>
      </c>
      <c r="I381" s="1347" t="s">
        <v>85</v>
      </c>
      <c r="J381" s="1349"/>
      <c r="K381" s="1349" t="s">
        <v>254</v>
      </c>
      <c r="L381" s="1350" t="s">
        <v>4682</v>
      </c>
      <c r="M381" s="1350" t="s">
        <v>4683</v>
      </c>
      <c r="N381" s="1386" t="s">
        <v>1249</v>
      </c>
      <c r="O381" s="1352" t="s">
        <v>4684</v>
      </c>
      <c r="P381" s="1421"/>
      <c r="Q381" s="1354"/>
      <c r="R381" s="1354"/>
      <c r="S381" s="1354"/>
      <c r="T381" s="1354"/>
      <c r="U381" s="1354"/>
      <c r="V381" s="1354"/>
      <c r="W381" s="1354"/>
      <c r="X381" s="1353">
        <v>43101</v>
      </c>
      <c r="Y381" s="1353">
        <v>43466</v>
      </c>
      <c r="Z381" s="1355"/>
      <c r="AA381" s="1355" t="s">
        <v>4685</v>
      </c>
      <c r="AB381" s="1422">
        <v>7344</v>
      </c>
      <c r="AC381" s="1422">
        <v>7344</v>
      </c>
      <c r="AD381" s="1422">
        <f t="shared" si="529"/>
        <v>4357.08</v>
      </c>
      <c r="AE381" s="1422">
        <f t="shared" si="513"/>
        <v>-2986.92</v>
      </c>
      <c r="AF381" s="1423">
        <f t="shared" si="469"/>
        <v>-0.40671568627450982</v>
      </c>
      <c r="AG381" s="1358">
        <f t="shared" si="543"/>
        <v>363.09</v>
      </c>
      <c r="AH381" s="1358">
        <v>4357.08</v>
      </c>
      <c r="AI381" s="1359">
        <v>0.15</v>
      </c>
      <c r="AJ381" s="1360">
        <f t="shared" si="530"/>
        <v>54.463499999999996</v>
      </c>
      <c r="AK381" s="1361">
        <f t="shared" si="531"/>
        <v>653.56200000000001</v>
      </c>
      <c r="AL381" s="1384">
        <v>0</v>
      </c>
      <c r="AM381" s="1363">
        <f t="shared" si="532"/>
        <v>0</v>
      </c>
      <c r="AN381" s="1364">
        <v>0</v>
      </c>
      <c r="AO381" s="1365">
        <f t="shared" si="533"/>
        <v>0</v>
      </c>
      <c r="AP381" s="1366">
        <v>0</v>
      </c>
      <c r="AQ381" s="1367">
        <f t="shared" si="534"/>
        <v>0</v>
      </c>
      <c r="AR381" s="1368">
        <v>0.1</v>
      </c>
      <c r="AS381" s="1369">
        <f t="shared" si="535"/>
        <v>435.70800000000003</v>
      </c>
      <c r="AT381" s="1370">
        <v>0</v>
      </c>
      <c r="AU381" s="1371">
        <f t="shared" si="536"/>
        <v>0</v>
      </c>
      <c r="AV381" s="1359">
        <f t="shared" si="537"/>
        <v>4.9999999999999989E-2</v>
      </c>
      <c r="AW381" s="1372">
        <f t="shared" si="538"/>
        <v>217.85399999999996</v>
      </c>
      <c r="AX381" s="1373">
        <f t="shared" si="539"/>
        <v>0.15</v>
      </c>
      <c r="AY381" s="1374">
        <f t="shared" si="540"/>
        <v>653.56200000000001</v>
      </c>
      <c r="AZ381" s="1375">
        <f t="shared" si="541"/>
        <v>0.15</v>
      </c>
      <c r="BA381" s="1376">
        <f t="shared" si="542"/>
        <v>653.56200000000001</v>
      </c>
      <c r="BB381" s="1377"/>
      <c r="BC381" s="1820"/>
      <c r="BD381" s="1820"/>
      <c r="BE381" s="1823"/>
      <c r="BF381" s="1826"/>
      <c r="BG381" s="1829"/>
    </row>
    <row r="382" spans="1:59" s="1378" customFormat="1" ht="38.25">
      <c r="A382" s="1347" t="str">
        <f>L376</f>
        <v>eMolecules, Inc.</v>
      </c>
      <c r="B382" s="1348" t="str">
        <f>N376</f>
        <v>HUB SD</v>
      </c>
      <c r="C382" s="1348">
        <f>Z376</f>
        <v>33</v>
      </c>
      <c r="D382" s="1349">
        <v>43101</v>
      </c>
      <c r="E382" s="1349"/>
      <c r="F382" s="1347" t="s">
        <v>113</v>
      </c>
      <c r="G382" s="1347" t="s">
        <v>85</v>
      </c>
      <c r="H382" s="1347" t="s">
        <v>85</v>
      </c>
      <c r="I382" s="1347" t="s">
        <v>113</v>
      </c>
      <c r="J382" s="1349"/>
      <c r="K382" s="1349" t="s">
        <v>254</v>
      </c>
      <c r="L382" s="1350" t="s">
        <v>4682</v>
      </c>
      <c r="M382" s="1350" t="s">
        <v>4686</v>
      </c>
      <c r="N382" s="1386" t="s">
        <v>60</v>
      </c>
      <c r="O382" s="1352" t="s">
        <v>4687</v>
      </c>
      <c r="P382" s="1421"/>
      <c r="Q382" s="1354"/>
      <c r="R382" s="1354"/>
      <c r="S382" s="1354"/>
      <c r="T382" s="1354"/>
      <c r="U382" s="1354"/>
      <c r="V382" s="1354"/>
      <c r="W382" s="1354"/>
      <c r="X382" s="1353">
        <v>43101</v>
      </c>
      <c r="Y382" s="1353">
        <v>43466</v>
      </c>
      <c r="Z382" s="1355"/>
      <c r="AA382" s="1355" t="s">
        <v>4685</v>
      </c>
      <c r="AB382" s="1422">
        <v>0</v>
      </c>
      <c r="AC382" s="1422">
        <v>0</v>
      </c>
      <c r="AD382" s="1422">
        <f t="shared" si="529"/>
        <v>2059.8000000000002</v>
      </c>
      <c r="AE382" s="1422">
        <f t="shared" si="513"/>
        <v>2059.8000000000002</v>
      </c>
      <c r="AF382" s="1423" t="str">
        <f t="shared" si="469"/>
        <v/>
      </c>
      <c r="AG382" s="1358">
        <f t="shared" si="543"/>
        <v>171.65</v>
      </c>
      <c r="AH382" s="1358">
        <v>2059.8000000000002</v>
      </c>
      <c r="AI382" s="1359">
        <v>0.15</v>
      </c>
      <c r="AJ382" s="1360">
        <f t="shared" si="530"/>
        <v>25.747499999999999</v>
      </c>
      <c r="AK382" s="1361">
        <f t="shared" si="531"/>
        <v>308.97000000000003</v>
      </c>
      <c r="AL382" s="1384">
        <v>0</v>
      </c>
      <c r="AM382" s="1363">
        <f t="shared" si="532"/>
        <v>0</v>
      </c>
      <c r="AN382" s="1364">
        <v>0</v>
      </c>
      <c r="AO382" s="1365">
        <f t="shared" si="533"/>
        <v>0</v>
      </c>
      <c r="AP382" s="1366">
        <v>0</v>
      </c>
      <c r="AQ382" s="1367">
        <f t="shared" si="534"/>
        <v>0</v>
      </c>
      <c r="AR382" s="1368">
        <v>0.1</v>
      </c>
      <c r="AS382" s="1369">
        <f t="shared" si="535"/>
        <v>205.98000000000002</v>
      </c>
      <c r="AT382" s="1370">
        <v>0</v>
      </c>
      <c r="AU382" s="1371">
        <f t="shared" si="536"/>
        <v>0</v>
      </c>
      <c r="AV382" s="1359">
        <f t="shared" si="537"/>
        <v>4.9999999999999989E-2</v>
      </c>
      <c r="AW382" s="1372">
        <f t="shared" si="538"/>
        <v>102.98999999999998</v>
      </c>
      <c r="AX382" s="1373">
        <f t="shared" si="539"/>
        <v>0.15</v>
      </c>
      <c r="AY382" s="1374">
        <f t="shared" si="540"/>
        <v>308.97000000000003</v>
      </c>
      <c r="AZ382" s="1375">
        <f t="shared" si="541"/>
        <v>0.15</v>
      </c>
      <c r="BA382" s="1376">
        <f t="shared" si="542"/>
        <v>308.97000000000003</v>
      </c>
      <c r="BB382" s="1377"/>
      <c r="BC382" s="1820"/>
      <c r="BD382" s="1820"/>
      <c r="BE382" s="1823"/>
      <c r="BF382" s="1826"/>
      <c r="BG382" s="1829"/>
    </row>
    <row r="383" spans="1:59" s="1378" customFormat="1" ht="38.25">
      <c r="A383" s="1347" t="str">
        <f>L376</f>
        <v>eMolecules, Inc.</v>
      </c>
      <c r="B383" s="1348" t="str">
        <f>N376</f>
        <v>HUB SD</v>
      </c>
      <c r="C383" s="1348">
        <f>Z376</f>
        <v>33</v>
      </c>
      <c r="D383" s="1349">
        <v>43101</v>
      </c>
      <c r="E383" s="1349"/>
      <c r="F383" s="1347" t="s">
        <v>113</v>
      </c>
      <c r="G383" s="1347" t="s">
        <v>85</v>
      </c>
      <c r="H383" s="1347" t="s">
        <v>85</v>
      </c>
      <c r="I383" s="1347" t="s">
        <v>85</v>
      </c>
      <c r="J383" s="1349"/>
      <c r="K383" s="1349" t="s">
        <v>254</v>
      </c>
      <c r="L383" s="1350" t="s">
        <v>4682</v>
      </c>
      <c r="M383" s="1350" t="s">
        <v>67</v>
      </c>
      <c r="N383" s="1351" t="s">
        <v>82</v>
      </c>
      <c r="O383" s="1352" t="s">
        <v>4689</v>
      </c>
      <c r="P383" s="1388"/>
      <c r="Q383" s="1354"/>
      <c r="R383" s="1354"/>
      <c r="S383" s="1354"/>
      <c r="T383" s="1354"/>
      <c r="U383" s="1354"/>
      <c r="V383" s="1354"/>
      <c r="W383" s="1354"/>
      <c r="X383" s="1353">
        <v>43101</v>
      </c>
      <c r="Y383" s="1353">
        <v>43466</v>
      </c>
      <c r="Z383" s="1355"/>
      <c r="AA383" s="1355" t="s">
        <v>4685</v>
      </c>
      <c r="AB383" s="1422">
        <v>8604</v>
      </c>
      <c r="AC383" s="1422">
        <v>8604</v>
      </c>
      <c r="AD383" s="1422">
        <f t="shared" si="529"/>
        <v>6955.05</v>
      </c>
      <c r="AE383" s="1422">
        <f t="shared" si="513"/>
        <v>-1648.9499999999998</v>
      </c>
      <c r="AF383" s="1423">
        <f t="shared" si="469"/>
        <v>-0.19164923291492328</v>
      </c>
      <c r="AG383" s="1358">
        <f t="shared" si="543"/>
        <v>579.58749999999998</v>
      </c>
      <c r="AH383" s="1358">
        <v>6955.05</v>
      </c>
      <c r="AI383" s="1359">
        <v>0.15</v>
      </c>
      <c r="AJ383" s="1360">
        <f t="shared" si="530"/>
        <v>86.938124999999999</v>
      </c>
      <c r="AK383" s="1361">
        <f t="shared" si="531"/>
        <v>1043.2574999999999</v>
      </c>
      <c r="AL383" s="1384">
        <v>0</v>
      </c>
      <c r="AM383" s="1363">
        <f t="shared" si="532"/>
        <v>0</v>
      </c>
      <c r="AN383" s="1364">
        <v>0</v>
      </c>
      <c r="AO383" s="1365">
        <f t="shared" si="533"/>
        <v>0</v>
      </c>
      <c r="AP383" s="1366">
        <v>0</v>
      </c>
      <c r="AQ383" s="1367">
        <f t="shared" si="534"/>
        <v>0</v>
      </c>
      <c r="AR383" s="1368">
        <v>0.1</v>
      </c>
      <c r="AS383" s="1369">
        <f t="shared" si="535"/>
        <v>695.50500000000011</v>
      </c>
      <c r="AT383" s="1370">
        <v>0</v>
      </c>
      <c r="AU383" s="1371">
        <f t="shared" si="536"/>
        <v>0</v>
      </c>
      <c r="AV383" s="1359">
        <f t="shared" si="537"/>
        <v>4.9999999999999989E-2</v>
      </c>
      <c r="AW383" s="1372">
        <f t="shared" si="538"/>
        <v>347.75249999999994</v>
      </c>
      <c r="AX383" s="1373">
        <f t="shared" si="539"/>
        <v>0.15</v>
      </c>
      <c r="AY383" s="1374">
        <f t="shared" si="540"/>
        <v>1043.2574999999999</v>
      </c>
      <c r="AZ383" s="1375">
        <f t="shared" si="541"/>
        <v>0.15</v>
      </c>
      <c r="BA383" s="1376">
        <f t="shared" si="542"/>
        <v>1043.2574999999999</v>
      </c>
      <c r="BB383" s="1377"/>
      <c r="BC383" s="1820"/>
      <c r="BD383" s="1820"/>
      <c r="BE383" s="1823"/>
      <c r="BF383" s="1826"/>
      <c r="BG383" s="1829"/>
    </row>
    <row r="384" spans="1:59" s="1378" customFormat="1" ht="27.75" customHeight="1">
      <c r="A384" s="1347" t="str">
        <f>L376</f>
        <v>eMolecules, Inc.</v>
      </c>
      <c r="B384" s="1348" t="str">
        <f>N376</f>
        <v>HUB SD</v>
      </c>
      <c r="C384" s="1348">
        <f>Z376</f>
        <v>33</v>
      </c>
      <c r="D384" s="1349">
        <v>43101</v>
      </c>
      <c r="E384" s="1349"/>
      <c r="F384" s="1347" t="s">
        <v>113</v>
      </c>
      <c r="G384" s="1347" t="s">
        <v>85</v>
      </c>
      <c r="H384" s="1347" t="s">
        <v>85</v>
      </c>
      <c r="I384" s="1347" t="s">
        <v>113</v>
      </c>
      <c r="J384" s="1349" t="s">
        <v>4690</v>
      </c>
      <c r="K384" s="1349" t="s">
        <v>254</v>
      </c>
      <c r="L384" s="1350" t="s">
        <v>4682</v>
      </c>
      <c r="M384" s="1350" t="s">
        <v>4691</v>
      </c>
      <c r="N384" s="1351" t="s">
        <v>94</v>
      </c>
      <c r="O384" s="1352" t="s">
        <v>4692</v>
      </c>
      <c r="P384" s="1388"/>
      <c r="Q384" s="1354"/>
      <c r="R384" s="1354"/>
      <c r="S384" s="1354"/>
      <c r="T384" s="1354"/>
      <c r="U384" s="1354"/>
      <c r="V384" s="1354"/>
      <c r="W384" s="1354"/>
      <c r="X384" s="1353">
        <v>43101</v>
      </c>
      <c r="Y384" s="1353">
        <v>43466</v>
      </c>
      <c r="Z384" s="1355">
        <v>4</v>
      </c>
      <c r="AA384" s="1355" t="s">
        <v>4685</v>
      </c>
      <c r="AB384" s="1356"/>
      <c r="AC384" s="1356"/>
      <c r="AD384" s="1356"/>
      <c r="AE384" s="1356"/>
      <c r="AF384" s="1357" t="str">
        <f t="shared" si="469"/>
        <v/>
      </c>
      <c r="AG384" s="1358">
        <v>70.88</v>
      </c>
      <c r="AH384" s="1358">
        <f t="shared" ref="AH384:AH386" si="544">AG384*12</f>
        <v>850.56</v>
      </c>
      <c r="AI384" s="1359">
        <v>0.15</v>
      </c>
      <c r="AJ384" s="1360">
        <f t="shared" si="530"/>
        <v>10.632</v>
      </c>
      <c r="AK384" s="1361">
        <f t="shared" si="531"/>
        <v>127.58399999999999</v>
      </c>
      <c r="AL384" s="1384">
        <v>0</v>
      </c>
      <c r="AM384" s="1363">
        <f t="shared" si="532"/>
        <v>0</v>
      </c>
      <c r="AN384" s="1364">
        <v>0</v>
      </c>
      <c r="AO384" s="1365">
        <f t="shared" si="533"/>
        <v>0</v>
      </c>
      <c r="AP384" s="1366">
        <v>0</v>
      </c>
      <c r="AQ384" s="1367">
        <f t="shared" si="534"/>
        <v>0</v>
      </c>
      <c r="AR384" s="1368">
        <v>0.1</v>
      </c>
      <c r="AS384" s="1369">
        <f t="shared" si="535"/>
        <v>85.055999999999997</v>
      </c>
      <c r="AT384" s="1370">
        <v>0</v>
      </c>
      <c r="AU384" s="1371">
        <f t="shared" si="536"/>
        <v>0</v>
      </c>
      <c r="AV384" s="1359">
        <f t="shared" si="537"/>
        <v>4.9999999999999989E-2</v>
      </c>
      <c r="AW384" s="1372">
        <f t="shared" si="538"/>
        <v>42.527999999999984</v>
      </c>
      <c r="AX384" s="1373">
        <f t="shared" si="539"/>
        <v>0.15</v>
      </c>
      <c r="AY384" s="1374">
        <f t="shared" si="540"/>
        <v>127.58399999999999</v>
      </c>
      <c r="AZ384" s="1375">
        <f t="shared" si="541"/>
        <v>0.15</v>
      </c>
      <c r="BA384" s="1376">
        <f t="shared" si="542"/>
        <v>127.58399999999999</v>
      </c>
      <c r="BB384" s="1377"/>
      <c r="BC384" s="1820"/>
      <c r="BD384" s="1820"/>
      <c r="BE384" s="1823"/>
      <c r="BF384" s="1826"/>
      <c r="BG384" s="1829"/>
    </row>
    <row r="385" spans="1:59" s="1378" customFormat="1" ht="26.25" customHeight="1">
      <c r="A385" s="1347" t="str">
        <f>L376</f>
        <v>eMolecules, Inc.</v>
      </c>
      <c r="B385" s="1348" t="str">
        <f>N376</f>
        <v>HUB SD</v>
      </c>
      <c r="C385" s="1348">
        <f>Z376</f>
        <v>33</v>
      </c>
      <c r="D385" s="1349">
        <v>43101</v>
      </c>
      <c r="E385" s="1349"/>
      <c r="F385" s="1347" t="s">
        <v>113</v>
      </c>
      <c r="G385" s="1347" t="s">
        <v>85</v>
      </c>
      <c r="H385" s="1347" t="s">
        <v>85</v>
      </c>
      <c r="I385" s="1347" t="s">
        <v>113</v>
      </c>
      <c r="J385" s="1349" t="s">
        <v>4690</v>
      </c>
      <c r="K385" s="1349" t="s">
        <v>254</v>
      </c>
      <c r="L385" s="1350" t="s">
        <v>4682</v>
      </c>
      <c r="M385" s="1350" t="s">
        <v>4691</v>
      </c>
      <c r="N385" s="1351" t="s">
        <v>98</v>
      </c>
      <c r="O385" s="1352" t="s">
        <v>4693</v>
      </c>
      <c r="P385" s="1388"/>
      <c r="Q385" s="1354"/>
      <c r="R385" s="1354"/>
      <c r="S385" s="1354"/>
      <c r="T385" s="1354"/>
      <c r="U385" s="1354"/>
      <c r="V385" s="1354"/>
      <c r="W385" s="1354"/>
      <c r="X385" s="1353">
        <v>43101</v>
      </c>
      <c r="Y385" s="1353">
        <v>43466</v>
      </c>
      <c r="Z385" s="1355">
        <v>6</v>
      </c>
      <c r="AA385" s="1355" t="s">
        <v>4685</v>
      </c>
      <c r="AB385" s="1356"/>
      <c r="AC385" s="1356"/>
      <c r="AD385" s="1356"/>
      <c r="AE385" s="1356"/>
      <c r="AF385" s="1357" t="str">
        <f t="shared" si="469"/>
        <v/>
      </c>
      <c r="AG385" s="1358">
        <v>47.88</v>
      </c>
      <c r="AH385" s="1358">
        <f t="shared" si="544"/>
        <v>574.56000000000006</v>
      </c>
      <c r="AI385" s="1359">
        <v>0.15</v>
      </c>
      <c r="AJ385" s="1360">
        <f t="shared" si="530"/>
        <v>7.1820000000000004</v>
      </c>
      <c r="AK385" s="1361">
        <f t="shared" si="531"/>
        <v>86.184000000000012</v>
      </c>
      <c r="AL385" s="1384">
        <v>0</v>
      </c>
      <c r="AM385" s="1363">
        <f t="shared" si="532"/>
        <v>0</v>
      </c>
      <c r="AN385" s="1364">
        <v>0</v>
      </c>
      <c r="AO385" s="1365">
        <f t="shared" si="533"/>
        <v>0</v>
      </c>
      <c r="AP385" s="1366">
        <v>0</v>
      </c>
      <c r="AQ385" s="1367">
        <f t="shared" si="534"/>
        <v>0</v>
      </c>
      <c r="AR385" s="1368">
        <v>0.1</v>
      </c>
      <c r="AS385" s="1369">
        <f t="shared" si="535"/>
        <v>57.45600000000001</v>
      </c>
      <c r="AT385" s="1370">
        <v>0</v>
      </c>
      <c r="AU385" s="1371">
        <f t="shared" si="536"/>
        <v>0</v>
      </c>
      <c r="AV385" s="1359">
        <f t="shared" si="537"/>
        <v>4.9999999999999989E-2</v>
      </c>
      <c r="AW385" s="1372">
        <f t="shared" si="538"/>
        <v>28.727999999999998</v>
      </c>
      <c r="AX385" s="1373">
        <f t="shared" si="539"/>
        <v>0.15</v>
      </c>
      <c r="AY385" s="1374">
        <f t="shared" si="540"/>
        <v>86.184000000000012</v>
      </c>
      <c r="AZ385" s="1375">
        <f t="shared" si="541"/>
        <v>0.15</v>
      </c>
      <c r="BA385" s="1376">
        <f t="shared" si="542"/>
        <v>86.184000000000012</v>
      </c>
      <c r="BB385" s="1377"/>
      <c r="BC385" s="1820"/>
      <c r="BD385" s="1820"/>
      <c r="BE385" s="1823"/>
      <c r="BF385" s="1826"/>
      <c r="BG385" s="1829"/>
    </row>
    <row r="386" spans="1:59" s="1378" customFormat="1" ht="31.5" customHeight="1">
      <c r="A386" s="1347" t="str">
        <f>L376</f>
        <v>eMolecules, Inc.</v>
      </c>
      <c r="B386" s="1348" t="str">
        <f>N376</f>
        <v>HUB SD</v>
      </c>
      <c r="C386" s="1348">
        <f>Z376</f>
        <v>33</v>
      </c>
      <c r="D386" s="1349">
        <v>43101</v>
      </c>
      <c r="E386" s="1349"/>
      <c r="F386" s="1347" t="s">
        <v>113</v>
      </c>
      <c r="G386" s="1347" t="s">
        <v>85</v>
      </c>
      <c r="H386" s="1347" t="s">
        <v>85</v>
      </c>
      <c r="I386" s="1347" t="s">
        <v>113</v>
      </c>
      <c r="J386" s="1349" t="s">
        <v>4690</v>
      </c>
      <c r="K386" s="1349" t="s">
        <v>254</v>
      </c>
      <c r="L386" s="1350" t="s">
        <v>4682</v>
      </c>
      <c r="M386" s="1350" t="s">
        <v>4691</v>
      </c>
      <c r="N386" s="1351" t="s">
        <v>4857</v>
      </c>
      <c r="O386" s="1352" t="s">
        <v>4695</v>
      </c>
      <c r="P386" s="1388"/>
      <c r="Q386" s="1354"/>
      <c r="R386" s="1354"/>
      <c r="S386" s="1354"/>
      <c r="T386" s="1354"/>
      <c r="U386" s="1354"/>
      <c r="V386" s="1354"/>
      <c r="W386" s="1354"/>
      <c r="X386" s="1353">
        <v>43101</v>
      </c>
      <c r="Y386" s="1353">
        <v>43466</v>
      </c>
      <c r="Z386" s="1355">
        <v>5</v>
      </c>
      <c r="AA386" s="1355" t="s">
        <v>4685</v>
      </c>
      <c r="AB386" s="1356"/>
      <c r="AC386" s="1356"/>
      <c r="AD386" s="1356"/>
      <c r="AE386" s="1356"/>
      <c r="AF386" s="1357" t="str">
        <f t="shared" si="469"/>
        <v/>
      </c>
      <c r="AG386" s="1358">
        <v>84.94</v>
      </c>
      <c r="AH386" s="1358">
        <f t="shared" si="544"/>
        <v>1019.28</v>
      </c>
      <c r="AI386" s="1359">
        <v>0.15</v>
      </c>
      <c r="AJ386" s="1360">
        <f t="shared" si="530"/>
        <v>12.741</v>
      </c>
      <c r="AK386" s="1361">
        <f t="shared" si="531"/>
        <v>152.892</v>
      </c>
      <c r="AL386" s="1384">
        <v>0</v>
      </c>
      <c r="AM386" s="1363">
        <f t="shared" si="532"/>
        <v>0</v>
      </c>
      <c r="AN386" s="1364">
        <v>0</v>
      </c>
      <c r="AO386" s="1365">
        <f t="shared" si="533"/>
        <v>0</v>
      </c>
      <c r="AP386" s="1366">
        <v>0</v>
      </c>
      <c r="AQ386" s="1367">
        <f t="shared" si="534"/>
        <v>0</v>
      </c>
      <c r="AR386" s="1368">
        <v>0.1</v>
      </c>
      <c r="AS386" s="1369">
        <f t="shared" si="535"/>
        <v>101.928</v>
      </c>
      <c r="AT386" s="1370">
        <v>0</v>
      </c>
      <c r="AU386" s="1371">
        <f t="shared" si="536"/>
        <v>0</v>
      </c>
      <c r="AV386" s="1359">
        <f t="shared" si="537"/>
        <v>4.9999999999999989E-2</v>
      </c>
      <c r="AW386" s="1372">
        <f t="shared" si="538"/>
        <v>50.963999999999984</v>
      </c>
      <c r="AX386" s="1373">
        <f t="shared" si="539"/>
        <v>0.15</v>
      </c>
      <c r="AY386" s="1374">
        <f t="shared" si="540"/>
        <v>152.892</v>
      </c>
      <c r="AZ386" s="1375">
        <f t="shared" si="541"/>
        <v>0.15</v>
      </c>
      <c r="BA386" s="1376">
        <f t="shared" si="542"/>
        <v>152.892</v>
      </c>
      <c r="BB386" s="1377"/>
      <c r="BC386" s="1820"/>
      <c r="BD386" s="1820"/>
      <c r="BE386" s="1823"/>
      <c r="BF386" s="1826"/>
      <c r="BG386" s="1829"/>
    </row>
    <row r="387" spans="1:59" s="1378" customFormat="1" ht="27.75" customHeight="1">
      <c r="A387" s="1347" t="s">
        <v>357</v>
      </c>
      <c r="B387" s="1348" t="s">
        <v>4661</v>
      </c>
      <c r="C387" s="1348">
        <v>30</v>
      </c>
      <c r="D387" s="1349">
        <v>43101</v>
      </c>
      <c r="E387" s="1349"/>
      <c r="F387" s="1347" t="s">
        <v>72</v>
      </c>
      <c r="G387" s="1347" t="s">
        <v>85</v>
      </c>
      <c r="H387" s="1347" t="s">
        <v>72</v>
      </c>
      <c r="I387" s="1347" t="s">
        <v>72</v>
      </c>
      <c r="J387" s="1349" t="s">
        <v>4670</v>
      </c>
      <c r="K387" s="1349" t="s">
        <v>254</v>
      </c>
      <c r="L387" s="1350" t="s">
        <v>4696</v>
      </c>
      <c r="M387" s="1350" t="s">
        <v>4697</v>
      </c>
      <c r="N387" s="1389" t="s">
        <v>4698</v>
      </c>
      <c r="O387" s="1352" t="s">
        <v>4699</v>
      </c>
      <c r="P387" s="1388"/>
      <c r="Q387" s="1354"/>
      <c r="R387" s="1354"/>
      <c r="S387" s="1354"/>
      <c r="T387" s="1354"/>
      <c r="U387" s="1354"/>
      <c r="V387" s="1354"/>
      <c r="W387" s="1354"/>
      <c r="X387" s="1353">
        <v>43101</v>
      </c>
      <c r="Y387" s="1353">
        <v>43466</v>
      </c>
      <c r="Z387" s="1355"/>
      <c r="AA387" s="1355" t="s">
        <v>4674</v>
      </c>
      <c r="AB387" s="1356"/>
      <c r="AC387" s="1356"/>
      <c r="AD387" s="1356"/>
      <c r="AE387" s="1356"/>
      <c r="AF387" s="1357" t="str">
        <f t="shared" si="469"/>
        <v/>
      </c>
      <c r="AG387" s="1380"/>
      <c r="AH387" s="1380"/>
      <c r="AI387" s="1381">
        <v>0</v>
      </c>
      <c r="AJ387" s="1382">
        <f t="shared" si="530"/>
        <v>0</v>
      </c>
      <c r="AK387" s="1383">
        <f t="shared" si="531"/>
        <v>0</v>
      </c>
      <c r="AL387" s="1384">
        <v>0</v>
      </c>
      <c r="AM387" s="1363">
        <f t="shared" si="532"/>
        <v>0</v>
      </c>
      <c r="AN387" s="1364">
        <v>0</v>
      </c>
      <c r="AO387" s="1365">
        <f t="shared" si="533"/>
        <v>0</v>
      </c>
      <c r="AP387" s="1366">
        <v>0</v>
      </c>
      <c r="AQ387" s="1367">
        <f t="shared" si="534"/>
        <v>0</v>
      </c>
      <c r="AR387" s="1368">
        <v>0</v>
      </c>
      <c r="AS387" s="1369">
        <f t="shared" si="535"/>
        <v>0</v>
      </c>
      <c r="AT387" s="1370">
        <v>0</v>
      </c>
      <c r="AU387" s="1371">
        <f t="shared" si="536"/>
        <v>0</v>
      </c>
      <c r="AV387" s="1359">
        <f t="shared" si="537"/>
        <v>0</v>
      </c>
      <c r="AW387" s="1372">
        <f t="shared" si="538"/>
        <v>0</v>
      </c>
      <c r="AX387" s="1373">
        <f t="shared" si="539"/>
        <v>0</v>
      </c>
      <c r="AY387" s="1374">
        <f t="shared" si="540"/>
        <v>0</v>
      </c>
      <c r="AZ387" s="1375">
        <f t="shared" si="541"/>
        <v>0</v>
      </c>
      <c r="BA387" s="1376">
        <f t="shared" si="542"/>
        <v>0</v>
      </c>
      <c r="BB387" s="1377"/>
      <c r="BC387" s="1820"/>
      <c r="BD387" s="1820"/>
      <c r="BE387" s="1823"/>
      <c r="BF387" s="1826"/>
      <c r="BG387" s="1829"/>
    </row>
    <row r="388" spans="1:59" s="1378" customFormat="1" ht="25.5">
      <c r="A388" s="1347" t="str">
        <f>L376</f>
        <v>eMolecules, Inc.</v>
      </c>
      <c r="B388" s="1348" t="str">
        <f>N376</f>
        <v>HUB SD</v>
      </c>
      <c r="C388" s="1348">
        <f>Z376</f>
        <v>33</v>
      </c>
      <c r="D388" s="1349">
        <v>43101</v>
      </c>
      <c r="E388" s="1349"/>
      <c r="F388" s="1347" t="s">
        <v>72</v>
      </c>
      <c r="G388" s="1347" t="s">
        <v>4700</v>
      </c>
      <c r="H388" s="1347" t="s">
        <v>72</v>
      </c>
      <c r="I388" s="1347" t="s">
        <v>72</v>
      </c>
      <c r="J388" s="1349" t="s">
        <v>4670</v>
      </c>
      <c r="K388" s="1349" t="s">
        <v>254</v>
      </c>
      <c r="L388" s="1350" t="s">
        <v>48</v>
      </c>
      <c r="M388" s="1350" t="s">
        <v>3652</v>
      </c>
      <c r="N388" s="1390" t="s">
        <v>5008</v>
      </c>
      <c r="O388" s="1352" t="s">
        <v>4702</v>
      </c>
      <c r="P388" s="1388"/>
      <c r="Q388" s="1354"/>
      <c r="R388" s="1354"/>
      <c r="S388" s="1354"/>
      <c r="T388" s="1354"/>
      <c r="U388" s="1354"/>
      <c r="V388" s="1354"/>
      <c r="W388" s="1354"/>
      <c r="X388" s="1353">
        <v>43101</v>
      </c>
      <c r="Y388" s="1353">
        <v>43466</v>
      </c>
      <c r="Z388" s="1355"/>
      <c r="AA388" s="1355" t="s">
        <v>4674</v>
      </c>
      <c r="AB388" s="1356"/>
      <c r="AC388" s="1356"/>
      <c r="AD388" s="1356"/>
      <c r="AE388" s="1356"/>
      <c r="AF388" s="1357" t="str">
        <f t="shared" si="469"/>
        <v/>
      </c>
      <c r="AG388" s="1380"/>
      <c r="AH388" s="1380"/>
      <c r="AI388" s="1381">
        <v>0</v>
      </c>
      <c r="AJ388" s="1382">
        <f t="shared" si="530"/>
        <v>0</v>
      </c>
      <c r="AK388" s="1383">
        <f t="shared" si="531"/>
        <v>0</v>
      </c>
      <c r="AL388" s="1384">
        <v>0</v>
      </c>
      <c r="AM388" s="1363">
        <f t="shared" si="532"/>
        <v>0</v>
      </c>
      <c r="AN388" s="1364">
        <v>0</v>
      </c>
      <c r="AO388" s="1365">
        <f t="shared" si="533"/>
        <v>0</v>
      </c>
      <c r="AP388" s="1366">
        <v>0</v>
      </c>
      <c r="AQ388" s="1367">
        <f t="shared" si="534"/>
        <v>0</v>
      </c>
      <c r="AR388" s="1368">
        <v>0</v>
      </c>
      <c r="AS388" s="1369">
        <f t="shared" si="535"/>
        <v>0</v>
      </c>
      <c r="AT388" s="1370">
        <v>0</v>
      </c>
      <c r="AU388" s="1371">
        <f t="shared" si="536"/>
        <v>0</v>
      </c>
      <c r="AV388" s="1359">
        <f t="shared" si="537"/>
        <v>0</v>
      </c>
      <c r="AW388" s="1372">
        <f t="shared" si="538"/>
        <v>0</v>
      </c>
      <c r="AX388" s="1373">
        <f t="shared" si="539"/>
        <v>0</v>
      </c>
      <c r="AY388" s="1374">
        <f t="shared" si="540"/>
        <v>0</v>
      </c>
      <c r="AZ388" s="1375">
        <f t="shared" si="541"/>
        <v>0</v>
      </c>
      <c r="BA388" s="1376">
        <f t="shared" si="542"/>
        <v>0</v>
      </c>
      <c r="BB388" s="1377"/>
      <c r="BC388" s="1820"/>
      <c r="BD388" s="1820"/>
      <c r="BE388" s="1823"/>
      <c r="BF388" s="1826"/>
      <c r="BG388" s="1829"/>
    </row>
    <row r="389" spans="1:59" s="1378" customFormat="1" ht="25.5">
      <c r="A389" s="1347" t="str">
        <f>L376</f>
        <v>eMolecules, Inc.</v>
      </c>
      <c r="B389" s="1348" t="str">
        <f>N376</f>
        <v>HUB SD</v>
      </c>
      <c r="C389" s="1348">
        <f>Z376</f>
        <v>33</v>
      </c>
      <c r="D389" s="1349">
        <v>43101</v>
      </c>
      <c r="E389" s="1349"/>
      <c r="F389" s="1347" t="s">
        <v>72</v>
      </c>
      <c r="G389" s="1347" t="s">
        <v>85</v>
      </c>
      <c r="H389" s="1347" t="s">
        <v>72</v>
      </c>
      <c r="I389" s="1347" t="s">
        <v>72</v>
      </c>
      <c r="J389" s="1349" t="s">
        <v>4670</v>
      </c>
      <c r="K389" s="1349" t="s">
        <v>254</v>
      </c>
      <c r="L389" s="1350" t="s">
        <v>48</v>
      </c>
      <c r="M389" s="1350" t="s">
        <v>253</v>
      </c>
      <c r="N389" s="1390" t="s">
        <v>4703</v>
      </c>
      <c r="O389" s="1352" t="s">
        <v>4704</v>
      </c>
      <c r="P389" s="1388"/>
      <c r="Q389" s="1354"/>
      <c r="R389" s="1354"/>
      <c r="S389" s="1354"/>
      <c r="T389" s="1354"/>
      <c r="U389" s="1354"/>
      <c r="V389" s="1354"/>
      <c r="W389" s="1354"/>
      <c r="X389" s="1353">
        <v>43101</v>
      </c>
      <c r="Y389" s="1353">
        <v>43466</v>
      </c>
      <c r="Z389" s="1355"/>
      <c r="AA389" s="1355" t="s">
        <v>4674</v>
      </c>
      <c r="AB389" s="1356"/>
      <c r="AC389" s="1356"/>
      <c r="AD389" s="1356"/>
      <c r="AE389" s="1356"/>
      <c r="AF389" s="1357" t="str">
        <f t="shared" si="469"/>
        <v/>
      </c>
      <c r="AG389" s="1380"/>
      <c r="AH389" s="1380"/>
      <c r="AI389" s="1381">
        <v>0</v>
      </c>
      <c r="AJ389" s="1382">
        <f t="shared" si="530"/>
        <v>0</v>
      </c>
      <c r="AK389" s="1383">
        <f t="shared" si="531"/>
        <v>0</v>
      </c>
      <c r="AL389" s="1384">
        <v>0</v>
      </c>
      <c r="AM389" s="1363">
        <f t="shared" si="532"/>
        <v>0</v>
      </c>
      <c r="AN389" s="1364">
        <v>0</v>
      </c>
      <c r="AO389" s="1365">
        <f t="shared" si="533"/>
        <v>0</v>
      </c>
      <c r="AP389" s="1366">
        <v>0</v>
      </c>
      <c r="AQ389" s="1367">
        <f t="shared" si="534"/>
        <v>0</v>
      </c>
      <c r="AR389" s="1368">
        <v>0</v>
      </c>
      <c r="AS389" s="1369">
        <f t="shared" si="535"/>
        <v>0</v>
      </c>
      <c r="AT389" s="1370">
        <v>0</v>
      </c>
      <c r="AU389" s="1371">
        <f t="shared" si="536"/>
        <v>0</v>
      </c>
      <c r="AV389" s="1359">
        <f t="shared" si="537"/>
        <v>0</v>
      </c>
      <c r="AW389" s="1372">
        <f t="shared" si="538"/>
        <v>0</v>
      </c>
      <c r="AX389" s="1373">
        <f t="shared" si="539"/>
        <v>0</v>
      </c>
      <c r="AY389" s="1374">
        <f t="shared" si="540"/>
        <v>0</v>
      </c>
      <c r="AZ389" s="1375">
        <f t="shared" si="541"/>
        <v>0</v>
      </c>
      <c r="BA389" s="1376">
        <f t="shared" si="542"/>
        <v>0</v>
      </c>
      <c r="BB389" s="1377"/>
      <c r="BC389" s="1820"/>
      <c r="BD389" s="1820"/>
      <c r="BE389" s="1823"/>
      <c r="BF389" s="1826"/>
      <c r="BG389" s="1829"/>
    </row>
    <row r="390" spans="1:59" s="1378" customFormat="1" ht="25.5" customHeight="1">
      <c r="A390" s="1347" t="str">
        <f>L376</f>
        <v>eMolecules, Inc.</v>
      </c>
      <c r="B390" s="1348" t="str">
        <f>N376</f>
        <v>HUB SD</v>
      </c>
      <c r="C390" s="1348">
        <f>Z376</f>
        <v>33</v>
      </c>
      <c r="D390" s="1349">
        <v>43101</v>
      </c>
      <c r="E390" s="1349"/>
      <c r="F390" s="1347" t="s">
        <v>72</v>
      </c>
      <c r="G390" s="1347" t="s">
        <v>85</v>
      </c>
      <c r="H390" s="1347" t="s">
        <v>72</v>
      </c>
      <c r="I390" s="1347" t="s">
        <v>72</v>
      </c>
      <c r="J390" s="1349" t="s">
        <v>4670</v>
      </c>
      <c r="K390" s="1349" t="s">
        <v>254</v>
      </c>
      <c r="L390" s="1350" t="s">
        <v>49</v>
      </c>
      <c r="M390" s="1350" t="s">
        <v>4705</v>
      </c>
      <c r="N390" s="1390" t="s">
        <v>4706</v>
      </c>
      <c r="O390" s="1352" t="s">
        <v>4707</v>
      </c>
      <c r="P390" s="1388"/>
      <c r="Q390" s="1354"/>
      <c r="R390" s="1354"/>
      <c r="S390" s="1354"/>
      <c r="T390" s="1354"/>
      <c r="U390" s="1354"/>
      <c r="V390" s="1354"/>
      <c r="W390" s="1354"/>
      <c r="X390" s="1353">
        <v>43101</v>
      </c>
      <c r="Y390" s="1353">
        <v>43466</v>
      </c>
      <c r="Z390" s="1355"/>
      <c r="AA390" s="1355" t="s">
        <v>4674</v>
      </c>
      <c r="AB390" s="1356"/>
      <c r="AC390" s="1356"/>
      <c r="AD390" s="1356"/>
      <c r="AE390" s="1356"/>
      <c r="AF390" s="1357" t="str">
        <f t="shared" si="469"/>
        <v/>
      </c>
      <c r="AG390" s="1380"/>
      <c r="AH390" s="1380"/>
      <c r="AI390" s="1381">
        <v>0</v>
      </c>
      <c r="AJ390" s="1382">
        <f t="shared" si="530"/>
        <v>0</v>
      </c>
      <c r="AK390" s="1383">
        <f t="shared" si="531"/>
        <v>0</v>
      </c>
      <c r="AL390" s="1384">
        <v>0</v>
      </c>
      <c r="AM390" s="1363">
        <f t="shared" si="532"/>
        <v>0</v>
      </c>
      <c r="AN390" s="1364">
        <v>0</v>
      </c>
      <c r="AO390" s="1365">
        <f t="shared" si="533"/>
        <v>0</v>
      </c>
      <c r="AP390" s="1366">
        <v>0</v>
      </c>
      <c r="AQ390" s="1367">
        <f t="shared" si="534"/>
        <v>0</v>
      </c>
      <c r="AR390" s="1368">
        <v>0</v>
      </c>
      <c r="AS390" s="1369">
        <f t="shared" si="535"/>
        <v>0</v>
      </c>
      <c r="AT390" s="1370">
        <v>0</v>
      </c>
      <c r="AU390" s="1371">
        <f t="shared" si="536"/>
        <v>0</v>
      </c>
      <c r="AV390" s="1359">
        <f t="shared" si="537"/>
        <v>0</v>
      </c>
      <c r="AW390" s="1372">
        <f t="shared" si="538"/>
        <v>0</v>
      </c>
      <c r="AX390" s="1373">
        <f t="shared" si="539"/>
        <v>0</v>
      </c>
      <c r="AY390" s="1374">
        <f t="shared" si="540"/>
        <v>0</v>
      </c>
      <c r="AZ390" s="1375">
        <f t="shared" si="541"/>
        <v>0</v>
      </c>
      <c r="BA390" s="1376">
        <f t="shared" si="542"/>
        <v>0</v>
      </c>
      <c r="BB390" s="1377"/>
      <c r="BC390" s="1820"/>
      <c r="BD390" s="1820"/>
      <c r="BE390" s="1823"/>
      <c r="BF390" s="1826"/>
      <c r="BG390" s="1829"/>
    </row>
    <row r="391" spans="1:59" s="1378" customFormat="1" ht="21.75" customHeight="1">
      <c r="A391" s="1347" t="str">
        <f>A390</f>
        <v>eMolecules, Inc.</v>
      </c>
      <c r="B391" s="1348" t="str">
        <f>B390</f>
        <v>HUB SD</v>
      </c>
      <c r="C391" s="1348">
        <f>C390</f>
        <v>33</v>
      </c>
      <c r="D391" s="1349">
        <v>43101</v>
      </c>
      <c r="E391" s="1349"/>
      <c r="F391" s="1347" t="s">
        <v>72</v>
      </c>
      <c r="G391" s="1347" t="s">
        <v>85</v>
      </c>
      <c r="H391" s="1347" t="s">
        <v>72</v>
      </c>
      <c r="I391" s="1347" t="s">
        <v>72</v>
      </c>
      <c r="J391" s="1349" t="s">
        <v>4670</v>
      </c>
      <c r="K391" s="1349" t="s">
        <v>254</v>
      </c>
      <c r="L391" s="1350" t="s">
        <v>3056</v>
      </c>
      <c r="M391" s="1350" t="s">
        <v>4708</v>
      </c>
      <c r="N391" s="1390" t="s">
        <v>4709</v>
      </c>
      <c r="O391" s="1352" t="s">
        <v>4710</v>
      </c>
      <c r="P391" s="1388"/>
      <c r="Q391" s="1354"/>
      <c r="R391" s="1354"/>
      <c r="S391" s="1354"/>
      <c r="T391" s="1354"/>
      <c r="U391" s="1354"/>
      <c r="V391" s="1354"/>
      <c r="W391" s="1354"/>
      <c r="X391" s="1353">
        <v>43101</v>
      </c>
      <c r="Y391" s="1353">
        <v>43466</v>
      </c>
      <c r="Z391" s="1355"/>
      <c r="AA391" s="1355" t="s">
        <v>4674</v>
      </c>
      <c r="AB391" s="1356"/>
      <c r="AC391" s="1356"/>
      <c r="AD391" s="1356"/>
      <c r="AE391" s="1356"/>
      <c r="AF391" s="1357" t="str">
        <f t="shared" si="469"/>
        <v/>
      </c>
      <c r="AG391" s="1380"/>
      <c r="AH391" s="1380"/>
      <c r="AI391" s="1381">
        <v>0</v>
      </c>
      <c r="AJ391" s="1382">
        <f t="shared" si="530"/>
        <v>0</v>
      </c>
      <c r="AK391" s="1383">
        <f t="shared" si="531"/>
        <v>0</v>
      </c>
      <c r="AL391" s="1384">
        <v>0</v>
      </c>
      <c r="AM391" s="1363">
        <f t="shared" si="532"/>
        <v>0</v>
      </c>
      <c r="AN391" s="1364">
        <v>0</v>
      </c>
      <c r="AO391" s="1365">
        <f t="shared" si="533"/>
        <v>0</v>
      </c>
      <c r="AP391" s="1366">
        <v>0</v>
      </c>
      <c r="AQ391" s="1367">
        <f t="shared" si="534"/>
        <v>0</v>
      </c>
      <c r="AR391" s="1368">
        <v>0</v>
      </c>
      <c r="AS391" s="1369">
        <f t="shared" si="535"/>
        <v>0</v>
      </c>
      <c r="AT391" s="1370">
        <v>0</v>
      </c>
      <c r="AU391" s="1371">
        <f t="shared" si="536"/>
        <v>0</v>
      </c>
      <c r="AV391" s="1359">
        <f t="shared" si="537"/>
        <v>0</v>
      </c>
      <c r="AW391" s="1372">
        <f t="shared" si="538"/>
        <v>0</v>
      </c>
      <c r="AX391" s="1373">
        <f t="shared" si="539"/>
        <v>0</v>
      </c>
      <c r="AY391" s="1374">
        <f t="shared" si="540"/>
        <v>0</v>
      </c>
      <c r="AZ391" s="1375">
        <f t="shared" si="541"/>
        <v>0</v>
      </c>
      <c r="BA391" s="1376">
        <f t="shared" si="542"/>
        <v>0</v>
      </c>
      <c r="BB391" s="1391"/>
      <c r="BC391" s="1821"/>
      <c r="BD391" s="1821"/>
      <c r="BE391" s="1824"/>
      <c r="BF391" s="1827"/>
      <c r="BG391" s="1830"/>
    </row>
    <row r="392" spans="1:59" s="1315" customFormat="1" ht="51">
      <c r="A392" s="1277" t="str">
        <f>L392</f>
        <v>Escient Pharmaceuticals, Inc.</v>
      </c>
      <c r="B392" s="1277" t="str">
        <f>N$969</f>
        <v>HUB SD (Small)</v>
      </c>
      <c r="C392" s="1316">
        <f>Z392</f>
        <v>4</v>
      </c>
      <c r="D392" s="1317">
        <v>43282</v>
      </c>
      <c r="E392" s="1317"/>
      <c r="F392" s="1277" t="s">
        <v>72</v>
      </c>
      <c r="G392" s="1277" t="s">
        <v>72</v>
      </c>
      <c r="H392" s="1277" t="s">
        <v>72</v>
      </c>
      <c r="I392" s="1277" t="s">
        <v>4711</v>
      </c>
      <c r="J392" s="1317"/>
      <c r="K392" s="1317"/>
      <c r="L392" s="1318" t="s">
        <v>4567</v>
      </c>
      <c r="M392" s="1319"/>
      <c r="N392" s="1427" t="s">
        <v>4983</v>
      </c>
      <c r="O392" s="1419" t="s">
        <v>2473</v>
      </c>
      <c r="P392" s="1419"/>
      <c r="Q392" s="1322"/>
      <c r="R392" s="1322"/>
      <c r="S392" s="1322"/>
      <c r="T392" s="1322"/>
      <c r="U392" s="1322"/>
      <c r="V392" s="1322"/>
      <c r="W392" s="1322"/>
      <c r="X392" s="1317">
        <v>43282</v>
      </c>
      <c r="Y392" s="1317">
        <v>43466</v>
      </c>
      <c r="Z392" s="1316">
        <v>4</v>
      </c>
      <c r="AA392" s="1316" t="s">
        <v>5009</v>
      </c>
      <c r="AB392" s="1323">
        <f>SUM(AB393:AB404)</f>
        <v>0</v>
      </c>
      <c r="AC392" s="1323">
        <f>SUM(AC393:AC404)</f>
        <v>0</v>
      </c>
      <c r="AD392" s="1323">
        <f>SUM(AD393:AD404)</f>
        <v>0</v>
      </c>
      <c r="AE392" s="1324">
        <f t="shared" ref="AE392:AE422" si="545">AD392-AB392</f>
        <v>0</v>
      </c>
      <c r="AF392" s="1325" t="str">
        <f t="shared" si="469"/>
        <v/>
      </c>
      <c r="AG392" s="1326">
        <f>SUM(AG393:AG404)</f>
        <v>0</v>
      </c>
      <c r="AH392" s="1326">
        <f>SUM(AH393:AH404)</f>
        <v>0</v>
      </c>
      <c r="AI392" s="1339" t="s">
        <v>5010</v>
      </c>
      <c r="AJ392" s="1328">
        <f>SUM(AJ393:AJ404)</f>
        <v>0</v>
      </c>
      <c r="AK392" s="1328">
        <f>SUM(AK393:AK404)</f>
        <v>0</v>
      </c>
      <c r="AL392" s="1329"/>
      <c r="AM392" s="1330">
        <f>SUM(AM393:AM404)</f>
        <v>0</v>
      </c>
      <c r="AN392" s="1331"/>
      <c r="AO392" s="1332">
        <f>SUM(AO393:AO404)</f>
        <v>0</v>
      </c>
      <c r="AP392" s="1333"/>
      <c r="AQ392" s="1334">
        <f>SUM(AQ393:AQ404)</f>
        <v>0</v>
      </c>
      <c r="AR392" s="1335"/>
      <c r="AS392" s="1336">
        <f>SUM(AS393:AS404)</f>
        <v>0</v>
      </c>
      <c r="AT392" s="1337"/>
      <c r="AU392" s="1338">
        <f>SUM(AU393:AU404)</f>
        <v>0</v>
      </c>
      <c r="AV392" s="1339"/>
      <c r="AW392" s="1340">
        <f>SUM(AW393:AW404)</f>
        <v>0</v>
      </c>
      <c r="AX392" s="1306"/>
      <c r="AY392" s="1307">
        <f>SUM(AW392+AS392+AU392)</f>
        <v>0</v>
      </c>
      <c r="AZ392" s="1341"/>
      <c r="BA392" s="1309">
        <f>SUM(AY392+AQ392)</f>
        <v>0</v>
      </c>
      <c r="BB392" s="1342" t="e">
        <f>(AW392+AU392)/(AK392-AM392)</f>
        <v>#DIV/0!</v>
      </c>
      <c r="BC392" s="1343"/>
      <c r="BD392" s="1343"/>
      <c r="BE392" s="1344"/>
      <c r="BF392" s="1478" t="s">
        <v>4972</v>
      </c>
      <c r="BG392" s="1346"/>
    </row>
    <row r="393" spans="1:59" s="1378" customFormat="1" ht="38.25">
      <c r="A393" s="1347" t="str">
        <f t="shared" ref="A393:A404" si="546">L$392</f>
        <v>Escient Pharmaceuticals, Inc.</v>
      </c>
      <c r="B393" s="1348" t="str">
        <f t="shared" ref="B393:B404" si="547">N$392</f>
        <v>HUB SD (Small)</v>
      </c>
      <c r="C393" s="1348">
        <f t="shared" ref="C393:C404" si="548">Z$392</f>
        <v>4</v>
      </c>
      <c r="D393" s="1349">
        <f t="shared" ref="D393:D404" si="549">D$392</f>
        <v>43282</v>
      </c>
      <c r="E393" s="1349"/>
      <c r="F393" s="1347" t="s">
        <v>85</v>
      </c>
      <c r="G393" s="1347" t="s">
        <v>85</v>
      </c>
      <c r="H393" s="1347" t="s">
        <v>85</v>
      </c>
      <c r="I393" s="1347" t="s">
        <v>113</v>
      </c>
      <c r="J393" s="1349"/>
      <c r="K393" s="1349" t="s">
        <v>254</v>
      </c>
      <c r="L393" s="1350" t="s">
        <v>2661</v>
      </c>
      <c r="M393" s="1350" t="s">
        <v>3647</v>
      </c>
      <c r="N393" s="1351" t="s">
        <v>5011</v>
      </c>
      <c r="O393" s="1352" t="s">
        <v>5012</v>
      </c>
      <c r="P393" s="1352" t="s">
        <v>5013</v>
      </c>
      <c r="Q393" s="1353" t="s">
        <v>317</v>
      </c>
      <c r="R393" s="1353" t="s">
        <v>3658</v>
      </c>
      <c r="S393" s="1353" t="s">
        <v>307</v>
      </c>
      <c r="T393" s="1353" t="s">
        <v>113</v>
      </c>
      <c r="U393" s="1354"/>
      <c r="V393" s="1354"/>
      <c r="W393" s="1354"/>
      <c r="X393" s="1353">
        <f t="shared" ref="X393:Y404" si="550">X$392</f>
        <v>43282</v>
      </c>
      <c r="Y393" s="1353">
        <f t="shared" si="550"/>
        <v>43466</v>
      </c>
      <c r="Z393" s="1355"/>
      <c r="AA393" s="1355" t="s">
        <v>4988</v>
      </c>
      <c r="AB393" s="1356"/>
      <c r="AC393" s="1356"/>
      <c r="AD393" s="1422">
        <f>AH393</f>
        <v>0</v>
      </c>
      <c r="AE393" s="1422">
        <f t="shared" si="545"/>
        <v>0</v>
      </c>
      <c r="AF393" s="1423" t="str">
        <f t="shared" si="469"/>
        <v/>
      </c>
      <c r="AG393" s="1358">
        <v>0</v>
      </c>
      <c r="AH393" s="1426">
        <f t="shared" ref="AH393" si="551">AG393*12</f>
        <v>0</v>
      </c>
      <c r="AI393" s="1359">
        <v>0.08</v>
      </c>
      <c r="AJ393" s="1360">
        <f>$AI393*$AG393</f>
        <v>0</v>
      </c>
      <c r="AK393" s="1361">
        <f>AI393*$AH393</f>
        <v>0</v>
      </c>
      <c r="AL393" s="1362">
        <v>5.0000000000000001E-3</v>
      </c>
      <c r="AM393" s="1363">
        <f t="shared" ref="AM393:AM404" si="552">AL393*$AH393</f>
        <v>0</v>
      </c>
      <c r="AN393" s="1364">
        <v>0</v>
      </c>
      <c r="AO393" s="1365">
        <f t="shared" ref="AO393:AO404" si="553">AN393*$AH393</f>
        <v>0</v>
      </c>
      <c r="AP393" s="1366">
        <v>0</v>
      </c>
      <c r="AQ393" s="1367">
        <f t="shared" ref="AQ393:AQ404" si="554">AP393*$AH393</f>
        <v>0</v>
      </c>
      <c r="AR393" s="1368">
        <v>0</v>
      </c>
      <c r="AS393" s="1369">
        <f t="shared" ref="AS393:AS404" si="555">AR393*$AH393</f>
        <v>0</v>
      </c>
      <c r="AT393" s="1370">
        <v>7.4999999999999997E-2</v>
      </c>
      <c r="AU393" s="1371">
        <f t="shared" ref="AU393:AU404" si="556">AT393*$AH393</f>
        <v>0</v>
      </c>
      <c r="AV393" s="1359">
        <f t="shared" ref="AV393:AV404" si="557">AZ393-AR393-AT393-AP393</f>
        <v>0</v>
      </c>
      <c r="AW393" s="1372">
        <f t="shared" ref="AW393:AW404" si="558">AV393*$AH393</f>
        <v>0</v>
      </c>
      <c r="AX393" s="1373">
        <f t="shared" ref="AX393:AX404" si="559">$AZ393-$AP393</f>
        <v>7.4999999999999997E-2</v>
      </c>
      <c r="AY393" s="1374">
        <f t="shared" ref="AY393:AY404" si="560">AX393*$AH393</f>
        <v>0</v>
      </c>
      <c r="AZ393" s="1375">
        <f t="shared" ref="AZ393:AZ404" si="561">$AI393-$AL393-$AN393</f>
        <v>7.4999999999999997E-2</v>
      </c>
      <c r="BA393" s="1376">
        <f t="shared" ref="BA393:BA404" si="562">AZ393*$AH393</f>
        <v>0</v>
      </c>
      <c r="BB393" s="1391"/>
      <c r="BC393" s="1819" t="s">
        <v>4568</v>
      </c>
      <c r="BD393" s="1819" t="s">
        <v>4570</v>
      </c>
      <c r="BE393" s="1822" t="s">
        <v>4570</v>
      </c>
      <c r="BF393" s="1825" t="s">
        <v>4339</v>
      </c>
      <c r="BG393" s="1828" t="s">
        <v>4569</v>
      </c>
    </row>
    <row r="394" spans="1:59" s="1378" customFormat="1" ht="38.25">
      <c r="A394" s="1347" t="str">
        <f t="shared" si="546"/>
        <v>Escient Pharmaceuticals, Inc.</v>
      </c>
      <c r="B394" s="1348" t="str">
        <f t="shared" si="547"/>
        <v>HUB SD (Small)</v>
      </c>
      <c r="C394" s="1348">
        <f t="shared" si="548"/>
        <v>4</v>
      </c>
      <c r="D394" s="1349">
        <f t="shared" si="549"/>
        <v>43282</v>
      </c>
      <c r="E394" s="1349"/>
      <c r="F394" s="1347" t="s">
        <v>72</v>
      </c>
      <c r="G394" s="1347" t="s">
        <v>85</v>
      </c>
      <c r="H394" s="1347" t="s">
        <v>72</v>
      </c>
      <c r="I394" s="1347" t="s">
        <v>72</v>
      </c>
      <c r="J394" s="1349" t="s">
        <v>4670</v>
      </c>
      <c r="K394" s="1349" t="s">
        <v>254</v>
      </c>
      <c r="L394" s="1350" t="s">
        <v>4671</v>
      </c>
      <c r="M394" s="1350" t="s">
        <v>3649</v>
      </c>
      <c r="N394" s="1379" t="s">
        <v>5014</v>
      </c>
      <c r="O394" s="1352" t="s">
        <v>4832</v>
      </c>
      <c r="P394" s="1388"/>
      <c r="Q394" s="1354"/>
      <c r="R394" s="1354"/>
      <c r="S394" s="1354"/>
      <c r="T394" s="1354"/>
      <c r="U394" s="1354"/>
      <c r="V394" s="1354"/>
      <c r="W394" s="1354"/>
      <c r="X394" s="1353">
        <f t="shared" si="550"/>
        <v>43282</v>
      </c>
      <c r="Y394" s="1353">
        <f t="shared" si="550"/>
        <v>43466</v>
      </c>
      <c r="Z394" s="1355"/>
      <c r="AA394" s="1355" t="s">
        <v>4674</v>
      </c>
      <c r="AB394" s="1356"/>
      <c r="AC394" s="1356"/>
      <c r="AD394" s="1422">
        <v>0</v>
      </c>
      <c r="AE394" s="1422">
        <f t="shared" si="545"/>
        <v>0</v>
      </c>
      <c r="AF394" s="1423" t="str">
        <f t="shared" si="469"/>
        <v/>
      </c>
      <c r="AG394" s="1380"/>
      <c r="AH394" s="1380"/>
      <c r="AI394" s="1381">
        <v>0</v>
      </c>
      <c r="AJ394" s="1382"/>
      <c r="AK394" s="1383">
        <f>AI394*$AH394</f>
        <v>0</v>
      </c>
      <c r="AL394" s="1384">
        <v>0</v>
      </c>
      <c r="AM394" s="1363">
        <f t="shared" si="552"/>
        <v>0</v>
      </c>
      <c r="AN394" s="1364">
        <v>0</v>
      </c>
      <c r="AO394" s="1365">
        <f t="shared" si="553"/>
        <v>0</v>
      </c>
      <c r="AP394" s="1366">
        <v>0</v>
      </c>
      <c r="AQ394" s="1367">
        <f t="shared" si="554"/>
        <v>0</v>
      </c>
      <c r="AR394" s="1368">
        <v>0</v>
      </c>
      <c r="AS394" s="1369">
        <f t="shared" si="555"/>
        <v>0</v>
      </c>
      <c r="AT394" s="1370">
        <v>0</v>
      </c>
      <c r="AU394" s="1371">
        <f t="shared" si="556"/>
        <v>0</v>
      </c>
      <c r="AV394" s="1359">
        <f t="shared" si="557"/>
        <v>0</v>
      </c>
      <c r="AW394" s="1372">
        <f t="shared" si="558"/>
        <v>0</v>
      </c>
      <c r="AX394" s="1373">
        <f t="shared" si="559"/>
        <v>0</v>
      </c>
      <c r="AY394" s="1374">
        <f t="shared" si="560"/>
        <v>0</v>
      </c>
      <c r="AZ394" s="1375">
        <f t="shared" si="561"/>
        <v>0</v>
      </c>
      <c r="BA394" s="1376">
        <f t="shared" si="562"/>
        <v>0</v>
      </c>
      <c r="BB394" s="1391"/>
      <c r="BC394" s="1820"/>
      <c r="BD394" s="1820"/>
      <c r="BE394" s="1823"/>
      <c r="BF394" s="1826"/>
      <c r="BG394" s="1829"/>
    </row>
    <row r="395" spans="1:59" s="1378" customFormat="1" ht="41.25" customHeight="1">
      <c r="A395" s="1347" t="str">
        <f t="shared" si="546"/>
        <v>Escient Pharmaceuticals, Inc.</v>
      </c>
      <c r="B395" s="1348" t="str">
        <f t="shared" si="547"/>
        <v>HUB SD (Small)</v>
      </c>
      <c r="C395" s="1348">
        <f t="shared" si="548"/>
        <v>4</v>
      </c>
      <c r="D395" s="1349">
        <f t="shared" si="549"/>
        <v>43282</v>
      </c>
      <c r="E395" s="1349"/>
      <c r="F395" s="1347" t="s">
        <v>113</v>
      </c>
      <c r="G395" s="1347" t="s">
        <v>85</v>
      </c>
      <c r="H395" s="1347" t="s">
        <v>85</v>
      </c>
      <c r="I395" s="1347" t="s">
        <v>113</v>
      </c>
      <c r="J395" s="1349"/>
      <c r="K395" s="1349" t="s">
        <v>254</v>
      </c>
      <c r="L395" s="1350" t="s">
        <v>4675</v>
      </c>
      <c r="M395" s="1350" t="s">
        <v>3650</v>
      </c>
      <c r="N395" s="1385" t="s">
        <v>5015</v>
      </c>
      <c r="O395" s="1352" t="s">
        <v>4677</v>
      </c>
      <c r="P395" s="1388"/>
      <c r="Q395" s="1354"/>
      <c r="R395" s="1354"/>
      <c r="S395" s="1354"/>
      <c r="T395" s="1354"/>
      <c r="U395" s="1353" t="s">
        <v>4802</v>
      </c>
      <c r="V395" s="1353" t="s">
        <v>2495</v>
      </c>
      <c r="W395" s="1354"/>
      <c r="X395" s="1353">
        <f t="shared" si="550"/>
        <v>43282</v>
      </c>
      <c r="Y395" s="1353">
        <f t="shared" si="550"/>
        <v>43466</v>
      </c>
      <c r="Z395" s="1355"/>
      <c r="AA395" s="1355" t="s">
        <v>4991</v>
      </c>
      <c r="AB395" s="1356"/>
      <c r="AC395" s="1356"/>
      <c r="AD395" s="1422">
        <f>AH395</f>
        <v>0</v>
      </c>
      <c r="AE395" s="1422">
        <f t="shared" si="545"/>
        <v>0</v>
      </c>
      <c r="AF395" s="1423" t="str">
        <f t="shared" si="469"/>
        <v/>
      </c>
      <c r="AG395" s="1358">
        <v>0</v>
      </c>
      <c r="AH395" s="1426">
        <f t="shared" ref="AH395:AH397" si="563">AG395*12</f>
        <v>0</v>
      </c>
      <c r="AI395" s="1359">
        <v>0.1</v>
      </c>
      <c r="AJ395" s="1360">
        <f t="shared" ref="AJ395:AJ400" si="564">$AI395*$AG395</f>
        <v>0</v>
      </c>
      <c r="AK395" s="1361">
        <f t="shared" ref="AK395:AK404" si="565">AI395*$AH395</f>
        <v>0</v>
      </c>
      <c r="AL395" s="1384">
        <v>0</v>
      </c>
      <c r="AM395" s="1363">
        <f t="shared" si="552"/>
        <v>0</v>
      </c>
      <c r="AN395" s="1364">
        <v>0</v>
      </c>
      <c r="AO395" s="1365">
        <f t="shared" si="553"/>
        <v>0</v>
      </c>
      <c r="AP395" s="1366">
        <v>0</v>
      </c>
      <c r="AQ395" s="1367">
        <f t="shared" si="554"/>
        <v>0</v>
      </c>
      <c r="AR395" s="1368">
        <v>0</v>
      </c>
      <c r="AS395" s="1369">
        <f t="shared" si="555"/>
        <v>0</v>
      </c>
      <c r="AT395" s="1370">
        <v>0.1</v>
      </c>
      <c r="AU395" s="1371">
        <f t="shared" si="556"/>
        <v>0</v>
      </c>
      <c r="AV395" s="1359">
        <f t="shared" si="557"/>
        <v>0</v>
      </c>
      <c r="AW395" s="1372">
        <f t="shared" si="558"/>
        <v>0</v>
      </c>
      <c r="AX395" s="1373">
        <f t="shared" si="559"/>
        <v>0.1</v>
      </c>
      <c r="AY395" s="1374">
        <f t="shared" si="560"/>
        <v>0</v>
      </c>
      <c r="AZ395" s="1375">
        <f t="shared" si="561"/>
        <v>0.1</v>
      </c>
      <c r="BA395" s="1376">
        <f t="shared" si="562"/>
        <v>0</v>
      </c>
      <c r="BB395" s="1391"/>
      <c r="BC395" s="1820"/>
      <c r="BD395" s="1820"/>
      <c r="BE395" s="1823"/>
      <c r="BF395" s="1826"/>
      <c r="BG395" s="1829"/>
    </row>
    <row r="396" spans="1:59" s="1378" customFormat="1" ht="27.75" customHeight="1">
      <c r="A396" s="1347" t="str">
        <f t="shared" si="546"/>
        <v>Escient Pharmaceuticals, Inc.</v>
      </c>
      <c r="B396" s="1348" t="str">
        <f t="shared" si="547"/>
        <v>HUB SD (Small)</v>
      </c>
      <c r="C396" s="1348">
        <f t="shared" si="548"/>
        <v>4</v>
      </c>
      <c r="D396" s="1349">
        <f t="shared" si="549"/>
        <v>43282</v>
      </c>
      <c r="E396" s="1349"/>
      <c r="F396" s="1347" t="s">
        <v>113</v>
      </c>
      <c r="G396" s="1347" t="s">
        <v>85</v>
      </c>
      <c r="H396" s="1347" t="s">
        <v>85</v>
      </c>
      <c r="I396" s="1347" t="s">
        <v>113</v>
      </c>
      <c r="J396" s="1349"/>
      <c r="K396" s="1349" t="s">
        <v>254</v>
      </c>
      <c r="L396" s="1350" t="s">
        <v>4675</v>
      </c>
      <c r="M396" s="1350" t="s">
        <v>3651</v>
      </c>
      <c r="N396" s="1351" t="s">
        <v>4856</v>
      </c>
      <c r="O396" s="1352" t="s">
        <v>4681</v>
      </c>
      <c r="P396" s="1388"/>
      <c r="Q396" s="1354"/>
      <c r="R396" s="1354"/>
      <c r="S396" s="1354"/>
      <c r="T396" s="1354"/>
      <c r="U396" s="1354"/>
      <c r="V396" s="1354"/>
      <c r="W396" s="1353" t="s">
        <v>2492</v>
      </c>
      <c r="X396" s="1353">
        <f t="shared" si="550"/>
        <v>43282</v>
      </c>
      <c r="Y396" s="1353">
        <f t="shared" si="550"/>
        <v>43466</v>
      </c>
      <c r="Z396" s="1355"/>
      <c r="AA396" s="1355" t="s">
        <v>4991</v>
      </c>
      <c r="AB396" s="1356"/>
      <c r="AC396" s="1356"/>
      <c r="AD396" s="1422">
        <f>AH396</f>
        <v>0</v>
      </c>
      <c r="AE396" s="1422">
        <f t="shared" si="545"/>
        <v>0</v>
      </c>
      <c r="AF396" s="1423" t="str">
        <f t="shared" si="469"/>
        <v/>
      </c>
      <c r="AG396" s="1358">
        <v>0</v>
      </c>
      <c r="AH396" s="1426">
        <f t="shared" si="563"/>
        <v>0</v>
      </c>
      <c r="AI396" s="1359">
        <v>0.1</v>
      </c>
      <c r="AJ396" s="1360">
        <f t="shared" si="564"/>
        <v>0</v>
      </c>
      <c r="AK396" s="1361">
        <f t="shared" si="565"/>
        <v>0</v>
      </c>
      <c r="AL396" s="1384">
        <v>0</v>
      </c>
      <c r="AM396" s="1363">
        <f t="shared" si="552"/>
        <v>0</v>
      </c>
      <c r="AN396" s="1364">
        <v>0</v>
      </c>
      <c r="AO396" s="1365">
        <f t="shared" si="553"/>
        <v>0</v>
      </c>
      <c r="AP396" s="1366">
        <v>0</v>
      </c>
      <c r="AQ396" s="1367">
        <f t="shared" si="554"/>
        <v>0</v>
      </c>
      <c r="AR396" s="1368">
        <v>0</v>
      </c>
      <c r="AS396" s="1369">
        <f t="shared" si="555"/>
        <v>0</v>
      </c>
      <c r="AT396" s="1370">
        <v>0.1</v>
      </c>
      <c r="AU396" s="1371">
        <f t="shared" si="556"/>
        <v>0</v>
      </c>
      <c r="AV396" s="1359">
        <f t="shared" si="557"/>
        <v>0</v>
      </c>
      <c r="AW396" s="1372">
        <f t="shared" si="558"/>
        <v>0</v>
      </c>
      <c r="AX396" s="1373">
        <f t="shared" si="559"/>
        <v>0.1</v>
      </c>
      <c r="AY396" s="1374">
        <f t="shared" si="560"/>
        <v>0</v>
      </c>
      <c r="AZ396" s="1375">
        <f t="shared" si="561"/>
        <v>0.1</v>
      </c>
      <c r="BA396" s="1376">
        <f t="shared" si="562"/>
        <v>0</v>
      </c>
      <c r="BB396" s="1391"/>
      <c r="BC396" s="1820"/>
      <c r="BD396" s="1820"/>
      <c r="BE396" s="1823"/>
      <c r="BF396" s="1826"/>
      <c r="BG396" s="1829"/>
    </row>
    <row r="397" spans="1:59" s="1378" customFormat="1" ht="27.75" customHeight="1">
      <c r="A397" s="1347" t="str">
        <f t="shared" si="546"/>
        <v>Escient Pharmaceuticals, Inc.</v>
      </c>
      <c r="B397" s="1348" t="str">
        <f t="shared" si="547"/>
        <v>HUB SD (Small)</v>
      </c>
      <c r="C397" s="1348">
        <f t="shared" si="548"/>
        <v>4</v>
      </c>
      <c r="D397" s="1349">
        <f t="shared" si="549"/>
        <v>43282</v>
      </c>
      <c r="E397" s="1349"/>
      <c r="F397" s="1347" t="s">
        <v>113</v>
      </c>
      <c r="G397" s="1347" t="s">
        <v>85</v>
      </c>
      <c r="H397" s="1347" t="s">
        <v>85</v>
      </c>
      <c r="I397" s="1347" t="s">
        <v>113</v>
      </c>
      <c r="J397" s="1349"/>
      <c r="K397" s="1349" t="s">
        <v>254</v>
      </c>
      <c r="L397" s="1350" t="s">
        <v>4682</v>
      </c>
      <c r="M397" s="1350" t="s">
        <v>4683</v>
      </c>
      <c r="N397" s="1386" t="s">
        <v>148</v>
      </c>
      <c r="O397" s="1352" t="s">
        <v>4684</v>
      </c>
      <c r="P397" s="1421"/>
      <c r="Q397" s="1354"/>
      <c r="R397" s="1354"/>
      <c r="S397" s="1354"/>
      <c r="T397" s="1354"/>
      <c r="U397" s="1354"/>
      <c r="V397" s="1354"/>
      <c r="W397" s="1354"/>
      <c r="X397" s="1353">
        <f t="shared" si="550"/>
        <v>43282</v>
      </c>
      <c r="Y397" s="1353">
        <f t="shared" si="550"/>
        <v>43466</v>
      </c>
      <c r="Z397" s="1355"/>
      <c r="AA397" s="1355" t="s">
        <v>4992</v>
      </c>
      <c r="AB397" s="1356"/>
      <c r="AC397" s="1356"/>
      <c r="AD397" s="1422">
        <f>AH397</f>
        <v>0</v>
      </c>
      <c r="AE397" s="1422">
        <f t="shared" si="545"/>
        <v>0</v>
      </c>
      <c r="AF397" s="1423" t="str">
        <f t="shared" si="469"/>
        <v/>
      </c>
      <c r="AG397" s="1358">
        <v>0</v>
      </c>
      <c r="AH397" s="1426">
        <f t="shared" si="563"/>
        <v>0</v>
      </c>
      <c r="AI397" s="1359">
        <v>0.15</v>
      </c>
      <c r="AJ397" s="1360">
        <f t="shared" si="564"/>
        <v>0</v>
      </c>
      <c r="AK397" s="1361">
        <f t="shared" si="565"/>
        <v>0</v>
      </c>
      <c r="AL397" s="1384">
        <v>0</v>
      </c>
      <c r="AM397" s="1363">
        <f t="shared" si="552"/>
        <v>0</v>
      </c>
      <c r="AN397" s="1364">
        <v>0</v>
      </c>
      <c r="AO397" s="1365">
        <f t="shared" si="553"/>
        <v>0</v>
      </c>
      <c r="AP397" s="1366">
        <v>0</v>
      </c>
      <c r="AQ397" s="1367">
        <f t="shared" si="554"/>
        <v>0</v>
      </c>
      <c r="AR397" s="1368">
        <v>0</v>
      </c>
      <c r="AS397" s="1369">
        <f t="shared" si="555"/>
        <v>0</v>
      </c>
      <c r="AT397" s="1370">
        <v>0.15</v>
      </c>
      <c r="AU397" s="1371">
        <f t="shared" si="556"/>
        <v>0</v>
      </c>
      <c r="AV397" s="1359">
        <f t="shared" si="557"/>
        <v>0</v>
      </c>
      <c r="AW397" s="1372">
        <f t="shared" si="558"/>
        <v>0</v>
      </c>
      <c r="AX397" s="1373">
        <f t="shared" si="559"/>
        <v>0.15</v>
      </c>
      <c r="AY397" s="1374">
        <f t="shared" si="560"/>
        <v>0</v>
      </c>
      <c r="AZ397" s="1375">
        <f t="shared" si="561"/>
        <v>0.15</v>
      </c>
      <c r="BA397" s="1376">
        <f t="shared" si="562"/>
        <v>0</v>
      </c>
      <c r="BB397" s="1391"/>
      <c r="BC397" s="1820"/>
      <c r="BD397" s="1820"/>
      <c r="BE397" s="1823"/>
      <c r="BF397" s="1826"/>
      <c r="BG397" s="1829"/>
    </row>
    <row r="398" spans="1:59" s="1378" customFormat="1" ht="27.75" customHeight="1">
      <c r="A398" s="1347" t="str">
        <f t="shared" si="546"/>
        <v>Escient Pharmaceuticals, Inc.</v>
      </c>
      <c r="B398" s="1348" t="str">
        <f t="shared" si="547"/>
        <v>HUB SD (Small)</v>
      </c>
      <c r="C398" s="1348">
        <f t="shared" si="548"/>
        <v>4</v>
      </c>
      <c r="D398" s="1349">
        <f t="shared" si="549"/>
        <v>43282</v>
      </c>
      <c r="E398" s="1349"/>
      <c r="F398" s="1347" t="s">
        <v>113</v>
      </c>
      <c r="G398" s="1347" t="s">
        <v>85</v>
      </c>
      <c r="H398" s="1347" t="s">
        <v>85</v>
      </c>
      <c r="I398" s="1347" t="s">
        <v>113</v>
      </c>
      <c r="J398" s="1349"/>
      <c r="K398" s="1349" t="s">
        <v>254</v>
      </c>
      <c r="L398" s="1350" t="s">
        <v>4682</v>
      </c>
      <c r="M398" s="1350" t="s">
        <v>4686</v>
      </c>
      <c r="N398" s="1386" t="s">
        <v>60</v>
      </c>
      <c r="O398" s="1352" t="s">
        <v>4687</v>
      </c>
      <c r="P398" s="1421"/>
      <c r="Q398" s="1354"/>
      <c r="R398" s="1354"/>
      <c r="S398" s="1354"/>
      <c r="T398" s="1354"/>
      <c r="U398" s="1354"/>
      <c r="V398" s="1354"/>
      <c r="W398" s="1354"/>
      <c r="X398" s="1353">
        <f t="shared" si="550"/>
        <v>43282</v>
      </c>
      <c r="Y398" s="1353">
        <f t="shared" si="550"/>
        <v>43466</v>
      </c>
      <c r="Z398" s="1355"/>
      <c r="AA398" s="1355" t="s">
        <v>4992</v>
      </c>
      <c r="AB398" s="1356"/>
      <c r="AC398" s="1356"/>
      <c r="AD398" s="1422">
        <v>0</v>
      </c>
      <c r="AE398" s="1422">
        <f t="shared" si="545"/>
        <v>0</v>
      </c>
      <c r="AF398" s="1423" t="str">
        <f t="shared" si="469"/>
        <v/>
      </c>
      <c r="AG398" s="1358">
        <f t="shared" ref="AG398:AG400" si="566">AH398/12</f>
        <v>0</v>
      </c>
      <c r="AH398" s="1426">
        <v>0</v>
      </c>
      <c r="AI398" s="1359">
        <v>0.15</v>
      </c>
      <c r="AJ398" s="1360">
        <f t="shared" si="564"/>
        <v>0</v>
      </c>
      <c r="AK398" s="1361">
        <f t="shared" si="565"/>
        <v>0</v>
      </c>
      <c r="AL398" s="1384">
        <v>0</v>
      </c>
      <c r="AM398" s="1363">
        <f t="shared" si="552"/>
        <v>0</v>
      </c>
      <c r="AN398" s="1364">
        <v>0</v>
      </c>
      <c r="AO398" s="1365">
        <f t="shared" si="553"/>
        <v>0</v>
      </c>
      <c r="AP398" s="1366">
        <v>0</v>
      </c>
      <c r="AQ398" s="1367">
        <f t="shared" si="554"/>
        <v>0</v>
      </c>
      <c r="AR398" s="1368">
        <v>0</v>
      </c>
      <c r="AS398" s="1369">
        <f t="shared" si="555"/>
        <v>0</v>
      </c>
      <c r="AT398" s="1370">
        <v>0.15</v>
      </c>
      <c r="AU398" s="1371">
        <f t="shared" si="556"/>
        <v>0</v>
      </c>
      <c r="AV398" s="1359">
        <f t="shared" si="557"/>
        <v>0</v>
      </c>
      <c r="AW398" s="1372">
        <f t="shared" si="558"/>
        <v>0</v>
      </c>
      <c r="AX398" s="1373">
        <f t="shared" si="559"/>
        <v>0.15</v>
      </c>
      <c r="AY398" s="1374">
        <f t="shared" si="560"/>
        <v>0</v>
      </c>
      <c r="AZ398" s="1375">
        <f t="shared" si="561"/>
        <v>0.15</v>
      </c>
      <c r="BA398" s="1376">
        <f t="shared" si="562"/>
        <v>0</v>
      </c>
      <c r="BB398" s="1391"/>
      <c r="BC398" s="1820"/>
      <c r="BD398" s="1820"/>
      <c r="BE398" s="1823"/>
      <c r="BF398" s="1826"/>
      <c r="BG398" s="1829"/>
    </row>
    <row r="399" spans="1:59" s="1378" customFormat="1" ht="27.75" customHeight="1">
      <c r="A399" s="1347" t="str">
        <f t="shared" si="546"/>
        <v>Escient Pharmaceuticals, Inc.</v>
      </c>
      <c r="B399" s="1348" t="str">
        <f t="shared" si="547"/>
        <v>HUB SD (Small)</v>
      </c>
      <c r="C399" s="1348">
        <f t="shared" si="548"/>
        <v>4</v>
      </c>
      <c r="D399" s="1349">
        <f t="shared" si="549"/>
        <v>43282</v>
      </c>
      <c r="E399" s="1349"/>
      <c r="F399" s="1347" t="s">
        <v>113</v>
      </c>
      <c r="G399" s="1347" t="s">
        <v>85</v>
      </c>
      <c r="H399" s="1347" t="s">
        <v>85</v>
      </c>
      <c r="I399" s="1347" t="s">
        <v>113</v>
      </c>
      <c r="J399" s="1349"/>
      <c r="K399" s="1349" t="s">
        <v>254</v>
      </c>
      <c r="L399" s="1350" t="s">
        <v>4682</v>
      </c>
      <c r="M399" s="1350" t="s">
        <v>62</v>
      </c>
      <c r="N399" s="1351" t="s">
        <v>63</v>
      </c>
      <c r="O399" s="1352" t="s">
        <v>4688</v>
      </c>
      <c r="P399" s="1388"/>
      <c r="Q399" s="1354"/>
      <c r="R399" s="1354"/>
      <c r="S399" s="1354"/>
      <c r="T399" s="1354"/>
      <c r="U399" s="1354"/>
      <c r="V399" s="1354"/>
      <c r="W399" s="1354"/>
      <c r="X399" s="1353">
        <f t="shared" si="550"/>
        <v>43282</v>
      </c>
      <c r="Y399" s="1353">
        <f t="shared" si="550"/>
        <v>43466</v>
      </c>
      <c r="Z399" s="1355"/>
      <c r="AA399" s="1355" t="s">
        <v>4992</v>
      </c>
      <c r="AB399" s="1356"/>
      <c r="AC399" s="1356"/>
      <c r="AD399" s="1422">
        <f>AH399</f>
        <v>0</v>
      </c>
      <c r="AE399" s="1422">
        <f t="shared" si="545"/>
        <v>0</v>
      </c>
      <c r="AF399" s="1423" t="str">
        <f t="shared" si="469"/>
        <v/>
      </c>
      <c r="AG399" s="1358">
        <f t="shared" si="566"/>
        <v>0</v>
      </c>
      <c r="AH399" s="1426">
        <v>0</v>
      </c>
      <c r="AI399" s="1359">
        <v>0.15</v>
      </c>
      <c r="AJ399" s="1360">
        <f t="shared" si="564"/>
        <v>0</v>
      </c>
      <c r="AK399" s="1361">
        <f t="shared" si="565"/>
        <v>0</v>
      </c>
      <c r="AL399" s="1384">
        <v>0</v>
      </c>
      <c r="AM399" s="1363">
        <f t="shared" si="552"/>
        <v>0</v>
      </c>
      <c r="AN399" s="1364">
        <v>0</v>
      </c>
      <c r="AO399" s="1365">
        <f t="shared" si="553"/>
        <v>0</v>
      </c>
      <c r="AP399" s="1366">
        <v>0</v>
      </c>
      <c r="AQ399" s="1367">
        <f t="shared" si="554"/>
        <v>0</v>
      </c>
      <c r="AR399" s="1368">
        <v>0</v>
      </c>
      <c r="AS399" s="1369">
        <f t="shared" si="555"/>
        <v>0</v>
      </c>
      <c r="AT399" s="1370">
        <v>0.15</v>
      </c>
      <c r="AU399" s="1371">
        <f t="shared" si="556"/>
        <v>0</v>
      </c>
      <c r="AV399" s="1359">
        <f t="shared" si="557"/>
        <v>0</v>
      </c>
      <c r="AW399" s="1372">
        <f t="shared" si="558"/>
        <v>0</v>
      </c>
      <c r="AX399" s="1373">
        <f t="shared" si="559"/>
        <v>0.15</v>
      </c>
      <c r="AY399" s="1374">
        <f t="shared" si="560"/>
        <v>0</v>
      </c>
      <c r="AZ399" s="1375">
        <f t="shared" si="561"/>
        <v>0.15</v>
      </c>
      <c r="BA399" s="1376">
        <f t="shared" si="562"/>
        <v>0</v>
      </c>
      <c r="BB399" s="1391"/>
      <c r="BC399" s="1820"/>
      <c r="BD399" s="1820"/>
      <c r="BE399" s="1823"/>
      <c r="BF399" s="1826"/>
      <c r="BG399" s="1829"/>
    </row>
    <row r="400" spans="1:59" s="1378" customFormat="1" ht="27.75" customHeight="1">
      <c r="A400" s="1347" t="str">
        <f t="shared" si="546"/>
        <v>Escient Pharmaceuticals, Inc.</v>
      </c>
      <c r="B400" s="1348" t="str">
        <f t="shared" si="547"/>
        <v>HUB SD (Small)</v>
      </c>
      <c r="C400" s="1348">
        <f t="shared" si="548"/>
        <v>4</v>
      </c>
      <c r="D400" s="1349">
        <f t="shared" si="549"/>
        <v>43282</v>
      </c>
      <c r="E400" s="1349"/>
      <c r="F400" s="1347" t="s">
        <v>113</v>
      </c>
      <c r="G400" s="1347" t="s">
        <v>85</v>
      </c>
      <c r="H400" s="1347" t="s">
        <v>85</v>
      </c>
      <c r="I400" s="1347" t="s">
        <v>113</v>
      </c>
      <c r="J400" s="1349"/>
      <c r="K400" s="1349" t="s">
        <v>254</v>
      </c>
      <c r="L400" s="1350" t="s">
        <v>4682</v>
      </c>
      <c r="M400" s="1350" t="s">
        <v>67</v>
      </c>
      <c r="N400" s="1351" t="s">
        <v>68</v>
      </c>
      <c r="O400" s="1352" t="s">
        <v>4689</v>
      </c>
      <c r="P400" s="1388"/>
      <c r="Q400" s="1354"/>
      <c r="R400" s="1354"/>
      <c r="S400" s="1354"/>
      <c r="T400" s="1354"/>
      <c r="U400" s="1354"/>
      <c r="V400" s="1354"/>
      <c r="W400" s="1354"/>
      <c r="X400" s="1353">
        <f t="shared" si="550"/>
        <v>43282</v>
      </c>
      <c r="Y400" s="1353">
        <f t="shared" si="550"/>
        <v>43466</v>
      </c>
      <c r="Z400" s="1355"/>
      <c r="AA400" s="1355" t="s">
        <v>4992</v>
      </c>
      <c r="AB400" s="1356"/>
      <c r="AC400" s="1356"/>
      <c r="AD400" s="1422">
        <f>AH400</f>
        <v>0</v>
      </c>
      <c r="AE400" s="1422">
        <f t="shared" si="545"/>
        <v>0</v>
      </c>
      <c r="AF400" s="1423" t="str">
        <f t="shared" si="469"/>
        <v/>
      </c>
      <c r="AG400" s="1358">
        <f t="shared" si="566"/>
        <v>0</v>
      </c>
      <c r="AH400" s="1426">
        <v>0</v>
      </c>
      <c r="AI400" s="1359">
        <v>0.15</v>
      </c>
      <c r="AJ400" s="1360">
        <f t="shared" si="564"/>
        <v>0</v>
      </c>
      <c r="AK400" s="1361">
        <f t="shared" si="565"/>
        <v>0</v>
      </c>
      <c r="AL400" s="1384">
        <v>0</v>
      </c>
      <c r="AM400" s="1363">
        <f t="shared" si="552"/>
        <v>0</v>
      </c>
      <c r="AN400" s="1364">
        <v>0</v>
      </c>
      <c r="AO400" s="1365">
        <f t="shared" si="553"/>
        <v>0</v>
      </c>
      <c r="AP400" s="1366">
        <v>0</v>
      </c>
      <c r="AQ400" s="1367">
        <f t="shared" si="554"/>
        <v>0</v>
      </c>
      <c r="AR400" s="1368">
        <v>0</v>
      </c>
      <c r="AS400" s="1369">
        <f t="shared" si="555"/>
        <v>0</v>
      </c>
      <c r="AT400" s="1370">
        <v>0.15</v>
      </c>
      <c r="AU400" s="1371">
        <f t="shared" si="556"/>
        <v>0</v>
      </c>
      <c r="AV400" s="1359">
        <f t="shared" si="557"/>
        <v>0</v>
      </c>
      <c r="AW400" s="1372">
        <f t="shared" si="558"/>
        <v>0</v>
      </c>
      <c r="AX400" s="1373">
        <f t="shared" si="559"/>
        <v>0.15</v>
      </c>
      <c r="AY400" s="1374">
        <f t="shared" si="560"/>
        <v>0</v>
      </c>
      <c r="AZ400" s="1375">
        <f t="shared" si="561"/>
        <v>0.15</v>
      </c>
      <c r="BA400" s="1376">
        <f t="shared" si="562"/>
        <v>0</v>
      </c>
      <c r="BB400" s="1391"/>
      <c r="BC400" s="1820"/>
      <c r="BD400" s="1820"/>
      <c r="BE400" s="1823"/>
      <c r="BF400" s="1826"/>
      <c r="BG400" s="1829"/>
    </row>
    <row r="401" spans="1:59" s="1378" customFormat="1" ht="27.75" customHeight="1">
      <c r="A401" s="1347" t="str">
        <f t="shared" si="546"/>
        <v>Escient Pharmaceuticals, Inc.</v>
      </c>
      <c r="B401" s="1348" t="str">
        <f t="shared" si="547"/>
        <v>HUB SD (Small)</v>
      </c>
      <c r="C401" s="1348">
        <f t="shared" si="548"/>
        <v>4</v>
      </c>
      <c r="D401" s="1349">
        <f t="shared" si="549"/>
        <v>43282</v>
      </c>
      <c r="E401" s="1349"/>
      <c r="F401" s="1347" t="s">
        <v>72</v>
      </c>
      <c r="G401" s="1347" t="s">
        <v>85</v>
      </c>
      <c r="H401" s="1347" t="s">
        <v>72</v>
      </c>
      <c r="I401" s="1347" t="s">
        <v>72</v>
      </c>
      <c r="J401" s="1349" t="s">
        <v>4670</v>
      </c>
      <c r="K401" s="1349" t="s">
        <v>254</v>
      </c>
      <c r="L401" s="1350" t="s">
        <v>4696</v>
      </c>
      <c r="M401" s="1350" t="s">
        <v>4697</v>
      </c>
      <c r="N401" s="1389" t="s">
        <v>4698</v>
      </c>
      <c r="O401" s="1352" t="s">
        <v>4699</v>
      </c>
      <c r="P401" s="1388"/>
      <c r="Q401" s="1354"/>
      <c r="R401" s="1354"/>
      <c r="S401" s="1354"/>
      <c r="T401" s="1354"/>
      <c r="U401" s="1354"/>
      <c r="V401" s="1354"/>
      <c r="W401" s="1354"/>
      <c r="X401" s="1353">
        <f t="shared" si="550"/>
        <v>43282</v>
      </c>
      <c r="Y401" s="1353">
        <f t="shared" si="550"/>
        <v>43466</v>
      </c>
      <c r="Z401" s="1355"/>
      <c r="AA401" s="1355" t="s">
        <v>4674</v>
      </c>
      <c r="AB401" s="1356"/>
      <c r="AC401" s="1356"/>
      <c r="AD401" s="1422">
        <v>0</v>
      </c>
      <c r="AE401" s="1422">
        <f t="shared" si="545"/>
        <v>0</v>
      </c>
      <c r="AF401" s="1423" t="str">
        <f t="shared" si="469"/>
        <v/>
      </c>
      <c r="AG401" s="1380"/>
      <c r="AH401" s="1380"/>
      <c r="AI401" s="1381">
        <v>0</v>
      </c>
      <c r="AJ401" s="1382"/>
      <c r="AK401" s="1383">
        <f t="shared" si="565"/>
        <v>0</v>
      </c>
      <c r="AL401" s="1384">
        <v>0</v>
      </c>
      <c r="AM401" s="1363">
        <f t="shared" si="552"/>
        <v>0</v>
      </c>
      <c r="AN401" s="1364">
        <v>0</v>
      </c>
      <c r="AO401" s="1365">
        <f t="shared" si="553"/>
        <v>0</v>
      </c>
      <c r="AP401" s="1366">
        <v>0</v>
      </c>
      <c r="AQ401" s="1367">
        <f t="shared" si="554"/>
        <v>0</v>
      </c>
      <c r="AR401" s="1368">
        <v>0</v>
      </c>
      <c r="AS401" s="1369">
        <f t="shared" si="555"/>
        <v>0</v>
      </c>
      <c r="AT401" s="1370">
        <v>0</v>
      </c>
      <c r="AU401" s="1371">
        <f t="shared" si="556"/>
        <v>0</v>
      </c>
      <c r="AV401" s="1359">
        <f t="shared" si="557"/>
        <v>0</v>
      </c>
      <c r="AW401" s="1372">
        <f t="shared" si="558"/>
        <v>0</v>
      </c>
      <c r="AX401" s="1373">
        <f t="shared" si="559"/>
        <v>0</v>
      </c>
      <c r="AY401" s="1374">
        <f t="shared" si="560"/>
        <v>0</v>
      </c>
      <c r="AZ401" s="1375">
        <f t="shared" si="561"/>
        <v>0</v>
      </c>
      <c r="BA401" s="1376">
        <f t="shared" si="562"/>
        <v>0</v>
      </c>
      <c r="BB401" s="1377"/>
      <c r="BC401" s="1820"/>
      <c r="BD401" s="1820"/>
      <c r="BE401" s="1823"/>
      <c r="BF401" s="1826"/>
      <c r="BG401" s="1829"/>
    </row>
    <row r="402" spans="1:59" s="1378" customFormat="1" ht="27.75" customHeight="1">
      <c r="A402" s="1347" t="str">
        <f t="shared" si="546"/>
        <v>Escient Pharmaceuticals, Inc.</v>
      </c>
      <c r="B402" s="1348" t="str">
        <f t="shared" si="547"/>
        <v>HUB SD (Small)</v>
      </c>
      <c r="C402" s="1348">
        <f t="shared" si="548"/>
        <v>4</v>
      </c>
      <c r="D402" s="1349">
        <f t="shared" si="549"/>
        <v>43282</v>
      </c>
      <c r="E402" s="1349"/>
      <c r="F402" s="1347" t="s">
        <v>72</v>
      </c>
      <c r="G402" s="1347" t="s">
        <v>85</v>
      </c>
      <c r="H402" s="1347" t="s">
        <v>72</v>
      </c>
      <c r="I402" s="1347" t="s">
        <v>72</v>
      </c>
      <c r="J402" s="1349" t="s">
        <v>4670</v>
      </c>
      <c r="K402" s="1349" t="s">
        <v>254</v>
      </c>
      <c r="L402" s="1350" t="s">
        <v>48</v>
      </c>
      <c r="M402" s="1350" t="s">
        <v>253</v>
      </c>
      <c r="N402" s="1390" t="s">
        <v>4703</v>
      </c>
      <c r="O402" s="1352" t="s">
        <v>4704</v>
      </c>
      <c r="P402" s="1388"/>
      <c r="Q402" s="1354"/>
      <c r="R402" s="1354"/>
      <c r="S402" s="1354"/>
      <c r="T402" s="1354"/>
      <c r="U402" s="1354"/>
      <c r="V402" s="1354"/>
      <c r="W402" s="1354"/>
      <c r="X402" s="1353">
        <f t="shared" si="550"/>
        <v>43282</v>
      </c>
      <c r="Y402" s="1353">
        <f t="shared" si="550"/>
        <v>43466</v>
      </c>
      <c r="Z402" s="1355"/>
      <c r="AA402" s="1355" t="s">
        <v>4674</v>
      </c>
      <c r="AB402" s="1356"/>
      <c r="AC402" s="1356"/>
      <c r="AD402" s="1422">
        <v>0</v>
      </c>
      <c r="AE402" s="1422">
        <f t="shared" si="545"/>
        <v>0</v>
      </c>
      <c r="AF402" s="1423" t="str">
        <f t="shared" si="469"/>
        <v/>
      </c>
      <c r="AG402" s="1380"/>
      <c r="AH402" s="1380"/>
      <c r="AI402" s="1381">
        <v>0</v>
      </c>
      <c r="AJ402" s="1382"/>
      <c r="AK402" s="1383">
        <f t="shared" si="565"/>
        <v>0</v>
      </c>
      <c r="AL402" s="1384">
        <v>0</v>
      </c>
      <c r="AM402" s="1363">
        <f t="shared" si="552"/>
        <v>0</v>
      </c>
      <c r="AN402" s="1364">
        <v>0</v>
      </c>
      <c r="AO402" s="1365">
        <f t="shared" si="553"/>
        <v>0</v>
      </c>
      <c r="AP402" s="1366">
        <v>0</v>
      </c>
      <c r="AQ402" s="1367">
        <f t="shared" si="554"/>
        <v>0</v>
      </c>
      <c r="AR402" s="1368">
        <v>0</v>
      </c>
      <c r="AS402" s="1369">
        <f t="shared" si="555"/>
        <v>0</v>
      </c>
      <c r="AT402" s="1370">
        <v>0</v>
      </c>
      <c r="AU402" s="1371">
        <f t="shared" si="556"/>
        <v>0</v>
      </c>
      <c r="AV402" s="1359">
        <f t="shared" si="557"/>
        <v>0</v>
      </c>
      <c r="AW402" s="1372">
        <f t="shared" si="558"/>
        <v>0</v>
      </c>
      <c r="AX402" s="1373">
        <f t="shared" si="559"/>
        <v>0</v>
      </c>
      <c r="AY402" s="1374">
        <f t="shared" si="560"/>
        <v>0</v>
      </c>
      <c r="AZ402" s="1375">
        <f t="shared" si="561"/>
        <v>0</v>
      </c>
      <c r="BA402" s="1376">
        <f t="shared" si="562"/>
        <v>0</v>
      </c>
      <c r="BB402" s="1391"/>
      <c r="BC402" s="1820"/>
      <c r="BD402" s="1820"/>
      <c r="BE402" s="1823"/>
      <c r="BF402" s="1826"/>
      <c r="BG402" s="1829"/>
    </row>
    <row r="403" spans="1:59" s="1378" customFormat="1" ht="27.75" customHeight="1">
      <c r="A403" s="1347" t="str">
        <f t="shared" si="546"/>
        <v>Escient Pharmaceuticals, Inc.</v>
      </c>
      <c r="B403" s="1348" t="str">
        <f t="shared" si="547"/>
        <v>HUB SD (Small)</v>
      </c>
      <c r="C403" s="1348">
        <f t="shared" si="548"/>
        <v>4</v>
      </c>
      <c r="D403" s="1349">
        <f t="shared" si="549"/>
        <v>43282</v>
      </c>
      <c r="E403" s="1349"/>
      <c r="F403" s="1347" t="s">
        <v>72</v>
      </c>
      <c r="G403" s="1347" t="s">
        <v>85</v>
      </c>
      <c r="H403" s="1347" t="s">
        <v>72</v>
      </c>
      <c r="I403" s="1347" t="s">
        <v>72</v>
      </c>
      <c r="J403" s="1349" t="s">
        <v>4670</v>
      </c>
      <c r="K403" s="1349" t="s">
        <v>254</v>
      </c>
      <c r="L403" s="1350" t="s">
        <v>49</v>
      </c>
      <c r="M403" s="1350" t="s">
        <v>4705</v>
      </c>
      <c r="N403" s="1390" t="s">
        <v>4706</v>
      </c>
      <c r="O403" s="1352" t="s">
        <v>4707</v>
      </c>
      <c r="P403" s="1388"/>
      <c r="Q403" s="1354"/>
      <c r="R403" s="1354"/>
      <c r="S403" s="1354"/>
      <c r="T403" s="1354"/>
      <c r="U403" s="1354"/>
      <c r="V403" s="1354"/>
      <c r="W403" s="1354"/>
      <c r="X403" s="1353">
        <f t="shared" si="550"/>
        <v>43282</v>
      </c>
      <c r="Y403" s="1353">
        <f t="shared" si="550"/>
        <v>43466</v>
      </c>
      <c r="Z403" s="1355"/>
      <c r="AA403" s="1355" t="s">
        <v>4674</v>
      </c>
      <c r="AB403" s="1356"/>
      <c r="AC403" s="1356"/>
      <c r="AD403" s="1422">
        <v>0</v>
      </c>
      <c r="AE403" s="1422">
        <f t="shared" si="545"/>
        <v>0</v>
      </c>
      <c r="AF403" s="1423" t="str">
        <f t="shared" si="469"/>
        <v/>
      </c>
      <c r="AG403" s="1380"/>
      <c r="AH403" s="1380"/>
      <c r="AI403" s="1381">
        <v>0</v>
      </c>
      <c r="AJ403" s="1382"/>
      <c r="AK403" s="1383">
        <f t="shared" si="565"/>
        <v>0</v>
      </c>
      <c r="AL403" s="1384">
        <v>0</v>
      </c>
      <c r="AM403" s="1363">
        <f t="shared" si="552"/>
        <v>0</v>
      </c>
      <c r="AN403" s="1364">
        <v>0</v>
      </c>
      <c r="AO403" s="1365">
        <f t="shared" si="553"/>
        <v>0</v>
      </c>
      <c r="AP403" s="1366">
        <v>0</v>
      </c>
      <c r="AQ403" s="1367">
        <f t="shared" si="554"/>
        <v>0</v>
      </c>
      <c r="AR403" s="1368">
        <v>0</v>
      </c>
      <c r="AS403" s="1369">
        <f t="shared" si="555"/>
        <v>0</v>
      </c>
      <c r="AT403" s="1370">
        <v>0</v>
      </c>
      <c r="AU403" s="1371">
        <f t="shared" si="556"/>
        <v>0</v>
      </c>
      <c r="AV403" s="1359">
        <f t="shared" si="557"/>
        <v>0</v>
      </c>
      <c r="AW403" s="1372">
        <f t="shared" si="558"/>
        <v>0</v>
      </c>
      <c r="AX403" s="1373">
        <f t="shared" si="559"/>
        <v>0</v>
      </c>
      <c r="AY403" s="1374">
        <f t="shared" si="560"/>
        <v>0</v>
      </c>
      <c r="AZ403" s="1375">
        <f t="shared" si="561"/>
        <v>0</v>
      </c>
      <c r="BA403" s="1376">
        <f t="shared" si="562"/>
        <v>0</v>
      </c>
      <c r="BB403" s="1391"/>
      <c r="BC403" s="1820"/>
      <c r="BD403" s="1820"/>
      <c r="BE403" s="1823"/>
      <c r="BF403" s="1826"/>
      <c r="BG403" s="1829"/>
    </row>
    <row r="404" spans="1:59" s="1378" customFormat="1" ht="27.75" customHeight="1">
      <c r="A404" s="1347" t="str">
        <f t="shared" si="546"/>
        <v>Escient Pharmaceuticals, Inc.</v>
      </c>
      <c r="B404" s="1348" t="str">
        <f t="shared" si="547"/>
        <v>HUB SD (Small)</v>
      </c>
      <c r="C404" s="1348">
        <f t="shared" si="548"/>
        <v>4</v>
      </c>
      <c r="D404" s="1349">
        <f t="shared" si="549"/>
        <v>43282</v>
      </c>
      <c r="E404" s="1349"/>
      <c r="F404" s="1347" t="s">
        <v>72</v>
      </c>
      <c r="G404" s="1347" t="s">
        <v>85</v>
      </c>
      <c r="H404" s="1347" t="s">
        <v>72</v>
      </c>
      <c r="I404" s="1347" t="s">
        <v>72</v>
      </c>
      <c r="J404" s="1349" t="s">
        <v>4670</v>
      </c>
      <c r="K404" s="1349" t="s">
        <v>254</v>
      </c>
      <c r="L404" s="1350" t="s">
        <v>3056</v>
      </c>
      <c r="M404" s="1350" t="s">
        <v>4708</v>
      </c>
      <c r="N404" s="1390" t="s">
        <v>4709</v>
      </c>
      <c r="O404" s="1352" t="s">
        <v>4710</v>
      </c>
      <c r="P404" s="1388"/>
      <c r="Q404" s="1354"/>
      <c r="R404" s="1354"/>
      <c r="S404" s="1354"/>
      <c r="T404" s="1354"/>
      <c r="U404" s="1354"/>
      <c r="V404" s="1354"/>
      <c r="W404" s="1354"/>
      <c r="X404" s="1353">
        <f t="shared" si="550"/>
        <v>43282</v>
      </c>
      <c r="Y404" s="1353">
        <f t="shared" si="550"/>
        <v>43466</v>
      </c>
      <c r="Z404" s="1355"/>
      <c r="AA404" s="1355" t="s">
        <v>4674</v>
      </c>
      <c r="AB404" s="1356"/>
      <c r="AC404" s="1356"/>
      <c r="AD404" s="1422">
        <v>0</v>
      </c>
      <c r="AE404" s="1422">
        <f t="shared" si="545"/>
        <v>0</v>
      </c>
      <c r="AF404" s="1423" t="str">
        <f t="shared" si="469"/>
        <v/>
      </c>
      <c r="AG404" s="1380"/>
      <c r="AH404" s="1380"/>
      <c r="AI404" s="1381">
        <v>0</v>
      </c>
      <c r="AJ404" s="1382"/>
      <c r="AK404" s="1383">
        <f t="shared" si="565"/>
        <v>0</v>
      </c>
      <c r="AL404" s="1384">
        <v>0</v>
      </c>
      <c r="AM404" s="1363">
        <f t="shared" si="552"/>
        <v>0</v>
      </c>
      <c r="AN404" s="1364">
        <v>0</v>
      </c>
      <c r="AO404" s="1365">
        <f t="shared" si="553"/>
        <v>0</v>
      </c>
      <c r="AP404" s="1366">
        <v>0</v>
      </c>
      <c r="AQ404" s="1367">
        <f t="shared" si="554"/>
        <v>0</v>
      </c>
      <c r="AR404" s="1368">
        <v>0</v>
      </c>
      <c r="AS404" s="1369">
        <f t="shared" si="555"/>
        <v>0</v>
      </c>
      <c r="AT404" s="1370">
        <v>0</v>
      </c>
      <c r="AU404" s="1371">
        <f t="shared" si="556"/>
        <v>0</v>
      </c>
      <c r="AV404" s="1359">
        <f t="shared" si="557"/>
        <v>0</v>
      </c>
      <c r="AW404" s="1372">
        <f t="shared" si="558"/>
        <v>0</v>
      </c>
      <c r="AX404" s="1373">
        <f t="shared" si="559"/>
        <v>0</v>
      </c>
      <c r="AY404" s="1374">
        <f t="shared" si="560"/>
        <v>0</v>
      </c>
      <c r="AZ404" s="1375">
        <f t="shared" si="561"/>
        <v>0</v>
      </c>
      <c r="BA404" s="1376">
        <f t="shared" si="562"/>
        <v>0</v>
      </c>
      <c r="BB404" s="1391"/>
      <c r="BC404" s="1821"/>
      <c r="BD404" s="1821"/>
      <c r="BE404" s="1824"/>
      <c r="BF404" s="1827"/>
      <c r="BG404" s="1830"/>
    </row>
    <row r="405" spans="1:59" s="1315" customFormat="1" ht="38.25">
      <c r="A405" s="1277" t="str">
        <f>L405</f>
        <v>FPG Services, LLC</v>
      </c>
      <c r="B405" s="1316" t="str">
        <f>N$1078</f>
        <v>Woodruff-Sawyer</v>
      </c>
      <c r="C405" s="1316">
        <f>Z405</f>
        <v>72</v>
      </c>
      <c r="D405" s="1317">
        <v>43282</v>
      </c>
      <c r="E405" s="1317"/>
      <c r="F405" s="1277" t="s">
        <v>72</v>
      </c>
      <c r="G405" s="1277" t="s">
        <v>72</v>
      </c>
      <c r="H405" s="1277" t="s">
        <v>72</v>
      </c>
      <c r="I405" s="1277" t="s">
        <v>4711</v>
      </c>
      <c r="J405" s="1317"/>
      <c r="K405" s="1317"/>
      <c r="L405" s="1318" t="s">
        <v>4560</v>
      </c>
      <c r="M405" s="1319" t="s">
        <v>5016</v>
      </c>
      <c r="N405" s="1417" t="s">
        <v>3659</v>
      </c>
      <c r="O405" s="1418" t="s">
        <v>2473</v>
      </c>
      <c r="P405" s="1419"/>
      <c r="Q405" s="1322"/>
      <c r="R405" s="1322"/>
      <c r="S405" s="1322"/>
      <c r="T405" s="1322"/>
      <c r="U405" s="1322"/>
      <c r="V405" s="1322"/>
      <c r="W405" s="1322"/>
      <c r="X405" s="1317">
        <v>43282</v>
      </c>
      <c r="Y405" s="1317">
        <v>43466</v>
      </c>
      <c r="Z405" s="1316">
        <v>72</v>
      </c>
      <c r="AA405" s="1316" t="s">
        <v>5017</v>
      </c>
      <c r="AB405" s="1323">
        <f>SUM(AB406:AB421)</f>
        <v>0</v>
      </c>
      <c r="AC405" s="1323">
        <f>SUM(AC406:AC421)</f>
        <v>0</v>
      </c>
      <c r="AD405" s="1323">
        <f>SUM(AD406:AD421)</f>
        <v>0</v>
      </c>
      <c r="AE405" s="1324">
        <f t="shared" si="545"/>
        <v>0</v>
      </c>
      <c r="AF405" s="1325" t="str">
        <f t="shared" si="469"/>
        <v/>
      </c>
      <c r="AG405" s="1326">
        <f>SUM(AG406:AG421)</f>
        <v>0</v>
      </c>
      <c r="AH405" s="1326">
        <f>SUM(AH406:AH421)</f>
        <v>0</v>
      </c>
      <c r="AI405" s="1339"/>
      <c r="AJ405" s="1328">
        <f>SUM(AJ406:AJ421)</f>
        <v>0</v>
      </c>
      <c r="AK405" s="1328">
        <f>SUM(AK406:AK421)</f>
        <v>0</v>
      </c>
      <c r="AL405" s="1329"/>
      <c r="AM405" s="1330">
        <f>SUM(AM406:AM421)</f>
        <v>0</v>
      </c>
      <c r="AN405" s="1331"/>
      <c r="AO405" s="1332">
        <f>SUM(AO406:AO421)</f>
        <v>0</v>
      </c>
      <c r="AP405" s="1333"/>
      <c r="AQ405" s="1334">
        <f>SUM(AQ406:AQ421)</f>
        <v>0</v>
      </c>
      <c r="AR405" s="1335"/>
      <c r="AS405" s="1336">
        <f>SUM(AS406:AS421)</f>
        <v>0</v>
      </c>
      <c r="AT405" s="1337"/>
      <c r="AU405" s="1338">
        <f>SUM(AU406:AU421)</f>
        <v>0</v>
      </c>
      <c r="AV405" s="1339"/>
      <c r="AW405" s="1340">
        <f>SUM(AW406:AW421)</f>
        <v>0</v>
      </c>
      <c r="AX405" s="1306"/>
      <c r="AY405" s="1307">
        <f>SUM(AW405+AS405+AU405)</f>
        <v>0</v>
      </c>
      <c r="AZ405" s="1341"/>
      <c r="BA405" s="1309">
        <f>SUM(AY405+AQ405)</f>
        <v>0</v>
      </c>
      <c r="BB405" s="1342" t="e">
        <f>(AW405+AU405)/(AK405-AM405)</f>
        <v>#DIV/0!</v>
      </c>
      <c r="BC405" s="1343"/>
      <c r="BD405" s="1343"/>
      <c r="BE405" s="1344"/>
      <c r="BF405" s="1420" t="s">
        <v>5018</v>
      </c>
      <c r="BG405" s="1346"/>
    </row>
    <row r="406" spans="1:59" s="1378" customFormat="1" ht="102">
      <c r="A406" s="1347" t="str">
        <f t="shared" ref="A406:A421" si="567">L$405</f>
        <v>FPG Services, LLC</v>
      </c>
      <c r="B406" s="1348" t="str">
        <f t="shared" ref="B406:B421" si="568">N$405</f>
        <v>Woodruff-Sawyer</v>
      </c>
      <c r="C406" s="1348">
        <f t="shared" ref="C406:C421" si="569">Z$405</f>
        <v>72</v>
      </c>
      <c r="D406" s="1349">
        <f t="shared" ref="D406:D421" si="570">D$405</f>
        <v>43282</v>
      </c>
      <c r="E406" s="1349"/>
      <c r="F406" s="1347" t="s">
        <v>85</v>
      </c>
      <c r="G406" s="1347" t="s">
        <v>85</v>
      </c>
      <c r="H406" s="1347" t="s">
        <v>85</v>
      </c>
      <c r="I406" s="1347" t="s">
        <v>113</v>
      </c>
      <c r="J406" s="1349"/>
      <c r="K406" s="1349" t="s">
        <v>254</v>
      </c>
      <c r="L406" s="1350" t="s">
        <v>2661</v>
      </c>
      <c r="M406" s="1350" t="s">
        <v>3647</v>
      </c>
      <c r="N406" s="1351" t="s">
        <v>5019</v>
      </c>
      <c r="O406" s="1352" t="s">
        <v>5020</v>
      </c>
      <c r="P406" s="1352" t="s">
        <v>5021</v>
      </c>
      <c r="Q406" s="1353" t="s">
        <v>317</v>
      </c>
      <c r="R406" s="1353" t="s">
        <v>3648</v>
      </c>
      <c r="S406" s="1353" t="s">
        <v>307</v>
      </c>
      <c r="T406" s="1353" t="s">
        <v>113</v>
      </c>
      <c r="U406" s="1354"/>
      <c r="V406" s="1354"/>
      <c r="W406" s="1354"/>
      <c r="X406" s="1353">
        <f t="shared" ref="X406:Y421" si="571">X$405</f>
        <v>43282</v>
      </c>
      <c r="Y406" s="1353">
        <f t="shared" si="571"/>
        <v>43466</v>
      </c>
      <c r="Z406" s="1355"/>
      <c r="AA406" s="1355" t="s">
        <v>4667</v>
      </c>
      <c r="AB406" s="1356"/>
      <c r="AC406" s="1356"/>
      <c r="AD406" s="1422">
        <f>AH406</f>
        <v>0</v>
      </c>
      <c r="AE406" s="1422">
        <f t="shared" si="545"/>
        <v>0</v>
      </c>
      <c r="AF406" s="1423" t="str">
        <f t="shared" ref="AF406:AF469" si="572">IFERROR((AE406/AB406),"")</f>
        <v/>
      </c>
      <c r="AG406" s="1358">
        <v>0</v>
      </c>
      <c r="AH406" s="1426">
        <f t="shared" ref="AH406" si="573">AG406*12</f>
        <v>0</v>
      </c>
      <c r="AI406" s="1359">
        <v>0.08</v>
      </c>
      <c r="AJ406" s="1360">
        <f>$AI406*$AG406</f>
        <v>0</v>
      </c>
      <c r="AK406" s="1361">
        <f t="shared" ref="AK406" si="574">AI406*$AH406</f>
        <v>0</v>
      </c>
      <c r="AL406" s="1362">
        <v>5.0000000000000001E-3</v>
      </c>
      <c r="AM406" s="1363">
        <f t="shared" ref="AM406:AM421" si="575">AL406*$AH406</f>
        <v>0</v>
      </c>
      <c r="AN406" s="1364">
        <v>0.04</v>
      </c>
      <c r="AO406" s="1365">
        <f t="shared" ref="AO406:AO421" si="576">AN406*$AH406</f>
        <v>0</v>
      </c>
      <c r="AP406" s="1366">
        <v>0</v>
      </c>
      <c r="AQ406" s="1367">
        <f t="shared" ref="AQ406:AQ421" si="577">AP406*$AH406</f>
        <v>0</v>
      </c>
      <c r="AR406" s="1368">
        <v>0</v>
      </c>
      <c r="AS406" s="1369">
        <f t="shared" ref="AS406:AS421" si="578">AR406*$AH406</f>
        <v>0</v>
      </c>
      <c r="AT406" s="1370">
        <v>2.5000000000000001E-2</v>
      </c>
      <c r="AU406" s="1371">
        <f t="shared" ref="AU406:AU421" si="579">AT406*$AH406</f>
        <v>0</v>
      </c>
      <c r="AV406" s="1359">
        <f t="shared" ref="AV406:AV421" si="580">AZ406-AR406-AT406-AP406</f>
        <v>9.999999999999995E-3</v>
      </c>
      <c r="AW406" s="1372">
        <f t="shared" ref="AW406:AW421" si="581">AV406*$AH406</f>
        <v>0</v>
      </c>
      <c r="AX406" s="1373">
        <f t="shared" ref="AX406:AX421" si="582">$AZ406-$AP406</f>
        <v>3.4999999999999996E-2</v>
      </c>
      <c r="AY406" s="1374">
        <f t="shared" ref="AY406:AY421" si="583">AX406*$AH406</f>
        <v>0</v>
      </c>
      <c r="AZ406" s="1375">
        <f t="shared" ref="AZ406:AZ421" si="584">$AI406-$AL406-$AN406</f>
        <v>3.4999999999999996E-2</v>
      </c>
      <c r="BA406" s="1376">
        <f t="shared" ref="BA406:BA421" si="585">AZ406*$AH406</f>
        <v>0</v>
      </c>
      <c r="BB406" s="1377"/>
      <c r="BC406" s="1819" t="s">
        <v>4564</v>
      </c>
      <c r="BD406" s="1819" t="s">
        <v>4565</v>
      </c>
      <c r="BE406" s="1822" t="s">
        <v>4566</v>
      </c>
      <c r="BF406" s="1825" t="s">
        <v>4562</v>
      </c>
      <c r="BG406" s="1828">
        <v>473557638</v>
      </c>
    </row>
    <row r="407" spans="1:59" s="1378" customFormat="1" ht="38.25">
      <c r="A407" s="1347" t="str">
        <f t="shared" si="567"/>
        <v>FPG Services, LLC</v>
      </c>
      <c r="B407" s="1348" t="str">
        <f t="shared" si="568"/>
        <v>Woodruff-Sawyer</v>
      </c>
      <c r="C407" s="1348">
        <f t="shared" si="569"/>
        <v>72</v>
      </c>
      <c r="D407" s="1349">
        <f t="shared" si="570"/>
        <v>43282</v>
      </c>
      <c r="E407" s="1349"/>
      <c r="F407" s="1347" t="s">
        <v>72</v>
      </c>
      <c r="G407" s="1347" t="s">
        <v>85</v>
      </c>
      <c r="H407" s="1347" t="s">
        <v>72</v>
      </c>
      <c r="I407" s="1347" t="s">
        <v>72</v>
      </c>
      <c r="J407" s="1349" t="s">
        <v>4670</v>
      </c>
      <c r="K407" s="1349" t="s">
        <v>254</v>
      </c>
      <c r="L407" s="1350" t="s">
        <v>4671</v>
      </c>
      <c r="M407" s="1350" t="s">
        <v>3649</v>
      </c>
      <c r="N407" s="1379" t="s">
        <v>3649</v>
      </c>
      <c r="O407" s="1352" t="s">
        <v>4832</v>
      </c>
      <c r="P407" s="1388"/>
      <c r="Q407" s="1354"/>
      <c r="R407" s="1354"/>
      <c r="S407" s="1354"/>
      <c r="T407" s="1354"/>
      <c r="U407" s="1354"/>
      <c r="V407" s="1354"/>
      <c r="W407" s="1354"/>
      <c r="X407" s="1353">
        <f t="shared" si="571"/>
        <v>43282</v>
      </c>
      <c r="Y407" s="1353">
        <f t="shared" si="571"/>
        <v>43466</v>
      </c>
      <c r="Z407" s="1355"/>
      <c r="AA407" s="1355" t="s">
        <v>4674</v>
      </c>
      <c r="AB407" s="1356"/>
      <c r="AC407" s="1356"/>
      <c r="AD407" s="1422">
        <v>0</v>
      </c>
      <c r="AE407" s="1422">
        <f t="shared" si="545"/>
        <v>0</v>
      </c>
      <c r="AF407" s="1423" t="str">
        <f t="shared" si="572"/>
        <v/>
      </c>
      <c r="AG407" s="1380"/>
      <c r="AH407" s="1380"/>
      <c r="AI407" s="1381">
        <v>0</v>
      </c>
      <c r="AJ407" s="1382"/>
      <c r="AK407" s="1383">
        <f>AI407*$AH407</f>
        <v>0</v>
      </c>
      <c r="AL407" s="1384">
        <v>0</v>
      </c>
      <c r="AM407" s="1363">
        <f t="shared" si="575"/>
        <v>0</v>
      </c>
      <c r="AN407" s="1364">
        <v>0</v>
      </c>
      <c r="AO407" s="1365">
        <f t="shared" si="576"/>
        <v>0</v>
      </c>
      <c r="AP407" s="1366">
        <v>0</v>
      </c>
      <c r="AQ407" s="1367">
        <f t="shared" si="577"/>
        <v>0</v>
      </c>
      <c r="AR407" s="1368">
        <v>0</v>
      </c>
      <c r="AS407" s="1369">
        <f t="shared" si="578"/>
        <v>0</v>
      </c>
      <c r="AT407" s="1370">
        <v>0</v>
      </c>
      <c r="AU407" s="1371">
        <f t="shared" si="579"/>
        <v>0</v>
      </c>
      <c r="AV407" s="1359">
        <f t="shared" si="580"/>
        <v>0</v>
      </c>
      <c r="AW407" s="1372">
        <f t="shared" si="581"/>
        <v>0</v>
      </c>
      <c r="AX407" s="1373">
        <f t="shared" si="582"/>
        <v>0</v>
      </c>
      <c r="AY407" s="1374">
        <f t="shared" si="583"/>
        <v>0</v>
      </c>
      <c r="AZ407" s="1375">
        <f t="shared" si="584"/>
        <v>0</v>
      </c>
      <c r="BA407" s="1376">
        <f t="shared" si="585"/>
        <v>0</v>
      </c>
      <c r="BB407" s="1377"/>
      <c r="BC407" s="1820"/>
      <c r="BD407" s="1820"/>
      <c r="BE407" s="1823"/>
      <c r="BF407" s="1826"/>
      <c r="BG407" s="1829"/>
    </row>
    <row r="408" spans="1:59" s="1378" customFormat="1" ht="38.25">
      <c r="A408" s="1347" t="str">
        <f t="shared" si="567"/>
        <v>FPG Services, LLC</v>
      </c>
      <c r="B408" s="1348" t="str">
        <f t="shared" si="568"/>
        <v>Woodruff-Sawyer</v>
      </c>
      <c r="C408" s="1348">
        <f t="shared" si="569"/>
        <v>72</v>
      </c>
      <c r="D408" s="1349">
        <f t="shared" si="570"/>
        <v>43282</v>
      </c>
      <c r="E408" s="1349"/>
      <c r="F408" s="1347" t="s">
        <v>113</v>
      </c>
      <c r="G408" s="1347" t="s">
        <v>85</v>
      </c>
      <c r="H408" s="1347" t="s">
        <v>85</v>
      </c>
      <c r="I408" s="1347" t="s">
        <v>113</v>
      </c>
      <c r="J408" s="1349"/>
      <c r="K408" s="1349" t="s">
        <v>254</v>
      </c>
      <c r="L408" s="1350" t="s">
        <v>4675</v>
      </c>
      <c r="M408" s="1350" t="s">
        <v>3650</v>
      </c>
      <c r="N408" s="1385" t="s">
        <v>5022</v>
      </c>
      <c r="O408" s="1352" t="s">
        <v>4677</v>
      </c>
      <c r="P408" s="1388"/>
      <c r="Q408" s="1354"/>
      <c r="R408" s="1354"/>
      <c r="S408" s="1354"/>
      <c r="T408" s="1354"/>
      <c r="U408" s="1353" t="s">
        <v>4959</v>
      </c>
      <c r="V408" s="1353" t="s">
        <v>2482</v>
      </c>
      <c r="W408" s="1354"/>
      <c r="X408" s="1353">
        <f t="shared" si="571"/>
        <v>43282</v>
      </c>
      <c r="Y408" s="1353">
        <f t="shared" si="571"/>
        <v>43466</v>
      </c>
      <c r="Z408" s="1355"/>
      <c r="AA408" s="1355" t="s">
        <v>4679</v>
      </c>
      <c r="AB408" s="1356"/>
      <c r="AC408" s="1356"/>
      <c r="AD408" s="1422">
        <f>AH408</f>
        <v>0</v>
      </c>
      <c r="AE408" s="1422">
        <f t="shared" si="545"/>
        <v>0</v>
      </c>
      <c r="AF408" s="1423" t="str">
        <f t="shared" si="572"/>
        <v/>
      </c>
      <c r="AG408" s="1358">
        <v>0</v>
      </c>
      <c r="AH408" s="1426">
        <f t="shared" ref="AH408:AH410" si="586">AG408*12</f>
        <v>0</v>
      </c>
      <c r="AI408" s="1359">
        <v>0.1</v>
      </c>
      <c r="AJ408" s="1360">
        <f t="shared" ref="AJ408:AJ416" si="587">$AI408*$AG408</f>
        <v>0</v>
      </c>
      <c r="AK408" s="1361">
        <f t="shared" ref="AK408:AK421" si="588">AI408*$AH408</f>
        <v>0</v>
      </c>
      <c r="AL408" s="1384">
        <v>0</v>
      </c>
      <c r="AM408" s="1363">
        <f t="shared" si="575"/>
        <v>0</v>
      </c>
      <c r="AN408" s="1364">
        <v>0.08</v>
      </c>
      <c r="AO408" s="1365">
        <f t="shared" si="576"/>
        <v>0</v>
      </c>
      <c r="AP408" s="1366">
        <v>0</v>
      </c>
      <c r="AQ408" s="1367">
        <f t="shared" si="577"/>
        <v>0</v>
      </c>
      <c r="AR408" s="1368">
        <v>0</v>
      </c>
      <c r="AS408" s="1369">
        <f t="shared" si="578"/>
        <v>0</v>
      </c>
      <c r="AT408" s="1370">
        <v>0</v>
      </c>
      <c r="AU408" s="1371">
        <f t="shared" si="579"/>
        <v>0</v>
      </c>
      <c r="AV408" s="1359">
        <f t="shared" si="580"/>
        <v>2.0000000000000004E-2</v>
      </c>
      <c r="AW408" s="1372">
        <f t="shared" si="581"/>
        <v>0</v>
      </c>
      <c r="AX408" s="1373">
        <f t="shared" si="582"/>
        <v>2.0000000000000004E-2</v>
      </c>
      <c r="AY408" s="1374">
        <f t="shared" si="583"/>
        <v>0</v>
      </c>
      <c r="AZ408" s="1375">
        <f t="shared" si="584"/>
        <v>2.0000000000000004E-2</v>
      </c>
      <c r="BA408" s="1376">
        <f t="shared" si="585"/>
        <v>0</v>
      </c>
      <c r="BB408" s="1377"/>
      <c r="BC408" s="1820"/>
      <c r="BD408" s="1820"/>
      <c r="BE408" s="1823"/>
      <c r="BF408" s="1826"/>
      <c r="BG408" s="1829"/>
    </row>
    <row r="409" spans="1:59" s="1378" customFormat="1" ht="38.25">
      <c r="A409" s="1347" t="str">
        <f t="shared" si="567"/>
        <v>FPG Services, LLC</v>
      </c>
      <c r="B409" s="1348" t="str">
        <f t="shared" si="568"/>
        <v>Woodruff-Sawyer</v>
      </c>
      <c r="C409" s="1348">
        <f t="shared" si="569"/>
        <v>72</v>
      </c>
      <c r="D409" s="1349">
        <f t="shared" si="570"/>
        <v>43282</v>
      </c>
      <c r="E409" s="1349"/>
      <c r="F409" s="1347" t="s">
        <v>113</v>
      </c>
      <c r="G409" s="1347" t="s">
        <v>85</v>
      </c>
      <c r="H409" s="1347" t="s">
        <v>85</v>
      </c>
      <c r="I409" s="1347" t="s">
        <v>113</v>
      </c>
      <c r="J409" s="1349"/>
      <c r="K409" s="1349" t="s">
        <v>254</v>
      </c>
      <c r="L409" s="1350" t="s">
        <v>4675</v>
      </c>
      <c r="M409" s="1350" t="s">
        <v>3651</v>
      </c>
      <c r="N409" s="1351" t="s">
        <v>4897</v>
      </c>
      <c r="O409" s="1352" t="s">
        <v>4681</v>
      </c>
      <c r="P409" s="1388"/>
      <c r="Q409" s="1354"/>
      <c r="R409" s="1354"/>
      <c r="S409" s="1354"/>
      <c r="T409" s="1354"/>
      <c r="U409" s="1354"/>
      <c r="V409" s="1354"/>
      <c r="W409" s="1353" t="s">
        <v>2482</v>
      </c>
      <c r="X409" s="1353">
        <f t="shared" si="571"/>
        <v>43282</v>
      </c>
      <c r="Y409" s="1353">
        <f t="shared" si="571"/>
        <v>43466</v>
      </c>
      <c r="Z409" s="1355"/>
      <c r="AA409" s="1355" t="s">
        <v>4679</v>
      </c>
      <c r="AB409" s="1356"/>
      <c r="AC409" s="1356"/>
      <c r="AD409" s="1422">
        <f>AH409</f>
        <v>0</v>
      </c>
      <c r="AE409" s="1422">
        <f t="shared" si="545"/>
        <v>0</v>
      </c>
      <c r="AF409" s="1423" t="str">
        <f t="shared" si="572"/>
        <v/>
      </c>
      <c r="AG409" s="1358">
        <v>0</v>
      </c>
      <c r="AH409" s="1426">
        <f t="shared" si="586"/>
        <v>0</v>
      </c>
      <c r="AI409" s="1359">
        <v>0.1</v>
      </c>
      <c r="AJ409" s="1360">
        <f t="shared" si="587"/>
        <v>0</v>
      </c>
      <c r="AK409" s="1361">
        <f t="shared" si="588"/>
        <v>0</v>
      </c>
      <c r="AL409" s="1384">
        <v>0</v>
      </c>
      <c r="AM409" s="1363">
        <f t="shared" si="575"/>
        <v>0</v>
      </c>
      <c r="AN409" s="1364">
        <v>0.08</v>
      </c>
      <c r="AO409" s="1365">
        <f t="shared" si="576"/>
        <v>0</v>
      </c>
      <c r="AP409" s="1366">
        <v>0</v>
      </c>
      <c r="AQ409" s="1367">
        <f t="shared" si="577"/>
        <v>0</v>
      </c>
      <c r="AR409" s="1368">
        <v>0</v>
      </c>
      <c r="AS409" s="1369">
        <f t="shared" si="578"/>
        <v>0</v>
      </c>
      <c r="AT409" s="1370">
        <v>0</v>
      </c>
      <c r="AU409" s="1371">
        <f t="shared" si="579"/>
        <v>0</v>
      </c>
      <c r="AV409" s="1359">
        <f t="shared" si="580"/>
        <v>2.0000000000000004E-2</v>
      </c>
      <c r="AW409" s="1372">
        <f t="shared" si="581"/>
        <v>0</v>
      </c>
      <c r="AX409" s="1373">
        <f t="shared" si="582"/>
        <v>2.0000000000000004E-2</v>
      </c>
      <c r="AY409" s="1374">
        <f t="shared" si="583"/>
        <v>0</v>
      </c>
      <c r="AZ409" s="1375">
        <f t="shared" si="584"/>
        <v>2.0000000000000004E-2</v>
      </c>
      <c r="BA409" s="1376">
        <f t="shared" si="585"/>
        <v>0</v>
      </c>
      <c r="BB409" s="1377"/>
      <c r="BC409" s="1820"/>
      <c r="BD409" s="1820"/>
      <c r="BE409" s="1823"/>
      <c r="BF409" s="1826"/>
      <c r="BG409" s="1829"/>
    </row>
    <row r="410" spans="1:59" s="1378" customFormat="1" ht="38.25">
      <c r="A410" s="1347" t="str">
        <f t="shared" si="567"/>
        <v>FPG Services, LLC</v>
      </c>
      <c r="B410" s="1348" t="str">
        <f t="shared" si="568"/>
        <v>Woodruff-Sawyer</v>
      </c>
      <c r="C410" s="1348">
        <f t="shared" si="569"/>
        <v>72</v>
      </c>
      <c r="D410" s="1349">
        <f t="shared" si="570"/>
        <v>43282</v>
      </c>
      <c r="E410" s="1349"/>
      <c r="F410" s="1347" t="s">
        <v>113</v>
      </c>
      <c r="G410" s="1347" t="s">
        <v>85</v>
      </c>
      <c r="H410" s="1347" t="s">
        <v>85</v>
      </c>
      <c r="I410" s="1347" t="s">
        <v>113</v>
      </c>
      <c r="J410" s="1349"/>
      <c r="K410" s="1349" t="s">
        <v>254</v>
      </c>
      <c r="L410" s="1350" t="s">
        <v>4682</v>
      </c>
      <c r="M410" s="1350" t="s">
        <v>4683</v>
      </c>
      <c r="N410" s="1386" t="s">
        <v>148</v>
      </c>
      <c r="O410" s="1352" t="s">
        <v>4684</v>
      </c>
      <c r="P410" s="1421"/>
      <c r="Q410" s="1354"/>
      <c r="R410" s="1354"/>
      <c r="S410" s="1354"/>
      <c r="T410" s="1354"/>
      <c r="U410" s="1354"/>
      <c r="V410" s="1354"/>
      <c r="W410" s="1354"/>
      <c r="X410" s="1353">
        <f t="shared" si="571"/>
        <v>43282</v>
      </c>
      <c r="Y410" s="1353">
        <f t="shared" si="571"/>
        <v>43466</v>
      </c>
      <c r="Z410" s="1355"/>
      <c r="AA410" s="1355" t="s">
        <v>4685</v>
      </c>
      <c r="AB410" s="1356"/>
      <c r="AC410" s="1356"/>
      <c r="AD410" s="1422">
        <f>AH410</f>
        <v>0</v>
      </c>
      <c r="AE410" s="1422">
        <f t="shared" si="545"/>
        <v>0</v>
      </c>
      <c r="AF410" s="1423" t="str">
        <f t="shared" si="572"/>
        <v/>
      </c>
      <c r="AG410" s="1358">
        <v>0</v>
      </c>
      <c r="AH410" s="1426">
        <f t="shared" si="586"/>
        <v>0</v>
      </c>
      <c r="AI410" s="1359">
        <v>0.15</v>
      </c>
      <c r="AJ410" s="1360">
        <f t="shared" si="587"/>
        <v>0</v>
      </c>
      <c r="AK410" s="1361">
        <f t="shared" si="588"/>
        <v>0</v>
      </c>
      <c r="AL410" s="1384">
        <v>0</v>
      </c>
      <c r="AM410" s="1363">
        <f t="shared" si="575"/>
        <v>0</v>
      </c>
      <c r="AN410" s="1364">
        <v>0.1</v>
      </c>
      <c r="AO410" s="1365">
        <f t="shared" si="576"/>
        <v>0</v>
      </c>
      <c r="AP410" s="1366">
        <v>0</v>
      </c>
      <c r="AQ410" s="1367">
        <f t="shared" si="577"/>
        <v>0</v>
      </c>
      <c r="AR410" s="1368">
        <v>0</v>
      </c>
      <c r="AS410" s="1369">
        <f t="shared" si="578"/>
        <v>0</v>
      </c>
      <c r="AT410" s="1370">
        <v>0</v>
      </c>
      <c r="AU410" s="1371">
        <f t="shared" si="579"/>
        <v>0</v>
      </c>
      <c r="AV410" s="1359">
        <f t="shared" si="580"/>
        <v>4.9999999999999989E-2</v>
      </c>
      <c r="AW410" s="1372">
        <f t="shared" si="581"/>
        <v>0</v>
      </c>
      <c r="AX410" s="1373">
        <f t="shared" si="582"/>
        <v>4.9999999999999989E-2</v>
      </c>
      <c r="AY410" s="1374">
        <f t="shared" si="583"/>
        <v>0</v>
      </c>
      <c r="AZ410" s="1375">
        <f t="shared" si="584"/>
        <v>4.9999999999999989E-2</v>
      </c>
      <c r="BA410" s="1376">
        <f t="shared" si="585"/>
        <v>0</v>
      </c>
      <c r="BB410" s="1377"/>
      <c r="BC410" s="1820"/>
      <c r="BD410" s="1820"/>
      <c r="BE410" s="1823"/>
      <c r="BF410" s="1826"/>
      <c r="BG410" s="1829"/>
    </row>
    <row r="411" spans="1:59" s="1378" customFormat="1" ht="38.25">
      <c r="A411" s="1347" t="str">
        <f t="shared" si="567"/>
        <v>FPG Services, LLC</v>
      </c>
      <c r="B411" s="1348" t="str">
        <f t="shared" si="568"/>
        <v>Woodruff-Sawyer</v>
      </c>
      <c r="C411" s="1348">
        <f t="shared" si="569"/>
        <v>72</v>
      </c>
      <c r="D411" s="1349">
        <f t="shared" si="570"/>
        <v>43282</v>
      </c>
      <c r="E411" s="1349"/>
      <c r="F411" s="1347" t="s">
        <v>113</v>
      </c>
      <c r="G411" s="1347" t="s">
        <v>85</v>
      </c>
      <c r="H411" s="1347" t="s">
        <v>85</v>
      </c>
      <c r="I411" s="1347" t="s">
        <v>113</v>
      </c>
      <c r="J411" s="1349"/>
      <c r="K411" s="1349" t="s">
        <v>254</v>
      </c>
      <c r="L411" s="1350" t="s">
        <v>4682</v>
      </c>
      <c r="M411" s="1350" t="s">
        <v>4686</v>
      </c>
      <c r="N411" s="1386" t="s">
        <v>60</v>
      </c>
      <c r="O411" s="1352" t="s">
        <v>4687</v>
      </c>
      <c r="P411" s="1421"/>
      <c r="Q411" s="1354"/>
      <c r="R411" s="1354"/>
      <c r="S411" s="1354"/>
      <c r="T411" s="1354"/>
      <c r="U411" s="1354"/>
      <c r="V411" s="1354"/>
      <c r="W411" s="1354"/>
      <c r="X411" s="1353">
        <f t="shared" si="571"/>
        <v>43282</v>
      </c>
      <c r="Y411" s="1353">
        <f t="shared" si="571"/>
        <v>43466</v>
      </c>
      <c r="Z411" s="1355"/>
      <c r="AA411" s="1355" t="s">
        <v>4685</v>
      </c>
      <c r="AB411" s="1356"/>
      <c r="AC411" s="1356"/>
      <c r="AD411" s="1422">
        <v>0</v>
      </c>
      <c r="AE411" s="1422">
        <f t="shared" si="545"/>
        <v>0</v>
      </c>
      <c r="AF411" s="1423" t="str">
        <f t="shared" si="572"/>
        <v/>
      </c>
      <c r="AG411" s="1358">
        <f t="shared" ref="AG411:AG413" si="589">AH411/12</f>
        <v>0</v>
      </c>
      <c r="AH411" s="1426">
        <v>0</v>
      </c>
      <c r="AI411" s="1359">
        <v>0.15</v>
      </c>
      <c r="AJ411" s="1360">
        <f t="shared" si="587"/>
        <v>0</v>
      </c>
      <c r="AK411" s="1361">
        <f t="shared" si="588"/>
        <v>0</v>
      </c>
      <c r="AL411" s="1384">
        <v>0</v>
      </c>
      <c r="AM411" s="1363">
        <f t="shared" si="575"/>
        <v>0</v>
      </c>
      <c r="AN411" s="1364">
        <v>0.1</v>
      </c>
      <c r="AO411" s="1365">
        <f t="shared" si="576"/>
        <v>0</v>
      </c>
      <c r="AP411" s="1366">
        <v>0</v>
      </c>
      <c r="AQ411" s="1367">
        <f t="shared" si="577"/>
        <v>0</v>
      </c>
      <c r="AR411" s="1368">
        <v>0</v>
      </c>
      <c r="AS411" s="1369">
        <f t="shared" si="578"/>
        <v>0</v>
      </c>
      <c r="AT411" s="1370">
        <v>0</v>
      </c>
      <c r="AU411" s="1371">
        <f t="shared" si="579"/>
        <v>0</v>
      </c>
      <c r="AV411" s="1359">
        <f t="shared" si="580"/>
        <v>4.9999999999999989E-2</v>
      </c>
      <c r="AW411" s="1372">
        <f t="shared" si="581"/>
        <v>0</v>
      </c>
      <c r="AX411" s="1373">
        <f t="shared" si="582"/>
        <v>4.9999999999999989E-2</v>
      </c>
      <c r="AY411" s="1374">
        <f t="shared" si="583"/>
        <v>0</v>
      </c>
      <c r="AZ411" s="1375">
        <f t="shared" si="584"/>
        <v>4.9999999999999989E-2</v>
      </c>
      <c r="BA411" s="1376">
        <f t="shared" si="585"/>
        <v>0</v>
      </c>
      <c r="BB411" s="1377"/>
      <c r="BC411" s="1820"/>
      <c r="BD411" s="1820"/>
      <c r="BE411" s="1823"/>
      <c r="BF411" s="1826"/>
      <c r="BG411" s="1829"/>
    </row>
    <row r="412" spans="1:59" s="1378" customFormat="1" ht="38.25">
      <c r="A412" s="1347" t="str">
        <f t="shared" si="567"/>
        <v>FPG Services, LLC</v>
      </c>
      <c r="B412" s="1348" t="str">
        <f t="shared" si="568"/>
        <v>Woodruff-Sawyer</v>
      </c>
      <c r="C412" s="1348">
        <f t="shared" si="569"/>
        <v>72</v>
      </c>
      <c r="D412" s="1349">
        <f t="shared" si="570"/>
        <v>43282</v>
      </c>
      <c r="E412" s="1349"/>
      <c r="F412" s="1347" t="s">
        <v>113</v>
      </c>
      <c r="G412" s="1347" t="s">
        <v>85</v>
      </c>
      <c r="H412" s="1347" t="s">
        <v>85</v>
      </c>
      <c r="I412" s="1347" t="s">
        <v>113</v>
      </c>
      <c r="J412" s="1349"/>
      <c r="K412" s="1349" t="s">
        <v>254</v>
      </c>
      <c r="L412" s="1350" t="s">
        <v>4682</v>
      </c>
      <c r="M412" s="1350" t="s">
        <v>62</v>
      </c>
      <c r="N412" s="1351" t="s">
        <v>81</v>
      </c>
      <c r="O412" s="1352" t="s">
        <v>4688</v>
      </c>
      <c r="P412" s="1388"/>
      <c r="Q412" s="1354"/>
      <c r="R412" s="1354"/>
      <c r="S412" s="1354"/>
      <c r="T412" s="1354"/>
      <c r="U412" s="1354"/>
      <c r="V412" s="1354"/>
      <c r="W412" s="1354"/>
      <c r="X412" s="1353">
        <f t="shared" si="571"/>
        <v>43282</v>
      </c>
      <c r="Y412" s="1353">
        <f t="shared" si="571"/>
        <v>43466</v>
      </c>
      <c r="Z412" s="1355"/>
      <c r="AA412" s="1355" t="s">
        <v>4685</v>
      </c>
      <c r="AB412" s="1356"/>
      <c r="AC412" s="1356"/>
      <c r="AD412" s="1422">
        <f>AH412</f>
        <v>0</v>
      </c>
      <c r="AE412" s="1422">
        <f t="shared" si="545"/>
        <v>0</v>
      </c>
      <c r="AF412" s="1423" t="str">
        <f t="shared" si="572"/>
        <v/>
      </c>
      <c r="AG412" s="1358">
        <f t="shared" si="589"/>
        <v>0</v>
      </c>
      <c r="AH412" s="1426">
        <v>0</v>
      </c>
      <c r="AI412" s="1359">
        <v>0.15</v>
      </c>
      <c r="AJ412" s="1360">
        <f t="shared" si="587"/>
        <v>0</v>
      </c>
      <c r="AK412" s="1361">
        <f t="shared" si="588"/>
        <v>0</v>
      </c>
      <c r="AL412" s="1384">
        <v>0</v>
      </c>
      <c r="AM412" s="1363">
        <f t="shared" si="575"/>
        <v>0</v>
      </c>
      <c r="AN412" s="1364">
        <v>0.1</v>
      </c>
      <c r="AO412" s="1365">
        <f t="shared" si="576"/>
        <v>0</v>
      </c>
      <c r="AP412" s="1366">
        <v>0</v>
      </c>
      <c r="AQ412" s="1367">
        <f t="shared" si="577"/>
        <v>0</v>
      </c>
      <c r="AR412" s="1368">
        <v>0</v>
      </c>
      <c r="AS412" s="1369">
        <f t="shared" si="578"/>
        <v>0</v>
      </c>
      <c r="AT412" s="1370">
        <v>0</v>
      </c>
      <c r="AU412" s="1371">
        <f t="shared" si="579"/>
        <v>0</v>
      </c>
      <c r="AV412" s="1359">
        <f t="shared" si="580"/>
        <v>4.9999999999999989E-2</v>
      </c>
      <c r="AW412" s="1372">
        <f t="shared" si="581"/>
        <v>0</v>
      </c>
      <c r="AX412" s="1373">
        <f t="shared" si="582"/>
        <v>4.9999999999999989E-2</v>
      </c>
      <c r="AY412" s="1374">
        <f t="shared" si="583"/>
        <v>0</v>
      </c>
      <c r="AZ412" s="1375">
        <f t="shared" si="584"/>
        <v>4.9999999999999989E-2</v>
      </c>
      <c r="BA412" s="1376">
        <f t="shared" si="585"/>
        <v>0</v>
      </c>
      <c r="BB412" s="1377"/>
      <c r="BC412" s="1820"/>
      <c r="BD412" s="1820"/>
      <c r="BE412" s="1823"/>
      <c r="BF412" s="1826"/>
      <c r="BG412" s="1829"/>
    </row>
    <row r="413" spans="1:59" s="1378" customFormat="1" ht="38.25">
      <c r="A413" s="1347" t="str">
        <f t="shared" si="567"/>
        <v>FPG Services, LLC</v>
      </c>
      <c r="B413" s="1348" t="str">
        <f t="shared" si="568"/>
        <v>Woodruff-Sawyer</v>
      </c>
      <c r="C413" s="1348">
        <f t="shared" si="569"/>
        <v>72</v>
      </c>
      <c r="D413" s="1349">
        <f t="shared" si="570"/>
        <v>43282</v>
      </c>
      <c r="E413" s="1349"/>
      <c r="F413" s="1347" t="s">
        <v>113</v>
      </c>
      <c r="G413" s="1347" t="s">
        <v>85</v>
      </c>
      <c r="H413" s="1347" t="s">
        <v>85</v>
      </c>
      <c r="I413" s="1347" t="s">
        <v>113</v>
      </c>
      <c r="J413" s="1349"/>
      <c r="K413" s="1349" t="s">
        <v>254</v>
      </c>
      <c r="L413" s="1350" t="s">
        <v>4682</v>
      </c>
      <c r="M413" s="1350" t="s">
        <v>67</v>
      </c>
      <c r="N413" s="1351" t="s">
        <v>82</v>
      </c>
      <c r="O413" s="1352" t="s">
        <v>4689</v>
      </c>
      <c r="P413" s="1388"/>
      <c r="Q413" s="1354"/>
      <c r="R413" s="1354"/>
      <c r="S413" s="1354"/>
      <c r="T413" s="1354"/>
      <c r="U413" s="1354"/>
      <c r="V413" s="1354"/>
      <c r="W413" s="1354"/>
      <c r="X413" s="1353">
        <f t="shared" si="571"/>
        <v>43282</v>
      </c>
      <c r="Y413" s="1353">
        <f t="shared" si="571"/>
        <v>43466</v>
      </c>
      <c r="Z413" s="1355"/>
      <c r="AA413" s="1355" t="s">
        <v>4685</v>
      </c>
      <c r="AB413" s="1356"/>
      <c r="AC413" s="1356"/>
      <c r="AD413" s="1422">
        <f>AH413</f>
        <v>0</v>
      </c>
      <c r="AE413" s="1422">
        <f t="shared" si="545"/>
        <v>0</v>
      </c>
      <c r="AF413" s="1423" t="str">
        <f t="shared" si="572"/>
        <v/>
      </c>
      <c r="AG413" s="1358">
        <f t="shared" si="589"/>
        <v>0</v>
      </c>
      <c r="AH413" s="1426">
        <v>0</v>
      </c>
      <c r="AI413" s="1359">
        <v>0.15</v>
      </c>
      <c r="AJ413" s="1360">
        <f t="shared" si="587"/>
        <v>0</v>
      </c>
      <c r="AK413" s="1361">
        <f t="shared" si="588"/>
        <v>0</v>
      </c>
      <c r="AL413" s="1384">
        <v>0</v>
      </c>
      <c r="AM413" s="1363">
        <f t="shared" si="575"/>
        <v>0</v>
      </c>
      <c r="AN413" s="1364">
        <v>0.1</v>
      </c>
      <c r="AO413" s="1365">
        <f t="shared" si="576"/>
        <v>0</v>
      </c>
      <c r="AP413" s="1366">
        <v>0</v>
      </c>
      <c r="AQ413" s="1367">
        <f t="shared" si="577"/>
        <v>0</v>
      </c>
      <c r="AR413" s="1368">
        <v>0</v>
      </c>
      <c r="AS413" s="1369">
        <f t="shared" si="578"/>
        <v>0</v>
      </c>
      <c r="AT413" s="1370">
        <v>0</v>
      </c>
      <c r="AU413" s="1371">
        <f t="shared" si="579"/>
        <v>0</v>
      </c>
      <c r="AV413" s="1359">
        <f t="shared" si="580"/>
        <v>4.9999999999999989E-2</v>
      </c>
      <c r="AW413" s="1372">
        <f t="shared" si="581"/>
        <v>0</v>
      </c>
      <c r="AX413" s="1373">
        <f t="shared" si="582"/>
        <v>4.9999999999999989E-2</v>
      </c>
      <c r="AY413" s="1374">
        <f t="shared" si="583"/>
        <v>0</v>
      </c>
      <c r="AZ413" s="1375">
        <f t="shared" si="584"/>
        <v>4.9999999999999989E-2</v>
      </c>
      <c r="BA413" s="1376">
        <f t="shared" si="585"/>
        <v>0</v>
      </c>
      <c r="BB413" s="1377"/>
      <c r="BC413" s="1820"/>
      <c r="BD413" s="1820"/>
      <c r="BE413" s="1823"/>
      <c r="BF413" s="1826"/>
      <c r="BG413" s="1829"/>
    </row>
    <row r="414" spans="1:59" s="1378" customFormat="1" ht="38.25">
      <c r="A414" s="1347" t="str">
        <f t="shared" si="567"/>
        <v>FPG Services, LLC</v>
      </c>
      <c r="B414" s="1348" t="str">
        <f t="shared" si="568"/>
        <v>Woodruff-Sawyer</v>
      </c>
      <c r="C414" s="1348">
        <f t="shared" si="569"/>
        <v>72</v>
      </c>
      <c r="D414" s="1349">
        <f t="shared" si="570"/>
        <v>43282</v>
      </c>
      <c r="E414" s="1349"/>
      <c r="F414" s="1347" t="s">
        <v>113</v>
      </c>
      <c r="G414" s="1347" t="s">
        <v>85</v>
      </c>
      <c r="H414" s="1347" t="s">
        <v>85</v>
      </c>
      <c r="I414" s="1347" t="s">
        <v>113</v>
      </c>
      <c r="J414" s="1349" t="s">
        <v>4690</v>
      </c>
      <c r="K414" s="1349" t="s">
        <v>254</v>
      </c>
      <c r="L414" s="1350" t="s">
        <v>4682</v>
      </c>
      <c r="M414" s="1350" t="s">
        <v>4691</v>
      </c>
      <c r="N414" s="1351" t="s">
        <v>94</v>
      </c>
      <c r="O414" s="1352" t="s">
        <v>4692</v>
      </c>
      <c r="P414" s="1388"/>
      <c r="Q414" s="1354"/>
      <c r="R414" s="1354"/>
      <c r="S414" s="1354"/>
      <c r="T414" s="1354"/>
      <c r="U414" s="1354"/>
      <c r="V414" s="1354"/>
      <c r="W414" s="1354"/>
      <c r="X414" s="1353">
        <f t="shared" si="571"/>
        <v>43282</v>
      </c>
      <c r="Y414" s="1353">
        <f t="shared" si="571"/>
        <v>43466</v>
      </c>
      <c r="Z414" s="1355"/>
      <c r="AA414" s="1355" t="s">
        <v>4685</v>
      </c>
      <c r="AB414" s="1356"/>
      <c r="AC414" s="1356"/>
      <c r="AD414" s="1422">
        <v>0</v>
      </c>
      <c r="AE414" s="1422">
        <f t="shared" si="545"/>
        <v>0</v>
      </c>
      <c r="AF414" s="1423" t="str">
        <f t="shared" si="572"/>
        <v/>
      </c>
      <c r="AG414" s="1358">
        <v>0</v>
      </c>
      <c r="AH414" s="1426">
        <f t="shared" ref="AH414:AH416" si="590">AG414*12</f>
        <v>0</v>
      </c>
      <c r="AI414" s="1359">
        <v>0.15</v>
      </c>
      <c r="AJ414" s="1360">
        <f t="shared" si="587"/>
        <v>0</v>
      </c>
      <c r="AK414" s="1361">
        <f t="shared" si="588"/>
        <v>0</v>
      </c>
      <c r="AL414" s="1384">
        <v>0</v>
      </c>
      <c r="AM414" s="1363">
        <f t="shared" si="575"/>
        <v>0</v>
      </c>
      <c r="AN414" s="1364">
        <v>0.1</v>
      </c>
      <c r="AO414" s="1365">
        <f t="shared" si="576"/>
        <v>0</v>
      </c>
      <c r="AP414" s="1366">
        <v>0</v>
      </c>
      <c r="AQ414" s="1367">
        <f t="shared" si="577"/>
        <v>0</v>
      </c>
      <c r="AR414" s="1368">
        <v>0</v>
      </c>
      <c r="AS414" s="1369">
        <f t="shared" si="578"/>
        <v>0</v>
      </c>
      <c r="AT414" s="1370">
        <v>0</v>
      </c>
      <c r="AU414" s="1371">
        <f t="shared" si="579"/>
        <v>0</v>
      </c>
      <c r="AV414" s="1359">
        <f t="shared" si="580"/>
        <v>4.9999999999999989E-2</v>
      </c>
      <c r="AW414" s="1372">
        <f t="shared" si="581"/>
        <v>0</v>
      </c>
      <c r="AX414" s="1373">
        <f t="shared" si="582"/>
        <v>4.9999999999999989E-2</v>
      </c>
      <c r="AY414" s="1374">
        <f t="shared" si="583"/>
        <v>0</v>
      </c>
      <c r="AZ414" s="1375">
        <f t="shared" si="584"/>
        <v>4.9999999999999989E-2</v>
      </c>
      <c r="BA414" s="1376">
        <f t="shared" si="585"/>
        <v>0</v>
      </c>
      <c r="BB414" s="1377"/>
      <c r="BC414" s="1820"/>
      <c r="BD414" s="1820"/>
      <c r="BE414" s="1823"/>
      <c r="BF414" s="1826"/>
      <c r="BG414" s="1829"/>
    </row>
    <row r="415" spans="1:59" s="1378" customFormat="1" ht="38.25">
      <c r="A415" s="1347" t="str">
        <f t="shared" si="567"/>
        <v>FPG Services, LLC</v>
      </c>
      <c r="B415" s="1348" t="str">
        <f t="shared" si="568"/>
        <v>Woodruff-Sawyer</v>
      </c>
      <c r="C415" s="1348">
        <f t="shared" si="569"/>
        <v>72</v>
      </c>
      <c r="D415" s="1349">
        <f t="shared" si="570"/>
        <v>43282</v>
      </c>
      <c r="E415" s="1349"/>
      <c r="F415" s="1347" t="s">
        <v>113</v>
      </c>
      <c r="G415" s="1347" t="s">
        <v>85</v>
      </c>
      <c r="H415" s="1347" t="s">
        <v>85</v>
      </c>
      <c r="I415" s="1347" t="s">
        <v>113</v>
      </c>
      <c r="J415" s="1349" t="s">
        <v>4690</v>
      </c>
      <c r="K415" s="1349" t="s">
        <v>254</v>
      </c>
      <c r="L415" s="1350" t="s">
        <v>4682</v>
      </c>
      <c r="M415" s="1350" t="s">
        <v>4691</v>
      </c>
      <c r="N415" s="1351" t="s">
        <v>98</v>
      </c>
      <c r="O415" s="1352" t="s">
        <v>4693</v>
      </c>
      <c r="P415" s="1388"/>
      <c r="Q415" s="1354"/>
      <c r="R415" s="1354"/>
      <c r="S415" s="1354"/>
      <c r="T415" s="1354"/>
      <c r="U415" s="1354"/>
      <c r="V415" s="1354"/>
      <c r="W415" s="1354"/>
      <c r="X415" s="1353">
        <f t="shared" si="571"/>
        <v>43282</v>
      </c>
      <c r="Y415" s="1353">
        <f t="shared" si="571"/>
        <v>43466</v>
      </c>
      <c r="Z415" s="1355"/>
      <c r="AA415" s="1355" t="s">
        <v>4685</v>
      </c>
      <c r="AB415" s="1356"/>
      <c r="AC415" s="1356"/>
      <c r="AD415" s="1422">
        <v>0</v>
      </c>
      <c r="AE415" s="1422">
        <f t="shared" si="545"/>
        <v>0</v>
      </c>
      <c r="AF415" s="1423" t="str">
        <f t="shared" si="572"/>
        <v/>
      </c>
      <c r="AG415" s="1358">
        <v>0</v>
      </c>
      <c r="AH415" s="1426">
        <f t="shared" si="590"/>
        <v>0</v>
      </c>
      <c r="AI415" s="1359">
        <v>0.15</v>
      </c>
      <c r="AJ415" s="1360">
        <f t="shared" si="587"/>
        <v>0</v>
      </c>
      <c r="AK415" s="1361">
        <f t="shared" si="588"/>
        <v>0</v>
      </c>
      <c r="AL415" s="1384">
        <v>0</v>
      </c>
      <c r="AM415" s="1363">
        <f t="shared" si="575"/>
        <v>0</v>
      </c>
      <c r="AN415" s="1364">
        <v>0.1</v>
      </c>
      <c r="AO415" s="1365">
        <f t="shared" si="576"/>
        <v>0</v>
      </c>
      <c r="AP415" s="1366">
        <v>0</v>
      </c>
      <c r="AQ415" s="1367">
        <f t="shared" si="577"/>
        <v>0</v>
      </c>
      <c r="AR415" s="1368">
        <v>0</v>
      </c>
      <c r="AS415" s="1369">
        <f t="shared" si="578"/>
        <v>0</v>
      </c>
      <c r="AT415" s="1370">
        <v>0</v>
      </c>
      <c r="AU415" s="1371">
        <f t="shared" si="579"/>
        <v>0</v>
      </c>
      <c r="AV415" s="1359">
        <f t="shared" si="580"/>
        <v>4.9999999999999989E-2</v>
      </c>
      <c r="AW415" s="1372">
        <f t="shared" si="581"/>
        <v>0</v>
      </c>
      <c r="AX415" s="1373">
        <f t="shared" si="582"/>
        <v>4.9999999999999989E-2</v>
      </c>
      <c r="AY415" s="1374">
        <f t="shared" si="583"/>
        <v>0</v>
      </c>
      <c r="AZ415" s="1375">
        <f t="shared" si="584"/>
        <v>4.9999999999999989E-2</v>
      </c>
      <c r="BA415" s="1376">
        <f t="shared" si="585"/>
        <v>0</v>
      </c>
      <c r="BB415" s="1377"/>
      <c r="BC415" s="1820"/>
      <c r="BD415" s="1820"/>
      <c r="BE415" s="1823"/>
      <c r="BF415" s="1826"/>
      <c r="BG415" s="1829"/>
    </row>
    <row r="416" spans="1:59" s="1378" customFormat="1" ht="38.25">
      <c r="A416" s="1347" t="str">
        <f t="shared" si="567"/>
        <v>FPG Services, LLC</v>
      </c>
      <c r="B416" s="1348" t="str">
        <f t="shared" si="568"/>
        <v>Woodruff-Sawyer</v>
      </c>
      <c r="C416" s="1348">
        <f t="shared" si="569"/>
        <v>72</v>
      </c>
      <c r="D416" s="1349">
        <f t="shared" si="570"/>
        <v>43282</v>
      </c>
      <c r="E416" s="1349"/>
      <c r="F416" s="1347" t="s">
        <v>113</v>
      </c>
      <c r="G416" s="1347" t="s">
        <v>85</v>
      </c>
      <c r="H416" s="1347" t="s">
        <v>85</v>
      </c>
      <c r="I416" s="1347" t="s">
        <v>113</v>
      </c>
      <c r="J416" s="1349" t="s">
        <v>4690</v>
      </c>
      <c r="K416" s="1349" t="s">
        <v>254</v>
      </c>
      <c r="L416" s="1350" t="s">
        <v>4682</v>
      </c>
      <c r="M416" s="1350" t="s">
        <v>4691</v>
      </c>
      <c r="N416" s="1351" t="s">
        <v>4694</v>
      </c>
      <c r="O416" s="1352" t="s">
        <v>4695</v>
      </c>
      <c r="P416" s="1388"/>
      <c r="Q416" s="1354"/>
      <c r="R416" s="1354"/>
      <c r="S416" s="1354"/>
      <c r="T416" s="1354"/>
      <c r="U416" s="1354"/>
      <c r="V416" s="1354"/>
      <c r="W416" s="1354"/>
      <c r="X416" s="1353">
        <f t="shared" si="571"/>
        <v>43282</v>
      </c>
      <c r="Y416" s="1353">
        <f t="shared" si="571"/>
        <v>43466</v>
      </c>
      <c r="Z416" s="1355"/>
      <c r="AA416" s="1355" t="s">
        <v>4685</v>
      </c>
      <c r="AB416" s="1356"/>
      <c r="AC416" s="1356"/>
      <c r="AD416" s="1422">
        <v>0</v>
      </c>
      <c r="AE416" s="1422">
        <f t="shared" si="545"/>
        <v>0</v>
      </c>
      <c r="AF416" s="1423" t="str">
        <f t="shared" si="572"/>
        <v/>
      </c>
      <c r="AG416" s="1358">
        <v>0</v>
      </c>
      <c r="AH416" s="1426">
        <f t="shared" si="590"/>
        <v>0</v>
      </c>
      <c r="AI416" s="1359">
        <v>0.15</v>
      </c>
      <c r="AJ416" s="1360">
        <f t="shared" si="587"/>
        <v>0</v>
      </c>
      <c r="AK416" s="1361">
        <f t="shared" si="588"/>
        <v>0</v>
      </c>
      <c r="AL416" s="1384">
        <v>0</v>
      </c>
      <c r="AM416" s="1363">
        <f t="shared" si="575"/>
        <v>0</v>
      </c>
      <c r="AN416" s="1364">
        <v>0.1</v>
      </c>
      <c r="AO416" s="1365">
        <f t="shared" si="576"/>
        <v>0</v>
      </c>
      <c r="AP416" s="1366">
        <v>0</v>
      </c>
      <c r="AQ416" s="1367">
        <f t="shared" si="577"/>
        <v>0</v>
      </c>
      <c r="AR416" s="1368">
        <v>0</v>
      </c>
      <c r="AS416" s="1369">
        <f t="shared" si="578"/>
        <v>0</v>
      </c>
      <c r="AT416" s="1370">
        <v>0</v>
      </c>
      <c r="AU416" s="1371">
        <f t="shared" si="579"/>
        <v>0</v>
      </c>
      <c r="AV416" s="1359">
        <f t="shared" si="580"/>
        <v>4.9999999999999989E-2</v>
      </c>
      <c r="AW416" s="1372">
        <f t="shared" si="581"/>
        <v>0</v>
      </c>
      <c r="AX416" s="1373">
        <f t="shared" si="582"/>
        <v>4.9999999999999989E-2</v>
      </c>
      <c r="AY416" s="1374">
        <f t="shared" si="583"/>
        <v>0</v>
      </c>
      <c r="AZ416" s="1375">
        <f t="shared" si="584"/>
        <v>4.9999999999999989E-2</v>
      </c>
      <c r="BA416" s="1376">
        <f t="shared" si="585"/>
        <v>0</v>
      </c>
      <c r="BB416" s="1377"/>
      <c r="BC416" s="1820"/>
      <c r="BD416" s="1820"/>
      <c r="BE416" s="1823"/>
      <c r="BF416" s="1826"/>
      <c r="BG416" s="1829"/>
    </row>
    <row r="417" spans="1:63" s="1378" customFormat="1" ht="27.75" customHeight="1">
      <c r="A417" s="1347" t="str">
        <f t="shared" si="567"/>
        <v>FPG Services, LLC</v>
      </c>
      <c r="B417" s="1348" t="str">
        <f t="shared" si="568"/>
        <v>Woodruff-Sawyer</v>
      </c>
      <c r="C417" s="1348">
        <f t="shared" si="569"/>
        <v>72</v>
      </c>
      <c r="D417" s="1349">
        <f t="shared" si="570"/>
        <v>43282</v>
      </c>
      <c r="E417" s="1349"/>
      <c r="F417" s="1347" t="s">
        <v>113</v>
      </c>
      <c r="G417" s="1347" t="s">
        <v>85</v>
      </c>
      <c r="H417" s="1347" t="s">
        <v>72</v>
      </c>
      <c r="I417" s="1347" t="s">
        <v>72</v>
      </c>
      <c r="J417" s="1349" t="s">
        <v>4670</v>
      </c>
      <c r="K417" s="1349" t="s">
        <v>254</v>
      </c>
      <c r="L417" s="1350" t="s">
        <v>4696</v>
      </c>
      <c r="M417" s="1350" t="s">
        <v>4697</v>
      </c>
      <c r="N417" s="1389" t="s">
        <v>4698</v>
      </c>
      <c r="O417" s="1352" t="s">
        <v>4699</v>
      </c>
      <c r="P417" s="1388"/>
      <c r="Q417" s="1354"/>
      <c r="R417" s="1354"/>
      <c r="S417" s="1354"/>
      <c r="T417" s="1354"/>
      <c r="U417" s="1354"/>
      <c r="V417" s="1354"/>
      <c r="W417" s="1354"/>
      <c r="X417" s="1353">
        <f t="shared" si="571"/>
        <v>43282</v>
      </c>
      <c r="Y417" s="1353">
        <f t="shared" si="571"/>
        <v>43466</v>
      </c>
      <c r="Z417" s="1355"/>
      <c r="AA417" s="1355" t="s">
        <v>4674</v>
      </c>
      <c r="AB417" s="1356"/>
      <c r="AC417" s="1356"/>
      <c r="AD417" s="1422">
        <v>0</v>
      </c>
      <c r="AE417" s="1422">
        <f t="shared" si="545"/>
        <v>0</v>
      </c>
      <c r="AF417" s="1423" t="str">
        <f t="shared" si="572"/>
        <v/>
      </c>
      <c r="AG417" s="1380"/>
      <c r="AH417" s="1380"/>
      <c r="AI417" s="1381">
        <v>0</v>
      </c>
      <c r="AJ417" s="1382"/>
      <c r="AK417" s="1383">
        <f t="shared" si="588"/>
        <v>0</v>
      </c>
      <c r="AL417" s="1384">
        <v>0</v>
      </c>
      <c r="AM417" s="1363">
        <f t="shared" si="575"/>
        <v>0</v>
      </c>
      <c r="AN417" s="1364">
        <v>0</v>
      </c>
      <c r="AO417" s="1365">
        <f t="shared" si="576"/>
        <v>0</v>
      </c>
      <c r="AP417" s="1366">
        <v>0</v>
      </c>
      <c r="AQ417" s="1367">
        <f t="shared" si="577"/>
        <v>0</v>
      </c>
      <c r="AR417" s="1368">
        <v>0</v>
      </c>
      <c r="AS417" s="1369">
        <f t="shared" si="578"/>
        <v>0</v>
      </c>
      <c r="AT417" s="1370">
        <v>0</v>
      </c>
      <c r="AU417" s="1371">
        <f t="shared" si="579"/>
        <v>0</v>
      </c>
      <c r="AV417" s="1359">
        <f t="shared" si="580"/>
        <v>0</v>
      </c>
      <c r="AW417" s="1372">
        <f t="shared" si="581"/>
        <v>0</v>
      </c>
      <c r="AX417" s="1373">
        <f t="shared" si="582"/>
        <v>0</v>
      </c>
      <c r="AY417" s="1374">
        <f t="shared" si="583"/>
        <v>0</v>
      </c>
      <c r="AZ417" s="1375">
        <f t="shared" si="584"/>
        <v>0</v>
      </c>
      <c r="BA417" s="1376">
        <f t="shared" si="585"/>
        <v>0</v>
      </c>
      <c r="BB417" s="1377"/>
      <c r="BC417" s="1820"/>
      <c r="BD417" s="1820"/>
      <c r="BE417" s="1823"/>
      <c r="BF417" s="1826"/>
      <c r="BG417" s="1829"/>
    </row>
    <row r="418" spans="1:63" s="1378" customFormat="1" ht="38.25">
      <c r="A418" s="1347" t="str">
        <f t="shared" si="567"/>
        <v>FPG Services, LLC</v>
      </c>
      <c r="B418" s="1348" t="str">
        <f t="shared" si="568"/>
        <v>Woodruff-Sawyer</v>
      </c>
      <c r="C418" s="1348">
        <f t="shared" si="569"/>
        <v>72</v>
      </c>
      <c r="D418" s="1349">
        <f t="shared" si="570"/>
        <v>43282</v>
      </c>
      <c r="E418" s="1349"/>
      <c r="F418" s="1347" t="s">
        <v>113</v>
      </c>
      <c r="G418" s="1347" t="s">
        <v>113</v>
      </c>
      <c r="H418" s="1347" t="s">
        <v>72</v>
      </c>
      <c r="I418" s="1347" t="s">
        <v>72</v>
      </c>
      <c r="J418" s="1349" t="s">
        <v>4670</v>
      </c>
      <c r="K418" s="1349"/>
      <c r="L418" s="1397" t="s">
        <v>4563</v>
      </c>
      <c r="M418" s="1397" t="s">
        <v>3652</v>
      </c>
      <c r="N418" s="1412" t="s">
        <v>5023</v>
      </c>
      <c r="O418" s="1399" t="s">
        <v>5024</v>
      </c>
      <c r="P418" s="1399"/>
      <c r="Q418" s="1354"/>
      <c r="R418" s="1354"/>
      <c r="S418" s="1354"/>
      <c r="T418" s="1354"/>
      <c r="U418" s="1354"/>
      <c r="V418" s="1354"/>
      <c r="W418" s="1354"/>
      <c r="X418" s="1400">
        <f t="shared" si="571"/>
        <v>43282</v>
      </c>
      <c r="Y418" s="1400">
        <f t="shared" si="571"/>
        <v>43466</v>
      </c>
      <c r="Z418" s="1401"/>
      <c r="AA418" s="1401" t="s">
        <v>4674</v>
      </c>
      <c r="AB418" s="1356"/>
      <c r="AC418" s="1356"/>
      <c r="AD418" s="1369">
        <v>0</v>
      </c>
      <c r="AE418" s="1369">
        <f t="shared" si="545"/>
        <v>0</v>
      </c>
      <c r="AF418" s="1403" t="str">
        <f t="shared" si="572"/>
        <v/>
      </c>
      <c r="AG418" s="1380"/>
      <c r="AH418" s="1380"/>
      <c r="AI418" s="1381">
        <v>0</v>
      </c>
      <c r="AJ418" s="1382"/>
      <c r="AK418" s="1383">
        <f t="shared" si="588"/>
        <v>0</v>
      </c>
      <c r="AL418" s="1384">
        <v>0</v>
      </c>
      <c r="AM418" s="1363">
        <f t="shared" si="575"/>
        <v>0</v>
      </c>
      <c r="AN418" s="1364">
        <v>0</v>
      </c>
      <c r="AO418" s="1365">
        <f t="shared" si="576"/>
        <v>0</v>
      </c>
      <c r="AP418" s="1366">
        <v>0</v>
      </c>
      <c r="AQ418" s="1367">
        <f t="shared" si="577"/>
        <v>0</v>
      </c>
      <c r="AR418" s="1368">
        <v>0</v>
      </c>
      <c r="AS418" s="1369">
        <f t="shared" si="578"/>
        <v>0</v>
      </c>
      <c r="AT418" s="1370">
        <v>0</v>
      </c>
      <c r="AU418" s="1371">
        <f t="shared" si="579"/>
        <v>0</v>
      </c>
      <c r="AV418" s="1359">
        <f t="shared" si="580"/>
        <v>0</v>
      </c>
      <c r="AW418" s="1372">
        <f t="shared" si="581"/>
        <v>0</v>
      </c>
      <c r="AX418" s="1373">
        <f t="shared" si="582"/>
        <v>0</v>
      </c>
      <c r="AY418" s="1374">
        <f t="shared" si="583"/>
        <v>0</v>
      </c>
      <c r="AZ418" s="1375">
        <f t="shared" si="584"/>
        <v>0</v>
      </c>
      <c r="BA418" s="1376">
        <f t="shared" si="585"/>
        <v>0</v>
      </c>
      <c r="BB418" s="1377"/>
      <c r="BC418" s="1820"/>
      <c r="BD418" s="1820"/>
      <c r="BE418" s="1823"/>
      <c r="BF418" s="1826"/>
      <c r="BG418" s="1829"/>
    </row>
    <row r="419" spans="1:63" s="1378" customFormat="1" ht="38.25">
      <c r="A419" s="1347" t="str">
        <f t="shared" si="567"/>
        <v>FPG Services, LLC</v>
      </c>
      <c r="B419" s="1348" t="str">
        <f t="shared" si="568"/>
        <v>Woodruff-Sawyer</v>
      </c>
      <c r="C419" s="1348">
        <f t="shared" si="569"/>
        <v>72</v>
      </c>
      <c r="D419" s="1349">
        <f t="shared" si="570"/>
        <v>43282</v>
      </c>
      <c r="E419" s="1349"/>
      <c r="F419" s="1347" t="s">
        <v>72</v>
      </c>
      <c r="G419" s="1347" t="s">
        <v>85</v>
      </c>
      <c r="H419" s="1347" t="s">
        <v>72</v>
      </c>
      <c r="I419" s="1347" t="s">
        <v>72</v>
      </c>
      <c r="J419" s="1349" t="s">
        <v>4670</v>
      </c>
      <c r="K419" s="1349" t="s">
        <v>254</v>
      </c>
      <c r="L419" s="1350" t="s">
        <v>48</v>
      </c>
      <c r="M419" s="1350" t="s">
        <v>253</v>
      </c>
      <c r="N419" s="1390" t="s">
        <v>4703</v>
      </c>
      <c r="O419" s="1352" t="s">
        <v>4704</v>
      </c>
      <c r="P419" s="1388"/>
      <c r="Q419" s="1354"/>
      <c r="R419" s="1354"/>
      <c r="S419" s="1354"/>
      <c r="T419" s="1354"/>
      <c r="U419" s="1354"/>
      <c r="V419" s="1354"/>
      <c r="W419" s="1354"/>
      <c r="X419" s="1353">
        <f t="shared" si="571"/>
        <v>43282</v>
      </c>
      <c r="Y419" s="1353">
        <f t="shared" si="571"/>
        <v>43466</v>
      </c>
      <c r="Z419" s="1355"/>
      <c r="AA419" s="1355" t="s">
        <v>4674</v>
      </c>
      <c r="AB419" s="1356"/>
      <c r="AC419" s="1356"/>
      <c r="AD419" s="1422">
        <v>0</v>
      </c>
      <c r="AE419" s="1422">
        <f t="shared" si="545"/>
        <v>0</v>
      </c>
      <c r="AF419" s="1423" t="str">
        <f t="shared" si="572"/>
        <v/>
      </c>
      <c r="AG419" s="1380"/>
      <c r="AH419" s="1380"/>
      <c r="AI419" s="1381">
        <v>0</v>
      </c>
      <c r="AJ419" s="1382"/>
      <c r="AK419" s="1383">
        <f t="shared" si="588"/>
        <v>0</v>
      </c>
      <c r="AL419" s="1384">
        <v>0</v>
      </c>
      <c r="AM419" s="1363">
        <f t="shared" si="575"/>
        <v>0</v>
      </c>
      <c r="AN419" s="1364">
        <v>0</v>
      </c>
      <c r="AO419" s="1365">
        <f t="shared" si="576"/>
        <v>0</v>
      </c>
      <c r="AP419" s="1366">
        <v>0</v>
      </c>
      <c r="AQ419" s="1367">
        <f t="shared" si="577"/>
        <v>0</v>
      </c>
      <c r="AR419" s="1368">
        <v>0</v>
      </c>
      <c r="AS419" s="1369">
        <f t="shared" si="578"/>
        <v>0</v>
      </c>
      <c r="AT419" s="1370">
        <v>0</v>
      </c>
      <c r="AU419" s="1371">
        <f t="shared" si="579"/>
        <v>0</v>
      </c>
      <c r="AV419" s="1359">
        <f t="shared" si="580"/>
        <v>0</v>
      </c>
      <c r="AW419" s="1372">
        <f t="shared" si="581"/>
        <v>0</v>
      </c>
      <c r="AX419" s="1373">
        <f t="shared" si="582"/>
        <v>0</v>
      </c>
      <c r="AY419" s="1374">
        <f t="shared" si="583"/>
        <v>0</v>
      </c>
      <c r="AZ419" s="1375">
        <f t="shared" si="584"/>
        <v>0</v>
      </c>
      <c r="BA419" s="1376">
        <f t="shared" si="585"/>
        <v>0</v>
      </c>
      <c r="BB419" s="1377"/>
      <c r="BC419" s="1820"/>
      <c r="BD419" s="1820"/>
      <c r="BE419" s="1823"/>
      <c r="BF419" s="1826"/>
      <c r="BG419" s="1829"/>
    </row>
    <row r="420" spans="1:63" s="1378" customFormat="1" ht="38.25">
      <c r="A420" s="1347" t="str">
        <f t="shared" si="567"/>
        <v>FPG Services, LLC</v>
      </c>
      <c r="B420" s="1348" t="str">
        <f t="shared" si="568"/>
        <v>Woodruff-Sawyer</v>
      </c>
      <c r="C420" s="1348">
        <f t="shared" si="569"/>
        <v>72</v>
      </c>
      <c r="D420" s="1349">
        <f t="shared" si="570"/>
        <v>43282</v>
      </c>
      <c r="E420" s="1349"/>
      <c r="F420" s="1347" t="s">
        <v>72</v>
      </c>
      <c r="G420" s="1347" t="s">
        <v>85</v>
      </c>
      <c r="H420" s="1347" t="s">
        <v>72</v>
      </c>
      <c r="I420" s="1347" t="s">
        <v>72</v>
      </c>
      <c r="J420" s="1349" t="s">
        <v>4670</v>
      </c>
      <c r="K420" s="1349" t="s">
        <v>254</v>
      </c>
      <c r="L420" s="1350" t="s">
        <v>49</v>
      </c>
      <c r="M420" s="1350" t="s">
        <v>4705</v>
      </c>
      <c r="N420" s="1390" t="s">
        <v>4706</v>
      </c>
      <c r="O420" s="1352" t="s">
        <v>4707</v>
      </c>
      <c r="P420" s="1388"/>
      <c r="Q420" s="1354"/>
      <c r="R420" s="1354"/>
      <c r="S420" s="1354"/>
      <c r="T420" s="1354"/>
      <c r="U420" s="1354"/>
      <c r="V420" s="1354"/>
      <c r="W420" s="1354"/>
      <c r="X420" s="1353">
        <f t="shared" si="571"/>
        <v>43282</v>
      </c>
      <c r="Y420" s="1353">
        <f t="shared" si="571"/>
        <v>43466</v>
      </c>
      <c r="Z420" s="1355"/>
      <c r="AA420" s="1355" t="s">
        <v>4674</v>
      </c>
      <c r="AB420" s="1356"/>
      <c r="AC420" s="1356"/>
      <c r="AD420" s="1422">
        <v>0</v>
      </c>
      <c r="AE420" s="1422">
        <f t="shared" si="545"/>
        <v>0</v>
      </c>
      <c r="AF420" s="1423" t="str">
        <f t="shared" si="572"/>
        <v/>
      </c>
      <c r="AG420" s="1380"/>
      <c r="AH420" s="1380"/>
      <c r="AI420" s="1381">
        <v>0</v>
      </c>
      <c r="AJ420" s="1382"/>
      <c r="AK420" s="1383">
        <f t="shared" si="588"/>
        <v>0</v>
      </c>
      <c r="AL420" s="1384">
        <v>0</v>
      </c>
      <c r="AM420" s="1363">
        <f t="shared" si="575"/>
        <v>0</v>
      </c>
      <c r="AN420" s="1364">
        <v>0</v>
      </c>
      <c r="AO420" s="1365">
        <f t="shared" si="576"/>
        <v>0</v>
      </c>
      <c r="AP420" s="1366">
        <v>0</v>
      </c>
      <c r="AQ420" s="1367">
        <f t="shared" si="577"/>
        <v>0</v>
      </c>
      <c r="AR420" s="1368">
        <v>0</v>
      </c>
      <c r="AS420" s="1369">
        <f t="shared" si="578"/>
        <v>0</v>
      </c>
      <c r="AT420" s="1370">
        <v>0</v>
      </c>
      <c r="AU420" s="1371">
        <f t="shared" si="579"/>
        <v>0</v>
      </c>
      <c r="AV420" s="1359">
        <f t="shared" si="580"/>
        <v>0</v>
      </c>
      <c r="AW420" s="1372">
        <f t="shared" si="581"/>
        <v>0</v>
      </c>
      <c r="AX420" s="1373">
        <f t="shared" si="582"/>
        <v>0</v>
      </c>
      <c r="AY420" s="1374">
        <f t="shared" si="583"/>
        <v>0</v>
      </c>
      <c r="AZ420" s="1375">
        <f t="shared" si="584"/>
        <v>0</v>
      </c>
      <c r="BA420" s="1376">
        <f t="shared" si="585"/>
        <v>0</v>
      </c>
      <c r="BB420" s="1391"/>
      <c r="BC420" s="1820"/>
      <c r="BD420" s="1820"/>
      <c r="BE420" s="1823"/>
      <c r="BF420" s="1826"/>
      <c r="BG420" s="1829"/>
    </row>
    <row r="421" spans="1:63" s="1378" customFormat="1" ht="38.25">
      <c r="A421" s="1347" t="str">
        <f t="shared" si="567"/>
        <v>FPG Services, LLC</v>
      </c>
      <c r="B421" s="1348" t="str">
        <f t="shared" si="568"/>
        <v>Woodruff-Sawyer</v>
      </c>
      <c r="C421" s="1348">
        <f t="shared" si="569"/>
        <v>72</v>
      </c>
      <c r="D421" s="1349">
        <f t="shared" si="570"/>
        <v>43282</v>
      </c>
      <c r="E421" s="1349"/>
      <c r="F421" s="1347" t="s">
        <v>72</v>
      </c>
      <c r="G421" s="1347" t="s">
        <v>85</v>
      </c>
      <c r="H421" s="1347" t="s">
        <v>72</v>
      </c>
      <c r="I421" s="1347" t="s">
        <v>72</v>
      </c>
      <c r="J421" s="1349" t="s">
        <v>4670</v>
      </c>
      <c r="K421" s="1349" t="s">
        <v>254</v>
      </c>
      <c r="L421" s="1350" t="s">
        <v>3056</v>
      </c>
      <c r="M421" s="1350" t="s">
        <v>4708</v>
      </c>
      <c r="N421" s="1390" t="s">
        <v>4709</v>
      </c>
      <c r="O421" s="1352" t="s">
        <v>4710</v>
      </c>
      <c r="P421" s="1388"/>
      <c r="Q421" s="1354"/>
      <c r="R421" s="1354"/>
      <c r="S421" s="1354"/>
      <c r="T421" s="1354"/>
      <c r="U421" s="1354"/>
      <c r="V421" s="1354"/>
      <c r="W421" s="1354"/>
      <c r="X421" s="1353">
        <f t="shared" si="571"/>
        <v>43282</v>
      </c>
      <c r="Y421" s="1353">
        <f t="shared" si="571"/>
        <v>43466</v>
      </c>
      <c r="Z421" s="1355"/>
      <c r="AA421" s="1355" t="s">
        <v>4674</v>
      </c>
      <c r="AB421" s="1356"/>
      <c r="AC421" s="1356"/>
      <c r="AD421" s="1422">
        <v>0</v>
      </c>
      <c r="AE421" s="1422">
        <f t="shared" si="545"/>
        <v>0</v>
      </c>
      <c r="AF421" s="1423" t="str">
        <f t="shared" si="572"/>
        <v/>
      </c>
      <c r="AG421" s="1380"/>
      <c r="AH421" s="1380"/>
      <c r="AI421" s="1381">
        <v>0</v>
      </c>
      <c r="AJ421" s="1382"/>
      <c r="AK421" s="1383">
        <f t="shared" si="588"/>
        <v>0</v>
      </c>
      <c r="AL421" s="1384">
        <v>0</v>
      </c>
      <c r="AM421" s="1363">
        <f t="shared" si="575"/>
        <v>0</v>
      </c>
      <c r="AN421" s="1364">
        <v>0</v>
      </c>
      <c r="AO421" s="1365">
        <f t="shared" si="576"/>
        <v>0</v>
      </c>
      <c r="AP421" s="1366">
        <v>0</v>
      </c>
      <c r="AQ421" s="1367">
        <f t="shared" si="577"/>
        <v>0</v>
      </c>
      <c r="AR421" s="1368">
        <v>0</v>
      </c>
      <c r="AS421" s="1369">
        <f t="shared" si="578"/>
        <v>0</v>
      </c>
      <c r="AT421" s="1370">
        <v>0</v>
      </c>
      <c r="AU421" s="1371">
        <f t="shared" si="579"/>
        <v>0</v>
      </c>
      <c r="AV421" s="1359">
        <f t="shared" si="580"/>
        <v>0</v>
      </c>
      <c r="AW421" s="1372">
        <f t="shared" si="581"/>
        <v>0</v>
      </c>
      <c r="AX421" s="1373">
        <f t="shared" si="582"/>
        <v>0</v>
      </c>
      <c r="AY421" s="1374">
        <f t="shared" si="583"/>
        <v>0</v>
      </c>
      <c r="AZ421" s="1375">
        <f t="shared" si="584"/>
        <v>0</v>
      </c>
      <c r="BA421" s="1376">
        <f t="shared" si="585"/>
        <v>0</v>
      </c>
      <c r="BB421" s="1391"/>
      <c r="BC421" s="1821"/>
      <c r="BD421" s="1821"/>
      <c r="BE421" s="1824"/>
      <c r="BF421" s="1827"/>
      <c r="BG421" s="1830"/>
    </row>
    <row r="422" spans="1:63" s="1315" customFormat="1" ht="25.5">
      <c r="A422" s="1277" t="str">
        <f t="shared" ref="A422:A428" si="591">$L$422</f>
        <v>Forty Seven Inc.</v>
      </c>
      <c r="B422" s="1277" t="s">
        <v>4806</v>
      </c>
      <c r="C422" s="1316">
        <f t="shared" ref="C422:C428" si="592">$Z$422</f>
        <v>43</v>
      </c>
      <c r="D422" s="1317">
        <v>42736</v>
      </c>
      <c r="E422" s="1317"/>
      <c r="F422" s="1277" t="s">
        <v>72</v>
      </c>
      <c r="G422" s="1277" t="s">
        <v>72</v>
      </c>
      <c r="H422" s="1277" t="s">
        <v>72</v>
      </c>
      <c r="I422" s="1277" t="s">
        <v>4711</v>
      </c>
      <c r="J422" s="1317"/>
      <c r="K422" s="1317"/>
      <c r="L422" s="1318" t="s">
        <v>136</v>
      </c>
      <c r="M422" s="1319"/>
      <c r="N422" s="1417" t="s">
        <v>3654</v>
      </c>
      <c r="O422" s="1418" t="s">
        <v>2474</v>
      </c>
      <c r="P422" s="1418"/>
      <c r="Q422" s="1322"/>
      <c r="R422" s="1322"/>
      <c r="S422" s="1322"/>
      <c r="T422" s="1322"/>
      <c r="U422" s="1322"/>
      <c r="V422" s="1322"/>
      <c r="W422" s="1322"/>
      <c r="X422" s="1317">
        <v>43101</v>
      </c>
      <c r="Y422" s="1317">
        <v>43466</v>
      </c>
      <c r="Z422" s="1316">
        <v>43</v>
      </c>
      <c r="AA422" s="1316" t="s">
        <v>5025</v>
      </c>
      <c r="AB422" s="1323">
        <f>SUM(AB423:AB434)</f>
        <v>0</v>
      </c>
      <c r="AC422" s="1323">
        <f>SUM(AC423:AC434)</f>
        <v>0</v>
      </c>
      <c r="AD422" s="1323">
        <f>SUM(AD423:AD434)</f>
        <v>0</v>
      </c>
      <c r="AE422" s="1324">
        <f t="shared" si="545"/>
        <v>0</v>
      </c>
      <c r="AF422" s="1325" t="str">
        <f t="shared" si="572"/>
        <v/>
      </c>
      <c r="AG422" s="1326">
        <f t="shared" si="543"/>
        <v>66234.316666666666</v>
      </c>
      <c r="AH422" s="1326">
        <f>SUM(AH423:AH434)</f>
        <v>794811.8</v>
      </c>
      <c r="AI422" s="1327"/>
      <c r="AJ422" s="1328">
        <f>SUM(AJ423:AJ434)</f>
        <v>5766.4769999999999</v>
      </c>
      <c r="AK422" s="1328">
        <f>SUM(AK423:AK434)</f>
        <v>69197.724000000002</v>
      </c>
      <c r="AL422" s="1329"/>
      <c r="AM422" s="1330">
        <f>SUM(AM423:AM434)</f>
        <v>3309.2400000000002</v>
      </c>
      <c r="AN422" s="1331"/>
      <c r="AO422" s="1332">
        <f>SUM(AO423:AO434)</f>
        <v>38292.425600000002</v>
      </c>
      <c r="AP422" s="1333"/>
      <c r="AQ422" s="1334">
        <f>SUM(AQ423:AQ434)</f>
        <v>0</v>
      </c>
      <c r="AR422" s="1335"/>
      <c r="AS422" s="1336">
        <f>SUM(AS423:AS434)</f>
        <v>0</v>
      </c>
      <c r="AT422" s="1337"/>
      <c r="AU422" s="1338">
        <f>SUM(AU423:AU434)</f>
        <v>16546.2</v>
      </c>
      <c r="AV422" s="1339"/>
      <c r="AW422" s="1340">
        <f>SUM(AW423:AW434)</f>
        <v>11049.858399999996</v>
      </c>
      <c r="AX422" s="1306"/>
      <c r="AY422" s="1307">
        <f>SUM(AW422+AS422+AU422)</f>
        <v>27596.058399999994</v>
      </c>
      <c r="AZ422" s="1341"/>
      <c r="BA422" s="1309">
        <f>SUM(AY422+AQ422)</f>
        <v>27596.058399999994</v>
      </c>
      <c r="BB422" s="1342">
        <f>(AW422+AU422)/(AK422-AM422)</f>
        <v>0.41882976697414975</v>
      </c>
      <c r="BC422" s="1343"/>
      <c r="BD422" s="1343"/>
      <c r="BE422" s="1344"/>
      <c r="BF422" s="1420" t="s">
        <v>5026</v>
      </c>
      <c r="BG422" s="1346"/>
    </row>
    <row r="423" spans="1:63" s="1378" customFormat="1" ht="38.25" customHeight="1">
      <c r="A423" s="1347" t="str">
        <f t="shared" si="591"/>
        <v>Forty Seven Inc.</v>
      </c>
      <c r="B423" s="1347" t="s">
        <v>4806</v>
      </c>
      <c r="C423" s="1348">
        <f t="shared" si="592"/>
        <v>43</v>
      </c>
      <c r="D423" s="1349">
        <v>42736</v>
      </c>
      <c r="E423" s="1349"/>
      <c r="F423" s="1347" t="s">
        <v>85</v>
      </c>
      <c r="G423" s="1347" t="s">
        <v>85</v>
      </c>
      <c r="H423" s="1347" t="s">
        <v>85</v>
      </c>
      <c r="I423" s="1347" t="s">
        <v>113</v>
      </c>
      <c r="J423" s="1349"/>
      <c r="K423" s="1349" t="s">
        <v>254</v>
      </c>
      <c r="L423" s="1350" t="s">
        <v>2661</v>
      </c>
      <c r="M423" s="1350" t="s">
        <v>3647</v>
      </c>
      <c r="N423" s="1351" t="s">
        <v>5027</v>
      </c>
      <c r="O423" s="1352" t="s">
        <v>5028</v>
      </c>
      <c r="P423" s="1352" t="s">
        <v>5029</v>
      </c>
      <c r="Q423" s="1353" t="s">
        <v>303</v>
      </c>
      <c r="R423" s="1353" t="s">
        <v>3656</v>
      </c>
      <c r="S423" s="1353" t="s">
        <v>307</v>
      </c>
      <c r="T423" s="1353" t="s">
        <v>113</v>
      </c>
      <c r="U423" s="1354"/>
      <c r="V423" s="1354"/>
      <c r="W423" s="1354"/>
      <c r="X423" s="1353">
        <v>43101</v>
      </c>
      <c r="Y423" s="1353">
        <v>43466</v>
      </c>
      <c r="Z423" s="1355"/>
      <c r="AA423" s="1355" t="s">
        <v>4667</v>
      </c>
      <c r="AB423" s="1356"/>
      <c r="AC423" s="1356"/>
      <c r="AD423" s="1356"/>
      <c r="AE423" s="1356"/>
      <c r="AF423" s="1357"/>
      <c r="AG423" s="1358">
        <f t="shared" si="543"/>
        <v>55154</v>
      </c>
      <c r="AH423" s="1358">
        <v>661848</v>
      </c>
      <c r="AI423" s="1359">
        <v>0.08</v>
      </c>
      <c r="AJ423" s="1360">
        <f t="shared" ref="AJ423:AJ430" si="593">$AI423*$AG423</f>
        <v>4412.32</v>
      </c>
      <c r="AK423" s="1361">
        <f t="shared" ref="AK423:AK430" si="594">AI423*$AH423</f>
        <v>52947.840000000004</v>
      </c>
      <c r="AL423" s="1362">
        <v>5.0000000000000001E-3</v>
      </c>
      <c r="AM423" s="1363">
        <f t="shared" ref="AM423:AM434" si="595">AL423*$AH423</f>
        <v>3309.2400000000002</v>
      </c>
      <c r="AN423" s="1364">
        <v>0.04</v>
      </c>
      <c r="AO423" s="1365">
        <f t="shared" ref="AO423:AO434" si="596">AN423*$AH423</f>
        <v>26473.920000000002</v>
      </c>
      <c r="AP423" s="1366">
        <v>0</v>
      </c>
      <c r="AQ423" s="1367">
        <f t="shared" ref="AQ423:AQ434" si="597">AP423*$AH423</f>
        <v>0</v>
      </c>
      <c r="AR423" s="1368">
        <v>0</v>
      </c>
      <c r="AS423" s="1369">
        <f t="shared" ref="AS423:AS434" si="598">AR423*$AH423</f>
        <v>0</v>
      </c>
      <c r="AT423" s="1370">
        <v>2.5000000000000001E-2</v>
      </c>
      <c r="AU423" s="1371">
        <f t="shared" ref="AU423:AU434" si="599">AT423*$AH423</f>
        <v>16546.2</v>
      </c>
      <c r="AV423" s="1359">
        <f t="shared" ref="AV423:AV434" si="600">AZ423-AR423-AT423-AP423</f>
        <v>9.999999999999995E-3</v>
      </c>
      <c r="AW423" s="1372">
        <f t="shared" ref="AW423:AW434" si="601">AV423*$AH423</f>
        <v>6618.4799999999968</v>
      </c>
      <c r="AX423" s="1373">
        <f t="shared" ref="AX423:AX434" si="602">$AZ423-$AP423</f>
        <v>3.4999999999999996E-2</v>
      </c>
      <c r="AY423" s="1374">
        <f t="shared" ref="AY423:AY434" si="603">AX423*$AH423</f>
        <v>23164.679999999997</v>
      </c>
      <c r="AZ423" s="1375">
        <f t="shared" ref="AZ423:AZ434" si="604">$AI423-$AL423-$AN423</f>
        <v>3.4999999999999996E-2</v>
      </c>
      <c r="BA423" s="1376">
        <f t="shared" ref="BA423:BA434" si="605">AZ423*$AH423</f>
        <v>23164.679999999997</v>
      </c>
      <c r="BB423" s="1377"/>
      <c r="BC423" s="1819" t="s">
        <v>137</v>
      </c>
      <c r="BD423" s="1819" t="s">
        <v>3740</v>
      </c>
      <c r="BE423" s="1822" t="s">
        <v>3739</v>
      </c>
      <c r="BF423" s="1825" t="s">
        <v>1278</v>
      </c>
      <c r="BG423" s="1828">
        <v>474065674</v>
      </c>
      <c r="BH423" s="1396"/>
      <c r="BI423" s="1396"/>
      <c r="BJ423" s="1396"/>
      <c r="BK423" s="1396"/>
    </row>
    <row r="424" spans="1:63" s="1378" customFormat="1" ht="38.25">
      <c r="A424" s="1347" t="str">
        <f t="shared" si="591"/>
        <v>Forty Seven Inc.</v>
      </c>
      <c r="B424" s="1347" t="s">
        <v>4806</v>
      </c>
      <c r="C424" s="1348">
        <f t="shared" si="592"/>
        <v>43</v>
      </c>
      <c r="D424" s="1349">
        <v>42736</v>
      </c>
      <c r="E424" s="1349"/>
      <c r="F424" s="1347" t="s">
        <v>113</v>
      </c>
      <c r="G424" s="1347" t="s">
        <v>85</v>
      </c>
      <c r="H424" s="1347" t="s">
        <v>85</v>
      </c>
      <c r="I424" s="1347" t="s">
        <v>113</v>
      </c>
      <c r="J424" s="1349"/>
      <c r="K424" s="1349" t="s">
        <v>254</v>
      </c>
      <c r="L424" s="1350" t="s">
        <v>4675</v>
      </c>
      <c r="M424" s="1350" t="s">
        <v>3650</v>
      </c>
      <c r="N424" s="1351" t="s">
        <v>5030</v>
      </c>
      <c r="O424" s="1352" t="s">
        <v>4677</v>
      </c>
      <c r="P424" s="1352"/>
      <c r="Q424" s="1354"/>
      <c r="R424" s="1354"/>
      <c r="S424" s="1354"/>
      <c r="T424" s="1354"/>
      <c r="U424" s="1353" t="s">
        <v>4959</v>
      </c>
      <c r="V424" s="1353" t="s">
        <v>2481</v>
      </c>
      <c r="W424" s="1354"/>
      <c r="X424" s="1353">
        <v>43101</v>
      </c>
      <c r="Y424" s="1353">
        <v>43466</v>
      </c>
      <c r="Z424" s="1355"/>
      <c r="AA424" s="1355" t="s">
        <v>4679</v>
      </c>
      <c r="AB424" s="1356"/>
      <c r="AC424" s="1356"/>
      <c r="AD424" s="1356"/>
      <c r="AE424" s="1356"/>
      <c r="AF424" s="1357"/>
      <c r="AG424" s="1358">
        <f t="shared" si="543"/>
        <v>5400.96</v>
      </c>
      <c r="AH424" s="1358">
        <v>64811.519999999997</v>
      </c>
      <c r="AI424" s="1359">
        <v>0.1</v>
      </c>
      <c r="AJ424" s="1360">
        <f t="shared" si="593"/>
        <v>540.096</v>
      </c>
      <c r="AK424" s="1361">
        <f t="shared" si="594"/>
        <v>6481.152</v>
      </c>
      <c r="AL424" s="1384">
        <v>0</v>
      </c>
      <c r="AM424" s="1363">
        <f t="shared" si="595"/>
        <v>0</v>
      </c>
      <c r="AN424" s="1364">
        <v>0.08</v>
      </c>
      <c r="AO424" s="1365">
        <f t="shared" si="596"/>
        <v>5184.9215999999997</v>
      </c>
      <c r="AP424" s="1366">
        <v>0</v>
      </c>
      <c r="AQ424" s="1367">
        <f t="shared" si="597"/>
        <v>0</v>
      </c>
      <c r="AR424" s="1368">
        <v>0</v>
      </c>
      <c r="AS424" s="1369">
        <f t="shared" si="598"/>
        <v>0</v>
      </c>
      <c r="AT424" s="1370">
        <v>0</v>
      </c>
      <c r="AU424" s="1371">
        <f t="shared" si="599"/>
        <v>0</v>
      </c>
      <c r="AV424" s="1359">
        <f t="shared" si="600"/>
        <v>2.0000000000000004E-2</v>
      </c>
      <c r="AW424" s="1372">
        <f t="shared" si="601"/>
        <v>1296.2304000000001</v>
      </c>
      <c r="AX424" s="1373">
        <f t="shared" si="602"/>
        <v>2.0000000000000004E-2</v>
      </c>
      <c r="AY424" s="1374">
        <f t="shared" si="603"/>
        <v>1296.2304000000001</v>
      </c>
      <c r="AZ424" s="1375">
        <f t="shared" si="604"/>
        <v>2.0000000000000004E-2</v>
      </c>
      <c r="BA424" s="1376">
        <f t="shared" si="605"/>
        <v>1296.2304000000001</v>
      </c>
      <c r="BB424" s="1377"/>
      <c r="BC424" s="1820"/>
      <c r="BD424" s="1820"/>
      <c r="BE424" s="1823"/>
      <c r="BF424" s="1826"/>
      <c r="BG424" s="1829"/>
      <c r="BH424" s="1396"/>
      <c r="BI424" s="1396"/>
      <c r="BJ424" s="1396"/>
      <c r="BK424" s="1396"/>
    </row>
    <row r="425" spans="1:63" s="1378" customFormat="1" ht="38.25">
      <c r="A425" s="1347" t="str">
        <f t="shared" si="591"/>
        <v>Forty Seven Inc.</v>
      </c>
      <c r="B425" s="1347" t="s">
        <v>4806</v>
      </c>
      <c r="C425" s="1348">
        <f t="shared" si="592"/>
        <v>43</v>
      </c>
      <c r="D425" s="1349">
        <v>42736</v>
      </c>
      <c r="E425" s="1349"/>
      <c r="F425" s="1347" t="s">
        <v>113</v>
      </c>
      <c r="G425" s="1347" t="s">
        <v>85</v>
      </c>
      <c r="H425" s="1347" t="s">
        <v>85</v>
      </c>
      <c r="I425" s="1347" t="s">
        <v>113</v>
      </c>
      <c r="J425" s="1349"/>
      <c r="K425" s="1349" t="s">
        <v>254</v>
      </c>
      <c r="L425" s="1350" t="s">
        <v>4675</v>
      </c>
      <c r="M425" s="1350" t="s">
        <v>3651</v>
      </c>
      <c r="N425" s="1351" t="s">
        <v>4908</v>
      </c>
      <c r="O425" s="1352" t="s">
        <v>4681</v>
      </c>
      <c r="P425" s="1352"/>
      <c r="Q425" s="1354"/>
      <c r="R425" s="1354"/>
      <c r="S425" s="1354"/>
      <c r="T425" s="1354"/>
      <c r="U425" s="1354"/>
      <c r="V425" s="1354"/>
      <c r="W425" s="1353" t="s">
        <v>2492</v>
      </c>
      <c r="X425" s="1353">
        <v>43101</v>
      </c>
      <c r="Y425" s="1353">
        <v>43466</v>
      </c>
      <c r="Z425" s="1355"/>
      <c r="AA425" s="1355" t="s">
        <v>4679</v>
      </c>
      <c r="AB425" s="1356"/>
      <c r="AC425" s="1356"/>
      <c r="AD425" s="1356"/>
      <c r="AE425" s="1356"/>
      <c r="AF425" s="1357"/>
      <c r="AG425" s="1358">
        <f t="shared" si="543"/>
        <v>756.85</v>
      </c>
      <c r="AH425" s="1358">
        <v>9082.2000000000007</v>
      </c>
      <c r="AI425" s="1359">
        <v>0.1</v>
      </c>
      <c r="AJ425" s="1360">
        <f t="shared" si="593"/>
        <v>75.685000000000002</v>
      </c>
      <c r="AK425" s="1361">
        <f t="shared" si="594"/>
        <v>908.22000000000014</v>
      </c>
      <c r="AL425" s="1384">
        <v>0</v>
      </c>
      <c r="AM425" s="1363">
        <f t="shared" si="595"/>
        <v>0</v>
      </c>
      <c r="AN425" s="1364">
        <v>0.08</v>
      </c>
      <c r="AO425" s="1365">
        <f t="shared" si="596"/>
        <v>726.57600000000002</v>
      </c>
      <c r="AP425" s="1366">
        <v>0</v>
      </c>
      <c r="AQ425" s="1367">
        <f t="shared" si="597"/>
        <v>0</v>
      </c>
      <c r="AR425" s="1368">
        <v>0</v>
      </c>
      <c r="AS425" s="1369">
        <f t="shared" si="598"/>
        <v>0</v>
      </c>
      <c r="AT425" s="1370">
        <v>0</v>
      </c>
      <c r="AU425" s="1371">
        <f t="shared" si="599"/>
        <v>0</v>
      </c>
      <c r="AV425" s="1359">
        <f t="shared" si="600"/>
        <v>2.0000000000000004E-2</v>
      </c>
      <c r="AW425" s="1372">
        <f t="shared" si="601"/>
        <v>181.64400000000006</v>
      </c>
      <c r="AX425" s="1373">
        <f t="shared" si="602"/>
        <v>2.0000000000000004E-2</v>
      </c>
      <c r="AY425" s="1374">
        <f t="shared" si="603"/>
        <v>181.64400000000006</v>
      </c>
      <c r="AZ425" s="1375">
        <f t="shared" si="604"/>
        <v>2.0000000000000004E-2</v>
      </c>
      <c r="BA425" s="1376">
        <f t="shared" si="605"/>
        <v>181.64400000000006</v>
      </c>
      <c r="BB425" s="1377"/>
      <c r="BC425" s="1820"/>
      <c r="BD425" s="1820"/>
      <c r="BE425" s="1823"/>
      <c r="BF425" s="1826"/>
      <c r="BG425" s="1829"/>
      <c r="BH425" s="1396"/>
      <c r="BI425" s="1396"/>
      <c r="BJ425" s="1396"/>
      <c r="BK425" s="1396"/>
    </row>
    <row r="426" spans="1:63" s="1378" customFormat="1" ht="38.25">
      <c r="A426" s="1347" t="str">
        <f t="shared" si="591"/>
        <v>Forty Seven Inc.</v>
      </c>
      <c r="B426" s="1347" t="s">
        <v>4806</v>
      </c>
      <c r="C426" s="1348">
        <f t="shared" si="592"/>
        <v>43</v>
      </c>
      <c r="D426" s="1349">
        <v>42737</v>
      </c>
      <c r="E426" s="1349"/>
      <c r="F426" s="1347" t="s">
        <v>113</v>
      </c>
      <c r="G426" s="1347" t="s">
        <v>85</v>
      </c>
      <c r="H426" s="1347" t="s">
        <v>85</v>
      </c>
      <c r="I426" s="1347" t="s">
        <v>113</v>
      </c>
      <c r="J426" s="1349"/>
      <c r="K426" s="1349" t="s">
        <v>254</v>
      </c>
      <c r="L426" s="1350" t="s">
        <v>4682</v>
      </c>
      <c r="M426" s="1350" t="s">
        <v>4683</v>
      </c>
      <c r="N426" s="1351" t="s">
        <v>5031</v>
      </c>
      <c r="O426" s="1352" t="s">
        <v>4684</v>
      </c>
      <c r="P426" s="1387"/>
      <c r="Q426" s="1354"/>
      <c r="R426" s="1354"/>
      <c r="S426" s="1354"/>
      <c r="T426" s="1354"/>
      <c r="U426" s="1354"/>
      <c r="V426" s="1354"/>
      <c r="W426" s="1354"/>
      <c r="X426" s="1353">
        <v>43101</v>
      </c>
      <c r="Y426" s="1353">
        <v>43466</v>
      </c>
      <c r="Z426" s="1355"/>
      <c r="AA426" s="1355" t="s">
        <v>4685</v>
      </c>
      <c r="AB426" s="1356"/>
      <c r="AC426" s="1356"/>
      <c r="AD426" s="1356"/>
      <c r="AE426" s="1356"/>
      <c r="AF426" s="1357"/>
      <c r="AG426" s="1358">
        <f t="shared" si="543"/>
        <v>1724.1258333333333</v>
      </c>
      <c r="AH426" s="1358">
        <v>20689.509999999998</v>
      </c>
      <c r="AI426" s="1359">
        <v>0.15</v>
      </c>
      <c r="AJ426" s="1360">
        <f t="shared" si="593"/>
        <v>258.618875</v>
      </c>
      <c r="AK426" s="1361">
        <f t="shared" si="594"/>
        <v>3103.4264999999996</v>
      </c>
      <c r="AL426" s="1384">
        <v>0</v>
      </c>
      <c r="AM426" s="1363">
        <f t="shared" si="595"/>
        <v>0</v>
      </c>
      <c r="AN426" s="1364">
        <v>0.1</v>
      </c>
      <c r="AO426" s="1365">
        <f t="shared" si="596"/>
        <v>2068.951</v>
      </c>
      <c r="AP426" s="1366">
        <v>0</v>
      </c>
      <c r="AQ426" s="1367">
        <f t="shared" si="597"/>
        <v>0</v>
      </c>
      <c r="AR426" s="1368">
        <v>0</v>
      </c>
      <c r="AS426" s="1369">
        <f t="shared" si="598"/>
        <v>0</v>
      </c>
      <c r="AT426" s="1370">
        <v>0</v>
      </c>
      <c r="AU426" s="1371">
        <f t="shared" si="599"/>
        <v>0</v>
      </c>
      <c r="AV426" s="1359">
        <f t="shared" si="600"/>
        <v>4.9999999999999989E-2</v>
      </c>
      <c r="AW426" s="1372">
        <f t="shared" si="601"/>
        <v>1034.4754999999998</v>
      </c>
      <c r="AX426" s="1373">
        <f t="shared" si="602"/>
        <v>4.9999999999999989E-2</v>
      </c>
      <c r="AY426" s="1374">
        <f t="shared" si="603"/>
        <v>1034.4754999999998</v>
      </c>
      <c r="AZ426" s="1375">
        <f t="shared" si="604"/>
        <v>4.9999999999999989E-2</v>
      </c>
      <c r="BA426" s="1376">
        <f t="shared" si="605"/>
        <v>1034.4754999999998</v>
      </c>
      <c r="BB426" s="1377"/>
      <c r="BC426" s="1820"/>
      <c r="BD426" s="1820"/>
      <c r="BE426" s="1823"/>
      <c r="BF426" s="1826"/>
      <c r="BG426" s="1829"/>
    </row>
    <row r="427" spans="1:63" s="1378" customFormat="1" ht="38.25">
      <c r="A427" s="1347" t="str">
        <f t="shared" si="591"/>
        <v>Forty Seven Inc.</v>
      </c>
      <c r="B427" s="1347" t="s">
        <v>4806</v>
      </c>
      <c r="C427" s="1348">
        <f t="shared" si="592"/>
        <v>43</v>
      </c>
      <c r="D427" s="1349">
        <v>42737</v>
      </c>
      <c r="E427" s="1349"/>
      <c r="F427" s="1347" t="s">
        <v>113</v>
      </c>
      <c r="G427" s="1347" t="s">
        <v>85</v>
      </c>
      <c r="H427" s="1347" t="s">
        <v>85</v>
      </c>
      <c r="I427" s="1347" t="s">
        <v>113</v>
      </c>
      <c r="J427" s="1349"/>
      <c r="K427" s="1349" t="s">
        <v>254</v>
      </c>
      <c r="L427" s="1350" t="s">
        <v>4682</v>
      </c>
      <c r="M427" s="1350" t="s">
        <v>62</v>
      </c>
      <c r="N427" s="1351" t="s">
        <v>63</v>
      </c>
      <c r="O427" s="1352" t="s">
        <v>4688</v>
      </c>
      <c r="P427" s="1352"/>
      <c r="Q427" s="1354"/>
      <c r="R427" s="1354"/>
      <c r="S427" s="1354"/>
      <c r="T427" s="1354"/>
      <c r="U427" s="1354"/>
      <c r="V427" s="1354"/>
      <c r="W427" s="1354"/>
      <c r="X427" s="1353">
        <v>43101</v>
      </c>
      <c r="Y427" s="1353">
        <v>43466</v>
      </c>
      <c r="Z427" s="1355"/>
      <c r="AA427" s="1355" t="s">
        <v>4685</v>
      </c>
      <c r="AB427" s="1356"/>
      <c r="AC427" s="1356"/>
      <c r="AD427" s="1356"/>
      <c r="AE427" s="1356"/>
      <c r="AF427" s="1357"/>
      <c r="AG427" s="1358">
        <f t="shared" si="543"/>
        <v>1049.0258333333334</v>
      </c>
      <c r="AH427" s="1358">
        <v>12588.31</v>
      </c>
      <c r="AI427" s="1359">
        <v>0.15</v>
      </c>
      <c r="AJ427" s="1360">
        <f t="shared" si="593"/>
        <v>157.35387499999999</v>
      </c>
      <c r="AK427" s="1361">
        <f t="shared" si="594"/>
        <v>1888.2464999999997</v>
      </c>
      <c r="AL427" s="1384">
        <v>0</v>
      </c>
      <c r="AM427" s="1363">
        <f t="shared" si="595"/>
        <v>0</v>
      </c>
      <c r="AN427" s="1364">
        <v>0.1</v>
      </c>
      <c r="AO427" s="1365">
        <f t="shared" si="596"/>
        <v>1258.8310000000001</v>
      </c>
      <c r="AP427" s="1366">
        <v>0</v>
      </c>
      <c r="AQ427" s="1367">
        <f t="shared" si="597"/>
        <v>0</v>
      </c>
      <c r="AR427" s="1368">
        <v>0</v>
      </c>
      <c r="AS427" s="1369">
        <f t="shared" si="598"/>
        <v>0</v>
      </c>
      <c r="AT427" s="1370">
        <v>0</v>
      </c>
      <c r="AU427" s="1371">
        <f t="shared" si="599"/>
        <v>0</v>
      </c>
      <c r="AV427" s="1359">
        <f t="shared" si="600"/>
        <v>4.9999999999999989E-2</v>
      </c>
      <c r="AW427" s="1372">
        <f t="shared" si="601"/>
        <v>629.41549999999984</v>
      </c>
      <c r="AX427" s="1373">
        <f t="shared" si="602"/>
        <v>4.9999999999999989E-2</v>
      </c>
      <c r="AY427" s="1374">
        <f t="shared" si="603"/>
        <v>629.41549999999984</v>
      </c>
      <c r="AZ427" s="1375">
        <f t="shared" si="604"/>
        <v>4.9999999999999989E-2</v>
      </c>
      <c r="BA427" s="1376">
        <f t="shared" si="605"/>
        <v>629.41549999999984</v>
      </c>
      <c r="BB427" s="1377"/>
      <c r="BC427" s="1820"/>
      <c r="BD427" s="1820"/>
      <c r="BE427" s="1823"/>
      <c r="BF427" s="1826"/>
      <c r="BG427" s="1829"/>
    </row>
    <row r="428" spans="1:63" s="1378" customFormat="1" ht="38.25">
      <c r="A428" s="1347" t="str">
        <f t="shared" si="591"/>
        <v>Forty Seven Inc.</v>
      </c>
      <c r="B428" s="1347" t="s">
        <v>4806</v>
      </c>
      <c r="C428" s="1348">
        <f t="shared" si="592"/>
        <v>43</v>
      </c>
      <c r="D428" s="1349">
        <v>42736</v>
      </c>
      <c r="E428" s="1349"/>
      <c r="F428" s="1347" t="s">
        <v>113</v>
      </c>
      <c r="G428" s="1347" t="s">
        <v>85</v>
      </c>
      <c r="H428" s="1347" t="s">
        <v>85</v>
      </c>
      <c r="I428" s="1347" t="s">
        <v>113</v>
      </c>
      <c r="J428" s="1349"/>
      <c r="K428" s="1349" t="s">
        <v>254</v>
      </c>
      <c r="L428" s="1350" t="s">
        <v>4682</v>
      </c>
      <c r="M428" s="1350" t="s">
        <v>67</v>
      </c>
      <c r="N428" s="1351" t="s">
        <v>68</v>
      </c>
      <c r="O428" s="1352" t="s">
        <v>4689</v>
      </c>
      <c r="P428" s="1352"/>
      <c r="Q428" s="1354"/>
      <c r="R428" s="1354"/>
      <c r="S428" s="1354"/>
      <c r="T428" s="1354"/>
      <c r="U428" s="1354"/>
      <c r="V428" s="1354"/>
      <c r="W428" s="1354"/>
      <c r="X428" s="1353">
        <v>43101</v>
      </c>
      <c r="Y428" s="1353">
        <v>43466</v>
      </c>
      <c r="Z428" s="1355"/>
      <c r="AA428" s="1355" t="s">
        <v>4685</v>
      </c>
      <c r="AB428" s="1356"/>
      <c r="AC428" s="1356"/>
      <c r="AD428" s="1356"/>
      <c r="AE428" s="1356"/>
      <c r="AF428" s="1357"/>
      <c r="AG428" s="1358">
        <f t="shared" si="543"/>
        <v>2149.355</v>
      </c>
      <c r="AH428" s="1358">
        <v>25792.26</v>
      </c>
      <c r="AI428" s="1359">
        <v>0.15</v>
      </c>
      <c r="AJ428" s="1360">
        <f t="shared" si="593"/>
        <v>322.40325000000001</v>
      </c>
      <c r="AK428" s="1361">
        <f t="shared" si="594"/>
        <v>3868.8389999999995</v>
      </c>
      <c r="AL428" s="1384">
        <v>0</v>
      </c>
      <c r="AM428" s="1363">
        <f t="shared" si="595"/>
        <v>0</v>
      </c>
      <c r="AN428" s="1364">
        <v>0.1</v>
      </c>
      <c r="AO428" s="1365">
        <f t="shared" si="596"/>
        <v>2579.2260000000001</v>
      </c>
      <c r="AP428" s="1366">
        <v>0</v>
      </c>
      <c r="AQ428" s="1367">
        <f t="shared" si="597"/>
        <v>0</v>
      </c>
      <c r="AR428" s="1368">
        <v>0</v>
      </c>
      <c r="AS428" s="1369">
        <f t="shared" si="598"/>
        <v>0</v>
      </c>
      <c r="AT428" s="1370">
        <v>0</v>
      </c>
      <c r="AU428" s="1371">
        <f t="shared" si="599"/>
        <v>0</v>
      </c>
      <c r="AV428" s="1359">
        <f t="shared" si="600"/>
        <v>4.9999999999999989E-2</v>
      </c>
      <c r="AW428" s="1372">
        <f t="shared" si="601"/>
        <v>1289.6129999999996</v>
      </c>
      <c r="AX428" s="1373">
        <f t="shared" si="602"/>
        <v>4.9999999999999989E-2</v>
      </c>
      <c r="AY428" s="1374">
        <f t="shared" si="603"/>
        <v>1289.6129999999996</v>
      </c>
      <c r="AZ428" s="1375">
        <f t="shared" si="604"/>
        <v>4.9999999999999989E-2</v>
      </c>
      <c r="BA428" s="1376">
        <f t="shared" si="605"/>
        <v>1289.6129999999996</v>
      </c>
      <c r="BB428" s="1377"/>
      <c r="BC428" s="1820"/>
      <c r="BD428" s="1820"/>
      <c r="BE428" s="1823"/>
      <c r="BF428" s="1826"/>
      <c r="BG428" s="1829"/>
    </row>
    <row r="429" spans="1:63" s="1378" customFormat="1" ht="27.75" customHeight="1">
      <c r="A429" s="1347" t="s">
        <v>136</v>
      </c>
      <c r="B429" s="1348" t="s">
        <v>4806</v>
      </c>
      <c r="C429" s="1348">
        <v>38</v>
      </c>
      <c r="D429" s="1349">
        <v>42736</v>
      </c>
      <c r="E429" s="1349"/>
      <c r="F429" s="1347" t="s">
        <v>72</v>
      </c>
      <c r="G429" s="1347" t="s">
        <v>85</v>
      </c>
      <c r="H429" s="1347" t="s">
        <v>72</v>
      </c>
      <c r="I429" s="1347" t="s">
        <v>72</v>
      </c>
      <c r="J429" s="1349" t="s">
        <v>4670</v>
      </c>
      <c r="K429" s="1349" t="s">
        <v>254</v>
      </c>
      <c r="L429" s="1350" t="s">
        <v>4696</v>
      </c>
      <c r="M429" s="1350" t="s">
        <v>4697</v>
      </c>
      <c r="N429" s="1389" t="s">
        <v>4698</v>
      </c>
      <c r="O429" s="1352" t="s">
        <v>4699</v>
      </c>
      <c r="P429" s="1352"/>
      <c r="Q429" s="1354"/>
      <c r="R429" s="1354"/>
      <c r="S429" s="1354"/>
      <c r="T429" s="1354"/>
      <c r="U429" s="1354"/>
      <c r="V429" s="1354"/>
      <c r="W429" s="1354"/>
      <c r="X429" s="1353">
        <v>43101</v>
      </c>
      <c r="Y429" s="1353">
        <v>43466</v>
      </c>
      <c r="Z429" s="1355"/>
      <c r="AA429" s="1355" t="s">
        <v>4674</v>
      </c>
      <c r="AB429" s="1356"/>
      <c r="AC429" s="1356"/>
      <c r="AD429" s="1356"/>
      <c r="AE429" s="1356"/>
      <c r="AF429" s="1357" t="str">
        <f t="shared" si="572"/>
        <v/>
      </c>
      <c r="AG429" s="1380"/>
      <c r="AH429" s="1380"/>
      <c r="AI429" s="1381">
        <v>0</v>
      </c>
      <c r="AJ429" s="1382">
        <f t="shared" si="593"/>
        <v>0</v>
      </c>
      <c r="AK429" s="1383">
        <f t="shared" si="594"/>
        <v>0</v>
      </c>
      <c r="AL429" s="1384">
        <v>0</v>
      </c>
      <c r="AM429" s="1363">
        <f t="shared" si="595"/>
        <v>0</v>
      </c>
      <c r="AN429" s="1364">
        <v>0</v>
      </c>
      <c r="AO429" s="1365">
        <f t="shared" si="596"/>
        <v>0</v>
      </c>
      <c r="AP429" s="1366">
        <v>0</v>
      </c>
      <c r="AQ429" s="1367">
        <f t="shared" si="597"/>
        <v>0</v>
      </c>
      <c r="AR429" s="1368">
        <v>0</v>
      </c>
      <c r="AS429" s="1369">
        <f t="shared" si="598"/>
        <v>0</v>
      </c>
      <c r="AT429" s="1370">
        <v>0</v>
      </c>
      <c r="AU429" s="1371">
        <f t="shared" si="599"/>
        <v>0</v>
      </c>
      <c r="AV429" s="1359">
        <f t="shared" si="600"/>
        <v>0</v>
      </c>
      <c r="AW429" s="1372">
        <f t="shared" si="601"/>
        <v>0</v>
      </c>
      <c r="AX429" s="1373">
        <f t="shared" si="602"/>
        <v>0</v>
      </c>
      <c r="AY429" s="1374">
        <f t="shared" si="603"/>
        <v>0</v>
      </c>
      <c r="AZ429" s="1375">
        <f t="shared" si="604"/>
        <v>0</v>
      </c>
      <c r="BA429" s="1376">
        <f t="shared" si="605"/>
        <v>0</v>
      </c>
      <c r="BB429" s="1377"/>
      <c r="BC429" s="1820"/>
      <c r="BD429" s="1820"/>
      <c r="BE429" s="1823"/>
      <c r="BF429" s="1826"/>
      <c r="BG429" s="1829"/>
    </row>
    <row r="430" spans="1:63" s="1378" customFormat="1" ht="25.5">
      <c r="A430" s="1347" t="str">
        <f>$L$422</f>
        <v>Forty Seven Inc.</v>
      </c>
      <c r="B430" s="1347" t="s">
        <v>4806</v>
      </c>
      <c r="C430" s="1348">
        <f>$Z$422</f>
        <v>43</v>
      </c>
      <c r="D430" s="1349">
        <v>42736</v>
      </c>
      <c r="E430" s="1349"/>
      <c r="F430" s="1347" t="s">
        <v>113</v>
      </c>
      <c r="G430" s="1347" t="s">
        <v>4700</v>
      </c>
      <c r="H430" s="1347" t="s">
        <v>85</v>
      </c>
      <c r="I430" s="1347" t="s">
        <v>72</v>
      </c>
      <c r="J430" s="1349" t="s">
        <v>4670</v>
      </c>
      <c r="K430" s="1349" t="s">
        <v>254</v>
      </c>
      <c r="L430" s="1350" t="s">
        <v>48</v>
      </c>
      <c r="M430" s="1350" t="s">
        <v>3652</v>
      </c>
      <c r="N430" s="1390" t="s">
        <v>5032</v>
      </c>
      <c r="O430" s="1352" t="s">
        <v>4702</v>
      </c>
      <c r="P430" s="1352"/>
      <c r="Q430" s="1354"/>
      <c r="R430" s="1354"/>
      <c r="S430" s="1354"/>
      <c r="T430" s="1354"/>
      <c r="U430" s="1354"/>
      <c r="V430" s="1354"/>
      <c r="W430" s="1354"/>
      <c r="X430" s="1353">
        <v>43101</v>
      </c>
      <c r="Y430" s="1353">
        <v>43466</v>
      </c>
      <c r="Z430" s="1355"/>
      <c r="AA430" s="1355" t="s">
        <v>4674</v>
      </c>
      <c r="AB430" s="1356"/>
      <c r="AC430" s="1356"/>
      <c r="AD430" s="1356"/>
      <c r="AE430" s="1356"/>
      <c r="AF430" s="1357" t="str">
        <f t="shared" si="572"/>
        <v/>
      </c>
      <c r="AG430" s="1380"/>
      <c r="AH430" s="1380"/>
      <c r="AI430" s="1381">
        <v>0</v>
      </c>
      <c r="AJ430" s="1382">
        <f t="shared" si="593"/>
        <v>0</v>
      </c>
      <c r="AK430" s="1383">
        <f t="shared" si="594"/>
        <v>0</v>
      </c>
      <c r="AL430" s="1384">
        <v>0</v>
      </c>
      <c r="AM430" s="1363">
        <f t="shared" si="595"/>
        <v>0</v>
      </c>
      <c r="AN430" s="1364">
        <v>0</v>
      </c>
      <c r="AO430" s="1365">
        <f t="shared" si="596"/>
        <v>0</v>
      </c>
      <c r="AP430" s="1366">
        <v>0</v>
      </c>
      <c r="AQ430" s="1367">
        <f t="shared" si="597"/>
        <v>0</v>
      </c>
      <c r="AR430" s="1368">
        <v>0</v>
      </c>
      <c r="AS430" s="1369">
        <f t="shared" si="598"/>
        <v>0</v>
      </c>
      <c r="AT430" s="1370">
        <v>0</v>
      </c>
      <c r="AU430" s="1371">
        <f t="shared" si="599"/>
        <v>0</v>
      </c>
      <c r="AV430" s="1359">
        <f t="shared" si="600"/>
        <v>0</v>
      </c>
      <c r="AW430" s="1372">
        <f t="shared" si="601"/>
        <v>0</v>
      </c>
      <c r="AX430" s="1373">
        <f t="shared" si="602"/>
        <v>0</v>
      </c>
      <c r="AY430" s="1374">
        <f t="shared" si="603"/>
        <v>0</v>
      </c>
      <c r="AZ430" s="1375">
        <f t="shared" si="604"/>
        <v>0</v>
      </c>
      <c r="BA430" s="1376">
        <f t="shared" si="605"/>
        <v>0</v>
      </c>
      <c r="BB430" s="1377"/>
      <c r="BC430" s="1820"/>
      <c r="BD430" s="1820"/>
      <c r="BE430" s="1823"/>
      <c r="BF430" s="1826"/>
      <c r="BG430" s="1829"/>
    </row>
    <row r="431" spans="1:63" s="1378" customFormat="1" ht="25.5">
      <c r="A431" s="1347" t="str">
        <f>L422</f>
        <v>Forty Seven Inc.</v>
      </c>
      <c r="B431" s="1348" t="str">
        <f>N422</f>
        <v>ABD</v>
      </c>
      <c r="C431" s="1348">
        <f>Z422</f>
        <v>43</v>
      </c>
      <c r="D431" s="1349">
        <v>42736</v>
      </c>
      <c r="E431" s="1349"/>
      <c r="F431" s="1347" t="s">
        <v>72</v>
      </c>
      <c r="G431" s="1347" t="s">
        <v>4700</v>
      </c>
      <c r="H431" s="1347" t="s">
        <v>72</v>
      </c>
      <c r="I431" s="1347" t="s">
        <v>72</v>
      </c>
      <c r="J431" s="1349" t="s">
        <v>4670</v>
      </c>
      <c r="K431" s="1349" t="s">
        <v>254</v>
      </c>
      <c r="L431" s="1350" t="s">
        <v>48</v>
      </c>
      <c r="M431" s="1350" t="s">
        <v>5033</v>
      </c>
      <c r="N431" s="1389" t="s">
        <v>5034</v>
      </c>
      <c r="O431" s="1352" t="s">
        <v>5035</v>
      </c>
      <c r="P431" s="1352"/>
      <c r="Q431" s="1354"/>
      <c r="R431" s="1354"/>
      <c r="S431" s="1354"/>
      <c r="T431" s="1354"/>
      <c r="U431" s="1354"/>
      <c r="V431" s="1354"/>
      <c r="W431" s="1354"/>
      <c r="X431" s="1353">
        <v>43101</v>
      </c>
      <c r="Y431" s="1353">
        <v>43466</v>
      </c>
      <c r="Z431" s="1355"/>
      <c r="AA431" s="1355" t="s">
        <v>4674</v>
      </c>
      <c r="AB431" s="1356"/>
      <c r="AC431" s="1356"/>
      <c r="AD431" s="1356"/>
      <c r="AE431" s="1356"/>
      <c r="AF431" s="1357" t="str">
        <f t="shared" si="572"/>
        <v/>
      </c>
      <c r="AG431" s="1380"/>
      <c r="AH431" s="1380"/>
      <c r="AI431" s="1381">
        <v>0</v>
      </c>
      <c r="AJ431" s="1383">
        <v>0</v>
      </c>
      <c r="AK431" s="1383">
        <v>0</v>
      </c>
      <c r="AL431" s="1384">
        <v>0</v>
      </c>
      <c r="AM431" s="1363">
        <f t="shared" si="595"/>
        <v>0</v>
      </c>
      <c r="AN431" s="1364">
        <v>0</v>
      </c>
      <c r="AO431" s="1365">
        <f t="shared" si="596"/>
        <v>0</v>
      </c>
      <c r="AP431" s="1366">
        <v>0</v>
      </c>
      <c r="AQ431" s="1367">
        <f t="shared" si="597"/>
        <v>0</v>
      </c>
      <c r="AR431" s="1368">
        <v>0</v>
      </c>
      <c r="AS431" s="1369">
        <f t="shared" si="598"/>
        <v>0</v>
      </c>
      <c r="AT431" s="1370">
        <v>0</v>
      </c>
      <c r="AU431" s="1371">
        <f t="shared" si="599"/>
        <v>0</v>
      </c>
      <c r="AV431" s="1359">
        <f t="shared" si="600"/>
        <v>0</v>
      </c>
      <c r="AW431" s="1372">
        <f t="shared" si="601"/>
        <v>0</v>
      </c>
      <c r="AX431" s="1373">
        <f t="shared" si="602"/>
        <v>0</v>
      </c>
      <c r="AY431" s="1374">
        <f t="shared" si="603"/>
        <v>0</v>
      </c>
      <c r="AZ431" s="1375">
        <f t="shared" si="604"/>
        <v>0</v>
      </c>
      <c r="BA431" s="1376">
        <f t="shared" si="605"/>
        <v>0</v>
      </c>
      <c r="BB431" s="1377"/>
      <c r="BC431" s="1820"/>
      <c r="BD431" s="1820"/>
      <c r="BE431" s="1823"/>
      <c r="BF431" s="1826"/>
      <c r="BG431" s="1829"/>
    </row>
    <row r="432" spans="1:63" s="1378" customFormat="1" ht="25.5">
      <c r="A432" s="1347" t="str">
        <f>$L$422</f>
        <v>Forty Seven Inc.</v>
      </c>
      <c r="B432" s="1347" t="s">
        <v>4806</v>
      </c>
      <c r="C432" s="1348">
        <f>$Z$422</f>
        <v>43</v>
      </c>
      <c r="D432" s="1349">
        <v>42736</v>
      </c>
      <c r="E432" s="1349"/>
      <c r="F432" s="1347" t="s">
        <v>72</v>
      </c>
      <c r="G432" s="1347" t="s">
        <v>85</v>
      </c>
      <c r="H432" s="1347" t="s">
        <v>72</v>
      </c>
      <c r="I432" s="1347" t="s">
        <v>72</v>
      </c>
      <c r="J432" s="1349" t="s">
        <v>4670</v>
      </c>
      <c r="K432" s="1349" t="s">
        <v>254</v>
      </c>
      <c r="L432" s="1350" t="s">
        <v>48</v>
      </c>
      <c r="M432" s="1350" t="s">
        <v>253</v>
      </c>
      <c r="N432" s="1390" t="s">
        <v>4703</v>
      </c>
      <c r="O432" s="1352" t="s">
        <v>5036</v>
      </c>
      <c r="P432" s="1352"/>
      <c r="Q432" s="1354"/>
      <c r="R432" s="1354"/>
      <c r="S432" s="1354"/>
      <c r="T432" s="1354"/>
      <c r="U432" s="1354"/>
      <c r="V432" s="1354"/>
      <c r="W432" s="1354"/>
      <c r="X432" s="1353">
        <v>43101</v>
      </c>
      <c r="Y432" s="1353">
        <v>43466</v>
      </c>
      <c r="Z432" s="1355"/>
      <c r="AA432" s="1355" t="s">
        <v>4674</v>
      </c>
      <c r="AB432" s="1356"/>
      <c r="AC432" s="1356"/>
      <c r="AD432" s="1356"/>
      <c r="AE432" s="1356"/>
      <c r="AF432" s="1357" t="str">
        <f>IFERROR((AE432/AB432),"")</f>
        <v/>
      </c>
      <c r="AG432" s="1380"/>
      <c r="AH432" s="1380"/>
      <c r="AI432" s="1381">
        <v>0</v>
      </c>
      <c r="AJ432" s="1382">
        <f>$AI432*$AG432</f>
        <v>0</v>
      </c>
      <c r="AK432" s="1383">
        <f>AI432*$AH432</f>
        <v>0</v>
      </c>
      <c r="AL432" s="1384">
        <v>0</v>
      </c>
      <c r="AM432" s="1363">
        <f t="shared" si="595"/>
        <v>0</v>
      </c>
      <c r="AN432" s="1364">
        <v>0</v>
      </c>
      <c r="AO432" s="1365">
        <f t="shared" si="596"/>
        <v>0</v>
      </c>
      <c r="AP432" s="1366">
        <v>0</v>
      </c>
      <c r="AQ432" s="1367">
        <f t="shared" si="597"/>
        <v>0</v>
      </c>
      <c r="AR432" s="1368">
        <v>0</v>
      </c>
      <c r="AS432" s="1369">
        <f t="shared" si="598"/>
        <v>0</v>
      </c>
      <c r="AT432" s="1370">
        <v>0</v>
      </c>
      <c r="AU432" s="1371">
        <f t="shared" si="599"/>
        <v>0</v>
      </c>
      <c r="AV432" s="1359">
        <f t="shared" si="600"/>
        <v>0</v>
      </c>
      <c r="AW432" s="1372">
        <f t="shared" si="601"/>
        <v>0</v>
      </c>
      <c r="AX432" s="1373">
        <f t="shared" si="602"/>
        <v>0</v>
      </c>
      <c r="AY432" s="1374">
        <f t="shared" si="603"/>
        <v>0</v>
      </c>
      <c r="AZ432" s="1375">
        <f t="shared" si="604"/>
        <v>0</v>
      </c>
      <c r="BA432" s="1376">
        <f t="shared" si="605"/>
        <v>0</v>
      </c>
      <c r="BB432" s="1377"/>
      <c r="BC432" s="1820"/>
      <c r="BD432" s="1820"/>
      <c r="BE432" s="1823"/>
      <c r="BF432" s="1826"/>
      <c r="BG432" s="1829"/>
    </row>
    <row r="433" spans="1:59" s="1378" customFormat="1" ht="25.5">
      <c r="A433" s="1347" t="str">
        <f>$L$422</f>
        <v>Forty Seven Inc.</v>
      </c>
      <c r="B433" s="1347" t="s">
        <v>4806</v>
      </c>
      <c r="C433" s="1348">
        <f>$Z$422</f>
        <v>43</v>
      </c>
      <c r="D433" s="1349">
        <v>42736</v>
      </c>
      <c r="E433" s="1349"/>
      <c r="F433" s="1347" t="s">
        <v>72</v>
      </c>
      <c r="G433" s="1347" t="s">
        <v>85</v>
      </c>
      <c r="H433" s="1347" t="s">
        <v>72</v>
      </c>
      <c r="I433" s="1347" t="s">
        <v>72</v>
      </c>
      <c r="J433" s="1349" t="s">
        <v>4670</v>
      </c>
      <c r="K433" s="1349" t="s">
        <v>254</v>
      </c>
      <c r="L433" s="1350" t="s">
        <v>49</v>
      </c>
      <c r="M433" s="1350" t="s">
        <v>4705</v>
      </c>
      <c r="N433" s="1390" t="s">
        <v>4784</v>
      </c>
      <c r="O433" s="1352" t="s">
        <v>5037</v>
      </c>
      <c r="P433" s="1352"/>
      <c r="Q433" s="1354"/>
      <c r="R433" s="1354"/>
      <c r="S433" s="1354"/>
      <c r="T433" s="1354"/>
      <c r="U433" s="1354"/>
      <c r="V433" s="1354"/>
      <c r="W433" s="1354"/>
      <c r="X433" s="1353">
        <v>43101</v>
      </c>
      <c r="Y433" s="1353">
        <v>43466</v>
      </c>
      <c r="Z433" s="1355"/>
      <c r="AA433" s="1355" t="s">
        <v>4674</v>
      </c>
      <c r="AB433" s="1356"/>
      <c r="AC433" s="1356"/>
      <c r="AD433" s="1356"/>
      <c r="AE433" s="1356"/>
      <c r="AF433" s="1357" t="str">
        <f t="shared" ref="AF433:AF434" si="606">IFERROR((AE433/AB433),"")</f>
        <v/>
      </c>
      <c r="AG433" s="1380"/>
      <c r="AH433" s="1380"/>
      <c r="AI433" s="1381">
        <v>0</v>
      </c>
      <c r="AJ433" s="1382">
        <f>$AI433*$AG433</f>
        <v>0</v>
      </c>
      <c r="AK433" s="1383">
        <f>AI433*$AH433</f>
        <v>0</v>
      </c>
      <c r="AL433" s="1384">
        <v>0</v>
      </c>
      <c r="AM433" s="1363">
        <f t="shared" si="595"/>
        <v>0</v>
      </c>
      <c r="AN433" s="1364">
        <v>0</v>
      </c>
      <c r="AO433" s="1365">
        <f t="shared" si="596"/>
        <v>0</v>
      </c>
      <c r="AP433" s="1366">
        <v>0</v>
      </c>
      <c r="AQ433" s="1367">
        <f t="shared" si="597"/>
        <v>0</v>
      </c>
      <c r="AR433" s="1368">
        <v>0</v>
      </c>
      <c r="AS433" s="1369">
        <f t="shared" si="598"/>
        <v>0</v>
      </c>
      <c r="AT433" s="1370">
        <v>0</v>
      </c>
      <c r="AU433" s="1371">
        <f t="shared" si="599"/>
        <v>0</v>
      </c>
      <c r="AV433" s="1359">
        <f t="shared" si="600"/>
        <v>0</v>
      </c>
      <c r="AW433" s="1372">
        <f t="shared" si="601"/>
        <v>0</v>
      </c>
      <c r="AX433" s="1373">
        <f t="shared" si="602"/>
        <v>0</v>
      </c>
      <c r="AY433" s="1374">
        <f t="shared" si="603"/>
        <v>0</v>
      </c>
      <c r="AZ433" s="1375">
        <f t="shared" si="604"/>
        <v>0</v>
      </c>
      <c r="BA433" s="1376">
        <f t="shared" si="605"/>
        <v>0</v>
      </c>
      <c r="BB433" s="1377"/>
      <c r="BC433" s="1820"/>
      <c r="BD433" s="1820"/>
      <c r="BE433" s="1823"/>
      <c r="BF433" s="1826"/>
      <c r="BG433" s="1829"/>
    </row>
    <row r="434" spans="1:59" s="1378" customFormat="1" ht="21.75" customHeight="1">
      <c r="A434" s="1347" t="str">
        <f>A433</f>
        <v>Forty Seven Inc.</v>
      </c>
      <c r="B434" s="1348" t="str">
        <f>B433</f>
        <v xml:space="preserve">ABD </v>
      </c>
      <c r="C434" s="1348">
        <f>C433</f>
        <v>43</v>
      </c>
      <c r="D434" s="1349">
        <v>42736</v>
      </c>
      <c r="E434" s="1349"/>
      <c r="F434" s="1347" t="s">
        <v>72</v>
      </c>
      <c r="G434" s="1347" t="s">
        <v>85</v>
      </c>
      <c r="H434" s="1347" t="s">
        <v>72</v>
      </c>
      <c r="I434" s="1347" t="s">
        <v>72</v>
      </c>
      <c r="J434" s="1349" t="s">
        <v>4670</v>
      </c>
      <c r="K434" s="1349" t="s">
        <v>254</v>
      </c>
      <c r="L434" s="1350" t="s">
        <v>3056</v>
      </c>
      <c r="M434" s="1350" t="s">
        <v>4708</v>
      </c>
      <c r="N434" s="1390" t="s">
        <v>4709</v>
      </c>
      <c r="O434" s="1352" t="s">
        <v>4710</v>
      </c>
      <c r="P434" s="1352"/>
      <c r="Q434" s="1354"/>
      <c r="R434" s="1354"/>
      <c r="S434" s="1354"/>
      <c r="T434" s="1354"/>
      <c r="U434" s="1354"/>
      <c r="V434" s="1354"/>
      <c r="W434" s="1354"/>
      <c r="X434" s="1353">
        <v>43101</v>
      </c>
      <c r="Y434" s="1353">
        <v>43466</v>
      </c>
      <c r="Z434" s="1355"/>
      <c r="AA434" s="1355" t="s">
        <v>4674</v>
      </c>
      <c r="AB434" s="1356"/>
      <c r="AC434" s="1356"/>
      <c r="AD434" s="1356"/>
      <c r="AE434" s="1356"/>
      <c r="AF434" s="1357" t="str">
        <f t="shared" si="606"/>
        <v/>
      </c>
      <c r="AG434" s="1380"/>
      <c r="AH434" s="1380"/>
      <c r="AI434" s="1381">
        <v>0</v>
      </c>
      <c r="AJ434" s="1382">
        <f>$AI434*$AG434</f>
        <v>0</v>
      </c>
      <c r="AK434" s="1383">
        <f>AI434*$AH434</f>
        <v>0</v>
      </c>
      <c r="AL434" s="1384">
        <v>0</v>
      </c>
      <c r="AM434" s="1363">
        <f t="shared" si="595"/>
        <v>0</v>
      </c>
      <c r="AN434" s="1364">
        <v>0</v>
      </c>
      <c r="AO434" s="1365">
        <f t="shared" si="596"/>
        <v>0</v>
      </c>
      <c r="AP434" s="1366">
        <v>0</v>
      </c>
      <c r="AQ434" s="1367">
        <f t="shared" si="597"/>
        <v>0</v>
      </c>
      <c r="AR434" s="1368">
        <v>0</v>
      </c>
      <c r="AS434" s="1369">
        <f t="shared" si="598"/>
        <v>0</v>
      </c>
      <c r="AT434" s="1370">
        <v>0</v>
      </c>
      <c r="AU434" s="1371">
        <f t="shared" si="599"/>
        <v>0</v>
      </c>
      <c r="AV434" s="1359">
        <f t="shared" si="600"/>
        <v>0</v>
      </c>
      <c r="AW434" s="1372">
        <f t="shared" si="601"/>
        <v>0</v>
      </c>
      <c r="AX434" s="1373">
        <f t="shared" si="602"/>
        <v>0</v>
      </c>
      <c r="AY434" s="1374">
        <f t="shared" si="603"/>
        <v>0</v>
      </c>
      <c r="AZ434" s="1375">
        <f t="shared" si="604"/>
        <v>0</v>
      </c>
      <c r="BA434" s="1376">
        <f t="shared" si="605"/>
        <v>0</v>
      </c>
      <c r="BB434" s="1391"/>
      <c r="BC434" s="1821"/>
      <c r="BD434" s="1821"/>
      <c r="BE434" s="1824"/>
      <c r="BF434" s="1827"/>
      <c r="BG434" s="1830"/>
    </row>
    <row r="435" spans="1:59" s="1315" customFormat="1" ht="57" customHeight="1">
      <c r="A435" s="1277" t="str">
        <f t="shared" ref="A435:A444" si="607">L$435</f>
        <v>FronThera US Pharmaceuticals LLC</v>
      </c>
      <c r="B435" s="1316" t="str">
        <f t="shared" ref="B435:B444" si="608">N$435</f>
        <v>HUB SD</v>
      </c>
      <c r="C435" s="1316">
        <f>Z435</f>
        <v>2</v>
      </c>
      <c r="D435" s="1317">
        <v>43132</v>
      </c>
      <c r="E435" s="1317"/>
      <c r="F435" s="1277" t="s">
        <v>72</v>
      </c>
      <c r="G435" s="1277" t="s">
        <v>72</v>
      </c>
      <c r="H435" s="1277" t="s">
        <v>72</v>
      </c>
      <c r="I435" s="1277" t="s">
        <v>4711</v>
      </c>
      <c r="J435" s="1317"/>
      <c r="K435" s="1317"/>
      <c r="L435" s="1318" t="s">
        <v>3612</v>
      </c>
      <c r="M435" s="1319" t="s">
        <v>5038</v>
      </c>
      <c r="N435" s="1320" t="s">
        <v>4661</v>
      </c>
      <c r="O435" s="1321" t="s">
        <v>2473</v>
      </c>
      <c r="P435" s="1419"/>
      <c r="Q435" s="1322"/>
      <c r="R435" s="1322"/>
      <c r="S435" s="1322"/>
      <c r="T435" s="1322"/>
      <c r="U435" s="1322"/>
      <c r="V435" s="1322"/>
      <c r="W435" s="1322"/>
      <c r="X435" s="1317">
        <v>43132</v>
      </c>
      <c r="Y435" s="1317">
        <v>43466</v>
      </c>
      <c r="Z435" s="1316">
        <v>2</v>
      </c>
      <c r="AA435" s="1316" t="s">
        <v>5039</v>
      </c>
      <c r="AB435" s="1323">
        <f>SUM(AB436:AB444)</f>
        <v>50150</v>
      </c>
      <c r="AC435" s="1323">
        <f>SUM(AC436:AC444)</f>
        <v>0</v>
      </c>
      <c r="AD435" s="1323">
        <f>SUM(AD436:AD444)</f>
        <v>37251.119999999995</v>
      </c>
      <c r="AE435" s="1324">
        <f t="shared" ref="AE435:AE440" si="609">AD435-AB435</f>
        <v>-12898.880000000005</v>
      </c>
      <c r="AF435" s="1325">
        <f t="shared" si="572"/>
        <v>-0.2572059820538386</v>
      </c>
      <c r="AG435" s="1326">
        <f t="shared" si="543"/>
        <v>3104.2599999999998</v>
      </c>
      <c r="AH435" s="1326">
        <f>SUM(AH436:AH444)</f>
        <v>37251.119999999995</v>
      </c>
      <c r="AI435" s="1339" t="s">
        <v>4984</v>
      </c>
      <c r="AJ435" s="1328">
        <f>SUM(AJ436:AJ444)</f>
        <v>258.44659999999999</v>
      </c>
      <c r="AK435" s="1328">
        <f>SUM(AK436:AK444)</f>
        <v>3101.3591999999999</v>
      </c>
      <c r="AL435" s="1329"/>
      <c r="AM435" s="1330">
        <f>SUM(AM436:AM444)</f>
        <v>157.63319999999999</v>
      </c>
      <c r="AN435" s="1331"/>
      <c r="AO435" s="1332">
        <f>SUM(AO436:AO444)</f>
        <v>0</v>
      </c>
      <c r="AP435" s="1333"/>
      <c r="AQ435" s="1334">
        <f>SUM(AQ436:AQ444)</f>
        <v>0</v>
      </c>
      <c r="AR435" s="1335"/>
      <c r="AS435" s="1336">
        <f>SUM(AS436:AS444)</f>
        <v>0</v>
      </c>
      <c r="AT435" s="1337"/>
      <c r="AU435" s="1338">
        <f>SUM(AU436:AU444)</f>
        <v>2943.7260000000001</v>
      </c>
      <c r="AV435" s="1339"/>
      <c r="AW435" s="1340">
        <f>SUM(AW436:AW444)</f>
        <v>0</v>
      </c>
      <c r="AX435" s="1306"/>
      <c r="AY435" s="1307">
        <f>SUM(AW435+AS435+AU435)</f>
        <v>2943.7260000000001</v>
      </c>
      <c r="AZ435" s="1341"/>
      <c r="BA435" s="1309">
        <f>SUM(AY435+AQ435)</f>
        <v>2943.7260000000001</v>
      </c>
      <c r="BB435" s="1342">
        <f>(AW435+AU435)/(AK435-AM435)</f>
        <v>1.0000000000000002</v>
      </c>
      <c r="BC435" s="1343"/>
      <c r="BD435" s="1343"/>
      <c r="BE435" s="1344"/>
      <c r="BF435" s="1345" t="s">
        <v>5040</v>
      </c>
      <c r="BG435" s="1346"/>
    </row>
    <row r="436" spans="1:59" s="1378" customFormat="1" ht="51">
      <c r="A436" s="1347" t="str">
        <f t="shared" si="607"/>
        <v>FronThera US Pharmaceuticals LLC</v>
      </c>
      <c r="B436" s="1348" t="str">
        <f t="shared" si="608"/>
        <v>HUB SD</v>
      </c>
      <c r="C436" s="1348">
        <f t="shared" ref="C436:C444" si="610">Z$435</f>
        <v>2</v>
      </c>
      <c r="D436" s="1349">
        <f t="shared" ref="D436:D444" si="611">D$435</f>
        <v>43132</v>
      </c>
      <c r="E436" s="1349"/>
      <c r="F436" s="1347" t="s">
        <v>85</v>
      </c>
      <c r="G436" s="1347" t="s">
        <v>85</v>
      </c>
      <c r="H436" s="1347" t="s">
        <v>85</v>
      </c>
      <c r="I436" s="1347" t="s">
        <v>85</v>
      </c>
      <c r="J436" s="1349"/>
      <c r="K436" s="1349" t="s">
        <v>254</v>
      </c>
      <c r="L436" s="1350" t="s">
        <v>2661</v>
      </c>
      <c r="M436" s="1350" t="s">
        <v>3647</v>
      </c>
      <c r="N436" s="1351" t="s">
        <v>5041</v>
      </c>
      <c r="O436" s="1352" t="s">
        <v>4914</v>
      </c>
      <c r="P436" s="1352" t="s">
        <v>4829</v>
      </c>
      <c r="Q436" s="1353" t="s">
        <v>317</v>
      </c>
      <c r="R436" s="1353" t="s">
        <v>3656</v>
      </c>
      <c r="S436" s="1353" t="s">
        <v>307</v>
      </c>
      <c r="T436" s="1353" t="s">
        <v>113</v>
      </c>
      <c r="U436" s="1354"/>
      <c r="V436" s="1354"/>
      <c r="W436" s="1354"/>
      <c r="X436" s="1353">
        <f t="shared" ref="X436:Y444" si="612">X$435</f>
        <v>43132</v>
      </c>
      <c r="Y436" s="1353">
        <f t="shared" si="612"/>
        <v>43466</v>
      </c>
      <c r="Z436" s="1355"/>
      <c r="AA436" s="1355" t="s">
        <v>4988</v>
      </c>
      <c r="AB436" s="1422">
        <v>44928</v>
      </c>
      <c r="AC436" s="1356"/>
      <c r="AD436" s="1422">
        <f>AH436</f>
        <v>31526.639999999999</v>
      </c>
      <c r="AE436" s="1422">
        <f t="shared" si="609"/>
        <v>-13401.36</v>
      </c>
      <c r="AF436" s="1423">
        <f t="shared" si="572"/>
        <v>-0.29828525641025644</v>
      </c>
      <c r="AG436" s="1358">
        <f t="shared" si="543"/>
        <v>2627.22</v>
      </c>
      <c r="AH436" s="1358">
        <v>31526.639999999999</v>
      </c>
      <c r="AI436" s="1359">
        <v>0.08</v>
      </c>
      <c r="AJ436" s="1360">
        <f t="shared" ref="AJ436:AJ444" si="613">$AI436*$AG436</f>
        <v>210.17759999999998</v>
      </c>
      <c r="AK436" s="1361">
        <f t="shared" ref="AK436" si="614">AI436*$AH436</f>
        <v>2522.1311999999998</v>
      </c>
      <c r="AL436" s="1362">
        <v>5.0000000000000001E-3</v>
      </c>
      <c r="AM436" s="1363">
        <f t="shared" ref="AM436:AM444" si="615">AL436*$AH436</f>
        <v>157.63319999999999</v>
      </c>
      <c r="AN436" s="1364">
        <v>0</v>
      </c>
      <c r="AO436" s="1365">
        <f t="shared" ref="AO436:AO444" si="616">AN436*$AH436</f>
        <v>0</v>
      </c>
      <c r="AP436" s="1366">
        <v>0</v>
      </c>
      <c r="AQ436" s="1367">
        <f t="shared" ref="AQ436:AQ444" si="617">AP436*$AH436</f>
        <v>0</v>
      </c>
      <c r="AR436" s="1368">
        <v>0</v>
      </c>
      <c r="AS436" s="1369">
        <f t="shared" ref="AS436:AS444" si="618">AR436*$AH436</f>
        <v>0</v>
      </c>
      <c r="AT436" s="1370">
        <v>7.4999999999999997E-2</v>
      </c>
      <c r="AU436" s="1371">
        <f t="shared" ref="AU436:AU444" si="619">AT436*$AH436</f>
        <v>2364.498</v>
      </c>
      <c r="AV436" s="1359">
        <f t="shared" ref="AV436:AV444" si="620">AZ436-AR436-AT436-AP436</f>
        <v>0</v>
      </c>
      <c r="AW436" s="1372">
        <f t="shared" ref="AW436:AW444" si="621">AV436*$AH436</f>
        <v>0</v>
      </c>
      <c r="AX436" s="1373">
        <f t="shared" ref="AX436:AX444" si="622">$AZ436-$AP436</f>
        <v>7.4999999999999997E-2</v>
      </c>
      <c r="AY436" s="1374">
        <f t="shared" ref="AY436:AY444" si="623">AX436*$AH436</f>
        <v>2364.498</v>
      </c>
      <c r="AZ436" s="1375">
        <f t="shared" ref="AZ436:AZ444" si="624">$AI436-$AL436-$AN436</f>
        <v>7.4999999999999997E-2</v>
      </c>
      <c r="BA436" s="1376">
        <f t="shared" ref="BA436:BA444" si="625">AZ436*$AH436</f>
        <v>2364.498</v>
      </c>
      <c r="BB436" s="1391"/>
      <c r="BC436" s="1819" t="s">
        <v>3615</v>
      </c>
      <c r="BD436" s="1819" t="s">
        <v>5042</v>
      </c>
      <c r="BE436" s="1822" t="s">
        <v>5042</v>
      </c>
      <c r="BF436" s="1834" t="s">
        <v>5043</v>
      </c>
      <c r="BG436" s="1828">
        <v>383980157</v>
      </c>
    </row>
    <row r="437" spans="1:59" s="1378" customFormat="1" ht="51">
      <c r="A437" s="1347" t="str">
        <f t="shared" si="607"/>
        <v>FronThera US Pharmaceuticals LLC</v>
      </c>
      <c r="B437" s="1348" t="str">
        <f t="shared" si="608"/>
        <v>HUB SD</v>
      </c>
      <c r="C437" s="1348">
        <f t="shared" si="610"/>
        <v>2</v>
      </c>
      <c r="D437" s="1349">
        <f t="shared" si="611"/>
        <v>43132</v>
      </c>
      <c r="E437" s="1349"/>
      <c r="F437" s="1347" t="s">
        <v>72</v>
      </c>
      <c r="G437" s="1347" t="s">
        <v>85</v>
      </c>
      <c r="H437" s="1347" t="s">
        <v>72</v>
      </c>
      <c r="I437" s="1347" t="s">
        <v>72</v>
      </c>
      <c r="J437" s="1349" t="s">
        <v>4670</v>
      </c>
      <c r="K437" s="1349" t="s">
        <v>254</v>
      </c>
      <c r="L437" s="1350" t="s">
        <v>4671</v>
      </c>
      <c r="M437" s="1350" t="s">
        <v>3649</v>
      </c>
      <c r="N437" s="1379" t="s">
        <v>5044</v>
      </c>
      <c r="O437" s="1352" t="s">
        <v>5045</v>
      </c>
      <c r="P437" s="1388"/>
      <c r="Q437" s="1354"/>
      <c r="R437" s="1354"/>
      <c r="S437" s="1354"/>
      <c r="T437" s="1354"/>
      <c r="U437" s="1354"/>
      <c r="V437" s="1354"/>
      <c r="W437" s="1354"/>
      <c r="X437" s="1353">
        <f t="shared" si="612"/>
        <v>43132</v>
      </c>
      <c r="Y437" s="1353">
        <f t="shared" si="612"/>
        <v>43466</v>
      </c>
      <c r="Z437" s="1355"/>
      <c r="AA437" s="1355" t="s">
        <v>4674</v>
      </c>
      <c r="AB437" s="1356"/>
      <c r="AC437" s="1356"/>
      <c r="AD437" s="1356"/>
      <c r="AE437" s="1356"/>
      <c r="AF437" s="1357" t="str">
        <f t="shared" si="572"/>
        <v/>
      </c>
      <c r="AG437" s="1380"/>
      <c r="AH437" s="1380"/>
      <c r="AI437" s="1381">
        <v>0</v>
      </c>
      <c r="AJ437" s="1382">
        <f t="shared" si="613"/>
        <v>0</v>
      </c>
      <c r="AK437" s="1383">
        <f>AI437*$AH437</f>
        <v>0</v>
      </c>
      <c r="AL437" s="1384">
        <v>0</v>
      </c>
      <c r="AM437" s="1363">
        <f t="shared" si="615"/>
        <v>0</v>
      </c>
      <c r="AN437" s="1364">
        <v>0</v>
      </c>
      <c r="AO437" s="1365">
        <f t="shared" si="616"/>
        <v>0</v>
      </c>
      <c r="AP437" s="1366">
        <v>0</v>
      </c>
      <c r="AQ437" s="1367">
        <f t="shared" si="617"/>
        <v>0</v>
      </c>
      <c r="AR437" s="1368">
        <v>0</v>
      </c>
      <c r="AS437" s="1369">
        <f t="shared" si="618"/>
        <v>0</v>
      </c>
      <c r="AT437" s="1370">
        <v>0</v>
      </c>
      <c r="AU437" s="1371">
        <f t="shared" si="619"/>
        <v>0</v>
      </c>
      <c r="AV437" s="1359">
        <f t="shared" si="620"/>
        <v>0</v>
      </c>
      <c r="AW437" s="1372">
        <f t="shared" si="621"/>
        <v>0</v>
      </c>
      <c r="AX437" s="1373">
        <f t="shared" si="622"/>
        <v>0</v>
      </c>
      <c r="AY437" s="1374">
        <f t="shared" si="623"/>
        <v>0</v>
      </c>
      <c r="AZ437" s="1375">
        <f t="shared" si="624"/>
        <v>0</v>
      </c>
      <c r="BA437" s="1376">
        <f t="shared" si="625"/>
        <v>0</v>
      </c>
      <c r="BB437" s="1391"/>
      <c r="BC437" s="1820"/>
      <c r="BD437" s="1820"/>
      <c r="BE437" s="1823"/>
      <c r="BF437" s="1834"/>
      <c r="BG437" s="1829"/>
    </row>
    <row r="438" spans="1:59" s="1378" customFormat="1" ht="51">
      <c r="A438" s="1347" t="str">
        <f t="shared" si="607"/>
        <v>FronThera US Pharmaceuticals LLC</v>
      </c>
      <c r="B438" s="1348" t="str">
        <f t="shared" si="608"/>
        <v>HUB SD</v>
      </c>
      <c r="C438" s="1348">
        <f t="shared" si="610"/>
        <v>2</v>
      </c>
      <c r="D438" s="1349">
        <f t="shared" si="611"/>
        <v>43132</v>
      </c>
      <c r="E438" s="1349"/>
      <c r="F438" s="1347" t="s">
        <v>113</v>
      </c>
      <c r="G438" s="1347" t="s">
        <v>85</v>
      </c>
      <c r="H438" s="1347" t="s">
        <v>85</v>
      </c>
      <c r="I438" s="1347" t="s">
        <v>85</v>
      </c>
      <c r="J438" s="1349"/>
      <c r="K438" s="1349" t="s">
        <v>254</v>
      </c>
      <c r="L438" s="1350" t="s">
        <v>4675</v>
      </c>
      <c r="M438" s="1350" t="s">
        <v>3650</v>
      </c>
      <c r="N438" s="1385" t="s">
        <v>5046</v>
      </c>
      <c r="O438" s="1352" t="s">
        <v>4677</v>
      </c>
      <c r="P438" s="1388"/>
      <c r="Q438" s="1354"/>
      <c r="R438" s="1354"/>
      <c r="S438" s="1354"/>
      <c r="T438" s="1354"/>
      <c r="U438" s="1353" t="s">
        <v>4802</v>
      </c>
      <c r="V438" s="1353" t="s">
        <v>2495</v>
      </c>
      <c r="W438" s="1354"/>
      <c r="X438" s="1353">
        <f t="shared" si="612"/>
        <v>43132</v>
      </c>
      <c r="Y438" s="1353">
        <f t="shared" si="612"/>
        <v>43466</v>
      </c>
      <c r="Z438" s="1355"/>
      <c r="AA438" s="1355" t="s">
        <v>5047</v>
      </c>
      <c r="AB438" s="1422">
        <v>3928</v>
      </c>
      <c r="AC438" s="1356"/>
      <c r="AD438" s="1422">
        <f>AH438</f>
        <v>4994.6400000000003</v>
      </c>
      <c r="AE438" s="1422">
        <f t="shared" si="609"/>
        <v>1066.6400000000003</v>
      </c>
      <c r="AF438" s="1423">
        <f t="shared" si="572"/>
        <v>0.2715478615071284</v>
      </c>
      <c r="AG438" s="1358">
        <f t="shared" si="543"/>
        <v>416.22</v>
      </c>
      <c r="AH438" s="1358">
        <v>4994.6400000000003</v>
      </c>
      <c r="AI438" s="1359">
        <v>0.1</v>
      </c>
      <c r="AJ438" s="1360">
        <f t="shared" si="613"/>
        <v>41.622000000000007</v>
      </c>
      <c r="AK438" s="1361">
        <f t="shared" ref="AK438:AK444" si="626">AI438*$AH438</f>
        <v>499.46400000000006</v>
      </c>
      <c r="AL438" s="1384">
        <v>0</v>
      </c>
      <c r="AM438" s="1363">
        <f t="shared" si="615"/>
        <v>0</v>
      </c>
      <c r="AN438" s="1364">
        <v>0</v>
      </c>
      <c r="AO438" s="1365">
        <f t="shared" si="616"/>
        <v>0</v>
      </c>
      <c r="AP438" s="1366">
        <v>0</v>
      </c>
      <c r="AQ438" s="1367">
        <f t="shared" si="617"/>
        <v>0</v>
      </c>
      <c r="AR438" s="1368">
        <v>0</v>
      </c>
      <c r="AS438" s="1369">
        <f t="shared" si="618"/>
        <v>0</v>
      </c>
      <c r="AT438" s="1370">
        <v>0.1</v>
      </c>
      <c r="AU438" s="1371">
        <f t="shared" si="619"/>
        <v>499.46400000000006</v>
      </c>
      <c r="AV438" s="1359">
        <f t="shared" si="620"/>
        <v>0</v>
      </c>
      <c r="AW438" s="1372">
        <f t="shared" si="621"/>
        <v>0</v>
      </c>
      <c r="AX438" s="1373">
        <f t="shared" si="622"/>
        <v>0.1</v>
      </c>
      <c r="AY438" s="1374">
        <f t="shared" si="623"/>
        <v>499.46400000000006</v>
      </c>
      <c r="AZ438" s="1375">
        <f t="shared" si="624"/>
        <v>0.1</v>
      </c>
      <c r="BA438" s="1376">
        <f t="shared" si="625"/>
        <v>499.46400000000006</v>
      </c>
      <c r="BB438" s="1391"/>
      <c r="BC438" s="1820"/>
      <c r="BD438" s="1820"/>
      <c r="BE438" s="1823"/>
      <c r="BF438" s="1834"/>
      <c r="BG438" s="1829"/>
    </row>
    <row r="439" spans="1:59" s="1378" customFormat="1" ht="51">
      <c r="A439" s="1347" t="str">
        <f t="shared" si="607"/>
        <v>FronThera US Pharmaceuticals LLC</v>
      </c>
      <c r="B439" s="1348" t="str">
        <f t="shared" si="608"/>
        <v>HUB SD</v>
      </c>
      <c r="C439" s="1348">
        <f t="shared" si="610"/>
        <v>2</v>
      </c>
      <c r="D439" s="1349">
        <f t="shared" si="611"/>
        <v>43132</v>
      </c>
      <c r="E439" s="1349"/>
      <c r="F439" s="1347" t="s">
        <v>113</v>
      </c>
      <c r="G439" s="1347" t="s">
        <v>85</v>
      </c>
      <c r="H439" s="1347" t="s">
        <v>85</v>
      </c>
      <c r="I439" s="1347" t="s">
        <v>85</v>
      </c>
      <c r="J439" s="1349"/>
      <c r="K439" s="1349" t="s">
        <v>254</v>
      </c>
      <c r="L439" s="1350" t="s">
        <v>4675</v>
      </c>
      <c r="M439" s="1350" t="s">
        <v>3651</v>
      </c>
      <c r="N439" s="1351" t="s">
        <v>4856</v>
      </c>
      <c r="O439" s="1352" t="s">
        <v>4681</v>
      </c>
      <c r="P439" s="1388"/>
      <c r="Q439" s="1354"/>
      <c r="R439" s="1354"/>
      <c r="S439" s="1354"/>
      <c r="T439" s="1354"/>
      <c r="U439" s="1354"/>
      <c r="V439" s="1354"/>
      <c r="W439" s="1353" t="s">
        <v>2492</v>
      </c>
      <c r="X439" s="1353">
        <f t="shared" si="612"/>
        <v>43132</v>
      </c>
      <c r="Y439" s="1353">
        <f t="shared" si="612"/>
        <v>43466</v>
      </c>
      <c r="Z439" s="1355"/>
      <c r="AA439" s="1355" t="s">
        <v>5047</v>
      </c>
      <c r="AB439" s="1422">
        <v>826</v>
      </c>
      <c r="AC439" s="1356"/>
      <c r="AD439" s="1422">
        <f>AH439</f>
        <v>594.24</v>
      </c>
      <c r="AE439" s="1422">
        <f t="shared" si="609"/>
        <v>-231.76</v>
      </c>
      <c r="AF439" s="1423">
        <f t="shared" si="572"/>
        <v>-0.28058111380145279</v>
      </c>
      <c r="AG439" s="1358">
        <f t="shared" si="543"/>
        <v>49.52</v>
      </c>
      <c r="AH439" s="1358">
        <v>594.24</v>
      </c>
      <c r="AI439" s="1359">
        <v>0.1</v>
      </c>
      <c r="AJ439" s="1360">
        <f t="shared" si="613"/>
        <v>4.9520000000000008</v>
      </c>
      <c r="AK439" s="1361">
        <f t="shared" si="626"/>
        <v>59.424000000000007</v>
      </c>
      <c r="AL439" s="1384">
        <v>0</v>
      </c>
      <c r="AM439" s="1363">
        <f t="shared" si="615"/>
        <v>0</v>
      </c>
      <c r="AN439" s="1364">
        <v>0</v>
      </c>
      <c r="AO439" s="1365">
        <f t="shared" si="616"/>
        <v>0</v>
      </c>
      <c r="AP439" s="1366">
        <v>0</v>
      </c>
      <c r="AQ439" s="1367">
        <f t="shared" si="617"/>
        <v>0</v>
      </c>
      <c r="AR439" s="1368">
        <v>0</v>
      </c>
      <c r="AS439" s="1369">
        <f t="shared" si="618"/>
        <v>0</v>
      </c>
      <c r="AT439" s="1370">
        <v>0.1</v>
      </c>
      <c r="AU439" s="1371">
        <f t="shared" si="619"/>
        <v>59.424000000000007</v>
      </c>
      <c r="AV439" s="1359">
        <f t="shared" si="620"/>
        <v>0</v>
      </c>
      <c r="AW439" s="1372">
        <f t="shared" si="621"/>
        <v>0</v>
      </c>
      <c r="AX439" s="1373">
        <f t="shared" si="622"/>
        <v>0.1</v>
      </c>
      <c r="AY439" s="1374">
        <f t="shared" si="623"/>
        <v>59.424000000000007</v>
      </c>
      <c r="AZ439" s="1375">
        <f t="shared" si="624"/>
        <v>0.1</v>
      </c>
      <c r="BA439" s="1376">
        <f t="shared" si="625"/>
        <v>59.424000000000007</v>
      </c>
      <c r="BB439" s="1391"/>
      <c r="BC439" s="1820"/>
      <c r="BD439" s="1820"/>
      <c r="BE439" s="1823"/>
      <c r="BF439" s="1834"/>
      <c r="BG439" s="1829"/>
    </row>
    <row r="440" spans="1:59" s="1378" customFormat="1" ht="51">
      <c r="A440" s="1347" t="str">
        <f t="shared" si="607"/>
        <v>FronThera US Pharmaceuticals LLC</v>
      </c>
      <c r="B440" s="1348" t="str">
        <f t="shared" si="608"/>
        <v>HUB SD</v>
      </c>
      <c r="C440" s="1348">
        <f t="shared" si="610"/>
        <v>2</v>
      </c>
      <c r="D440" s="1349">
        <f t="shared" si="611"/>
        <v>43132</v>
      </c>
      <c r="E440" s="1349"/>
      <c r="F440" s="1347" t="s">
        <v>113</v>
      </c>
      <c r="G440" s="1347" t="s">
        <v>85</v>
      </c>
      <c r="H440" s="1347" t="s">
        <v>85</v>
      </c>
      <c r="I440" s="1347" t="s">
        <v>85</v>
      </c>
      <c r="J440" s="1349"/>
      <c r="K440" s="1349" t="s">
        <v>254</v>
      </c>
      <c r="L440" s="1350" t="s">
        <v>4682</v>
      </c>
      <c r="M440" s="1350" t="s">
        <v>4683</v>
      </c>
      <c r="N440" s="1386" t="s">
        <v>148</v>
      </c>
      <c r="O440" s="1352" t="s">
        <v>4684</v>
      </c>
      <c r="P440" s="1421"/>
      <c r="Q440" s="1354"/>
      <c r="R440" s="1354"/>
      <c r="S440" s="1354"/>
      <c r="T440" s="1354"/>
      <c r="U440" s="1354"/>
      <c r="V440" s="1354"/>
      <c r="W440" s="1354"/>
      <c r="X440" s="1353">
        <f t="shared" si="612"/>
        <v>43132</v>
      </c>
      <c r="Y440" s="1353">
        <f t="shared" si="612"/>
        <v>43466</v>
      </c>
      <c r="Z440" s="1355"/>
      <c r="AA440" s="1355" t="s">
        <v>5048</v>
      </c>
      <c r="AB440" s="1422">
        <v>468</v>
      </c>
      <c r="AC440" s="1356"/>
      <c r="AD440" s="1422">
        <f>AH440</f>
        <v>135.6</v>
      </c>
      <c r="AE440" s="1422">
        <f t="shared" si="609"/>
        <v>-332.4</v>
      </c>
      <c r="AF440" s="1423">
        <f t="shared" si="572"/>
        <v>-0.71025641025641018</v>
      </c>
      <c r="AG440" s="1358">
        <f t="shared" si="543"/>
        <v>11.299999999999999</v>
      </c>
      <c r="AH440" s="1358">
        <v>135.6</v>
      </c>
      <c r="AI440" s="1359">
        <v>0.15</v>
      </c>
      <c r="AJ440" s="1360">
        <f t="shared" si="613"/>
        <v>1.6949999999999998</v>
      </c>
      <c r="AK440" s="1361">
        <f t="shared" si="626"/>
        <v>20.34</v>
      </c>
      <c r="AL440" s="1384">
        <v>0</v>
      </c>
      <c r="AM440" s="1363">
        <f t="shared" si="615"/>
        <v>0</v>
      </c>
      <c r="AN440" s="1364">
        <v>0</v>
      </c>
      <c r="AO440" s="1365">
        <f t="shared" si="616"/>
        <v>0</v>
      </c>
      <c r="AP440" s="1366">
        <v>0</v>
      </c>
      <c r="AQ440" s="1367">
        <f t="shared" si="617"/>
        <v>0</v>
      </c>
      <c r="AR440" s="1368">
        <v>0</v>
      </c>
      <c r="AS440" s="1369">
        <f t="shared" si="618"/>
        <v>0</v>
      </c>
      <c r="AT440" s="1370">
        <v>0.15</v>
      </c>
      <c r="AU440" s="1371">
        <f t="shared" si="619"/>
        <v>20.34</v>
      </c>
      <c r="AV440" s="1359">
        <f t="shared" si="620"/>
        <v>0</v>
      </c>
      <c r="AW440" s="1372">
        <f t="shared" si="621"/>
        <v>0</v>
      </c>
      <c r="AX440" s="1373">
        <f t="shared" si="622"/>
        <v>0.15</v>
      </c>
      <c r="AY440" s="1374">
        <f t="shared" si="623"/>
        <v>20.34</v>
      </c>
      <c r="AZ440" s="1375">
        <f t="shared" si="624"/>
        <v>0.15</v>
      </c>
      <c r="BA440" s="1376">
        <f t="shared" si="625"/>
        <v>20.34</v>
      </c>
      <c r="BB440" s="1391"/>
      <c r="BC440" s="1820"/>
      <c r="BD440" s="1820"/>
      <c r="BE440" s="1823"/>
      <c r="BF440" s="1834"/>
      <c r="BG440" s="1829"/>
    </row>
    <row r="441" spans="1:59" s="1378" customFormat="1" ht="27.75" customHeight="1">
      <c r="A441" s="1347" t="str">
        <f t="shared" si="607"/>
        <v>FronThera US Pharmaceuticals LLC</v>
      </c>
      <c r="B441" s="1348" t="str">
        <f t="shared" si="608"/>
        <v>HUB SD</v>
      </c>
      <c r="C441" s="1348">
        <f t="shared" si="610"/>
        <v>2</v>
      </c>
      <c r="D441" s="1349">
        <f t="shared" si="611"/>
        <v>43132</v>
      </c>
      <c r="E441" s="1349"/>
      <c r="F441" s="1347" t="s">
        <v>72</v>
      </c>
      <c r="G441" s="1347" t="s">
        <v>85</v>
      </c>
      <c r="H441" s="1347" t="s">
        <v>72</v>
      </c>
      <c r="I441" s="1347" t="s">
        <v>72</v>
      </c>
      <c r="J441" s="1349" t="s">
        <v>4670</v>
      </c>
      <c r="K441" s="1349" t="s">
        <v>254</v>
      </c>
      <c r="L441" s="1350" t="s">
        <v>4696</v>
      </c>
      <c r="M441" s="1350" t="s">
        <v>4697</v>
      </c>
      <c r="N441" s="1389" t="s">
        <v>4698</v>
      </c>
      <c r="O441" s="1352" t="s">
        <v>4699</v>
      </c>
      <c r="P441" s="1388"/>
      <c r="Q441" s="1354"/>
      <c r="R441" s="1354"/>
      <c r="S441" s="1354"/>
      <c r="T441" s="1354"/>
      <c r="U441" s="1354"/>
      <c r="V441" s="1354"/>
      <c r="W441" s="1354"/>
      <c r="X441" s="1353">
        <f t="shared" si="612"/>
        <v>43132</v>
      </c>
      <c r="Y441" s="1353">
        <f t="shared" si="612"/>
        <v>43466</v>
      </c>
      <c r="Z441" s="1355"/>
      <c r="AA441" s="1355" t="s">
        <v>4674</v>
      </c>
      <c r="AB441" s="1356"/>
      <c r="AC441" s="1356"/>
      <c r="AD441" s="1356"/>
      <c r="AE441" s="1356"/>
      <c r="AF441" s="1357" t="str">
        <f t="shared" si="572"/>
        <v/>
      </c>
      <c r="AG441" s="1380"/>
      <c r="AH441" s="1380"/>
      <c r="AI441" s="1381">
        <v>0</v>
      </c>
      <c r="AJ441" s="1382">
        <f t="shared" si="613"/>
        <v>0</v>
      </c>
      <c r="AK441" s="1383">
        <f t="shared" si="626"/>
        <v>0</v>
      </c>
      <c r="AL441" s="1384">
        <v>0</v>
      </c>
      <c r="AM441" s="1363">
        <f t="shared" si="615"/>
        <v>0</v>
      </c>
      <c r="AN441" s="1364">
        <v>0</v>
      </c>
      <c r="AO441" s="1365">
        <f t="shared" si="616"/>
        <v>0</v>
      </c>
      <c r="AP441" s="1366">
        <v>0</v>
      </c>
      <c r="AQ441" s="1367">
        <f t="shared" si="617"/>
        <v>0</v>
      </c>
      <c r="AR441" s="1368">
        <v>0</v>
      </c>
      <c r="AS441" s="1369">
        <f t="shared" si="618"/>
        <v>0</v>
      </c>
      <c r="AT441" s="1370">
        <v>0</v>
      </c>
      <c r="AU441" s="1371">
        <f t="shared" si="619"/>
        <v>0</v>
      </c>
      <c r="AV441" s="1359">
        <f t="shared" si="620"/>
        <v>0</v>
      </c>
      <c r="AW441" s="1372">
        <f t="shared" si="621"/>
        <v>0</v>
      </c>
      <c r="AX441" s="1373">
        <f t="shared" si="622"/>
        <v>0</v>
      </c>
      <c r="AY441" s="1374">
        <f t="shared" si="623"/>
        <v>0</v>
      </c>
      <c r="AZ441" s="1375">
        <f t="shared" si="624"/>
        <v>0</v>
      </c>
      <c r="BA441" s="1376">
        <f t="shared" si="625"/>
        <v>0</v>
      </c>
      <c r="BB441" s="1377"/>
      <c r="BC441" s="1820"/>
      <c r="BD441" s="1820"/>
      <c r="BE441" s="1823"/>
      <c r="BF441" s="1834"/>
      <c r="BG441" s="1829"/>
    </row>
    <row r="442" spans="1:59" s="1378" customFormat="1" ht="51">
      <c r="A442" s="1347" t="str">
        <f t="shared" si="607"/>
        <v>FronThera US Pharmaceuticals LLC</v>
      </c>
      <c r="B442" s="1348" t="str">
        <f t="shared" si="608"/>
        <v>HUB SD</v>
      </c>
      <c r="C442" s="1348">
        <f t="shared" si="610"/>
        <v>2</v>
      </c>
      <c r="D442" s="1349">
        <f t="shared" si="611"/>
        <v>43132</v>
      </c>
      <c r="E442" s="1349"/>
      <c r="F442" s="1347" t="s">
        <v>72</v>
      </c>
      <c r="G442" s="1347" t="s">
        <v>85</v>
      </c>
      <c r="H442" s="1347" t="s">
        <v>72</v>
      </c>
      <c r="I442" s="1347" t="s">
        <v>72</v>
      </c>
      <c r="J442" s="1349" t="s">
        <v>4670</v>
      </c>
      <c r="K442" s="1349" t="s">
        <v>254</v>
      </c>
      <c r="L442" s="1350" t="s">
        <v>48</v>
      </c>
      <c r="M442" s="1350" t="s">
        <v>253</v>
      </c>
      <c r="N442" s="1390" t="s">
        <v>4703</v>
      </c>
      <c r="O442" s="1352" t="s">
        <v>4704</v>
      </c>
      <c r="P442" s="1388"/>
      <c r="Q442" s="1354"/>
      <c r="R442" s="1354"/>
      <c r="S442" s="1354"/>
      <c r="T442" s="1354"/>
      <c r="U442" s="1354"/>
      <c r="V442" s="1354"/>
      <c r="W442" s="1354"/>
      <c r="X442" s="1353">
        <f t="shared" si="612"/>
        <v>43132</v>
      </c>
      <c r="Y442" s="1353">
        <f t="shared" si="612"/>
        <v>43466</v>
      </c>
      <c r="Z442" s="1355"/>
      <c r="AA442" s="1355" t="s">
        <v>4674</v>
      </c>
      <c r="AB442" s="1356"/>
      <c r="AC442" s="1356"/>
      <c r="AD442" s="1356"/>
      <c r="AE442" s="1356"/>
      <c r="AF442" s="1357" t="str">
        <f t="shared" si="572"/>
        <v/>
      </c>
      <c r="AG442" s="1380"/>
      <c r="AH442" s="1380"/>
      <c r="AI442" s="1381">
        <v>0</v>
      </c>
      <c r="AJ442" s="1382">
        <f t="shared" si="613"/>
        <v>0</v>
      </c>
      <c r="AK442" s="1383">
        <f t="shared" si="626"/>
        <v>0</v>
      </c>
      <c r="AL442" s="1384">
        <v>0</v>
      </c>
      <c r="AM442" s="1363">
        <f t="shared" si="615"/>
        <v>0</v>
      </c>
      <c r="AN442" s="1364">
        <v>0</v>
      </c>
      <c r="AO442" s="1365">
        <f t="shared" si="616"/>
        <v>0</v>
      </c>
      <c r="AP442" s="1366">
        <v>0</v>
      </c>
      <c r="AQ442" s="1367">
        <f t="shared" si="617"/>
        <v>0</v>
      </c>
      <c r="AR442" s="1368">
        <v>0</v>
      </c>
      <c r="AS442" s="1369">
        <f t="shared" si="618"/>
        <v>0</v>
      </c>
      <c r="AT442" s="1370">
        <v>0</v>
      </c>
      <c r="AU442" s="1371">
        <f t="shared" si="619"/>
        <v>0</v>
      </c>
      <c r="AV442" s="1359">
        <f t="shared" si="620"/>
        <v>0</v>
      </c>
      <c r="AW442" s="1372">
        <f t="shared" si="621"/>
        <v>0</v>
      </c>
      <c r="AX442" s="1373">
        <f t="shared" si="622"/>
        <v>0</v>
      </c>
      <c r="AY442" s="1374">
        <f t="shared" si="623"/>
        <v>0</v>
      </c>
      <c r="AZ442" s="1375">
        <f t="shared" si="624"/>
        <v>0</v>
      </c>
      <c r="BA442" s="1376">
        <f t="shared" si="625"/>
        <v>0</v>
      </c>
      <c r="BB442" s="1391"/>
      <c r="BC442" s="1820"/>
      <c r="BD442" s="1820"/>
      <c r="BE442" s="1823"/>
      <c r="BF442" s="1834"/>
      <c r="BG442" s="1829"/>
    </row>
    <row r="443" spans="1:59" s="1378" customFormat="1" ht="51">
      <c r="A443" s="1347" t="str">
        <f t="shared" si="607"/>
        <v>FronThera US Pharmaceuticals LLC</v>
      </c>
      <c r="B443" s="1348" t="str">
        <f t="shared" si="608"/>
        <v>HUB SD</v>
      </c>
      <c r="C443" s="1348">
        <f t="shared" si="610"/>
        <v>2</v>
      </c>
      <c r="D443" s="1349">
        <f t="shared" si="611"/>
        <v>43132</v>
      </c>
      <c r="E443" s="1349"/>
      <c r="F443" s="1347" t="s">
        <v>72</v>
      </c>
      <c r="G443" s="1347" t="s">
        <v>85</v>
      </c>
      <c r="H443" s="1347" t="s">
        <v>72</v>
      </c>
      <c r="I443" s="1347" t="s">
        <v>72</v>
      </c>
      <c r="J443" s="1349" t="s">
        <v>4670</v>
      </c>
      <c r="K443" s="1349" t="s">
        <v>254</v>
      </c>
      <c r="L443" s="1350" t="s">
        <v>49</v>
      </c>
      <c r="M443" s="1350" t="s">
        <v>4705</v>
      </c>
      <c r="N443" s="1390" t="s">
        <v>4706</v>
      </c>
      <c r="O443" s="1352" t="s">
        <v>4707</v>
      </c>
      <c r="P443" s="1388"/>
      <c r="Q443" s="1354"/>
      <c r="R443" s="1354"/>
      <c r="S443" s="1354"/>
      <c r="T443" s="1354"/>
      <c r="U443" s="1354"/>
      <c r="V443" s="1354"/>
      <c r="W443" s="1354"/>
      <c r="X443" s="1353">
        <f t="shared" si="612"/>
        <v>43132</v>
      </c>
      <c r="Y443" s="1353">
        <f t="shared" si="612"/>
        <v>43466</v>
      </c>
      <c r="Z443" s="1355"/>
      <c r="AA443" s="1355" t="s">
        <v>4674</v>
      </c>
      <c r="AB443" s="1356"/>
      <c r="AC443" s="1356"/>
      <c r="AD443" s="1356"/>
      <c r="AE443" s="1356"/>
      <c r="AF443" s="1357" t="str">
        <f t="shared" si="572"/>
        <v/>
      </c>
      <c r="AG443" s="1380"/>
      <c r="AH443" s="1380"/>
      <c r="AI443" s="1381">
        <v>0</v>
      </c>
      <c r="AJ443" s="1382">
        <f t="shared" si="613"/>
        <v>0</v>
      </c>
      <c r="AK443" s="1383">
        <f t="shared" si="626"/>
        <v>0</v>
      </c>
      <c r="AL443" s="1384">
        <v>0</v>
      </c>
      <c r="AM443" s="1363">
        <f t="shared" si="615"/>
        <v>0</v>
      </c>
      <c r="AN443" s="1364">
        <v>0</v>
      </c>
      <c r="AO443" s="1365">
        <f t="shared" si="616"/>
        <v>0</v>
      </c>
      <c r="AP443" s="1366">
        <v>0</v>
      </c>
      <c r="AQ443" s="1367">
        <f t="shared" si="617"/>
        <v>0</v>
      </c>
      <c r="AR443" s="1368">
        <v>0</v>
      </c>
      <c r="AS443" s="1369">
        <f t="shared" si="618"/>
        <v>0</v>
      </c>
      <c r="AT443" s="1370">
        <v>0</v>
      </c>
      <c r="AU443" s="1371">
        <f t="shared" si="619"/>
        <v>0</v>
      </c>
      <c r="AV443" s="1359">
        <f t="shared" si="620"/>
        <v>0</v>
      </c>
      <c r="AW443" s="1372">
        <f t="shared" si="621"/>
        <v>0</v>
      </c>
      <c r="AX443" s="1373">
        <f t="shared" si="622"/>
        <v>0</v>
      </c>
      <c r="AY443" s="1374">
        <f t="shared" si="623"/>
        <v>0</v>
      </c>
      <c r="AZ443" s="1375">
        <f t="shared" si="624"/>
        <v>0</v>
      </c>
      <c r="BA443" s="1376">
        <f t="shared" si="625"/>
        <v>0</v>
      </c>
      <c r="BB443" s="1391"/>
      <c r="BC443" s="1820"/>
      <c r="BD443" s="1820"/>
      <c r="BE443" s="1823"/>
      <c r="BF443" s="1834"/>
      <c r="BG443" s="1829"/>
    </row>
    <row r="444" spans="1:59" s="1378" customFormat="1" ht="51">
      <c r="A444" s="1347" t="str">
        <f t="shared" si="607"/>
        <v>FronThera US Pharmaceuticals LLC</v>
      </c>
      <c r="B444" s="1348" t="str">
        <f t="shared" si="608"/>
        <v>HUB SD</v>
      </c>
      <c r="C444" s="1348">
        <f t="shared" si="610"/>
        <v>2</v>
      </c>
      <c r="D444" s="1349">
        <f t="shared" si="611"/>
        <v>43132</v>
      </c>
      <c r="E444" s="1349"/>
      <c r="F444" s="1347" t="s">
        <v>72</v>
      </c>
      <c r="G444" s="1347" t="s">
        <v>85</v>
      </c>
      <c r="H444" s="1347" t="s">
        <v>72</v>
      </c>
      <c r="I444" s="1347" t="s">
        <v>72</v>
      </c>
      <c r="J444" s="1349" t="s">
        <v>4670</v>
      </c>
      <c r="K444" s="1349" t="s">
        <v>254</v>
      </c>
      <c r="L444" s="1350" t="s">
        <v>3056</v>
      </c>
      <c r="M444" s="1350" t="s">
        <v>4708</v>
      </c>
      <c r="N444" s="1390" t="s">
        <v>4709</v>
      </c>
      <c r="O444" s="1352" t="s">
        <v>4710</v>
      </c>
      <c r="P444" s="1388"/>
      <c r="Q444" s="1354"/>
      <c r="R444" s="1354"/>
      <c r="S444" s="1354"/>
      <c r="T444" s="1354"/>
      <c r="U444" s="1354"/>
      <c r="V444" s="1354"/>
      <c r="W444" s="1354"/>
      <c r="X444" s="1353">
        <f t="shared" si="612"/>
        <v>43132</v>
      </c>
      <c r="Y444" s="1353">
        <f t="shared" si="612"/>
        <v>43466</v>
      </c>
      <c r="Z444" s="1355"/>
      <c r="AA444" s="1355" t="s">
        <v>4674</v>
      </c>
      <c r="AB444" s="1356"/>
      <c r="AC444" s="1356"/>
      <c r="AD444" s="1356"/>
      <c r="AE444" s="1356"/>
      <c r="AF444" s="1357" t="str">
        <f t="shared" si="572"/>
        <v/>
      </c>
      <c r="AG444" s="1380"/>
      <c r="AH444" s="1380"/>
      <c r="AI444" s="1381">
        <v>0</v>
      </c>
      <c r="AJ444" s="1382">
        <f t="shared" si="613"/>
        <v>0</v>
      </c>
      <c r="AK444" s="1383">
        <f t="shared" si="626"/>
        <v>0</v>
      </c>
      <c r="AL444" s="1384">
        <v>0</v>
      </c>
      <c r="AM444" s="1363">
        <f t="shared" si="615"/>
        <v>0</v>
      </c>
      <c r="AN444" s="1364">
        <v>0</v>
      </c>
      <c r="AO444" s="1365">
        <f t="shared" si="616"/>
        <v>0</v>
      </c>
      <c r="AP444" s="1366">
        <v>0</v>
      </c>
      <c r="AQ444" s="1367">
        <f t="shared" si="617"/>
        <v>0</v>
      </c>
      <c r="AR444" s="1368">
        <v>0</v>
      </c>
      <c r="AS444" s="1369">
        <f t="shared" si="618"/>
        <v>0</v>
      </c>
      <c r="AT444" s="1370">
        <v>0</v>
      </c>
      <c r="AU444" s="1371">
        <f t="shared" si="619"/>
        <v>0</v>
      </c>
      <c r="AV444" s="1359">
        <f t="shared" si="620"/>
        <v>0</v>
      </c>
      <c r="AW444" s="1372">
        <f t="shared" si="621"/>
        <v>0</v>
      </c>
      <c r="AX444" s="1373">
        <f t="shared" si="622"/>
        <v>0</v>
      </c>
      <c r="AY444" s="1374">
        <f t="shared" si="623"/>
        <v>0</v>
      </c>
      <c r="AZ444" s="1375">
        <f t="shared" si="624"/>
        <v>0</v>
      </c>
      <c r="BA444" s="1376">
        <f t="shared" si="625"/>
        <v>0</v>
      </c>
      <c r="BB444" s="1391"/>
      <c r="BC444" s="1821"/>
      <c r="BD444" s="1821"/>
      <c r="BE444" s="1824"/>
      <c r="BF444" s="1834"/>
      <c r="BG444" s="1830"/>
    </row>
    <row r="445" spans="1:59" s="1315" customFormat="1" ht="57" customHeight="1">
      <c r="A445" s="1277" t="str">
        <f>L445</f>
        <v>GIMDx, Inc.</v>
      </c>
      <c r="B445" s="1316" t="str">
        <f>N445</f>
        <v>HUB SD</v>
      </c>
      <c r="C445" s="1316">
        <f>Z445</f>
        <v>10</v>
      </c>
      <c r="D445" s="1317">
        <v>43101</v>
      </c>
      <c r="E445" s="1317"/>
      <c r="F445" s="1277" t="s">
        <v>72</v>
      </c>
      <c r="G445" s="1277" t="s">
        <v>72</v>
      </c>
      <c r="H445" s="1277" t="s">
        <v>72</v>
      </c>
      <c r="I445" s="1277" t="s">
        <v>4711</v>
      </c>
      <c r="J445" s="1317"/>
      <c r="K445" s="1317"/>
      <c r="L445" s="1318" t="s">
        <v>392</v>
      </c>
      <c r="M445" s="1319"/>
      <c r="N445" s="1320" t="s">
        <v>4661</v>
      </c>
      <c r="O445" s="1321" t="s">
        <v>2473</v>
      </c>
      <c r="P445" s="1321"/>
      <c r="Q445" s="1322"/>
      <c r="R445" s="1322"/>
      <c r="S445" s="1322"/>
      <c r="T445" s="1322"/>
      <c r="U445" s="1322"/>
      <c r="V445" s="1322"/>
      <c r="W445" s="1322"/>
      <c r="X445" s="1317">
        <v>43101</v>
      </c>
      <c r="Y445" s="1317">
        <v>43466</v>
      </c>
      <c r="Z445" s="1316">
        <v>10</v>
      </c>
      <c r="AA445" s="1316" t="s">
        <v>5049</v>
      </c>
      <c r="AB445" s="1323">
        <f>SUM(AB446:AB454)</f>
        <v>0</v>
      </c>
      <c r="AC445" s="1323">
        <f>SUM(AC446:AC454)</f>
        <v>0</v>
      </c>
      <c r="AD445" s="1323">
        <f>SUM(AD446:AD454)</f>
        <v>0</v>
      </c>
      <c r="AE445" s="1324">
        <f t="shared" ref="AE445" si="627">AD445-AB445</f>
        <v>0</v>
      </c>
      <c r="AF445" s="1325" t="str">
        <f t="shared" si="572"/>
        <v/>
      </c>
      <c r="AG445" s="1326">
        <f t="shared" si="543"/>
        <v>8209.0399999999991</v>
      </c>
      <c r="AH445" s="1326">
        <f>SUM(AH446:AH454)</f>
        <v>98508.479999999996</v>
      </c>
      <c r="AI445" s="1327"/>
      <c r="AJ445" s="1328">
        <f>SUM(AJ446:AJ454)</f>
        <v>669.25200000000007</v>
      </c>
      <c r="AK445" s="1328">
        <f>SUM(AK446:AK454)</f>
        <v>8031.0240000000003</v>
      </c>
      <c r="AL445" s="1329"/>
      <c r="AM445" s="1330">
        <f>SUM(AM446:AM454)</f>
        <v>454.95600000000002</v>
      </c>
      <c r="AN445" s="1331"/>
      <c r="AO445" s="1332">
        <f>SUM(AO446:AO454)</f>
        <v>0</v>
      </c>
      <c r="AP445" s="1333"/>
      <c r="AQ445" s="1334">
        <f>SUM(AQ446:AQ454)</f>
        <v>0</v>
      </c>
      <c r="AR445" s="1335"/>
      <c r="AS445" s="1336">
        <f>SUM(AS446:AS454)</f>
        <v>4241.0303999999996</v>
      </c>
      <c r="AT445" s="1337"/>
      <c r="AU445" s="1338">
        <f>SUM(AU446:AU454)</f>
        <v>2274.7800000000002</v>
      </c>
      <c r="AV445" s="1339"/>
      <c r="AW445" s="1340">
        <f>SUM(AW446:AW454)</f>
        <v>1060.2575999999995</v>
      </c>
      <c r="AX445" s="1306"/>
      <c r="AY445" s="1307">
        <f>SUM(AW445+AS445+AU445)</f>
        <v>7576.0679999999993</v>
      </c>
      <c r="AZ445" s="1341"/>
      <c r="BA445" s="1309">
        <f>SUM(AY445+AQ445)</f>
        <v>7576.0679999999993</v>
      </c>
      <c r="BB445" s="1342">
        <f>(AW445+AU445)/(AK445-AM445)</f>
        <v>0.44020692528102962</v>
      </c>
      <c r="BC445" s="1343"/>
      <c r="BD445" s="1343"/>
      <c r="BE445" s="1344"/>
      <c r="BF445" s="1345" t="s">
        <v>5050</v>
      </c>
      <c r="BG445" s="1346"/>
    </row>
    <row r="446" spans="1:59" s="1378" customFormat="1" ht="66" customHeight="1">
      <c r="A446" s="1347" t="str">
        <f>L445</f>
        <v>GIMDx, Inc.</v>
      </c>
      <c r="B446" s="1348" t="str">
        <f>N445</f>
        <v>HUB SD</v>
      </c>
      <c r="C446" s="1348">
        <f>Z445</f>
        <v>10</v>
      </c>
      <c r="D446" s="1349">
        <v>43101</v>
      </c>
      <c r="E446" s="1349"/>
      <c r="F446" s="1347" t="s">
        <v>85</v>
      </c>
      <c r="G446" s="1347" t="s">
        <v>85</v>
      </c>
      <c r="H446" s="1347" t="s">
        <v>85</v>
      </c>
      <c r="I446" s="1347" t="s">
        <v>113</v>
      </c>
      <c r="J446" s="1349"/>
      <c r="K446" s="1349" t="s">
        <v>254</v>
      </c>
      <c r="L446" s="1350" t="s">
        <v>2661</v>
      </c>
      <c r="M446" s="1350" t="s">
        <v>3647</v>
      </c>
      <c r="N446" s="1351" t="s">
        <v>5051</v>
      </c>
      <c r="O446" s="1352" t="s">
        <v>5052</v>
      </c>
      <c r="P446" s="1352" t="s">
        <v>4797</v>
      </c>
      <c r="Q446" s="1353" t="s">
        <v>317</v>
      </c>
      <c r="R446" s="1353" t="s">
        <v>3656</v>
      </c>
      <c r="S446" s="1353" t="s">
        <v>307</v>
      </c>
      <c r="T446" s="1353" t="s">
        <v>113</v>
      </c>
      <c r="U446" s="1354"/>
      <c r="V446" s="1354"/>
      <c r="W446" s="1354"/>
      <c r="X446" s="1353">
        <v>43101</v>
      </c>
      <c r="Y446" s="1353">
        <v>43466</v>
      </c>
      <c r="Z446" s="1355"/>
      <c r="AA446" s="1355" t="s">
        <v>4667</v>
      </c>
      <c r="AB446" s="1356"/>
      <c r="AC446" s="1356"/>
      <c r="AD446" s="1356"/>
      <c r="AE446" s="1356"/>
      <c r="AF446" s="1357"/>
      <c r="AG446" s="1358">
        <f t="shared" si="543"/>
        <v>7582.5999999999995</v>
      </c>
      <c r="AH446" s="1358">
        <v>90991.2</v>
      </c>
      <c r="AI446" s="1359">
        <v>0.08</v>
      </c>
      <c r="AJ446" s="1360">
        <f>$AI446*$AG446</f>
        <v>606.60799999999995</v>
      </c>
      <c r="AK446" s="1361">
        <f t="shared" ref="AK446:AK454" si="628">AI446*$AH446</f>
        <v>7279.2960000000003</v>
      </c>
      <c r="AL446" s="1362">
        <v>5.0000000000000001E-3</v>
      </c>
      <c r="AM446" s="1363">
        <f t="shared" ref="AM446:AM454" si="629">AL446*$AH446</f>
        <v>454.95600000000002</v>
      </c>
      <c r="AN446" s="1364">
        <v>0</v>
      </c>
      <c r="AO446" s="1365">
        <f t="shared" ref="AO446:AO454" si="630">AN446*$AH446</f>
        <v>0</v>
      </c>
      <c r="AP446" s="1366">
        <v>0</v>
      </c>
      <c r="AQ446" s="1367">
        <f t="shared" ref="AQ446:AQ454" si="631">AP446*$AH446</f>
        <v>0</v>
      </c>
      <c r="AR446" s="1368">
        <v>0.04</v>
      </c>
      <c r="AS446" s="1369">
        <f t="shared" ref="AS446:AS454" si="632">AR446*$AH446</f>
        <v>3639.6480000000001</v>
      </c>
      <c r="AT446" s="1370">
        <v>2.5000000000000001E-2</v>
      </c>
      <c r="AU446" s="1371">
        <f t="shared" ref="AU446:AU454" si="633">AT446*$AH446</f>
        <v>2274.7800000000002</v>
      </c>
      <c r="AV446" s="1359">
        <f t="shared" ref="AV446:AV454" si="634">AZ446-AR446-AT446-AP446</f>
        <v>9.999999999999995E-3</v>
      </c>
      <c r="AW446" s="1372">
        <f t="shared" ref="AW446:AW454" si="635">AV446*$AH446</f>
        <v>909.91199999999947</v>
      </c>
      <c r="AX446" s="1373">
        <f t="shared" ref="AX446:AX454" si="636">$AZ446-$AP446</f>
        <v>7.4999999999999997E-2</v>
      </c>
      <c r="AY446" s="1374">
        <f t="shared" ref="AY446:AY454" si="637">AX446*$AH446</f>
        <v>6824.3399999999992</v>
      </c>
      <c r="AZ446" s="1375">
        <f t="shared" ref="AZ446:AZ454" si="638">$AI446-$AL446-$AN446</f>
        <v>7.4999999999999997E-2</v>
      </c>
      <c r="BA446" s="1376">
        <f t="shared" ref="BA446:BA454" si="639">AZ446*$AH446</f>
        <v>6824.3399999999992</v>
      </c>
      <c r="BB446" s="1377"/>
      <c r="BC446" s="1847" t="s">
        <v>397</v>
      </c>
      <c r="BD446" s="1819" t="s">
        <v>398</v>
      </c>
      <c r="BE446" s="1831" t="s">
        <v>398</v>
      </c>
      <c r="BF446" s="1853" t="s">
        <v>3657</v>
      </c>
      <c r="BG446" s="1850">
        <v>465602509</v>
      </c>
    </row>
    <row r="447" spans="1:59" s="1378" customFormat="1" ht="25.5">
      <c r="A447" s="1347" t="str">
        <f>L445</f>
        <v>GIMDx, Inc.</v>
      </c>
      <c r="B447" s="1348" t="str">
        <f>N445</f>
        <v>HUB SD</v>
      </c>
      <c r="C447" s="1348">
        <f>Z445</f>
        <v>10</v>
      </c>
      <c r="D447" s="1349">
        <v>43101</v>
      </c>
      <c r="E447" s="1349"/>
      <c r="F447" s="1347" t="s">
        <v>72</v>
      </c>
      <c r="G447" s="1347" t="s">
        <v>85</v>
      </c>
      <c r="H447" s="1347" t="s">
        <v>72</v>
      </c>
      <c r="I447" s="1347" t="s">
        <v>72</v>
      </c>
      <c r="J447" s="1349" t="s">
        <v>4670</v>
      </c>
      <c r="K447" s="1349" t="s">
        <v>254</v>
      </c>
      <c r="L447" s="1350" t="s">
        <v>4671</v>
      </c>
      <c r="M447" s="1350" t="s">
        <v>3649</v>
      </c>
      <c r="N447" s="1379" t="s">
        <v>4820</v>
      </c>
      <c r="O447" s="1352" t="s">
        <v>5053</v>
      </c>
      <c r="P447" s="1388"/>
      <c r="Q447" s="1354"/>
      <c r="R447" s="1354"/>
      <c r="S447" s="1354"/>
      <c r="T447" s="1354"/>
      <c r="U447" s="1354"/>
      <c r="V447" s="1354"/>
      <c r="W447" s="1354"/>
      <c r="X447" s="1353">
        <v>43101</v>
      </c>
      <c r="Y447" s="1353">
        <v>43466</v>
      </c>
      <c r="Z447" s="1355"/>
      <c r="AA447" s="1355" t="s">
        <v>4674</v>
      </c>
      <c r="AB447" s="1356"/>
      <c r="AC447" s="1356"/>
      <c r="AD447" s="1356"/>
      <c r="AE447" s="1356"/>
      <c r="AF447" s="1357"/>
      <c r="AG447" s="1380"/>
      <c r="AH447" s="1380"/>
      <c r="AI447" s="1381">
        <v>0</v>
      </c>
      <c r="AJ447" s="1382">
        <f>$AI447*$AG447</f>
        <v>0</v>
      </c>
      <c r="AK447" s="1383">
        <f t="shared" si="628"/>
        <v>0</v>
      </c>
      <c r="AL447" s="1384">
        <v>0</v>
      </c>
      <c r="AM447" s="1363">
        <f t="shared" si="629"/>
        <v>0</v>
      </c>
      <c r="AN447" s="1364">
        <v>0</v>
      </c>
      <c r="AO447" s="1365">
        <f t="shared" si="630"/>
        <v>0</v>
      </c>
      <c r="AP447" s="1366">
        <v>0</v>
      </c>
      <c r="AQ447" s="1367">
        <f t="shared" si="631"/>
        <v>0</v>
      </c>
      <c r="AR447" s="1368">
        <v>0</v>
      </c>
      <c r="AS447" s="1369">
        <f t="shared" si="632"/>
        <v>0</v>
      </c>
      <c r="AT447" s="1370">
        <v>0</v>
      </c>
      <c r="AU447" s="1371">
        <f t="shared" si="633"/>
        <v>0</v>
      </c>
      <c r="AV447" s="1359">
        <f t="shared" si="634"/>
        <v>0</v>
      </c>
      <c r="AW447" s="1372">
        <f t="shared" si="635"/>
        <v>0</v>
      </c>
      <c r="AX447" s="1373">
        <f t="shared" si="636"/>
        <v>0</v>
      </c>
      <c r="AY447" s="1374">
        <f t="shared" si="637"/>
        <v>0</v>
      </c>
      <c r="AZ447" s="1375">
        <f t="shared" si="638"/>
        <v>0</v>
      </c>
      <c r="BA447" s="1376">
        <f t="shared" si="639"/>
        <v>0</v>
      </c>
      <c r="BB447" s="1377"/>
      <c r="BC447" s="1848"/>
      <c r="BD447" s="1820"/>
      <c r="BE447" s="1832"/>
      <c r="BF447" s="1854"/>
      <c r="BG447" s="1851"/>
    </row>
    <row r="448" spans="1:59" s="1378" customFormat="1" ht="38.25" customHeight="1">
      <c r="A448" s="1347" t="str">
        <f>L445</f>
        <v>GIMDx, Inc.</v>
      </c>
      <c r="B448" s="1348" t="str">
        <f>N445</f>
        <v>HUB SD</v>
      </c>
      <c r="C448" s="1348">
        <f>Z445</f>
        <v>10</v>
      </c>
      <c r="D448" s="1349">
        <v>43101</v>
      </c>
      <c r="E448" s="1349"/>
      <c r="F448" s="1347" t="s">
        <v>113</v>
      </c>
      <c r="G448" s="1347" t="s">
        <v>85</v>
      </c>
      <c r="H448" s="1347" t="s">
        <v>85</v>
      </c>
      <c r="I448" s="1347" t="s">
        <v>113</v>
      </c>
      <c r="J448" s="1349"/>
      <c r="K448" s="1349" t="s">
        <v>254</v>
      </c>
      <c r="L448" s="1350" t="s">
        <v>4675</v>
      </c>
      <c r="M448" s="1350" t="s">
        <v>3650</v>
      </c>
      <c r="N448" s="1385" t="s">
        <v>5054</v>
      </c>
      <c r="O448" s="1352" t="s">
        <v>4677</v>
      </c>
      <c r="P448" s="1388"/>
      <c r="Q448" s="1354"/>
      <c r="R448" s="1354"/>
      <c r="S448" s="1354"/>
      <c r="T448" s="1354"/>
      <c r="U448" s="1353" t="s">
        <v>4678</v>
      </c>
      <c r="V448" s="1353" t="s">
        <v>2497</v>
      </c>
      <c r="W448" s="1354"/>
      <c r="X448" s="1353">
        <v>43101</v>
      </c>
      <c r="Y448" s="1353">
        <v>43466</v>
      </c>
      <c r="Z448" s="1355"/>
      <c r="AA448" s="1355" t="s">
        <v>4679</v>
      </c>
      <c r="AB448" s="1356"/>
      <c r="AC448" s="1356"/>
      <c r="AD448" s="1356"/>
      <c r="AE448" s="1356"/>
      <c r="AF448" s="1357"/>
      <c r="AG448" s="1358">
        <f t="shared" si="543"/>
        <v>516.80000000000007</v>
      </c>
      <c r="AH448" s="1358">
        <v>6201.6</v>
      </c>
      <c r="AI448" s="1359">
        <v>0.1</v>
      </c>
      <c r="AJ448" s="1360">
        <f>$AI448*$AG448</f>
        <v>51.680000000000007</v>
      </c>
      <c r="AK448" s="1361">
        <f t="shared" si="628"/>
        <v>620.16000000000008</v>
      </c>
      <c r="AL448" s="1384">
        <v>0</v>
      </c>
      <c r="AM448" s="1363">
        <f t="shared" si="629"/>
        <v>0</v>
      </c>
      <c r="AN448" s="1364">
        <v>0</v>
      </c>
      <c r="AO448" s="1365">
        <f t="shared" si="630"/>
        <v>0</v>
      </c>
      <c r="AP448" s="1366">
        <v>0</v>
      </c>
      <c r="AQ448" s="1367">
        <f t="shared" si="631"/>
        <v>0</v>
      </c>
      <c r="AR448" s="1368">
        <v>0.08</v>
      </c>
      <c r="AS448" s="1369">
        <f t="shared" si="632"/>
        <v>496.12800000000004</v>
      </c>
      <c r="AT448" s="1370">
        <v>0</v>
      </c>
      <c r="AU448" s="1371">
        <f t="shared" si="633"/>
        <v>0</v>
      </c>
      <c r="AV448" s="1359">
        <f t="shared" si="634"/>
        <v>2.0000000000000004E-2</v>
      </c>
      <c r="AW448" s="1372">
        <f t="shared" si="635"/>
        <v>124.03200000000002</v>
      </c>
      <c r="AX448" s="1373">
        <f t="shared" si="636"/>
        <v>0.1</v>
      </c>
      <c r="AY448" s="1374">
        <f t="shared" si="637"/>
        <v>620.16000000000008</v>
      </c>
      <c r="AZ448" s="1375">
        <f t="shared" si="638"/>
        <v>0.1</v>
      </c>
      <c r="BA448" s="1376">
        <f t="shared" si="639"/>
        <v>620.16000000000008</v>
      </c>
      <c r="BB448" s="1377"/>
      <c r="BC448" s="1848"/>
      <c r="BD448" s="1820"/>
      <c r="BE448" s="1832"/>
      <c r="BF448" s="1854"/>
      <c r="BG448" s="1851"/>
    </row>
    <row r="449" spans="1:59" s="1378" customFormat="1" ht="38.25" customHeight="1">
      <c r="A449" s="1347" t="str">
        <f>L445</f>
        <v>GIMDx, Inc.</v>
      </c>
      <c r="B449" s="1348" t="str">
        <f>N445</f>
        <v>HUB SD</v>
      </c>
      <c r="C449" s="1348">
        <f>Z445</f>
        <v>10</v>
      </c>
      <c r="D449" s="1349">
        <v>43101</v>
      </c>
      <c r="E449" s="1349"/>
      <c r="F449" s="1347" t="s">
        <v>113</v>
      </c>
      <c r="G449" s="1347" t="s">
        <v>85</v>
      </c>
      <c r="H449" s="1347" t="s">
        <v>85</v>
      </c>
      <c r="I449" s="1347" t="s">
        <v>113</v>
      </c>
      <c r="J449" s="1349"/>
      <c r="K449" s="1349" t="s">
        <v>254</v>
      </c>
      <c r="L449" s="1350" t="s">
        <v>4675</v>
      </c>
      <c r="M449" s="1350" t="s">
        <v>3651</v>
      </c>
      <c r="N449" s="1351" t="s">
        <v>5007</v>
      </c>
      <c r="O449" s="1352" t="s">
        <v>4681</v>
      </c>
      <c r="P449" s="1388"/>
      <c r="Q449" s="1354"/>
      <c r="R449" s="1354"/>
      <c r="S449" s="1354"/>
      <c r="T449" s="1354"/>
      <c r="U449" s="1354"/>
      <c r="V449" s="1354"/>
      <c r="W449" s="1353" t="s">
        <v>2492</v>
      </c>
      <c r="X449" s="1353">
        <v>43101</v>
      </c>
      <c r="Y449" s="1353">
        <v>43466</v>
      </c>
      <c r="Z449" s="1355"/>
      <c r="AA449" s="1355" t="s">
        <v>4679</v>
      </c>
      <c r="AB449" s="1356"/>
      <c r="AC449" s="1356"/>
      <c r="AD449" s="1356"/>
      <c r="AE449" s="1356"/>
      <c r="AF449" s="1357"/>
      <c r="AG449" s="1358">
        <f t="shared" si="543"/>
        <v>109.64</v>
      </c>
      <c r="AH449" s="1358">
        <v>1315.68</v>
      </c>
      <c r="AI449" s="1359">
        <v>0.1</v>
      </c>
      <c r="AJ449" s="1360">
        <f>$AI449*$AG449</f>
        <v>10.964</v>
      </c>
      <c r="AK449" s="1361">
        <f t="shared" si="628"/>
        <v>131.56800000000001</v>
      </c>
      <c r="AL449" s="1384">
        <v>0</v>
      </c>
      <c r="AM449" s="1363">
        <f t="shared" si="629"/>
        <v>0</v>
      </c>
      <c r="AN449" s="1364">
        <v>0</v>
      </c>
      <c r="AO449" s="1365">
        <f t="shared" si="630"/>
        <v>0</v>
      </c>
      <c r="AP449" s="1366">
        <v>0</v>
      </c>
      <c r="AQ449" s="1367">
        <f t="shared" si="631"/>
        <v>0</v>
      </c>
      <c r="AR449" s="1368">
        <v>0.08</v>
      </c>
      <c r="AS449" s="1369">
        <f t="shared" si="632"/>
        <v>105.2544</v>
      </c>
      <c r="AT449" s="1370">
        <v>0</v>
      </c>
      <c r="AU449" s="1371">
        <f t="shared" si="633"/>
        <v>0</v>
      </c>
      <c r="AV449" s="1359">
        <f t="shared" si="634"/>
        <v>2.0000000000000004E-2</v>
      </c>
      <c r="AW449" s="1372">
        <f t="shared" si="635"/>
        <v>26.313600000000008</v>
      </c>
      <c r="AX449" s="1373">
        <f t="shared" si="636"/>
        <v>0.1</v>
      </c>
      <c r="AY449" s="1374">
        <f t="shared" si="637"/>
        <v>131.56800000000001</v>
      </c>
      <c r="AZ449" s="1375">
        <f t="shared" si="638"/>
        <v>0.1</v>
      </c>
      <c r="BA449" s="1376">
        <f t="shared" si="639"/>
        <v>131.56800000000001</v>
      </c>
      <c r="BB449" s="1377"/>
      <c r="BC449" s="1848"/>
      <c r="BD449" s="1820"/>
      <c r="BE449" s="1832"/>
      <c r="BF449" s="1854"/>
      <c r="BG449" s="1851"/>
    </row>
    <row r="450" spans="1:59" s="1378" customFormat="1" ht="27.75" customHeight="1">
      <c r="A450" s="1347" t="s">
        <v>392</v>
      </c>
      <c r="B450" s="1348" t="s">
        <v>4661</v>
      </c>
      <c r="C450" s="1348">
        <v>10</v>
      </c>
      <c r="D450" s="1349">
        <v>43101</v>
      </c>
      <c r="E450" s="1349"/>
      <c r="F450" s="1347" t="s">
        <v>72</v>
      </c>
      <c r="G450" s="1347" t="s">
        <v>85</v>
      </c>
      <c r="H450" s="1347" t="s">
        <v>72</v>
      </c>
      <c r="I450" s="1347" t="s">
        <v>72</v>
      </c>
      <c r="J450" s="1349" t="s">
        <v>4670</v>
      </c>
      <c r="K450" s="1349" t="s">
        <v>254</v>
      </c>
      <c r="L450" s="1350" t="s">
        <v>4696</v>
      </c>
      <c r="M450" s="1350" t="s">
        <v>4697</v>
      </c>
      <c r="N450" s="1389" t="s">
        <v>4698</v>
      </c>
      <c r="O450" s="1352" t="s">
        <v>4699</v>
      </c>
      <c r="P450" s="1388"/>
      <c r="Q450" s="1354"/>
      <c r="R450" s="1354"/>
      <c r="S450" s="1354"/>
      <c r="T450" s="1354"/>
      <c r="U450" s="1354"/>
      <c r="V450" s="1354"/>
      <c r="W450" s="1354"/>
      <c r="X450" s="1353">
        <v>43101</v>
      </c>
      <c r="Y450" s="1353">
        <v>43466</v>
      </c>
      <c r="Z450" s="1355"/>
      <c r="AA450" s="1355" t="s">
        <v>4674</v>
      </c>
      <c r="AB450" s="1356"/>
      <c r="AC450" s="1356"/>
      <c r="AD450" s="1356"/>
      <c r="AE450" s="1356"/>
      <c r="AF450" s="1357" t="str">
        <f t="shared" ref="AF450" si="640">IFERROR((AE450/AB450),"")</f>
        <v/>
      </c>
      <c r="AG450" s="1380"/>
      <c r="AH450" s="1380"/>
      <c r="AI450" s="1381">
        <v>0</v>
      </c>
      <c r="AJ450" s="1382">
        <f>$AI450*$AG450</f>
        <v>0</v>
      </c>
      <c r="AK450" s="1383">
        <f t="shared" si="628"/>
        <v>0</v>
      </c>
      <c r="AL450" s="1384">
        <v>0</v>
      </c>
      <c r="AM450" s="1363">
        <f t="shared" si="629"/>
        <v>0</v>
      </c>
      <c r="AN450" s="1364">
        <v>0</v>
      </c>
      <c r="AO450" s="1365">
        <f t="shared" si="630"/>
        <v>0</v>
      </c>
      <c r="AP450" s="1366">
        <v>0</v>
      </c>
      <c r="AQ450" s="1367">
        <f t="shared" si="631"/>
        <v>0</v>
      </c>
      <c r="AR450" s="1368">
        <v>0</v>
      </c>
      <c r="AS450" s="1369">
        <f t="shared" si="632"/>
        <v>0</v>
      </c>
      <c r="AT450" s="1370">
        <v>0</v>
      </c>
      <c r="AU450" s="1371">
        <f t="shared" si="633"/>
        <v>0</v>
      </c>
      <c r="AV450" s="1359">
        <f t="shared" si="634"/>
        <v>0</v>
      </c>
      <c r="AW450" s="1372">
        <f t="shared" si="635"/>
        <v>0</v>
      </c>
      <c r="AX450" s="1373">
        <f t="shared" si="636"/>
        <v>0</v>
      </c>
      <c r="AY450" s="1374">
        <f t="shared" si="637"/>
        <v>0</v>
      </c>
      <c r="AZ450" s="1375">
        <f t="shared" si="638"/>
        <v>0</v>
      </c>
      <c r="BA450" s="1376">
        <f t="shared" si="639"/>
        <v>0</v>
      </c>
      <c r="BB450" s="1377"/>
      <c r="BC450" s="1848"/>
      <c r="BD450" s="1820"/>
      <c r="BE450" s="1832"/>
      <c r="BF450" s="1854"/>
      <c r="BG450" s="1851"/>
    </row>
    <row r="451" spans="1:59" s="1378" customFormat="1" ht="38.25">
      <c r="A451" s="1347" t="str">
        <f>L445</f>
        <v>GIMDx, Inc.</v>
      </c>
      <c r="B451" s="1348" t="str">
        <f>N445</f>
        <v>HUB SD</v>
      </c>
      <c r="C451" s="1348">
        <f>Z445</f>
        <v>10</v>
      </c>
      <c r="D451" s="1349">
        <v>43101</v>
      </c>
      <c r="E451" s="1349"/>
      <c r="F451" s="1347" t="s">
        <v>72</v>
      </c>
      <c r="G451" s="1347" t="s">
        <v>113</v>
      </c>
      <c r="H451" s="1347" t="s">
        <v>72</v>
      </c>
      <c r="I451" s="1347" t="s">
        <v>72</v>
      </c>
      <c r="J451" s="1349" t="s">
        <v>4670</v>
      </c>
      <c r="K451" s="1349" t="s">
        <v>254</v>
      </c>
      <c r="L451" s="1397" t="s">
        <v>111</v>
      </c>
      <c r="M451" s="1397" t="s">
        <v>3652</v>
      </c>
      <c r="N451" s="1412" t="s">
        <v>4701</v>
      </c>
      <c r="O451" s="1399" t="s">
        <v>5055</v>
      </c>
      <c r="P451" s="1399"/>
      <c r="Q451" s="1400"/>
      <c r="R451" s="1400"/>
      <c r="S451" s="1400"/>
      <c r="T451" s="1400"/>
      <c r="U451" s="1400"/>
      <c r="V451" s="1400"/>
      <c r="W451" s="1400"/>
      <c r="X451" s="1400">
        <v>43101</v>
      </c>
      <c r="Y451" s="1400">
        <v>43466</v>
      </c>
      <c r="Z451" s="1401"/>
      <c r="AA451" s="1401" t="s">
        <v>4738</v>
      </c>
      <c r="AB451" s="1369"/>
      <c r="AC451" s="1369"/>
      <c r="AD451" s="1369"/>
      <c r="AE451" s="1369"/>
      <c r="AF451" s="1403" t="str">
        <f t="shared" si="572"/>
        <v/>
      </c>
      <c r="AG451" s="1404"/>
      <c r="AH451" s="1358"/>
      <c r="AI451" s="1405">
        <v>0</v>
      </c>
      <c r="AJ451" s="1406">
        <v>0</v>
      </c>
      <c r="AK451" s="1406">
        <v>0</v>
      </c>
      <c r="AL451" s="1384">
        <v>0</v>
      </c>
      <c r="AM451" s="1363">
        <f t="shared" si="629"/>
        <v>0</v>
      </c>
      <c r="AN451" s="1364">
        <v>0</v>
      </c>
      <c r="AO451" s="1365">
        <f t="shared" si="630"/>
        <v>0</v>
      </c>
      <c r="AP451" s="1366">
        <v>0</v>
      </c>
      <c r="AQ451" s="1367">
        <f t="shared" si="631"/>
        <v>0</v>
      </c>
      <c r="AR451" s="1368">
        <v>0</v>
      </c>
      <c r="AS451" s="1369">
        <f t="shared" si="632"/>
        <v>0</v>
      </c>
      <c r="AT451" s="1370">
        <v>0</v>
      </c>
      <c r="AU451" s="1371">
        <f t="shared" si="633"/>
        <v>0</v>
      </c>
      <c r="AV451" s="1359">
        <f t="shared" si="634"/>
        <v>0</v>
      </c>
      <c r="AW451" s="1372">
        <f t="shared" si="635"/>
        <v>0</v>
      </c>
      <c r="AX451" s="1373">
        <f t="shared" si="636"/>
        <v>0</v>
      </c>
      <c r="AY451" s="1374">
        <f t="shared" si="637"/>
        <v>0</v>
      </c>
      <c r="AZ451" s="1375">
        <f t="shared" si="638"/>
        <v>0</v>
      </c>
      <c r="BA451" s="1376">
        <f t="shared" si="639"/>
        <v>0</v>
      </c>
      <c r="BB451" s="1377"/>
      <c r="BC451" s="1848"/>
      <c r="BD451" s="1820"/>
      <c r="BE451" s="1832"/>
      <c r="BF451" s="1854"/>
      <c r="BG451" s="1851"/>
    </row>
    <row r="452" spans="1:59" s="1378" customFormat="1" ht="25.5">
      <c r="A452" s="1347" t="str">
        <f>L445</f>
        <v>GIMDx, Inc.</v>
      </c>
      <c r="B452" s="1348" t="str">
        <f>N445</f>
        <v>HUB SD</v>
      </c>
      <c r="C452" s="1348">
        <f>Z445</f>
        <v>10</v>
      </c>
      <c r="D452" s="1349">
        <v>43101</v>
      </c>
      <c r="E452" s="1349"/>
      <c r="F452" s="1347" t="s">
        <v>72</v>
      </c>
      <c r="G452" s="1347" t="s">
        <v>85</v>
      </c>
      <c r="H452" s="1347" t="s">
        <v>72</v>
      </c>
      <c r="I452" s="1347" t="s">
        <v>72</v>
      </c>
      <c r="J452" s="1349" t="s">
        <v>4670</v>
      </c>
      <c r="K452" s="1349" t="s">
        <v>254</v>
      </c>
      <c r="L452" s="1350" t="s">
        <v>48</v>
      </c>
      <c r="M452" s="1350" t="s">
        <v>253</v>
      </c>
      <c r="N452" s="1390" t="s">
        <v>4703</v>
      </c>
      <c r="O452" s="1352" t="s">
        <v>4704</v>
      </c>
      <c r="P452" s="1352"/>
      <c r="Q452" s="1354"/>
      <c r="R452" s="1354"/>
      <c r="S452" s="1354"/>
      <c r="T452" s="1354"/>
      <c r="U452" s="1354"/>
      <c r="V452" s="1354"/>
      <c r="W452" s="1354"/>
      <c r="X452" s="1353">
        <v>43101</v>
      </c>
      <c r="Y452" s="1353">
        <v>43466</v>
      </c>
      <c r="Z452" s="1355"/>
      <c r="AA452" s="1355" t="s">
        <v>4674</v>
      </c>
      <c r="AB452" s="1356"/>
      <c r="AC452" s="1356"/>
      <c r="AD452" s="1356"/>
      <c r="AE452" s="1356"/>
      <c r="AF452" s="1357" t="str">
        <f t="shared" si="572"/>
        <v/>
      </c>
      <c r="AG452" s="1380"/>
      <c r="AH452" s="1380"/>
      <c r="AI452" s="1381">
        <v>0</v>
      </c>
      <c r="AJ452" s="1382">
        <f>$AI452*$AG452</f>
        <v>0</v>
      </c>
      <c r="AK452" s="1383">
        <f t="shared" si="628"/>
        <v>0</v>
      </c>
      <c r="AL452" s="1384">
        <v>0</v>
      </c>
      <c r="AM452" s="1363">
        <f t="shared" si="629"/>
        <v>0</v>
      </c>
      <c r="AN452" s="1364">
        <v>0</v>
      </c>
      <c r="AO452" s="1365">
        <f t="shared" si="630"/>
        <v>0</v>
      </c>
      <c r="AP452" s="1366">
        <v>0</v>
      </c>
      <c r="AQ452" s="1367">
        <f t="shared" si="631"/>
        <v>0</v>
      </c>
      <c r="AR452" s="1368">
        <v>0</v>
      </c>
      <c r="AS452" s="1369">
        <f t="shared" si="632"/>
        <v>0</v>
      </c>
      <c r="AT452" s="1370">
        <v>0</v>
      </c>
      <c r="AU452" s="1371">
        <f t="shared" si="633"/>
        <v>0</v>
      </c>
      <c r="AV452" s="1359">
        <f t="shared" si="634"/>
        <v>0</v>
      </c>
      <c r="AW452" s="1372">
        <f t="shared" si="635"/>
        <v>0</v>
      </c>
      <c r="AX452" s="1373">
        <f t="shared" si="636"/>
        <v>0</v>
      </c>
      <c r="AY452" s="1374">
        <f t="shared" si="637"/>
        <v>0</v>
      </c>
      <c r="AZ452" s="1375">
        <f t="shared" si="638"/>
        <v>0</v>
      </c>
      <c r="BA452" s="1376">
        <f t="shared" si="639"/>
        <v>0</v>
      </c>
      <c r="BB452" s="1377"/>
      <c r="BC452" s="1848"/>
      <c r="BD452" s="1820"/>
      <c r="BE452" s="1832"/>
      <c r="BF452" s="1854"/>
      <c r="BG452" s="1851"/>
    </row>
    <row r="453" spans="1:59" s="1378" customFormat="1" ht="25.5" customHeight="1">
      <c r="A453" s="1347" t="str">
        <f t="shared" ref="A453:C454" si="641">A452</f>
        <v>GIMDx, Inc.</v>
      </c>
      <c r="B453" s="1348" t="str">
        <f t="shared" si="641"/>
        <v>HUB SD</v>
      </c>
      <c r="C453" s="1348">
        <f t="shared" si="641"/>
        <v>10</v>
      </c>
      <c r="D453" s="1349">
        <v>43101</v>
      </c>
      <c r="E453" s="1349"/>
      <c r="F453" s="1347" t="s">
        <v>72</v>
      </c>
      <c r="G453" s="1347" t="s">
        <v>85</v>
      </c>
      <c r="H453" s="1347" t="s">
        <v>72</v>
      </c>
      <c r="I453" s="1347" t="s">
        <v>72</v>
      </c>
      <c r="J453" s="1349" t="s">
        <v>4670</v>
      </c>
      <c r="K453" s="1349" t="s">
        <v>254</v>
      </c>
      <c r="L453" s="1350" t="s">
        <v>49</v>
      </c>
      <c r="M453" s="1350" t="s">
        <v>4705</v>
      </c>
      <c r="N453" s="1390" t="s">
        <v>4706</v>
      </c>
      <c r="O453" s="1352" t="s">
        <v>4707</v>
      </c>
      <c r="P453" s="1352"/>
      <c r="Q453" s="1354"/>
      <c r="R453" s="1354"/>
      <c r="S453" s="1354"/>
      <c r="T453" s="1354"/>
      <c r="U453" s="1354"/>
      <c r="V453" s="1354"/>
      <c r="W453" s="1354"/>
      <c r="X453" s="1353">
        <v>43101</v>
      </c>
      <c r="Y453" s="1353">
        <v>43466</v>
      </c>
      <c r="Z453" s="1355"/>
      <c r="AA453" s="1355" t="s">
        <v>4674</v>
      </c>
      <c r="AB453" s="1356"/>
      <c r="AC453" s="1356"/>
      <c r="AD453" s="1356"/>
      <c r="AE453" s="1356"/>
      <c r="AF453" s="1357" t="str">
        <f t="shared" si="572"/>
        <v/>
      </c>
      <c r="AG453" s="1380"/>
      <c r="AH453" s="1380"/>
      <c r="AI453" s="1381">
        <v>0</v>
      </c>
      <c r="AJ453" s="1382">
        <f>$AI453*$AG453</f>
        <v>0</v>
      </c>
      <c r="AK453" s="1383">
        <f t="shared" si="628"/>
        <v>0</v>
      </c>
      <c r="AL453" s="1384">
        <v>0</v>
      </c>
      <c r="AM453" s="1363">
        <f t="shared" si="629"/>
        <v>0</v>
      </c>
      <c r="AN453" s="1364">
        <v>0</v>
      </c>
      <c r="AO453" s="1365">
        <f t="shared" si="630"/>
        <v>0</v>
      </c>
      <c r="AP453" s="1366">
        <v>0</v>
      </c>
      <c r="AQ453" s="1367">
        <f t="shared" si="631"/>
        <v>0</v>
      </c>
      <c r="AR453" s="1368">
        <v>0</v>
      </c>
      <c r="AS453" s="1369">
        <f t="shared" si="632"/>
        <v>0</v>
      </c>
      <c r="AT453" s="1370">
        <v>0</v>
      </c>
      <c r="AU453" s="1371">
        <f t="shared" si="633"/>
        <v>0</v>
      </c>
      <c r="AV453" s="1359">
        <f t="shared" si="634"/>
        <v>0</v>
      </c>
      <c r="AW453" s="1372">
        <f t="shared" si="635"/>
        <v>0</v>
      </c>
      <c r="AX453" s="1373">
        <f t="shared" si="636"/>
        <v>0</v>
      </c>
      <c r="AY453" s="1374">
        <f t="shared" si="637"/>
        <v>0</v>
      </c>
      <c r="AZ453" s="1375">
        <f t="shared" si="638"/>
        <v>0</v>
      </c>
      <c r="BA453" s="1376">
        <f t="shared" si="639"/>
        <v>0</v>
      </c>
      <c r="BB453" s="1377"/>
      <c r="BC453" s="1848"/>
      <c r="BD453" s="1820"/>
      <c r="BE453" s="1832"/>
      <c r="BF453" s="1854"/>
      <c r="BG453" s="1851"/>
    </row>
    <row r="454" spans="1:59" s="1378" customFormat="1" ht="21.75" customHeight="1">
      <c r="A454" s="1347" t="str">
        <f t="shared" si="641"/>
        <v>GIMDx, Inc.</v>
      </c>
      <c r="B454" s="1348" t="str">
        <f t="shared" si="641"/>
        <v>HUB SD</v>
      </c>
      <c r="C454" s="1348">
        <f t="shared" si="641"/>
        <v>10</v>
      </c>
      <c r="D454" s="1349">
        <v>43101</v>
      </c>
      <c r="E454" s="1349"/>
      <c r="F454" s="1347" t="s">
        <v>72</v>
      </c>
      <c r="G454" s="1347" t="s">
        <v>85</v>
      </c>
      <c r="H454" s="1347" t="s">
        <v>72</v>
      </c>
      <c r="I454" s="1347" t="s">
        <v>72</v>
      </c>
      <c r="J454" s="1349" t="s">
        <v>4670</v>
      </c>
      <c r="K454" s="1349" t="s">
        <v>254</v>
      </c>
      <c r="L454" s="1350" t="s">
        <v>3056</v>
      </c>
      <c r="M454" s="1350" t="s">
        <v>4708</v>
      </c>
      <c r="N454" s="1390" t="s">
        <v>4709</v>
      </c>
      <c r="O454" s="1352" t="s">
        <v>4710</v>
      </c>
      <c r="P454" s="1352"/>
      <c r="Q454" s="1354"/>
      <c r="R454" s="1354"/>
      <c r="S454" s="1354"/>
      <c r="T454" s="1354"/>
      <c r="U454" s="1354"/>
      <c r="V454" s="1354"/>
      <c r="W454" s="1354"/>
      <c r="X454" s="1353">
        <v>43101</v>
      </c>
      <c r="Y454" s="1353">
        <v>43466</v>
      </c>
      <c r="Z454" s="1355"/>
      <c r="AA454" s="1355" t="s">
        <v>4674</v>
      </c>
      <c r="AB454" s="1356"/>
      <c r="AC454" s="1356"/>
      <c r="AD454" s="1356"/>
      <c r="AE454" s="1356"/>
      <c r="AF454" s="1357" t="str">
        <f t="shared" si="572"/>
        <v/>
      </c>
      <c r="AG454" s="1380"/>
      <c r="AH454" s="1380"/>
      <c r="AI454" s="1381">
        <v>0</v>
      </c>
      <c r="AJ454" s="1382">
        <f>$AI454*$AG454</f>
        <v>0</v>
      </c>
      <c r="AK454" s="1383">
        <f t="shared" si="628"/>
        <v>0</v>
      </c>
      <c r="AL454" s="1384">
        <v>0</v>
      </c>
      <c r="AM454" s="1363">
        <f t="shared" si="629"/>
        <v>0</v>
      </c>
      <c r="AN454" s="1364">
        <v>0</v>
      </c>
      <c r="AO454" s="1365">
        <f t="shared" si="630"/>
        <v>0</v>
      </c>
      <c r="AP454" s="1366">
        <v>0</v>
      </c>
      <c r="AQ454" s="1367">
        <f t="shared" si="631"/>
        <v>0</v>
      </c>
      <c r="AR454" s="1368">
        <v>0</v>
      </c>
      <c r="AS454" s="1369">
        <f t="shared" si="632"/>
        <v>0</v>
      </c>
      <c r="AT454" s="1370">
        <v>0</v>
      </c>
      <c r="AU454" s="1371">
        <f t="shared" si="633"/>
        <v>0</v>
      </c>
      <c r="AV454" s="1359">
        <f t="shared" si="634"/>
        <v>0</v>
      </c>
      <c r="AW454" s="1372">
        <f t="shared" si="635"/>
        <v>0</v>
      </c>
      <c r="AX454" s="1373">
        <f t="shared" si="636"/>
        <v>0</v>
      </c>
      <c r="AY454" s="1374">
        <f t="shared" si="637"/>
        <v>0</v>
      </c>
      <c r="AZ454" s="1375">
        <f t="shared" si="638"/>
        <v>0</v>
      </c>
      <c r="BA454" s="1376">
        <f t="shared" si="639"/>
        <v>0</v>
      </c>
      <c r="BB454" s="1391"/>
      <c r="BC454" s="1849"/>
      <c r="BD454" s="1821"/>
      <c r="BE454" s="1833"/>
      <c r="BF454" s="1855"/>
      <c r="BG454" s="1852"/>
    </row>
    <row r="455" spans="1:59" s="1315" customFormat="1" ht="38.25">
      <c r="A455" s="1277" t="str">
        <f>L455</f>
        <v>Glooko Inc.</v>
      </c>
      <c r="B455" s="1316" t="str">
        <f>N455</f>
        <v>Woodruff-Sawyer</v>
      </c>
      <c r="C455" s="1316">
        <f>Z455</f>
        <v>84</v>
      </c>
      <c r="D455" s="1317">
        <v>43101</v>
      </c>
      <c r="E455" s="1317"/>
      <c r="F455" s="1277" t="s">
        <v>72</v>
      </c>
      <c r="G455" s="1277" t="s">
        <v>72</v>
      </c>
      <c r="H455" s="1277" t="s">
        <v>72</v>
      </c>
      <c r="I455" s="1277" t="s">
        <v>4711</v>
      </c>
      <c r="J455" s="1317"/>
      <c r="K455" s="1317"/>
      <c r="L455" s="1318" t="s">
        <v>1260</v>
      </c>
      <c r="M455" s="1319"/>
      <c r="N455" s="1417" t="s">
        <v>3659</v>
      </c>
      <c r="O455" s="1418" t="s">
        <v>2473</v>
      </c>
      <c r="P455" s="1418"/>
      <c r="Q455" s="1322"/>
      <c r="R455" s="1322"/>
      <c r="S455" s="1322"/>
      <c r="T455" s="1322"/>
      <c r="U455" s="1322"/>
      <c r="V455" s="1322"/>
      <c r="W455" s="1322"/>
      <c r="X455" s="1317">
        <v>43101</v>
      </c>
      <c r="Y455" s="1317">
        <v>43466</v>
      </c>
      <c r="Z455" s="1316">
        <v>84</v>
      </c>
      <c r="AA455" s="1316" t="s">
        <v>5056</v>
      </c>
      <c r="AB455" s="1323">
        <f>SUM(AB456:AB473)</f>
        <v>0</v>
      </c>
      <c r="AC455" s="1323">
        <f>SUM(AC456:AC473)</f>
        <v>0</v>
      </c>
      <c r="AD455" s="1323">
        <f>SUM(AD456:AD473)</f>
        <v>0</v>
      </c>
      <c r="AE455" s="1324">
        <f t="shared" ref="AE455:AE474" si="642">AD455-AB455</f>
        <v>0</v>
      </c>
      <c r="AF455" s="1325" t="str">
        <f t="shared" si="572"/>
        <v/>
      </c>
      <c r="AG455" s="1326">
        <f t="shared" si="543"/>
        <v>82858.964999999997</v>
      </c>
      <c r="AH455" s="1326">
        <f>SUM(AH456:AH473)</f>
        <v>994307.58</v>
      </c>
      <c r="AI455" s="1339"/>
      <c r="AJ455" s="1328">
        <f>SUM(AJ456:AJ473)</f>
        <v>7155.9997500000018</v>
      </c>
      <c r="AK455" s="1328">
        <f>SUM(AK456:AK473)</f>
        <v>85871.996999999988</v>
      </c>
      <c r="AL455" s="1329"/>
      <c r="AM455" s="1330">
        <f>SUM(AM456:AM473)</f>
        <v>4189.8119999999999</v>
      </c>
      <c r="AN455" s="1331"/>
      <c r="AO455" s="1332">
        <f>SUM(AO456:AO473)</f>
        <v>47306.30520000001</v>
      </c>
      <c r="AP455" s="1333"/>
      <c r="AQ455" s="1334">
        <f>SUM(AQ456:AQ473)</f>
        <v>0</v>
      </c>
      <c r="AR455" s="1335"/>
      <c r="AS455" s="1336">
        <f>SUM(AS456:AS473)</f>
        <v>0</v>
      </c>
      <c r="AT455" s="1337"/>
      <c r="AU455" s="1338">
        <f>SUM(AU456:AU473)</f>
        <v>20949.060000000001</v>
      </c>
      <c r="AV455" s="1339"/>
      <c r="AW455" s="1340">
        <f>SUM(AW456:AW473)</f>
        <v>13426.819799999996</v>
      </c>
      <c r="AX455" s="1306"/>
      <c r="AY455" s="1307">
        <f>SUM(AW455+AS455+AU455)</f>
        <v>34375.879799999995</v>
      </c>
      <c r="AZ455" s="1341"/>
      <c r="BA455" s="1309">
        <f>SUM(AY455+AQ455)</f>
        <v>34375.879799999995</v>
      </c>
      <c r="BB455" s="1342">
        <f>(AW455+AU455)/(AK455-AM455)</f>
        <v>0.42084917047701409</v>
      </c>
      <c r="BC455" s="1343"/>
      <c r="BD455" s="1343"/>
      <c r="BE455" s="1344"/>
      <c r="BF455" s="1420" t="s">
        <v>5057</v>
      </c>
      <c r="BG455" s="1346"/>
    </row>
    <row r="456" spans="1:59" s="1378" customFormat="1" ht="76.5">
      <c r="A456" s="1347" t="str">
        <f>L455</f>
        <v>Glooko Inc.</v>
      </c>
      <c r="B456" s="1348" t="str">
        <f>N455</f>
        <v>Woodruff-Sawyer</v>
      </c>
      <c r="C456" s="1348">
        <f>Z455</f>
        <v>84</v>
      </c>
      <c r="D456" s="1349">
        <v>43101</v>
      </c>
      <c r="E456" s="1349"/>
      <c r="F456" s="1347" t="s">
        <v>85</v>
      </c>
      <c r="G456" s="1347" t="s">
        <v>85</v>
      </c>
      <c r="H456" s="1347" t="s">
        <v>85</v>
      </c>
      <c r="I456" s="1347" t="s">
        <v>113</v>
      </c>
      <c r="J456" s="1349"/>
      <c r="K456" s="1349" t="s">
        <v>254</v>
      </c>
      <c r="L456" s="1350" t="s">
        <v>2661</v>
      </c>
      <c r="M456" s="1350" t="s">
        <v>3647</v>
      </c>
      <c r="N456" s="1351" t="s">
        <v>5058</v>
      </c>
      <c r="O456" s="1352" t="s">
        <v>5059</v>
      </c>
      <c r="P456" s="1352" t="s">
        <v>5060</v>
      </c>
      <c r="Q456" s="1353" t="s">
        <v>303</v>
      </c>
      <c r="R456" s="1353" t="s">
        <v>3648</v>
      </c>
      <c r="S456" s="1353" t="s">
        <v>307</v>
      </c>
      <c r="T456" s="1353" t="s">
        <v>113</v>
      </c>
      <c r="U456" s="1354"/>
      <c r="V456" s="1354"/>
      <c r="W456" s="1354"/>
      <c r="X456" s="1353">
        <v>43101</v>
      </c>
      <c r="Y456" s="1353">
        <v>43466</v>
      </c>
      <c r="Z456" s="1355"/>
      <c r="AA456" s="1355" t="s">
        <v>4667</v>
      </c>
      <c r="AB456" s="1356"/>
      <c r="AC456" s="1356"/>
      <c r="AD456" s="1356"/>
      <c r="AE456" s="1356"/>
      <c r="AF456" s="1357"/>
      <c r="AG456" s="1358">
        <f t="shared" si="543"/>
        <v>69830.2</v>
      </c>
      <c r="AH456" s="1358">
        <v>837962.4</v>
      </c>
      <c r="AI456" s="1359">
        <v>0.08</v>
      </c>
      <c r="AJ456" s="1360">
        <f>$AI456*$AG456</f>
        <v>5586.4160000000002</v>
      </c>
      <c r="AK456" s="1361">
        <f t="shared" ref="AK456:AK457" si="643">AI456*$AH456</f>
        <v>67036.991999999998</v>
      </c>
      <c r="AL456" s="1362">
        <v>5.0000000000000001E-3</v>
      </c>
      <c r="AM456" s="1363">
        <f t="shared" ref="AM456:AM473" si="644">AL456*$AH456</f>
        <v>4189.8119999999999</v>
      </c>
      <c r="AN456" s="1364">
        <v>0.04</v>
      </c>
      <c r="AO456" s="1365">
        <f t="shared" ref="AO456:AO473" si="645">AN456*$AH456</f>
        <v>33518.495999999999</v>
      </c>
      <c r="AP456" s="1366">
        <v>0</v>
      </c>
      <c r="AQ456" s="1367">
        <f t="shared" ref="AQ456:AQ473" si="646">AP456*$AH456</f>
        <v>0</v>
      </c>
      <c r="AR456" s="1368">
        <v>0</v>
      </c>
      <c r="AS456" s="1369">
        <f t="shared" ref="AS456:AS473" si="647">AR456*$AH456</f>
        <v>0</v>
      </c>
      <c r="AT456" s="1370">
        <v>2.5000000000000001E-2</v>
      </c>
      <c r="AU456" s="1371">
        <f t="shared" ref="AU456:AU473" si="648">AT456*$AH456</f>
        <v>20949.060000000001</v>
      </c>
      <c r="AV456" s="1359">
        <f t="shared" ref="AV456:AV457" si="649">AZ456-AR456-AT456-AP456</f>
        <v>9.999999999999995E-3</v>
      </c>
      <c r="AW456" s="1372">
        <f t="shared" ref="AW456:AW473" si="650">AV456*$AH456</f>
        <v>8379.6239999999962</v>
      </c>
      <c r="AX456" s="1373">
        <f t="shared" ref="AX456:AX473" si="651">$AZ456-$AP456</f>
        <v>3.4999999999999996E-2</v>
      </c>
      <c r="AY456" s="1374">
        <f t="shared" ref="AY456:AY473" si="652">AX456*$AH456</f>
        <v>29328.683999999997</v>
      </c>
      <c r="AZ456" s="1375">
        <f t="shared" ref="AZ456:AZ473" si="653">$AI456-$AL456-$AN456</f>
        <v>3.4999999999999996E-2</v>
      </c>
      <c r="BA456" s="1376">
        <f t="shared" ref="BA456:BA473" si="654">AZ456*$AH456</f>
        <v>29328.683999999997</v>
      </c>
      <c r="BB456" s="1377"/>
      <c r="BC456" s="1847" t="s">
        <v>1259</v>
      </c>
      <c r="BD456" s="1819" t="s">
        <v>3669</v>
      </c>
      <c r="BE456" s="1822" t="s">
        <v>3670</v>
      </c>
      <c r="BF456" s="1825" t="s">
        <v>1301</v>
      </c>
      <c r="BG456" s="1828">
        <v>273873317</v>
      </c>
    </row>
    <row r="457" spans="1:59" s="1378" customFormat="1" ht="38.25">
      <c r="A457" s="1347" t="str">
        <f>L455</f>
        <v>Glooko Inc.</v>
      </c>
      <c r="B457" s="1348" t="str">
        <f>N455</f>
        <v>Woodruff-Sawyer</v>
      </c>
      <c r="C457" s="1348">
        <f>Z455</f>
        <v>84</v>
      </c>
      <c r="D457" s="1349">
        <v>43101</v>
      </c>
      <c r="E457" s="1349"/>
      <c r="F457" s="1347" t="s">
        <v>72</v>
      </c>
      <c r="G457" s="1347" t="s">
        <v>85</v>
      </c>
      <c r="H457" s="1347" t="s">
        <v>72</v>
      </c>
      <c r="I457" s="1347" t="s">
        <v>72</v>
      </c>
      <c r="J457" s="1349" t="s">
        <v>4670</v>
      </c>
      <c r="K457" s="1349" t="s">
        <v>254</v>
      </c>
      <c r="L457" s="1350" t="s">
        <v>4671</v>
      </c>
      <c r="M457" s="1350" t="s">
        <v>3649</v>
      </c>
      <c r="N457" s="1379" t="s">
        <v>4820</v>
      </c>
      <c r="O457" s="1352" t="s">
        <v>5061</v>
      </c>
      <c r="P457" s="1388"/>
      <c r="Q457" s="1354"/>
      <c r="R457" s="1354"/>
      <c r="S457" s="1354"/>
      <c r="T457" s="1354"/>
      <c r="U457" s="1354"/>
      <c r="V457" s="1354"/>
      <c r="W457" s="1354"/>
      <c r="X457" s="1353">
        <v>43101</v>
      </c>
      <c r="Y457" s="1353">
        <v>43466</v>
      </c>
      <c r="Z457" s="1355"/>
      <c r="AA457" s="1355" t="s">
        <v>4674</v>
      </c>
      <c r="AB457" s="1356"/>
      <c r="AC457" s="1356"/>
      <c r="AD457" s="1356"/>
      <c r="AE457" s="1356"/>
      <c r="AF457" s="1357"/>
      <c r="AG457" s="1380"/>
      <c r="AH457" s="1380"/>
      <c r="AI457" s="1381">
        <v>0</v>
      </c>
      <c r="AJ457" s="1382">
        <f>$AI457*$AG457</f>
        <v>0</v>
      </c>
      <c r="AK457" s="1383">
        <f t="shared" si="643"/>
        <v>0</v>
      </c>
      <c r="AL457" s="1384">
        <v>0</v>
      </c>
      <c r="AM457" s="1363">
        <f t="shared" si="644"/>
        <v>0</v>
      </c>
      <c r="AN457" s="1364">
        <v>0</v>
      </c>
      <c r="AO457" s="1365">
        <f t="shared" si="645"/>
        <v>0</v>
      </c>
      <c r="AP457" s="1366">
        <v>0</v>
      </c>
      <c r="AQ457" s="1367">
        <f t="shared" si="646"/>
        <v>0</v>
      </c>
      <c r="AR457" s="1368">
        <v>0</v>
      </c>
      <c r="AS457" s="1369">
        <f t="shared" si="647"/>
        <v>0</v>
      </c>
      <c r="AT457" s="1370">
        <v>0</v>
      </c>
      <c r="AU457" s="1371">
        <f t="shared" si="648"/>
        <v>0</v>
      </c>
      <c r="AV457" s="1359">
        <f t="shared" si="649"/>
        <v>0</v>
      </c>
      <c r="AW457" s="1372">
        <f t="shared" si="650"/>
        <v>0</v>
      </c>
      <c r="AX457" s="1373">
        <f t="shared" si="651"/>
        <v>0</v>
      </c>
      <c r="AY457" s="1374">
        <f t="shared" si="652"/>
        <v>0</v>
      </c>
      <c r="AZ457" s="1375">
        <f t="shared" si="653"/>
        <v>0</v>
      </c>
      <c r="BA457" s="1376">
        <f t="shared" si="654"/>
        <v>0</v>
      </c>
      <c r="BB457" s="1377"/>
      <c r="BC457" s="1848"/>
      <c r="BD457" s="1820"/>
      <c r="BE457" s="1823"/>
      <c r="BF457" s="1826"/>
      <c r="BG457" s="1829"/>
    </row>
    <row r="458" spans="1:59" s="1378" customFormat="1" ht="63.75">
      <c r="A458" s="1347" t="str">
        <f>L455</f>
        <v>Glooko Inc.</v>
      </c>
      <c r="B458" s="1348" t="str">
        <f>N455</f>
        <v>Woodruff-Sawyer</v>
      </c>
      <c r="C458" s="1348">
        <f>Z455</f>
        <v>84</v>
      </c>
      <c r="D458" s="1349">
        <v>43101</v>
      </c>
      <c r="E458" s="1349"/>
      <c r="F458" s="1347" t="s">
        <v>113</v>
      </c>
      <c r="G458" s="1347" t="s">
        <v>113</v>
      </c>
      <c r="H458" s="1347" t="s">
        <v>113</v>
      </c>
      <c r="I458" s="1347" t="s">
        <v>113</v>
      </c>
      <c r="J458" s="1349" t="s">
        <v>4766</v>
      </c>
      <c r="K458" s="1349" t="s">
        <v>254</v>
      </c>
      <c r="L458" s="1397" t="s">
        <v>4767</v>
      </c>
      <c r="M458" s="1397" t="s">
        <v>3647</v>
      </c>
      <c r="N458" s="1398" t="s">
        <v>5062</v>
      </c>
      <c r="O458" s="1399" t="s">
        <v>4769</v>
      </c>
      <c r="P458" s="1424"/>
      <c r="Q458" s="1400"/>
      <c r="R458" s="1400"/>
      <c r="S458" s="1400"/>
      <c r="T458" s="1400"/>
      <c r="U458" s="1400"/>
      <c r="V458" s="1400"/>
      <c r="W458" s="1400"/>
      <c r="X458" s="1400">
        <v>43101</v>
      </c>
      <c r="Y458" s="1400">
        <v>43466</v>
      </c>
      <c r="Z458" s="1401"/>
      <c r="AA458" s="1401" t="s">
        <v>4738</v>
      </c>
      <c r="AB458" s="1369"/>
      <c r="AC458" s="1369"/>
      <c r="AD458" s="1369"/>
      <c r="AE458" s="1369"/>
      <c r="AF458" s="1403" t="str">
        <f t="shared" si="572"/>
        <v/>
      </c>
      <c r="AG458" s="1404"/>
      <c r="AH458" s="1358"/>
      <c r="AI458" s="1405">
        <v>0</v>
      </c>
      <c r="AJ458" s="1406">
        <v>0</v>
      </c>
      <c r="AK458" s="1406">
        <v>0</v>
      </c>
      <c r="AL458" s="1362">
        <v>0</v>
      </c>
      <c r="AM458" s="1363">
        <f t="shared" si="644"/>
        <v>0</v>
      </c>
      <c r="AN458" s="1364">
        <f>AI458</f>
        <v>0</v>
      </c>
      <c r="AO458" s="1365">
        <f t="shared" si="645"/>
        <v>0</v>
      </c>
      <c r="AP458" s="1366">
        <v>0</v>
      </c>
      <c r="AQ458" s="1367">
        <f t="shared" si="646"/>
        <v>0</v>
      </c>
      <c r="AR458" s="1368">
        <v>0</v>
      </c>
      <c r="AS458" s="1369">
        <f t="shared" si="647"/>
        <v>0</v>
      </c>
      <c r="AT458" s="1370">
        <v>0</v>
      </c>
      <c r="AU458" s="1371">
        <f t="shared" si="648"/>
        <v>0</v>
      </c>
      <c r="AV458" s="1359">
        <v>0</v>
      </c>
      <c r="AW458" s="1372">
        <f t="shared" si="650"/>
        <v>0</v>
      </c>
      <c r="AX458" s="1373">
        <f t="shared" si="651"/>
        <v>0</v>
      </c>
      <c r="AY458" s="1374">
        <f t="shared" si="652"/>
        <v>0</v>
      </c>
      <c r="AZ458" s="1375">
        <f t="shared" si="653"/>
        <v>0</v>
      </c>
      <c r="BA458" s="1376">
        <f t="shared" si="654"/>
        <v>0</v>
      </c>
      <c r="BB458" s="1377"/>
      <c r="BC458" s="1848"/>
      <c r="BD458" s="1820"/>
      <c r="BE458" s="1823"/>
      <c r="BF458" s="1826"/>
      <c r="BG458" s="1829"/>
    </row>
    <row r="459" spans="1:59" s="1378" customFormat="1" ht="38.25">
      <c r="A459" s="1347" t="str">
        <f>L455</f>
        <v>Glooko Inc.</v>
      </c>
      <c r="B459" s="1348" t="str">
        <f>N455</f>
        <v>Woodruff-Sawyer</v>
      </c>
      <c r="C459" s="1348">
        <f>Z455</f>
        <v>84</v>
      </c>
      <c r="D459" s="1349">
        <v>43101</v>
      </c>
      <c r="E459" s="1349"/>
      <c r="F459" s="1347" t="s">
        <v>113</v>
      </c>
      <c r="G459" s="1347" t="s">
        <v>85</v>
      </c>
      <c r="H459" s="1347" t="s">
        <v>85</v>
      </c>
      <c r="I459" s="1347" t="s">
        <v>113</v>
      </c>
      <c r="J459" s="1349"/>
      <c r="K459" s="1349" t="s">
        <v>254</v>
      </c>
      <c r="L459" s="1350" t="s">
        <v>4675</v>
      </c>
      <c r="M459" s="1350" t="s">
        <v>3650</v>
      </c>
      <c r="N459" s="1385" t="s">
        <v>5063</v>
      </c>
      <c r="O459" s="1352" t="s">
        <v>4677</v>
      </c>
      <c r="P459" s="1388"/>
      <c r="Q459" s="1354"/>
      <c r="R459" s="1354"/>
      <c r="S459" s="1354"/>
      <c r="T459" s="1354"/>
      <c r="U459" s="1353" t="s">
        <v>4723</v>
      </c>
      <c r="V459" s="1353" t="s">
        <v>2482</v>
      </c>
      <c r="W459" s="1354"/>
      <c r="X459" s="1353">
        <v>43101</v>
      </c>
      <c r="Y459" s="1353">
        <v>43466</v>
      </c>
      <c r="Z459" s="1355"/>
      <c r="AA459" s="1355" t="s">
        <v>4679</v>
      </c>
      <c r="AB459" s="1356"/>
      <c r="AC459" s="1356"/>
      <c r="AD459" s="1356"/>
      <c r="AE459" s="1356"/>
      <c r="AF459" s="1357"/>
      <c r="AG459" s="1358">
        <f t="shared" si="543"/>
        <v>6835.02</v>
      </c>
      <c r="AH459" s="1358">
        <v>82020.240000000005</v>
      </c>
      <c r="AI459" s="1359">
        <v>0.1</v>
      </c>
      <c r="AJ459" s="1360">
        <f t="shared" ref="AJ459:AJ469" si="655">$AI459*$AG459</f>
        <v>683.50200000000007</v>
      </c>
      <c r="AK459" s="1361">
        <f t="shared" ref="AK459:AK469" si="656">AI459*$AH459</f>
        <v>8202.0240000000013</v>
      </c>
      <c r="AL459" s="1384">
        <v>0</v>
      </c>
      <c r="AM459" s="1363">
        <f t="shared" si="644"/>
        <v>0</v>
      </c>
      <c r="AN459" s="1364">
        <v>0.08</v>
      </c>
      <c r="AO459" s="1365">
        <f t="shared" si="645"/>
        <v>6561.619200000001</v>
      </c>
      <c r="AP459" s="1366">
        <v>0</v>
      </c>
      <c r="AQ459" s="1367">
        <f t="shared" si="646"/>
        <v>0</v>
      </c>
      <c r="AR459" s="1368">
        <v>0</v>
      </c>
      <c r="AS459" s="1369">
        <f t="shared" si="647"/>
        <v>0</v>
      </c>
      <c r="AT459" s="1370">
        <v>0</v>
      </c>
      <c r="AU459" s="1371">
        <f t="shared" si="648"/>
        <v>0</v>
      </c>
      <c r="AV459" s="1359">
        <f t="shared" ref="AV459:AV473" si="657">AZ459-AR459-AT459-AP459</f>
        <v>2.0000000000000004E-2</v>
      </c>
      <c r="AW459" s="1372">
        <f t="shared" si="650"/>
        <v>1640.4048000000005</v>
      </c>
      <c r="AX459" s="1373">
        <f t="shared" si="651"/>
        <v>2.0000000000000004E-2</v>
      </c>
      <c r="AY459" s="1374">
        <f t="shared" si="652"/>
        <v>1640.4048000000005</v>
      </c>
      <c r="AZ459" s="1375">
        <f t="shared" si="653"/>
        <v>2.0000000000000004E-2</v>
      </c>
      <c r="BA459" s="1376">
        <f t="shared" si="654"/>
        <v>1640.4048000000005</v>
      </c>
      <c r="BB459" s="1377"/>
      <c r="BC459" s="1848"/>
      <c r="BD459" s="1820"/>
      <c r="BE459" s="1823"/>
      <c r="BF459" s="1826"/>
      <c r="BG459" s="1829"/>
    </row>
    <row r="460" spans="1:59" s="1378" customFormat="1" ht="38.25">
      <c r="A460" s="1347" t="str">
        <f>L455</f>
        <v>Glooko Inc.</v>
      </c>
      <c r="B460" s="1348" t="str">
        <f>N455</f>
        <v>Woodruff-Sawyer</v>
      </c>
      <c r="C460" s="1348">
        <f>Z455</f>
        <v>84</v>
      </c>
      <c r="D460" s="1349">
        <v>43101</v>
      </c>
      <c r="E460" s="1349"/>
      <c r="F460" s="1347" t="s">
        <v>113</v>
      </c>
      <c r="G460" s="1347" t="s">
        <v>85</v>
      </c>
      <c r="H460" s="1347" t="s">
        <v>85</v>
      </c>
      <c r="I460" s="1347" t="s">
        <v>113</v>
      </c>
      <c r="J460" s="1349"/>
      <c r="K460" s="1349" t="s">
        <v>254</v>
      </c>
      <c r="L460" s="1350" t="s">
        <v>4675</v>
      </c>
      <c r="M460" s="1350" t="s">
        <v>3651</v>
      </c>
      <c r="N460" s="1351" t="s">
        <v>5064</v>
      </c>
      <c r="O460" s="1352" t="s">
        <v>4681</v>
      </c>
      <c r="P460" s="1388"/>
      <c r="Q460" s="1354"/>
      <c r="R460" s="1354"/>
      <c r="S460" s="1354"/>
      <c r="T460" s="1354"/>
      <c r="U460" s="1354"/>
      <c r="V460" s="1354"/>
      <c r="W460" s="1353" t="s">
        <v>2482</v>
      </c>
      <c r="X460" s="1353">
        <v>43101</v>
      </c>
      <c r="Y460" s="1353">
        <v>43466</v>
      </c>
      <c r="Z460" s="1355"/>
      <c r="AA460" s="1355" t="s">
        <v>4679</v>
      </c>
      <c r="AB460" s="1356"/>
      <c r="AC460" s="1356"/>
      <c r="AD460" s="1356"/>
      <c r="AE460" s="1356"/>
      <c r="AF460" s="1357"/>
      <c r="AG460" s="1358">
        <f t="shared" si="543"/>
        <v>852.59</v>
      </c>
      <c r="AH460" s="1358">
        <v>10231.08</v>
      </c>
      <c r="AI460" s="1359">
        <v>0.1</v>
      </c>
      <c r="AJ460" s="1360">
        <f t="shared" si="655"/>
        <v>85.259000000000015</v>
      </c>
      <c r="AK460" s="1361">
        <f t="shared" si="656"/>
        <v>1023.1080000000001</v>
      </c>
      <c r="AL460" s="1384">
        <v>0</v>
      </c>
      <c r="AM460" s="1363">
        <f t="shared" si="644"/>
        <v>0</v>
      </c>
      <c r="AN460" s="1364">
        <v>0.08</v>
      </c>
      <c r="AO460" s="1365">
        <f t="shared" si="645"/>
        <v>818.4864</v>
      </c>
      <c r="AP460" s="1366">
        <v>0</v>
      </c>
      <c r="AQ460" s="1367">
        <f t="shared" si="646"/>
        <v>0</v>
      </c>
      <c r="AR460" s="1368">
        <v>0</v>
      </c>
      <c r="AS460" s="1369">
        <f t="shared" si="647"/>
        <v>0</v>
      </c>
      <c r="AT460" s="1370">
        <v>0</v>
      </c>
      <c r="AU460" s="1371">
        <f t="shared" si="648"/>
        <v>0</v>
      </c>
      <c r="AV460" s="1359">
        <f t="shared" si="657"/>
        <v>2.0000000000000004E-2</v>
      </c>
      <c r="AW460" s="1372">
        <f t="shared" si="650"/>
        <v>204.62160000000003</v>
      </c>
      <c r="AX460" s="1373">
        <f t="shared" si="651"/>
        <v>2.0000000000000004E-2</v>
      </c>
      <c r="AY460" s="1374">
        <f t="shared" si="652"/>
        <v>204.62160000000003</v>
      </c>
      <c r="AZ460" s="1375">
        <f t="shared" si="653"/>
        <v>2.0000000000000004E-2</v>
      </c>
      <c r="BA460" s="1376">
        <f t="shared" si="654"/>
        <v>204.62160000000003</v>
      </c>
      <c r="BB460" s="1377"/>
      <c r="BC460" s="1848"/>
      <c r="BD460" s="1820"/>
      <c r="BE460" s="1823"/>
      <c r="BF460" s="1826"/>
      <c r="BG460" s="1829"/>
    </row>
    <row r="461" spans="1:59" s="1378" customFormat="1" ht="38.25">
      <c r="A461" s="1347" t="str">
        <f>L455</f>
        <v>Glooko Inc.</v>
      </c>
      <c r="B461" s="1348" t="str">
        <f>N455</f>
        <v>Woodruff-Sawyer</v>
      </c>
      <c r="C461" s="1348">
        <f>Z455</f>
        <v>84</v>
      </c>
      <c r="D461" s="1349">
        <v>43101</v>
      </c>
      <c r="E461" s="1349"/>
      <c r="F461" s="1347" t="s">
        <v>113</v>
      </c>
      <c r="G461" s="1347" t="s">
        <v>85</v>
      </c>
      <c r="H461" s="1347" t="s">
        <v>85</v>
      </c>
      <c r="I461" s="1347" t="s">
        <v>113</v>
      </c>
      <c r="J461" s="1349"/>
      <c r="K461" s="1349" t="s">
        <v>254</v>
      </c>
      <c r="L461" s="1350" t="s">
        <v>4682</v>
      </c>
      <c r="M461" s="1350" t="s">
        <v>4683</v>
      </c>
      <c r="N461" s="1386" t="s">
        <v>1249</v>
      </c>
      <c r="O461" s="1352" t="s">
        <v>4684</v>
      </c>
      <c r="P461" s="1421"/>
      <c r="Q461" s="1354"/>
      <c r="R461" s="1354"/>
      <c r="S461" s="1354"/>
      <c r="T461" s="1354"/>
      <c r="U461" s="1354"/>
      <c r="V461" s="1354"/>
      <c r="W461" s="1354"/>
      <c r="X461" s="1353">
        <v>43101</v>
      </c>
      <c r="Y461" s="1353">
        <v>43466</v>
      </c>
      <c r="Z461" s="1355"/>
      <c r="AA461" s="1355" t="s">
        <v>4685</v>
      </c>
      <c r="AB461" s="1356"/>
      <c r="AC461" s="1356"/>
      <c r="AD461" s="1356"/>
      <c r="AE461" s="1356"/>
      <c r="AF461" s="1357"/>
      <c r="AG461" s="1358">
        <f t="shared" si="543"/>
        <v>1071.4858333333334</v>
      </c>
      <c r="AH461" s="1358">
        <v>12857.83</v>
      </c>
      <c r="AI461" s="1359">
        <v>0.15</v>
      </c>
      <c r="AJ461" s="1360">
        <f t="shared" si="655"/>
        <v>160.72287500000002</v>
      </c>
      <c r="AK461" s="1361">
        <f t="shared" si="656"/>
        <v>1928.6744999999999</v>
      </c>
      <c r="AL461" s="1384">
        <v>0</v>
      </c>
      <c r="AM461" s="1363">
        <f t="shared" si="644"/>
        <v>0</v>
      </c>
      <c r="AN461" s="1364">
        <v>0.1</v>
      </c>
      <c r="AO461" s="1365">
        <f t="shared" si="645"/>
        <v>1285.7830000000001</v>
      </c>
      <c r="AP461" s="1366">
        <v>0</v>
      </c>
      <c r="AQ461" s="1367">
        <f t="shared" si="646"/>
        <v>0</v>
      </c>
      <c r="AR461" s="1368">
        <v>0</v>
      </c>
      <c r="AS461" s="1369">
        <f t="shared" si="647"/>
        <v>0</v>
      </c>
      <c r="AT461" s="1370">
        <v>0</v>
      </c>
      <c r="AU461" s="1371">
        <f t="shared" si="648"/>
        <v>0</v>
      </c>
      <c r="AV461" s="1359">
        <f t="shared" si="657"/>
        <v>4.9999999999999989E-2</v>
      </c>
      <c r="AW461" s="1372">
        <f t="shared" si="650"/>
        <v>642.89149999999984</v>
      </c>
      <c r="AX461" s="1373">
        <f t="shared" si="651"/>
        <v>4.9999999999999989E-2</v>
      </c>
      <c r="AY461" s="1374">
        <f t="shared" si="652"/>
        <v>642.89149999999984</v>
      </c>
      <c r="AZ461" s="1375">
        <f t="shared" si="653"/>
        <v>4.9999999999999989E-2</v>
      </c>
      <c r="BA461" s="1376">
        <f t="shared" si="654"/>
        <v>642.89149999999984</v>
      </c>
      <c r="BB461" s="1377"/>
      <c r="BC461" s="1848"/>
      <c r="BD461" s="1820"/>
      <c r="BE461" s="1823"/>
      <c r="BF461" s="1826"/>
      <c r="BG461" s="1829"/>
    </row>
    <row r="462" spans="1:59" s="1378" customFormat="1" ht="38.25">
      <c r="A462" s="1347" t="str">
        <f>L455</f>
        <v>Glooko Inc.</v>
      </c>
      <c r="B462" s="1348" t="str">
        <f>N455</f>
        <v>Woodruff-Sawyer</v>
      </c>
      <c r="C462" s="1348">
        <f>Z455</f>
        <v>84</v>
      </c>
      <c r="D462" s="1349">
        <v>43101</v>
      </c>
      <c r="E462" s="1349"/>
      <c r="F462" s="1347" t="s">
        <v>113</v>
      </c>
      <c r="G462" s="1347" t="s">
        <v>85</v>
      </c>
      <c r="H462" s="1347" t="s">
        <v>85</v>
      </c>
      <c r="I462" s="1347" t="s">
        <v>113</v>
      </c>
      <c r="J462" s="1349"/>
      <c r="K462" s="1349" t="s">
        <v>254</v>
      </c>
      <c r="L462" s="1350" t="s">
        <v>4682</v>
      </c>
      <c r="M462" s="1350" t="s">
        <v>4686</v>
      </c>
      <c r="N462" s="1386" t="s">
        <v>60</v>
      </c>
      <c r="O462" s="1352" t="s">
        <v>4687</v>
      </c>
      <c r="P462" s="1421"/>
      <c r="Q462" s="1354"/>
      <c r="R462" s="1354"/>
      <c r="S462" s="1354"/>
      <c r="T462" s="1354"/>
      <c r="U462" s="1354"/>
      <c r="V462" s="1354"/>
      <c r="W462" s="1354"/>
      <c r="X462" s="1353">
        <v>43101</v>
      </c>
      <c r="Y462" s="1353">
        <v>43466</v>
      </c>
      <c r="Z462" s="1355"/>
      <c r="AA462" s="1355" t="s">
        <v>4685</v>
      </c>
      <c r="AB462" s="1356"/>
      <c r="AC462" s="1356"/>
      <c r="AD462" s="1356"/>
      <c r="AE462" s="1356"/>
      <c r="AF462" s="1357"/>
      <c r="AG462" s="1358">
        <f t="shared" si="543"/>
        <v>424.23</v>
      </c>
      <c r="AH462" s="1358">
        <v>5090.76</v>
      </c>
      <c r="AI462" s="1359">
        <v>0.15</v>
      </c>
      <c r="AJ462" s="1360">
        <f t="shared" si="655"/>
        <v>63.634500000000003</v>
      </c>
      <c r="AK462" s="1361">
        <f t="shared" si="656"/>
        <v>763.61400000000003</v>
      </c>
      <c r="AL462" s="1384">
        <v>0</v>
      </c>
      <c r="AM462" s="1363">
        <f t="shared" si="644"/>
        <v>0</v>
      </c>
      <c r="AN462" s="1364">
        <v>0.1</v>
      </c>
      <c r="AO462" s="1365">
        <f t="shared" si="645"/>
        <v>509.07600000000002</v>
      </c>
      <c r="AP462" s="1366">
        <v>0</v>
      </c>
      <c r="AQ462" s="1367">
        <f t="shared" si="646"/>
        <v>0</v>
      </c>
      <c r="AR462" s="1368">
        <v>0</v>
      </c>
      <c r="AS462" s="1369">
        <f t="shared" si="647"/>
        <v>0</v>
      </c>
      <c r="AT462" s="1370">
        <v>0</v>
      </c>
      <c r="AU462" s="1371">
        <f t="shared" si="648"/>
        <v>0</v>
      </c>
      <c r="AV462" s="1359">
        <f t="shared" si="657"/>
        <v>4.9999999999999989E-2</v>
      </c>
      <c r="AW462" s="1372">
        <f t="shared" si="650"/>
        <v>254.53799999999995</v>
      </c>
      <c r="AX462" s="1373">
        <f t="shared" si="651"/>
        <v>4.9999999999999989E-2</v>
      </c>
      <c r="AY462" s="1374">
        <f t="shared" si="652"/>
        <v>254.53799999999995</v>
      </c>
      <c r="AZ462" s="1375">
        <f t="shared" si="653"/>
        <v>4.9999999999999989E-2</v>
      </c>
      <c r="BA462" s="1376">
        <f t="shared" si="654"/>
        <v>254.53799999999995</v>
      </c>
      <c r="BB462" s="1377"/>
      <c r="BC462" s="1848"/>
      <c r="BD462" s="1820"/>
      <c r="BE462" s="1823"/>
      <c r="BF462" s="1826"/>
      <c r="BG462" s="1829"/>
    </row>
    <row r="463" spans="1:59" s="1378" customFormat="1" ht="38.25">
      <c r="A463" s="1347" t="str">
        <f>L455</f>
        <v>Glooko Inc.</v>
      </c>
      <c r="B463" s="1348" t="str">
        <f>N455</f>
        <v>Woodruff-Sawyer</v>
      </c>
      <c r="C463" s="1348">
        <f>Z455</f>
        <v>84</v>
      </c>
      <c r="D463" s="1349">
        <v>43101</v>
      </c>
      <c r="E463" s="1349"/>
      <c r="F463" s="1347" t="s">
        <v>113</v>
      </c>
      <c r="G463" s="1347" t="s">
        <v>85</v>
      </c>
      <c r="H463" s="1347" t="s">
        <v>85</v>
      </c>
      <c r="I463" s="1347" t="s">
        <v>113</v>
      </c>
      <c r="J463" s="1349"/>
      <c r="K463" s="1349" t="s">
        <v>254</v>
      </c>
      <c r="L463" s="1350" t="s">
        <v>4682</v>
      </c>
      <c r="M463" s="1350" t="s">
        <v>62</v>
      </c>
      <c r="N463" s="1351" t="s">
        <v>266</v>
      </c>
      <c r="O463" s="1352" t="s">
        <v>4688</v>
      </c>
      <c r="P463" s="1388"/>
      <c r="Q463" s="1354"/>
      <c r="R463" s="1354"/>
      <c r="S463" s="1354"/>
      <c r="T463" s="1354"/>
      <c r="U463" s="1354"/>
      <c r="V463" s="1354"/>
      <c r="W463" s="1354"/>
      <c r="X463" s="1353">
        <v>43101</v>
      </c>
      <c r="Y463" s="1353">
        <v>43466</v>
      </c>
      <c r="Z463" s="1355"/>
      <c r="AA463" s="1355" t="s">
        <v>4685</v>
      </c>
      <c r="AB463" s="1356"/>
      <c r="AC463" s="1356"/>
      <c r="AD463" s="1356"/>
      <c r="AE463" s="1356"/>
      <c r="AF463" s="1357"/>
      <c r="AG463" s="1358">
        <f t="shared" si="543"/>
        <v>1035.5358333333334</v>
      </c>
      <c r="AH463" s="1358">
        <v>12426.43</v>
      </c>
      <c r="AI463" s="1359">
        <v>0.15</v>
      </c>
      <c r="AJ463" s="1360">
        <f t="shared" si="655"/>
        <v>155.330375</v>
      </c>
      <c r="AK463" s="1361">
        <f t="shared" si="656"/>
        <v>1863.9645</v>
      </c>
      <c r="AL463" s="1384">
        <v>0</v>
      </c>
      <c r="AM463" s="1363">
        <f t="shared" si="644"/>
        <v>0</v>
      </c>
      <c r="AN463" s="1364">
        <v>0.1</v>
      </c>
      <c r="AO463" s="1365">
        <f t="shared" si="645"/>
        <v>1242.643</v>
      </c>
      <c r="AP463" s="1366">
        <v>0</v>
      </c>
      <c r="AQ463" s="1367">
        <f t="shared" si="646"/>
        <v>0</v>
      </c>
      <c r="AR463" s="1368">
        <v>0</v>
      </c>
      <c r="AS463" s="1369">
        <f t="shared" si="647"/>
        <v>0</v>
      </c>
      <c r="AT463" s="1370">
        <v>0</v>
      </c>
      <c r="AU463" s="1371">
        <f t="shared" si="648"/>
        <v>0</v>
      </c>
      <c r="AV463" s="1359">
        <f t="shared" si="657"/>
        <v>4.9999999999999989E-2</v>
      </c>
      <c r="AW463" s="1372">
        <f t="shared" si="650"/>
        <v>621.3214999999999</v>
      </c>
      <c r="AX463" s="1373">
        <f t="shared" si="651"/>
        <v>4.9999999999999989E-2</v>
      </c>
      <c r="AY463" s="1374">
        <f t="shared" si="652"/>
        <v>621.3214999999999</v>
      </c>
      <c r="AZ463" s="1375">
        <f t="shared" si="653"/>
        <v>4.9999999999999989E-2</v>
      </c>
      <c r="BA463" s="1376">
        <f t="shared" si="654"/>
        <v>621.3214999999999</v>
      </c>
      <c r="BB463" s="1377"/>
      <c r="BC463" s="1848"/>
      <c r="BD463" s="1820"/>
      <c r="BE463" s="1823"/>
      <c r="BF463" s="1826"/>
      <c r="BG463" s="1829"/>
    </row>
    <row r="464" spans="1:59" s="1378" customFormat="1" ht="38.25">
      <c r="A464" s="1347" t="str">
        <f>A455</f>
        <v>Glooko Inc.</v>
      </c>
      <c r="B464" s="1348" t="str">
        <f>B455</f>
        <v>Woodruff-Sawyer</v>
      </c>
      <c r="C464" s="1348">
        <f>C455</f>
        <v>84</v>
      </c>
      <c r="D464" s="1349">
        <f>D$1078</f>
        <v>43101</v>
      </c>
      <c r="E464" s="1349"/>
      <c r="F464" s="1347" t="s">
        <v>113</v>
      </c>
      <c r="G464" s="1347" t="s">
        <v>85</v>
      </c>
      <c r="H464" s="1347" t="s">
        <v>85</v>
      </c>
      <c r="I464" s="1347" t="s">
        <v>113</v>
      </c>
      <c r="J464" s="1349"/>
      <c r="K464" s="1349" t="s">
        <v>254</v>
      </c>
      <c r="L464" s="1350" t="s">
        <v>4682</v>
      </c>
      <c r="M464" s="1350" t="s">
        <v>4741</v>
      </c>
      <c r="N464" s="1351" t="s">
        <v>4742</v>
      </c>
      <c r="O464" s="1352" t="s">
        <v>5065</v>
      </c>
      <c r="P464" s="1388"/>
      <c r="Q464" s="1354"/>
      <c r="R464" s="1354"/>
      <c r="S464" s="1354"/>
      <c r="T464" s="1354"/>
      <c r="U464" s="1354"/>
      <c r="V464" s="1354"/>
      <c r="W464" s="1354"/>
      <c r="X464" s="1353">
        <f t="shared" ref="X464:Y464" si="658">X$1078</f>
        <v>43101</v>
      </c>
      <c r="Y464" s="1353">
        <f t="shared" si="658"/>
        <v>43466</v>
      </c>
      <c r="Z464" s="1355"/>
      <c r="AA464" s="1355" t="s">
        <v>4679</v>
      </c>
      <c r="AB464" s="1356"/>
      <c r="AC464" s="1356"/>
      <c r="AD464" s="1356"/>
      <c r="AE464" s="1356"/>
      <c r="AF464" s="1357"/>
      <c r="AG464" s="1358">
        <f t="shared" si="543"/>
        <v>7.0100000000000007</v>
      </c>
      <c r="AH464" s="1358">
        <v>84.12</v>
      </c>
      <c r="AI464" s="1359">
        <v>0.1</v>
      </c>
      <c r="AJ464" s="1360">
        <f t="shared" si="655"/>
        <v>0.70100000000000007</v>
      </c>
      <c r="AK464" s="1361">
        <f t="shared" si="656"/>
        <v>8.4120000000000008</v>
      </c>
      <c r="AL464" s="1384">
        <v>0</v>
      </c>
      <c r="AM464" s="1363">
        <f t="shared" si="644"/>
        <v>0</v>
      </c>
      <c r="AN464" s="1364">
        <v>0.08</v>
      </c>
      <c r="AO464" s="1365">
        <f t="shared" si="645"/>
        <v>6.7296000000000005</v>
      </c>
      <c r="AP464" s="1366">
        <v>0</v>
      </c>
      <c r="AQ464" s="1367">
        <f t="shared" si="646"/>
        <v>0</v>
      </c>
      <c r="AR464" s="1368">
        <v>0</v>
      </c>
      <c r="AS464" s="1369">
        <f t="shared" si="647"/>
        <v>0</v>
      </c>
      <c r="AT464" s="1370">
        <v>0</v>
      </c>
      <c r="AU464" s="1371">
        <f t="shared" si="648"/>
        <v>0</v>
      </c>
      <c r="AV464" s="1359">
        <f t="shared" si="657"/>
        <v>2.0000000000000004E-2</v>
      </c>
      <c r="AW464" s="1372">
        <f t="shared" si="650"/>
        <v>1.6824000000000003</v>
      </c>
      <c r="AX464" s="1373">
        <f t="shared" si="651"/>
        <v>2.0000000000000004E-2</v>
      </c>
      <c r="AY464" s="1374">
        <f t="shared" si="652"/>
        <v>1.6824000000000003</v>
      </c>
      <c r="AZ464" s="1375">
        <f t="shared" si="653"/>
        <v>2.0000000000000004E-2</v>
      </c>
      <c r="BA464" s="1376">
        <f t="shared" si="654"/>
        <v>1.6824000000000003</v>
      </c>
      <c r="BB464" s="1377"/>
      <c r="BC464" s="1848"/>
      <c r="BD464" s="1820"/>
      <c r="BE464" s="1823"/>
      <c r="BF464" s="1826"/>
      <c r="BG464" s="1829"/>
    </row>
    <row r="465" spans="1:59" s="1378" customFormat="1" ht="38.25">
      <c r="A465" s="1347" t="str">
        <f>L455</f>
        <v>Glooko Inc.</v>
      </c>
      <c r="B465" s="1348" t="str">
        <f>N455</f>
        <v>Woodruff-Sawyer</v>
      </c>
      <c r="C465" s="1348">
        <f>Z455</f>
        <v>84</v>
      </c>
      <c r="D465" s="1349">
        <v>43101</v>
      </c>
      <c r="E465" s="1349"/>
      <c r="F465" s="1347" t="s">
        <v>113</v>
      </c>
      <c r="G465" s="1347" t="s">
        <v>85</v>
      </c>
      <c r="H465" s="1347" t="s">
        <v>85</v>
      </c>
      <c r="I465" s="1347" t="s">
        <v>113</v>
      </c>
      <c r="J465" s="1349"/>
      <c r="K465" s="1349" t="s">
        <v>254</v>
      </c>
      <c r="L465" s="1350" t="s">
        <v>4682</v>
      </c>
      <c r="M465" s="1350" t="s">
        <v>67</v>
      </c>
      <c r="N465" s="1351" t="s">
        <v>102</v>
      </c>
      <c r="O465" s="1352" t="s">
        <v>4689</v>
      </c>
      <c r="P465" s="1388"/>
      <c r="Q465" s="1354"/>
      <c r="R465" s="1354"/>
      <c r="S465" s="1354"/>
      <c r="T465" s="1354"/>
      <c r="U465" s="1354"/>
      <c r="V465" s="1354"/>
      <c r="W465" s="1354"/>
      <c r="X465" s="1353">
        <v>43101</v>
      </c>
      <c r="Y465" s="1353">
        <v>43466</v>
      </c>
      <c r="Z465" s="1355"/>
      <c r="AA465" s="1355" t="s">
        <v>4685</v>
      </c>
      <c r="AB465" s="1356"/>
      <c r="AC465" s="1356"/>
      <c r="AD465" s="1356"/>
      <c r="AE465" s="1356"/>
      <c r="AF465" s="1357"/>
      <c r="AG465" s="1358">
        <f t="shared" si="543"/>
        <v>1980.8933333333334</v>
      </c>
      <c r="AH465" s="1358">
        <v>23770.720000000001</v>
      </c>
      <c r="AI465" s="1359">
        <v>0.15</v>
      </c>
      <c r="AJ465" s="1360">
        <f t="shared" si="655"/>
        <v>297.13400000000001</v>
      </c>
      <c r="AK465" s="1361">
        <f t="shared" si="656"/>
        <v>3565.6080000000002</v>
      </c>
      <c r="AL465" s="1384">
        <v>0</v>
      </c>
      <c r="AM465" s="1363">
        <f t="shared" si="644"/>
        <v>0</v>
      </c>
      <c r="AN465" s="1364">
        <v>0.1</v>
      </c>
      <c r="AO465" s="1365">
        <f t="shared" si="645"/>
        <v>2377.0720000000001</v>
      </c>
      <c r="AP465" s="1366">
        <v>0</v>
      </c>
      <c r="AQ465" s="1367">
        <f t="shared" si="646"/>
        <v>0</v>
      </c>
      <c r="AR465" s="1368">
        <v>0</v>
      </c>
      <c r="AS465" s="1369">
        <f t="shared" si="647"/>
        <v>0</v>
      </c>
      <c r="AT465" s="1370">
        <v>0</v>
      </c>
      <c r="AU465" s="1371">
        <f t="shared" si="648"/>
        <v>0</v>
      </c>
      <c r="AV465" s="1359">
        <f t="shared" si="657"/>
        <v>4.9999999999999989E-2</v>
      </c>
      <c r="AW465" s="1372">
        <f t="shared" si="650"/>
        <v>1188.5359999999998</v>
      </c>
      <c r="AX465" s="1373">
        <f t="shared" si="651"/>
        <v>4.9999999999999989E-2</v>
      </c>
      <c r="AY465" s="1374">
        <f t="shared" si="652"/>
        <v>1188.5359999999998</v>
      </c>
      <c r="AZ465" s="1375">
        <f t="shared" si="653"/>
        <v>4.9999999999999989E-2</v>
      </c>
      <c r="BA465" s="1376">
        <f t="shared" si="654"/>
        <v>1188.5359999999998</v>
      </c>
      <c r="BB465" s="1377"/>
      <c r="BC465" s="1848"/>
      <c r="BD465" s="1820"/>
      <c r="BE465" s="1823"/>
      <c r="BF465" s="1826"/>
      <c r="BG465" s="1829"/>
    </row>
    <row r="466" spans="1:59" s="1378" customFormat="1" ht="38.25">
      <c r="A466" s="1347" t="str">
        <f>L455</f>
        <v>Glooko Inc.</v>
      </c>
      <c r="B466" s="1348" t="str">
        <f>N455</f>
        <v>Woodruff-Sawyer</v>
      </c>
      <c r="C466" s="1348">
        <f>Z455</f>
        <v>84</v>
      </c>
      <c r="D466" s="1349">
        <v>43101</v>
      </c>
      <c r="E466" s="1349"/>
      <c r="F466" s="1347" t="s">
        <v>113</v>
      </c>
      <c r="G466" s="1347" t="s">
        <v>85</v>
      </c>
      <c r="H466" s="1347" t="s">
        <v>85</v>
      </c>
      <c r="I466" s="1347" t="s">
        <v>113</v>
      </c>
      <c r="J466" s="1349" t="s">
        <v>4690</v>
      </c>
      <c r="K466" s="1349" t="s">
        <v>254</v>
      </c>
      <c r="L466" s="1350" t="s">
        <v>4682</v>
      </c>
      <c r="M466" s="1350" t="s">
        <v>4691</v>
      </c>
      <c r="N466" s="1351" t="s">
        <v>94</v>
      </c>
      <c r="O466" s="1352" t="s">
        <v>4692</v>
      </c>
      <c r="P466" s="1388"/>
      <c r="Q466" s="1354"/>
      <c r="R466" s="1354"/>
      <c r="S466" s="1354"/>
      <c r="T466" s="1354"/>
      <c r="U466" s="1354"/>
      <c r="V466" s="1354"/>
      <c r="W466" s="1354"/>
      <c r="X466" s="1353">
        <v>43101</v>
      </c>
      <c r="Y466" s="1353">
        <v>43466</v>
      </c>
      <c r="Z466" s="1355">
        <v>19</v>
      </c>
      <c r="AA466" s="1355" t="s">
        <v>4685</v>
      </c>
      <c r="AB466" s="1356"/>
      <c r="AC466" s="1356"/>
      <c r="AD466" s="1356"/>
      <c r="AE466" s="1356"/>
      <c r="AF466" s="1357" t="str">
        <f t="shared" si="572"/>
        <v/>
      </c>
      <c r="AG466" s="1358">
        <v>320.45999999999998</v>
      </c>
      <c r="AH466" s="1358">
        <f t="shared" ref="AH466:AH468" si="659">AG466*12</f>
        <v>3845.5199999999995</v>
      </c>
      <c r="AI466" s="1359">
        <v>0.15</v>
      </c>
      <c r="AJ466" s="1360">
        <f t="shared" si="655"/>
        <v>48.068999999999996</v>
      </c>
      <c r="AK466" s="1361">
        <f t="shared" si="656"/>
        <v>576.82799999999986</v>
      </c>
      <c r="AL466" s="1384">
        <v>0</v>
      </c>
      <c r="AM466" s="1363">
        <f t="shared" si="644"/>
        <v>0</v>
      </c>
      <c r="AN466" s="1364">
        <v>0.1</v>
      </c>
      <c r="AO466" s="1365">
        <f t="shared" si="645"/>
        <v>384.55199999999996</v>
      </c>
      <c r="AP466" s="1366">
        <v>0</v>
      </c>
      <c r="AQ466" s="1367">
        <f t="shared" si="646"/>
        <v>0</v>
      </c>
      <c r="AR466" s="1368">
        <v>0</v>
      </c>
      <c r="AS466" s="1369">
        <f t="shared" si="647"/>
        <v>0</v>
      </c>
      <c r="AT466" s="1370">
        <v>0</v>
      </c>
      <c r="AU466" s="1371">
        <f t="shared" si="648"/>
        <v>0</v>
      </c>
      <c r="AV466" s="1359">
        <f t="shared" si="657"/>
        <v>4.9999999999999989E-2</v>
      </c>
      <c r="AW466" s="1372">
        <f t="shared" si="650"/>
        <v>192.27599999999993</v>
      </c>
      <c r="AX466" s="1373">
        <f t="shared" si="651"/>
        <v>4.9999999999999989E-2</v>
      </c>
      <c r="AY466" s="1374">
        <f t="shared" si="652"/>
        <v>192.27599999999993</v>
      </c>
      <c r="AZ466" s="1375">
        <f t="shared" si="653"/>
        <v>4.9999999999999989E-2</v>
      </c>
      <c r="BA466" s="1376">
        <f t="shared" si="654"/>
        <v>192.27599999999993</v>
      </c>
      <c r="BB466" s="1377"/>
      <c r="BC466" s="1848"/>
      <c r="BD466" s="1820"/>
      <c r="BE466" s="1823"/>
      <c r="BF466" s="1826"/>
      <c r="BG466" s="1829"/>
    </row>
    <row r="467" spans="1:59" s="1378" customFormat="1" ht="38.25">
      <c r="A467" s="1347" t="str">
        <f>L455</f>
        <v>Glooko Inc.</v>
      </c>
      <c r="B467" s="1348" t="str">
        <f>N455</f>
        <v>Woodruff-Sawyer</v>
      </c>
      <c r="C467" s="1348">
        <f>Z455</f>
        <v>84</v>
      </c>
      <c r="D467" s="1349">
        <v>43101</v>
      </c>
      <c r="E467" s="1349"/>
      <c r="F467" s="1347" t="s">
        <v>113</v>
      </c>
      <c r="G467" s="1347" t="s">
        <v>85</v>
      </c>
      <c r="H467" s="1347" t="s">
        <v>85</v>
      </c>
      <c r="I467" s="1347" t="s">
        <v>113</v>
      </c>
      <c r="J467" s="1349" t="s">
        <v>4690</v>
      </c>
      <c r="K467" s="1349" t="s">
        <v>254</v>
      </c>
      <c r="L467" s="1350" t="s">
        <v>4682</v>
      </c>
      <c r="M467" s="1350" t="s">
        <v>4691</v>
      </c>
      <c r="N467" s="1351" t="s">
        <v>98</v>
      </c>
      <c r="O467" s="1352" t="s">
        <v>4693</v>
      </c>
      <c r="P467" s="1388"/>
      <c r="Q467" s="1354"/>
      <c r="R467" s="1354"/>
      <c r="S467" s="1354"/>
      <c r="T467" s="1354"/>
      <c r="U467" s="1354"/>
      <c r="V467" s="1354"/>
      <c r="W467" s="1354"/>
      <c r="X467" s="1353">
        <v>43101</v>
      </c>
      <c r="Y467" s="1353">
        <v>43466</v>
      </c>
      <c r="Z467" s="1355">
        <v>30</v>
      </c>
      <c r="AA467" s="1355" t="s">
        <v>4685</v>
      </c>
      <c r="AB467" s="1356"/>
      <c r="AC467" s="1356"/>
      <c r="AD467" s="1356"/>
      <c r="AE467" s="1356"/>
      <c r="AF467" s="1357" t="str">
        <f t="shared" si="572"/>
        <v/>
      </c>
      <c r="AG467" s="1358">
        <v>211.02</v>
      </c>
      <c r="AH467" s="1358">
        <f t="shared" si="659"/>
        <v>2532.2400000000002</v>
      </c>
      <c r="AI467" s="1359">
        <v>0.15</v>
      </c>
      <c r="AJ467" s="1360">
        <f t="shared" si="655"/>
        <v>31.652999999999999</v>
      </c>
      <c r="AK467" s="1361">
        <f t="shared" si="656"/>
        <v>379.83600000000001</v>
      </c>
      <c r="AL467" s="1384">
        <v>0</v>
      </c>
      <c r="AM467" s="1363">
        <f t="shared" si="644"/>
        <v>0</v>
      </c>
      <c r="AN467" s="1364">
        <v>0.1</v>
      </c>
      <c r="AO467" s="1365">
        <f t="shared" si="645"/>
        <v>253.22400000000005</v>
      </c>
      <c r="AP467" s="1366">
        <v>0</v>
      </c>
      <c r="AQ467" s="1367">
        <f t="shared" si="646"/>
        <v>0</v>
      </c>
      <c r="AR467" s="1368">
        <v>0</v>
      </c>
      <c r="AS467" s="1369">
        <f t="shared" si="647"/>
        <v>0</v>
      </c>
      <c r="AT467" s="1370">
        <v>0</v>
      </c>
      <c r="AU467" s="1371">
        <f t="shared" si="648"/>
        <v>0</v>
      </c>
      <c r="AV467" s="1359">
        <f t="shared" si="657"/>
        <v>4.9999999999999989E-2</v>
      </c>
      <c r="AW467" s="1372">
        <f t="shared" si="650"/>
        <v>126.61199999999998</v>
      </c>
      <c r="AX467" s="1373">
        <f t="shared" si="651"/>
        <v>4.9999999999999989E-2</v>
      </c>
      <c r="AY467" s="1374">
        <f t="shared" si="652"/>
        <v>126.61199999999998</v>
      </c>
      <c r="AZ467" s="1375">
        <f t="shared" si="653"/>
        <v>4.9999999999999989E-2</v>
      </c>
      <c r="BA467" s="1376">
        <f t="shared" si="654"/>
        <v>126.61199999999998</v>
      </c>
      <c r="BB467" s="1377"/>
      <c r="BC467" s="1848"/>
      <c r="BD467" s="1820"/>
      <c r="BE467" s="1823"/>
      <c r="BF467" s="1826"/>
      <c r="BG467" s="1829"/>
    </row>
    <row r="468" spans="1:59" s="1378" customFormat="1" ht="38.25">
      <c r="A468" s="1347" t="str">
        <f>L455</f>
        <v>Glooko Inc.</v>
      </c>
      <c r="B468" s="1348" t="str">
        <f>N455</f>
        <v>Woodruff-Sawyer</v>
      </c>
      <c r="C468" s="1348">
        <f>Z455</f>
        <v>84</v>
      </c>
      <c r="D468" s="1349">
        <v>43101</v>
      </c>
      <c r="E468" s="1349"/>
      <c r="F468" s="1347" t="s">
        <v>113</v>
      </c>
      <c r="G468" s="1347" t="s">
        <v>85</v>
      </c>
      <c r="H468" s="1347" t="s">
        <v>85</v>
      </c>
      <c r="I468" s="1347" t="s">
        <v>113</v>
      </c>
      <c r="J468" s="1349" t="s">
        <v>4690</v>
      </c>
      <c r="K468" s="1349" t="s">
        <v>254</v>
      </c>
      <c r="L468" s="1350" t="s">
        <v>4682</v>
      </c>
      <c r="M468" s="1350" t="s">
        <v>4691</v>
      </c>
      <c r="N468" s="1351" t="s">
        <v>4857</v>
      </c>
      <c r="O468" s="1352" t="s">
        <v>4695</v>
      </c>
      <c r="P468" s="1388"/>
      <c r="Q468" s="1354"/>
      <c r="R468" s="1354"/>
      <c r="S468" s="1354"/>
      <c r="T468" s="1354"/>
      <c r="U468" s="1354"/>
      <c r="V468" s="1354"/>
      <c r="W468" s="1354"/>
      <c r="X468" s="1353">
        <v>43101</v>
      </c>
      <c r="Y468" s="1353">
        <v>43466</v>
      </c>
      <c r="Z468" s="1355">
        <v>14</v>
      </c>
      <c r="AA468" s="1355" t="s">
        <v>4685</v>
      </c>
      <c r="AB468" s="1356"/>
      <c r="AC468" s="1356"/>
      <c r="AD468" s="1356"/>
      <c r="AE468" s="1356"/>
      <c r="AF468" s="1357" t="str">
        <f t="shared" si="572"/>
        <v/>
      </c>
      <c r="AG468" s="1358">
        <v>290.52</v>
      </c>
      <c r="AH468" s="1358">
        <f t="shared" si="659"/>
        <v>3486.24</v>
      </c>
      <c r="AI468" s="1359">
        <v>0.15</v>
      </c>
      <c r="AJ468" s="1360">
        <f t="shared" si="655"/>
        <v>43.577999999999996</v>
      </c>
      <c r="AK468" s="1361">
        <f t="shared" si="656"/>
        <v>522.93599999999992</v>
      </c>
      <c r="AL468" s="1384">
        <v>0</v>
      </c>
      <c r="AM468" s="1363">
        <f t="shared" si="644"/>
        <v>0</v>
      </c>
      <c r="AN468" s="1364">
        <v>0.1</v>
      </c>
      <c r="AO468" s="1365">
        <f t="shared" si="645"/>
        <v>348.62400000000002</v>
      </c>
      <c r="AP468" s="1366">
        <v>0</v>
      </c>
      <c r="AQ468" s="1367">
        <f t="shared" si="646"/>
        <v>0</v>
      </c>
      <c r="AR468" s="1368">
        <v>0</v>
      </c>
      <c r="AS468" s="1369">
        <f t="shared" si="647"/>
        <v>0</v>
      </c>
      <c r="AT468" s="1370">
        <v>0</v>
      </c>
      <c r="AU468" s="1371">
        <f t="shared" si="648"/>
        <v>0</v>
      </c>
      <c r="AV468" s="1359">
        <f t="shared" si="657"/>
        <v>4.9999999999999989E-2</v>
      </c>
      <c r="AW468" s="1372">
        <f t="shared" si="650"/>
        <v>174.31199999999995</v>
      </c>
      <c r="AX468" s="1373">
        <f t="shared" si="651"/>
        <v>4.9999999999999989E-2</v>
      </c>
      <c r="AY468" s="1374">
        <f t="shared" si="652"/>
        <v>174.31199999999995</v>
      </c>
      <c r="AZ468" s="1375">
        <f t="shared" si="653"/>
        <v>4.9999999999999989E-2</v>
      </c>
      <c r="BA468" s="1376">
        <f t="shared" si="654"/>
        <v>174.31199999999995</v>
      </c>
      <c r="BB468" s="1377"/>
      <c r="BC468" s="1848"/>
      <c r="BD468" s="1820"/>
      <c r="BE468" s="1823"/>
      <c r="BF468" s="1826"/>
      <c r="BG468" s="1829"/>
    </row>
    <row r="469" spans="1:59" s="1378" customFormat="1" ht="27.75" customHeight="1">
      <c r="A469" s="1347" t="s">
        <v>1260</v>
      </c>
      <c r="B469" s="1348" t="s">
        <v>3659</v>
      </c>
      <c r="C469" s="1348">
        <v>73</v>
      </c>
      <c r="D469" s="1349">
        <v>43101</v>
      </c>
      <c r="E469" s="1349"/>
      <c r="F469" s="1347" t="s">
        <v>72</v>
      </c>
      <c r="G469" s="1347" t="s">
        <v>85</v>
      </c>
      <c r="H469" s="1347" t="s">
        <v>72</v>
      </c>
      <c r="I469" s="1347" t="s">
        <v>72</v>
      </c>
      <c r="J469" s="1349" t="s">
        <v>4670</v>
      </c>
      <c r="K469" s="1349" t="s">
        <v>254</v>
      </c>
      <c r="L469" s="1350" t="s">
        <v>4696</v>
      </c>
      <c r="M469" s="1350" t="s">
        <v>4697</v>
      </c>
      <c r="N469" s="1389" t="s">
        <v>4698</v>
      </c>
      <c r="O469" s="1352" t="s">
        <v>4699</v>
      </c>
      <c r="P469" s="1388"/>
      <c r="Q469" s="1354"/>
      <c r="R469" s="1354"/>
      <c r="S469" s="1354"/>
      <c r="T469" s="1354"/>
      <c r="U469" s="1354"/>
      <c r="V469" s="1354"/>
      <c r="W469" s="1354"/>
      <c r="X469" s="1353">
        <v>43101</v>
      </c>
      <c r="Y469" s="1353">
        <v>43466</v>
      </c>
      <c r="Z469" s="1355"/>
      <c r="AA469" s="1355" t="s">
        <v>4674</v>
      </c>
      <c r="AB469" s="1356"/>
      <c r="AC469" s="1356"/>
      <c r="AD469" s="1356"/>
      <c r="AE469" s="1356"/>
      <c r="AF469" s="1357" t="str">
        <f t="shared" si="572"/>
        <v/>
      </c>
      <c r="AG469" s="1380"/>
      <c r="AH469" s="1380"/>
      <c r="AI469" s="1381">
        <v>0</v>
      </c>
      <c r="AJ469" s="1382">
        <f t="shared" si="655"/>
        <v>0</v>
      </c>
      <c r="AK469" s="1383">
        <f t="shared" si="656"/>
        <v>0</v>
      </c>
      <c r="AL469" s="1384">
        <v>0</v>
      </c>
      <c r="AM469" s="1363">
        <f t="shared" si="644"/>
        <v>0</v>
      </c>
      <c r="AN469" s="1364">
        <v>0</v>
      </c>
      <c r="AO469" s="1365">
        <f t="shared" si="645"/>
        <v>0</v>
      </c>
      <c r="AP469" s="1366">
        <v>0</v>
      </c>
      <c r="AQ469" s="1367">
        <f t="shared" si="646"/>
        <v>0</v>
      </c>
      <c r="AR469" s="1368">
        <v>0</v>
      </c>
      <c r="AS469" s="1369">
        <f t="shared" si="647"/>
        <v>0</v>
      </c>
      <c r="AT469" s="1370">
        <v>0</v>
      </c>
      <c r="AU469" s="1371">
        <f t="shared" si="648"/>
        <v>0</v>
      </c>
      <c r="AV469" s="1359">
        <f t="shared" si="657"/>
        <v>0</v>
      </c>
      <c r="AW469" s="1372">
        <f t="shared" si="650"/>
        <v>0</v>
      </c>
      <c r="AX469" s="1373">
        <f t="shared" si="651"/>
        <v>0</v>
      </c>
      <c r="AY469" s="1374">
        <f t="shared" si="652"/>
        <v>0</v>
      </c>
      <c r="AZ469" s="1375">
        <f t="shared" si="653"/>
        <v>0</v>
      </c>
      <c r="BA469" s="1376">
        <f t="shared" si="654"/>
        <v>0</v>
      </c>
      <c r="BB469" s="1377"/>
      <c r="BC469" s="1848"/>
      <c r="BD469" s="1820"/>
      <c r="BE469" s="1823"/>
      <c r="BF469" s="1826"/>
      <c r="BG469" s="1829"/>
    </row>
    <row r="470" spans="1:59" s="1378" customFormat="1" ht="38.25">
      <c r="A470" s="1347" t="str">
        <f>L455</f>
        <v>Glooko Inc.</v>
      </c>
      <c r="B470" s="1348" t="str">
        <f>N455</f>
        <v>Woodruff-Sawyer</v>
      </c>
      <c r="C470" s="1348">
        <f>Z455</f>
        <v>84</v>
      </c>
      <c r="D470" s="1349">
        <v>43101</v>
      </c>
      <c r="E470" s="1349"/>
      <c r="F470" s="1347" t="s">
        <v>72</v>
      </c>
      <c r="G470" s="1347" t="s">
        <v>4700</v>
      </c>
      <c r="H470" s="1347" t="s">
        <v>72</v>
      </c>
      <c r="I470" s="1347" t="s">
        <v>72</v>
      </c>
      <c r="J470" s="1349" t="s">
        <v>4670</v>
      </c>
      <c r="K470" s="1349" t="s">
        <v>254</v>
      </c>
      <c r="L470" s="1350" t="s">
        <v>48</v>
      </c>
      <c r="M470" s="1350" t="s">
        <v>3652</v>
      </c>
      <c r="N470" s="1390" t="s">
        <v>5066</v>
      </c>
      <c r="O470" s="1352" t="s">
        <v>4702</v>
      </c>
      <c r="P470" s="1388"/>
      <c r="Q470" s="1354"/>
      <c r="R470" s="1354"/>
      <c r="S470" s="1354"/>
      <c r="T470" s="1354"/>
      <c r="U470" s="1354"/>
      <c r="V470" s="1354"/>
      <c r="W470" s="1354"/>
      <c r="X470" s="1353">
        <v>43101</v>
      </c>
      <c r="Y470" s="1353">
        <v>43466</v>
      </c>
      <c r="Z470" s="1355"/>
      <c r="AA470" s="1355" t="s">
        <v>4674</v>
      </c>
      <c r="AB470" s="1356"/>
      <c r="AC470" s="1356"/>
      <c r="AD470" s="1356"/>
      <c r="AE470" s="1356"/>
      <c r="AF470" s="1357" t="str">
        <f t="shared" ref="AF470:AF531" si="660">IFERROR((AE470/AB470),"")</f>
        <v/>
      </c>
      <c r="AG470" s="1380"/>
      <c r="AH470" s="1380"/>
      <c r="AI470" s="1381">
        <v>0</v>
      </c>
      <c r="AJ470" s="1383">
        <v>0</v>
      </c>
      <c r="AK470" s="1383">
        <v>0</v>
      </c>
      <c r="AL470" s="1384">
        <v>0</v>
      </c>
      <c r="AM470" s="1363">
        <f t="shared" si="644"/>
        <v>0</v>
      </c>
      <c r="AN470" s="1364">
        <v>0</v>
      </c>
      <c r="AO470" s="1365">
        <f t="shared" si="645"/>
        <v>0</v>
      </c>
      <c r="AP470" s="1366">
        <v>0</v>
      </c>
      <c r="AQ470" s="1367">
        <f t="shared" si="646"/>
        <v>0</v>
      </c>
      <c r="AR470" s="1368">
        <v>0</v>
      </c>
      <c r="AS470" s="1369">
        <f t="shared" si="647"/>
        <v>0</v>
      </c>
      <c r="AT470" s="1370">
        <v>0</v>
      </c>
      <c r="AU470" s="1371">
        <f t="shared" si="648"/>
        <v>0</v>
      </c>
      <c r="AV470" s="1359">
        <f t="shared" si="657"/>
        <v>0</v>
      </c>
      <c r="AW470" s="1372">
        <f t="shared" si="650"/>
        <v>0</v>
      </c>
      <c r="AX470" s="1373">
        <f t="shared" si="651"/>
        <v>0</v>
      </c>
      <c r="AY470" s="1374">
        <f t="shared" si="652"/>
        <v>0</v>
      </c>
      <c r="AZ470" s="1375">
        <f t="shared" si="653"/>
        <v>0</v>
      </c>
      <c r="BA470" s="1376">
        <f t="shared" si="654"/>
        <v>0</v>
      </c>
      <c r="BB470" s="1377"/>
      <c r="BC470" s="1848"/>
      <c r="BD470" s="1820"/>
      <c r="BE470" s="1823"/>
      <c r="BF470" s="1826"/>
      <c r="BG470" s="1829"/>
    </row>
    <row r="471" spans="1:59" s="1378" customFormat="1" ht="38.25">
      <c r="A471" s="1347" t="str">
        <f>L455</f>
        <v>Glooko Inc.</v>
      </c>
      <c r="B471" s="1348" t="str">
        <f>N455</f>
        <v>Woodruff-Sawyer</v>
      </c>
      <c r="C471" s="1348">
        <f>Z455</f>
        <v>84</v>
      </c>
      <c r="D471" s="1349">
        <v>43101</v>
      </c>
      <c r="E471" s="1349"/>
      <c r="F471" s="1347" t="s">
        <v>72</v>
      </c>
      <c r="G471" s="1347" t="s">
        <v>85</v>
      </c>
      <c r="H471" s="1347" t="s">
        <v>72</v>
      </c>
      <c r="I471" s="1347" t="s">
        <v>72</v>
      </c>
      <c r="J471" s="1349" t="s">
        <v>4670</v>
      </c>
      <c r="K471" s="1349" t="s">
        <v>254</v>
      </c>
      <c r="L471" s="1350" t="s">
        <v>48</v>
      </c>
      <c r="M471" s="1350" t="s">
        <v>253</v>
      </c>
      <c r="N471" s="1390" t="s">
        <v>4703</v>
      </c>
      <c r="O471" s="1352" t="s">
        <v>4704</v>
      </c>
      <c r="P471" s="1388"/>
      <c r="Q471" s="1354"/>
      <c r="R471" s="1354"/>
      <c r="S471" s="1354"/>
      <c r="T471" s="1354"/>
      <c r="U471" s="1354"/>
      <c r="V471" s="1354"/>
      <c r="W471" s="1354"/>
      <c r="X471" s="1353">
        <v>43101</v>
      </c>
      <c r="Y471" s="1353">
        <v>43466</v>
      </c>
      <c r="Z471" s="1355"/>
      <c r="AA471" s="1355" t="s">
        <v>4674</v>
      </c>
      <c r="AB471" s="1356"/>
      <c r="AC471" s="1356"/>
      <c r="AD471" s="1356"/>
      <c r="AE471" s="1356"/>
      <c r="AF471" s="1357" t="str">
        <f t="shared" si="660"/>
        <v/>
      </c>
      <c r="AG471" s="1380"/>
      <c r="AH471" s="1380"/>
      <c r="AI471" s="1381">
        <v>0</v>
      </c>
      <c r="AJ471" s="1383">
        <v>0</v>
      </c>
      <c r="AK471" s="1383">
        <v>0</v>
      </c>
      <c r="AL471" s="1384">
        <v>0</v>
      </c>
      <c r="AM471" s="1363">
        <f t="shared" si="644"/>
        <v>0</v>
      </c>
      <c r="AN471" s="1364">
        <v>0</v>
      </c>
      <c r="AO471" s="1365">
        <f t="shared" si="645"/>
        <v>0</v>
      </c>
      <c r="AP471" s="1366">
        <v>0</v>
      </c>
      <c r="AQ471" s="1367">
        <f t="shared" si="646"/>
        <v>0</v>
      </c>
      <c r="AR471" s="1368">
        <v>0</v>
      </c>
      <c r="AS471" s="1369">
        <f t="shared" si="647"/>
        <v>0</v>
      </c>
      <c r="AT471" s="1370">
        <v>0</v>
      </c>
      <c r="AU471" s="1371">
        <f t="shared" si="648"/>
        <v>0</v>
      </c>
      <c r="AV471" s="1359">
        <f t="shared" si="657"/>
        <v>0</v>
      </c>
      <c r="AW471" s="1372">
        <f t="shared" si="650"/>
        <v>0</v>
      </c>
      <c r="AX471" s="1373">
        <f t="shared" si="651"/>
        <v>0</v>
      </c>
      <c r="AY471" s="1374">
        <f t="shared" si="652"/>
        <v>0</v>
      </c>
      <c r="AZ471" s="1375">
        <f t="shared" si="653"/>
        <v>0</v>
      </c>
      <c r="BA471" s="1376">
        <f t="shared" si="654"/>
        <v>0</v>
      </c>
      <c r="BB471" s="1377"/>
      <c r="BC471" s="1848"/>
      <c r="BD471" s="1820"/>
      <c r="BE471" s="1823"/>
      <c r="BF471" s="1826"/>
      <c r="BG471" s="1829"/>
    </row>
    <row r="472" spans="1:59" s="1378" customFormat="1" ht="38.25">
      <c r="A472" s="1347" t="str">
        <f>L455</f>
        <v>Glooko Inc.</v>
      </c>
      <c r="B472" s="1348" t="str">
        <f>N455</f>
        <v>Woodruff-Sawyer</v>
      </c>
      <c r="C472" s="1348">
        <f>Z455</f>
        <v>84</v>
      </c>
      <c r="D472" s="1349">
        <v>43101</v>
      </c>
      <c r="E472" s="1349"/>
      <c r="F472" s="1347" t="s">
        <v>72</v>
      </c>
      <c r="G472" s="1347" t="s">
        <v>85</v>
      </c>
      <c r="H472" s="1347" t="s">
        <v>72</v>
      </c>
      <c r="I472" s="1347" t="s">
        <v>72</v>
      </c>
      <c r="J472" s="1349" t="s">
        <v>4670</v>
      </c>
      <c r="K472" s="1349" t="s">
        <v>254</v>
      </c>
      <c r="L472" s="1350" t="s">
        <v>49</v>
      </c>
      <c r="M472" s="1350" t="s">
        <v>4705</v>
      </c>
      <c r="N472" s="1390" t="s">
        <v>4706</v>
      </c>
      <c r="O472" s="1352" t="s">
        <v>4707</v>
      </c>
      <c r="P472" s="1388"/>
      <c r="Q472" s="1354"/>
      <c r="R472" s="1354"/>
      <c r="S472" s="1354"/>
      <c r="T472" s="1354"/>
      <c r="U472" s="1354"/>
      <c r="V472" s="1354"/>
      <c r="W472" s="1354"/>
      <c r="X472" s="1353">
        <v>43101</v>
      </c>
      <c r="Y472" s="1353">
        <v>43466</v>
      </c>
      <c r="Z472" s="1355"/>
      <c r="AA472" s="1355" t="s">
        <v>4674</v>
      </c>
      <c r="AB472" s="1356"/>
      <c r="AC472" s="1356"/>
      <c r="AD472" s="1356"/>
      <c r="AE472" s="1356"/>
      <c r="AF472" s="1357" t="str">
        <f t="shared" si="660"/>
        <v/>
      </c>
      <c r="AG472" s="1380"/>
      <c r="AH472" s="1380"/>
      <c r="AI472" s="1381">
        <v>0</v>
      </c>
      <c r="AJ472" s="1382">
        <f>$AI472*$AG472</f>
        <v>0</v>
      </c>
      <c r="AK472" s="1383">
        <f t="shared" ref="AK472:AK473" si="661">AI472*$AH472</f>
        <v>0</v>
      </c>
      <c r="AL472" s="1384">
        <v>0</v>
      </c>
      <c r="AM472" s="1363">
        <f t="shared" si="644"/>
        <v>0</v>
      </c>
      <c r="AN472" s="1364">
        <v>0</v>
      </c>
      <c r="AO472" s="1365">
        <f t="shared" si="645"/>
        <v>0</v>
      </c>
      <c r="AP472" s="1366">
        <v>0</v>
      </c>
      <c r="AQ472" s="1367">
        <f t="shared" si="646"/>
        <v>0</v>
      </c>
      <c r="AR472" s="1368">
        <v>0</v>
      </c>
      <c r="AS472" s="1369">
        <f t="shared" si="647"/>
        <v>0</v>
      </c>
      <c r="AT472" s="1370">
        <v>0</v>
      </c>
      <c r="AU472" s="1371">
        <f t="shared" si="648"/>
        <v>0</v>
      </c>
      <c r="AV472" s="1359">
        <f t="shared" si="657"/>
        <v>0</v>
      </c>
      <c r="AW472" s="1372">
        <f t="shared" si="650"/>
        <v>0</v>
      </c>
      <c r="AX472" s="1373">
        <f t="shared" si="651"/>
        <v>0</v>
      </c>
      <c r="AY472" s="1374">
        <f t="shared" si="652"/>
        <v>0</v>
      </c>
      <c r="AZ472" s="1375">
        <f t="shared" si="653"/>
        <v>0</v>
      </c>
      <c r="BA472" s="1376">
        <f t="shared" si="654"/>
        <v>0</v>
      </c>
      <c r="BB472" s="1391"/>
      <c r="BC472" s="1848"/>
      <c r="BD472" s="1820"/>
      <c r="BE472" s="1823"/>
      <c r="BF472" s="1826"/>
      <c r="BG472" s="1829"/>
    </row>
    <row r="473" spans="1:59" s="1378" customFormat="1" ht="38.25">
      <c r="A473" s="1347" t="str">
        <f>L455</f>
        <v>Glooko Inc.</v>
      </c>
      <c r="B473" s="1348" t="str">
        <f>N455</f>
        <v>Woodruff-Sawyer</v>
      </c>
      <c r="C473" s="1348">
        <f>Z455</f>
        <v>84</v>
      </c>
      <c r="D473" s="1349">
        <v>43101</v>
      </c>
      <c r="E473" s="1349"/>
      <c r="F473" s="1347" t="s">
        <v>72</v>
      </c>
      <c r="G473" s="1347" t="s">
        <v>85</v>
      </c>
      <c r="H473" s="1347" t="s">
        <v>72</v>
      </c>
      <c r="I473" s="1347" t="s">
        <v>72</v>
      </c>
      <c r="J473" s="1349" t="s">
        <v>4670</v>
      </c>
      <c r="K473" s="1349" t="s">
        <v>254</v>
      </c>
      <c r="L473" s="1350" t="s">
        <v>3056</v>
      </c>
      <c r="M473" s="1350" t="s">
        <v>4708</v>
      </c>
      <c r="N473" s="1390" t="s">
        <v>4709</v>
      </c>
      <c r="O473" s="1352" t="s">
        <v>4710</v>
      </c>
      <c r="P473" s="1388"/>
      <c r="Q473" s="1354"/>
      <c r="R473" s="1354"/>
      <c r="S473" s="1354"/>
      <c r="T473" s="1354"/>
      <c r="U473" s="1354"/>
      <c r="V473" s="1354"/>
      <c r="W473" s="1354"/>
      <c r="X473" s="1353">
        <v>43101</v>
      </c>
      <c r="Y473" s="1353">
        <v>43466</v>
      </c>
      <c r="Z473" s="1355"/>
      <c r="AA473" s="1355" t="s">
        <v>4674</v>
      </c>
      <c r="AB473" s="1356"/>
      <c r="AC473" s="1356"/>
      <c r="AD473" s="1356"/>
      <c r="AE473" s="1356"/>
      <c r="AF473" s="1357" t="str">
        <f t="shared" si="660"/>
        <v/>
      </c>
      <c r="AG473" s="1380"/>
      <c r="AH473" s="1380"/>
      <c r="AI473" s="1381">
        <v>0</v>
      </c>
      <c r="AJ473" s="1382">
        <f>$AI473*$AG473</f>
        <v>0</v>
      </c>
      <c r="AK473" s="1383">
        <f t="shared" si="661"/>
        <v>0</v>
      </c>
      <c r="AL473" s="1384">
        <v>0</v>
      </c>
      <c r="AM473" s="1363">
        <f t="shared" si="644"/>
        <v>0</v>
      </c>
      <c r="AN473" s="1364">
        <v>0</v>
      </c>
      <c r="AO473" s="1365">
        <f t="shared" si="645"/>
        <v>0</v>
      </c>
      <c r="AP473" s="1366">
        <v>0</v>
      </c>
      <c r="AQ473" s="1367">
        <f t="shared" si="646"/>
        <v>0</v>
      </c>
      <c r="AR473" s="1368">
        <v>0</v>
      </c>
      <c r="AS473" s="1369">
        <f t="shared" si="647"/>
        <v>0</v>
      </c>
      <c r="AT473" s="1370">
        <v>0</v>
      </c>
      <c r="AU473" s="1371">
        <f t="shared" si="648"/>
        <v>0</v>
      </c>
      <c r="AV473" s="1359">
        <f t="shared" si="657"/>
        <v>0</v>
      </c>
      <c r="AW473" s="1372">
        <f t="shared" si="650"/>
        <v>0</v>
      </c>
      <c r="AX473" s="1373">
        <f t="shared" si="651"/>
        <v>0</v>
      </c>
      <c r="AY473" s="1374">
        <f t="shared" si="652"/>
        <v>0</v>
      </c>
      <c r="AZ473" s="1375">
        <f t="shared" si="653"/>
        <v>0</v>
      </c>
      <c r="BA473" s="1376">
        <f t="shared" si="654"/>
        <v>0</v>
      </c>
      <c r="BB473" s="1391"/>
      <c r="BC473" s="1849"/>
      <c r="BD473" s="1821"/>
      <c r="BE473" s="1824"/>
      <c r="BF473" s="1827"/>
      <c r="BG473" s="1830"/>
    </row>
    <row r="474" spans="1:59" s="1315" customFormat="1" ht="51">
      <c r="A474" s="1277" t="str">
        <f t="shared" ref="A474:A481" si="662">L$474</f>
        <v>Hancock Jaffe Laboratories, Inc.</v>
      </c>
      <c r="B474" s="1316" t="str">
        <f>N$1078</f>
        <v>Woodruff-Sawyer</v>
      </c>
      <c r="C474" s="1316">
        <f>Z474</f>
        <v>8</v>
      </c>
      <c r="D474" s="1317">
        <v>43132</v>
      </c>
      <c r="E474" s="1317"/>
      <c r="F474" s="1277" t="s">
        <v>72</v>
      </c>
      <c r="G474" s="1277" t="s">
        <v>72</v>
      </c>
      <c r="H474" s="1277" t="s">
        <v>72</v>
      </c>
      <c r="I474" s="1277" t="s">
        <v>4711</v>
      </c>
      <c r="J474" s="1317"/>
      <c r="K474" s="1317"/>
      <c r="L474" s="1318" t="s">
        <v>3619</v>
      </c>
      <c r="M474" s="1319"/>
      <c r="N474" s="1417" t="s">
        <v>3659</v>
      </c>
      <c r="O474" s="1418" t="s">
        <v>2473</v>
      </c>
      <c r="P474" s="1419"/>
      <c r="Q474" s="1322"/>
      <c r="R474" s="1322"/>
      <c r="S474" s="1322"/>
      <c r="T474" s="1322"/>
      <c r="U474" s="1322"/>
      <c r="V474" s="1322"/>
      <c r="W474" s="1322"/>
      <c r="X474" s="1317">
        <v>43132</v>
      </c>
      <c r="Y474" s="1317">
        <v>43466</v>
      </c>
      <c r="Z474" s="1316">
        <v>8</v>
      </c>
      <c r="AA474" s="1316" t="s">
        <v>5067</v>
      </c>
      <c r="AB474" s="1323">
        <f>SUM(AB475:AB481)</f>
        <v>0</v>
      </c>
      <c r="AC474" s="1323">
        <f>SUM(AC475:AC481)</f>
        <v>0</v>
      </c>
      <c r="AD474" s="1323">
        <f>SUM(AD475:AD481)</f>
        <v>0</v>
      </c>
      <c r="AE474" s="1324">
        <f t="shared" si="642"/>
        <v>0</v>
      </c>
      <c r="AF474" s="1325" t="str">
        <f t="shared" si="660"/>
        <v/>
      </c>
      <c r="AG474" s="1326">
        <f t="shared" ref="AG474:AG536" si="663">AH474/12</f>
        <v>15067.12</v>
      </c>
      <c r="AH474" s="1326">
        <f>SUM(AH475:AH481)</f>
        <v>180805.44</v>
      </c>
      <c r="AI474" s="1339"/>
      <c r="AJ474" s="1328">
        <f>SUM(AJ475:AJ481)</f>
        <v>1233.5798</v>
      </c>
      <c r="AK474" s="1328">
        <f>SUM(AK475:AK481)</f>
        <v>14802.9576</v>
      </c>
      <c r="AL474" s="1329"/>
      <c r="AM474" s="1330">
        <f>SUM(AM475:AM481)</f>
        <v>819.39660000000003</v>
      </c>
      <c r="AN474" s="1331"/>
      <c r="AO474" s="1332">
        <f>SUM(AO475:AO481)</f>
        <v>7909.2624000000005</v>
      </c>
      <c r="AP474" s="1333"/>
      <c r="AQ474" s="1334">
        <f>SUM(AQ475:AQ481)</f>
        <v>0</v>
      </c>
      <c r="AR474" s="1335"/>
      <c r="AS474" s="1336">
        <f>SUM(AS475:AS481)</f>
        <v>0</v>
      </c>
      <c r="AT474" s="1337"/>
      <c r="AU474" s="1338">
        <f>SUM(AU475:AU481)</f>
        <v>4096.9830000000002</v>
      </c>
      <c r="AV474" s="1339"/>
      <c r="AW474" s="1340">
        <f>SUM(AW475:AW481)</f>
        <v>1977.3155999999992</v>
      </c>
      <c r="AX474" s="1306"/>
      <c r="AY474" s="1307">
        <f>SUM(AW474+AS474+AU474)</f>
        <v>6074.2985999999992</v>
      </c>
      <c r="AZ474" s="1341"/>
      <c r="BA474" s="1309">
        <f>SUM(AY474+AQ474)</f>
        <v>6074.2985999999992</v>
      </c>
      <c r="BB474" s="1342">
        <f>(AW474+AU474)/(AK474-AM474)</f>
        <v>0.43438853665386085</v>
      </c>
      <c r="BC474" s="1343"/>
      <c r="BD474" s="1343"/>
      <c r="BE474" s="1344"/>
      <c r="BF474" s="1420" t="s">
        <v>5068</v>
      </c>
      <c r="BG474" s="1346"/>
    </row>
    <row r="475" spans="1:59" s="1378" customFormat="1" ht="76.5">
      <c r="A475" s="1347" t="str">
        <f t="shared" si="662"/>
        <v>Hancock Jaffe Laboratories, Inc.</v>
      </c>
      <c r="B475" s="1348" t="str">
        <f t="shared" ref="B475:B481" si="664">N$474</f>
        <v>Woodruff-Sawyer</v>
      </c>
      <c r="C475" s="1348">
        <f t="shared" ref="C475:C481" si="665">Z$474</f>
        <v>8</v>
      </c>
      <c r="D475" s="1349">
        <f t="shared" ref="D475:D481" si="666">D$474</f>
        <v>43132</v>
      </c>
      <c r="E475" s="1349"/>
      <c r="F475" s="1347" t="s">
        <v>85</v>
      </c>
      <c r="G475" s="1347" t="s">
        <v>85</v>
      </c>
      <c r="H475" s="1347" t="s">
        <v>85</v>
      </c>
      <c r="I475" s="1347" t="s">
        <v>113</v>
      </c>
      <c r="J475" s="1349"/>
      <c r="K475" s="1349" t="s">
        <v>254</v>
      </c>
      <c r="L475" s="1350" t="s">
        <v>2661</v>
      </c>
      <c r="M475" s="1350" t="s">
        <v>3647</v>
      </c>
      <c r="N475" s="1351" t="s">
        <v>5069</v>
      </c>
      <c r="O475" s="1352" t="s">
        <v>5070</v>
      </c>
      <c r="P475" s="1352" t="s">
        <v>5071</v>
      </c>
      <c r="Q475" s="1353" t="s">
        <v>317</v>
      </c>
      <c r="R475" s="1353" t="s">
        <v>3658</v>
      </c>
      <c r="S475" s="1353" t="s">
        <v>307</v>
      </c>
      <c r="T475" s="1353" t="s">
        <v>113</v>
      </c>
      <c r="U475" s="1354"/>
      <c r="V475" s="1354"/>
      <c r="W475" s="1354"/>
      <c r="X475" s="1353">
        <f t="shared" ref="X475:Y481" si="667">X$474</f>
        <v>43132</v>
      </c>
      <c r="Y475" s="1353">
        <f t="shared" si="667"/>
        <v>43466</v>
      </c>
      <c r="Z475" s="1355"/>
      <c r="AA475" s="1355" t="s">
        <v>4667</v>
      </c>
      <c r="AB475" s="1356"/>
      <c r="AC475" s="1356"/>
      <c r="AD475" s="1356"/>
      <c r="AE475" s="1356"/>
      <c r="AF475" s="1357" t="str">
        <f t="shared" si="660"/>
        <v/>
      </c>
      <c r="AG475" s="1358">
        <f t="shared" si="663"/>
        <v>13656.61</v>
      </c>
      <c r="AH475" s="1358">
        <v>163879.32</v>
      </c>
      <c r="AI475" s="1359">
        <v>0.08</v>
      </c>
      <c r="AJ475" s="1360">
        <f t="shared" ref="AJ475:AJ481" si="668">$AI475*$AG475</f>
        <v>1092.5288</v>
      </c>
      <c r="AK475" s="1361">
        <f t="shared" ref="AK475:AK481" si="669">AI475*$AH475</f>
        <v>13110.345600000001</v>
      </c>
      <c r="AL475" s="1362">
        <v>5.0000000000000001E-3</v>
      </c>
      <c r="AM475" s="1363">
        <f t="shared" ref="AM475:AM481" si="670">AL475*$AH475</f>
        <v>819.39660000000003</v>
      </c>
      <c r="AN475" s="1364">
        <v>0.04</v>
      </c>
      <c r="AO475" s="1365">
        <f t="shared" ref="AO475:AO481" si="671">AN475*$AH475</f>
        <v>6555.1728000000003</v>
      </c>
      <c r="AP475" s="1366">
        <v>0</v>
      </c>
      <c r="AQ475" s="1367">
        <f t="shared" ref="AQ475:AQ481" si="672">AP475*$AH475</f>
        <v>0</v>
      </c>
      <c r="AR475" s="1368">
        <v>0</v>
      </c>
      <c r="AS475" s="1369">
        <f t="shared" ref="AS475:AS481" si="673">AR475*$AH475</f>
        <v>0</v>
      </c>
      <c r="AT475" s="1370">
        <v>2.5000000000000001E-2</v>
      </c>
      <c r="AU475" s="1371">
        <f t="shared" ref="AU475:AU481" si="674">AT475*$AH475</f>
        <v>4096.9830000000002</v>
      </c>
      <c r="AV475" s="1359">
        <f t="shared" ref="AV475:AV481" si="675">AZ475-AR475-AT475-AP475</f>
        <v>9.999999999999995E-3</v>
      </c>
      <c r="AW475" s="1372">
        <f t="shared" ref="AW475:AW481" si="676">AV475*$AH475</f>
        <v>1638.7931999999992</v>
      </c>
      <c r="AX475" s="1373">
        <f t="shared" ref="AX475:AX481" si="677">$AZ475-$AP475</f>
        <v>3.4999999999999996E-2</v>
      </c>
      <c r="AY475" s="1374">
        <f t="shared" ref="AY475:AY481" si="678">AX475*$AH475</f>
        <v>5735.7761999999993</v>
      </c>
      <c r="AZ475" s="1375">
        <f t="shared" ref="AZ475:AZ481" si="679">$AI475-$AL475-$AN475</f>
        <v>3.4999999999999996E-2</v>
      </c>
      <c r="BA475" s="1376">
        <f t="shared" ref="BA475:BA481" si="680">AZ475*$AH475</f>
        <v>5735.7761999999993</v>
      </c>
      <c r="BB475" s="1377"/>
      <c r="BC475" s="1819" t="s">
        <v>3620</v>
      </c>
      <c r="BD475" s="1819" t="s">
        <v>3622</v>
      </c>
      <c r="BE475" s="1822" t="s">
        <v>3743</v>
      </c>
      <c r="BF475" s="1825" t="s">
        <v>5072</v>
      </c>
      <c r="BG475" s="1828" t="s">
        <v>5073</v>
      </c>
    </row>
    <row r="476" spans="1:59" s="1378" customFormat="1" ht="51">
      <c r="A476" s="1347" t="str">
        <f t="shared" si="662"/>
        <v>Hancock Jaffe Laboratories, Inc.</v>
      </c>
      <c r="B476" s="1348" t="str">
        <f t="shared" si="664"/>
        <v>Woodruff-Sawyer</v>
      </c>
      <c r="C476" s="1348">
        <f t="shared" si="665"/>
        <v>8</v>
      </c>
      <c r="D476" s="1349">
        <f t="shared" si="666"/>
        <v>43132</v>
      </c>
      <c r="E476" s="1349"/>
      <c r="F476" s="1347" t="s">
        <v>113</v>
      </c>
      <c r="G476" s="1347" t="s">
        <v>85</v>
      </c>
      <c r="H476" s="1347" t="s">
        <v>85</v>
      </c>
      <c r="I476" s="1347" t="s">
        <v>113</v>
      </c>
      <c r="J476" s="1349"/>
      <c r="K476" s="1349" t="s">
        <v>254</v>
      </c>
      <c r="L476" s="1350" t="s">
        <v>4675</v>
      </c>
      <c r="M476" s="1350" t="s">
        <v>3650</v>
      </c>
      <c r="N476" s="1385" t="s">
        <v>5074</v>
      </c>
      <c r="O476" s="1352" t="s">
        <v>4677</v>
      </c>
      <c r="P476" s="1352"/>
      <c r="Q476" s="1354"/>
      <c r="R476" s="1354"/>
      <c r="S476" s="1354"/>
      <c r="T476" s="1354"/>
      <c r="U476" s="1353" t="s">
        <v>4723</v>
      </c>
      <c r="V476" s="1353" t="s">
        <v>2495</v>
      </c>
      <c r="W476" s="1354"/>
      <c r="X476" s="1353">
        <f t="shared" si="667"/>
        <v>43132</v>
      </c>
      <c r="Y476" s="1353">
        <f t="shared" si="667"/>
        <v>43466</v>
      </c>
      <c r="Z476" s="1355"/>
      <c r="AA476" s="1355" t="s">
        <v>4679</v>
      </c>
      <c r="AB476" s="1356"/>
      <c r="AC476" s="1356"/>
      <c r="AD476" s="1356"/>
      <c r="AE476" s="1356"/>
      <c r="AF476" s="1357" t="str">
        <f t="shared" si="660"/>
        <v/>
      </c>
      <c r="AG476" s="1358">
        <f t="shared" si="663"/>
        <v>1264.56</v>
      </c>
      <c r="AH476" s="1358">
        <v>15174.72</v>
      </c>
      <c r="AI476" s="1359">
        <v>0.1</v>
      </c>
      <c r="AJ476" s="1360">
        <f t="shared" si="668"/>
        <v>126.456</v>
      </c>
      <c r="AK476" s="1361">
        <f t="shared" si="669"/>
        <v>1517.472</v>
      </c>
      <c r="AL476" s="1384">
        <v>0</v>
      </c>
      <c r="AM476" s="1363">
        <f t="shared" si="670"/>
        <v>0</v>
      </c>
      <c r="AN476" s="1364">
        <v>0.08</v>
      </c>
      <c r="AO476" s="1365">
        <f t="shared" si="671"/>
        <v>1213.9775999999999</v>
      </c>
      <c r="AP476" s="1366">
        <v>0</v>
      </c>
      <c r="AQ476" s="1367">
        <f t="shared" si="672"/>
        <v>0</v>
      </c>
      <c r="AR476" s="1368">
        <v>0</v>
      </c>
      <c r="AS476" s="1369">
        <f t="shared" si="673"/>
        <v>0</v>
      </c>
      <c r="AT476" s="1370">
        <v>0</v>
      </c>
      <c r="AU476" s="1371">
        <f t="shared" si="674"/>
        <v>0</v>
      </c>
      <c r="AV476" s="1359">
        <f t="shared" si="675"/>
        <v>2.0000000000000004E-2</v>
      </c>
      <c r="AW476" s="1372">
        <f t="shared" si="676"/>
        <v>303.49440000000004</v>
      </c>
      <c r="AX476" s="1373">
        <f t="shared" si="677"/>
        <v>2.0000000000000004E-2</v>
      </c>
      <c r="AY476" s="1374">
        <f t="shared" si="678"/>
        <v>303.49440000000004</v>
      </c>
      <c r="AZ476" s="1375">
        <f t="shared" si="679"/>
        <v>2.0000000000000004E-2</v>
      </c>
      <c r="BA476" s="1376">
        <f t="shared" si="680"/>
        <v>303.49440000000004</v>
      </c>
      <c r="BB476" s="1377"/>
      <c r="BC476" s="1820"/>
      <c r="BD476" s="1820"/>
      <c r="BE476" s="1823"/>
      <c r="BF476" s="1826"/>
      <c r="BG476" s="1829"/>
    </row>
    <row r="477" spans="1:59" s="1378" customFormat="1" ht="51">
      <c r="A477" s="1347" t="str">
        <f t="shared" si="662"/>
        <v>Hancock Jaffe Laboratories, Inc.</v>
      </c>
      <c r="B477" s="1348" t="str">
        <f t="shared" si="664"/>
        <v>Woodruff-Sawyer</v>
      </c>
      <c r="C477" s="1348">
        <f t="shared" si="665"/>
        <v>8</v>
      </c>
      <c r="D477" s="1349">
        <f t="shared" si="666"/>
        <v>43132</v>
      </c>
      <c r="E477" s="1349"/>
      <c r="F477" s="1347" t="s">
        <v>113</v>
      </c>
      <c r="G477" s="1347" t="s">
        <v>85</v>
      </c>
      <c r="H477" s="1347" t="s">
        <v>85</v>
      </c>
      <c r="I477" s="1347" t="s">
        <v>113</v>
      </c>
      <c r="J477" s="1349"/>
      <c r="K477" s="1349" t="s">
        <v>254</v>
      </c>
      <c r="L477" s="1350" t="s">
        <v>4675</v>
      </c>
      <c r="M477" s="1350" t="s">
        <v>3651</v>
      </c>
      <c r="N477" s="1385" t="s">
        <v>5075</v>
      </c>
      <c r="O477" s="1352" t="s">
        <v>4681</v>
      </c>
      <c r="P477" s="1352"/>
      <c r="Q477" s="1354"/>
      <c r="R477" s="1354"/>
      <c r="S477" s="1354"/>
      <c r="T477" s="1354"/>
      <c r="U477" s="1354"/>
      <c r="V477" s="1354"/>
      <c r="W477" s="1353" t="s">
        <v>2492</v>
      </c>
      <c r="X477" s="1353">
        <f t="shared" si="667"/>
        <v>43132</v>
      </c>
      <c r="Y477" s="1353">
        <f t="shared" si="667"/>
        <v>43466</v>
      </c>
      <c r="Z477" s="1355"/>
      <c r="AA477" s="1355" t="s">
        <v>4679</v>
      </c>
      <c r="AB477" s="1356"/>
      <c r="AC477" s="1356"/>
      <c r="AD477" s="1356"/>
      <c r="AE477" s="1356"/>
      <c r="AF477" s="1357" t="str">
        <f t="shared" si="660"/>
        <v/>
      </c>
      <c r="AG477" s="1358">
        <f t="shared" si="663"/>
        <v>145.95000000000002</v>
      </c>
      <c r="AH477" s="1358">
        <v>1751.4</v>
      </c>
      <c r="AI477" s="1359">
        <v>0.1</v>
      </c>
      <c r="AJ477" s="1360">
        <f t="shared" si="668"/>
        <v>14.595000000000002</v>
      </c>
      <c r="AK477" s="1361">
        <f t="shared" si="669"/>
        <v>175.14000000000001</v>
      </c>
      <c r="AL477" s="1384">
        <v>0</v>
      </c>
      <c r="AM477" s="1363">
        <f t="shared" si="670"/>
        <v>0</v>
      </c>
      <c r="AN477" s="1364">
        <v>0.08</v>
      </c>
      <c r="AO477" s="1365">
        <f t="shared" si="671"/>
        <v>140.11200000000002</v>
      </c>
      <c r="AP477" s="1366">
        <v>0</v>
      </c>
      <c r="AQ477" s="1367">
        <f t="shared" si="672"/>
        <v>0</v>
      </c>
      <c r="AR477" s="1368">
        <v>0</v>
      </c>
      <c r="AS477" s="1369">
        <f t="shared" si="673"/>
        <v>0</v>
      </c>
      <c r="AT477" s="1370">
        <v>0</v>
      </c>
      <c r="AU477" s="1371">
        <f t="shared" si="674"/>
        <v>0</v>
      </c>
      <c r="AV477" s="1359">
        <f t="shared" si="675"/>
        <v>2.0000000000000004E-2</v>
      </c>
      <c r="AW477" s="1372">
        <f t="shared" si="676"/>
        <v>35.028000000000006</v>
      </c>
      <c r="AX477" s="1373">
        <f t="shared" si="677"/>
        <v>2.0000000000000004E-2</v>
      </c>
      <c r="AY477" s="1374">
        <f t="shared" si="678"/>
        <v>35.028000000000006</v>
      </c>
      <c r="AZ477" s="1375">
        <f t="shared" si="679"/>
        <v>2.0000000000000004E-2</v>
      </c>
      <c r="BA477" s="1376">
        <f t="shared" si="680"/>
        <v>35.028000000000006</v>
      </c>
      <c r="BB477" s="1377"/>
      <c r="BC477" s="1820"/>
      <c r="BD477" s="1820"/>
      <c r="BE477" s="1823"/>
      <c r="BF477" s="1826"/>
      <c r="BG477" s="1829"/>
    </row>
    <row r="478" spans="1:59" s="1378" customFormat="1" ht="27.75" customHeight="1">
      <c r="A478" s="1347" t="str">
        <f t="shared" si="662"/>
        <v>Hancock Jaffe Laboratories, Inc.</v>
      </c>
      <c r="B478" s="1348" t="str">
        <f t="shared" si="664"/>
        <v>Woodruff-Sawyer</v>
      </c>
      <c r="C478" s="1348">
        <f t="shared" si="665"/>
        <v>8</v>
      </c>
      <c r="D478" s="1349">
        <f t="shared" si="666"/>
        <v>43132</v>
      </c>
      <c r="E478" s="1349"/>
      <c r="F478" s="1347" t="s">
        <v>113</v>
      </c>
      <c r="G478" s="1347" t="s">
        <v>85</v>
      </c>
      <c r="H478" s="1347" t="s">
        <v>72</v>
      </c>
      <c r="I478" s="1347" t="s">
        <v>72</v>
      </c>
      <c r="J478" s="1349" t="s">
        <v>4670</v>
      </c>
      <c r="K478" s="1349" t="s">
        <v>254</v>
      </c>
      <c r="L478" s="1350" t="s">
        <v>4696</v>
      </c>
      <c r="M478" s="1350" t="s">
        <v>4697</v>
      </c>
      <c r="N478" s="1389" t="s">
        <v>4698</v>
      </c>
      <c r="O478" s="1352" t="s">
        <v>4699</v>
      </c>
      <c r="P478" s="1352"/>
      <c r="Q478" s="1354"/>
      <c r="R478" s="1354"/>
      <c r="S478" s="1354"/>
      <c r="T478" s="1354"/>
      <c r="U478" s="1354"/>
      <c r="V478" s="1354"/>
      <c r="W478" s="1354"/>
      <c r="X478" s="1353">
        <f t="shared" si="667"/>
        <v>43132</v>
      </c>
      <c r="Y478" s="1353">
        <f t="shared" si="667"/>
        <v>43466</v>
      </c>
      <c r="Z478" s="1355"/>
      <c r="AA478" s="1355" t="s">
        <v>4674</v>
      </c>
      <c r="AB478" s="1356"/>
      <c r="AC478" s="1356"/>
      <c r="AD478" s="1356"/>
      <c r="AE478" s="1356"/>
      <c r="AF478" s="1357" t="str">
        <f t="shared" si="660"/>
        <v/>
      </c>
      <c r="AG478" s="1380"/>
      <c r="AH478" s="1380"/>
      <c r="AI478" s="1381">
        <v>0</v>
      </c>
      <c r="AJ478" s="1382">
        <f t="shared" si="668"/>
        <v>0</v>
      </c>
      <c r="AK478" s="1383">
        <f t="shared" si="669"/>
        <v>0</v>
      </c>
      <c r="AL478" s="1384">
        <v>0</v>
      </c>
      <c r="AM478" s="1363">
        <f t="shared" si="670"/>
        <v>0</v>
      </c>
      <c r="AN478" s="1364">
        <v>0</v>
      </c>
      <c r="AO478" s="1365">
        <f t="shared" si="671"/>
        <v>0</v>
      </c>
      <c r="AP478" s="1366">
        <v>0</v>
      </c>
      <c r="AQ478" s="1367">
        <f t="shared" si="672"/>
        <v>0</v>
      </c>
      <c r="AR478" s="1368">
        <v>0</v>
      </c>
      <c r="AS478" s="1369">
        <f t="shared" si="673"/>
        <v>0</v>
      </c>
      <c r="AT478" s="1370">
        <v>0</v>
      </c>
      <c r="AU478" s="1371">
        <f t="shared" si="674"/>
        <v>0</v>
      </c>
      <c r="AV478" s="1359">
        <f t="shared" si="675"/>
        <v>0</v>
      </c>
      <c r="AW478" s="1372">
        <f t="shared" si="676"/>
        <v>0</v>
      </c>
      <c r="AX478" s="1373">
        <f t="shared" si="677"/>
        <v>0</v>
      </c>
      <c r="AY478" s="1374">
        <f t="shared" si="678"/>
        <v>0</v>
      </c>
      <c r="AZ478" s="1375">
        <f t="shared" si="679"/>
        <v>0</v>
      </c>
      <c r="BA478" s="1376">
        <f t="shared" si="680"/>
        <v>0</v>
      </c>
      <c r="BB478" s="1377"/>
      <c r="BC478" s="1820"/>
      <c r="BD478" s="1820"/>
      <c r="BE478" s="1823"/>
      <c r="BF478" s="1826"/>
      <c r="BG478" s="1829"/>
    </row>
    <row r="479" spans="1:59" s="1378" customFormat="1" ht="51">
      <c r="A479" s="1347" t="str">
        <f t="shared" si="662"/>
        <v>Hancock Jaffe Laboratories, Inc.</v>
      </c>
      <c r="B479" s="1348" t="str">
        <f t="shared" si="664"/>
        <v>Woodruff-Sawyer</v>
      </c>
      <c r="C479" s="1348">
        <f t="shared" si="665"/>
        <v>8</v>
      </c>
      <c r="D479" s="1349">
        <f t="shared" si="666"/>
        <v>43132</v>
      </c>
      <c r="E479" s="1349"/>
      <c r="F479" s="1347" t="s">
        <v>72</v>
      </c>
      <c r="G479" s="1347" t="s">
        <v>85</v>
      </c>
      <c r="H479" s="1347" t="s">
        <v>72</v>
      </c>
      <c r="I479" s="1347" t="s">
        <v>72</v>
      </c>
      <c r="J479" s="1349" t="s">
        <v>4670</v>
      </c>
      <c r="K479" s="1349" t="s">
        <v>254</v>
      </c>
      <c r="L479" s="1350" t="s">
        <v>48</v>
      </c>
      <c r="M479" s="1350" t="s">
        <v>253</v>
      </c>
      <c r="N479" s="1390" t="s">
        <v>4703</v>
      </c>
      <c r="O479" s="1352" t="s">
        <v>4704</v>
      </c>
      <c r="P479" s="1352"/>
      <c r="Q479" s="1354"/>
      <c r="R479" s="1354"/>
      <c r="S479" s="1354"/>
      <c r="T479" s="1354"/>
      <c r="U479" s="1354"/>
      <c r="V479" s="1354"/>
      <c r="W479" s="1354"/>
      <c r="X479" s="1353">
        <f t="shared" si="667"/>
        <v>43132</v>
      </c>
      <c r="Y479" s="1353">
        <f t="shared" si="667"/>
        <v>43466</v>
      </c>
      <c r="Z479" s="1355"/>
      <c r="AA479" s="1355" t="s">
        <v>4674</v>
      </c>
      <c r="AB479" s="1356"/>
      <c r="AC479" s="1356"/>
      <c r="AD479" s="1356"/>
      <c r="AE479" s="1356"/>
      <c r="AF479" s="1357" t="str">
        <f t="shared" si="660"/>
        <v/>
      </c>
      <c r="AG479" s="1380"/>
      <c r="AH479" s="1380"/>
      <c r="AI479" s="1381">
        <v>0</v>
      </c>
      <c r="AJ479" s="1382">
        <f t="shared" si="668"/>
        <v>0</v>
      </c>
      <c r="AK479" s="1383">
        <f t="shared" si="669"/>
        <v>0</v>
      </c>
      <c r="AL479" s="1384">
        <v>0</v>
      </c>
      <c r="AM479" s="1363">
        <f t="shared" si="670"/>
        <v>0</v>
      </c>
      <c r="AN479" s="1364">
        <v>0</v>
      </c>
      <c r="AO479" s="1365">
        <f t="shared" si="671"/>
        <v>0</v>
      </c>
      <c r="AP479" s="1366">
        <v>0</v>
      </c>
      <c r="AQ479" s="1367">
        <f t="shared" si="672"/>
        <v>0</v>
      </c>
      <c r="AR479" s="1368">
        <v>0</v>
      </c>
      <c r="AS479" s="1369">
        <f t="shared" si="673"/>
        <v>0</v>
      </c>
      <c r="AT479" s="1370">
        <v>0</v>
      </c>
      <c r="AU479" s="1371">
        <f t="shared" si="674"/>
        <v>0</v>
      </c>
      <c r="AV479" s="1359">
        <f t="shared" si="675"/>
        <v>0</v>
      </c>
      <c r="AW479" s="1372">
        <f t="shared" si="676"/>
        <v>0</v>
      </c>
      <c r="AX479" s="1373">
        <f t="shared" si="677"/>
        <v>0</v>
      </c>
      <c r="AY479" s="1374">
        <f t="shared" si="678"/>
        <v>0</v>
      </c>
      <c r="AZ479" s="1375">
        <f t="shared" si="679"/>
        <v>0</v>
      </c>
      <c r="BA479" s="1376">
        <f t="shared" si="680"/>
        <v>0</v>
      </c>
      <c r="BB479" s="1377"/>
      <c r="BC479" s="1820"/>
      <c r="BD479" s="1820"/>
      <c r="BE479" s="1823"/>
      <c r="BF479" s="1826"/>
      <c r="BG479" s="1829"/>
    </row>
    <row r="480" spans="1:59" s="1378" customFormat="1" ht="51">
      <c r="A480" s="1347" t="str">
        <f t="shared" si="662"/>
        <v>Hancock Jaffe Laboratories, Inc.</v>
      </c>
      <c r="B480" s="1348" t="str">
        <f t="shared" si="664"/>
        <v>Woodruff-Sawyer</v>
      </c>
      <c r="C480" s="1348">
        <f t="shared" si="665"/>
        <v>8</v>
      </c>
      <c r="D480" s="1349">
        <f t="shared" si="666"/>
        <v>43132</v>
      </c>
      <c r="E480" s="1349"/>
      <c r="F480" s="1347" t="s">
        <v>72</v>
      </c>
      <c r="G480" s="1347" t="s">
        <v>85</v>
      </c>
      <c r="H480" s="1347" t="s">
        <v>72</v>
      </c>
      <c r="I480" s="1347" t="s">
        <v>72</v>
      </c>
      <c r="J480" s="1349" t="s">
        <v>4670</v>
      </c>
      <c r="K480" s="1349" t="s">
        <v>254</v>
      </c>
      <c r="L480" s="1350" t="s">
        <v>49</v>
      </c>
      <c r="M480" s="1350" t="s">
        <v>4705</v>
      </c>
      <c r="N480" s="1390" t="s">
        <v>4706</v>
      </c>
      <c r="O480" s="1352" t="s">
        <v>4707</v>
      </c>
      <c r="P480" s="1352"/>
      <c r="Q480" s="1354"/>
      <c r="R480" s="1354"/>
      <c r="S480" s="1354"/>
      <c r="T480" s="1354"/>
      <c r="U480" s="1354"/>
      <c r="V480" s="1354"/>
      <c r="W480" s="1354"/>
      <c r="X480" s="1353">
        <f t="shared" si="667"/>
        <v>43132</v>
      </c>
      <c r="Y480" s="1353">
        <f t="shared" si="667"/>
        <v>43466</v>
      </c>
      <c r="Z480" s="1355"/>
      <c r="AA480" s="1355" t="s">
        <v>4674</v>
      </c>
      <c r="AB480" s="1356"/>
      <c r="AC480" s="1356"/>
      <c r="AD480" s="1356"/>
      <c r="AE480" s="1356"/>
      <c r="AF480" s="1357" t="str">
        <f t="shared" si="660"/>
        <v/>
      </c>
      <c r="AG480" s="1380"/>
      <c r="AH480" s="1380"/>
      <c r="AI480" s="1381">
        <v>0</v>
      </c>
      <c r="AJ480" s="1382">
        <f t="shared" si="668"/>
        <v>0</v>
      </c>
      <c r="AK480" s="1383">
        <f t="shared" si="669"/>
        <v>0</v>
      </c>
      <c r="AL480" s="1384">
        <v>0</v>
      </c>
      <c r="AM480" s="1363">
        <f t="shared" si="670"/>
        <v>0</v>
      </c>
      <c r="AN480" s="1364">
        <v>0</v>
      </c>
      <c r="AO480" s="1365">
        <f t="shared" si="671"/>
        <v>0</v>
      </c>
      <c r="AP480" s="1366">
        <v>0</v>
      </c>
      <c r="AQ480" s="1367">
        <f t="shared" si="672"/>
        <v>0</v>
      </c>
      <c r="AR480" s="1368">
        <v>0</v>
      </c>
      <c r="AS480" s="1369">
        <f t="shared" si="673"/>
        <v>0</v>
      </c>
      <c r="AT480" s="1370">
        <v>0</v>
      </c>
      <c r="AU480" s="1371">
        <f t="shared" si="674"/>
        <v>0</v>
      </c>
      <c r="AV480" s="1359">
        <f t="shared" si="675"/>
        <v>0</v>
      </c>
      <c r="AW480" s="1372">
        <f t="shared" si="676"/>
        <v>0</v>
      </c>
      <c r="AX480" s="1373">
        <f t="shared" si="677"/>
        <v>0</v>
      </c>
      <c r="AY480" s="1374">
        <f t="shared" si="678"/>
        <v>0</v>
      </c>
      <c r="AZ480" s="1375">
        <f t="shared" si="679"/>
        <v>0</v>
      </c>
      <c r="BA480" s="1376">
        <f t="shared" si="680"/>
        <v>0</v>
      </c>
      <c r="BB480" s="1391"/>
      <c r="BC480" s="1820"/>
      <c r="BD480" s="1820"/>
      <c r="BE480" s="1823"/>
      <c r="BF480" s="1826"/>
      <c r="BG480" s="1829"/>
    </row>
    <row r="481" spans="1:59" s="1378" customFormat="1" ht="51">
      <c r="A481" s="1347" t="str">
        <f t="shared" si="662"/>
        <v>Hancock Jaffe Laboratories, Inc.</v>
      </c>
      <c r="B481" s="1348" t="str">
        <f t="shared" si="664"/>
        <v>Woodruff-Sawyer</v>
      </c>
      <c r="C481" s="1348">
        <f t="shared" si="665"/>
        <v>8</v>
      </c>
      <c r="D481" s="1349">
        <f t="shared" si="666"/>
        <v>43132</v>
      </c>
      <c r="E481" s="1349"/>
      <c r="F481" s="1347" t="s">
        <v>72</v>
      </c>
      <c r="G481" s="1347" t="s">
        <v>85</v>
      </c>
      <c r="H481" s="1347" t="s">
        <v>72</v>
      </c>
      <c r="I481" s="1347" t="s">
        <v>72</v>
      </c>
      <c r="J481" s="1349" t="s">
        <v>4670</v>
      </c>
      <c r="K481" s="1349" t="s">
        <v>254</v>
      </c>
      <c r="L481" s="1350" t="s">
        <v>3056</v>
      </c>
      <c r="M481" s="1350" t="s">
        <v>4708</v>
      </c>
      <c r="N481" s="1390" t="s">
        <v>4709</v>
      </c>
      <c r="O481" s="1352" t="s">
        <v>4710</v>
      </c>
      <c r="P481" s="1352"/>
      <c r="Q481" s="1354"/>
      <c r="R481" s="1354"/>
      <c r="S481" s="1354"/>
      <c r="T481" s="1354"/>
      <c r="U481" s="1354"/>
      <c r="V481" s="1354"/>
      <c r="W481" s="1354"/>
      <c r="X481" s="1353">
        <f t="shared" si="667"/>
        <v>43132</v>
      </c>
      <c r="Y481" s="1353">
        <f t="shared" si="667"/>
        <v>43466</v>
      </c>
      <c r="Z481" s="1355"/>
      <c r="AA481" s="1355" t="s">
        <v>4674</v>
      </c>
      <c r="AB481" s="1356"/>
      <c r="AC481" s="1356"/>
      <c r="AD481" s="1356"/>
      <c r="AE481" s="1356"/>
      <c r="AF481" s="1357" t="str">
        <f t="shared" si="660"/>
        <v/>
      </c>
      <c r="AG481" s="1380"/>
      <c r="AH481" s="1380"/>
      <c r="AI481" s="1381">
        <v>0</v>
      </c>
      <c r="AJ481" s="1382">
        <f t="shared" si="668"/>
        <v>0</v>
      </c>
      <c r="AK481" s="1383">
        <f t="shared" si="669"/>
        <v>0</v>
      </c>
      <c r="AL481" s="1384">
        <v>0</v>
      </c>
      <c r="AM481" s="1363">
        <f t="shared" si="670"/>
        <v>0</v>
      </c>
      <c r="AN481" s="1364">
        <v>0</v>
      </c>
      <c r="AO481" s="1365">
        <f t="shared" si="671"/>
        <v>0</v>
      </c>
      <c r="AP481" s="1366">
        <v>0</v>
      </c>
      <c r="AQ481" s="1367">
        <f t="shared" si="672"/>
        <v>0</v>
      </c>
      <c r="AR481" s="1368">
        <v>0</v>
      </c>
      <c r="AS481" s="1369">
        <f t="shared" si="673"/>
        <v>0</v>
      </c>
      <c r="AT481" s="1370">
        <v>0</v>
      </c>
      <c r="AU481" s="1371">
        <f t="shared" si="674"/>
        <v>0</v>
      </c>
      <c r="AV481" s="1359">
        <f t="shared" si="675"/>
        <v>0</v>
      </c>
      <c r="AW481" s="1372">
        <f t="shared" si="676"/>
        <v>0</v>
      </c>
      <c r="AX481" s="1373">
        <f t="shared" si="677"/>
        <v>0</v>
      </c>
      <c r="AY481" s="1374">
        <f t="shared" si="678"/>
        <v>0</v>
      </c>
      <c r="AZ481" s="1375">
        <f t="shared" si="679"/>
        <v>0</v>
      </c>
      <c r="BA481" s="1376">
        <f t="shared" si="680"/>
        <v>0</v>
      </c>
      <c r="BB481" s="1391"/>
      <c r="BC481" s="1821"/>
      <c r="BD481" s="1821"/>
      <c r="BE481" s="1824"/>
      <c r="BF481" s="1827"/>
      <c r="BG481" s="1830"/>
    </row>
    <row r="482" spans="1:59" s="1315" customFormat="1" ht="25.5">
      <c r="A482" s="1277" t="str">
        <f>L482</f>
        <v>Humanigen, Inc.</v>
      </c>
      <c r="B482" s="1316" t="str">
        <f>N482</f>
        <v>ABD</v>
      </c>
      <c r="C482" s="1316">
        <f>Z482</f>
        <v>4</v>
      </c>
      <c r="D482" s="1317">
        <v>43101</v>
      </c>
      <c r="E482" s="1317"/>
      <c r="F482" s="1277" t="s">
        <v>72</v>
      </c>
      <c r="G482" s="1277" t="s">
        <v>72</v>
      </c>
      <c r="H482" s="1277" t="s">
        <v>72</v>
      </c>
      <c r="I482" s="1277" t="s">
        <v>4711</v>
      </c>
      <c r="J482" s="1317"/>
      <c r="K482" s="1317"/>
      <c r="L482" s="1318" t="s">
        <v>1255</v>
      </c>
      <c r="M482" s="1319"/>
      <c r="N482" s="1417" t="s">
        <v>3654</v>
      </c>
      <c r="O482" s="1418" t="s">
        <v>2473</v>
      </c>
      <c r="P482" s="1418"/>
      <c r="Q482" s="1322"/>
      <c r="R482" s="1322"/>
      <c r="S482" s="1322"/>
      <c r="T482" s="1322"/>
      <c r="U482" s="1322"/>
      <c r="V482" s="1322"/>
      <c r="W482" s="1322"/>
      <c r="X482" s="1317">
        <v>43101</v>
      </c>
      <c r="Y482" s="1317">
        <v>43466</v>
      </c>
      <c r="Z482" s="1316">
        <v>4</v>
      </c>
      <c r="AA482" s="1316" t="s">
        <v>5076</v>
      </c>
      <c r="AB482" s="1323">
        <f>SUM(AB483:AB493)</f>
        <v>123014.64</v>
      </c>
      <c r="AC482" s="1323">
        <f>SUM(AC483:AC493)</f>
        <v>0</v>
      </c>
      <c r="AD482" s="1323">
        <f>SUM(AD483:AD493)</f>
        <v>74526.12000000001</v>
      </c>
      <c r="AE482" s="1324">
        <f t="shared" ref="AE482:AE485" si="681">AD482-AB482</f>
        <v>-48488.51999999999</v>
      </c>
      <c r="AF482" s="1325">
        <f t="shared" si="660"/>
        <v>-0.39416869406763283</v>
      </c>
      <c r="AG482" s="1326">
        <f t="shared" si="663"/>
        <v>6543.3025000000016</v>
      </c>
      <c r="AH482" s="1326">
        <f>SUM(AH483:AH493)</f>
        <v>78519.630000000019</v>
      </c>
      <c r="AI482" s="1339"/>
      <c r="AJ482" s="1328">
        <f>SUM(AJ483:AJ493)</f>
        <v>559.65327500000012</v>
      </c>
      <c r="AK482" s="1328">
        <f>SUM(AK483:AK493)</f>
        <v>6715.8393000000015</v>
      </c>
      <c r="AL482" s="1329"/>
      <c r="AM482" s="1330">
        <f>SUM(AM483:AM493)</f>
        <v>333.94980000000004</v>
      </c>
      <c r="AN482" s="1331"/>
      <c r="AO482" s="1332">
        <f>SUM(AO483:AO493)</f>
        <v>3689.8422</v>
      </c>
      <c r="AP482" s="1333"/>
      <c r="AQ482" s="1334">
        <f>SUM(AQ483:AQ493)</f>
        <v>0</v>
      </c>
      <c r="AR482" s="1335"/>
      <c r="AS482" s="1336">
        <f>SUM(AS483:AS493)</f>
        <v>0</v>
      </c>
      <c r="AT482" s="1337"/>
      <c r="AU482" s="1338">
        <f>SUM(AU483:AU493)</f>
        <v>1669.7490000000003</v>
      </c>
      <c r="AV482" s="1339"/>
      <c r="AW482" s="1340">
        <f>SUM(AW483:AW493)</f>
        <v>1022.2982999999997</v>
      </c>
      <c r="AX482" s="1306"/>
      <c r="AY482" s="1307">
        <f>SUM(AW482+AS482+AU482)</f>
        <v>2692.0473000000002</v>
      </c>
      <c r="AZ482" s="1341"/>
      <c r="BA482" s="1309">
        <f>SUM(AY482+AQ482)</f>
        <v>2692.0473000000002</v>
      </c>
      <c r="BB482" s="1342">
        <f>(AW482+AU482)/(AK482-AM482)</f>
        <v>0.42182605950792468</v>
      </c>
      <c r="BC482" s="1343"/>
      <c r="BD482" s="1343"/>
      <c r="BE482" s="1344"/>
      <c r="BF482" s="1420" t="s">
        <v>5077</v>
      </c>
      <c r="BG482" s="1346"/>
    </row>
    <row r="483" spans="1:59" s="1378" customFormat="1" ht="76.5">
      <c r="A483" s="1347" t="str">
        <f>L482</f>
        <v>Humanigen, Inc.</v>
      </c>
      <c r="B483" s="1348" t="str">
        <f>N482</f>
        <v>ABD</v>
      </c>
      <c r="C483" s="1348">
        <f>Z482</f>
        <v>4</v>
      </c>
      <c r="D483" s="1349">
        <v>43101</v>
      </c>
      <c r="E483" s="1349"/>
      <c r="F483" s="1347" t="s">
        <v>85</v>
      </c>
      <c r="G483" s="1347" t="s">
        <v>85</v>
      </c>
      <c r="H483" s="1347" t="s">
        <v>85</v>
      </c>
      <c r="I483" s="1347" t="s">
        <v>85</v>
      </c>
      <c r="J483" s="1349"/>
      <c r="K483" s="1349" t="s">
        <v>254</v>
      </c>
      <c r="L483" s="1350" t="s">
        <v>2661</v>
      </c>
      <c r="M483" s="1350" t="s">
        <v>3647</v>
      </c>
      <c r="N483" s="1351" t="s">
        <v>5078</v>
      </c>
      <c r="O483" s="1352" t="s">
        <v>5079</v>
      </c>
      <c r="P483" s="1352" t="s">
        <v>5029</v>
      </c>
      <c r="Q483" s="1353" t="s">
        <v>303</v>
      </c>
      <c r="R483" s="1353" t="s">
        <v>3656</v>
      </c>
      <c r="S483" s="1353" t="s">
        <v>307</v>
      </c>
      <c r="T483" s="1353" t="s">
        <v>113</v>
      </c>
      <c r="U483" s="1354"/>
      <c r="V483" s="1354"/>
      <c r="W483" s="1354"/>
      <c r="X483" s="1353">
        <v>43101</v>
      </c>
      <c r="Y483" s="1353">
        <v>43466</v>
      </c>
      <c r="Z483" s="1355"/>
      <c r="AA483" s="1355" t="s">
        <v>4667</v>
      </c>
      <c r="AB483" s="1422">
        <v>113968.32000000001</v>
      </c>
      <c r="AC483" s="1356"/>
      <c r="AD483" s="1422">
        <f t="shared" ref="AD483:AD485" si="682">AH483</f>
        <v>66789.960000000006</v>
      </c>
      <c r="AE483" s="1422">
        <f t="shared" si="681"/>
        <v>-47178.36</v>
      </c>
      <c r="AF483" s="1423">
        <f t="shared" si="660"/>
        <v>-0.41396030054667821</v>
      </c>
      <c r="AG483" s="1358">
        <f t="shared" si="663"/>
        <v>5565.8300000000008</v>
      </c>
      <c r="AH483" s="1358">
        <v>66789.960000000006</v>
      </c>
      <c r="AI483" s="1359">
        <v>0.08</v>
      </c>
      <c r="AJ483" s="1360">
        <f t="shared" ref="AJ483:AJ489" si="683">$AI483*$AG483</f>
        <v>445.26640000000009</v>
      </c>
      <c r="AK483" s="1361">
        <f t="shared" ref="AK483:AK489" si="684">AI483*$AH483</f>
        <v>5343.1968000000006</v>
      </c>
      <c r="AL483" s="1362">
        <v>5.0000000000000001E-3</v>
      </c>
      <c r="AM483" s="1363">
        <f t="shared" ref="AM483:AM493" si="685">AL483*$AH483</f>
        <v>333.94980000000004</v>
      </c>
      <c r="AN483" s="1364">
        <v>0.04</v>
      </c>
      <c r="AO483" s="1365">
        <f t="shared" ref="AO483:AO493" si="686">AN483*$AH483</f>
        <v>2671.5984000000003</v>
      </c>
      <c r="AP483" s="1366">
        <v>0</v>
      </c>
      <c r="AQ483" s="1367">
        <f t="shared" ref="AQ483:AQ493" si="687">AP483*$AH483</f>
        <v>0</v>
      </c>
      <c r="AR483" s="1368">
        <v>0</v>
      </c>
      <c r="AS483" s="1369">
        <f t="shared" ref="AS483:AS493" si="688">AR483*$AH483</f>
        <v>0</v>
      </c>
      <c r="AT483" s="1370">
        <v>2.5000000000000001E-2</v>
      </c>
      <c r="AU483" s="1371">
        <f t="shared" ref="AU483:AU493" si="689">AT483*$AH483</f>
        <v>1669.7490000000003</v>
      </c>
      <c r="AV483" s="1359">
        <f t="shared" ref="AV483:AV493" si="690">AZ483-AR483-AT483-AP483</f>
        <v>9.999999999999995E-3</v>
      </c>
      <c r="AW483" s="1372">
        <f t="shared" ref="AW483:AW493" si="691">AV483*$AH483</f>
        <v>667.89959999999974</v>
      </c>
      <c r="AX483" s="1373">
        <f t="shared" ref="AX483:AX493" si="692">$AZ483-$AP483</f>
        <v>3.4999999999999996E-2</v>
      </c>
      <c r="AY483" s="1374">
        <f t="shared" ref="AY483:AY493" si="693">AX483*$AH483</f>
        <v>2337.6486</v>
      </c>
      <c r="AZ483" s="1375">
        <f t="shared" ref="AZ483:AZ493" si="694">$AI483-$AL483-$AN483</f>
        <v>3.4999999999999996E-2</v>
      </c>
      <c r="BA483" s="1376">
        <f t="shared" ref="BA483:BA493" si="695">AZ483*$AH483</f>
        <v>2337.6486</v>
      </c>
      <c r="BB483" s="1377"/>
      <c r="BC483" s="1847" t="s">
        <v>4544</v>
      </c>
      <c r="BD483" s="1819" t="s">
        <v>1256</v>
      </c>
      <c r="BE483" s="1822" t="s">
        <v>1256</v>
      </c>
      <c r="BF483" s="1825" t="s">
        <v>1282</v>
      </c>
      <c r="BG483" s="1828">
        <v>770557236</v>
      </c>
    </row>
    <row r="484" spans="1:59" s="1378" customFormat="1" ht="38.25">
      <c r="A484" s="1347" t="str">
        <f>L482</f>
        <v>Humanigen, Inc.</v>
      </c>
      <c r="B484" s="1348" t="str">
        <f>N482</f>
        <v>ABD</v>
      </c>
      <c r="C484" s="1348">
        <f>Z482</f>
        <v>4</v>
      </c>
      <c r="D484" s="1349">
        <v>43101</v>
      </c>
      <c r="E484" s="1349"/>
      <c r="F484" s="1347" t="s">
        <v>113</v>
      </c>
      <c r="G484" s="1347" t="s">
        <v>85</v>
      </c>
      <c r="H484" s="1347" t="s">
        <v>85</v>
      </c>
      <c r="I484" s="1347" t="s">
        <v>85</v>
      </c>
      <c r="J484" s="1349"/>
      <c r="K484" s="1349" t="s">
        <v>254</v>
      </c>
      <c r="L484" s="1350" t="s">
        <v>4675</v>
      </c>
      <c r="M484" s="1350" t="s">
        <v>3650</v>
      </c>
      <c r="N484" s="1385" t="s">
        <v>4982</v>
      </c>
      <c r="O484" s="1352" t="s">
        <v>4677</v>
      </c>
      <c r="P484" s="1352"/>
      <c r="Q484" s="1354"/>
      <c r="R484" s="1354"/>
      <c r="S484" s="1354"/>
      <c r="T484" s="1354"/>
      <c r="U484" s="1353" t="s">
        <v>4723</v>
      </c>
      <c r="V484" s="1353" t="s">
        <v>2495</v>
      </c>
      <c r="W484" s="1354"/>
      <c r="X484" s="1353">
        <v>43101</v>
      </c>
      <c r="Y484" s="1353">
        <v>43466</v>
      </c>
      <c r="Z484" s="1355"/>
      <c r="AA484" s="1355" t="s">
        <v>4679</v>
      </c>
      <c r="AB484" s="1422">
        <v>8089.68</v>
      </c>
      <c r="AC484" s="1356"/>
      <c r="AD484" s="1422">
        <f t="shared" si="682"/>
        <v>6843.36</v>
      </c>
      <c r="AE484" s="1422">
        <f t="shared" si="681"/>
        <v>-1246.3200000000006</v>
      </c>
      <c r="AF484" s="1423">
        <f t="shared" si="660"/>
        <v>-0.15406295428249331</v>
      </c>
      <c r="AG484" s="1358">
        <f t="shared" si="663"/>
        <v>570.28</v>
      </c>
      <c r="AH484" s="1358">
        <v>6843.36</v>
      </c>
      <c r="AI484" s="1359">
        <v>0.1</v>
      </c>
      <c r="AJ484" s="1360">
        <f t="shared" si="683"/>
        <v>57.027999999999999</v>
      </c>
      <c r="AK484" s="1361">
        <f t="shared" si="684"/>
        <v>684.33600000000001</v>
      </c>
      <c r="AL484" s="1384">
        <v>0</v>
      </c>
      <c r="AM484" s="1363">
        <f t="shared" si="685"/>
        <v>0</v>
      </c>
      <c r="AN484" s="1364">
        <v>0.08</v>
      </c>
      <c r="AO484" s="1365">
        <f t="shared" si="686"/>
        <v>547.46879999999999</v>
      </c>
      <c r="AP484" s="1366">
        <v>0</v>
      </c>
      <c r="AQ484" s="1367">
        <f t="shared" si="687"/>
        <v>0</v>
      </c>
      <c r="AR484" s="1368">
        <v>0</v>
      </c>
      <c r="AS484" s="1369">
        <f t="shared" si="688"/>
        <v>0</v>
      </c>
      <c r="AT484" s="1370">
        <v>0</v>
      </c>
      <c r="AU484" s="1371">
        <f t="shared" si="689"/>
        <v>0</v>
      </c>
      <c r="AV484" s="1359">
        <f t="shared" si="690"/>
        <v>2.0000000000000004E-2</v>
      </c>
      <c r="AW484" s="1372">
        <f t="shared" si="691"/>
        <v>136.86720000000003</v>
      </c>
      <c r="AX484" s="1373">
        <f t="shared" si="692"/>
        <v>2.0000000000000004E-2</v>
      </c>
      <c r="AY484" s="1374">
        <f t="shared" si="693"/>
        <v>136.86720000000003</v>
      </c>
      <c r="AZ484" s="1375">
        <f t="shared" si="694"/>
        <v>2.0000000000000004E-2</v>
      </c>
      <c r="BA484" s="1376">
        <f t="shared" si="695"/>
        <v>136.86720000000003</v>
      </c>
      <c r="BB484" s="1377"/>
      <c r="BC484" s="1848"/>
      <c r="BD484" s="1820"/>
      <c r="BE484" s="1823"/>
      <c r="BF484" s="1826"/>
      <c r="BG484" s="1829"/>
    </row>
    <row r="485" spans="1:59" s="1378" customFormat="1" ht="38.25">
      <c r="A485" s="1347" t="str">
        <f>L482</f>
        <v>Humanigen, Inc.</v>
      </c>
      <c r="B485" s="1348" t="str">
        <f>N482</f>
        <v>ABD</v>
      </c>
      <c r="C485" s="1348">
        <f>Z482</f>
        <v>4</v>
      </c>
      <c r="D485" s="1349">
        <v>43101</v>
      </c>
      <c r="E485" s="1349"/>
      <c r="F485" s="1347" t="s">
        <v>113</v>
      </c>
      <c r="G485" s="1347" t="s">
        <v>85</v>
      </c>
      <c r="H485" s="1347" t="s">
        <v>85</v>
      </c>
      <c r="I485" s="1347" t="s">
        <v>85</v>
      </c>
      <c r="J485" s="1349"/>
      <c r="K485" s="1349" t="s">
        <v>254</v>
      </c>
      <c r="L485" s="1350" t="s">
        <v>4675</v>
      </c>
      <c r="M485" s="1350" t="s">
        <v>3651</v>
      </c>
      <c r="N485" s="1351" t="s">
        <v>4758</v>
      </c>
      <c r="O485" s="1352" t="s">
        <v>4681</v>
      </c>
      <c r="P485" s="1352"/>
      <c r="Q485" s="1354"/>
      <c r="R485" s="1354"/>
      <c r="S485" s="1354"/>
      <c r="T485" s="1354"/>
      <c r="U485" s="1354"/>
      <c r="V485" s="1354"/>
      <c r="W485" s="1353" t="s">
        <v>2492</v>
      </c>
      <c r="X485" s="1353">
        <v>43101</v>
      </c>
      <c r="Y485" s="1353">
        <v>43466</v>
      </c>
      <c r="Z485" s="1355"/>
      <c r="AA485" s="1355" t="s">
        <v>4679</v>
      </c>
      <c r="AB485" s="1422">
        <v>956.64</v>
      </c>
      <c r="AC485" s="1356"/>
      <c r="AD485" s="1422">
        <f t="shared" si="682"/>
        <v>892.8</v>
      </c>
      <c r="AE485" s="1422">
        <f t="shared" si="681"/>
        <v>-63.840000000000032</v>
      </c>
      <c r="AF485" s="1423">
        <f t="shared" si="660"/>
        <v>-6.6733567486201739E-2</v>
      </c>
      <c r="AG485" s="1358">
        <f t="shared" si="663"/>
        <v>74.399999999999991</v>
      </c>
      <c r="AH485" s="1358">
        <v>892.8</v>
      </c>
      <c r="AI485" s="1359">
        <v>0.1</v>
      </c>
      <c r="AJ485" s="1360">
        <f t="shared" si="683"/>
        <v>7.4399999999999995</v>
      </c>
      <c r="AK485" s="1361">
        <f t="shared" si="684"/>
        <v>89.28</v>
      </c>
      <c r="AL485" s="1384">
        <v>0</v>
      </c>
      <c r="AM485" s="1363">
        <f t="shared" si="685"/>
        <v>0</v>
      </c>
      <c r="AN485" s="1364">
        <v>0.08</v>
      </c>
      <c r="AO485" s="1365">
        <f t="shared" si="686"/>
        <v>71.423999999999992</v>
      </c>
      <c r="AP485" s="1366">
        <v>0</v>
      </c>
      <c r="AQ485" s="1367">
        <f t="shared" si="687"/>
        <v>0</v>
      </c>
      <c r="AR485" s="1368">
        <v>0</v>
      </c>
      <c r="AS485" s="1369">
        <f t="shared" si="688"/>
        <v>0</v>
      </c>
      <c r="AT485" s="1370">
        <v>0</v>
      </c>
      <c r="AU485" s="1371">
        <f t="shared" si="689"/>
        <v>0</v>
      </c>
      <c r="AV485" s="1359">
        <f t="shared" si="690"/>
        <v>2.0000000000000004E-2</v>
      </c>
      <c r="AW485" s="1372">
        <f t="shared" si="691"/>
        <v>17.856000000000002</v>
      </c>
      <c r="AX485" s="1373">
        <f t="shared" si="692"/>
        <v>2.0000000000000004E-2</v>
      </c>
      <c r="AY485" s="1374">
        <f t="shared" si="693"/>
        <v>17.856000000000002</v>
      </c>
      <c r="AZ485" s="1375">
        <f t="shared" si="694"/>
        <v>2.0000000000000004E-2</v>
      </c>
      <c r="BA485" s="1376">
        <f t="shared" si="695"/>
        <v>17.856000000000002</v>
      </c>
      <c r="BB485" s="1377"/>
      <c r="BC485" s="1848"/>
      <c r="BD485" s="1820"/>
      <c r="BE485" s="1823"/>
      <c r="BF485" s="1826"/>
      <c r="BG485" s="1829"/>
    </row>
    <row r="486" spans="1:59" s="1378" customFormat="1" ht="38.25">
      <c r="A486" s="1347" t="str">
        <f>L482</f>
        <v>Humanigen, Inc.</v>
      </c>
      <c r="B486" s="1348" t="str">
        <f>N482</f>
        <v>ABD</v>
      </c>
      <c r="C486" s="1348">
        <f>Z482</f>
        <v>4</v>
      </c>
      <c r="D486" s="1349">
        <v>43101</v>
      </c>
      <c r="E486" s="1349"/>
      <c r="F486" s="1347" t="s">
        <v>113</v>
      </c>
      <c r="G486" s="1347" t="s">
        <v>85</v>
      </c>
      <c r="H486" s="1347" t="s">
        <v>85</v>
      </c>
      <c r="I486" s="1347" t="s">
        <v>113</v>
      </c>
      <c r="J486" s="1349"/>
      <c r="K486" s="1349" t="s">
        <v>254</v>
      </c>
      <c r="L486" s="1350" t="s">
        <v>4682</v>
      </c>
      <c r="M486" s="1350" t="s">
        <v>4683</v>
      </c>
      <c r="N486" s="1386" t="s">
        <v>1249</v>
      </c>
      <c r="O486" s="1352" t="s">
        <v>4684</v>
      </c>
      <c r="P486" s="1387"/>
      <c r="Q486" s="1354"/>
      <c r="R486" s="1354"/>
      <c r="S486" s="1354"/>
      <c r="T486" s="1354"/>
      <c r="U486" s="1354"/>
      <c r="V486" s="1354"/>
      <c r="W486" s="1354"/>
      <c r="X486" s="1353">
        <v>43101</v>
      </c>
      <c r="Y486" s="1353">
        <v>43466</v>
      </c>
      <c r="Z486" s="1355"/>
      <c r="AA486" s="1355" t="s">
        <v>4685</v>
      </c>
      <c r="AB486" s="1356"/>
      <c r="AC486" s="1356"/>
      <c r="AD486" s="1356"/>
      <c r="AE486" s="1356"/>
      <c r="AF486" s="1357" t="str">
        <f t="shared" si="660"/>
        <v/>
      </c>
      <c r="AG486" s="1358">
        <f t="shared" si="663"/>
        <v>145.46416666666667</v>
      </c>
      <c r="AH486" s="1358">
        <v>1745.57</v>
      </c>
      <c r="AI486" s="1359">
        <v>0.15</v>
      </c>
      <c r="AJ486" s="1360">
        <f t="shared" si="683"/>
        <v>21.819624999999998</v>
      </c>
      <c r="AK486" s="1361">
        <f t="shared" si="684"/>
        <v>261.83549999999997</v>
      </c>
      <c r="AL486" s="1384">
        <v>0</v>
      </c>
      <c r="AM486" s="1363">
        <f t="shared" si="685"/>
        <v>0</v>
      </c>
      <c r="AN486" s="1364">
        <v>0.1</v>
      </c>
      <c r="AO486" s="1365">
        <f t="shared" si="686"/>
        <v>174.55700000000002</v>
      </c>
      <c r="AP486" s="1366">
        <v>0</v>
      </c>
      <c r="AQ486" s="1367">
        <f t="shared" si="687"/>
        <v>0</v>
      </c>
      <c r="AR486" s="1368">
        <v>0</v>
      </c>
      <c r="AS486" s="1369">
        <f t="shared" si="688"/>
        <v>0</v>
      </c>
      <c r="AT486" s="1370">
        <v>0</v>
      </c>
      <c r="AU486" s="1371">
        <f t="shared" si="689"/>
        <v>0</v>
      </c>
      <c r="AV486" s="1359">
        <f t="shared" si="690"/>
        <v>4.9999999999999989E-2</v>
      </c>
      <c r="AW486" s="1372">
        <f t="shared" si="691"/>
        <v>87.27849999999998</v>
      </c>
      <c r="AX486" s="1373">
        <f t="shared" si="692"/>
        <v>4.9999999999999989E-2</v>
      </c>
      <c r="AY486" s="1374">
        <f t="shared" si="693"/>
        <v>87.27849999999998</v>
      </c>
      <c r="AZ486" s="1375">
        <f t="shared" si="694"/>
        <v>4.9999999999999989E-2</v>
      </c>
      <c r="BA486" s="1376">
        <f t="shared" si="695"/>
        <v>87.27849999999998</v>
      </c>
      <c r="BB486" s="1377"/>
      <c r="BC486" s="1848"/>
      <c r="BD486" s="1820"/>
      <c r="BE486" s="1823"/>
      <c r="BF486" s="1826"/>
      <c r="BG486" s="1829"/>
    </row>
    <row r="487" spans="1:59" s="1378" customFormat="1" ht="38.25">
      <c r="A487" s="1347" t="str">
        <f>L482</f>
        <v>Humanigen, Inc.</v>
      </c>
      <c r="B487" s="1348" t="str">
        <f>N482</f>
        <v>ABD</v>
      </c>
      <c r="C487" s="1348">
        <f>Z482</f>
        <v>4</v>
      </c>
      <c r="D487" s="1349">
        <v>43101</v>
      </c>
      <c r="E487" s="1349"/>
      <c r="F487" s="1347" t="s">
        <v>113</v>
      </c>
      <c r="G487" s="1347" t="s">
        <v>85</v>
      </c>
      <c r="H487" s="1347" t="s">
        <v>85</v>
      </c>
      <c r="I487" s="1347" t="s">
        <v>113</v>
      </c>
      <c r="J487" s="1349"/>
      <c r="K487" s="1349" t="s">
        <v>254</v>
      </c>
      <c r="L487" s="1350" t="s">
        <v>4682</v>
      </c>
      <c r="M487" s="1350" t="s">
        <v>62</v>
      </c>
      <c r="N487" s="1351" t="s">
        <v>81</v>
      </c>
      <c r="O487" s="1352" t="s">
        <v>4688</v>
      </c>
      <c r="P487" s="1352"/>
      <c r="Q487" s="1354"/>
      <c r="R487" s="1354"/>
      <c r="S487" s="1354"/>
      <c r="T487" s="1354"/>
      <c r="U487" s="1354"/>
      <c r="V487" s="1354"/>
      <c r="W487" s="1354"/>
      <c r="X487" s="1353">
        <v>43101</v>
      </c>
      <c r="Y487" s="1353">
        <v>43466</v>
      </c>
      <c r="Z487" s="1355"/>
      <c r="AA487" s="1355" t="s">
        <v>4685</v>
      </c>
      <c r="AB487" s="1356"/>
      <c r="AC487" s="1356"/>
      <c r="AD487" s="1356"/>
      <c r="AE487" s="1356"/>
      <c r="AF487" s="1357" t="str">
        <f t="shared" si="660"/>
        <v/>
      </c>
      <c r="AG487" s="1358">
        <f t="shared" si="663"/>
        <v>81.967500000000001</v>
      </c>
      <c r="AH487" s="1358">
        <v>983.61</v>
      </c>
      <c r="AI487" s="1359">
        <v>0.15</v>
      </c>
      <c r="AJ487" s="1360">
        <f t="shared" si="683"/>
        <v>12.295125000000001</v>
      </c>
      <c r="AK487" s="1361">
        <f t="shared" si="684"/>
        <v>147.54149999999998</v>
      </c>
      <c r="AL487" s="1384">
        <v>0</v>
      </c>
      <c r="AM487" s="1363">
        <f t="shared" si="685"/>
        <v>0</v>
      </c>
      <c r="AN487" s="1364">
        <v>0.1</v>
      </c>
      <c r="AO487" s="1365">
        <f t="shared" si="686"/>
        <v>98.361000000000004</v>
      </c>
      <c r="AP487" s="1366">
        <v>0</v>
      </c>
      <c r="AQ487" s="1367">
        <f t="shared" si="687"/>
        <v>0</v>
      </c>
      <c r="AR487" s="1368">
        <v>0</v>
      </c>
      <c r="AS487" s="1369">
        <f t="shared" si="688"/>
        <v>0</v>
      </c>
      <c r="AT487" s="1370">
        <v>0</v>
      </c>
      <c r="AU487" s="1371">
        <f t="shared" si="689"/>
        <v>0</v>
      </c>
      <c r="AV487" s="1359">
        <f t="shared" si="690"/>
        <v>4.9999999999999989E-2</v>
      </c>
      <c r="AW487" s="1372">
        <f t="shared" si="691"/>
        <v>49.180499999999988</v>
      </c>
      <c r="AX487" s="1373">
        <f t="shared" si="692"/>
        <v>4.9999999999999989E-2</v>
      </c>
      <c r="AY487" s="1374">
        <f t="shared" si="693"/>
        <v>49.180499999999988</v>
      </c>
      <c r="AZ487" s="1375">
        <f t="shared" si="694"/>
        <v>4.9999999999999989E-2</v>
      </c>
      <c r="BA487" s="1376">
        <f t="shared" si="695"/>
        <v>49.180499999999988</v>
      </c>
      <c r="BB487" s="1377"/>
      <c r="BC487" s="1848"/>
      <c r="BD487" s="1820"/>
      <c r="BE487" s="1823"/>
      <c r="BF487" s="1826"/>
      <c r="BG487" s="1829"/>
    </row>
    <row r="488" spans="1:59" s="1378" customFormat="1" ht="38.25">
      <c r="A488" s="1347" t="str">
        <f>L482</f>
        <v>Humanigen, Inc.</v>
      </c>
      <c r="B488" s="1348" t="str">
        <f>N482</f>
        <v>ABD</v>
      </c>
      <c r="C488" s="1348">
        <f>Z482</f>
        <v>4</v>
      </c>
      <c r="D488" s="1349">
        <v>43101</v>
      </c>
      <c r="E488" s="1349"/>
      <c r="F488" s="1347" t="s">
        <v>113</v>
      </c>
      <c r="G488" s="1347" t="s">
        <v>85</v>
      </c>
      <c r="H488" s="1347" t="s">
        <v>85</v>
      </c>
      <c r="I488" s="1347" t="s">
        <v>113</v>
      </c>
      <c r="J488" s="1349"/>
      <c r="K488" s="1349" t="s">
        <v>254</v>
      </c>
      <c r="L488" s="1350" t="s">
        <v>4682</v>
      </c>
      <c r="M488" s="1350" t="s">
        <v>67</v>
      </c>
      <c r="N488" s="1351" t="s">
        <v>82</v>
      </c>
      <c r="O488" s="1352" t="s">
        <v>4689</v>
      </c>
      <c r="P488" s="1352"/>
      <c r="Q488" s="1354"/>
      <c r="R488" s="1354"/>
      <c r="S488" s="1354"/>
      <c r="T488" s="1354"/>
      <c r="U488" s="1354"/>
      <c r="V488" s="1354"/>
      <c r="W488" s="1354"/>
      <c r="X488" s="1353">
        <v>43101</v>
      </c>
      <c r="Y488" s="1353">
        <v>43466</v>
      </c>
      <c r="Z488" s="1355"/>
      <c r="AA488" s="1355" t="s">
        <v>4685</v>
      </c>
      <c r="AB488" s="1356"/>
      <c r="AC488" s="1356"/>
      <c r="AD488" s="1356"/>
      <c r="AE488" s="1356"/>
      <c r="AF488" s="1357" t="str">
        <f t="shared" si="660"/>
        <v/>
      </c>
      <c r="AG488" s="1358">
        <f t="shared" si="663"/>
        <v>105.36083333333333</v>
      </c>
      <c r="AH488" s="1358">
        <v>1264.33</v>
      </c>
      <c r="AI488" s="1359">
        <v>0.15</v>
      </c>
      <c r="AJ488" s="1360">
        <f t="shared" si="683"/>
        <v>15.804124999999999</v>
      </c>
      <c r="AK488" s="1361">
        <f t="shared" si="684"/>
        <v>189.64949999999999</v>
      </c>
      <c r="AL488" s="1384">
        <v>0</v>
      </c>
      <c r="AM488" s="1363">
        <f t="shared" si="685"/>
        <v>0</v>
      </c>
      <c r="AN488" s="1364">
        <v>0.1</v>
      </c>
      <c r="AO488" s="1365">
        <f t="shared" si="686"/>
        <v>126.43299999999999</v>
      </c>
      <c r="AP488" s="1366">
        <v>0</v>
      </c>
      <c r="AQ488" s="1367">
        <f t="shared" si="687"/>
        <v>0</v>
      </c>
      <c r="AR488" s="1368">
        <v>0</v>
      </c>
      <c r="AS488" s="1369">
        <f t="shared" si="688"/>
        <v>0</v>
      </c>
      <c r="AT488" s="1370">
        <v>0</v>
      </c>
      <c r="AU488" s="1371">
        <f t="shared" si="689"/>
        <v>0</v>
      </c>
      <c r="AV488" s="1359">
        <f t="shared" si="690"/>
        <v>4.9999999999999989E-2</v>
      </c>
      <c r="AW488" s="1372">
        <f t="shared" si="691"/>
        <v>63.216499999999982</v>
      </c>
      <c r="AX488" s="1373">
        <f t="shared" si="692"/>
        <v>4.9999999999999989E-2</v>
      </c>
      <c r="AY488" s="1374">
        <f t="shared" si="693"/>
        <v>63.216499999999982</v>
      </c>
      <c r="AZ488" s="1375">
        <f t="shared" si="694"/>
        <v>4.9999999999999989E-2</v>
      </c>
      <c r="BA488" s="1376">
        <f t="shared" si="695"/>
        <v>63.216499999999982</v>
      </c>
      <c r="BB488" s="1377"/>
      <c r="BC488" s="1848"/>
      <c r="BD488" s="1820"/>
      <c r="BE488" s="1823"/>
      <c r="BF488" s="1826"/>
      <c r="BG488" s="1829"/>
    </row>
    <row r="489" spans="1:59" s="1378" customFormat="1" ht="27.75" customHeight="1">
      <c r="A489" s="1347" t="s">
        <v>1255</v>
      </c>
      <c r="B489" s="1348" t="s">
        <v>3654</v>
      </c>
      <c r="C489" s="1348">
        <v>5</v>
      </c>
      <c r="D489" s="1349">
        <v>43101</v>
      </c>
      <c r="E489" s="1349"/>
      <c r="F489" s="1347" t="s">
        <v>72</v>
      </c>
      <c r="G489" s="1347" t="s">
        <v>85</v>
      </c>
      <c r="H489" s="1347" t="s">
        <v>72</v>
      </c>
      <c r="I489" s="1347" t="s">
        <v>72</v>
      </c>
      <c r="J489" s="1349" t="s">
        <v>4670</v>
      </c>
      <c r="K489" s="1349" t="s">
        <v>254</v>
      </c>
      <c r="L489" s="1350" t="s">
        <v>4696</v>
      </c>
      <c r="M489" s="1350" t="s">
        <v>4697</v>
      </c>
      <c r="N489" s="1389" t="s">
        <v>4698</v>
      </c>
      <c r="O489" s="1352" t="s">
        <v>4699</v>
      </c>
      <c r="P489" s="1352"/>
      <c r="Q489" s="1354"/>
      <c r="R489" s="1354"/>
      <c r="S489" s="1354"/>
      <c r="T489" s="1354"/>
      <c r="U489" s="1354"/>
      <c r="V489" s="1354"/>
      <c r="W489" s="1354"/>
      <c r="X489" s="1353">
        <v>43101</v>
      </c>
      <c r="Y489" s="1353">
        <v>43466</v>
      </c>
      <c r="Z489" s="1355"/>
      <c r="AA489" s="1355" t="s">
        <v>4674</v>
      </c>
      <c r="AB489" s="1356"/>
      <c r="AC489" s="1356"/>
      <c r="AD489" s="1356"/>
      <c r="AE489" s="1356"/>
      <c r="AF489" s="1357" t="str">
        <f t="shared" si="660"/>
        <v/>
      </c>
      <c r="AG489" s="1380"/>
      <c r="AH489" s="1380"/>
      <c r="AI489" s="1381">
        <v>0</v>
      </c>
      <c r="AJ489" s="1382">
        <f t="shared" si="683"/>
        <v>0</v>
      </c>
      <c r="AK489" s="1383">
        <f t="shared" si="684"/>
        <v>0</v>
      </c>
      <c r="AL489" s="1384">
        <v>0</v>
      </c>
      <c r="AM489" s="1363">
        <f t="shared" si="685"/>
        <v>0</v>
      </c>
      <c r="AN489" s="1364">
        <v>0</v>
      </c>
      <c r="AO489" s="1365">
        <f t="shared" si="686"/>
        <v>0</v>
      </c>
      <c r="AP489" s="1366">
        <v>0</v>
      </c>
      <c r="AQ489" s="1367">
        <f t="shared" si="687"/>
        <v>0</v>
      </c>
      <c r="AR489" s="1368">
        <v>0</v>
      </c>
      <c r="AS489" s="1369">
        <f t="shared" si="688"/>
        <v>0</v>
      </c>
      <c r="AT489" s="1370">
        <v>0</v>
      </c>
      <c r="AU489" s="1371">
        <f t="shared" si="689"/>
        <v>0</v>
      </c>
      <c r="AV489" s="1359">
        <f t="shared" si="690"/>
        <v>0</v>
      </c>
      <c r="AW489" s="1372">
        <f t="shared" si="691"/>
        <v>0</v>
      </c>
      <c r="AX489" s="1373">
        <f t="shared" si="692"/>
        <v>0</v>
      </c>
      <c r="AY489" s="1374">
        <f t="shared" si="693"/>
        <v>0</v>
      </c>
      <c r="AZ489" s="1375">
        <f t="shared" si="694"/>
        <v>0</v>
      </c>
      <c r="BA489" s="1376">
        <f t="shared" si="695"/>
        <v>0</v>
      </c>
      <c r="BB489" s="1377"/>
      <c r="BC489" s="1848"/>
      <c r="BD489" s="1820"/>
      <c r="BE489" s="1823"/>
      <c r="BF489" s="1826"/>
      <c r="BG489" s="1829"/>
    </row>
    <row r="490" spans="1:59" s="1378" customFormat="1" ht="25.5">
      <c r="A490" s="1347" t="str">
        <f>L482</f>
        <v>Humanigen, Inc.</v>
      </c>
      <c r="B490" s="1348" t="str">
        <f>N482</f>
        <v>ABD</v>
      </c>
      <c r="C490" s="1348">
        <f>Z482</f>
        <v>4</v>
      </c>
      <c r="D490" s="1349">
        <v>43101</v>
      </c>
      <c r="E490" s="1349"/>
      <c r="F490" s="1347" t="s">
        <v>72</v>
      </c>
      <c r="G490" s="1347" t="s">
        <v>4700</v>
      </c>
      <c r="H490" s="1347" t="s">
        <v>72</v>
      </c>
      <c r="I490" s="1347" t="s">
        <v>72</v>
      </c>
      <c r="J490" s="1349" t="s">
        <v>4670</v>
      </c>
      <c r="K490" s="1349" t="s">
        <v>254</v>
      </c>
      <c r="L490" s="1350" t="s">
        <v>48</v>
      </c>
      <c r="M490" s="1350" t="s">
        <v>3652</v>
      </c>
      <c r="N490" s="1390" t="s">
        <v>4877</v>
      </c>
      <c r="O490" s="1352" t="s">
        <v>4702</v>
      </c>
      <c r="P490" s="1352"/>
      <c r="Q490" s="1354"/>
      <c r="R490" s="1354"/>
      <c r="S490" s="1354"/>
      <c r="T490" s="1354"/>
      <c r="U490" s="1354"/>
      <c r="V490" s="1354"/>
      <c r="W490" s="1354"/>
      <c r="X490" s="1353">
        <v>43101</v>
      </c>
      <c r="Y490" s="1353">
        <v>43466</v>
      </c>
      <c r="Z490" s="1355"/>
      <c r="AA490" s="1355" t="s">
        <v>4674</v>
      </c>
      <c r="AB490" s="1356"/>
      <c r="AC490" s="1356"/>
      <c r="AD490" s="1356"/>
      <c r="AE490" s="1356"/>
      <c r="AF490" s="1357" t="str">
        <f t="shared" si="660"/>
        <v/>
      </c>
      <c r="AG490" s="1380"/>
      <c r="AH490" s="1380"/>
      <c r="AI490" s="1381">
        <v>0</v>
      </c>
      <c r="AJ490" s="1383">
        <v>0</v>
      </c>
      <c r="AK490" s="1383">
        <v>0</v>
      </c>
      <c r="AL490" s="1384">
        <v>0</v>
      </c>
      <c r="AM490" s="1363">
        <f t="shared" si="685"/>
        <v>0</v>
      </c>
      <c r="AN490" s="1364">
        <v>0</v>
      </c>
      <c r="AO490" s="1365">
        <f t="shared" si="686"/>
        <v>0</v>
      </c>
      <c r="AP490" s="1366">
        <v>0</v>
      </c>
      <c r="AQ490" s="1367">
        <f t="shared" si="687"/>
        <v>0</v>
      </c>
      <c r="AR490" s="1368">
        <v>0</v>
      </c>
      <c r="AS490" s="1369">
        <f t="shared" si="688"/>
        <v>0</v>
      </c>
      <c r="AT490" s="1370">
        <v>0</v>
      </c>
      <c r="AU490" s="1371">
        <f t="shared" si="689"/>
        <v>0</v>
      </c>
      <c r="AV490" s="1359">
        <f t="shared" si="690"/>
        <v>0</v>
      </c>
      <c r="AW490" s="1372">
        <f t="shared" si="691"/>
        <v>0</v>
      </c>
      <c r="AX490" s="1373">
        <f t="shared" si="692"/>
        <v>0</v>
      </c>
      <c r="AY490" s="1374">
        <f t="shared" si="693"/>
        <v>0</v>
      </c>
      <c r="AZ490" s="1375">
        <f t="shared" si="694"/>
        <v>0</v>
      </c>
      <c r="BA490" s="1376">
        <f t="shared" si="695"/>
        <v>0</v>
      </c>
      <c r="BB490" s="1377"/>
      <c r="BC490" s="1848"/>
      <c r="BD490" s="1820"/>
      <c r="BE490" s="1823"/>
      <c r="BF490" s="1826"/>
      <c r="BG490" s="1829"/>
    </row>
    <row r="491" spans="1:59" s="1378" customFormat="1" ht="25.5">
      <c r="A491" s="1347" t="str">
        <f>L482</f>
        <v>Humanigen, Inc.</v>
      </c>
      <c r="B491" s="1348" t="str">
        <f>N482</f>
        <v>ABD</v>
      </c>
      <c r="C491" s="1348">
        <f>Z482</f>
        <v>4</v>
      </c>
      <c r="D491" s="1349">
        <v>43101</v>
      </c>
      <c r="E491" s="1349"/>
      <c r="F491" s="1347" t="s">
        <v>72</v>
      </c>
      <c r="G491" s="1347" t="s">
        <v>85</v>
      </c>
      <c r="H491" s="1347" t="s">
        <v>72</v>
      </c>
      <c r="I491" s="1347" t="s">
        <v>72</v>
      </c>
      <c r="J491" s="1349" t="s">
        <v>4670</v>
      </c>
      <c r="K491" s="1349" t="s">
        <v>254</v>
      </c>
      <c r="L491" s="1350" t="s">
        <v>48</v>
      </c>
      <c r="M491" s="1350" t="s">
        <v>253</v>
      </c>
      <c r="N491" s="1390" t="s">
        <v>4703</v>
      </c>
      <c r="O491" s="1352" t="s">
        <v>4704</v>
      </c>
      <c r="P491" s="1352"/>
      <c r="Q491" s="1354"/>
      <c r="R491" s="1354"/>
      <c r="S491" s="1354"/>
      <c r="T491" s="1354"/>
      <c r="U491" s="1354"/>
      <c r="V491" s="1354"/>
      <c r="W491" s="1354"/>
      <c r="X491" s="1353">
        <v>43101</v>
      </c>
      <c r="Y491" s="1353">
        <v>43466</v>
      </c>
      <c r="Z491" s="1355"/>
      <c r="AA491" s="1355" t="s">
        <v>4674</v>
      </c>
      <c r="AB491" s="1356"/>
      <c r="AC491" s="1356"/>
      <c r="AD491" s="1356"/>
      <c r="AE491" s="1356"/>
      <c r="AF491" s="1357" t="str">
        <f t="shared" si="660"/>
        <v/>
      </c>
      <c r="AG491" s="1380"/>
      <c r="AH491" s="1380"/>
      <c r="AI491" s="1381">
        <v>0</v>
      </c>
      <c r="AJ491" s="1383">
        <v>0</v>
      </c>
      <c r="AK491" s="1383">
        <v>0</v>
      </c>
      <c r="AL491" s="1384">
        <v>0</v>
      </c>
      <c r="AM491" s="1363">
        <f t="shared" si="685"/>
        <v>0</v>
      </c>
      <c r="AN491" s="1364">
        <v>0</v>
      </c>
      <c r="AO491" s="1365">
        <f t="shared" si="686"/>
        <v>0</v>
      </c>
      <c r="AP491" s="1366">
        <v>0</v>
      </c>
      <c r="AQ491" s="1367">
        <f t="shared" si="687"/>
        <v>0</v>
      </c>
      <c r="AR491" s="1368">
        <v>0</v>
      </c>
      <c r="AS491" s="1369">
        <f t="shared" si="688"/>
        <v>0</v>
      </c>
      <c r="AT491" s="1370">
        <v>0</v>
      </c>
      <c r="AU491" s="1371">
        <f t="shared" si="689"/>
        <v>0</v>
      </c>
      <c r="AV491" s="1359">
        <f t="shared" si="690"/>
        <v>0</v>
      </c>
      <c r="AW491" s="1372">
        <f t="shared" si="691"/>
        <v>0</v>
      </c>
      <c r="AX491" s="1373">
        <f t="shared" si="692"/>
        <v>0</v>
      </c>
      <c r="AY491" s="1374">
        <f t="shared" si="693"/>
        <v>0</v>
      </c>
      <c r="AZ491" s="1375">
        <f t="shared" si="694"/>
        <v>0</v>
      </c>
      <c r="BA491" s="1376">
        <f t="shared" si="695"/>
        <v>0</v>
      </c>
      <c r="BB491" s="1377"/>
      <c r="BC491" s="1848"/>
      <c r="BD491" s="1820"/>
      <c r="BE491" s="1823"/>
      <c r="BF491" s="1826"/>
      <c r="BG491" s="1829"/>
    </row>
    <row r="492" spans="1:59" s="1378" customFormat="1" ht="25.5">
      <c r="A492" s="1347" t="str">
        <f>L482</f>
        <v>Humanigen, Inc.</v>
      </c>
      <c r="B492" s="1348" t="str">
        <f>N482</f>
        <v>ABD</v>
      </c>
      <c r="C492" s="1348">
        <f>Z482</f>
        <v>4</v>
      </c>
      <c r="D492" s="1349">
        <v>43101</v>
      </c>
      <c r="E492" s="1349"/>
      <c r="F492" s="1347" t="s">
        <v>72</v>
      </c>
      <c r="G492" s="1347" t="s">
        <v>85</v>
      </c>
      <c r="H492" s="1347" t="s">
        <v>72</v>
      </c>
      <c r="I492" s="1347" t="s">
        <v>72</v>
      </c>
      <c r="J492" s="1349" t="s">
        <v>4670</v>
      </c>
      <c r="K492" s="1349" t="s">
        <v>254</v>
      </c>
      <c r="L492" s="1350" t="s">
        <v>49</v>
      </c>
      <c r="M492" s="1350" t="s">
        <v>4705</v>
      </c>
      <c r="N492" s="1390" t="s">
        <v>4706</v>
      </c>
      <c r="O492" s="1352" t="s">
        <v>4707</v>
      </c>
      <c r="P492" s="1352"/>
      <c r="Q492" s="1354"/>
      <c r="R492" s="1354"/>
      <c r="S492" s="1354"/>
      <c r="T492" s="1354"/>
      <c r="U492" s="1354"/>
      <c r="V492" s="1354"/>
      <c r="W492" s="1354"/>
      <c r="X492" s="1353">
        <v>43101</v>
      </c>
      <c r="Y492" s="1353">
        <v>43466</v>
      </c>
      <c r="Z492" s="1355"/>
      <c r="AA492" s="1355" t="s">
        <v>4674</v>
      </c>
      <c r="AB492" s="1356"/>
      <c r="AC492" s="1356"/>
      <c r="AD492" s="1356"/>
      <c r="AE492" s="1356"/>
      <c r="AF492" s="1357" t="str">
        <f t="shared" si="660"/>
        <v/>
      </c>
      <c r="AG492" s="1380"/>
      <c r="AH492" s="1380"/>
      <c r="AI492" s="1381">
        <v>0</v>
      </c>
      <c r="AJ492" s="1382">
        <f>$AI492*$AG492</f>
        <v>0</v>
      </c>
      <c r="AK492" s="1383">
        <f t="shared" ref="AK492:AK493" si="696">AI492*$AH492</f>
        <v>0</v>
      </c>
      <c r="AL492" s="1384">
        <v>0</v>
      </c>
      <c r="AM492" s="1363">
        <f t="shared" si="685"/>
        <v>0</v>
      </c>
      <c r="AN492" s="1364">
        <v>0</v>
      </c>
      <c r="AO492" s="1365">
        <f t="shared" si="686"/>
        <v>0</v>
      </c>
      <c r="AP492" s="1366">
        <v>0</v>
      </c>
      <c r="AQ492" s="1367">
        <f t="shared" si="687"/>
        <v>0</v>
      </c>
      <c r="AR492" s="1368">
        <v>0</v>
      </c>
      <c r="AS492" s="1369">
        <f t="shared" si="688"/>
        <v>0</v>
      </c>
      <c r="AT492" s="1370">
        <v>0</v>
      </c>
      <c r="AU492" s="1371">
        <f t="shared" si="689"/>
        <v>0</v>
      </c>
      <c r="AV492" s="1359">
        <f t="shared" si="690"/>
        <v>0</v>
      </c>
      <c r="AW492" s="1372">
        <f t="shared" si="691"/>
        <v>0</v>
      </c>
      <c r="AX492" s="1373">
        <f t="shared" si="692"/>
        <v>0</v>
      </c>
      <c r="AY492" s="1374">
        <f t="shared" si="693"/>
        <v>0</v>
      </c>
      <c r="AZ492" s="1375">
        <f t="shared" si="694"/>
        <v>0</v>
      </c>
      <c r="BA492" s="1376">
        <f t="shared" si="695"/>
        <v>0</v>
      </c>
      <c r="BB492" s="1391"/>
      <c r="BC492" s="1848"/>
      <c r="BD492" s="1820"/>
      <c r="BE492" s="1823"/>
      <c r="BF492" s="1826"/>
      <c r="BG492" s="1829"/>
    </row>
    <row r="493" spans="1:59" s="1378" customFormat="1" ht="25.5">
      <c r="A493" s="1347" t="str">
        <f>L482</f>
        <v>Humanigen, Inc.</v>
      </c>
      <c r="B493" s="1348" t="str">
        <f>N482</f>
        <v>ABD</v>
      </c>
      <c r="C493" s="1348">
        <f>Z482</f>
        <v>4</v>
      </c>
      <c r="D493" s="1349">
        <v>43101</v>
      </c>
      <c r="E493" s="1349"/>
      <c r="F493" s="1347" t="s">
        <v>72</v>
      </c>
      <c r="G493" s="1347" t="s">
        <v>85</v>
      </c>
      <c r="H493" s="1347" t="s">
        <v>72</v>
      </c>
      <c r="I493" s="1347" t="s">
        <v>72</v>
      </c>
      <c r="J493" s="1349" t="s">
        <v>4670</v>
      </c>
      <c r="K493" s="1349" t="s">
        <v>254</v>
      </c>
      <c r="L493" s="1350" t="s">
        <v>3056</v>
      </c>
      <c r="M493" s="1350" t="s">
        <v>4708</v>
      </c>
      <c r="N493" s="1390" t="s">
        <v>4709</v>
      </c>
      <c r="O493" s="1352" t="s">
        <v>4710</v>
      </c>
      <c r="P493" s="1352"/>
      <c r="Q493" s="1354"/>
      <c r="R493" s="1354"/>
      <c r="S493" s="1354"/>
      <c r="T493" s="1354"/>
      <c r="U493" s="1354"/>
      <c r="V493" s="1354"/>
      <c r="W493" s="1354"/>
      <c r="X493" s="1353">
        <v>43101</v>
      </c>
      <c r="Y493" s="1353">
        <v>43466</v>
      </c>
      <c r="Z493" s="1355"/>
      <c r="AA493" s="1355" t="s">
        <v>4674</v>
      </c>
      <c r="AB493" s="1356"/>
      <c r="AC493" s="1356"/>
      <c r="AD493" s="1356"/>
      <c r="AE493" s="1356"/>
      <c r="AF493" s="1357" t="str">
        <f t="shared" si="660"/>
        <v/>
      </c>
      <c r="AG493" s="1380"/>
      <c r="AH493" s="1380"/>
      <c r="AI493" s="1381">
        <v>0</v>
      </c>
      <c r="AJ493" s="1382">
        <f>$AI493*$AG493</f>
        <v>0</v>
      </c>
      <c r="AK493" s="1383">
        <f t="shared" si="696"/>
        <v>0</v>
      </c>
      <c r="AL493" s="1384">
        <v>0</v>
      </c>
      <c r="AM493" s="1363">
        <f t="shared" si="685"/>
        <v>0</v>
      </c>
      <c r="AN493" s="1364">
        <v>0</v>
      </c>
      <c r="AO493" s="1365">
        <f t="shared" si="686"/>
        <v>0</v>
      </c>
      <c r="AP493" s="1366">
        <v>0</v>
      </c>
      <c r="AQ493" s="1367">
        <f t="shared" si="687"/>
        <v>0</v>
      </c>
      <c r="AR493" s="1368">
        <v>0</v>
      </c>
      <c r="AS493" s="1369">
        <f t="shared" si="688"/>
        <v>0</v>
      </c>
      <c r="AT493" s="1370">
        <v>0</v>
      </c>
      <c r="AU493" s="1371">
        <f t="shared" si="689"/>
        <v>0</v>
      </c>
      <c r="AV493" s="1359">
        <f t="shared" si="690"/>
        <v>0</v>
      </c>
      <c r="AW493" s="1372">
        <f t="shared" si="691"/>
        <v>0</v>
      </c>
      <c r="AX493" s="1373">
        <f t="shared" si="692"/>
        <v>0</v>
      </c>
      <c r="AY493" s="1374">
        <f t="shared" si="693"/>
        <v>0</v>
      </c>
      <c r="AZ493" s="1375">
        <f t="shared" si="694"/>
        <v>0</v>
      </c>
      <c r="BA493" s="1376">
        <f t="shared" si="695"/>
        <v>0</v>
      </c>
      <c r="BB493" s="1391"/>
      <c r="BC493" s="1849"/>
      <c r="BD493" s="1821"/>
      <c r="BE493" s="1824"/>
      <c r="BF493" s="1827"/>
      <c r="BG493" s="1830"/>
    </row>
    <row r="494" spans="1:59" s="1315" customFormat="1" ht="57" customHeight="1">
      <c r="A494" s="1277" t="str">
        <f>L494</f>
        <v>ImpediMed, Inc.</v>
      </c>
      <c r="B494" s="1316" t="str">
        <f>N494</f>
        <v>HUB SD</v>
      </c>
      <c r="C494" s="1316">
        <f>Z494</f>
        <v>48</v>
      </c>
      <c r="D494" s="1317">
        <v>43101</v>
      </c>
      <c r="E494" s="1317"/>
      <c r="F494" s="1277" t="s">
        <v>72</v>
      </c>
      <c r="G494" s="1277" t="s">
        <v>72</v>
      </c>
      <c r="H494" s="1277" t="s">
        <v>72</v>
      </c>
      <c r="I494" s="1277" t="s">
        <v>4711</v>
      </c>
      <c r="J494" s="1317"/>
      <c r="K494" s="1317"/>
      <c r="L494" s="1318" t="s">
        <v>394</v>
      </c>
      <c r="M494" s="1319"/>
      <c r="N494" s="1320" t="s">
        <v>4661</v>
      </c>
      <c r="O494" s="1321" t="s">
        <v>2473</v>
      </c>
      <c r="P494" s="1321"/>
      <c r="Q494" s="1322"/>
      <c r="R494" s="1322"/>
      <c r="S494" s="1322"/>
      <c r="T494" s="1322"/>
      <c r="U494" s="1322"/>
      <c r="V494" s="1322"/>
      <c r="W494" s="1322"/>
      <c r="X494" s="1317">
        <v>43101</v>
      </c>
      <c r="Y494" s="1317">
        <v>43466</v>
      </c>
      <c r="Z494" s="1316">
        <v>48</v>
      </c>
      <c r="AA494" s="1316" t="s">
        <v>5080</v>
      </c>
      <c r="AB494" s="1323">
        <f>SUM(AB495:AB509)</f>
        <v>784274</v>
      </c>
      <c r="AC494" s="1323">
        <f>SUM(AC495:AC509)</f>
        <v>866803</v>
      </c>
      <c r="AD494" s="1323">
        <f>SUM(AD495:AD509)</f>
        <v>710214.03</v>
      </c>
      <c r="AE494" s="1324">
        <f t="shared" si="438"/>
        <v>-74059.969999999972</v>
      </c>
      <c r="AF494" s="1325">
        <f t="shared" si="660"/>
        <v>-9.4431244692543645E-2</v>
      </c>
      <c r="AG494" s="1326">
        <f t="shared" si="663"/>
        <v>60254.222500000003</v>
      </c>
      <c r="AH494" s="1326">
        <f>SUM(AH495:AH509)</f>
        <v>723050.67</v>
      </c>
      <c r="AI494" s="1327"/>
      <c r="AJ494" s="1328">
        <f>SUM(AJ495:AJ509)</f>
        <v>5355.0654750000003</v>
      </c>
      <c r="AK494" s="1328">
        <f>SUM(AK495:AK509)</f>
        <v>64260.785700000015</v>
      </c>
      <c r="AL494" s="1329"/>
      <c r="AM494" s="1330">
        <f>SUM(AM495:AM509)</f>
        <v>2903.3832000000002</v>
      </c>
      <c r="AN494" s="1331"/>
      <c r="AO494" s="1332">
        <f>SUM(AO495:AO509)</f>
        <v>0</v>
      </c>
      <c r="AP494" s="1333"/>
      <c r="AQ494" s="1334">
        <f>SUM(AQ495:AQ509)</f>
        <v>0</v>
      </c>
      <c r="AR494" s="1335"/>
      <c r="AS494" s="1336">
        <f>SUM(AS495:AS509)</f>
        <v>36044.688600000009</v>
      </c>
      <c r="AT494" s="1337"/>
      <c r="AU494" s="1338">
        <f>SUM(AU495:AU509)</f>
        <v>14516.916000000001</v>
      </c>
      <c r="AV494" s="1339"/>
      <c r="AW494" s="1340">
        <f>SUM(AW495:AW509)</f>
        <v>10795.797899999998</v>
      </c>
      <c r="AX494" s="1306"/>
      <c r="AY494" s="1307">
        <f>SUM(AW494+AS494+AU494)</f>
        <v>61357.402500000011</v>
      </c>
      <c r="AZ494" s="1341"/>
      <c r="BA494" s="1309">
        <f>SUM(AY494+AQ494)</f>
        <v>61357.402500000011</v>
      </c>
      <c r="BB494" s="1342">
        <f>(AW494+AU494)/(AK494-AM494)</f>
        <v>0.41254539580615385</v>
      </c>
      <c r="BC494" s="1343"/>
      <c r="BD494" s="1343"/>
      <c r="BE494" s="1344"/>
      <c r="BF494" s="1345" t="s">
        <v>5081</v>
      </c>
      <c r="BG494" s="1346"/>
    </row>
    <row r="495" spans="1:59" s="1378" customFormat="1" ht="85.5" customHeight="1">
      <c r="A495" s="1347" t="str">
        <f>L494</f>
        <v>ImpediMed, Inc.</v>
      </c>
      <c r="B495" s="1348" t="str">
        <f>N494</f>
        <v>HUB SD</v>
      </c>
      <c r="C495" s="1348">
        <f>Z494</f>
        <v>48</v>
      </c>
      <c r="D495" s="1349">
        <v>43101</v>
      </c>
      <c r="E495" s="1349"/>
      <c r="F495" s="1347" t="s">
        <v>85</v>
      </c>
      <c r="G495" s="1347" t="s">
        <v>85</v>
      </c>
      <c r="H495" s="1347" t="s">
        <v>85</v>
      </c>
      <c r="I495" s="1347" t="s">
        <v>85</v>
      </c>
      <c r="J495" s="1349"/>
      <c r="K495" s="1349" t="s">
        <v>254</v>
      </c>
      <c r="L495" s="1350" t="s">
        <v>2661</v>
      </c>
      <c r="M495" s="1350" t="s">
        <v>3647</v>
      </c>
      <c r="N495" s="1351" t="s">
        <v>5001</v>
      </c>
      <c r="O495" s="1352" t="s">
        <v>5002</v>
      </c>
      <c r="P495" s="1352" t="s">
        <v>5003</v>
      </c>
      <c r="Q495" s="1353" t="s">
        <v>317</v>
      </c>
      <c r="R495" s="1353" t="s">
        <v>3648</v>
      </c>
      <c r="S495" s="1353" t="s">
        <v>307</v>
      </c>
      <c r="T495" s="1353" t="s">
        <v>113</v>
      </c>
      <c r="U495" s="1354"/>
      <c r="V495" s="1354"/>
      <c r="W495" s="1354"/>
      <c r="X495" s="1353">
        <v>43101</v>
      </c>
      <c r="Y495" s="1353">
        <v>43466</v>
      </c>
      <c r="Z495" s="1355"/>
      <c r="AA495" s="1355" t="s">
        <v>4667</v>
      </c>
      <c r="AB495" s="1422">
        <v>660231</v>
      </c>
      <c r="AC495" s="1422">
        <v>742760</v>
      </c>
      <c r="AD495" s="1422">
        <f t="shared" ref="AD495:AD502" si="697">AH495</f>
        <v>580676.64</v>
      </c>
      <c r="AE495" s="1422">
        <f t="shared" si="438"/>
        <v>-79554.359999999986</v>
      </c>
      <c r="AF495" s="1423">
        <f t="shared" si="660"/>
        <v>-0.1204947359333324</v>
      </c>
      <c r="AG495" s="1358">
        <f t="shared" si="663"/>
        <v>48389.72</v>
      </c>
      <c r="AH495" s="1358">
        <f>94588.68 + 103285.2 +382802.76</f>
        <v>580676.64</v>
      </c>
      <c r="AI495" s="1359">
        <v>0.08</v>
      </c>
      <c r="AJ495" s="1360">
        <f t="shared" ref="AJ495:AJ509" si="698">$AI495*$AG495</f>
        <v>3871.1776</v>
      </c>
      <c r="AK495" s="1361">
        <f t="shared" ref="AK495:AK509" si="699">AI495*$AH495</f>
        <v>46454.131200000003</v>
      </c>
      <c r="AL495" s="1362">
        <v>5.0000000000000001E-3</v>
      </c>
      <c r="AM495" s="1363">
        <f t="shared" ref="AM495:AM509" si="700">AL495*$AH495</f>
        <v>2903.3832000000002</v>
      </c>
      <c r="AN495" s="1364">
        <v>0</v>
      </c>
      <c r="AO495" s="1365">
        <f t="shared" ref="AO495:AO509" si="701">AN495*$AH495</f>
        <v>0</v>
      </c>
      <c r="AP495" s="1366">
        <v>0</v>
      </c>
      <c r="AQ495" s="1367">
        <f t="shared" ref="AQ495:AQ509" si="702">AP495*$AH495</f>
        <v>0</v>
      </c>
      <c r="AR495" s="1368">
        <v>0.04</v>
      </c>
      <c r="AS495" s="1369">
        <f t="shared" ref="AS495:AS509" si="703">AR495*$AH495</f>
        <v>23227.065600000002</v>
      </c>
      <c r="AT495" s="1370">
        <v>2.5000000000000001E-2</v>
      </c>
      <c r="AU495" s="1371">
        <f t="shared" ref="AU495:AU509" si="704">AT495*$AH495</f>
        <v>14516.916000000001</v>
      </c>
      <c r="AV495" s="1359">
        <f t="shared" ref="AV495:AV509" si="705">AZ495-AR495-AT495-AP495</f>
        <v>9.999999999999995E-3</v>
      </c>
      <c r="AW495" s="1372">
        <f t="shared" ref="AW495:AW509" si="706">AV495*$AH495</f>
        <v>5806.7663999999968</v>
      </c>
      <c r="AX495" s="1373">
        <f t="shared" ref="AX495:AX509" si="707">$AZ495-$AP495</f>
        <v>7.4999999999999997E-2</v>
      </c>
      <c r="AY495" s="1374">
        <f t="shared" ref="AY495:AY509" si="708">AX495*$AH495</f>
        <v>43550.748</v>
      </c>
      <c r="AZ495" s="1375">
        <f t="shared" ref="AZ495:AZ509" si="709">$AI495-$AL495-$AN495</f>
        <v>7.4999999999999997E-2</v>
      </c>
      <c r="BA495" s="1376">
        <f t="shared" ref="BA495:BA509" si="710">AZ495*$AH495</f>
        <v>43550.748</v>
      </c>
      <c r="BB495" s="1377"/>
      <c r="BC495" s="1847" t="s">
        <v>395</v>
      </c>
      <c r="BD495" s="1819" t="s">
        <v>399</v>
      </c>
      <c r="BE495" s="1825" t="s">
        <v>3611</v>
      </c>
      <c r="BF495" s="1825" t="s">
        <v>5082</v>
      </c>
      <c r="BG495" s="1851">
        <v>980376225</v>
      </c>
    </row>
    <row r="496" spans="1:59" s="1378" customFormat="1" ht="38.25">
      <c r="A496" s="1347" t="str">
        <f>L494</f>
        <v>ImpediMed, Inc.</v>
      </c>
      <c r="B496" s="1348" t="str">
        <f>N494</f>
        <v>HUB SD</v>
      </c>
      <c r="C496" s="1348">
        <f>Z494</f>
        <v>48</v>
      </c>
      <c r="D496" s="1349">
        <v>43101</v>
      </c>
      <c r="E496" s="1349"/>
      <c r="F496" s="1347" t="s">
        <v>72</v>
      </c>
      <c r="G496" s="1347" t="s">
        <v>113</v>
      </c>
      <c r="H496" s="1347" t="s">
        <v>72</v>
      </c>
      <c r="I496" s="1347" t="s">
        <v>72</v>
      </c>
      <c r="J496" s="1349" t="s">
        <v>4670</v>
      </c>
      <c r="K496" s="1349" t="s">
        <v>254</v>
      </c>
      <c r="L496" s="1397" t="s">
        <v>4737</v>
      </c>
      <c r="M496" s="1397" t="s">
        <v>3649</v>
      </c>
      <c r="N496" s="1410" t="s">
        <v>4820</v>
      </c>
      <c r="O496" s="1399" t="s">
        <v>5083</v>
      </c>
      <c r="P496" s="1399"/>
      <c r="Q496" s="1400"/>
      <c r="R496" s="1400"/>
      <c r="S496" s="1400"/>
      <c r="T496" s="1400"/>
      <c r="U496" s="1400"/>
      <c r="V496" s="1400"/>
      <c r="W496" s="1400"/>
      <c r="X496" s="1400">
        <v>43101</v>
      </c>
      <c r="Y496" s="1400">
        <v>43466</v>
      </c>
      <c r="Z496" s="1401"/>
      <c r="AA496" s="1401" t="s">
        <v>4738</v>
      </c>
      <c r="AB496" s="1369"/>
      <c r="AC496" s="1369"/>
      <c r="AD496" s="1369"/>
      <c r="AE496" s="1369"/>
      <c r="AF496" s="1403" t="str">
        <f t="shared" si="660"/>
        <v/>
      </c>
      <c r="AG496" s="1404"/>
      <c r="AH496" s="1404"/>
      <c r="AI496" s="1405">
        <v>0</v>
      </c>
      <c r="AJ496" s="1411">
        <f t="shared" si="698"/>
        <v>0</v>
      </c>
      <c r="AK496" s="1406">
        <f t="shared" si="699"/>
        <v>0</v>
      </c>
      <c r="AL496" s="1384">
        <v>0</v>
      </c>
      <c r="AM496" s="1363">
        <f t="shared" si="700"/>
        <v>0</v>
      </c>
      <c r="AN496" s="1364">
        <v>0</v>
      </c>
      <c r="AO496" s="1365">
        <f t="shared" si="701"/>
        <v>0</v>
      </c>
      <c r="AP496" s="1366">
        <v>0</v>
      </c>
      <c r="AQ496" s="1367">
        <f t="shared" si="702"/>
        <v>0</v>
      </c>
      <c r="AR496" s="1368">
        <v>0</v>
      </c>
      <c r="AS496" s="1369">
        <f t="shared" si="703"/>
        <v>0</v>
      </c>
      <c r="AT496" s="1370">
        <v>0</v>
      </c>
      <c r="AU496" s="1371">
        <f t="shared" si="704"/>
        <v>0</v>
      </c>
      <c r="AV496" s="1359">
        <f t="shared" si="705"/>
        <v>0</v>
      </c>
      <c r="AW496" s="1372">
        <f t="shared" si="706"/>
        <v>0</v>
      </c>
      <c r="AX496" s="1373">
        <f t="shared" si="707"/>
        <v>0</v>
      </c>
      <c r="AY496" s="1374">
        <f t="shared" si="708"/>
        <v>0</v>
      </c>
      <c r="AZ496" s="1375">
        <f t="shared" si="709"/>
        <v>0</v>
      </c>
      <c r="BA496" s="1376">
        <f t="shared" si="710"/>
        <v>0</v>
      </c>
      <c r="BB496" s="1377"/>
      <c r="BC496" s="1848"/>
      <c r="BD496" s="1820"/>
      <c r="BE496" s="1826"/>
      <c r="BF496" s="1826"/>
      <c r="BG496" s="1851"/>
    </row>
    <row r="497" spans="1:59" s="1378" customFormat="1" ht="38.25" customHeight="1">
      <c r="A497" s="1347" t="str">
        <f>L494</f>
        <v>ImpediMed, Inc.</v>
      </c>
      <c r="B497" s="1348" t="str">
        <f>N494</f>
        <v>HUB SD</v>
      </c>
      <c r="C497" s="1348">
        <f>Z494</f>
        <v>48</v>
      </c>
      <c r="D497" s="1349">
        <v>43101</v>
      </c>
      <c r="E497" s="1349"/>
      <c r="F497" s="1347" t="s">
        <v>113</v>
      </c>
      <c r="G497" s="1347" t="s">
        <v>85</v>
      </c>
      <c r="H497" s="1347" t="s">
        <v>85</v>
      </c>
      <c r="I497" s="1347" t="s">
        <v>85</v>
      </c>
      <c r="J497" s="1349"/>
      <c r="K497" s="1349" t="s">
        <v>254</v>
      </c>
      <c r="L497" s="1350" t="s">
        <v>4675</v>
      </c>
      <c r="M497" s="1350" t="s">
        <v>3650</v>
      </c>
      <c r="N497" s="1385" t="s">
        <v>5084</v>
      </c>
      <c r="O497" s="1352" t="s">
        <v>4677</v>
      </c>
      <c r="P497" s="1352"/>
      <c r="Q497" s="1354"/>
      <c r="R497" s="1354"/>
      <c r="S497" s="1354"/>
      <c r="T497" s="1354"/>
      <c r="U497" s="1353" t="s">
        <v>4678</v>
      </c>
      <c r="V497" s="1353" t="s">
        <v>2482</v>
      </c>
      <c r="W497" s="1354"/>
      <c r="X497" s="1353">
        <v>43101</v>
      </c>
      <c r="Y497" s="1353">
        <v>43466</v>
      </c>
      <c r="Z497" s="1355"/>
      <c r="AA497" s="1355" t="s">
        <v>4679</v>
      </c>
      <c r="AB497" s="1422">
        <v>67615</v>
      </c>
      <c r="AC497" s="1422">
        <v>67615</v>
      </c>
      <c r="AD497" s="1422">
        <f t="shared" si="697"/>
        <v>62604.24</v>
      </c>
      <c r="AE497" s="1422">
        <f t="shared" si="438"/>
        <v>-5010.760000000002</v>
      </c>
      <c r="AF497" s="1423">
        <f t="shared" si="660"/>
        <v>-7.41072247282408E-2</v>
      </c>
      <c r="AG497" s="1358">
        <f t="shared" si="663"/>
        <v>5217.0199999999995</v>
      </c>
      <c r="AH497" s="1358">
        <v>62604.24</v>
      </c>
      <c r="AI497" s="1359">
        <v>0.1</v>
      </c>
      <c r="AJ497" s="1360">
        <f t="shared" si="698"/>
        <v>521.702</v>
      </c>
      <c r="AK497" s="1361">
        <f t="shared" si="699"/>
        <v>6260.424</v>
      </c>
      <c r="AL497" s="1384">
        <v>0</v>
      </c>
      <c r="AM497" s="1363">
        <f t="shared" si="700"/>
        <v>0</v>
      </c>
      <c r="AN497" s="1364">
        <v>0</v>
      </c>
      <c r="AO497" s="1365">
        <f t="shared" si="701"/>
        <v>0</v>
      </c>
      <c r="AP497" s="1366">
        <v>0</v>
      </c>
      <c r="AQ497" s="1367">
        <f t="shared" si="702"/>
        <v>0</v>
      </c>
      <c r="AR497" s="1368">
        <v>0.08</v>
      </c>
      <c r="AS497" s="1369">
        <f t="shared" si="703"/>
        <v>5008.3392000000003</v>
      </c>
      <c r="AT497" s="1370">
        <v>0</v>
      </c>
      <c r="AU497" s="1371">
        <f t="shared" si="704"/>
        <v>0</v>
      </c>
      <c r="AV497" s="1359">
        <f t="shared" si="705"/>
        <v>2.0000000000000004E-2</v>
      </c>
      <c r="AW497" s="1372">
        <f t="shared" si="706"/>
        <v>1252.0848000000003</v>
      </c>
      <c r="AX497" s="1373">
        <f t="shared" si="707"/>
        <v>0.1</v>
      </c>
      <c r="AY497" s="1374">
        <f t="shared" si="708"/>
        <v>6260.424</v>
      </c>
      <c r="AZ497" s="1375">
        <f t="shared" si="709"/>
        <v>0.1</v>
      </c>
      <c r="BA497" s="1376">
        <f t="shared" si="710"/>
        <v>6260.424</v>
      </c>
      <c r="BB497" s="1377"/>
      <c r="BC497" s="1848"/>
      <c r="BD497" s="1820"/>
      <c r="BE497" s="1826"/>
      <c r="BF497" s="1826"/>
      <c r="BG497" s="1851"/>
    </row>
    <row r="498" spans="1:59" s="1378" customFormat="1" ht="38.25" customHeight="1">
      <c r="A498" s="1347" t="str">
        <f>L494</f>
        <v>ImpediMed, Inc.</v>
      </c>
      <c r="B498" s="1348" t="str">
        <f>N494</f>
        <v>HUB SD</v>
      </c>
      <c r="C498" s="1348">
        <f>Z494</f>
        <v>48</v>
      </c>
      <c r="D498" s="1349">
        <v>43101</v>
      </c>
      <c r="E498" s="1349"/>
      <c r="F498" s="1347" t="s">
        <v>113</v>
      </c>
      <c r="G498" s="1347" t="s">
        <v>85</v>
      </c>
      <c r="H498" s="1347" t="s">
        <v>85</v>
      </c>
      <c r="I498" s="1347" t="s">
        <v>85</v>
      </c>
      <c r="J498" s="1349"/>
      <c r="K498" s="1349" t="s">
        <v>254</v>
      </c>
      <c r="L498" s="1350" t="s">
        <v>4675</v>
      </c>
      <c r="M498" s="1350" t="s">
        <v>3651</v>
      </c>
      <c r="N498" s="1351" t="s">
        <v>4897</v>
      </c>
      <c r="O498" s="1352" t="s">
        <v>4681</v>
      </c>
      <c r="P498" s="1352"/>
      <c r="Q498" s="1354"/>
      <c r="R498" s="1354"/>
      <c r="S498" s="1354"/>
      <c r="T498" s="1354"/>
      <c r="U498" s="1354"/>
      <c r="V498" s="1354"/>
      <c r="W498" s="1353" t="s">
        <v>2482</v>
      </c>
      <c r="X498" s="1353">
        <v>43101</v>
      </c>
      <c r="Y498" s="1353">
        <v>43466</v>
      </c>
      <c r="Z498" s="1355"/>
      <c r="AA498" s="1355" t="s">
        <v>4679</v>
      </c>
      <c r="AB498" s="1422">
        <v>6639</v>
      </c>
      <c r="AC498" s="1422">
        <v>6639</v>
      </c>
      <c r="AD498" s="1422">
        <f t="shared" si="697"/>
        <v>8384.76</v>
      </c>
      <c r="AE498" s="1422">
        <f t="shared" si="438"/>
        <v>1745.7600000000002</v>
      </c>
      <c r="AF498" s="1423">
        <f t="shared" si="660"/>
        <v>0.26295526434704025</v>
      </c>
      <c r="AG498" s="1358">
        <f t="shared" si="663"/>
        <v>698.73</v>
      </c>
      <c r="AH498" s="1358">
        <v>8384.76</v>
      </c>
      <c r="AI498" s="1359">
        <v>0.1</v>
      </c>
      <c r="AJ498" s="1360">
        <f t="shared" si="698"/>
        <v>69.873000000000005</v>
      </c>
      <c r="AK498" s="1361">
        <f t="shared" si="699"/>
        <v>838.47600000000011</v>
      </c>
      <c r="AL498" s="1384">
        <v>0</v>
      </c>
      <c r="AM498" s="1363">
        <f t="shared" si="700"/>
        <v>0</v>
      </c>
      <c r="AN498" s="1364">
        <v>0</v>
      </c>
      <c r="AO498" s="1365">
        <f t="shared" si="701"/>
        <v>0</v>
      </c>
      <c r="AP498" s="1366">
        <v>0</v>
      </c>
      <c r="AQ498" s="1367">
        <f t="shared" si="702"/>
        <v>0</v>
      </c>
      <c r="AR498" s="1368">
        <v>0.08</v>
      </c>
      <c r="AS498" s="1369">
        <f t="shared" si="703"/>
        <v>670.7808</v>
      </c>
      <c r="AT498" s="1370">
        <v>0</v>
      </c>
      <c r="AU498" s="1371">
        <f t="shared" si="704"/>
        <v>0</v>
      </c>
      <c r="AV498" s="1359">
        <f t="shared" si="705"/>
        <v>2.0000000000000004E-2</v>
      </c>
      <c r="AW498" s="1372">
        <f t="shared" si="706"/>
        <v>167.69520000000003</v>
      </c>
      <c r="AX498" s="1373">
        <f t="shared" si="707"/>
        <v>0.1</v>
      </c>
      <c r="AY498" s="1374">
        <f t="shared" si="708"/>
        <v>838.47600000000011</v>
      </c>
      <c r="AZ498" s="1375">
        <f t="shared" si="709"/>
        <v>0.1</v>
      </c>
      <c r="BA498" s="1376">
        <f t="shared" si="710"/>
        <v>838.47600000000011</v>
      </c>
      <c r="BB498" s="1377"/>
      <c r="BC498" s="1848"/>
      <c r="BD498" s="1820"/>
      <c r="BE498" s="1826"/>
      <c r="BF498" s="1826"/>
      <c r="BG498" s="1851"/>
    </row>
    <row r="499" spans="1:59" s="1378" customFormat="1" ht="38.25">
      <c r="A499" s="1347" t="str">
        <f>L494</f>
        <v>ImpediMed, Inc.</v>
      </c>
      <c r="B499" s="1348" t="str">
        <f>N494</f>
        <v>HUB SD</v>
      </c>
      <c r="C499" s="1348">
        <f>Z494</f>
        <v>48</v>
      </c>
      <c r="D499" s="1349">
        <v>43101</v>
      </c>
      <c r="E499" s="1349"/>
      <c r="F499" s="1347" t="s">
        <v>113</v>
      </c>
      <c r="G499" s="1347" t="s">
        <v>85</v>
      </c>
      <c r="H499" s="1347" t="s">
        <v>85</v>
      </c>
      <c r="I499" s="1347" t="s">
        <v>85</v>
      </c>
      <c r="J499" s="1349"/>
      <c r="K499" s="1349" t="s">
        <v>254</v>
      </c>
      <c r="L499" s="1350" t="s">
        <v>4682</v>
      </c>
      <c r="M499" s="1350" t="s">
        <v>4683</v>
      </c>
      <c r="N499" s="1386" t="s">
        <v>126</v>
      </c>
      <c r="O499" s="1352" t="s">
        <v>4684</v>
      </c>
      <c r="P499" s="1387"/>
      <c r="Q499" s="1354"/>
      <c r="R499" s="1354"/>
      <c r="S499" s="1354"/>
      <c r="T499" s="1354"/>
      <c r="U499" s="1354"/>
      <c r="V499" s="1354"/>
      <c r="W499" s="1354"/>
      <c r="X499" s="1353">
        <v>43101</v>
      </c>
      <c r="Y499" s="1353">
        <v>43466</v>
      </c>
      <c r="Z499" s="1355"/>
      <c r="AA499" s="1355" t="s">
        <v>4685</v>
      </c>
      <c r="AB499" s="1422">
        <v>20563</v>
      </c>
      <c r="AC499" s="1422">
        <v>20563</v>
      </c>
      <c r="AD499" s="1422">
        <f t="shared" si="697"/>
        <v>26240.48</v>
      </c>
      <c r="AE499" s="1422">
        <f t="shared" si="438"/>
        <v>5677.48</v>
      </c>
      <c r="AF499" s="1423">
        <f t="shared" si="660"/>
        <v>0.27610173612799688</v>
      </c>
      <c r="AG499" s="1358">
        <f t="shared" si="663"/>
        <v>2186.7066666666665</v>
      </c>
      <c r="AH499" s="1358">
        <v>26240.48</v>
      </c>
      <c r="AI499" s="1359">
        <v>0.15</v>
      </c>
      <c r="AJ499" s="1360">
        <f t="shared" si="698"/>
        <v>328.00599999999997</v>
      </c>
      <c r="AK499" s="1361">
        <f t="shared" si="699"/>
        <v>3936.0719999999997</v>
      </c>
      <c r="AL499" s="1384">
        <v>0</v>
      </c>
      <c r="AM499" s="1363">
        <f t="shared" si="700"/>
        <v>0</v>
      </c>
      <c r="AN499" s="1364">
        <v>0</v>
      </c>
      <c r="AO499" s="1365">
        <f t="shared" si="701"/>
        <v>0</v>
      </c>
      <c r="AP499" s="1366">
        <v>0</v>
      </c>
      <c r="AQ499" s="1367">
        <f t="shared" si="702"/>
        <v>0</v>
      </c>
      <c r="AR499" s="1368">
        <v>0.1</v>
      </c>
      <c r="AS499" s="1369">
        <f t="shared" si="703"/>
        <v>2624.0480000000002</v>
      </c>
      <c r="AT499" s="1370">
        <v>0</v>
      </c>
      <c r="AU499" s="1371">
        <f t="shared" si="704"/>
        <v>0</v>
      </c>
      <c r="AV499" s="1359">
        <f t="shared" si="705"/>
        <v>4.9999999999999989E-2</v>
      </c>
      <c r="AW499" s="1372">
        <f t="shared" si="706"/>
        <v>1312.0239999999997</v>
      </c>
      <c r="AX499" s="1373">
        <f t="shared" si="707"/>
        <v>0.15</v>
      </c>
      <c r="AY499" s="1374">
        <f t="shared" si="708"/>
        <v>3936.0719999999997</v>
      </c>
      <c r="AZ499" s="1375">
        <f t="shared" si="709"/>
        <v>0.15</v>
      </c>
      <c r="BA499" s="1376">
        <f t="shared" si="710"/>
        <v>3936.0719999999997</v>
      </c>
      <c r="BB499" s="1377"/>
      <c r="BC499" s="1848"/>
      <c r="BD499" s="1820"/>
      <c r="BE499" s="1826"/>
      <c r="BF499" s="1826"/>
      <c r="BG499" s="1851"/>
    </row>
    <row r="500" spans="1:59" s="1378" customFormat="1" ht="38.25">
      <c r="A500" s="1347" t="str">
        <f>L494</f>
        <v>ImpediMed, Inc.</v>
      </c>
      <c r="B500" s="1348" t="str">
        <f>N494</f>
        <v>HUB SD</v>
      </c>
      <c r="C500" s="1348">
        <f>Z494</f>
        <v>48</v>
      </c>
      <c r="D500" s="1349">
        <v>43101</v>
      </c>
      <c r="E500" s="1349"/>
      <c r="F500" s="1347" t="s">
        <v>113</v>
      </c>
      <c r="G500" s="1347" t="s">
        <v>85</v>
      </c>
      <c r="H500" s="1347" t="s">
        <v>85</v>
      </c>
      <c r="I500" s="1347" t="s">
        <v>113</v>
      </c>
      <c r="J500" s="1349"/>
      <c r="K500" s="1349" t="s">
        <v>254</v>
      </c>
      <c r="L500" s="1350" t="s">
        <v>4682</v>
      </c>
      <c r="M500" s="1350" t="s">
        <v>4686</v>
      </c>
      <c r="N500" s="1386" t="s">
        <v>60</v>
      </c>
      <c r="O500" s="1352" t="s">
        <v>4687</v>
      </c>
      <c r="P500" s="1387"/>
      <c r="Q500" s="1354"/>
      <c r="R500" s="1354"/>
      <c r="S500" s="1354"/>
      <c r="T500" s="1354"/>
      <c r="U500" s="1354"/>
      <c r="V500" s="1354"/>
      <c r="W500" s="1354"/>
      <c r="X500" s="1353">
        <v>43101</v>
      </c>
      <c r="Y500" s="1353">
        <v>43466</v>
      </c>
      <c r="Z500" s="1355"/>
      <c r="AA500" s="1355" t="s">
        <v>4685</v>
      </c>
      <c r="AB500" s="1356"/>
      <c r="AC500" s="1356"/>
      <c r="AD500" s="1356"/>
      <c r="AE500" s="1356"/>
      <c r="AF500" s="1357"/>
      <c r="AG500" s="1358">
        <f t="shared" si="663"/>
        <v>682.46</v>
      </c>
      <c r="AH500" s="1358">
        <v>8189.52</v>
      </c>
      <c r="AI500" s="1359">
        <v>0.15</v>
      </c>
      <c r="AJ500" s="1360">
        <f t="shared" si="698"/>
        <v>102.369</v>
      </c>
      <c r="AK500" s="1361">
        <f t="shared" si="699"/>
        <v>1228.4280000000001</v>
      </c>
      <c r="AL500" s="1384">
        <v>0</v>
      </c>
      <c r="AM500" s="1363">
        <f t="shared" si="700"/>
        <v>0</v>
      </c>
      <c r="AN500" s="1364">
        <v>0</v>
      </c>
      <c r="AO500" s="1365">
        <f t="shared" si="701"/>
        <v>0</v>
      </c>
      <c r="AP500" s="1366">
        <v>0</v>
      </c>
      <c r="AQ500" s="1367">
        <f t="shared" si="702"/>
        <v>0</v>
      </c>
      <c r="AR500" s="1368">
        <v>0.1</v>
      </c>
      <c r="AS500" s="1369">
        <f t="shared" si="703"/>
        <v>818.95200000000011</v>
      </c>
      <c r="AT500" s="1370">
        <v>0</v>
      </c>
      <c r="AU500" s="1371">
        <f t="shared" si="704"/>
        <v>0</v>
      </c>
      <c r="AV500" s="1359">
        <f t="shared" si="705"/>
        <v>4.9999999999999989E-2</v>
      </c>
      <c r="AW500" s="1372">
        <f t="shared" si="706"/>
        <v>409.47599999999994</v>
      </c>
      <c r="AX500" s="1373">
        <f t="shared" si="707"/>
        <v>0.15</v>
      </c>
      <c r="AY500" s="1374">
        <f t="shared" si="708"/>
        <v>1228.4280000000001</v>
      </c>
      <c r="AZ500" s="1375">
        <f t="shared" si="709"/>
        <v>0.15</v>
      </c>
      <c r="BA500" s="1376">
        <f t="shared" si="710"/>
        <v>1228.4280000000001</v>
      </c>
      <c r="BB500" s="1377"/>
      <c r="BC500" s="1848"/>
      <c r="BD500" s="1820"/>
      <c r="BE500" s="1826"/>
      <c r="BF500" s="1826"/>
      <c r="BG500" s="1851"/>
    </row>
    <row r="501" spans="1:59" s="1378" customFormat="1" ht="38.25">
      <c r="A501" s="1347" t="str">
        <f>L494</f>
        <v>ImpediMed, Inc.</v>
      </c>
      <c r="B501" s="1348" t="str">
        <f>N494</f>
        <v>HUB SD</v>
      </c>
      <c r="C501" s="1348">
        <f>Z494</f>
        <v>48</v>
      </c>
      <c r="D501" s="1349">
        <v>43101</v>
      </c>
      <c r="E501" s="1349"/>
      <c r="F501" s="1347" t="s">
        <v>113</v>
      </c>
      <c r="G501" s="1347" t="s">
        <v>85</v>
      </c>
      <c r="H501" s="1347" t="s">
        <v>85</v>
      </c>
      <c r="I501" s="1347" t="s">
        <v>85</v>
      </c>
      <c r="J501" s="1349"/>
      <c r="K501" s="1349" t="s">
        <v>254</v>
      </c>
      <c r="L501" s="1350" t="s">
        <v>4682</v>
      </c>
      <c r="M501" s="1350" t="s">
        <v>62</v>
      </c>
      <c r="N501" s="1351" t="s">
        <v>266</v>
      </c>
      <c r="O501" s="1352" t="s">
        <v>4688</v>
      </c>
      <c r="P501" s="1352"/>
      <c r="Q501" s="1354"/>
      <c r="R501" s="1354"/>
      <c r="S501" s="1354"/>
      <c r="T501" s="1354"/>
      <c r="U501" s="1354"/>
      <c r="V501" s="1354"/>
      <c r="W501" s="1354"/>
      <c r="X501" s="1353">
        <v>43101</v>
      </c>
      <c r="Y501" s="1353">
        <v>43466</v>
      </c>
      <c r="Z501" s="1355"/>
      <c r="AA501" s="1355" t="s">
        <v>4685</v>
      </c>
      <c r="AB501" s="1422">
        <v>8426</v>
      </c>
      <c r="AC501" s="1422">
        <v>8426</v>
      </c>
      <c r="AD501" s="1422">
        <f t="shared" si="697"/>
        <v>8854.17</v>
      </c>
      <c r="AE501" s="1422">
        <f t="shared" si="438"/>
        <v>428.17000000000007</v>
      </c>
      <c r="AF501" s="1423">
        <f t="shared" si="660"/>
        <v>5.081533349157371E-2</v>
      </c>
      <c r="AG501" s="1358">
        <f t="shared" si="663"/>
        <v>737.84749999999997</v>
      </c>
      <c r="AH501" s="1358">
        <v>8854.17</v>
      </c>
      <c r="AI501" s="1359">
        <v>0.15</v>
      </c>
      <c r="AJ501" s="1360">
        <f t="shared" si="698"/>
        <v>110.67712499999999</v>
      </c>
      <c r="AK501" s="1361">
        <f t="shared" si="699"/>
        <v>1328.1254999999999</v>
      </c>
      <c r="AL501" s="1384">
        <v>0</v>
      </c>
      <c r="AM501" s="1363">
        <f t="shared" si="700"/>
        <v>0</v>
      </c>
      <c r="AN501" s="1364">
        <v>0</v>
      </c>
      <c r="AO501" s="1365">
        <f t="shared" si="701"/>
        <v>0</v>
      </c>
      <c r="AP501" s="1366">
        <v>0</v>
      </c>
      <c r="AQ501" s="1367">
        <f t="shared" si="702"/>
        <v>0</v>
      </c>
      <c r="AR501" s="1368">
        <v>0.1</v>
      </c>
      <c r="AS501" s="1369">
        <f t="shared" si="703"/>
        <v>885.41700000000003</v>
      </c>
      <c r="AT501" s="1370">
        <v>0</v>
      </c>
      <c r="AU501" s="1371">
        <f t="shared" si="704"/>
        <v>0</v>
      </c>
      <c r="AV501" s="1359">
        <f t="shared" si="705"/>
        <v>4.9999999999999989E-2</v>
      </c>
      <c r="AW501" s="1372">
        <f t="shared" si="706"/>
        <v>442.7084999999999</v>
      </c>
      <c r="AX501" s="1373">
        <f t="shared" si="707"/>
        <v>0.15</v>
      </c>
      <c r="AY501" s="1374">
        <f t="shared" si="708"/>
        <v>1328.1254999999999</v>
      </c>
      <c r="AZ501" s="1375">
        <f t="shared" si="709"/>
        <v>0.15</v>
      </c>
      <c r="BA501" s="1376">
        <f t="shared" si="710"/>
        <v>1328.1254999999999</v>
      </c>
      <c r="BB501" s="1377"/>
      <c r="BC501" s="1848"/>
      <c r="BD501" s="1820"/>
      <c r="BE501" s="1826"/>
      <c r="BF501" s="1826"/>
      <c r="BG501" s="1851"/>
    </row>
    <row r="502" spans="1:59" s="1378" customFormat="1" ht="38.25">
      <c r="A502" s="1347" t="str">
        <f>L494</f>
        <v>ImpediMed, Inc.</v>
      </c>
      <c r="B502" s="1348" t="str">
        <f>N494</f>
        <v>HUB SD</v>
      </c>
      <c r="C502" s="1348">
        <f>Z494</f>
        <v>48</v>
      </c>
      <c r="D502" s="1349">
        <v>43101</v>
      </c>
      <c r="E502" s="1349"/>
      <c r="F502" s="1347" t="s">
        <v>113</v>
      </c>
      <c r="G502" s="1347" t="s">
        <v>85</v>
      </c>
      <c r="H502" s="1347" t="s">
        <v>85</v>
      </c>
      <c r="I502" s="1347" t="s">
        <v>85</v>
      </c>
      <c r="J502" s="1349"/>
      <c r="K502" s="1349" t="s">
        <v>254</v>
      </c>
      <c r="L502" s="1350" t="s">
        <v>4682</v>
      </c>
      <c r="M502" s="1350" t="s">
        <v>67</v>
      </c>
      <c r="N502" s="1351" t="s">
        <v>68</v>
      </c>
      <c r="O502" s="1352" t="s">
        <v>4689</v>
      </c>
      <c r="P502" s="1352"/>
      <c r="Q502" s="1354"/>
      <c r="R502" s="1354"/>
      <c r="S502" s="1354"/>
      <c r="T502" s="1354"/>
      <c r="U502" s="1354"/>
      <c r="V502" s="1354"/>
      <c r="W502" s="1354"/>
      <c r="X502" s="1353">
        <v>43101</v>
      </c>
      <c r="Y502" s="1353">
        <v>43466</v>
      </c>
      <c r="Z502" s="1355"/>
      <c r="AA502" s="1355" t="s">
        <v>4685</v>
      </c>
      <c r="AB502" s="1422">
        <v>20800</v>
      </c>
      <c r="AC502" s="1422">
        <v>20800</v>
      </c>
      <c r="AD502" s="1422">
        <f t="shared" si="697"/>
        <v>23453.74</v>
      </c>
      <c r="AE502" s="1422">
        <f t="shared" si="438"/>
        <v>2653.7400000000016</v>
      </c>
      <c r="AF502" s="1423">
        <f t="shared" si="660"/>
        <v>0.12758365384615392</v>
      </c>
      <c r="AG502" s="1358">
        <f t="shared" si="663"/>
        <v>1954.4783333333335</v>
      </c>
      <c r="AH502" s="1358">
        <v>23453.74</v>
      </c>
      <c r="AI502" s="1359">
        <v>0.15</v>
      </c>
      <c r="AJ502" s="1360">
        <f t="shared" si="698"/>
        <v>293.17175000000003</v>
      </c>
      <c r="AK502" s="1361">
        <f t="shared" si="699"/>
        <v>3518.0610000000001</v>
      </c>
      <c r="AL502" s="1384">
        <v>0</v>
      </c>
      <c r="AM502" s="1363">
        <f t="shared" si="700"/>
        <v>0</v>
      </c>
      <c r="AN502" s="1364">
        <v>0</v>
      </c>
      <c r="AO502" s="1365">
        <f t="shared" si="701"/>
        <v>0</v>
      </c>
      <c r="AP502" s="1366">
        <v>0</v>
      </c>
      <c r="AQ502" s="1367">
        <f t="shared" si="702"/>
        <v>0</v>
      </c>
      <c r="AR502" s="1368">
        <v>0.1</v>
      </c>
      <c r="AS502" s="1369">
        <f t="shared" si="703"/>
        <v>2345.3740000000003</v>
      </c>
      <c r="AT502" s="1370">
        <v>0</v>
      </c>
      <c r="AU502" s="1371">
        <f t="shared" si="704"/>
        <v>0</v>
      </c>
      <c r="AV502" s="1359">
        <f t="shared" si="705"/>
        <v>4.9999999999999989E-2</v>
      </c>
      <c r="AW502" s="1372">
        <f t="shared" si="706"/>
        <v>1172.6869999999999</v>
      </c>
      <c r="AX502" s="1373">
        <f t="shared" si="707"/>
        <v>0.15</v>
      </c>
      <c r="AY502" s="1374">
        <f t="shared" si="708"/>
        <v>3518.0610000000001</v>
      </c>
      <c r="AZ502" s="1375">
        <f t="shared" si="709"/>
        <v>0.15</v>
      </c>
      <c r="BA502" s="1376">
        <f t="shared" si="710"/>
        <v>3518.0610000000001</v>
      </c>
      <c r="BB502" s="1377"/>
      <c r="BC502" s="1848"/>
      <c r="BD502" s="1820"/>
      <c r="BE502" s="1826"/>
      <c r="BF502" s="1826"/>
      <c r="BG502" s="1851"/>
    </row>
    <row r="503" spans="1:59" s="1378" customFormat="1" ht="25.5">
      <c r="A503" s="1347" t="str">
        <f>L494</f>
        <v>ImpediMed, Inc.</v>
      </c>
      <c r="B503" s="1348" t="str">
        <f>N494</f>
        <v>HUB SD</v>
      </c>
      <c r="C503" s="1348">
        <f>Z494</f>
        <v>48</v>
      </c>
      <c r="D503" s="1349">
        <v>43101</v>
      </c>
      <c r="E503" s="1349"/>
      <c r="F503" s="1347" t="s">
        <v>113</v>
      </c>
      <c r="G503" s="1347" t="s">
        <v>85</v>
      </c>
      <c r="H503" s="1347" t="s">
        <v>85</v>
      </c>
      <c r="I503" s="1347" t="s">
        <v>72</v>
      </c>
      <c r="J503" s="1349" t="s">
        <v>4690</v>
      </c>
      <c r="K503" s="1349" t="s">
        <v>254</v>
      </c>
      <c r="L503" s="1350" t="s">
        <v>4682</v>
      </c>
      <c r="M503" s="1350" t="s">
        <v>4691</v>
      </c>
      <c r="N503" s="1351" t="s">
        <v>94</v>
      </c>
      <c r="O503" s="1352" t="s">
        <v>4692</v>
      </c>
      <c r="P503" s="1352"/>
      <c r="Q503" s="1354"/>
      <c r="R503" s="1354"/>
      <c r="S503" s="1354"/>
      <c r="T503" s="1354"/>
      <c r="U503" s="1354"/>
      <c r="V503" s="1354"/>
      <c r="W503" s="1354"/>
      <c r="X503" s="1353">
        <v>43101</v>
      </c>
      <c r="Y503" s="1353">
        <v>43466</v>
      </c>
      <c r="Z503" s="1355">
        <v>8</v>
      </c>
      <c r="AA503" s="1355" t="s">
        <v>4674</v>
      </c>
      <c r="AB503" s="1356"/>
      <c r="AC503" s="1356"/>
      <c r="AD503" s="1356"/>
      <c r="AE503" s="1356"/>
      <c r="AF503" s="1357"/>
      <c r="AG503" s="1358">
        <v>193.52</v>
      </c>
      <c r="AH503" s="1358">
        <f t="shared" ref="AH503:AH504" si="711">AG503*12</f>
        <v>2322.2400000000002</v>
      </c>
      <c r="AI503" s="1381">
        <v>0.15</v>
      </c>
      <c r="AJ503" s="1360">
        <f t="shared" si="698"/>
        <v>29.027999999999999</v>
      </c>
      <c r="AK503" s="1383">
        <f t="shared" si="699"/>
        <v>348.33600000000001</v>
      </c>
      <c r="AL503" s="1384">
        <v>0</v>
      </c>
      <c r="AM503" s="1363">
        <f t="shared" si="700"/>
        <v>0</v>
      </c>
      <c r="AN503" s="1364">
        <v>0</v>
      </c>
      <c r="AO503" s="1365">
        <f t="shared" si="701"/>
        <v>0</v>
      </c>
      <c r="AP503" s="1366">
        <v>0</v>
      </c>
      <c r="AQ503" s="1367">
        <f t="shared" si="702"/>
        <v>0</v>
      </c>
      <c r="AR503" s="1368">
        <v>0.1</v>
      </c>
      <c r="AS503" s="1369">
        <f t="shared" si="703"/>
        <v>232.22400000000005</v>
      </c>
      <c r="AT503" s="1370">
        <v>0</v>
      </c>
      <c r="AU503" s="1371">
        <f t="shared" si="704"/>
        <v>0</v>
      </c>
      <c r="AV503" s="1359">
        <f t="shared" si="705"/>
        <v>4.9999999999999989E-2</v>
      </c>
      <c r="AW503" s="1372">
        <f t="shared" si="706"/>
        <v>116.11199999999998</v>
      </c>
      <c r="AX503" s="1373">
        <f t="shared" si="707"/>
        <v>0.15</v>
      </c>
      <c r="AY503" s="1374">
        <f t="shared" si="708"/>
        <v>348.33600000000001</v>
      </c>
      <c r="AZ503" s="1375">
        <f t="shared" si="709"/>
        <v>0.15</v>
      </c>
      <c r="BA503" s="1376">
        <f t="shared" si="710"/>
        <v>348.33600000000001</v>
      </c>
      <c r="BB503" s="1377"/>
      <c r="BC503" s="1848"/>
      <c r="BD503" s="1820"/>
      <c r="BE503" s="1826"/>
      <c r="BF503" s="1826"/>
      <c r="BG503" s="1851"/>
    </row>
    <row r="504" spans="1:59" s="1378" customFormat="1" ht="25.5">
      <c r="A504" s="1347" t="str">
        <f>L494</f>
        <v>ImpediMed, Inc.</v>
      </c>
      <c r="B504" s="1348" t="str">
        <f>N494</f>
        <v>HUB SD</v>
      </c>
      <c r="C504" s="1348">
        <f>Z494</f>
        <v>48</v>
      </c>
      <c r="D504" s="1349">
        <v>43101</v>
      </c>
      <c r="E504" s="1349"/>
      <c r="F504" s="1347" t="s">
        <v>113</v>
      </c>
      <c r="G504" s="1347" t="s">
        <v>85</v>
      </c>
      <c r="H504" s="1347" t="s">
        <v>85</v>
      </c>
      <c r="I504" s="1347" t="s">
        <v>72</v>
      </c>
      <c r="J504" s="1349" t="s">
        <v>4690</v>
      </c>
      <c r="K504" s="1349" t="s">
        <v>254</v>
      </c>
      <c r="L504" s="1350" t="s">
        <v>4682</v>
      </c>
      <c r="M504" s="1350" t="s">
        <v>4691</v>
      </c>
      <c r="N504" s="1351" t="s">
        <v>98</v>
      </c>
      <c r="O504" s="1352" t="s">
        <v>4693</v>
      </c>
      <c r="P504" s="1352"/>
      <c r="Q504" s="1354"/>
      <c r="R504" s="1354"/>
      <c r="S504" s="1354"/>
      <c r="T504" s="1354"/>
      <c r="U504" s="1354"/>
      <c r="V504" s="1354"/>
      <c r="W504" s="1354"/>
      <c r="X504" s="1353">
        <v>43101</v>
      </c>
      <c r="Y504" s="1353">
        <v>43466</v>
      </c>
      <c r="Z504" s="1355">
        <v>11</v>
      </c>
      <c r="AA504" s="1355" t="s">
        <v>4674</v>
      </c>
      <c r="AB504" s="1356"/>
      <c r="AC504" s="1356"/>
      <c r="AD504" s="1356"/>
      <c r="AE504" s="1356"/>
      <c r="AF504" s="1357"/>
      <c r="AG504" s="1358">
        <v>193.74</v>
      </c>
      <c r="AH504" s="1358">
        <f t="shared" si="711"/>
        <v>2324.88</v>
      </c>
      <c r="AI504" s="1381">
        <v>0.15</v>
      </c>
      <c r="AJ504" s="1360">
        <f t="shared" si="698"/>
        <v>29.061</v>
      </c>
      <c r="AK504" s="1383">
        <f t="shared" si="699"/>
        <v>348.73200000000003</v>
      </c>
      <c r="AL504" s="1384">
        <v>0</v>
      </c>
      <c r="AM504" s="1363">
        <f t="shared" si="700"/>
        <v>0</v>
      </c>
      <c r="AN504" s="1364">
        <v>0</v>
      </c>
      <c r="AO504" s="1365">
        <f t="shared" si="701"/>
        <v>0</v>
      </c>
      <c r="AP504" s="1366">
        <v>0</v>
      </c>
      <c r="AQ504" s="1367">
        <f t="shared" si="702"/>
        <v>0</v>
      </c>
      <c r="AR504" s="1368">
        <v>0.1</v>
      </c>
      <c r="AS504" s="1369">
        <f t="shared" si="703"/>
        <v>232.48800000000003</v>
      </c>
      <c r="AT504" s="1370">
        <v>0</v>
      </c>
      <c r="AU504" s="1371">
        <f t="shared" si="704"/>
        <v>0</v>
      </c>
      <c r="AV504" s="1359">
        <f t="shared" si="705"/>
        <v>4.9999999999999989E-2</v>
      </c>
      <c r="AW504" s="1372">
        <f t="shared" si="706"/>
        <v>116.24399999999999</v>
      </c>
      <c r="AX504" s="1373">
        <f t="shared" si="707"/>
        <v>0.15</v>
      </c>
      <c r="AY504" s="1374">
        <f t="shared" si="708"/>
        <v>348.73200000000003</v>
      </c>
      <c r="AZ504" s="1375">
        <f t="shared" si="709"/>
        <v>0.15</v>
      </c>
      <c r="BA504" s="1376">
        <f t="shared" si="710"/>
        <v>348.73200000000003</v>
      </c>
      <c r="BB504" s="1377"/>
      <c r="BC504" s="1848"/>
      <c r="BD504" s="1820"/>
      <c r="BE504" s="1826"/>
      <c r="BF504" s="1826"/>
      <c r="BG504" s="1851"/>
    </row>
    <row r="505" spans="1:59" s="1378" customFormat="1" ht="27.75" customHeight="1">
      <c r="A505" s="1347" t="s">
        <v>394</v>
      </c>
      <c r="B505" s="1348" t="s">
        <v>4661</v>
      </c>
      <c r="C505" s="1348">
        <v>47</v>
      </c>
      <c r="D505" s="1349">
        <v>43101</v>
      </c>
      <c r="E505" s="1349"/>
      <c r="F505" s="1347" t="s">
        <v>72</v>
      </c>
      <c r="G505" s="1347" t="s">
        <v>85</v>
      </c>
      <c r="H505" s="1347" t="s">
        <v>72</v>
      </c>
      <c r="I505" s="1347" t="s">
        <v>72</v>
      </c>
      <c r="J505" s="1349" t="s">
        <v>4670</v>
      </c>
      <c r="K505" s="1349" t="s">
        <v>254</v>
      </c>
      <c r="L505" s="1350" t="s">
        <v>4696</v>
      </c>
      <c r="M505" s="1350" t="s">
        <v>4697</v>
      </c>
      <c r="N505" s="1389" t="s">
        <v>4698</v>
      </c>
      <c r="O505" s="1352" t="s">
        <v>4699</v>
      </c>
      <c r="P505" s="1352"/>
      <c r="Q505" s="1354"/>
      <c r="R505" s="1354"/>
      <c r="S505" s="1354"/>
      <c r="T505" s="1354"/>
      <c r="U505" s="1354"/>
      <c r="V505" s="1354"/>
      <c r="W505" s="1354"/>
      <c r="X505" s="1353">
        <v>43101</v>
      </c>
      <c r="Y505" s="1353">
        <v>43466</v>
      </c>
      <c r="Z505" s="1355"/>
      <c r="AA505" s="1355" t="s">
        <v>4674</v>
      </c>
      <c r="AB505" s="1356"/>
      <c r="AC505" s="1356"/>
      <c r="AD505" s="1356"/>
      <c r="AE505" s="1356"/>
      <c r="AF505" s="1357" t="str">
        <f t="shared" si="660"/>
        <v/>
      </c>
      <c r="AG505" s="1380"/>
      <c r="AH505" s="1380"/>
      <c r="AI505" s="1381">
        <v>0</v>
      </c>
      <c r="AJ505" s="1382">
        <f t="shared" si="698"/>
        <v>0</v>
      </c>
      <c r="AK505" s="1383">
        <f t="shared" si="699"/>
        <v>0</v>
      </c>
      <c r="AL505" s="1384">
        <v>0</v>
      </c>
      <c r="AM505" s="1363">
        <f t="shared" si="700"/>
        <v>0</v>
      </c>
      <c r="AN505" s="1364">
        <v>0</v>
      </c>
      <c r="AO505" s="1365">
        <f t="shared" si="701"/>
        <v>0</v>
      </c>
      <c r="AP505" s="1366">
        <v>0</v>
      </c>
      <c r="AQ505" s="1367">
        <f t="shared" si="702"/>
        <v>0</v>
      </c>
      <c r="AR505" s="1368">
        <v>0</v>
      </c>
      <c r="AS505" s="1369">
        <f t="shared" si="703"/>
        <v>0</v>
      </c>
      <c r="AT505" s="1370">
        <v>0</v>
      </c>
      <c r="AU505" s="1371">
        <f t="shared" si="704"/>
        <v>0</v>
      </c>
      <c r="AV505" s="1359">
        <f t="shared" si="705"/>
        <v>0</v>
      </c>
      <c r="AW505" s="1372">
        <f t="shared" si="706"/>
        <v>0</v>
      </c>
      <c r="AX505" s="1373">
        <f t="shared" si="707"/>
        <v>0</v>
      </c>
      <c r="AY505" s="1374">
        <f t="shared" si="708"/>
        <v>0</v>
      </c>
      <c r="AZ505" s="1375">
        <f t="shared" si="709"/>
        <v>0</v>
      </c>
      <c r="BA505" s="1376">
        <f t="shared" si="710"/>
        <v>0</v>
      </c>
      <c r="BB505" s="1377"/>
      <c r="BC505" s="1848"/>
      <c r="BD505" s="1820"/>
      <c r="BE505" s="1826"/>
      <c r="BF505" s="1826"/>
      <c r="BG505" s="1851"/>
    </row>
    <row r="506" spans="1:59" s="1378" customFormat="1" ht="25.5">
      <c r="A506" s="1347" t="str">
        <f>L494</f>
        <v>ImpediMed, Inc.</v>
      </c>
      <c r="B506" s="1348" t="str">
        <f>N494</f>
        <v>HUB SD</v>
      </c>
      <c r="C506" s="1348">
        <f>Z494</f>
        <v>48</v>
      </c>
      <c r="D506" s="1349">
        <v>43101</v>
      </c>
      <c r="E506" s="1349"/>
      <c r="F506" s="1347" t="s">
        <v>72</v>
      </c>
      <c r="G506" s="1347" t="s">
        <v>4700</v>
      </c>
      <c r="H506" s="1347" t="s">
        <v>72</v>
      </c>
      <c r="I506" s="1347" t="s">
        <v>72</v>
      </c>
      <c r="J506" s="1349" t="s">
        <v>4670</v>
      </c>
      <c r="K506" s="1349" t="s">
        <v>254</v>
      </c>
      <c r="L506" s="1350" t="s">
        <v>48</v>
      </c>
      <c r="M506" s="1350" t="s">
        <v>3652</v>
      </c>
      <c r="N506" s="1390" t="s">
        <v>5085</v>
      </c>
      <c r="O506" s="1352" t="s">
        <v>4702</v>
      </c>
      <c r="P506" s="1352"/>
      <c r="Q506" s="1354"/>
      <c r="R506" s="1354"/>
      <c r="S506" s="1354"/>
      <c r="T506" s="1354"/>
      <c r="U506" s="1354"/>
      <c r="V506" s="1354"/>
      <c r="W506" s="1354"/>
      <c r="X506" s="1353">
        <v>43101</v>
      </c>
      <c r="Y506" s="1353">
        <v>43466</v>
      </c>
      <c r="Z506" s="1355"/>
      <c r="AA506" s="1355" t="s">
        <v>4674</v>
      </c>
      <c r="AB506" s="1356"/>
      <c r="AC506" s="1356"/>
      <c r="AD506" s="1356"/>
      <c r="AE506" s="1356"/>
      <c r="AF506" s="1357" t="str">
        <f t="shared" si="660"/>
        <v/>
      </c>
      <c r="AG506" s="1380"/>
      <c r="AH506" s="1380"/>
      <c r="AI506" s="1381">
        <v>0</v>
      </c>
      <c r="AJ506" s="1382">
        <f t="shared" si="698"/>
        <v>0</v>
      </c>
      <c r="AK506" s="1383">
        <f t="shared" si="699"/>
        <v>0</v>
      </c>
      <c r="AL506" s="1384">
        <v>0</v>
      </c>
      <c r="AM506" s="1363">
        <f t="shared" si="700"/>
        <v>0</v>
      </c>
      <c r="AN506" s="1364">
        <v>0</v>
      </c>
      <c r="AO506" s="1365">
        <f t="shared" si="701"/>
        <v>0</v>
      </c>
      <c r="AP506" s="1366">
        <v>0</v>
      </c>
      <c r="AQ506" s="1367">
        <f t="shared" si="702"/>
        <v>0</v>
      </c>
      <c r="AR506" s="1368">
        <v>0</v>
      </c>
      <c r="AS506" s="1369">
        <f t="shared" si="703"/>
        <v>0</v>
      </c>
      <c r="AT506" s="1370">
        <v>0</v>
      </c>
      <c r="AU506" s="1371">
        <f t="shared" si="704"/>
        <v>0</v>
      </c>
      <c r="AV506" s="1359">
        <f t="shared" si="705"/>
        <v>0</v>
      </c>
      <c r="AW506" s="1372">
        <f t="shared" si="706"/>
        <v>0</v>
      </c>
      <c r="AX506" s="1373">
        <f t="shared" si="707"/>
        <v>0</v>
      </c>
      <c r="AY506" s="1374">
        <f t="shared" si="708"/>
        <v>0</v>
      </c>
      <c r="AZ506" s="1375">
        <f t="shared" si="709"/>
        <v>0</v>
      </c>
      <c r="BA506" s="1376">
        <f t="shared" si="710"/>
        <v>0</v>
      </c>
      <c r="BB506" s="1377"/>
      <c r="BC506" s="1848"/>
      <c r="BD506" s="1820"/>
      <c r="BE506" s="1826"/>
      <c r="BF506" s="1826"/>
      <c r="BG506" s="1851"/>
    </row>
    <row r="507" spans="1:59" s="1378" customFormat="1" ht="25.5">
      <c r="A507" s="1347" t="str">
        <f>L494</f>
        <v>ImpediMed, Inc.</v>
      </c>
      <c r="B507" s="1348" t="str">
        <f>N494</f>
        <v>HUB SD</v>
      </c>
      <c r="C507" s="1348">
        <f>Z494</f>
        <v>48</v>
      </c>
      <c r="D507" s="1349">
        <v>43101</v>
      </c>
      <c r="E507" s="1349"/>
      <c r="F507" s="1347" t="s">
        <v>72</v>
      </c>
      <c r="G507" s="1347" t="s">
        <v>85</v>
      </c>
      <c r="H507" s="1347" t="s">
        <v>72</v>
      </c>
      <c r="I507" s="1347" t="s">
        <v>72</v>
      </c>
      <c r="J507" s="1349" t="s">
        <v>4670</v>
      </c>
      <c r="K507" s="1349" t="s">
        <v>254</v>
      </c>
      <c r="L507" s="1350" t="s">
        <v>48</v>
      </c>
      <c r="M507" s="1350" t="s">
        <v>253</v>
      </c>
      <c r="N507" s="1390" t="s">
        <v>4703</v>
      </c>
      <c r="O507" s="1352" t="s">
        <v>4704</v>
      </c>
      <c r="P507" s="1352"/>
      <c r="Q507" s="1354"/>
      <c r="R507" s="1354"/>
      <c r="S507" s="1354"/>
      <c r="T507" s="1354"/>
      <c r="U507" s="1354"/>
      <c r="V507" s="1354"/>
      <c r="W507" s="1354"/>
      <c r="X507" s="1353">
        <v>43101</v>
      </c>
      <c r="Y507" s="1353">
        <v>43466</v>
      </c>
      <c r="Z507" s="1355"/>
      <c r="AA507" s="1355" t="s">
        <v>4674</v>
      </c>
      <c r="AB507" s="1356"/>
      <c r="AC507" s="1356"/>
      <c r="AD507" s="1356"/>
      <c r="AE507" s="1356"/>
      <c r="AF507" s="1357" t="str">
        <f t="shared" si="660"/>
        <v/>
      </c>
      <c r="AG507" s="1380"/>
      <c r="AH507" s="1380"/>
      <c r="AI507" s="1381">
        <v>0</v>
      </c>
      <c r="AJ507" s="1382">
        <f t="shared" si="698"/>
        <v>0</v>
      </c>
      <c r="AK507" s="1383">
        <f t="shared" si="699"/>
        <v>0</v>
      </c>
      <c r="AL507" s="1384">
        <v>0</v>
      </c>
      <c r="AM507" s="1363">
        <f t="shared" si="700"/>
        <v>0</v>
      </c>
      <c r="AN507" s="1364">
        <v>0</v>
      </c>
      <c r="AO507" s="1365">
        <f t="shared" si="701"/>
        <v>0</v>
      </c>
      <c r="AP507" s="1366">
        <v>0</v>
      </c>
      <c r="AQ507" s="1367">
        <f t="shared" si="702"/>
        <v>0</v>
      </c>
      <c r="AR507" s="1368">
        <v>0</v>
      </c>
      <c r="AS507" s="1369">
        <f t="shared" si="703"/>
        <v>0</v>
      </c>
      <c r="AT507" s="1370">
        <v>0</v>
      </c>
      <c r="AU507" s="1371">
        <f t="shared" si="704"/>
        <v>0</v>
      </c>
      <c r="AV507" s="1359">
        <f t="shared" si="705"/>
        <v>0</v>
      </c>
      <c r="AW507" s="1372">
        <f t="shared" si="706"/>
        <v>0</v>
      </c>
      <c r="AX507" s="1373">
        <f t="shared" si="707"/>
        <v>0</v>
      </c>
      <c r="AY507" s="1374">
        <f t="shared" si="708"/>
        <v>0</v>
      </c>
      <c r="AZ507" s="1375">
        <f t="shared" si="709"/>
        <v>0</v>
      </c>
      <c r="BA507" s="1376">
        <f t="shared" si="710"/>
        <v>0</v>
      </c>
      <c r="BB507" s="1377"/>
      <c r="BC507" s="1848"/>
      <c r="BD507" s="1820"/>
      <c r="BE507" s="1826"/>
      <c r="BF507" s="1826"/>
      <c r="BG507" s="1851"/>
    </row>
    <row r="508" spans="1:59" s="1378" customFormat="1" ht="25.5" customHeight="1">
      <c r="A508" s="1347" t="str">
        <f t="shared" ref="A508:C509" si="712">A507</f>
        <v>ImpediMed, Inc.</v>
      </c>
      <c r="B508" s="1348" t="str">
        <f t="shared" si="712"/>
        <v>HUB SD</v>
      </c>
      <c r="C508" s="1348">
        <f t="shared" si="712"/>
        <v>48</v>
      </c>
      <c r="D508" s="1349">
        <v>43101</v>
      </c>
      <c r="E508" s="1349"/>
      <c r="F508" s="1347" t="s">
        <v>72</v>
      </c>
      <c r="G508" s="1347" t="s">
        <v>85</v>
      </c>
      <c r="H508" s="1347" t="s">
        <v>72</v>
      </c>
      <c r="I508" s="1347" t="s">
        <v>72</v>
      </c>
      <c r="J508" s="1349" t="s">
        <v>4670</v>
      </c>
      <c r="K508" s="1349" t="s">
        <v>254</v>
      </c>
      <c r="L508" s="1350" t="s">
        <v>49</v>
      </c>
      <c r="M508" s="1350" t="s">
        <v>4705</v>
      </c>
      <c r="N508" s="1390" t="s">
        <v>4706</v>
      </c>
      <c r="O508" s="1352" t="s">
        <v>4707</v>
      </c>
      <c r="P508" s="1352"/>
      <c r="Q508" s="1354"/>
      <c r="R508" s="1354"/>
      <c r="S508" s="1354"/>
      <c r="T508" s="1354"/>
      <c r="U508" s="1354"/>
      <c r="V508" s="1354"/>
      <c r="W508" s="1354"/>
      <c r="X508" s="1353">
        <v>43101</v>
      </c>
      <c r="Y508" s="1353">
        <v>43466</v>
      </c>
      <c r="Z508" s="1355"/>
      <c r="AA508" s="1355" t="s">
        <v>4674</v>
      </c>
      <c r="AB508" s="1356"/>
      <c r="AC508" s="1356"/>
      <c r="AD508" s="1356"/>
      <c r="AE508" s="1356"/>
      <c r="AF508" s="1357" t="str">
        <f t="shared" si="660"/>
        <v/>
      </c>
      <c r="AG508" s="1380"/>
      <c r="AH508" s="1380"/>
      <c r="AI508" s="1381">
        <v>0</v>
      </c>
      <c r="AJ508" s="1382">
        <f t="shared" si="698"/>
        <v>0</v>
      </c>
      <c r="AK508" s="1383">
        <f t="shared" si="699"/>
        <v>0</v>
      </c>
      <c r="AL508" s="1384">
        <v>0</v>
      </c>
      <c r="AM508" s="1363">
        <f t="shared" si="700"/>
        <v>0</v>
      </c>
      <c r="AN508" s="1364">
        <v>0</v>
      </c>
      <c r="AO508" s="1365">
        <f t="shared" si="701"/>
        <v>0</v>
      </c>
      <c r="AP508" s="1366">
        <v>0</v>
      </c>
      <c r="AQ508" s="1367">
        <f t="shared" si="702"/>
        <v>0</v>
      </c>
      <c r="AR508" s="1368">
        <v>0</v>
      </c>
      <c r="AS508" s="1369">
        <f t="shared" si="703"/>
        <v>0</v>
      </c>
      <c r="AT508" s="1370">
        <v>0</v>
      </c>
      <c r="AU508" s="1371">
        <f t="shared" si="704"/>
        <v>0</v>
      </c>
      <c r="AV508" s="1359">
        <f t="shared" si="705"/>
        <v>0</v>
      </c>
      <c r="AW508" s="1372">
        <f t="shared" si="706"/>
        <v>0</v>
      </c>
      <c r="AX508" s="1373">
        <f t="shared" si="707"/>
        <v>0</v>
      </c>
      <c r="AY508" s="1374">
        <f t="shared" si="708"/>
        <v>0</v>
      </c>
      <c r="AZ508" s="1375">
        <f t="shared" si="709"/>
        <v>0</v>
      </c>
      <c r="BA508" s="1376">
        <f t="shared" si="710"/>
        <v>0</v>
      </c>
      <c r="BB508" s="1377"/>
      <c r="BC508" s="1848"/>
      <c r="BD508" s="1820"/>
      <c r="BE508" s="1826"/>
      <c r="BF508" s="1826"/>
      <c r="BG508" s="1851"/>
    </row>
    <row r="509" spans="1:59" s="1378" customFormat="1" ht="21.75" customHeight="1">
      <c r="A509" s="1347" t="str">
        <f t="shared" si="712"/>
        <v>ImpediMed, Inc.</v>
      </c>
      <c r="B509" s="1348" t="str">
        <f t="shared" si="712"/>
        <v>HUB SD</v>
      </c>
      <c r="C509" s="1348">
        <f t="shared" si="712"/>
        <v>48</v>
      </c>
      <c r="D509" s="1349">
        <v>43101</v>
      </c>
      <c r="E509" s="1349"/>
      <c r="F509" s="1347" t="s">
        <v>72</v>
      </c>
      <c r="G509" s="1347" t="s">
        <v>85</v>
      </c>
      <c r="H509" s="1347" t="s">
        <v>72</v>
      </c>
      <c r="I509" s="1347" t="s">
        <v>72</v>
      </c>
      <c r="J509" s="1349" t="s">
        <v>4670</v>
      </c>
      <c r="K509" s="1349" t="s">
        <v>254</v>
      </c>
      <c r="L509" s="1350" t="s">
        <v>3056</v>
      </c>
      <c r="M509" s="1350" t="s">
        <v>4708</v>
      </c>
      <c r="N509" s="1390" t="s">
        <v>4709</v>
      </c>
      <c r="O509" s="1352" t="s">
        <v>4710</v>
      </c>
      <c r="P509" s="1352"/>
      <c r="Q509" s="1354"/>
      <c r="R509" s="1354"/>
      <c r="S509" s="1354"/>
      <c r="T509" s="1354"/>
      <c r="U509" s="1354"/>
      <c r="V509" s="1354"/>
      <c r="W509" s="1354"/>
      <c r="X509" s="1353">
        <v>43101</v>
      </c>
      <c r="Y509" s="1353">
        <v>43466</v>
      </c>
      <c r="Z509" s="1355"/>
      <c r="AA509" s="1355" t="s">
        <v>4674</v>
      </c>
      <c r="AB509" s="1356"/>
      <c r="AC509" s="1356"/>
      <c r="AD509" s="1356"/>
      <c r="AE509" s="1356"/>
      <c r="AF509" s="1357" t="str">
        <f t="shared" si="660"/>
        <v/>
      </c>
      <c r="AG509" s="1380"/>
      <c r="AH509" s="1380"/>
      <c r="AI509" s="1381">
        <v>0</v>
      </c>
      <c r="AJ509" s="1382">
        <f t="shared" si="698"/>
        <v>0</v>
      </c>
      <c r="AK509" s="1383">
        <f t="shared" si="699"/>
        <v>0</v>
      </c>
      <c r="AL509" s="1384">
        <v>0</v>
      </c>
      <c r="AM509" s="1363">
        <f t="shared" si="700"/>
        <v>0</v>
      </c>
      <c r="AN509" s="1364">
        <v>0</v>
      </c>
      <c r="AO509" s="1365">
        <f t="shared" si="701"/>
        <v>0</v>
      </c>
      <c r="AP509" s="1366">
        <v>0</v>
      </c>
      <c r="AQ509" s="1367">
        <f t="shared" si="702"/>
        <v>0</v>
      </c>
      <c r="AR509" s="1368">
        <v>0</v>
      </c>
      <c r="AS509" s="1369">
        <f t="shared" si="703"/>
        <v>0</v>
      </c>
      <c r="AT509" s="1370">
        <v>0</v>
      </c>
      <c r="AU509" s="1371">
        <f t="shared" si="704"/>
        <v>0</v>
      </c>
      <c r="AV509" s="1359">
        <f t="shared" si="705"/>
        <v>0</v>
      </c>
      <c r="AW509" s="1372">
        <f t="shared" si="706"/>
        <v>0</v>
      </c>
      <c r="AX509" s="1373">
        <f t="shared" si="707"/>
        <v>0</v>
      </c>
      <c r="AY509" s="1374">
        <f t="shared" si="708"/>
        <v>0</v>
      </c>
      <c r="AZ509" s="1375">
        <f t="shared" si="709"/>
        <v>0</v>
      </c>
      <c r="BA509" s="1376">
        <f t="shared" si="710"/>
        <v>0</v>
      </c>
      <c r="BB509" s="1391"/>
      <c r="BC509" s="1849"/>
      <c r="BD509" s="1821"/>
      <c r="BE509" s="1827"/>
      <c r="BF509" s="1827"/>
      <c r="BG509" s="1852"/>
    </row>
    <row r="510" spans="1:59" s="1315" customFormat="1" ht="25.5">
      <c r="A510" s="1277" t="str">
        <f t="shared" ref="A510:A520" si="713">$L$510</f>
        <v>Inflammatix, Inc.</v>
      </c>
      <c r="B510" s="1277" t="s">
        <v>4835</v>
      </c>
      <c r="C510" s="1316">
        <f t="shared" ref="C510:C520" si="714">$Z$510</f>
        <v>11</v>
      </c>
      <c r="D510" s="1317">
        <v>42826</v>
      </c>
      <c r="E510" s="1317"/>
      <c r="F510" s="1277" t="s">
        <v>72</v>
      </c>
      <c r="G510" s="1277" t="s">
        <v>72</v>
      </c>
      <c r="H510" s="1277" t="s">
        <v>72</v>
      </c>
      <c r="I510" s="1277" t="s">
        <v>113</v>
      </c>
      <c r="J510" s="1317"/>
      <c r="K510" s="1317"/>
      <c r="L510" s="1318" t="s">
        <v>141</v>
      </c>
      <c r="M510" s="1319"/>
      <c r="N510" s="1427" t="s">
        <v>4835</v>
      </c>
      <c r="O510" s="1419" t="s">
        <v>2474</v>
      </c>
      <c r="P510" s="1419"/>
      <c r="Q510" s="1322"/>
      <c r="R510" s="1322"/>
      <c r="S510" s="1322"/>
      <c r="T510" s="1322"/>
      <c r="U510" s="1322"/>
      <c r="V510" s="1322"/>
      <c r="W510" s="1322"/>
      <c r="X510" s="1317">
        <v>43101</v>
      </c>
      <c r="Y510" s="1317">
        <v>43466</v>
      </c>
      <c r="Z510" s="1316">
        <v>11</v>
      </c>
      <c r="AA510" s="1316" t="s">
        <v>5086</v>
      </c>
      <c r="AB510" s="1323">
        <f>SUM(AB511:AB521)</f>
        <v>0</v>
      </c>
      <c r="AC510" s="1323">
        <f>SUM(AC511:AC521)</f>
        <v>0</v>
      </c>
      <c r="AD510" s="1323">
        <f>SUM(AD511:AD521)</f>
        <v>0</v>
      </c>
      <c r="AE510" s="1324">
        <f t="shared" si="438"/>
        <v>0</v>
      </c>
      <c r="AF510" s="1325" t="str">
        <f t="shared" si="660"/>
        <v/>
      </c>
      <c r="AG510" s="1326">
        <f t="shared" si="663"/>
        <v>8448.2616666666672</v>
      </c>
      <c r="AH510" s="1326">
        <f>SUM(AH511:AH521)</f>
        <v>101379.14</v>
      </c>
      <c r="AI510" s="1339"/>
      <c r="AJ510" s="1328">
        <f>SUM(AJ511:AJ521)</f>
        <v>740.31764999999996</v>
      </c>
      <c r="AK510" s="1328">
        <f>SUM(AK511:AK521)</f>
        <v>8883.8117999999995</v>
      </c>
      <c r="AL510" s="1329"/>
      <c r="AM510" s="1330">
        <f>SUM(AM511:AM521)</f>
        <v>387.51780000000002</v>
      </c>
      <c r="AN510" s="1331"/>
      <c r="AO510" s="1332">
        <f>SUM(AO511:AO521)</f>
        <v>0</v>
      </c>
      <c r="AP510" s="1333"/>
      <c r="AQ510" s="1334">
        <f>SUM(AQ511:AQ521)</f>
        <v>0</v>
      </c>
      <c r="AR510" s="1335"/>
      <c r="AS510" s="1336">
        <f>SUM(AS511:AS521)</f>
        <v>0</v>
      </c>
      <c r="AT510" s="1337"/>
      <c r="AU510" s="1338">
        <f>SUM(AU511:AU521)</f>
        <v>5812.7669999999998</v>
      </c>
      <c r="AV510" s="1339"/>
      <c r="AW510" s="1340">
        <f>SUM(AW511:AW521)</f>
        <v>2683.527</v>
      </c>
      <c r="AX510" s="1306"/>
      <c r="AY510" s="1307">
        <f>SUM(AW510+AS510+AU510)</f>
        <v>8496.2939999999999</v>
      </c>
      <c r="AZ510" s="1341"/>
      <c r="BA510" s="1309">
        <f>SUM(AY510+AQ510)</f>
        <v>8496.2939999999999</v>
      </c>
      <c r="BB510" s="1342">
        <f>(AW510+AU510)/(AK510-AM510)</f>
        <v>1</v>
      </c>
      <c r="BC510" s="1343"/>
      <c r="BD510" s="1343"/>
      <c r="BE510" s="1344"/>
      <c r="BF510" s="1428" t="s">
        <v>5087</v>
      </c>
      <c r="BG510" s="1346"/>
    </row>
    <row r="511" spans="1:59" s="1396" customFormat="1" ht="51" customHeight="1">
      <c r="A511" s="1347" t="str">
        <f t="shared" si="713"/>
        <v>Inflammatix, Inc.</v>
      </c>
      <c r="B511" s="1347" t="s">
        <v>4835</v>
      </c>
      <c r="C511" s="1348">
        <f t="shared" si="714"/>
        <v>11</v>
      </c>
      <c r="D511" s="1349">
        <v>42826</v>
      </c>
      <c r="E511" s="1349"/>
      <c r="F511" s="1347" t="s">
        <v>85</v>
      </c>
      <c r="G511" s="1347" t="s">
        <v>85</v>
      </c>
      <c r="H511" s="1347" t="s">
        <v>85</v>
      </c>
      <c r="I511" s="1347" t="s">
        <v>113</v>
      </c>
      <c r="J511" s="1349"/>
      <c r="K511" s="1349" t="s">
        <v>254</v>
      </c>
      <c r="L511" s="1350" t="s">
        <v>2661</v>
      </c>
      <c r="M511" s="1350" t="s">
        <v>3647</v>
      </c>
      <c r="N511" s="1351" t="s">
        <v>5088</v>
      </c>
      <c r="O511" s="1352" t="s">
        <v>5089</v>
      </c>
      <c r="P511" s="1352" t="s">
        <v>5090</v>
      </c>
      <c r="Q511" s="1353" t="s">
        <v>303</v>
      </c>
      <c r="R511" s="1353" t="s">
        <v>3648</v>
      </c>
      <c r="S511" s="1353" t="s">
        <v>307</v>
      </c>
      <c r="T511" s="1353" t="s">
        <v>113</v>
      </c>
      <c r="U511" s="1354"/>
      <c r="V511" s="1354"/>
      <c r="W511" s="1354"/>
      <c r="X511" s="1353">
        <v>43101</v>
      </c>
      <c r="Y511" s="1353">
        <v>43466</v>
      </c>
      <c r="Z511" s="1425"/>
      <c r="AA511" s="1355" t="s">
        <v>4841</v>
      </c>
      <c r="AB511" s="1394"/>
      <c r="AC511" s="1394"/>
      <c r="AD511" s="1356"/>
      <c r="AE511" s="1356"/>
      <c r="AF511" s="1395" t="str">
        <f t="shared" si="660"/>
        <v/>
      </c>
      <c r="AG511" s="1358">
        <f t="shared" si="663"/>
        <v>6458.63</v>
      </c>
      <c r="AH511" s="1358">
        <v>77503.56</v>
      </c>
      <c r="AI511" s="1359">
        <v>0.08</v>
      </c>
      <c r="AJ511" s="1360">
        <f t="shared" ref="AJ511:AJ521" si="715">$AI511*$AG511</f>
        <v>516.69040000000007</v>
      </c>
      <c r="AK511" s="1361">
        <f t="shared" ref="AK511:AK521" si="716">AI511*$AH511</f>
        <v>6200.2848000000004</v>
      </c>
      <c r="AL511" s="1362">
        <v>5.0000000000000001E-3</v>
      </c>
      <c r="AM511" s="1363">
        <f t="shared" ref="AM511:AM521" si="717">AL511*$AH511</f>
        <v>387.51780000000002</v>
      </c>
      <c r="AN511" s="1364">
        <v>0</v>
      </c>
      <c r="AO511" s="1365">
        <f t="shared" ref="AO511:AO521" si="718">AN511*$AH511</f>
        <v>0</v>
      </c>
      <c r="AP511" s="1366">
        <v>0</v>
      </c>
      <c r="AQ511" s="1367">
        <f t="shared" ref="AQ511:AQ521" si="719">AP511*$AH511</f>
        <v>0</v>
      </c>
      <c r="AR511" s="1368">
        <v>0</v>
      </c>
      <c r="AS511" s="1369">
        <f t="shared" ref="AS511:AS521" si="720">AR511*$AH511</f>
        <v>0</v>
      </c>
      <c r="AT511" s="1370">
        <v>7.4999999999999997E-2</v>
      </c>
      <c r="AU511" s="1371">
        <f t="shared" ref="AU511:AU521" si="721">AT511*$AH511</f>
        <v>5812.7669999999998</v>
      </c>
      <c r="AV511" s="1359">
        <f t="shared" ref="AV511:AV521" si="722">AZ511-AR511-AT511-AP511</f>
        <v>0</v>
      </c>
      <c r="AW511" s="1372">
        <f t="shared" ref="AW511:AW521" si="723">AV511*$AH511</f>
        <v>0</v>
      </c>
      <c r="AX511" s="1373">
        <f t="shared" ref="AX511:AX521" si="724">$AZ511-$AP511</f>
        <v>7.4999999999999997E-2</v>
      </c>
      <c r="AY511" s="1374">
        <f t="shared" ref="AY511:AY521" si="725">AX511*$AH511</f>
        <v>5812.7669999999998</v>
      </c>
      <c r="AZ511" s="1375">
        <f t="shared" ref="AZ511:AZ521" si="726">$AI511-$AL511-$AN511</f>
        <v>7.4999999999999997E-2</v>
      </c>
      <c r="BA511" s="1376">
        <f t="shared" ref="BA511:BA521" si="727">AZ511*$AH511</f>
        <v>5812.7669999999998</v>
      </c>
      <c r="BB511" s="1391"/>
      <c r="BC511" s="1819" t="s">
        <v>4247</v>
      </c>
      <c r="BD511" s="1819" t="s">
        <v>240</v>
      </c>
      <c r="BE511" s="1822" t="s">
        <v>240</v>
      </c>
      <c r="BF511" s="1825" t="s">
        <v>5091</v>
      </c>
      <c r="BG511" s="1828">
        <v>812767509</v>
      </c>
    </row>
    <row r="512" spans="1:59" s="1396" customFormat="1" ht="76.5" customHeight="1">
      <c r="A512" s="1347" t="str">
        <f t="shared" si="713"/>
        <v>Inflammatix, Inc.</v>
      </c>
      <c r="B512" s="1347" t="s">
        <v>4835</v>
      </c>
      <c r="C512" s="1348">
        <f t="shared" si="714"/>
        <v>11</v>
      </c>
      <c r="D512" s="1349">
        <v>42826</v>
      </c>
      <c r="E512" s="1349"/>
      <c r="F512" s="1347" t="s">
        <v>72</v>
      </c>
      <c r="G512" s="1347" t="s">
        <v>85</v>
      </c>
      <c r="H512" s="1347" t="s">
        <v>72</v>
      </c>
      <c r="I512" s="1347" t="s">
        <v>72</v>
      </c>
      <c r="J512" s="1349" t="s">
        <v>4670</v>
      </c>
      <c r="K512" s="1349" t="s">
        <v>254</v>
      </c>
      <c r="L512" s="1350" t="s">
        <v>4671</v>
      </c>
      <c r="M512" s="1350" t="s">
        <v>3649</v>
      </c>
      <c r="N512" s="1379" t="s">
        <v>5092</v>
      </c>
      <c r="O512" s="1352" t="s">
        <v>5093</v>
      </c>
      <c r="P512" s="1352"/>
      <c r="Q512" s="1354"/>
      <c r="R512" s="1354"/>
      <c r="S512" s="1354"/>
      <c r="T512" s="1354"/>
      <c r="U512" s="1354"/>
      <c r="V512" s="1354"/>
      <c r="W512" s="1354"/>
      <c r="X512" s="1353">
        <v>43101</v>
      </c>
      <c r="Y512" s="1353">
        <v>43466</v>
      </c>
      <c r="Z512" s="1425"/>
      <c r="AA512" s="1355" t="s">
        <v>4674</v>
      </c>
      <c r="AB512" s="1394"/>
      <c r="AC512" s="1394"/>
      <c r="AD512" s="1356"/>
      <c r="AE512" s="1356"/>
      <c r="AF512" s="1395" t="str">
        <f t="shared" si="660"/>
        <v/>
      </c>
      <c r="AG512" s="1380"/>
      <c r="AH512" s="1380"/>
      <c r="AI512" s="1381">
        <v>0</v>
      </c>
      <c r="AJ512" s="1382">
        <f t="shared" si="715"/>
        <v>0</v>
      </c>
      <c r="AK512" s="1383">
        <f t="shared" si="716"/>
        <v>0</v>
      </c>
      <c r="AL512" s="1384">
        <v>0</v>
      </c>
      <c r="AM512" s="1363">
        <f t="shared" si="717"/>
        <v>0</v>
      </c>
      <c r="AN512" s="1364">
        <v>0</v>
      </c>
      <c r="AO512" s="1365">
        <f t="shared" si="718"/>
        <v>0</v>
      </c>
      <c r="AP512" s="1366">
        <v>0</v>
      </c>
      <c r="AQ512" s="1367">
        <f t="shared" si="719"/>
        <v>0</v>
      </c>
      <c r="AR512" s="1368">
        <v>0</v>
      </c>
      <c r="AS512" s="1369">
        <f t="shared" si="720"/>
        <v>0</v>
      </c>
      <c r="AT512" s="1370">
        <v>0</v>
      </c>
      <c r="AU512" s="1371">
        <f t="shared" si="721"/>
        <v>0</v>
      </c>
      <c r="AV512" s="1359">
        <f t="shared" si="722"/>
        <v>0</v>
      </c>
      <c r="AW512" s="1372">
        <f t="shared" si="723"/>
        <v>0</v>
      </c>
      <c r="AX512" s="1373">
        <f t="shared" si="724"/>
        <v>0</v>
      </c>
      <c r="AY512" s="1374">
        <f t="shared" si="725"/>
        <v>0</v>
      </c>
      <c r="AZ512" s="1375">
        <f t="shared" si="726"/>
        <v>0</v>
      </c>
      <c r="BA512" s="1376">
        <f t="shared" si="727"/>
        <v>0</v>
      </c>
      <c r="BB512" s="1391"/>
      <c r="BC512" s="1820"/>
      <c r="BD512" s="1820"/>
      <c r="BE512" s="1823"/>
      <c r="BF512" s="1826"/>
      <c r="BG512" s="1829"/>
    </row>
    <row r="513" spans="1:59" s="1396" customFormat="1" ht="38.25">
      <c r="A513" s="1347" t="str">
        <f t="shared" si="713"/>
        <v>Inflammatix, Inc.</v>
      </c>
      <c r="B513" s="1347" t="s">
        <v>4835</v>
      </c>
      <c r="C513" s="1348">
        <f t="shared" si="714"/>
        <v>11</v>
      </c>
      <c r="D513" s="1349">
        <v>42826</v>
      </c>
      <c r="E513" s="1349"/>
      <c r="F513" s="1347" t="s">
        <v>113</v>
      </c>
      <c r="G513" s="1347" t="s">
        <v>85</v>
      </c>
      <c r="H513" s="1347" t="s">
        <v>85</v>
      </c>
      <c r="I513" s="1347" t="s">
        <v>113</v>
      </c>
      <c r="J513" s="1349"/>
      <c r="K513" s="1349" t="s">
        <v>254</v>
      </c>
      <c r="L513" s="1350" t="s">
        <v>4675</v>
      </c>
      <c r="M513" s="1350" t="s">
        <v>3650</v>
      </c>
      <c r="N513" s="1385" t="s">
        <v>5094</v>
      </c>
      <c r="O513" s="1352" t="s">
        <v>4677</v>
      </c>
      <c r="P513" s="1352"/>
      <c r="Q513" s="1354"/>
      <c r="R513" s="1354"/>
      <c r="S513" s="1354"/>
      <c r="T513" s="1354"/>
      <c r="U513" s="1353" t="s">
        <v>4959</v>
      </c>
      <c r="V513" s="1353" t="s">
        <v>2495</v>
      </c>
      <c r="W513" s="1354"/>
      <c r="X513" s="1353">
        <v>43101</v>
      </c>
      <c r="Y513" s="1353">
        <v>43466</v>
      </c>
      <c r="Z513" s="1425"/>
      <c r="AA513" s="1355" t="s">
        <v>4846</v>
      </c>
      <c r="AB513" s="1394"/>
      <c r="AC513" s="1394"/>
      <c r="AD513" s="1356"/>
      <c r="AE513" s="1356"/>
      <c r="AF513" s="1395" t="str">
        <f t="shared" si="660"/>
        <v/>
      </c>
      <c r="AG513" s="1358">
        <f t="shared" si="663"/>
        <v>1352.05</v>
      </c>
      <c r="AH513" s="1358">
        <v>16224.6</v>
      </c>
      <c r="AI513" s="1359">
        <v>0.1</v>
      </c>
      <c r="AJ513" s="1360">
        <f t="shared" si="715"/>
        <v>135.20500000000001</v>
      </c>
      <c r="AK513" s="1361">
        <f t="shared" si="716"/>
        <v>1622.46</v>
      </c>
      <c r="AL513" s="1384">
        <v>0</v>
      </c>
      <c r="AM513" s="1363">
        <f t="shared" si="717"/>
        <v>0</v>
      </c>
      <c r="AN513" s="1364">
        <v>0</v>
      </c>
      <c r="AO513" s="1365">
        <f t="shared" si="718"/>
        <v>0</v>
      </c>
      <c r="AP513" s="1366">
        <v>0</v>
      </c>
      <c r="AQ513" s="1367">
        <f t="shared" si="719"/>
        <v>0</v>
      </c>
      <c r="AR513" s="1368">
        <v>0</v>
      </c>
      <c r="AS513" s="1369">
        <f t="shared" si="720"/>
        <v>0</v>
      </c>
      <c r="AT513" s="1370">
        <v>0</v>
      </c>
      <c r="AU513" s="1371">
        <f t="shared" si="721"/>
        <v>0</v>
      </c>
      <c r="AV513" s="1359">
        <f t="shared" si="722"/>
        <v>0.1</v>
      </c>
      <c r="AW513" s="1372">
        <f t="shared" si="723"/>
        <v>1622.46</v>
      </c>
      <c r="AX513" s="1373">
        <f t="shared" si="724"/>
        <v>0.1</v>
      </c>
      <c r="AY513" s="1374">
        <f t="shared" si="725"/>
        <v>1622.46</v>
      </c>
      <c r="AZ513" s="1375">
        <f t="shared" si="726"/>
        <v>0.1</v>
      </c>
      <c r="BA513" s="1376">
        <f t="shared" si="727"/>
        <v>1622.46</v>
      </c>
      <c r="BB513" s="1391"/>
      <c r="BC513" s="1820"/>
      <c r="BD513" s="1820"/>
      <c r="BE513" s="1823"/>
      <c r="BF513" s="1826"/>
      <c r="BG513" s="1829"/>
    </row>
    <row r="514" spans="1:59" s="1396" customFormat="1" ht="25.5">
      <c r="A514" s="1347" t="str">
        <f t="shared" si="713"/>
        <v>Inflammatix, Inc.</v>
      </c>
      <c r="B514" s="1347" t="s">
        <v>4835</v>
      </c>
      <c r="C514" s="1348">
        <f t="shared" si="714"/>
        <v>11</v>
      </c>
      <c r="D514" s="1349">
        <v>42826</v>
      </c>
      <c r="E514" s="1349"/>
      <c r="F514" s="1347" t="s">
        <v>113</v>
      </c>
      <c r="G514" s="1347" t="s">
        <v>85</v>
      </c>
      <c r="H514" s="1347" t="s">
        <v>85</v>
      </c>
      <c r="I514" s="1347" t="s">
        <v>113</v>
      </c>
      <c r="J514" s="1349"/>
      <c r="K514" s="1349" t="s">
        <v>254</v>
      </c>
      <c r="L514" s="1350" t="s">
        <v>4675</v>
      </c>
      <c r="M514" s="1350" t="s">
        <v>3651</v>
      </c>
      <c r="N514" s="1351" t="s">
        <v>4875</v>
      </c>
      <c r="O514" s="1352" t="s">
        <v>4681</v>
      </c>
      <c r="P514" s="1352"/>
      <c r="Q514" s="1354"/>
      <c r="R514" s="1354"/>
      <c r="S514" s="1354"/>
      <c r="T514" s="1354"/>
      <c r="U514" s="1354"/>
      <c r="V514" s="1354"/>
      <c r="W514" s="1353" t="s">
        <v>2492</v>
      </c>
      <c r="X514" s="1353">
        <v>43101</v>
      </c>
      <c r="Y514" s="1353">
        <v>43466</v>
      </c>
      <c r="Z514" s="1425"/>
      <c r="AA514" s="1355" t="s">
        <v>4846</v>
      </c>
      <c r="AB514" s="1394"/>
      <c r="AC514" s="1394"/>
      <c r="AD514" s="1356"/>
      <c r="AE514" s="1356"/>
      <c r="AF514" s="1395" t="str">
        <f t="shared" si="660"/>
        <v/>
      </c>
      <c r="AG514" s="1358">
        <f t="shared" si="663"/>
        <v>144.29999999999998</v>
      </c>
      <c r="AH514" s="1358">
        <v>1731.6</v>
      </c>
      <c r="AI514" s="1359">
        <v>0.1</v>
      </c>
      <c r="AJ514" s="1360">
        <f t="shared" si="715"/>
        <v>14.43</v>
      </c>
      <c r="AK514" s="1361">
        <f t="shared" si="716"/>
        <v>173.16</v>
      </c>
      <c r="AL514" s="1384">
        <v>0</v>
      </c>
      <c r="AM514" s="1363">
        <f t="shared" si="717"/>
        <v>0</v>
      </c>
      <c r="AN514" s="1364">
        <v>0</v>
      </c>
      <c r="AO514" s="1365">
        <f t="shared" si="718"/>
        <v>0</v>
      </c>
      <c r="AP514" s="1366">
        <v>0</v>
      </c>
      <c r="AQ514" s="1367">
        <f t="shared" si="719"/>
        <v>0</v>
      </c>
      <c r="AR514" s="1368">
        <v>0</v>
      </c>
      <c r="AS514" s="1369">
        <f t="shared" si="720"/>
        <v>0</v>
      </c>
      <c r="AT514" s="1370">
        <v>0</v>
      </c>
      <c r="AU514" s="1371">
        <f t="shared" si="721"/>
        <v>0</v>
      </c>
      <c r="AV514" s="1359">
        <f t="shared" si="722"/>
        <v>0.1</v>
      </c>
      <c r="AW514" s="1372">
        <f t="shared" si="723"/>
        <v>173.16</v>
      </c>
      <c r="AX514" s="1373">
        <f t="shared" si="724"/>
        <v>0.1</v>
      </c>
      <c r="AY514" s="1374">
        <f t="shared" si="725"/>
        <v>173.16</v>
      </c>
      <c r="AZ514" s="1375">
        <f t="shared" si="726"/>
        <v>0.1</v>
      </c>
      <c r="BA514" s="1376">
        <f t="shared" si="727"/>
        <v>173.16</v>
      </c>
      <c r="BB514" s="1391"/>
      <c r="BC514" s="1820"/>
      <c r="BD514" s="1820"/>
      <c r="BE514" s="1823"/>
      <c r="BF514" s="1826"/>
      <c r="BG514" s="1829"/>
    </row>
    <row r="515" spans="1:59" s="1396" customFormat="1" ht="25.5">
      <c r="A515" s="1347" t="str">
        <f t="shared" si="713"/>
        <v>Inflammatix, Inc.</v>
      </c>
      <c r="B515" s="1347" t="s">
        <v>4835</v>
      </c>
      <c r="C515" s="1348">
        <f t="shared" si="714"/>
        <v>11</v>
      </c>
      <c r="D515" s="1349">
        <v>42826</v>
      </c>
      <c r="E515" s="1349"/>
      <c r="F515" s="1347" t="s">
        <v>113</v>
      </c>
      <c r="G515" s="1347" t="s">
        <v>85</v>
      </c>
      <c r="H515" s="1347" t="s">
        <v>85</v>
      </c>
      <c r="I515" s="1347" t="s">
        <v>113</v>
      </c>
      <c r="J515" s="1349"/>
      <c r="K515" s="1349" t="s">
        <v>254</v>
      </c>
      <c r="L515" s="1350" t="s">
        <v>4682</v>
      </c>
      <c r="M515" s="1350" t="s">
        <v>4683</v>
      </c>
      <c r="N515" s="1386" t="s">
        <v>1249</v>
      </c>
      <c r="O515" s="1352" t="s">
        <v>4684</v>
      </c>
      <c r="P515" s="1387"/>
      <c r="Q515" s="1354"/>
      <c r="R515" s="1354"/>
      <c r="S515" s="1354"/>
      <c r="T515" s="1354"/>
      <c r="U515" s="1354"/>
      <c r="V515" s="1354"/>
      <c r="W515" s="1354"/>
      <c r="X515" s="1353">
        <v>43101</v>
      </c>
      <c r="Y515" s="1353">
        <v>43466</v>
      </c>
      <c r="Z515" s="1425"/>
      <c r="AA515" s="1355" t="s">
        <v>4884</v>
      </c>
      <c r="AB515" s="1394"/>
      <c r="AC515" s="1394"/>
      <c r="AD515" s="1356"/>
      <c r="AE515" s="1356"/>
      <c r="AF515" s="1395" t="str">
        <f t="shared" si="660"/>
        <v/>
      </c>
      <c r="AG515" s="1358">
        <f t="shared" si="663"/>
        <v>183.54</v>
      </c>
      <c r="AH515" s="1358">
        <v>2202.48</v>
      </c>
      <c r="AI515" s="1359">
        <v>0.15</v>
      </c>
      <c r="AJ515" s="1360">
        <f t="shared" si="715"/>
        <v>27.530999999999999</v>
      </c>
      <c r="AK515" s="1361">
        <f t="shared" si="716"/>
        <v>330.37200000000001</v>
      </c>
      <c r="AL515" s="1384">
        <v>0</v>
      </c>
      <c r="AM515" s="1363">
        <f t="shared" si="717"/>
        <v>0</v>
      </c>
      <c r="AN515" s="1364">
        <v>0</v>
      </c>
      <c r="AO515" s="1365">
        <f t="shared" si="718"/>
        <v>0</v>
      </c>
      <c r="AP515" s="1366">
        <v>0</v>
      </c>
      <c r="AQ515" s="1367">
        <f t="shared" si="719"/>
        <v>0</v>
      </c>
      <c r="AR515" s="1368">
        <v>0</v>
      </c>
      <c r="AS515" s="1369">
        <f t="shared" si="720"/>
        <v>0</v>
      </c>
      <c r="AT515" s="1370">
        <v>0</v>
      </c>
      <c r="AU515" s="1371">
        <f t="shared" si="721"/>
        <v>0</v>
      </c>
      <c r="AV515" s="1359">
        <f t="shared" si="722"/>
        <v>0.15</v>
      </c>
      <c r="AW515" s="1372">
        <f t="shared" si="723"/>
        <v>330.37200000000001</v>
      </c>
      <c r="AX515" s="1373">
        <f t="shared" si="724"/>
        <v>0.15</v>
      </c>
      <c r="AY515" s="1374">
        <f t="shared" si="725"/>
        <v>330.37200000000001</v>
      </c>
      <c r="AZ515" s="1375">
        <f t="shared" si="726"/>
        <v>0.15</v>
      </c>
      <c r="BA515" s="1376">
        <f t="shared" si="727"/>
        <v>330.37200000000001</v>
      </c>
      <c r="BB515" s="1391"/>
      <c r="BC515" s="1820"/>
      <c r="BD515" s="1820"/>
      <c r="BE515" s="1823"/>
      <c r="BF515" s="1826"/>
      <c r="BG515" s="1829"/>
    </row>
    <row r="516" spans="1:59" s="1396" customFormat="1" ht="25.5">
      <c r="A516" s="1347" t="str">
        <f t="shared" si="713"/>
        <v>Inflammatix, Inc.</v>
      </c>
      <c r="B516" s="1347" t="s">
        <v>4835</v>
      </c>
      <c r="C516" s="1348">
        <f t="shared" si="714"/>
        <v>11</v>
      </c>
      <c r="D516" s="1349">
        <v>42826</v>
      </c>
      <c r="E516" s="1349"/>
      <c r="F516" s="1347" t="s">
        <v>113</v>
      </c>
      <c r="G516" s="1347" t="s">
        <v>85</v>
      </c>
      <c r="H516" s="1347" t="s">
        <v>85</v>
      </c>
      <c r="I516" s="1347" t="s">
        <v>113</v>
      </c>
      <c r="J516" s="1349"/>
      <c r="K516" s="1349" t="s">
        <v>254</v>
      </c>
      <c r="L516" s="1350" t="s">
        <v>4682</v>
      </c>
      <c r="M516" s="1350" t="s">
        <v>4686</v>
      </c>
      <c r="N516" s="1386" t="s">
        <v>60</v>
      </c>
      <c r="O516" s="1352" t="s">
        <v>4687</v>
      </c>
      <c r="P516" s="1387"/>
      <c r="Q516" s="1354"/>
      <c r="R516" s="1354"/>
      <c r="S516" s="1354"/>
      <c r="T516" s="1354"/>
      <c r="U516" s="1354"/>
      <c r="V516" s="1354"/>
      <c r="W516" s="1354"/>
      <c r="X516" s="1353">
        <v>43101</v>
      </c>
      <c r="Y516" s="1353">
        <v>43466</v>
      </c>
      <c r="Z516" s="1425"/>
      <c r="AA516" s="1355" t="s">
        <v>4884</v>
      </c>
      <c r="AB516" s="1394"/>
      <c r="AC516" s="1394"/>
      <c r="AD516" s="1356"/>
      <c r="AE516" s="1356"/>
      <c r="AF516" s="1395" t="str">
        <f t="shared" si="660"/>
        <v/>
      </c>
      <c r="AG516" s="1358">
        <f t="shared" si="663"/>
        <v>8.7000000000000011</v>
      </c>
      <c r="AH516" s="1358">
        <v>104.4</v>
      </c>
      <c r="AI516" s="1359">
        <v>0.15</v>
      </c>
      <c r="AJ516" s="1360">
        <f t="shared" si="715"/>
        <v>1.3050000000000002</v>
      </c>
      <c r="AK516" s="1361">
        <f t="shared" si="716"/>
        <v>15.66</v>
      </c>
      <c r="AL516" s="1384">
        <v>0</v>
      </c>
      <c r="AM516" s="1363">
        <f t="shared" si="717"/>
        <v>0</v>
      </c>
      <c r="AN516" s="1364">
        <v>0</v>
      </c>
      <c r="AO516" s="1365">
        <f t="shared" si="718"/>
        <v>0</v>
      </c>
      <c r="AP516" s="1366">
        <v>0</v>
      </c>
      <c r="AQ516" s="1367">
        <f t="shared" si="719"/>
        <v>0</v>
      </c>
      <c r="AR516" s="1368">
        <v>0</v>
      </c>
      <c r="AS516" s="1369">
        <f t="shared" si="720"/>
        <v>0</v>
      </c>
      <c r="AT516" s="1370">
        <v>0</v>
      </c>
      <c r="AU516" s="1371">
        <f t="shared" si="721"/>
        <v>0</v>
      </c>
      <c r="AV516" s="1359">
        <f t="shared" si="722"/>
        <v>0.15</v>
      </c>
      <c r="AW516" s="1372">
        <f t="shared" si="723"/>
        <v>15.66</v>
      </c>
      <c r="AX516" s="1373">
        <f t="shared" si="724"/>
        <v>0.15</v>
      </c>
      <c r="AY516" s="1374">
        <f t="shared" si="725"/>
        <v>15.66</v>
      </c>
      <c r="AZ516" s="1375">
        <f t="shared" si="726"/>
        <v>0.15</v>
      </c>
      <c r="BA516" s="1376">
        <f t="shared" si="727"/>
        <v>15.66</v>
      </c>
      <c r="BB516" s="1391"/>
      <c r="BC516" s="1820"/>
      <c r="BD516" s="1820"/>
      <c r="BE516" s="1823"/>
      <c r="BF516" s="1826"/>
      <c r="BG516" s="1829"/>
    </row>
    <row r="517" spans="1:59" s="1396" customFormat="1" ht="25.5">
      <c r="A517" s="1347" t="str">
        <f t="shared" si="713"/>
        <v>Inflammatix, Inc.</v>
      </c>
      <c r="B517" s="1347" t="s">
        <v>4835</v>
      </c>
      <c r="C517" s="1348">
        <f t="shared" si="714"/>
        <v>11</v>
      </c>
      <c r="D517" s="1349">
        <v>42826</v>
      </c>
      <c r="E517" s="1349"/>
      <c r="F517" s="1347" t="s">
        <v>113</v>
      </c>
      <c r="G517" s="1347" t="s">
        <v>85</v>
      </c>
      <c r="H517" s="1347" t="s">
        <v>85</v>
      </c>
      <c r="I517" s="1347" t="s">
        <v>113</v>
      </c>
      <c r="J517" s="1349"/>
      <c r="K517" s="1349" t="s">
        <v>254</v>
      </c>
      <c r="L517" s="1350" t="s">
        <v>4682</v>
      </c>
      <c r="M517" s="1350" t="s">
        <v>67</v>
      </c>
      <c r="N517" s="1351" t="s">
        <v>82</v>
      </c>
      <c r="O517" s="1352" t="s">
        <v>4689</v>
      </c>
      <c r="P517" s="1352"/>
      <c r="Q517" s="1354"/>
      <c r="R517" s="1354"/>
      <c r="S517" s="1354"/>
      <c r="T517" s="1354"/>
      <c r="U517" s="1354"/>
      <c r="V517" s="1354"/>
      <c r="W517" s="1354"/>
      <c r="X517" s="1353">
        <v>43101</v>
      </c>
      <c r="Y517" s="1353">
        <v>43466</v>
      </c>
      <c r="Z517" s="1425"/>
      <c r="AA517" s="1355" t="s">
        <v>4884</v>
      </c>
      <c r="AB517" s="1394"/>
      <c r="AC517" s="1394"/>
      <c r="AD517" s="1356"/>
      <c r="AE517" s="1356"/>
      <c r="AF517" s="1395" t="str">
        <f t="shared" si="660"/>
        <v/>
      </c>
      <c r="AG517" s="1358">
        <f t="shared" si="663"/>
        <v>301.04166666666669</v>
      </c>
      <c r="AH517" s="1358">
        <v>3612.5</v>
      </c>
      <c r="AI517" s="1359">
        <v>0.15</v>
      </c>
      <c r="AJ517" s="1360">
        <f t="shared" si="715"/>
        <v>45.15625</v>
      </c>
      <c r="AK517" s="1361">
        <f t="shared" si="716"/>
        <v>541.875</v>
      </c>
      <c r="AL517" s="1384">
        <v>0</v>
      </c>
      <c r="AM517" s="1363">
        <f t="shared" si="717"/>
        <v>0</v>
      </c>
      <c r="AN517" s="1364">
        <v>0</v>
      </c>
      <c r="AO517" s="1365">
        <f t="shared" si="718"/>
        <v>0</v>
      </c>
      <c r="AP517" s="1366">
        <v>0</v>
      </c>
      <c r="AQ517" s="1367">
        <f t="shared" si="719"/>
        <v>0</v>
      </c>
      <c r="AR517" s="1368">
        <v>0</v>
      </c>
      <c r="AS517" s="1369">
        <f t="shared" si="720"/>
        <v>0</v>
      </c>
      <c r="AT517" s="1370">
        <v>0</v>
      </c>
      <c r="AU517" s="1371">
        <f t="shared" si="721"/>
        <v>0</v>
      </c>
      <c r="AV517" s="1359">
        <f t="shared" si="722"/>
        <v>0.15</v>
      </c>
      <c r="AW517" s="1372">
        <f t="shared" si="723"/>
        <v>541.875</v>
      </c>
      <c r="AX517" s="1373">
        <f t="shared" si="724"/>
        <v>0.15</v>
      </c>
      <c r="AY517" s="1374">
        <f t="shared" si="725"/>
        <v>541.875</v>
      </c>
      <c r="AZ517" s="1375">
        <f t="shared" si="726"/>
        <v>0.15</v>
      </c>
      <c r="BA517" s="1376">
        <f t="shared" si="727"/>
        <v>541.875</v>
      </c>
      <c r="BB517" s="1391"/>
      <c r="BC517" s="1820"/>
      <c r="BD517" s="1820"/>
      <c r="BE517" s="1823"/>
      <c r="BF517" s="1826"/>
      <c r="BG517" s="1829"/>
    </row>
    <row r="518" spans="1:59" s="1378" customFormat="1" ht="27.75" customHeight="1">
      <c r="A518" s="1347" t="s">
        <v>141</v>
      </c>
      <c r="B518" s="1348" t="s">
        <v>4835</v>
      </c>
      <c r="C518" s="1348">
        <v>3</v>
      </c>
      <c r="D518" s="1349">
        <v>42826</v>
      </c>
      <c r="E518" s="1349"/>
      <c r="F518" s="1347" t="s">
        <v>72</v>
      </c>
      <c r="G518" s="1347" t="s">
        <v>85</v>
      </c>
      <c r="H518" s="1347" t="s">
        <v>72</v>
      </c>
      <c r="I518" s="1347" t="s">
        <v>72</v>
      </c>
      <c r="J518" s="1349" t="s">
        <v>4670</v>
      </c>
      <c r="K518" s="1349" t="s">
        <v>254</v>
      </c>
      <c r="L518" s="1350" t="s">
        <v>4696</v>
      </c>
      <c r="M518" s="1350" t="s">
        <v>4697</v>
      </c>
      <c r="N518" s="1389" t="s">
        <v>4698</v>
      </c>
      <c r="O518" s="1352" t="s">
        <v>4699</v>
      </c>
      <c r="P518" s="1352"/>
      <c r="Q518" s="1354"/>
      <c r="R518" s="1354"/>
      <c r="S518" s="1354"/>
      <c r="T518" s="1354"/>
      <c r="U518" s="1354"/>
      <c r="V518" s="1354"/>
      <c r="W518" s="1354"/>
      <c r="X518" s="1353">
        <v>43101</v>
      </c>
      <c r="Y518" s="1353">
        <v>43466</v>
      </c>
      <c r="Z518" s="1355"/>
      <c r="AA518" s="1355" t="s">
        <v>4674</v>
      </c>
      <c r="AB518" s="1356"/>
      <c r="AC518" s="1356"/>
      <c r="AD518" s="1356"/>
      <c r="AE518" s="1356"/>
      <c r="AF518" s="1357" t="str">
        <f t="shared" si="660"/>
        <v/>
      </c>
      <c r="AG518" s="1380"/>
      <c r="AH518" s="1380"/>
      <c r="AI518" s="1381">
        <v>0</v>
      </c>
      <c r="AJ518" s="1382">
        <f t="shared" si="715"/>
        <v>0</v>
      </c>
      <c r="AK518" s="1383">
        <f t="shared" si="716"/>
        <v>0</v>
      </c>
      <c r="AL518" s="1384">
        <v>0</v>
      </c>
      <c r="AM518" s="1363">
        <f t="shared" si="717"/>
        <v>0</v>
      </c>
      <c r="AN518" s="1364">
        <v>0</v>
      </c>
      <c r="AO518" s="1365">
        <f t="shared" si="718"/>
        <v>0</v>
      </c>
      <c r="AP518" s="1366">
        <v>0</v>
      </c>
      <c r="AQ518" s="1367">
        <f t="shared" si="719"/>
        <v>0</v>
      </c>
      <c r="AR518" s="1368">
        <v>0</v>
      </c>
      <c r="AS518" s="1369">
        <f t="shared" si="720"/>
        <v>0</v>
      </c>
      <c r="AT518" s="1370">
        <v>0</v>
      </c>
      <c r="AU518" s="1371">
        <f t="shared" si="721"/>
        <v>0</v>
      </c>
      <c r="AV518" s="1359">
        <f t="shared" si="722"/>
        <v>0</v>
      </c>
      <c r="AW518" s="1372">
        <f t="shared" si="723"/>
        <v>0</v>
      </c>
      <c r="AX518" s="1373">
        <f t="shared" si="724"/>
        <v>0</v>
      </c>
      <c r="AY518" s="1374">
        <f t="shared" si="725"/>
        <v>0</v>
      </c>
      <c r="AZ518" s="1375">
        <f t="shared" si="726"/>
        <v>0</v>
      </c>
      <c r="BA518" s="1376">
        <f t="shared" si="727"/>
        <v>0</v>
      </c>
      <c r="BB518" s="1377"/>
      <c r="BC518" s="1820"/>
      <c r="BD518" s="1820"/>
      <c r="BE518" s="1823"/>
      <c r="BF518" s="1826"/>
      <c r="BG518" s="1829"/>
    </row>
    <row r="519" spans="1:59" s="1378" customFormat="1" ht="25.5">
      <c r="A519" s="1347" t="str">
        <f t="shared" si="713"/>
        <v>Inflammatix, Inc.</v>
      </c>
      <c r="B519" s="1347" t="s">
        <v>4835</v>
      </c>
      <c r="C519" s="1348">
        <f t="shared" si="714"/>
        <v>11</v>
      </c>
      <c r="D519" s="1349">
        <v>42826</v>
      </c>
      <c r="E519" s="1349"/>
      <c r="F519" s="1347" t="s">
        <v>72</v>
      </c>
      <c r="G519" s="1347" t="s">
        <v>85</v>
      </c>
      <c r="H519" s="1347" t="s">
        <v>72</v>
      </c>
      <c r="I519" s="1347" t="s">
        <v>113</v>
      </c>
      <c r="J519" s="1349" t="s">
        <v>4670</v>
      </c>
      <c r="K519" s="1349" t="s">
        <v>254</v>
      </c>
      <c r="L519" s="1350" t="s">
        <v>48</v>
      </c>
      <c r="M519" s="1350" t="s">
        <v>253</v>
      </c>
      <c r="N519" s="1390" t="s">
        <v>4703</v>
      </c>
      <c r="O519" s="1352" t="s">
        <v>4704</v>
      </c>
      <c r="P519" s="1352"/>
      <c r="Q519" s="1354"/>
      <c r="R519" s="1354"/>
      <c r="S519" s="1354"/>
      <c r="T519" s="1354"/>
      <c r="U519" s="1354"/>
      <c r="V519" s="1354"/>
      <c r="W519" s="1354"/>
      <c r="X519" s="1353">
        <v>43101</v>
      </c>
      <c r="Y519" s="1353">
        <v>43466</v>
      </c>
      <c r="Z519" s="1355"/>
      <c r="AA519" s="1355" t="s">
        <v>4674</v>
      </c>
      <c r="AB519" s="1356"/>
      <c r="AC519" s="1356"/>
      <c r="AD519" s="1356"/>
      <c r="AE519" s="1356"/>
      <c r="AF519" s="1357" t="str">
        <f t="shared" si="660"/>
        <v/>
      </c>
      <c r="AG519" s="1380"/>
      <c r="AH519" s="1380"/>
      <c r="AI519" s="1381">
        <v>0</v>
      </c>
      <c r="AJ519" s="1382">
        <f t="shared" si="715"/>
        <v>0</v>
      </c>
      <c r="AK519" s="1383">
        <f t="shared" si="716"/>
        <v>0</v>
      </c>
      <c r="AL519" s="1384">
        <v>0</v>
      </c>
      <c r="AM519" s="1363">
        <f t="shared" si="717"/>
        <v>0</v>
      </c>
      <c r="AN519" s="1364">
        <v>0</v>
      </c>
      <c r="AO519" s="1365">
        <f t="shared" si="718"/>
        <v>0</v>
      </c>
      <c r="AP519" s="1366">
        <v>0</v>
      </c>
      <c r="AQ519" s="1367">
        <f t="shared" si="719"/>
        <v>0</v>
      </c>
      <c r="AR519" s="1368">
        <v>0</v>
      </c>
      <c r="AS519" s="1369">
        <f t="shared" si="720"/>
        <v>0</v>
      </c>
      <c r="AT519" s="1370">
        <v>0</v>
      </c>
      <c r="AU519" s="1371">
        <f t="shared" si="721"/>
        <v>0</v>
      </c>
      <c r="AV519" s="1359">
        <f t="shared" si="722"/>
        <v>0</v>
      </c>
      <c r="AW519" s="1372">
        <f t="shared" si="723"/>
        <v>0</v>
      </c>
      <c r="AX519" s="1373">
        <f t="shared" si="724"/>
        <v>0</v>
      </c>
      <c r="AY519" s="1374">
        <f t="shared" si="725"/>
        <v>0</v>
      </c>
      <c r="AZ519" s="1375">
        <f t="shared" si="726"/>
        <v>0</v>
      </c>
      <c r="BA519" s="1376">
        <f t="shared" si="727"/>
        <v>0</v>
      </c>
      <c r="BB519" s="1391"/>
      <c r="BC519" s="1820"/>
      <c r="BD519" s="1820"/>
      <c r="BE519" s="1823"/>
      <c r="BF519" s="1826"/>
      <c r="BG519" s="1829"/>
    </row>
    <row r="520" spans="1:59" s="1378" customFormat="1" ht="25.5">
      <c r="A520" s="1347" t="str">
        <f t="shared" si="713"/>
        <v>Inflammatix, Inc.</v>
      </c>
      <c r="B520" s="1347" t="s">
        <v>4835</v>
      </c>
      <c r="C520" s="1348">
        <f t="shared" si="714"/>
        <v>11</v>
      </c>
      <c r="D520" s="1349">
        <v>42826</v>
      </c>
      <c r="E520" s="1349"/>
      <c r="F520" s="1347" t="s">
        <v>72</v>
      </c>
      <c r="G520" s="1347" t="s">
        <v>85</v>
      </c>
      <c r="H520" s="1347" t="s">
        <v>72</v>
      </c>
      <c r="I520" s="1347" t="s">
        <v>113</v>
      </c>
      <c r="J520" s="1349" t="s">
        <v>4670</v>
      </c>
      <c r="K520" s="1349" t="s">
        <v>254</v>
      </c>
      <c r="L520" s="1350" t="s">
        <v>49</v>
      </c>
      <c r="M520" s="1350" t="s">
        <v>4705</v>
      </c>
      <c r="N520" s="1390" t="s">
        <v>4784</v>
      </c>
      <c r="O520" s="1352" t="s">
        <v>4707</v>
      </c>
      <c r="P520" s="1352"/>
      <c r="Q520" s="1354"/>
      <c r="R520" s="1354"/>
      <c r="S520" s="1354"/>
      <c r="T520" s="1354"/>
      <c r="U520" s="1354"/>
      <c r="V520" s="1354"/>
      <c r="W520" s="1354"/>
      <c r="X520" s="1353">
        <v>43101</v>
      </c>
      <c r="Y520" s="1353">
        <v>43466</v>
      </c>
      <c r="Z520" s="1355"/>
      <c r="AA520" s="1355" t="s">
        <v>4674</v>
      </c>
      <c r="AB520" s="1356"/>
      <c r="AC520" s="1356"/>
      <c r="AD520" s="1356"/>
      <c r="AE520" s="1356"/>
      <c r="AF520" s="1357" t="str">
        <f t="shared" si="660"/>
        <v/>
      </c>
      <c r="AG520" s="1380"/>
      <c r="AH520" s="1380"/>
      <c r="AI520" s="1381">
        <v>0</v>
      </c>
      <c r="AJ520" s="1382">
        <f t="shared" si="715"/>
        <v>0</v>
      </c>
      <c r="AK520" s="1383">
        <f t="shared" si="716"/>
        <v>0</v>
      </c>
      <c r="AL520" s="1384">
        <v>0</v>
      </c>
      <c r="AM520" s="1363">
        <f t="shared" si="717"/>
        <v>0</v>
      </c>
      <c r="AN520" s="1364">
        <v>0</v>
      </c>
      <c r="AO520" s="1365">
        <f t="shared" si="718"/>
        <v>0</v>
      </c>
      <c r="AP520" s="1366">
        <v>0</v>
      </c>
      <c r="AQ520" s="1367">
        <f t="shared" si="719"/>
        <v>0</v>
      </c>
      <c r="AR520" s="1368">
        <v>0</v>
      </c>
      <c r="AS520" s="1369">
        <f t="shared" si="720"/>
        <v>0</v>
      </c>
      <c r="AT520" s="1370">
        <v>0</v>
      </c>
      <c r="AU520" s="1371">
        <f t="shared" si="721"/>
        <v>0</v>
      </c>
      <c r="AV520" s="1359">
        <f t="shared" si="722"/>
        <v>0</v>
      </c>
      <c r="AW520" s="1372">
        <f t="shared" si="723"/>
        <v>0</v>
      </c>
      <c r="AX520" s="1373">
        <f t="shared" si="724"/>
        <v>0</v>
      </c>
      <c r="AY520" s="1374">
        <f t="shared" si="725"/>
        <v>0</v>
      </c>
      <c r="AZ520" s="1375">
        <f t="shared" si="726"/>
        <v>0</v>
      </c>
      <c r="BA520" s="1376">
        <f t="shared" si="727"/>
        <v>0</v>
      </c>
      <c r="BB520" s="1391"/>
      <c r="BC520" s="1820"/>
      <c r="BD520" s="1820"/>
      <c r="BE520" s="1823"/>
      <c r="BF520" s="1826"/>
      <c r="BG520" s="1829"/>
    </row>
    <row r="521" spans="1:59" s="1378" customFormat="1" ht="21.75" customHeight="1">
      <c r="A521" s="1347" t="str">
        <f>A520</f>
        <v>Inflammatix, Inc.</v>
      </c>
      <c r="B521" s="1348" t="str">
        <f>B520</f>
        <v>Duenas</v>
      </c>
      <c r="C521" s="1348">
        <f>C520</f>
        <v>11</v>
      </c>
      <c r="D521" s="1349">
        <v>42826</v>
      </c>
      <c r="E521" s="1349"/>
      <c r="F521" s="1347" t="s">
        <v>72</v>
      </c>
      <c r="G521" s="1347" t="s">
        <v>85</v>
      </c>
      <c r="H521" s="1347" t="s">
        <v>72</v>
      </c>
      <c r="I521" s="1347" t="s">
        <v>113</v>
      </c>
      <c r="J521" s="1349" t="s">
        <v>4670</v>
      </c>
      <c r="K521" s="1349" t="s">
        <v>254</v>
      </c>
      <c r="L521" s="1350" t="s">
        <v>3056</v>
      </c>
      <c r="M521" s="1350" t="s">
        <v>4708</v>
      </c>
      <c r="N521" s="1390" t="s">
        <v>4709</v>
      </c>
      <c r="O521" s="1352" t="s">
        <v>4710</v>
      </c>
      <c r="P521" s="1352"/>
      <c r="Q521" s="1354"/>
      <c r="R521" s="1354"/>
      <c r="S521" s="1354"/>
      <c r="T521" s="1354"/>
      <c r="U521" s="1354"/>
      <c r="V521" s="1354"/>
      <c r="W521" s="1354"/>
      <c r="X521" s="1353">
        <v>43101</v>
      </c>
      <c r="Y521" s="1353">
        <v>43466</v>
      </c>
      <c r="Z521" s="1355"/>
      <c r="AA521" s="1355" t="s">
        <v>4674</v>
      </c>
      <c r="AB521" s="1356"/>
      <c r="AC521" s="1356"/>
      <c r="AD521" s="1356"/>
      <c r="AE521" s="1356"/>
      <c r="AF521" s="1357" t="str">
        <f t="shared" si="660"/>
        <v/>
      </c>
      <c r="AG521" s="1380"/>
      <c r="AH521" s="1380"/>
      <c r="AI521" s="1381">
        <v>0</v>
      </c>
      <c r="AJ521" s="1382">
        <f t="shared" si="715"/>
        <v>0</v>
      </c>
      <c r="AK521" s="1383">
        <f t="shared" si="716"/>
        <v>0</v>
      </c>
      <c r="AL521" s="1384">
        <v>0</v>
      </c>
      <c r="AM521" s="1363">
        <f t="shared" si="717"/>
        <v>0</v>
      </c>
      <c r="AN521" s="1364">
        <v>0</v>
      </c>
      <c r="AO521" s="1365">
        <f t="shared" si="718"/>
        <v>0</v>
      </c>
      <c r="AP521" s="1366">
        <v>0</v>
      </c>
      <c r="AQ521" s="1367">
        <f t="shared" si="719"/>
        <v>0</v>
      </c>
      <c r="AR521" s="1368">
        <v>0</v>
      </c>
      <c r="AS521" s="1369">
        <f t="shared" si="720"/>
        <v>0</v>
      </c>
      <c r="AT521" s="1370">
        <v>0</v>
      </c>
      <c r="AU521" s="1371">
        <f t="shared" si="721"/>
        <v>0</v>
      </c>
      <c r="AV521" s="1359">
        <f t="shared" si="722"/>
        <v>0</v>
      </c>
      <c r="AW521" s="1372">
        <f t="shared" si="723"/>
        <v>0</v>
      </c>
      <c r="AX521" s="1373">
        <f t="shared" si="724"/>
        <v>0</v>
      </c>
      <c r="AY521" s="1374">
        <f t="shared" si="725"/>
        <v>0</v>
      </c>
      <c r="AZ521" s="1375">
        <f t="shared" si="726"/>
        <v>0</v>
      </c>
      <c r="BA521" s="1376">
        <f t="shared" si="727"/>
        <v>0</v>
      </c>
      <c r="BB521" s="1391"/>
      <c r="BC521" s="1821"/>
      <c r="BD521" s="1821"/>
      <c r="BE521" s="1824"/>
      <c r="BF521" s="1827"/>
      <c r="BG521" s="1830"/>
    </row>
    <row r="522" spans="1:59" s="1315" customFormat="1" ht="25.5">
      <c r="A522" s="1277" t="str">
        <f>$L$522</f>
        <v>INmune Bio, Inc.</v>
      </c>
      <c r="B522" s="1277" t="s">
        <v>4835</v>
      </c>
      <c r="C522" s="1316">
        <f>$Z$522</f>
        <v>2</v>
      </c>
      <c r="D522" s="1317">
        <v>42736</v>
      </c>
      <c r="E522" s="1317"/>
      <c r="F522" s="1277" t="s">
        <v>72</v>
      </c>
      <c r="G522" s="1277" t="s">
        <v>72</v>
      </c>
      <c r="H522" s="1277" t="s">
        <v>72</v>
      </c>
      <c r="I522" s="1277" t="s">
        <v>5095</v>
      </c>
      <c r="J522" s="1317"/>
      <c r="K522" s="1317"/>
      <c r="L522" s="1318" t="s">
        <v>142</v>
      </c>
      <c r="M522" s="1319"/>
      <c r="N522" s="1427" t="s">
        <v>4835</v>
      </c>
      <c r="O522" s="1419" t="s">
        <v>2473</v>
      </c>
      <c r="P522" s="1419"/>
      <c r="Q522" s="1322"/>
      <c r="R522" s="1322"/>
      <c r="S522" s="1322"/>
      <c r="T522" s="1322"/>
      <c r="U522" s="1322"/>
      <c r="V522" s="1322"/>
      <c r="W522" s="1322"/>
      <c r="X522" s="1317">
        <v>43101</v>
      </c>
      <c r="Y522" s="1317">
        <v>43466</v>
      </c>
      <c r="Z522" s="1316">
        <v>2</v>
      </c>
      <c r="AA522" s="1316" t="s">
        <v>5096</v>
      </c>
      <c r="AB522" s="1323">
        <f>SUM(AB523:AB528)</f>
        <v>0</v>
      </c>
      <c r="AC522" s="1323">
        <f>SUM(AC523:AC528)</f>
        <v>0</v>
      </c>
      <c r="AD522" s="1323">
        <f>SUM(AD523:AD528)</f>
        <v>0</v>
      </c>
      <c r="AE522" s="1324">
        <f t="shared" si="438"/>
        <v>0</v>
      </c>
      <c r="AF522" s="1325" t="str">
        <f t="shared" si="660"/>
        <v/>
      </c>
      <c r="AG522" s="1326">
        <f t="shared" si="663"/>
        <v>2007.58</v>
      </c>
      <c r="AH522" s="1326">
        <f>SUM(AH523:AH528)</f>
        <v>24090.959999999999</v>
      </c>
      <c r="AI522" s="1339" t="s">
        <v>4984</v>
      </c>
      <c r="AJ522" s="1328">
        <f>SUM(AJ523:AJ528)</f>
        <v>160.60640000000001</v>
      </c>
      <c r="AK522" s="1328">
        <f>SUM(AK523:AK528)</f>
        <v>1927.2767999999999</v>
      </c>
      <c r="AL522" s="1329"/>
      <c r="AM522" s="1330">
        <f>SUM(AM523:AM528)</f>
        <v>120.45479999999999</v>
      </c>
      <c r="AN522" s="1331"/>
      <c r="AO522" s="1332">
        <f>SUM(AO523:AO528)</f>
        <v>0</v>
      </c>
      <c r="AP522" s="1333"/>
      <c r="AQ522" s="1334">
        <f>SUM(AQ523:AQ528)</f>
        <v>0</v>
      </c>
      <c r="AR522" s="1335"/>
      <c r="AS522" s="1336">
        <f>SUM(AS523:AS528)</f>
        <v>0</v>
      </c>
      <c r="AT522" s="1337"/>
      <c r="AU522" s="1338">
        <f>SUM(AU523:AU528)</f>
        <v>1806.8219999999999</v>
      </c>
      <c r="AV522" s="1339"/>
      <c r="AW522" s="1340">
        <f>SUM(AW523:AW528)</f>
        <v>0</v>
      </c>
      <c r="AX522" s="1306"/>
      <c r="AY522" s="1307">
        <f>SUM(AW522+AS522+AU522)</f>
        <v>1806.8219999999999</v>
      </c>
      <c r="AZ522" s="1341"/>
      <c r="BA522" s="1309">
        <f>SUM(AY522+AQ522)</f>
        <v>1806.8219999999999</v>
      </c>
      <c r="BB522" s="1342">
        <f>(AW522+AU522)/(AK522-AM522)</f>
        <v>1</v>
      </c>
      <c r="BC522" s="1343"/>
      <c r="BD522" s="1343"/>
      <c r="BE522" s="1344"/>
      <c r="BF522" s="1428" t="s">
        <v>5087</v>
      </c>
      <c r="BG522" s="1346"/>
    </row>
    <row r="523" spans="1:59" s="1396" customFormat="1" ht="38.25" customHeight="1">
      <c r="A523" s="1347" t="str">
        <f>$L$522</f>
        <v>INmune Bio, Inc.</v>
      </c>
      <c r="B523" s="1347" t="s">
        <v>4835</v>
      </c>
      <c r="C523" s="1348">
        <f>$Z$522</f>
        <v>2</v>
      </c>
      <c r="D523" s="1349">
        <v>42736</v>
      </c>
      <c r="E523" s="1349"/>
      <c r="F523" s="1347" t="s">
        <v>85</v>
      </c>
      <c r="G523" s="1347" t="s">
        <v>85</v>
      </c>
      <c r="H523" s="1347" t="s">
        <v>85</v>
      </c>
      <c r="I523" s="1347" t="s">
        <v>113</v>
      </c>
      <c r="J523" s="1349"/>
      <c r="K523" s="1349" t="s">
        <v>254</v>
      </c>
      <c r="L523" s="1350" t="s">
        <v>2661</v>
      </c>
      <c r="M523" s="1350" t="s">
        <v>3647</v>
      </c>
      <c r="N523" s="1351" t="s">
        <v>5011</v>
      </c>
      <c r="O523" s="1352" t="s">
        <v>5012</v>
      </c>
      <c r="P523" s="1352" t="s">
        <v>5013</v>
      </c>
      <c r="Q523" s="1353" t="s">
        <v>317</v>
      </c>
      <c r="R523" s="1353" t="s">
        <v>3658</v>
      </c>
      <c r="S523" s="1353" t="s">
        <v>307</v>
      </c>
      <c r="T523" s="1353" t="s">
        <v>113</v>
      </c>
      <c r="U523" s="1445"/>
      <c r="V523" s="1445"/>
      <c r="W523" s="1445"/>
      <c r="X523" s="1353">
        <v>43101</v>
      </c>
      <c r="Y523" s="1353">
        <v>43466</v>
      </c>
      <c r="Z523" s="1425"/>
      <c r="AA523" s="1355" t="s">
        <v>5097</v>
      </c>
      <c r="AB523" s="1394"/>
      <c r="AC523" s="1394"/>
      <c r="AD523" s="1356"/>
      <c r="AE523" s="1356"/>
      <c r="AF523" s="1357" t="str">
        <f t="shared" si="660"/>
        <v/>
      </c>
      <c r="AG523" s="1358">
        <f t="shared" si="663"/>
        <v>2007.58</v>
      </c>
      <c r="AH523" s="1358">
        <v>24090.959999999999</v>
      </c>
      <c r="AI523" s="1359">
        <v>0.08</v>
      </c>
      <c r="AJ523" s="1360">
        <f t="shared" ref="AJ523:AJ528" si="728">$AI523*$AG523</f>
        <v>160.60640000000001</v>
      </c>
      <c r="AK523" s="1361">
        <f>AI523*$AH523</f>
        <v>1927.2767999999999</v>
      </c>
      <c r="AL523" s="1362">
        <v>5.0000000000000001E-3</v>
      </c>
      <c r="AM523" s="1363">
        <f>AL523*$AH523</f>
        <v>120.45479999999999</v>
      </c>
      <c r="AN523" s="1364">
        <v>0</v>
      </c>
      <c r="AO523" s="1365">
        <f>AN523*$AH523</f>
        <v>0</v>
      </c>
      <c r="AP523" s="1366">
        <v>0</v>
      </c>
      <c r="AQ523" s="1367">
        <f>AP523*$AH523</f>
        <v>0</v>
      </c>
      <c r="AR523" s="1368">
        <v>0</v>
      </c>
      <c r="AS523" s="1369">
        <f>AR523*$AH523</f>
        <v>0</v>
      </c>
      <c r="AT523" s="1370">
        <v>7.4999999999999997E-2</v>
      </c>
      <c r="AU523" s="1371">
        <f>AT523*$AH523</f>
        <v>1806.8219999999999</v>
      </c>
      <c r="AV523" s="1359">
        <f>AZ523-AR523-AT523-AP523</f>
        <v>0</v>
      </c>
      <c r="AW523" s="1372">
        <f>AV523*$AH523</f>
        <v>0</v>
      </c>
      <c r="AX523" s="1373">
        <f>$AZ523-$AP523</f>
        <v>7.4999999999999997E-2</v>
      </c>
      <c r="AY523" s="1374">
        <f>AX523*$AH523</f>
        <v>1806.8219999999999</v>
      </c>
      <c r="AZ523" s="1375">
        <f>$AI523-$AL523-$AN523</f>
        <v>7.4999999999999997E-2</v>
      </c>
      <c r="BA523" s="1376">
        <f>AZ523*$AH523</f>
        <v>1806.8219999999999</v>
      </c>
      <c r="BB523" s="1377"/>
      <c r="BC523" s="1819" t="s">
        <v>143</v>
      </c>
      <c r="BD523" s="1819" t="s">
        <v>144</v>
      </c>
      <c r="BE523" s="1822" t="s">
        <v>144</v>
      </c>
      <c r="BF523" s="1825" t="s">
        <v>5091</v>
      </c>
      <c r="BG523" s="1828">
        <v>475205835</v>
      </c>
    </row>
    <row r="524" spans="1:59" s="1396" customFormat="1" ht="25.5">
      <c r="A524" s="1347" t="str">
        <f>$L$522</f>
        <v>INmune Bio, Inc.</v>
      </c>
      <c r="B524" s="1347" t="s">
        <v>4835</v>
      </c>
      <c r="C524" s="1348">
        <f>$Z$522</f>
        <v>2</v>
      </c>
      <c r="D524" s="1349">
        <v>42736</v>
      </c>
      <c r="E524" s="1349"/>
      <c r="F524" s="1347" t="s">
        <v>72</v>
      </c>
      <c r="G524" s="1347" t="s">
        <v>85</v>
      </c>
      <c r="H524" s="1347" t="s">
        <v>72</v>
      </c>
      <c r="I524" s="1347" t="s">
        <v>72</v>
      </c>
      <c r="J524" s="1349" t="s">
        <v>4670</v>
      </c>
      <c r="K524" s="1349" t="s">
        <v>254</v>
      </c>
      <c r="L524" s="1350" t="s">
        <v>4671</v>
      </c>
      <c r="M524" s="1350" t="s">
        <v>3649</v>
      </c>
      <c r="N524" s="1379" t="s">
        <v>4820</v>
      </c>
      <c r="O524" s="1352" t="s">
        <v>5098</v>
      </c>
      <c r="P524" s="1352"/>
      <c r="Q524" s="1445"/>
      <c r="R524" s="1445"/>
      <c r="S524" s="1445"/>
      <c r="T524" s="1445"/>
      <c r="U524" s="1445"/>
      <c r="V524" s="1445"/>
      <c r="W524" s="1445"/>
      <c r="X524" s="1353">
        <v>43101</v>
      </c>
      <c r="Y524" s="1353">
        <v>43466</v>
      </c>
      <c r="Z524" s="1425"/>
      <c r="AA524" s="1355" t="s">
        <v>4674</v>
      </c>
      <c r="AB524" s="1394"/>
      <c r="AC524" s="1394"/>
      <c r="AD524" s="1356"/>
      <c r="AE524" s="1356"/>
      <c r="AF524" s="1357" t="str">
        <f t="shared" si="660"/>
        <v/>
      </c>
      <c r="AG524" s="1380"/>
      <c r="AH524" s="1380"/>
      <c r="AI524" s="1381">
        <v>0</v>
      </c>
      <c r="AJ524" s="1382">
        <f t="shared" si="728"/>
        <v>0</v>
      </c>
      <c r="AK524" s="1383">
        <f>AI524*$AH524</f>
        <v>0</v>
      </c>
      <c r="AL524" s="1384">
        <v>0</v>
      </c>
      <c r="AM524" s="1363">
        <f>AL524*$AH524</f>
        <v>0</v>
      </c>
      <c r="AN524" s="1364">
        <v>0</v>
      </c>
      <c r="AO524" s="1365">
        <f>AN524*$AH524</f>
        <v>0</v>
      </c>
      <c r="AP524" s="1366">
        <v>0</v>
      </c>
      <c r="AQ524" s="1367">
        <f>AP524*$AH524</f>
        <v>0</v>
      </c>
      <c r="AR524" s="1368">
        <v>0</v>
      </c>
      <c r="AS524" s="1369">
        <f>AR524*$AH524</f>
        <v>0</v>
      </c>
      <c r="AT524" s="1370">
        <v>0</v>
      </c>
      <c r="AU524" s="1371">
        <f>AT524*$AH524</f>
        <v>0</v>
      </c>
      <c r="AV524" s="1359">
        <f>AZ524-AR524-AT524-AP524</f>
        <v>0</v>
      </c>
      <c r="AW524" s="1372">
        <f>AV524*$AH524</f>
        <v>0</v>
      </c>
      <c r="AX524" s="1373">
        <f>$AZ524-$AP524</f>
        <v>0</v>
      </c>
      <c r="AY524" s="1374">
        <f>AX524*$AH524</f>
        <v>0</v>
      </c>
      <c r="AZ524" s="1375">
        <f>$AI524-$AL524-$AN524</f>
        <v>0</v>
      </c>
      <c r="BA524" s="1376">
        <f>AZ524*$AH524</f>
        <v>0</v>
      </c>
      <c r="BB524" s="1377"/>
      <c r="BC524" s="1820"/>
      <c r="BD524" s="1820"/>
      <c r="BE524" s="1823"/>
      <c r="BF524" s="1826"/>
      <c r="BG524" s="1829"/>
    </row>
    <row r="525" spans="1:59" s="1378" customFormat="1" ht="27.75" customHeight="1">
      <c r="A525" s="1347" t="s">
        <v>142</v>
      </c>
      <c r="B525" s="1348" t="s">
        <v>4835</v>
      </c>
      <c r="C525" s="1348">
        <v>2</v>
      </c>
      <c r="D525" s="1349">
        <v>42736</v>
      </c>
      <c r="E525" s="1349"/>
      <c r="F525" s="1347" t="s">
        <v>72</v>
      </c>
      <c r="G525" s="1347" t="s">
        <v>85</v>
      </c>
      <c r="H525" s="1347" t="s">
        <v>72</v>
      </c>
      <c r="I525" s="1347" t="s">
        <v>72</v>
      </c>
      <c r="J525" s="1349" t="s">
        <v>4670</v>
      </c>
      <c r="K525" s="1349" t="s">
        <v>254</v>
      </c>
      <c r="L525" s="1350" t="s">
        <v>4696</v>
      </c>
      <c r="M525" s="1350" t="s">
        <v>4697</v>
      </c>
      <c r="N525" s="1389" t="s">
        <v>4698</v>
      </c>
      <c r="O525" s="1352" t="s">
        <v>4699</v>
      </c>
      <c r="P525" s="1352"/>
      <c r="Q525" s="1354"/>
      <c r="R525" s="1354"/>
      <c r="S525" s="1354"/>
      <c r="T525" s="1354"/>
      <c r="U525" s="1354"/>
      <c r="V525" s="1354"/>
      <c r="W525" s="1354"/>
      <c r="X525" s="1353">
        <v>43101</v>
      </c>
      <c r="Y525" s="1353">
        <v>43466</v>
      </c>
      <c r="Z525" s="1355"/>
      <c r="AA525" s="1355" t="s">
        <v>4674</v>
      </c>
      <c r="AB525" s="1356"/>
      <c r="AC525" s="1356"/>
      <c r="AD525" s="1356"/>
      <c r="AE525" s="1356"/>
      <c r="AF525" s="1357" t="str">
        <f t="shared" si="660"/>
        <v/>
      </c>
      <c r="AG525" s="1380"/>
      <c r="AH525" s="1380"/>
      <c r="AI525" s="1381">
        <v>0</v>
      </c>
      <c r="AJ525" s="1382">
        <f t="shared" si="728"/>
        <v>0</v>
      </c>
      <c r="AK525" s="1383">
        <f t="shared" ref="AK525" si="729">AI525*$AH525</f>
        <v>0</v>
      </c>
      <c r="AL525" s="1384">
        <v>0</v>
      </c>
      <c r="AM525" s="1363">
        <f t="shared" ref="AM525" si="730">AL525*$AH525</f>
        <v>0</v>
      </c>
      <c r="AN525" s="1364">
        <v>0</v>
      </c>
      <c r="AO525" s="1365">
        <f t="shared" ref="AO525" si="731">AN525*$AH525</f>
        <v>0</v>
      </c>
      <c r="AP525" s="1366">
        <v>0</v>
      </c>
      <c r="AQ525" s="1367">
        <f t="shared" ref="AQ525" si="732">AP525*$AH525</f>
        <v>0</v>
      </c>
      <c r="AR525" s="1368">
        <v>0</v>
      </c>
      <c r="AS525" s="1369">
        <f t="shared" ref="AS525" si="733">AR525*$AH525</f>
        <v>0</v>
      </c>
      <c r="AT525" s="1370">
        <v>0</v>
      </c>
      <c r="AU525" s="1371">
        <f t="shared" ref="AU525" si="734">AT525*$AH525</f>
        <v>0</v>
      </c>
      <c r="AV525" s="1359">
        <f t="shared" ref="AV525" si="735">AZ525-AR525-AT525-AP525</f>
        <v>0</v>
      </c>
      <c r="AW525" s="1372">
        <f t="shared" ref="AW525" si="736">AV525*$AH525</f>
        <v>0</v>
      </c>
      <c r="AX525" s="1373">
        <f t="shared" ref="AX525" si="737">$AZ525-$AP525</f>
        <v>0</v>
      </c>
      <c r="AY525" s="1374">
        <f t="shared" ref="AY525" si="738">AX525*$AH525</f>
        <v>0</v>
      </c>
      <c r="AZ525" s="1375">
        <f t="shared" ref="AZ525" si="739">$AI525-$AL525-$AN525</f>
        <v>0</v>
      </c>
      <c r="BA525" s="1376">
        <f t="shared" ref="BA525" si="740">AZ525*$AH525</f>
        <v>0</v>
      </c>
      <c r="BB525" s="1377"/>
      <c r="BC525" s="1820"/>
      <c r="BD525" s="1820"/>
      <c r="BE525" s="1823"/>
      <c r="BF525" s="1826"/>
      <c r="BG525" s="1829"/>
    </row>
    <row r="526" spans="1:59" s="1396" customFormat="1" ht="25.5">
      <c r="A526" s="1347" t="str">
        <f>$L$522</f>
        <v>INmune Bio, Inc.</v>
      </c>
      <c r="B526" s="1347" t="s">
        <v>4835</v>
      </c>
      <c r="C526" s="1348">
        <f>$Z$522</f>
        <v>2</v>
      </c>
      <c r="D526" s="1349">
        <v>42736</v>
      </c>
      <c r="E526" s="1349"/>
      <c r="F526" s="1347" t="s">
        <v>72</v>
      </c>
      <c r="G526" s="1347" t="s">
        <v>85</v>
      </c>
      <c r="H526" s="1347" t="s">
        <v>72</v>
      </c>
      <c r="I526" s="1347" t="s">
        <v>72</v>
      </c>
      <c r="J526" s="1349" t="s">
        <v>4670</v>
      </c>
      <c r="K526" s="1349" t="s">
        <v>254</v>
      </c>
      <c r="L526" s="1350" t="s">
        <v>48</v>
      </c>
      <c r="M526" s="1350" t="s">
        <v>253</v>
      </c>
      <c r="N526" s="1390" t="s">
        <v>4703</v>
      </c>
      <c r="O526" s="1352" t="s">
        <v>4704</v>
      </c>
      <c r="P526" s="1352"/>
      <c r="Q526" s="1445"/>
      <c r="R526" s="1445"/>
      <c r="S526" s="1445"/>
      <c r="T526" s="1445"/>
      <c r="U526" s="1445"/>
      <c r="V526" s="1445"/>
      <c r="W526" s="1445"/>
      <c r="X526" s="1353">
        <v>43101</v>
      </c>
      <c r="Y526" s="1353">
        <v>43466</v>
      </c>
      <c r="Z526" s="1425"/>
      <c r="AA526" s="1355" t="s">
        <v>4674</v>
      </c>
      <c r="AB526" s="1394"/>
      <c r="AC526" s="1394"/>
      <c r="AD526" s="1356"/>
      <c r="AE526" s="1356"/>
      <c r="AF526" s="1357" t="str">
        <f t="shared" si="660"/>
        <v/>
      </c>
      <c r="AG526" s="1380"/>
      <c r="AH526" s="1380"/>
      <c r="AI526" s="1381">
        <v>0</v>
      </c>
      <c r="AJ526" s="1382">
        <f t="shared" si="728"/>
        <v>0</v>
      </c>
      <c r="AK526" s="1383">
        <f>AI526*$AH526</f>
        <v>0</v>
      </c>
      <c r="AL526" s="1384">
        <v>0</v>
      </c>
      <c r="AM526" s="1363">
        <f>AL526*$AH526</f>
        <v>0</v>
      </c>
      <c r="AN526" s="1364">
        <v>0</v>
      </c>
      <c r="AO526" s="1365">
        <f>AN526*$AH526</f>
        <v>0</v>
      </c>
      <c r="AP526" s="1366">
        <v>0</v>
      </c>
      <c r="AQ526" s="1367">
        <f>AP526*$AH526</f>
        <v>0</v>
      </c>
      <c r="AR526" s="1368">
        <v>0</v>
      </c>
      <c r="AS526" s="1369">
        <f>AR526*$AH526</f>
        <v>0</v>
      </c>
      <c r="AT526" s="1370">
        <v>0</v>
      </c>
      <c r="AU526" s="1371">
        <f>AT526*$AH526</f>
        <v>0</v>
      </c>
      <c r="AV526" s="1359">
        <f>AZ526-AR526-AT526-AP526</f>
        <v>0</v>
      </c>
      <c r="AW526" s="1372">
        <f>AV526*$AH526</f>
        <v>0</v>
      </c>
      <c r="AX526" s="1373">
        <f>$AZ526-$AP526</f>
        <v>0</v>
      </c>
      <c r="AY526" s="1374">
        <f>AX526*$AH526</f>
        <v>0</v>
      </c>
      <c r="AZ526" s="1375">
        <f>$AI526-$AL526-$AN526</f>
        <v>0</v>
      </c>
      <c r="BA526" s="1376">
        <f>AZ526*$AH526</f>
        <v>0</v>
      </c>
      <c r="BB526" s="1377"/>
      <c r="BC526" s="1820"/>
      <c r="BD526" s="1820"/>
      <c r="BE526" s="1823"/>
      <c r="BF526" s="1826"/>
      <c r="BG526" s="1829"/>
    </row>
    <row r="527" spans="1:59" s="1396" customFormat="1" ht="25.5">
      <c r="A527" s="1347" t="str">
        <f>$L$522</f>
        <v>INmune Bio, Inc.</v>
      </c>
      <c r="B527" s="1347" t="s">
        <v>4835</v>
      </c>
      <c r="C527" s="1348">
        <f t="shared" ref="C527" si="741">$Z$510</f>
        <v>11</v>
      </c>
      <c r="D527" s="1349">
        <v>42736</v>
      </c>
      <c r="E527" s="1349"/>
      <c r="F527" s="1347" t="s">
        <v>72</v>
      </c>
      <c r="G527" s="1347" t="s">
        <v>85</v>
      </c>
      <c r="H527" s="1347" t="s">
        <v>72</v>
      </c>
      <c r="I527" s="1347" t="s">
        <v>113</v>
      </c>
      <c r="J527" s="1349" t="s">
        <v>4670</v>
      </c>
      <c r="K527" s="1349" t="s">
        <v>254</v>
      </c>
      <c r="L527" s="1350" t="s">
        <v>49</v>
      </c>
      <c r="M527" s="1350" t="s">
        <v>4705</v>
      </c>
      <c r="N527" s="1390" t="s">
        <v>4784</v>
      </c>
      <c r="O527" s="1352" t="s">
        <v>4707</v>
      </c>
      <c r="P527" s="1352"/>
      <c r="Q527" s="1354"/>
      <c r="R527" s="1354"/>
      <c r="S527" s="1354"/>
      <c r="T527" s="1354"/>
      <c r="U527" s="1354"/>
      <c r="V527" s="1354"/>
      <c r="W527" s="1354"/>
      <c r="X527" s="1353">
        <v>43101</v>
      </c>
      <c r="Y527" s="1353">
        <v>43466</v>
      </c>
      <c r="Z527" s="1355"/>
      <c r="AA527" s="1355" t="s">
        <v>4674</v>
      </c>
      <c r="AB527" s="1356"/>
      <c r="AC527" s="1356"/>
      <c r="AD527" s="1356"/>
      <c r="AE527" s="1356"/>
      <c r="AF527" s="1357" t="str">
        <f t="shared" si="660"/>
        <v/>
      </c>
      <c r="AG527" s="1380"/>
      <c r="AH527" s="1380"/>
      <c r="AI527" s="1381">
        <v>0</v>
      </c>
      <c r="AJ527" s="1382">
        <f t="shared" si="728"/>
        <v>0</v>
      </c>
      <c r="AK527" s="1383">
        <f>AI527*$AH527</f>
        <v>0</v>
      </c>
      <c r="AL527" s="1384">
        <v>0</v>
      </c>
      <c r="AM527" s="1363">
        <f>AL527*$AH527</f>
        <v>0</v>
      </c>
      <c r="AN527" s="1364">
        <v>0</v>
      </c>
      <c r="AO527" s="1365">
        <f>AN527*$AH527</f>
        <v>0</v>
      </c>
      <c r="AP527" s="1366">
        <v>0</v>
      </c>
      <c r="AQ527" s="1367">
        <f>AP527*$AH527</f>
        <v>0</v>
      </c>
      <c r="AR527" s="1368">
        <v>0</v>
      </c>
      <c r="AS527" s="1369">
        <f>AR527*$AH527</f>
        <v>0</v>
      </c>
      <c r="AT527" s="1370">
        <v>0</v>
      </c>
      <c r="AU527" s="1371">
        <f>AT527*$AH527</f>
        <v>0</v>
      </c>
      <c r="AV527" s="1359">
        <f>AZ527-AR527-AT527-AP527</f>
        <v>0</v>
      </c>
      <c r="AW527" s="1372">
        <f>AV527*$AH527</f>
        <v>0</v>
      </c>
      <c r="AX527" s="1373">
        <f>$AZ527-$AP527</f>
        <v>0</v>
      </c>
      <c r="AY527" s="1374">
        <f>AX527*$AH527</f>
        <v>0</v>
      </c>
      <c r="AZ527" s="1375">
        <f>$AI527-$AL527-$AN527</f>
        <v>0</v>
      </c>
      <c r="BA527" s="1376">
        <f>AZ527*$AH527</f>
        <v>0</v>
      </c>
      <c r="BB527" s="1377"/>
      <c r="BC527" s="1820"/>
      <c r="BD527" s="1820"/>
      <c r="BE527" s="1823"/>
      <c r="BF527" s="1826"/>
      <c r="BG527" s="1829"/>
    </row>
    <row r="528" spans="1:59" s="1378" customFormat="1" ht="21.75" customHeight="1">
      <c r="A528" s="1347" t="str">
        <f>$L$522</f>
        <v>INmune Bio, Inc.</v>
      </c>
      <c r="B528" s="1348" t="str">
        <f>B527</f>
        <v>Duenas</v>
      </c>
      <c r="C528" s="1348">
        <f>C527</f>
        <v>11</v>
      </c>
      <c r="D528" s="1349">
        <v>42736</v>
      </c>
      <c r="E528" s="1349"/>
      <c r="F528" s="1347" t="s">
        <v>72</v>
      </c>
      <c r="G528" s="1347" t="s">
        <v>85</v>
      </c>
      <c r="H528" s="1347" t="s">
        <v>72</v>
      </c>
      <c r="I528" s="1347" t="s">
        <v>72</v>
      </c>
      <c r="J528" s="1349" t="s">
        <v>4670</v>
      </c>
      <c r="K528" s="1349" t="s">
        <v>254</v>
      </c>
      <c r="L528" s="1350" t="s">
        <v>3056</v>
      </c>
      <c r="M528" s="1350" t="s">
        <v>4708</v>
      </c>
      <c r="N528" s="1390" t="s">
        <v>4709</v>
      </c>
      <c r="O528" s="1352" t="s">
        <v>4710</v>
      </c>
      <c r="P528" s="1352"/>
      <c r="Q528" s="1354"/>
      <c r="R528" s="1354"/>
      <c r="S528" s="1354"/>
      <c r="T528" s="1354"/>
      <c r="U528" s="1354"/>
      <c r="V528" s="1354"/>
      <c r="W528" s="1354"/>
      <c r="X528" s="1353">
        <v>43101</v>
      </c>
      <c r="Y528" s="1353">
        <v>43466</v>
      </c>
      <c r="Z528" s="1355"/>
      <c r="AA528" s="1355" t="s">
        <v>4674</v>
      </c>
      <c r="AB528" s="1356"/>
      <c r="AC528" s="1356"/>
      <c r="AD528" s="1356"/>
      <c r="AE528" s="1356"/>
      <c r="AF528" s="1357" t="str">
        <f t="shared" si="660"/>
        <v/>
      </c>
      <c r="AG528" s="1380"/>
      <c r="AH528" s="1380"/>
      <c r="AI528" s="1381">
        <v>0</v>
      </c>
      <c r="AJ528" s="1382">
        <f t="shared" si="728"/>
        <v>0</v>
      </c>
      <c r="AK528" s="1383">
        <f t="shared" ref="AK528" si="742">AI528*$AH528</f>
        <v>0</v>
      </c>
      <c r="AL528" s="1384">
        <v>0</v>
      </c>
      <c r="AM528" s="1363">
        <f t="shared" ref="AM528" si="743">AL528*$AH528</f>
        <v>0</v>
      </c>
      <c r="AN528" s="1364">
        <v>0</v>
      </c>
      <c r="AO528" s="1365">
        <f t="shared" ref="AO528" si="744">AN528*$AH528</f>
        <v>0</v>
      </c>
      <c r="AP528" s="1366">
        <v>0</v>
      </c>
      <c r="AQ528" s="1367">
        <f t="shared" ref="AQ528" si="745">AP528*$AH528</f>
        <v>0</v>
      </c>
      <c r="AR528" s="1368">
        <v>0</v>
      </c>
      <c r="AS528" s="1369">
        <f t="shared" ref="AS528" si="746">AR528*$AH528</f>
        <v>0</v>
      </c>
      <c r="AT528" s="1370">
        <v>0</v>
      </c>
      <c r="AU528" s="1371">
        <f t="shared" ref="AU528" si="747">AT528*$AH528</f>
        <v>0</v>
      </c>
      <c r="AV528" s="1359">
        <f t="shared" ref="AV528" si="748">AZ528-AR528-AT528-AP528</f>
        <v>0</v>
      </c>
      <c r="AW528" s="1372">
        <f t="shared" ref="AW528" si="749">AV528*$AH528</f>
        <v>0</v>
      </c>
      <c r="AX528" s="1373">
        <f t="shared" ref="AX528" si="750">$AZ528-$AP528</f>
        <v>0</v>
      </c>
      <c r="AY528" s="1374">
        <f t="shared" ref="AY528" si="751">AX528*$AH528</f>
        <v>0</v>
      </c>
      <c r="AZ528" s="1375">
        <f t="shared" ref="AZ528" si="752">$AI528-$AL528-$AN528</f>
        <v>0</v>
      </c>
      <c r="BA528" s="1376">
        <f t="shared" ref="BA528" si="753">AZ528*$AH528</f>
        <v>0</v>
      </c>
      <c r="BB528" s="1391"/>
      <c r="BC528" s="1821"/>
      <c r="BD528" s="1821"/>
      <c r="BE528" s="1824"/>
      <c r="BF528" s="1827"/>
      <c r="BG528" s="1830"/>
    </row>
    <row r="529" spans="1:59" s="1315" customFormat="1" ht="38.25">
      <c r="A529" s="1277" t="str">
        <f>L529</f>
        <v>January Therapeutics, Inc.</v>
      </c>
      <c r="B529" s="1277" t="s">
        <v>4835</v>
      </c>
      <c r="C529" s="1316">
        <f>Z529</f>
        <v>3</v>
      </c>
      <c r="D529" s="1317">
        <v>42979</v>
      </c>
      <c r="E529" s="1317"/>
      <c r="F529" s="1277" t="s">
        <v>72</v>
      </c>
      <c r="G529" s="1277" t="s">
        <v>72</v>
      </c>
      <c r="H529" s="1277" t="s">
        <v>72</v>
      </c>
      <c r="I529" s="1277" t="s">
        <v>4711</v>
      </c>
      <c r="J529" s="1317"/>
      <c r="K529" s="1317"/>
      <c r="L529" s="1452" t="s">
        <v>262</v>
      </c>
      <c r="M529" s="1453"/>
      <c r="N529" s="1427" t="s">
        <v>4835</v>
      </c>
      <c r="O529" s="1419" t="s">
        <v>2474</v>
      </c>
      <c r="P529" s="1419"/>
      <c r="Q529" s="1322"/>
      <c r="R529" s="1322"/>
      <c r="S529" s="1322"/>
      <c r="T529" s="1322"/>
      <c r="U529" s="1322"/>
      <c r="V529" s="1322"/>
      <c r="W529" s="1322"/>
      <c r="X529" s="1317">
        <v>43101</v>
      </c>
      <c r="Y529" s="1317">
        <v>43466</v>
      </c>
      <c r="Z529" s="1316">
        <v>3</v>
      </c>
      <c r="AA529" s="1316" t="s">
        <v>5099</v>
      </c>
      <c r="AB529" s="1454">
        <f>SUM(AB530:AB540)</f>
        <v>0</v>
      </c>
      <c r="AC529" s="1454">
        <f>SUM(AC530:AC540)</f>
        <v>0</v>
      </c>
      <c r="AD529" s="1454">
        <f>SUM(AD530:AD540)</f>
        <v>0</v>
      </c>
      <c r="AE529" s="1324">
        <f t="shared" ref="AE529" si="754">AD529-AB529</f>
        <v>0</v>
      </c>
      <c r="AF529" s="1325" t="str">
        <f t="shared" si="660"/>
        <v/>
      </c>
      <c r="AG529" s="1455">
        <f t="shared" si="663"/>
        <v>4853.1283333333331</v>
      </c>
      <c r="AH529" s="1455">
        <f>SUM(AH530:AH540)</f>
        <v>58237.54</v>
      </c>
      <c r="AI529" s="1339" t="s">
        <v>4984</v>
      </c>
      <c r="AJ529" s="1328">
        <f>SUM(AJ530:AJ540)</f>
        <v>412.55765000000002</v>
      </c>
      <c r="AK529" s="1328">
        <f>SUM(AK530:AK540)</f>
        <v>4950.6918000000005</v>
      </c>
      <c r="AL529" s="1329"/>
      <c r="AM529" s="1330">
        <f>SUM(AM530:AM540)</f>
        <v>236.44980000000001</v>
      </c>
      <c r="AN529" s="1331"/>
      <c r="AO529" s="1332">
        <f>SUM(AO530:AO540)</f>
        <v>0</v>
      </c>
      <c r="AP529" s="1333"/>
      <c r="AQ529" s="1334">
        <f>SUM(AQ530:AQ540)</f>
        <v>0</v>
      </c>
      <c r="AR529" s="1335"/>
      <c r="AS529" s="1336">
        <f>SUM(AS530:AS540)</f>
        <v>0</v>
      </c>
      <c r="AT529" s="1337"/>
      <c r="AU529" s="1338">
        <f>SUM(AU530:AU540)</f>
        <v>2349.7439999999997</v>
      </c>
      <c r="AV529" s="1339"/>
      <c r="AW529" s="1340">
        <f>SUM(AW530:AW540)</f>
        <v>2364.4979999999996</v>
      </c>
      <c r="AX529" s="1306"/>
      <c r="AY529" s="1307">
        <f>SUM(AW529+AS529+AU529)</f>
        <v>4714.2419999999993</v>
      </c>
      <c r="AZ529" s="1308"/>
      <c r="BA529" s="1309">
        <f>SUM(AY529+AQ529)</f>
        <v>4714.2419999999993</v>
      </c>
      <c r="BB529" s="1342">
        <f>(AW529+AU529)/(AK529-AM529)</f>
        <v>0.99999999999999978</v>
      </c>
      <c r="BC529" s="1343"/>
      <c r="BD529" s="1343"/>
      <c r="BE529" s="1344"/>
      <c r="BF529" s="1428" t="s">
        <v>5087</v>
      </c>
      <c r="BG529" s="1346"/>
    </row>
    <row r="530" spans="1:59" s="1378" customFormat="1" ht="38.25">
      <c r="A530" s="1347" t="str">
        <f>$A$529</f>
        <v>January Therapeutics, Inc.</v>
      </c>
      <c r="B530" s="1347" t="s">
        <v>4835</v>
      </c>
      <c r="C530" s="1348">
        <f>$C$529</f>
        <v>3</v>
      </c>
      <c r="D530" s="1349">
        <v>42979</v>
      </c>
      <c r="E530" s="1349"/>
      <c r="F530" s="1347" t="s">
        <v>85</v>
      </c>
      <c r="G530" s="1347" t="s">
        <v>85</v>
      </c>
      <c r="H530" s="1347" t="s">
        <v>85</v>
      </c>
      <c r="I530" s="1347" t="s">
        <v>113</v>
      </c>
      <c r="J530" s="1349"/>
      <c r="K530" s="1349" t="s">
        <v>254</v>
      </c>
      <c r="L530" s="1350" t="s">
        <v>2661</v>
      </c>
      <c r="M530" s="1350" t="s">
        <v>3647</v>
      </c>
      <c r="N530" s="1351" t="s">
        <v>5100</v>
      </c>
      <c r="O530" s="1352" t="s">
        <v>4914</v>
      </c>
      <c r="P530" s="1352" t="s">
        <v>4829</v>
      </c>
      <c r="Q530" s="1353" t="s">
        <v>317</v>
      </c>
      <c r="R530" s="1353" t="s">
        <v>3656</v>
      </c>
      <c r="S530" s="1353" t="s">
        <v>307</v>
      </c>
      <c r="T530" s="1353" t="s">
        <v>113</v>
      </c>
      <c r="U530" s="1354"/>
      <c r="V530" s="1354"/>
      <c r="W530" s="1354"/>
      <c r="X530" s="1353">
        <v>43101</v>
      </c>
      <c r="Y530" s="1353">
        <v>43466</v>
      </c>
      <c r="Z530" s="1355"/>
      <c r="AA530" s="1355" t="s">
        <v>5097</v>
      </c>
      <c r="AB530" s="1356"/>
      <c r="AC530" s="1356"/>
      <c r="AD530" s="1356"/>
      <c r="AE530" s="1356"/>
      <c r="AF530" s="1357"/>
      <c r="AG530" s="1358">
        <f t="shared" si="663"/>
        <v>3940.83</v>
      </c>
      <c r="AH530" s="1358">
        <v>47289.96</v>
      </c>
      <c r="AI530" s="1359">
        <v>0.08</v>
      </c>
      <c r="AJ530" s="1360">
        <f t="shared" ref="AJ530:AJ540" si="755">$AI530*$AG530</f>
        <v>315.26639999999998</v>
      </c>
      <c r="AK530" s="1361">
        <f t="shared" ref="AK530:AK540" si="756">AI530*$AH530</f>
        <v>3783.1968000000002</v>
      </c>
      <c r="AL530" s="1384">
        <v>5.0000000000000001E-3</v>
      </c>
      <c r="AM530" s="1363">
        <f t="shared" ref="AM530:AM540" si="757">AL530*$AH530</f>
        <v>236.44980000000001</v>
      </c>
      <c r="AN530" s="1364">
        <v>0</v>
      </c>
      <c r="AO530" s="1365">
        <f t="shared" ref="AO530:AO540" si="758">AN530*$AH530</f>
        <v>0</v>
      </c>
      <c r="AP530" s="1366">
        <v>0</v>
      </c>
      <c r="AQ530" s="1367">
        <f t="shared" ref="AQ530:AQ540" si="759">AP530*$AH530</f>
        <v>0</v>
      </c>
      <c r="AR530" s="1368">
        <v>0</v>
      </c>
      <c r="AS530" s="1369">
        <f t="shared" ref="AS530:AS540" si="760">AR530*$AH530</f>
        <v>0</v>
      </c>
      <c r="AT530" s="1370">
        <v>2.5000000000000001E-2</v>
      </c>
      <c r="AU530" s="1371">
        <f t="shared" ref="AU530:AU540" si="761">AT530*$AH530</f>
        <v>1182.249</v>
      </c>
      <c r="AV530" s="1359">
        <f t="shared" ref="AV530:AV538" si="762">AZ530-AR530-AT530-AP530</f>
        <v>4.9999999999999996E-2</v>
      </c>
      <c r="AW530" s="1372">
        <f t="shared" ref="AW530:AW540" si="763">AV530*$AH530</f>
        <v>2364.4979999999996</v>
      </c>
      <c r="AX530" s="1373">
        <f t="shared" ref="AX530:AX540" si="764">$AZ530-$AP530</f>
        <v>7.4999999999999997E-2</v>
      </c>
      <c r="AY530" s="1374">
        <f t="shared" ref="AY530:AY540" si="765">AX530*$AH530</f>
        <v>3546.7469999999998</v>
      </c>
      <c r="AZ530" s="1375">
        <f t="shared" ref="AZ530:AZ540" si="766">$AI530-$AL530-$AN530</f>
        <v>7.4999999999999997E-2</v>
      </c>
      <c r="BA530" s="1376">
        <f t="shared" ref="BA530:BA540" si="767">AZ530*$AH530</f>
        <v>3546.7469999999998</v>
      </c>
      <c r="BB530" s="1377"/>
      <c r="BC530" s="1820" t="s">
        <v>267</v>
      </c>
      <c r="BD530" s="1820" t="s">
        <v>263</v>
      </c>
      <c r="BE530" s="1823" t="s">
        <v>264</v>
      </c>
      <c r="BF530" s="1826" t="s">
        <v>5091</v>
      </c>
      <c r="BG530" s="1829">
        <v>814147567</v>
      </c>
    </row>
    <row r="531" spans="1:59" s="1378" customFormat="1" ht="38.25">
      <c r="A531" s="1347" t="str">
        <f>$A$529</f>
        <v>January Therapeutics, Inc.</v>
      </c>
      <c r="B531" s="1347" t="s">
        <v>4835</v>
      </c>
      <c r="C531" s="1348">
        <f>$C$529</f>
        <v>3</v>
      </c>
      <c r="D531" s="1349">
        <v>42979</v>
      </c>
      <c r="E531" s="1349"/>
      <c r="F531" s="1347" t="s">
        <v>72</v>
      </c>
      <c r="G531" s="1347" t="s">
        <v>85</v>
      </c>
      <c r="H531" s="1347" t="s">
        <v>72</v>
      </c>
      <c r="I531" s="1347" t="s">
        <v>72</v>
      </c>
      <c r="J531" s="1349" t="s">
        <v>4670</v>
      </c>
      <c r="K531" s="1349" t="s">
        <v>254</v>
      </c>
      <c r="L531" s="1350" t="s">
        <v>4671</v>
      </c>
      <c r="M531" s="1350" t="s">
        <v>3649</v>
      </c>
      <c r="N531" s="1379" t="s">
        <v>4933</v>
      </c>
      <c r="O531" s="1352" t="s">
        <v>5101</v>
      </c>
      <c r="P531" s="1352"/>
      <c r="Q531" s="1354"/>
      <c r="R531" s="1354"/>
      <c r="S531" s="1354"/>
      <c r="T531" s="1354"/>
      <c r="U531" s="1354"/>
      <c r="V531" s="1354"/>
      <c r="W531" s="1354"/>
      <c r="X531" s="1353">
        <v>43101</v>
      </c>
      <c r="Y531" s="1353">
        <v>43466</v>
      </c>
      <c r="Z531" s="1355"/>
      <c r="AA531" s="1355" t="s">
        <v>4674</v>
      </c>
      <c r="AB531" s="1356"/>
      <c r="AC531" s="1356"/>
      <c r="AD531" s="1356"/>
      <c r="AE531" s="1356"/>
      <c r="AF531" s="1357" t="str">
        <f t="shared" si="660"/>
        <v/>
      </c>
      <c r="AG531" s="1380"/>
      <c r="AH531" s="1380"/>
      <c r="AI531" s="1381">
        <v>0</v>
      </c>
      <c r="AJ531" s="1382">
        <f t="shared" si="755"/>
        <v>0</v>
      </c>
      <c r="AK531" s="1383">
        <f t="shared" si="756"/>
        <v>0</v>
      </c>
      <c r="AL531" s="1384">
        <v>0</v>
      </c>
      <c r="AM531" s="1363">
        <f t="shared" si="757"/>
        <v>0</v>
      </c>
      <c r="AN531" s="1364">
        <v>0</v>
      </c>
      <c r="AO531" s="1365">
        <f t="shared" si="758"/>
        <v>0</v>
      </c>
      <c r="AP531" s="1366">
        <v>0</v>
      </c>
      <c r="AQ531" s="1367">
        <f t="shared" si="759"/>
        <v>0</v>
      </c>
      <c r="AR531" s="1368">
        <v>0</v>
      </c>
      <c r="AS531" s="1369">
        <f t="shared" si="760"/>
        <v>0</v>
      </c>
      <c r="AT531" s="1370">
        <v>0</v>
      </c>
      <c r="AU531" s="1371">
        <f t="shared" si="761"/>
        <v>0</v>
      </c>
      <c r="AV531" s="1359">
        <f t="shared" si="762"/>
        <v>0</v>
      </c>
      <c r="AW531" s="1372">
        <f t="shared" si="763"/>
        <v>0</v>
      </c>
      <c r="AX531" s="1373">
        <f t="shared" si="764"/>
        <v>0</v>
      </c>
      <c r="AY531" s="1374">
        <f t="shared" si="765"/>
        <v>0</v>
      </c>
      <c r="AZ531" s="1375">
        <f t="shared" si="766"/>
        <v>0</v>
      </c>
      <c r="BA531" s="1376">
        <f t="shared" si="767"/>
        <v>0</v>
      </c>
      <c r="BB531" s="1377"/>
      <c r="BC531" s="1820"/>
      <c r="BD531" s="1820"/>
      <c r="BE531" s="1823"/>
      <c r="BF531" s="1826"/>
      <c r="BG531" s="1829"/>
    </row>
    <row r="532" spans="1:59" s="1378" customFormat="1" ht="38.25" customHeight="1">
      <c r="A532" s="1347" t="str">
        <f>$A$529</f>
        <v>January Therapeutics, Inc.</v>
      </c>
      <c r="B532" s="1347" t="s">
        <v>4835</v>
      </c>
      <c r="C532" s="1348">
        <f>$C$529</f>
        <v>3</v>
      </c>
      <c r="D532" s="1349">
        <v>42979</v>
      </c>
      <c r="E532" s="1349"/>
      <c r="F532" s="1347" t="s">
        <v>113</v>
      </c>
      <c r="G532" s="1347" t="s">
        <v>85</v>
      </c>
      <c r="H532" s="1347" t="s">
        <v>85</v>
      </c>
      <c r="I532" s="1347" t="s">
        <v>113</v>
      </c>
      <c r="J532" s="1349"/>
      <c r="K532" s="1349" t="s">
        <v>254</v>
      </c>
      <c r="L532" s="1350" t="s">
        <v>4675</v>
      </c>
      <c r="M532" s="1350" t="s">
        <v>3650</v>
      </c>
      <c r="N532" s="1385" t="s">
        <v>5102</v>
      </c>
      <c r="O532" s="1352" t="s">
        <v>4677</v>
      </c>
      <c r="P532" s="1352"/>
      <c r="Q532" s="1354"/>
      <c r="R532" s="1354"/>
      <c r="S532" s="1354"/>
      <c r="T532" s="1354"/>
      <c r="U532" s="1353" t="s">
        <v>4802</v>
      </c>
      <c r="V532" s="1353" t="s">
        <v>2495</v>
      </c>
      <c r="W532" s="1354"/>
      <c r="X532" s="1353">
        <v>43101</v>
      </c>
      <c r="Y532" s="1353">
        <v>43466</v>
      </c>
      <c r="Z532" s="1355"/>
      <c r="AA532" s="1355" t="s">
        <v>4991</v>
      </c>
      <c r="AB532" s="1356"/>
      <c r="AC532" s="1356"/>
      <c r="AD532" s="1356"/>
      <c r="AE532" s="1356"/>
      <c r="AF532" s="1357"/>
      <c r="AG532" s="1358">
        <f t="shared" si="663"/>
        <v>708.87</v>
      </c>
      <c r="AH532" s="1358">
        <v>8506.44</v>
      </c>
      <c r="AI532" s="1359">
        <v>0.1</v>
      </c>
      <c r="AJ532" s="1360">
        <f t="shared" si="755"/>
        <v>70.887</v>
      </c>
      <c r="AK532" s="1361">
        <f t="shared" si="756"/>
        <v>850.64400000000012</v>
      </c>
      <c r="AL532" s="1384">
        <v>0</v>
      </c>
      <c r="AM532" s="1363">
        <f t="shared" si="757"/>
        <v>0</v>
      </c>
      <c r="AN532" s="1364">
        <v>0</v>
      </c>
      <c r="AO532" s="1365">
        <f t="shared" si="758"/>
        <v>0</v>
      </c>
      <c r="AP532" s="1366">
        <v>0</v>
      </c>
      <c r="AQ532" s="1367">
        <f t="shared" si="759"/>
        <v>0</v>
      </c>
      <c r="AR532" s="1368">
        <v>0</v>
      </c>
      <c r="AS532" s="1369">
        <f t="shared" si="760"/>
        <v>0</v>
      </c>
      <c r="AT532" s="1370">
        <v>0.1</v>
      </c>
      <c r="AU532" s="1371">
        <f t="shared" si="761"/>
        <v>850.64400000000012</v>
      </c>
      <c r="AV532" s="1359">
        <f t="shared" si="762"/>
        <v>0</v>
      </c>
      <c r="AW532" s="1372">
        <f t="shared" si="763"/>
        <v>0</v>
      </c>
      <c r="AX532" s="1373">
        <f t="shared" si="764"/>
        <v>0.1</v>
      </c>
      <c r="AY532" s="1374">
        <f t="shared" si="765"/>
        <v>850.64400000000012</v>
      </c>
      <c r="AZ532" s="1375">
        <f t="shared" si="766"/>
        <v>0.1</v>
      </c>
      <c r="BA532" s="1376">
        <f t="shared" si="767"/>
        <v>850.64400000000012</v>
      </c>
      <c r="BB532" s="1377"/>
      <c r="BC532" s="1820"/>
      <c r="BD532" s="1820"/>
      <c r="BE532" s="1823"/>
      <c r="BF532" s="1826"/>
      <c r="BG532" s="1829"/>
    </row>
    <row r="533" spans="1:59" s="1378" customFormat="1" ht="38.25" customHeight="1">
      <c r="A533" s="1347" t="str">
        <f>$A$529</f>
        <v>January Therapeutics, Inc.</v>
      </c>
      <c r="B533" s="1347" t="s">
        <v>4835</v>
      </c>
      <c r="C533" s="1348">
        <f>$C$529</f>
        <v>3</v>
      </c>
      <c r="D533" s="1349">
        <v>42979</v>
      </c>
      <c r="E533" s="1349"/>
      <c r="F533" s="1347" t="s">
        <v>113</v>
      </c>
      <c r="G533" s="1347" t="s">
        <v>85</v>
      </c>
      <c r="H533" s="1347" t="s">
        <v>85</v>
      </c>
      <c r="I533" s="1347" t="s">
        <v>113</v>
      </c>
      <c r="J533" s="1349"/>
      <c r="K533" s="1349" t="s">
        <v>254</v>
      </c>
      <c r="L533" s="1350" t="s">
        <v>4675</v>
      </c>
      <c r="M533" s="1350" t="s">
        <v>3651</v>
      </c>
      <c r="N533" s="1351" t="s">
        <v>5007</v>
      </c>
      <c r="O533" s="1352" t="s">
        <v>4681</v>
      </c>
      <c r="P533" s="1352"/>
      <c r="Q533" s="1354"/>
      <c r="R533" s="1354"/>
      <c r="S533" s="1354"/>
      <c r="T533" s="1354"/>
      <c r="U533" s="1354"/>
      <c r="V533" s="1354"/>
      <c r="W533" s="1353" t="s">
        <v>2492</v>
      </c>
      <c r="X533" s="1353">
        <v>43101</v>
      </c>
      <c r="Y533" s="1353">
        <v>43466</v>
      </c>
      <c r="Z533" s="1355"/>
      <c r="AA533" s="1355" t="s">
        <v>4991</v>
      </c>
      <c r="AB533" s="1356"/>
      <c r="AC533" s="1356"/>
      <c r="AD533" s="1356"/>
      <c r="AE533" s="1356"/>
      <c r="AF533" s="1357"/>
      <c r="AG533" s="1358">
        <f t="shared" si="663"/>
        <v>82.2</v>
      </c>
      <c r="AH533" s="1358">
        <v>986.4</v>
      </c>
      <c r="AI533" s="1359">
        <v>0.1</v>
      </c>
      <c r="AJ533" s="1360">
        <f t="shared" si="755"/>
        <v>8.2200000000000006</v>
      </c>
      <c r="AK533" s="1361">
        <f t="shared" si="756"/>
        <v>98.64</v>
      </c>
      <c r="AL533" s="1384">
        <v>0</v>
      </c>
      <c r="AM533" s="1363">
        <f t="shared" si="757"/>
        <v>0</v>
      </c>
      <c r="AN533" s="1364">
        <v>0</v>
      </c>
      <c r="AO533" s="1365">
        <f t="shared" si="758"/>
        <v>0</v>
      </c>
      <c r="AP533" s="1366">
        <v>0</v>
      </c>
      <c r="AQ533" s="1367">
        <f t="shared" si="759"/>
        <v>0</v>
      </c>
      <c r="AR533" s="1368">
        <v>0</v>
      </c>
      <c r="AS533" s="1369">
        <f t="shared" si="760"/>
        <v>0</v>
      </c>
      <c r="AT533" s="1370">
        <v>0.1</v>
      </c>
      <c r="AU533" s="1371">
        <f t="shared" si="761"/>
        <v>98.64</v>
      </c>
      <c r="AV533" s="1359">
        <f t="shared" si="762"/>
        <v>0</v>
      </c>
      <c r="AW533" s="1372">
        <f t="shared" si="763"/>
        <v>0</v>
      </c>
      <c r="AX533" s="1373">
        <f t="shared" si="764"/>
        <v>0.1</v>
      </c>
      <c r="AY533" s="1374">
        <f t="shared" si="765"/>
        <v>98.64</v>
      </c>
      <c r="AZ533" s="1375">
        <f t="shared" si="766"/>
        <v>0.1</v>
      </c>
      <c r="BA533" s="1376">
        <f t="shared" si="767"/>
        <v>98.64</v>
      </c>
      <c r="BB533" s="1377"/>
      <c r="BC533" s="1820"/>
      <c r="BD533" s="1820"/>
      <c r="BE533" s="1823"/>
      <c r="BF533" s="1826"/>
      <c r="BG533" s="1829"/>
    </row>
    <row r="534" spans="1:59" s="1378" customFormat="1" ht="38.25">
      <c r="A534" s="1347" t="str">
        <f>$A$529</f>
        <v>January Therapeutics, Inc.</v>
      </c>
      <c r="B534" s="1347" t="s">
        <v>4835</v>
      </c>
      <c r="C534" s="1348">
        <f>$C$529</f>
        <v>3</v>
      </c>
      <c r="D534" s="1349">
        <v>42979</v>
      </c>
      <c r="E534" s="1349"/>
      <c r="F534" s="1347" t="s">
        <v>113</v>
      </c>
      <c r="G534" s="1347" t="s">
        <v>85</v>
      </c>
      <c r="H534" s="1347" t="s">
        <v>85</v>
      </c>
      <c r="I534" s="1347" t="s">
        <v>113</v>
      </c>
      <c r="J534" s="1349"/>
      <c r="K534" s="1349" t="s">
        <v>254</v>
      </c>
      <c r="L534" s="1350" t="s">
        <v>4682</v>
      </c>
      <c r="M534" s="1350" t="s">
        <v>4683</v>
      </c>
      <c r="N534" s="1386" t="s">
        <v>57</v>
      </c>
      <c r="O534" s="1352" t="s">
        <v>4684</v>
      </c>
      <c r="P534" s="1387"/>
      <c r="Q534" s="1354"/>
      <c r="R534" s="1354"/>
      <c r="S534" s="1354"/>
      <c r="T534" s="1354"/>
      <c r="U534" s="1354"/>
      <c r="V534" s="1354"/>
      <c r="W534" s="1354"/>
      <c r="X534" s="1353">
        <v>43101</v>
      </c>
      <c r="Y534" s="1353">
        <v>43466</v>
      </c>
      <c r="Z534" s="1355"/>
      <c r="AA534" s="1355" t="s">
        <v>4992</v>
      </c>
      <c r="AB534" s="1356"/>
      <c r="AC534" s="1356"/>
      <c r="AD534" s="1356"/>
      <c r="AE534" s="1356"/>
      <c r="AF534" s="1357"/>
      <c r="AG534" s="1358">
        <f t="shared" si="663"/>
        <v>49.949999999999996</v>
      </c>
      <c r="AH534" s="1358">
        <v>599.4</v>
      </c>
      <c r="AI534" s="1359">
        <v>0.15</v>
      </c>
      <c r="AJ534" s="1360">
        <f t="shared" si="755"/>
        <v>7.4924999999999988</v>
      </c>
      <c r="AK534" s="1361">
        <f t="shared" si="756"/>
        <v>89.91</v>
      </c>
      <c r="AL534" s="1384">
        <v>0</v>
      </c>
      <c r="AM534" s="1363">
        <f t="shared" si="757"/>
        <v>0</v>
      </c>
      <c r="AN534" s="1364">
        <v>0</v>
      </c>
      <c r="AO534" s="1365">
        <f t="shared" si="758"/>
        <v>0</v>
      </c>
      <c r="AP534" s="1366">
        <v>0</v>
      </c>
      <c r="AQ534" s="1367">
        <f t="shared" si="759"/>
        <v>0</v>
      </c>
      <c r="AR534" s="1368">
        <v>0</v>
      </c>
      <c r="AS534" s="1369">
        <f t="shared" si="760"/>
        <v>0</v>
      </c>
      <c r="AT534" s="1370">
        <v>0.15</v>
      </c>
      <c r="AU534" s="1371">
        <f t="shared" si="761"/>
        <v>89.91</v>
      </c>
      <c r="AV534" s="1359">
        <f t="shared" si="762"/>
        <v>0</v>
      </c>
      <c r="AW534" s="1372">
        <f t="shared" si="763"/>
        <v>0</v>
      </c>
      <c r="AX534" s="1373">
        <f t="shared" si="764"/>
        <v>0.15</v>
      </c>
      <c r="AY534" s="1374">
        <f t="shared" si="765"/>
        <v>89.91</v>
      </c>
      <c r="AZ534" s="1375">
        <f t="shared" si="766"/>
        <v>0.15</v>
      </c>
      <c r="BA534" s="1376">
        <f t="shared" si="767"/>
        <v>89.91</v>
      </c>
      <c r="BB534" s="1377"/>
      <c r="BC534" s="1820"/>
      <c r="BD534" s="1820"/>
      <c r="BE534" s="1823"/>
      <c r="BF534" s="1826"/>
      <c r="BG534" s="1829"/>
    </row>
    <row r="535" spans="1:59" s="1378" customFormat="1" ht="27.75" customHeight="1">
      <c r="A535" s="1347" t="str">
        <f>L529</f>
        <v>January Therapeutics, Inc.</v>
      </c>
      <c r="B535" s="1348" t="str">
        <f>N529</f>
        <v>Duenas</v>
      </c>
      <c r="C535" s="1348">
        <f>Z529</f>
        <v>3</v>
      </c>
      <c r="D535" s="1349">
        <v>42979</v>
      </c>
      <c r="E535" s="1349"/>
      <c r="F535" s="1347" t="s">
        <v>113</v>
      </c>
      <c r="G535" s="1347" t="s">
        <v>85</v>
      </c>
      <c r="H535" s="1347" t="s">
        <v>85</v>
      </c>
      <c r="I535" s="1347" t="s">
        <v>113</v>
      </c>
      <c r="J535" s="1349"/>
      <c r="K535" s="1349" t="s">
        <v>254</v>
      </c>
      <c r="L535" s="1350" t="s">
        <v>4682</v>
      </c>
      <c r="M535" s="1350" t="s">
        <v>62</v>
      </c>
      <c r="N535" s="1351" t="s">
        <v>81</v>
      </c>
      <c r="O535" s="1352" t="s">
        <v>4688</v>
      </c>
      <c r="P535" s="1352"/>
      <c r="Q535" s="1354"/>
      <c r="R535" s="1354"/>
      <c r="S535" s="1354"/>
      <c r="T535" s="1354"/>
      <c r="U535" s="1354"/>
      <c r="V535" s="1354"/>
      <c r="W535" s="1354"/>
      <c r="X535" s="1353">
        <v>43101</v>
      </c>
      <c r="Y535" s="1353">
        <v>43466</v>
      </c>
      <c r="Z535" s="1355"/>
      <c r="AA535" s="1355" t="s">
        <v>4992</v>
      </c>
      <c r="AB535" s="1356"/>
      <c r="AC535" s="1356"/>
      <c r="AD535" s="1356"/>
      <c r="AE535" s="1356"/>
      <c r="AF535" s="1357"/>
      <c r="AG535" s="1358">
        <f t="shared" si="663"/>
        <v>24.403333333333332</v>
      </c>
      <c r="AH535" s="1358">
        <v>292.83999999999997</v>
      </c>
      <c r="AI535" s="1359">
        <v>0.15</v>
      </c>
      <c r="AJ535" s="1360">
        <f t="shared" si="755"/>
        <v>3.6604999999999999</v>
      </c>
      <c r="AK535" s="1361">
        <f t="shared" si="756"/>
        <v>43.925999999999995</v>
      </c>
      <c r="AL535" s="1384">
        <v>0</v>
      </c>
      <c r="AM535" s="1363">
        <f t="shared" si="757"/>
        <v>0</v>
      </c>
      <c r="AN535" s="1364">
        <v>0</v>
      </c>
      <c r="AO535" s="1365">
        <f t="shared" si="758"/>
        <v>0</v>
      </c>
      <c r="AP535" s="1366">
        <v>0</v>
      </c>
      <c r="AQ535" s="1367">
        <f t="shared" si="759"/>
        <v>0</v>
      </c>
      <c r="AR535" s="1368">
        <v>0</v>
      </c>
      <c r="AS535" s="1369">
        <f t="shared" si="760"/>
        <v>0</v>
      </c>
      <c r="AT535" s="1370">
        <v>0.15</v>
      </c>
      <c r="AU535" s="1371">
        <f t="shared" si="761"/>
        <v>43.925999999999995</v>
      </c>
      <c r="AV535" s="1359">
        <f t="shared" si="762"/>
        <v>0</v>
      </c>
      <c r="AW535" s="1372">
        <f t="shared" si="763"/>
        <v>0</v>
      </c>
      <c r="AX535" s="1373">
        <f t="shared" si="764"/>
        <v>0.15</v>
      </c>
      <c r="AY535" s="1374">
        <f t="shared" si="765"/>
        <v>43.925999999999995</v>
      </c>
      <c r="AZ535" s="1375">
        <f t="shared" si="766"/>
        <v>0.15</v>
      </c>
      <c r="BA535" s="1376">
        <f t="shared" si="767"/>
        <v>43.925999999999995</v>
      </c>
      <c r="BB535" s="1391"/>
      <c r="BC535" s="1820"/>
      <c r="BD535" s="1820"/>
      <c r="BE535" s="1823"/>
      <c r="BF535" s="1826"/>
      <c r="BG535" s="1829"/>
    </row>
    <row r="536" spans="1:59" s="1378" customFormat="1" ht="27.75" customHeight="1">
      <c r="A536" s="1347" t="str">
        <f>L529</f>
        <v>January Therapeutics, Inc.</v>
      </c>
      <c r="B536" s="1348" t="str">
        <f>N529</f>
        <v>Duenas</v>
      </c>
      <c r="C536" s="1348">
        <f>Z529</f>
        <v>3</v>
      </c>
      <c r="D536" s="1349">
        <v>42979</v>
      </c>
      <c r="E536" s="1349"/>
      <c r="F536" s="1347" t="s">
        <v>113</v>
      </c>
      <c r="G536" s="1347" t="s">
        <v>85</v>
      </c>
      <c r="H536" s="1347" t="s">
        <v>85</v>
      </c>
      <c r="I536" s="1347" t="s">
        <v>113</v>
      </c>
      <c r="J536" s="1349"/>
      <c r="K536" s="1349" t="s">
        <v>254</v>
      </c>
      <c r="L536" s="1350" t="s">
        <v>4682</v>
      </c>
      <c r="M536" s="1350" t="s">
        <v>67</v>
      </c>
      <c r="N536" s="1351" t="s">
        <v>82</v>
      </c>
      <c r="O536" s="1352" t="s">
        <v>4689</v>
      </c>
      <c r="P536" s="1352"/>
      <c r="Q536" s="1354"/>
      <c r="R536" s="1354"/>
      <c r="S536" s="1354"/>
      <c r="T536" s="1354"/>
      <c r="U536" s="1354"/>
      <c r="V536" s="1354"/>
      <c r="W536" s="1354"/>
      <c r="X536" s="1353">
        <v>43101</v>
      </c>
      <c r="Y536" s="1353">
        <v>43466</v>
      </c>
      <c r="Z536" s="1355"/>
      <c r="AA536" s="1355" t="s">
        <v>4992</v>
      </c>
      <c r="AB536" s="1356"/>
      <c r="AC536" s="1356"/>
      <c r="AD536" s="1356"/>
      <c r="AE536" s="1356"/>
      <c r="AF536" s="1357"/>
      <c r="AG536" s="1358">
        <f t="shared" si="663"/>
        <v>46.875</v>
      </c>
      <c r="AH536" s="1358">
        <v>562.5</v>
      </c>
      <c r="AI536" s="1359">
        <v>0.15</v>
      </c>
      <c r="AJ536" s="1360">
        <f t="shared" si="755"/>
        <v>7.03125</v>
      </c>
      <c r="AK536" s="1361">
        <f t="shared" si="756"/>
        <v>84.375</v>
      </c>
      <c r="AL536" s="1384">
        <v>0</v>
      </c>
      <c r="AM536" s="1363">
        <f t="shared" si="757"/>
        <v>0</v>
      </c>
      <c r="AN536" s="1364">
        <v>0</v>
      </c>
      <c r="AO536" s="1365">
        <f t="shared" si="758"/>
        <v>0</v>
      </c>
      <c r="AP536" s="1366">
        <v>0</v>
      </c>
      <c r="AQ536" s="1367">
        <f t="shared" si="759"/>
        <v>0</v>
      </c>
      <c r="AR536" s="1368">
        <v>0</v>
      </c>
      <c r="AS536" s="1369">
        <f t="shared" si="760"/>
        <v>0</v>
      </c>
      <c r="AT536" s="1370">
        <v>0.15</v>
      </c>
      <c r="AU536" s="1371">
        <f t="shared" si="761"/>
        <v>84.375</v>
      </c>
      <c r="AV536" s="1359">
        <f t="shared" si="762"/>
        <v>0</v>
      </c>
      <c r="AW536" s="1372">
        <f t="shared" si="763"/>
        <v>0</v>
      </c>
      <c r="AX536" s="1373">
        <f t="shared" si="764"/>
        <v>0.15</v>
      </c>
      <c r="AY536" s="1374">
        <f t="shared" si="765"/>
        <v>84.375</v>
      </c>
      <c r="AZ536" s="1375">
        <f t="shared" si="766"/>
        <v>0.15</v>
      </c>
      <c r="BA536" s="1376">
        <f t="shared" si="767"/>
        <v>84.375</v>
      </c>
      <c r="BB536" s="1391"/>
      <c r="BC536" s="1820"/>
      <c r="BD536" s="1820"/>
      <c r="BE536" s="1823"/>
      <c r="BF536" s="1826"/>
      <c r="BG536" s="1829"/>
    </row>
    <row r="537" spans="1:59" s="1378" customFormat="1" ht="27.75" customHeight="1">
      <c r="A537" s="1347" t="s">
        <v>262</v>
      </c>
      <c r="B537" s="1348" t="s">
        <v>4835</v>
      </c>
      <c r="C537" s="1348">
        <v>3</v>
      </c>
      <c r="D537" s="1349">
        <v>42979</v>
      </c>
      <c r="E537" s="1349"/>
      <c r="F537" s="1347" t="s">
        <v>72</v>
      </c>
      <c r="G537" s="1347" t="s">
        <v>85</v>
      </c>
      <c r="H537" s="1347" t="s">
        <v>72</v>
      </c>
      <c r="I537" s="1347" t="s">
        <v>72</v>
      </c>
      <c r="J537" s="1349" t="s">
        <v>4670</v>
      </c>
      <c r="K537" s="1349" t="s">
        <v>254</v>
      </c>
      <c r="L537" s="1350" t="s">
        <v>4696</v>
      </c>
      <c r="M537" s="1350" t="s">
        <v>4697</v>
      </c>
      <c r="N537" s="1389" t="s">
        <v>4698</v>
      </c>
      <c r="O537" s="1352" t="s">
        <v>4699</v>
      </c>
      <c r="P537" s="1352"/>
      <c r="Q537" s="1354"/>
      <c r="R537" s="1354"/>
      <c r="S537" s="1354"/>
      <c r="T537" s="1354"/>
      <c r="U537" s="1354"/>
      <c r="V537" s="1354"/>
      <c r="W537" s="1354"/>
      <c r="X537" s="1353">
        <v>43101</v>
      </c>
      <c r="Y537" s="1353">
        <v>43466</v>
      </c>
      <c r="Z537" s="1355"/>
      <c r="AA537" s="1355" t="s">
        <v>4674</v>
      </c>
      <c r="AB537" s="1356"/>
      <c r="AC537" s="1356"/>
      <c r="AD537" s="1356"/>
      <c r="AE537" s="1356"/>
      <c r="AF537" s="1357" t="str">
        <f t="shared" ref="AF537:AF599" si="768">IFERROR((AE537/AB537),"")</f>
        <v/>
      </c>
      <c r="AG537" s="1380"/>
      <c r="AH537" s="1380"/>
      <c r="AI537" s="1381">
        <v>0</v>
      </c>
      <c r="AJ537" s="1382">
        <f t="shared" si="755"/>
        <v>0</v>
      </c>
      <c r="AK537" s="1383">
        <f t="shared" si="756"/>
        <v>0</v>
      </c>
      <c r="AL537" s="1384">
        <v>0</v>
      </c>
      <c r="AM537" s="1363">
        <f t="shared" si="757"/>
        <v>0</v>
      </c>
      <c r="AN537" s="1364">
        <v>0</v>
      </c>
      <c r="AO537" s="1365">
        <f t="shared" si="758"/>
        <v>0</v>
      </c>
      <c r="AP537" s="1366">
        <v>0</v>
      </c>
      <c r="AQ537" s="1367">
        <f t="shared" si="759"/>
        <v>0</v>
      </c>
      <c r="AR537" s="1368">
        <v>0</v>
      </c>
      <c r="AS537" s="1369">
        <f t="shared" si="760"/>
        <v>0</v>
      </c>
      <c r="AT537" s="1370">
        <v>0</v>
      </c>
      <c r="AU537" s="1371">
        <f t="shared" si="761"/>
        <v>0</v>
      </c>
      <c r="AV537" s="1359">
        <f t="shared" si="762"/>
        <v>0</v>
      </c>
      <c r="AW537" s="1372">
        <f t="shared" si="763"/>
        <v>0</v>
      </c>
      <c r="AX537" s="1373">
        <f t="shared" si="764"/>
        <v>0</v>
      </c>
      <c r="AY537" s="1374">
        <f t="shared" si="765"/>
        <v>0</v>
      </c>
      <c r="AZ537" s="1375">
        <f t="shared" si="766"/>
        <v>0</v>
      </c>
      <c r="BA537" s="1376">
        <f t="shared" si="767"/>
        <v>0</v>
      </c>
      <c r="BB537" s="1377"/>
      <c r="BC537" s="1820"/>
      <c r="BD537" s="1820"/>
      <c r="BE537" s="1823"/>
      <c r="BF537" s="1826"/>
      <c r="BG537" s="1829"/>
    </row>
    <row r="538" spans="1:59" s="1378" customFormat="1" ht="38.25">
      <c r="A538" s="1347" t="str">
        <f>$A$529</f>
        <v>January Therapeutics, Inc.</v>
      </c>
      <c r="B538" s="1347" t="s">
        <v>4835</v>
      </c>
      <c r="C538" s="1348">
        <f>$C$529</f>
        <v>3</v>
      </c>
      <c r="D538" s="1349">
        <v>42979</v>
      </c>
      <c r="E538" s="1349"/>
      <c r="F538" s="1347" t="s">
        <v>72</v>
      </c>
      <c r="G538" s="1347" t="s">
        <v>85</v>
      </c>
      <c r="H538" s="1347" t="s">
        <v>72</v>
      </c>
      <c r="I538" s="1347" t="s">
        <v>72</v>
      </c>
      <c r="J538" s="1349" t="s">
        <v>4670</v>
      </c>
      <c r="K538" s="1349" t="s">
        <v>254</v>
      </c>
      <c r="L538" s="1350" t="s">
        <v>48</v>
      </c>
      <c r="M538" s="1350" t="s">
        <v>253</v>
      </c>
      <c r="N538" s="1390" t="s">
        <v>4703</v>
      </c>
      <c r="O538" s="1352" t="s">
        <v>5103</v>
      </c>
      <c r="P538" s="1352"/>
      <c r="Q538" s="1354"/>
      <c r="R538" s="1354"/>
      <c r="S538" s="1354"/>
      <c r="T538" s="1354"/>
      <c r="U538" s="1354"/>
      <c r="V538" s="1354"/>
      <c r="W538" s="1354"/>
      <c r="X538" s="1353">
        <v>43101</v>
      </c>
      <c r="Y538" s="1353">
        <v>43466</v>
      </c>
      <c r="Z538" s="1355"/>
      <c r="AA538" s="1355" t="s">
        <v>4674</v>
      </c>
      <c r="AB538" s="1356"/>
      <c r="AC538" s="1356"/>
      <c r="AD538" s="1356"/>
      <c r="AE538" s="1356"/>
      <c r="AF538" s="1357" t="str">
        <f t="shared" si="768"/>
        <v/>
      </c>
      <c r="AG538" s="1380"/>
      <c r="AH538" s="1380"/>
      <c r="AI538" s="1381">
        <v>0</v>
      </c>
      <c r="AJ538" s="1382">
        <f t="shared" si="755"/>
        <v>0</v>
      </c>
      <c r="AK538" s="1383">
        <f t="shared" si="756"/>
        <v>0</v>
      </c>
      <c r="AL538" s="1384">
        <v>0</v>
      </c>
      <c r="AM538" s="1363">
        <f t="shared" si="757"/>
        <v>0</v>
      </c>
      <c r="AN538" s="1364">
        <v>0</v>
      </c>
      <c r="AO538" s="1365">
        <f t="shared" si="758"/>
        <v>0</v>
      </c>
      <c r="AP538" s="1366">
        <v>0</v>
      </c>
      <c r="AQ538" s="1367">
        <f t="shared" si="759"/>
        <v>0</v>
      </c>
      <c r="AR538" s="1368">
        <v>0</v>
      </c>
      <c r="AS538" s="1369">
        <f t="shared" si="760"/>
        <v>0</v>
      </c>
      <c r="AT538" s="1370">
        <v>0</v>
      </c>
      <c r="AU538" s="1371">
        <f t="shared" si="761"/>
        <v>0</v>
      </c>
      <c r="AV538" s="1359">
        <f t="shared" si="762"/>
        <v>0</v>
      </c>
      <c r="AW538" s="1372">
        <f t="shared" si="763"/>
        <v>0</v>
      </c>
      <c r="AX538" s="1373">
        <f t="shared" si="764"/>
        <v>0</v>
      </c>
      <c r="AY538" s="1374">
        <f t="shared" si="765"/>
        <v>0</v>
      </c>
      <c r="AZ538" s="1375">
        <f t="shared" si="766"/>
        <v>0</v>
      </c>
      <c r="BA538" s="1376">
        <f t="shared" si="767"/>
        <v>0</v>
      </c>
      <c r="BB538" s="1377"/>
      <c r="BC538" s="1820"/>
      <c r="BD538" s="1820"/>
      <c r="BE538" s="1823"/>
      <c r="BF538" s="1826"/>
      <c r="BG538" s="1829"/>
    </row>
    <row r="539" spans="1:59" s="1378" customFormat="1" ht="38.25">
      <c r="A539" s="1347" t="str">
        <f>$A$529</f>
        <v>January Therapeutics, Inc.</v>
      </c>
      <c r="B539" s="1347" t="s">
        <v>4835</v>
      </c>
      <c r="C539" s="1348">
        <f>$C$529</f>
        <v>3</v>
      </c>
      <c r="D539" s="1349">
        <v>42979</v>
      </c>
      <c r="E539" s="1349"/>
      <c r="F539" s="1347" t="s">
        <v>72</v>
      </c>
      <c r="G539" s="1347" t="s">
        <v>85</v>
      </c>
      <c r="H539" s="1347" t="s">
        <v>72</v>
      </c>
      <c r="I539" s="1347" t="s">
        <v>72</v>
      </c>
      <c r="J539" s="1349" t="s">
        <v>4670</v>
      </c>
      <c r="K539" s="1349" t="s">
        <v>254</v>
      </c>
      <c r="L539" s="1350" t="s">
        <v>49</v>
      </c>
      <c r="M539" s="1350" t="s">
        <v>4705</v>
      </c>
      <c r="N539" s="1390" t="s">
        <v>4784</v>
      </c>
      <c r="O539" s="1352" t="s">
        <v>5104</v>
      </c>
      <c r="P539" s="1352"/>
      <c r="Q539" s="1354"/>
      <c r="R539" s="1354"/>
      <c r="S539" s="1354"/>
      <c r="T539" s="1354"/>
      <c r="U539" s="1354"/>
      <c r="V539" s="1354"/>
      <c r="W539" s="1354"/>
      <c r="X539" s="1353">
        <v>43101</v>
      </c>
      <c r="Y539" s="1353">
        <v>43466</v>
      </c>
      <c r="Z539" s="1355"/>
      <c r="AA539" s="1355" t="s">
        <v>4674</v>
      </c>
      <c r="AB539" s="1356"/>
      <c r="AC539" s="1356"/>
      <c r="AD539" s="1356"/>
      <c r="AE539" s="1356"/>
      <c r="AF539" s="1357" t="str">
        <f t="shared" si="768"/>
        <v/>
      </c>
      <c r="AG539" s="1380"/>
      <c r="AH539" s="1380"/>
      <c r="AI539" s="1381">
        <v>0</v>
      </c>
      <c r="AJ539" s="1382">
        <f t="shared" si="755"/>
        <v>0</v>
      </c>
      <c r="AK539" s="1383">
        <f t="shared" si="756"/>
        <v>0</v>
      </c>
      <c r="AL539" s="1384">
        <v>0</v>
      </c>
      <c r="AM539" s="1363">
        <f t="shared" si="757"/>
        <v>0</v>
      </c>
      <c r="AN539" s="1364">
        <v>0</v>
      </c>
      <c r="AO539" s="1365">
        <f t="shared" si="758"/>
        <v>0</v>
      </c>
      <c r="AP539" s="1366">
        <v>0</v>
      </c>
      <c r="AQ539" s="1367">
        <f t="shared" si="759"/>
        <v>0</v>
      </c>
      <c r="AR539" s="1368">
        <v>0</v>
      </c>
      <c r="AS539" s="1369">
        <f t="shared" si="760"/>
        <v>0</v>
      </c>
      <c r="AT539" s="1370">
        <v>0</v>
      </c>
      <c r="AU539" s="1371">
        <f t="shared" si="761"/>
        <v>0</v>
      </c>
      <c r="AV539" s="1359">
        <f>AZ539-AR539-AT539-AP539</f>
        <v>0</v>
      </c>
      <c r="AW539" s="1372">
        <f t="shared" si="763"/>
        <v>0</v>
      </c>
      <c r="AX539" s="1373">
        <f t="shared" si="764"/>
        <v>0</v>
      </c>
      <c r="AY539" s="1374">
        <f t="shared" si="765"/>
        <v>0</v>
      </c>
      <c r="AZ539" s="1375">
        <f t="shared" si="766"/>
        <v>0</v>
      </c>
      <c r="BA539" s="1376">
        <f t="shared" si="767"/>
        <v>0</v>
      </c>
      <c r="BB539" s="1377"/>
      <c r="BC539" s="1820"/>
      <c r="BD539" s="1820"/>
      <c r="BE539" s="1823"/>
      <c r="BF539" s="1826"/>
      <c r="BG539" s="1829"/>
    </row>
    <row r="540" spans="1:59" s="1378" customFormat="1" ht="21.75" customHeight="1">
      <c r="A540" s="1347" t="str">
        <f>A539</f>
        <v>January Therapeutics, Inc.</v>
      </c>
      <c r="B540" s="1348" t="str">
        <f>B539</f>
        <v>Duenas</v>
      </c>
      <c r="C540" s="1348">
        <f>C539</f>
        <v>3</v>
      </c>
      <c r="D540" s="1349">
        <v>42979</v>
      </c>
      <c r="E540" s="1349"/>
      <c r="F540" s="1347" t="s">
        <v>72</v>
      </c>
      <c r="G540" s="1347" t="s">
        <v>85</v>
      </c>
      <c r="H540" s="1347" t="s">
        <v>72</v>
      </c>
      <c r="I540" s="1347" t="s">
        <v>72</v>
      </c>
      <c r="J540" s="1349" t="s">
        <v>4670</v>
      </c>
      <c r="K540" s="1349" t="s">
        <v>254</v>
      </c>
      <c r="L540" s="1350" t="s">
        <v>3056</v>
      </c>
      <c r="M540" s="1350" t="s">
        <v>4708</v>
      </c>
      <c r="N540" s="1390" t="s">
        <v>4709</v>
      </c>
      <c r="O540" s="1352" t="s">
        <v>4710</v>
      </c>
      <c r="P540" s="1352"/>
      <c r="Q540" s="1354"/>
      <c r="R540" s="1354"/>
      <c r="S540" s="1354"/>
      <c r="T540" s="1354"/>
      <c r="U540" s="1354"/>
      <c r="V540" s="1354"/>
      <c r="W540" s="1354"/>
      <c r="X540" s="1353">
        <v>42979</v>
      </c>
      <c r="Y540" s="1353">
        <v>43466</v>
      </c>
      <c r="Z540" s="1355"/>
      <c r="AA540" s="1355" t="s">
        <v>4674</v>
      </c>
      <c r="AB540" s="1356"/>
      <c r="AC540" s="1356"/>
      <c r="AD540" s="1356"/>
      <c r="AE540" s="1356"/>
      <c r="AF540" s="1357" t="str">
        <f t="shared" si="768"/>
        <v/>
      </c>
      <c r="AG540" s="1380"/>
      <c r="AH540" s="1380"/>
      <c r="AI540" s="1381">
        <v>0</v>
      </c>
      <c r="AJ540" s="1382">
        <f t="shared" si="755"/>
        <v>0</v>
      </c>
      <c r="AK540" s="1383">
        <f t="shared" si="756"/>
        <v>0</v>
      </c>
      <c r="AL540" s="1384">
        <v>0</v>
      </c>
      <c r="AM540" s="1363">
        <f t="shared" si="757"/>
        <v>0</v>
      </c>
      <c r="AN540" s="1364">
        <v>0</v>
      </c>
      <c r="AO540" s="1365">
        <f t="shared" si="758"/>
        <v>0</v>
      </c>
      <c r="AP540" s="1366">
        <v>0</v>
      </c>
      <c r="AQ540" s="1367">
        <f t="shared" si="759"/>
        <v>0</v>
      </c>
      <c r="AR540" s="1368">
        <v>0</v>
      </c>
      <c r="AS540" s="1369">
        <f t="shared" si="760"/>
        <v>0</v>
      </c>
      <c r="AT540" s="1370">
        <v>0</v>
      </c>
      <c r="AU540" s="1371">
        <f t="shared" si="761"/>
        <v>0</v>
      </c>
      <c r="AV540" s="1359">
        <f t="shared" ref="AV540" si="769">AZ540-AR540-AT540-AP540</f>
        <v>0</v>
      </c>
      <c r="AW540" s="1372">
        <f t="shared" si="763"/>
        <v>0</v>
      </c>
      <c r="AX540" s="1373">
        <f t="shared" si="764"/>
        <v>0</v>
      </c>
      <c r="AY540" s="1374">
        <f t="shared" si="765"/>
        <v>0</v>
      </c>
      <c r="AZ540" s="1375">
        <f t="shared" si="766"/>
        <v>0</v>
      </c>
      <c r="BA540" s="1376">
        <f t="shared" si="767"/>
        <v>0</v>
      </c>
      <c r="BB540" s="1391"/>
      <c r="BC540" s="1820"/>
      <c r="BD540" s="1820"/>
      <c r="BE540" s="1823"/>
      <c r="BF540" s="1826"/>
      <c r="BG540" s="1829"/>
    </row>
    <row r="541" spans="1:59" s="1315" customFormat="1" ht="38.25">
      <c r="A541" s="1277" t="str">
        <f t="shared" ref="A541:A552" si="770">L$541</f>
        <v>Kezar Life Sciences, Inc.</v>
      </c>
      <c r="B541" s="1316" t="str">
        <f t="shared" ref="B541:B552" si="771">N$541</f>
        <v>ABD</v>
      </c>
      <c r="C541" s="1316">
        <f>Z541</f>
        <v>20</v>
      </c>
      <c r="D541" s="1317">
        <v>43252</v>
      </c>
      <c r="E541" s="1317"/>
      <c r="F541" s="1277" t="s">
        <v>72</v>
      </c>
      <c r="G541" s="1277" t="s">
        <v>72</v>
      </c>
      <c r="H541" s="1277" t="s">
        <v>72</v>
      </c>
      <c r="I541" s="1277" t="s">
        <v>4711</v>
      </c>
      <c r="J541" s="1317"/>
      <c r="K541" s="1317"/>
      <c r="L541" s="1318" t="s">
        <v>4489</v>
      </c>
      <c r="M541" s="1319"/>
      <c r="N541" s="1417" t="s">
        <v>3654</v>
      </c>
      <c r="O541" s="1418" t="s">
        <v>2473</v>
      </c>
      <c r="P541" s="1419"/>
      <c r="Q541" s="1322"/>
      <c r="R541" s="1322"/>
      <c r="S541" s="1322"/>
      <c r="T541" s="1322"/>
      <c r="U541" s="1322"/>
      <c r="V541" s="1322"/>
      <c r="W541" s="1322"/>
      <c r="X541" s="1317">
        <v>43252</v>
      </c>
      <c r="Y541" s="1317">
        <v>43466</v>
      </c>
      <c r="Z541" s="1316">
        <v>20</v>
      </c>
      <c r="AA541" s="1316" t="s">
        <v>5105</v>
      </c>
      <c r="AB541" s="1323">
        <f>SUM(AB542:AB552)</f>
        <v>0</v>
      </c>
      <c r="AC541" s="1323">
        <f>SUM(AC542:AC552)</f>
        <v>0</v>
      </c>
      <c r="AD541" s="1323">
        <f>SUM(AD542:AD552)</f>
        <v>0</v>
      </c>
      <c r="AE541" s="1324">
        <f t="shared" ref="AE541" si="772">AD541-AB541</f>
        <v>0</v>
      </c>
      <c r="AF541" s="1325" t="str">
        <f t="shared" si="768"/>
        <v/>
      </c>
      <c r="AG541" s="1326">
        <f>SUM(AG542:AG552)</f>
        <v>0</v>
      </c>
      <c r="AH541" s="1326">
        <f>SUM(AH542:AH552)</f>
        <v>0</v>
      </c>
      <c r="AI541" s="1339"/>
      <c r="AJ541" s="1328">
        <f>SUM(AJ542:AJ552)</f>
        <v>0</v>
      </c>
      <c r="AK541" s="1328">
        <f>SUM(AK542:AK552)</f>
        <v>0</v>
      </c>
      <c r="AL541" s="1329"/>
      <c r="AM541" s="1330">
        <f>SUM(AM542:AM552)</f>
        <v>0</v>
      </c>
      <c r="AN541" s="1331"/>
      <c r="AO541" s="1332">
        <f>SUM(AO542:AO552)</f>
        <v>0</v>
      </c>
      <c r="AP541" s="1333"/>
      <c r="AQ541" s="1334">
        <f>SUM(AQ542:AQ552)</f>
        <v>0</v>
      </c>
      <c r="AR541" s="1335"/>
      <c r="AS541" s="1336">
        <f>SUM(AS542:AS552)</f>
        <v>0</v>
      </c>
      <c r="AT541" s="1337"/>
      <c r="AU541" s="1338">
        <f>SUM(AU542:AU552)</f>
        <v>0</v>
      </c>
      <c r="AV541" s="1339"/>
      <c r="AW541" s="1340">
        <f>SUM(AW542:AW552)</f>
        <v>0</v>
      </c>
      <c r="AX541" s="1306"/>
      <c r="AY541" s="1307">
        <f>SUM(AW541+AS541+AU541)</f>
        <v>0</v>
      </c>
      <c r="AZ541" s="1341"/>
      <c r="BA541" s="1309">
        <f>SUM(AY541+AQ541)</f>
        <v>0</v>
      </c>
      <c r="BB541" s="1342" t="e">
        <f>(AW541+AU541)/(AK541-AM541)</f>
        <v>#DIV/0!</v>
      </c>
      <c r="BC541" s="1343"/>
      <c r="BD541" s="1343"/>
      <c r="BE541" s="1344"/>
      <c r="BF541" s="1420" t="s">
        <v>4749</v>
      </c>
      <c r="BG541" s="1346"/>
    </row>
    <row r="542" spans="1:59" s="1378" customFormat="1" ht="76.5">
      <c r="A542" s="1347" t="str">
        <f t="shared" si="770"/>
        <v>Kezar Life Sciences, Inc.</v>
      </c>
      <c r="B542" s="1348" t="str">
        <f t="shared" si="771"/>
        <v>ABD</v>
      </c>
      <c r="C542" s="1348">
        <f>$C$541</f>
        <v>20</v>
      </c>
      <c r="D542" s="1349">
        <f t="shared" ref="D542:D552" si="773">D$541</f>
        <v>43252</v>
      </c>
      <c r="E542" s="1349"/>
      <c r="F542" s="1347" t="s">
        <v>85</v>
      </c>
      <c r="G542" s="1347" t="s">
        <v>85</v>
      </c>
      <c r="H542" s="1347" t="s">
        <v>85</v>
      </c>
      <c r="I542" s="1347" t="s">
        <v>113</v>
      </c>
      <c r="J542" s="1349"/>
      <c r="K542" s="1349" t="s">
        <v>254</v>
      </c>
      <c r="L542" s="1350" t="s">
        <v>2661</v>
      </c>
      <c r="M542" s="1350" t="s">
        <v>3647</v>
      </c>
      <c r="N542" s="1351" t="s">
        <v>5509</v>
      </c>
      <c r="O542" s="1352" t="s">
        <v>5107</v>
      </c>
      <c r="P542" s="1352" t="s">
        <v>5108</v>
      </c>
      <c r="Q542" s="1353" t="s">
        <v>303</v>
      </c>
      <c r="R542" s="1353" t="s">
        <v>3656</v>
      </c>
      <c r="S542" s="1353" t="s">
        <v>307</v>
      </c>
      <c r="T542" s="1353" t="s">
        <v>113</v>
      </c>
      <c r="U542" s="1354"/>
      <c r="V542" s="1354"/>
      <c r="W542" s="1354"/>
      <c r="X542" s="1353">
        <f t="shared" ref="X542:Y552" si="774">X$541</f>
        <v>43252</v>
      </c>
      <c r="Y542" s="1353">
        <f t="shared" si="774"/>
        <v>43466</v>
      </c>
      <c r="Z542" s="1355"/>
      <c r="AA542" s="1355" t="s">
        <v>4667</v>
      </c>
      <c r="AB542" s="1356"/>
      <c r="AC542" s="1356"/>
      <c r="AD542" s="1356"/>
      <c r="AE542" s="1356"/>
      <c r="AF542" s="1357" t="str">
        <f t="shared" si="768"/>
        <v/>
      </c>
      <c r="AG542" s="1358">
        <v>0</v>
      </c>
      <c r="AH542" s="1426">
        <f t="shared" ref="AH542" si="775">AG542*12</f>
        <v>0</v>
      </c>
      <c r="AI542" s="1359">
        <v>0.08</v>
      </c>
      <c r="AJ542" s="1360">
        <f t="shared" ref="AJ542:AJ552" si="776">$AI542*$AG542</f>
        <v>0</v>
      </c>
      <c r="AK542" s="1361">
        <f t="shared" ref="AK542" si="777">AI542*$AH542</f>
        <v>0</v>
      </c>
      <c r="AL542" s="1362">
        <v>5.0000000000000001E-3</v>
      </c>
      <c r="AM542" s="1363">
        <f t="shared" ref="AM542:AM552" si="778">AL542*$AH542</f>
        <v>0</v>
      </c>
      <c r="AN542" s="1364">
        <v>0.04</v>
      </c>
      <c r="AO542" s="1365">
        <f t="shared" ref="AO542:AO552" si="779">AN542*$AH542</f>
        <v>0</v>
      </c>
      <c r="AP542" s="1366">
        <v>0</v>
      </c>
      <c r="AQ542" s="1367">
        <f t="shared" ref="AQ542:AQ552" si="780">AP542*$AH542</f>
        <v>0</v>
      </c>
      <c r="AR542" s="1368">
        <v>0</v>
      </c>
      <c r="AS542" s="1369">
        <f t="shared" ref="AS542:AS552" si="781">AR542*$AH542</f>
        <v>0</v>
      </c>
      <c r="AT542" s="1370">
        <v>2.5000000000000001E-2</v>
      </c>
      <c r="AU542" s="1371">
        <f t="shared" ref="AU542:AU552" si="782">AT542*$AH542</f>
        <v>0</v>
      </c>
      <c r="AV542" s="1359">
        <f t="shared" ref="AV542:AV552" si="783">AZ542-AR542-AT542-AP542</f>
        <v>9.999999999999995E-3</v>
      </c>
      <c r="AW542" s="1372">
        <f t="shared" ref="AW542:AW552" si="784">AV542*$AH542</f>
        <v>0</v>
      </c>
      <c r="AX542" s="1373">
        <f t="shared" ref="AX542:AX552" si="785">$AZ542-$AP542</f>
        <v>3.4999999999999996E-2</v>
      </c>
      <c r="AY542" s="1374">
        <f t="shared" ref="AY542:AY552" si="786">AX542*$AH542</f>
        <v>0</v>
      </c>
      <c r="AZ542" s="1375">
        <f t="shared" ref="AZ542:AZ552" si="787">$AI542-$AL542-$AN542</f>
        <v>3.4999999999999996E-2</v>
      </c>
      <c r="BA542" s="1376">
        <f t="shared" ref="BA542:BA552" si="788">AZ542*$AH542</f>
        <v>0</v>
      </c>
      <c r="BB542" s="1377"/>
      <c r="BC542" s="1819" t="s">
        <v>4490</v>
      </c>
      <c r="BD542" s="1819" t="s">
        <v>4491</v>
      </c>
      <c r="BE542" s="1822" t="s">
        <v>4492</v>
      </c>
      <c r="BF542" s="1825" t="s">
        <v>4763</v>
      </c>
      <c r="BG542" s="1828">
        <v>473366145</v>
      </c>
    </row>
    <row r="543" spans="1:59" s="1378" customFormat="1" ht="38.25">
      <c r="A543" s="1347" t="str">
        <f t="shared" si="770"/>
        <v>Kezar Life Sciences, Inc.</v>
      </c>
      <c r="B543" s="1348" t="str">
        <f t="shared" si="771"/>
        <v>ABD</v>
      </c>
      <c r="C543" s="1348">
        <f t="shared" ref="C543:C552" si="789">$C$541</f>
        <v>20</v>
      </c>
      <c r="D543" s="1349">
        <f t="shared" si="773"/>
        <v>43252</v>
      </c>
      <c r="E543" s="1349"/>
      <c r="F543" s="1347" t="s">
        <v>72</v>
      </c>
      <c r="G543" s="1347" t="s">
        <v>85</v>
      </c>
      <c r="H543" s="1347" t="s">
        <v>72</v>
      </c>
      <c r="I543" s="1347" t="s">
        <v>72</v>
      </c>
      <c r="J543" s="1349" t="s">
        <v>4670</v>
      </c>
      <c r="K543" s="1349" t="s">
        <v>254</v>
      </c>
      <c r="L543" s="1350" t="s">
        <v>4671</v>
      </c>
      <c r="M543" s="1350" t="s">
        <v>3649</v>
      </c>
      <c r="N543" s="1379" t="s">
        <v>3649</v>
      </c>
      <c r="O543" s="1352" t="s">
        <v>5109</v>
      </c>
      <c r="P543" s="1388"/>
      <c r="Q543" s="1354"/>
      <c r="R543" s="1354"/>
      <c r="S543" s="1354"/>
      <c r="T543" s="1354"/>
      <c r="U543" s="1354"/>
      <c r="V543" s="1354"/>
      <c r="W543" s="1354"/>
      <c r="X543" s="1353">
        <f t="shared" si="774"/>
        <v>43252</v>
      </c>
      <c r="Y543" s="1353">
        <f t="shared" si="774"/>
        <v>43466</v>
      </c>
      <c r="Z543" s="1355"/>
      <c r="AA543" s="1355" t="s">
        <v>4674</v>
      </c>
      <c r="AB543" s="1356"/>
      <c r="AC543" s="1356"/>
      <c r="AD543" s="1356"/>
      <c r="AE543" s="1356"/>
      <c r="AF543" s="1357" t="str">
        <f t="shared" si="768"/>
        <v/>
      </c>
      <c r="AG543" s="1358">
        <f t="shared" ref="AG543:AG600" si="790">AH543/12</f>
        <v>0</v>
      </c>
      <c r="AH543" s="1358">
        <v>0</v>
      </c>
      <c r="AI543" s="1381">
        <v>0</v>
      </c>
      <c r="AJ543" s="1382">
        <f t="shared" si="776"/>
        <v>0</v>
      </c>
      <c r="AK543" s="1383">
        <f>AI543*$AH543</f>
        <v>0</v>
      </c>
      <c r="AL543" s="1384">
        <v>0</v>
      </c>
      <c r="AM543" s="1363">
        <f t="shared" si="778"/>
        <v>0</v>
      </c>
      <c r="AN543" s="1364">
        <v>0</v>
      </c>
      <c r="AO543" s="1365">
        <f t="shared" si="779"/>
        <v>0</v>
      </c>
      <c r="AP543" s="1366">
        <v>0</v>
      </c>
      <c r="AQ543" s="1367">
        <f t="shared" si="780"/>
        <v>0</v>
      </c>
      <c r="AR543" s="1368">
        <v>0</v>
      </c>
      <c r="AS543" s="1369">
        <f t="shared" si="781"/>
        <v>0</v>
      </c>
      <c r="AT543" s="1370">
        <v>0</v>
      </c>
      <c r="AU543" s="1371">
        <f t="shared" si="782"/>
        <v>0</v>
      </c>
      <c r="AV543" s="1359">
        <f t="shared" si="783"/>
        <v>0</v>
      </c>
      <c r="AW543" s="1372">
        <f t="shared" si="784"/>
        <v>0</v>
      </c>
      <c r="AX543" s="1373">
        <f t="shared" si="785"/>
        <v>0</v>
      </c>
      <c r="AY543" s="1374">
        <f t="shared" si="786"/>
        <v>0</v>
      </c>
      <c r="AZ543" s="1375">
        <f t="shared" si="787"/>
        <v>0</v>
      </c>
      <c r="BA543" s="1376">
        <f t="shared" si="788"/>
        <v>0</v>
      </c>
      <c r="BB543" s="1377"/>
      <c r="BC543" s="1820"/>
      <c r="BD543" s="1820"/>
      <c r="BE543" s="1823"/>
      <c r="BF543" s="1826"/>
      <c r="BG543" s="1829"/>
    </row>
    <row r="544" spans="1:59" s="1378" customFormat="1" ht="38.25">
      <c r="A544" s="1347" t="str">
        <f t="shared" si="770"/>
        <v>Kezar Life Sciences, Inc.</v>
      </c>
      <c r="B544" s="1348" t="str">
        <f t="shared" si="771"/>
        <v>ABD</v>
      </c>
      <c r="C544" s="1348">
        <f t="shared" si="789"/>
        <v>20</v>
      </c>
      <c r="D544" s="1349">
        <f t="shared" si="773"/>
        <v>43252</v>
      </c>
      <c r="E544" s="1349"/>
      <c r="F544" s="1347" t="s">
        <v>113</v>
      </c>
      <c r="G544" s="1347" t="s">
        <v>85</v>
      </c>
      <c r="H544" s="1347" t="s">
        <v>85</v>
      </c>
      <c r="I544" s="1347" t="s">
        <v>113</v>
      </c>
      <c r="J544" s="1349"/>
      <c r="K544" s="1349" t="s">
        <v>254</v>
      </c>
      <c r="L544" s="1350" t="s">
        <v>4675</v>
      </c>
      <c r="M544" s="1350" t="s">
        <v>3650</v>
      </c>
      <c r="N544" s="1385" t="s">
        <v>5110</v>
      </c>
      <c r="O544" s="1352" t="s">
        <v>4677</v>
      </c>
      <c r="P544" s="1388"/>
      <c r="Q544" s="1354"/>
      <c r="R544" s="1354"/>
      <c r="S544" s="1354"/>
      <c r="T544" s="1354"/>
      <c r="U544" s="1353" t="s">
        <v>4723</v>
      </c>
      <c r="V544" s="1353" t="s">
        <v>2497</v>
      </c>
      <c r="W544" s="1354"/>
      <c r="X544" s="1353">
        <f t="shared" si="774"/>
        <v>43252</v>
      </c>
      <c r="Y544" s="1353">
        <f t="shared" si="774"/>
        <v>43466</v>
      </c>
      <c r="Z544" s="1355"/>
      <c r="AA544" s="1355" t="s">
        <v>4679</v>
      </c>
      <c r="AB544" s="1356"/>
      <c r="AC544" s="1356"/>
      <c r="AD544" s="1356"/>
      <c r="AE544" s="1356"/>
      <c r="AF544" s="1357" t="str">
        <f t="shared" si="768"/>
        <v/>
      </c>
      <c r="AG544" s="1358">
        <v>0</v>
      </c>
      <c r="AH544" s="1426">
        <f t="shared" ref="AH544:AH548" si="791">AG544*12</f>
        <v>0</v>
      </c>
      <c r="AI544" s="1359">
        <v>0.1</v>
      </c>
      <c r="AJ544" s="1360">
        <f t="shared" si="776"/>
        <v>0</v>
      </c>
      <c r="AK544" s="1361">
        <f t="shared" ref="AK544:AK552" si="792">AI544*$AH544</f>
        <v>0</v>
      </c>
      <c r="AL544" s="1384">
        <v>0</v>
      </c>
      <c r="AM544" s="1363">
        <f t="shared" si="778"/>
        <v>0</v>
      </c>
      <c r="AN544" s="1364">
        <v>0.08</v>
      </c>
      <c r="AO544" s="1365">
        <f t="shared" si="779"/>
        <v>0</v>
      </c>
      <c r="AP544" s="1366">
        <v>0</v>
      </c>
      <c r="AQ544" s="1367">
        <f t="shared" si="780"/>
        <v>0</v>
      </c>
      <c r="AR544" s="1368">
        <v>0</v>
      </c>
      <c r="AS544" s="1369">
        <f t="shared" si="781"/>
        <v>0</v>
      </c>
      <c r="AT544" s="1370">
        <v>0</v>
      </c>
      <c r="AU544" s="1371">
        <f t="shared" si="782"/>
        <v>0</v>
      </c>
      <c r="AV544" s="1359">
        <f t="shared" si="783"/>
        <v>2.0000000000000004E-2</v>
      </c>
      <c r="AW544" s="1372">
        <f t="shared" si="784"/>
        <v>0</v>
      </c>
      <c r="AX544" s="1373">
        <f t="shared" si="785"/>
        <v>2.0000000000000004E-2</v>
      </c>
      <c r="AY544" s="1374">
        <f t="shared" si="786"/>
        <v>0</v>
      </c>
      <c r="AZ544" s="1375">
        <f t="shared" si="787"/>
        <v>2.0000000000000004E-2</v>
      </c>
      <c r="BA544" s="1376">
        <f t="shared" si="788"/>
        <v>0</v>
      </c>
      <c r="BB544" s="1377"/>
      <c r="BC544" s="1820"/>
      <c r="BD544" s="1820"/>
      <c r="BE544" s="1823"/>
      <c r="BF544" s="1826"/>
      <c r="BG544" s="1829"/>
    </row>
    <row r="545" spans="1:59" s="1378" customFormat="1" ht="38.25">
      <c r="A545" s="1347" t="str">
        <f t="shared" si="770"/>
        <v>Kezar Life Sciences, Inc.</v>
      </c>
      <c r="B545" s="1348" t="str">
        <f t="shared" si="771"/>
        <v>ABD</v>
      </c>
      <c r="C545" s="1348">
        <f t="shared" si="789"/>
        <v>20</v>
      </c>
      <c r="D545" s="1349">
        <f t="shared" si="773"/>
        <v>43252</v>
      </c>
      <c r="E545" s="1349"/>
      <c r="F545" s="1347" t="s">
        <v>113</v>
      </c>
      <c r="G545" s="1347" t="s">
        <v>85</v>
      </c>
      <c r="H545" s="1347" t="s">
        <v>85</v>
      </c>
      <c r="I545" s="1347" t="s">
        <v>113</v>
      </c>
      <c r="J545" s="1349"/>
      <c r="K545" s="1349" t="s">
        <v>254</v>
      </c>
      <c r="L545" s="1350" t="s">
        <v>4675</v>
      </c>
      <c r="M545" s="1350" t="s">
        <v>3651</v>
      </c>
      <c r="N545" s="1351" t="s">
        <v>4856</v>
      </c>
      <c r="O545" s="1352" t="s">
        <v>4681</v>
      </c>
      <c r="P545" s="1388"/>
      <c r="Q545" s="1354"/>
      <c r="R545" s="1354"/>
      <c r="S545" s="1354"/>
      <c r="T545" s="1354"/>
      <c r="U545" s="1354"/>
      <c r="V545" s="1354"/>
      <c r="W545" s="1353" t="s">
        <v>2492</v>
      </c>
      <c r="X545" s="1353">
        <f t="shared" si="774"/>
        <v>43252</v>
      </c>
      <c r="Y545" s="1353">
        <f t="shared" si="774"/>
        <v>43466</v>
      </c>
      <c r="Z545" s="1355"/>
      <c r="AA545" s="1355" t="s">
        <v>4679</v>
      </c>
      <c r="AB545" s="1356"/>
      <c r="AC545" s="1356"/>
      <c r="AD545" s="1356"/>
      <c r="AE545" s="1356"/>
      <c r="AF545" s="1357" t="str">
        <f t="shared" si="768"/>
        <v/>
      </c>
      <c r="AG545" s="1358">
        <v>0</v>
      </c>
      <c r="AH545" s="1426">
        <f t="shared" si="791"/>
        <v>0</v>
      </c>
      <c r="AI545" s="1359">
        <v>0.1</v>
      </c>
      <c r="AJ545" s="1360">
        <f t="shared" si="776"/>
        <v>0</v>
      </c>
      <c r="AK545" s="1361">
        <f t="shared" si="792"/>
        <v>0</v>
      </c>
      <c r="AL545" s="1384">
        <v>0</v>
      </c>
      <c r="AM545" s="1363">
        <f t="shared" si="778"/>
        <v>0</v>
      </c>
      <c r="AN545" s="1364">
        <v>0.08</v>
      </c>
      <c r="AO545" s="1365">
        <f t="shared" si="779"/>
        <v>0</v>
      </c>
      <c r="AP545" s="1366">
        <v>0</v>
      </c>
      <c r="AQ545" s="1367">
        <f t="shared" si="780"/>
        <v>0</v>
      </c>
      <c r="AR545" s="1368">
        <v>0</v>
      </c>
      <c r="AS545" s="1369">
        <f t="shared" si="781"/>
        <v>0</v>
      </c>
      <c r="AT545" s="1370">
        <v>0</v>
      </c>
      <c r="AU545" s="1371">
        <f t="shared" si="782"/>
        <v>0</v>
      </c>
      <c r="AV545" s="1359">
        <f t="shared" si="783"/>
        <v>2.0000000000000004E-2</v>
      </c>
      <c r="AW545" s="1372">
        <f t="shared" si="784"/>
        <v>0</v>
      </c>
      <c r="AX545" s="1373">
        <f t="shared" si="785"/>
        <v>2.0000000000000004E-2</v>
      </c>
      <c r="AY545" s="1374">
        <f t="shared" si="786"/>
        <v>0</v>
      </c>
      <c r="AZ545" s="1375">
        <f t="shared" si="787"/>
        <v>2.0000000000000004E-2</v>
      </c>
      <c r="BA545" s="1376">
        <f t="shared" si="788"/>
        <v>0</v>
      </c>
      <c r="BB545" s="1377"/>
      <c r="BC545" s="1820"/>
      <c r="BD545" s="1820"/>
      <c r="BE545" s="1823"/>
      <c r="BF545" s="1826"/>
      <c r="BG545" s="1829"/>
    </row>
    <row r="546" spans="1:59" s="1378" customFormat="1" ht="38.25">
      <c r="A546" s="1347" t="str">
        <f t="shared" si="770"/>
        <v>Kezar Life Sciences, Inc.</v>
      </c>
      <c r="B546" s="1348" t="str">
        <f t="shared" si="771"/>
        <v>ABD</v>
      </c>
      <c r="C546" s="1348">
        <f t="shared" si="789"/>
        <v>20</v>
      </c>
      <c r="D546" s="1349">
        <f t="shared" si="773"/>
        <v>43252</v>
      </c>
      <c r="E546" s="1349"/>
      <c r="F546" s="1347" t="s">
        <v>113</v>
      </c>
      <c r="G546" s="1347" t="s">
        <v>85</v>
      </c>
      <c r="H546" s="1347" t="s">
        <v>85</v>
      </c>
      <c r="I546" s="1347" t="s">
        <v>113</v>
      </c>
      <c r="J546" s="1349"/>
      <c r="K546" s="1349" t="s">
        <v>254</v>
      </c>
      <c r="L546" s="1350" t="s">
        <v>4682</v>
      </c>
      <c r="M546" s="1350" t="s">
        <v>4683</v>
      </c>
      <c r="N546" s="1386" t="s">
        <v>57</v>
      </c>
      <c r="O546" s="1352" t="s">
        <v>4684</v>
      </c>
      <c r="P546" s="1421"/>
      <c r="Q546" s="1354"/>
      <c r="R546" s="1354"/>
      <c r="S546" s="1354"/>
      <c r="T546" s="1354"/>
      <c r="U546" s="1354"/>
      <c r="V546" s="1354"/>
      <c r="W546" s="1354"/>
      <c r="X546" s="1353">
        <f t="shared" si="774"/>
        <v>43252</v>
      </c>
      <c r="Y546" s="1353">
        <f t="shared" si="774"/>
        <v>43466</v>
      </c>
      <c r="Z546" s="1355"/>
      <c r="AA546" s="1355" t="s">
        <v>4685</v>
      </c>
      <c r="AB546" s="1356"/>
      <c r="AC546" s="1356"/>
      <c r="AD546" s="1356"/>
      <c r="AE546" s="1356"/>
      <c r="AF546" s="1357" t="str">
        <f t="shared" si="768"/>
        <v/>
      </c>
      <c r="AG546" s="1358">
        <v>0</v>
      </c>
      <c r="AH546" s="1426">
        <f t="shared" si="791"/>
        <v>0</v>
      </c>
      <c r="AI546" s="1359">
        <v>0.15</v>
      </c>
      <c r="AJ546" s="1360">
        <f t="shared" si="776"/>
        <v>0</v>
      </c>
      <c r="AK546" s="1361">
        <f t="shared" si="792"/>
        <v>0</v>
      </c>
      <c r="AL546" s="1384">
        <v>0</v>
      </c>
      <c r="AM546" s="1363">
        <f t="shared" si="778"/>
        <v>0</v>
      </c>
      <c r="AN546" s="1364">
        <v>0.1</v>
      </c>
      <c r="AO546" s="1365">
        <f t="shared" si="779"/>
        <v>0</v>
      </c>
      <c r="AP546" s="1366">
        <v>0</v>
      </c>
      <c r="AQ546" s="1367">
        <f t="shared" si="780"/>
        <v>0</v>
      </c>
      <c r="AR546" s="1368">
        <v>0</v>
      </c>
      <c r="AS546" s="1369">
        <f t="shared" si="781"/>
        <v>0</v>
      </c>
      <c r="AT546" s="1370">
        <v>0</v>
      </c>
      <c r="AU546" s="1371">
        <f t="shared" si="782"/>
        <v>0</v>
      </c>
      <c r="AV546" s="1359">
        <f t="shared" si="783"/>
        <v>4.9999999999999989E-2</v>
      </c>
      <c r="AW546" s="1372">
        <f t="shared" si="784"/>
        <v>0</v>
      </c>
      <c r="AX546" s="1373">
        <f t="shared" si="785"/>
        <v>4.9999999999999989E-2</v>
      </c>
      <c r="AY546" s="1374">
        <f t="shared" si="786"/>
        <v>0</v>
      </c>
      <c r="AZ546" s="1375">
        <f t="shared" si="787"/>
        <v>4.9999999999999989E-2</v>
      </c>
      <c r="BA546" s="1376">
        <f t="shared" si="788"/>
        <v>0</v>
      </c>
      <c r="BB546" s="1377"/>
      <c r="BC546" s="1820"/>
      <c r="BD546" s="1820"/>
      <c r="BE546" s="1823"/>
      <c r="BF546" s="1826"/>
      <c r="BG546" s="1829"/>
    </row>
    <row r="547" spans="1:59" s="1378" customFormat="1" ht="38.25">
      <c r="A547" s="1347" t="str">
        <f t="shared" si="770"/>
        <v>Kezar Life Sciences, Inc.</v>
      </c>
      <c r="B547" s="1348" t="str">
        <f t="shared" si="771"/>
        <v>ABD</v>
      </c>
      <c r="C547" s="1348">
        <f t="shared" si="789"/>
        <v>20</v>
      </c>
      <c r="D547" s="1349">
        <f t="shared" si="773"/>
        <v>43252</v>
      </c>
      <c r="E547" s="1349"/>
      <c r="F547" s="1347" t="s">
        <v>113</v>
      </c>
      <c r="G547" s="1347" t="s">
        <v>85</v>
      </c>
      <c r="H547" s="1347" t="s">
        <v>85</v>
      </c>
      <c r="I547" s="1347" t="s">
        <v>113</v>
      </c>
      <c r="J547" s="1349"/>
      <c r="K547" s="1349" t="s">
        <v>254</v>
      </c>
      <c r="L547" s="1350" t="s">
        <v>4682</v>
      </c>
      <c r="M547" s="1350" t="s">
        <v>62</v>
      </c>
      <c r="N547" s="1351" t="s">
        <v>101</v>
      </c>
      <c r="O547" s="1352" t="s">
        <v>4688</v>
      </c>
      <c r="P547" s="1388"/>
      <c r="Q547" s="1354"/>
      <c r="R547" s="1354"/>
      <c r="S547" s="1354"/>
      <c r="T547" s="1354"/>
      <c r="U547" s="1354"/>
      <c r="V547" s="1354"/>
      <c r="W547" s="1354"/>
      <c r="X547" s="1353">
        <f t="shared" si="774"/>
        <v>43252</v>
      </c>
      <c r="Y547" s="1353">
        <f t="shared" si="774"/>
        <v>43466</v>
      </c>
      <c r="Z547" s="1355"/>
      <c r="AA547" s="1355" t="s">
        <v>4685</v>
      </c>
      <c r="AB547" s="1356"/>
      <c r="AC547" s="1356"/>
      <c r="AD547" s="1356"/>
      <c r="AE547" s="1356"/>
      <c r="AF547" s="1357" t="str">
        <f t="shared" si="768"/>
        <v/>
      </c>
      <c r="AG547" s="1358">
        <v>0</v>
      </c>
      <c r="AH547" s="1426">
        <f t="shared" si="791"/>
        <v>0</v>
      </c>
      <c r="AI547" s="1359">
        <v>0.15</v>
      </c>
      <c r="AJ547" s="1360">
        <f t="shared" si="776"/>
        <v>0</v>
      </c>
      <c r="AK547" s="1361">
        <f t="shared" si="792"/>
        <v>0</v>
      </c>
      <c r="AL547" s="1384">
        <v>0</v>
      </c>
      <c r="AM547" s="1363">
        <f t="shared" si="778"/>
        <v>0</v>
      </c>
      <c r="AN547" s="1364">
        <v>0.1</v>
      </c>
      <c r="AO547" s="1365">
        <f t="shared" si="779"/>
        <v>0</v>
      </c>
      <c r="AP547" s="1366">
        <v>0</v>
      </c>
      <c r="AQ547" s="1367">
        <f t="shared" si="780"/>
        <v>0</v>
      </c>
      <c r="AR547" s="1368">
        <v>0</v>
      </c>
      <c r="AS547" s="1369">
        <f t="shared" si="781"/>
        <v>0</v>
      </c>
      <c r="AT547" s="1370">
        <v>0</v>
      </c>
      <c r="AU547" s="1371">
        <f t="shared" si="782"/>
        <v>0</v>
      </c>
      <c r="AV547" s="1359">
        <f t="shared" si="783"/>
        <v>4.9999999999999989E-2</v>
      </c>
      <c r="AW547" s="1372">
        <f t="shared" si="784"/>
        <v>0</v>
      </c>
      <c r="AX547" s="1373">
        <f t="shared" si="785"/>
        <v>4.9999999999999989E-2</v>
      </c>
      <c r="AY547" s="1374">
        <f t="shared" si="786"/>
        <v>0</v>
      </c>
      <c r="AZ547" s="1375">
        <f t="shared" si="787"/>
        <v>4.9999999999999989E-2</v>
      </c>
      <c r="BA547" s="1376">
        <f t="shared" si="788"/>
        <v>0</v>
      </c>
      <c r="BB547" s="1377"/>
      <c r="BC547" s="1820"/>
      <c r="BD547" s="1820"/>
      <c r="BE547" s="1823"/>
      <c r="BF547" s="1826"/>
      <c r="BG547" s="1829"/>
    </row>
    <row r="548" spans="1:59" s="1378" customFormat="1" ht="38.25">
      <c r="A548" s="1347" t="str">
        <f t="shared" si="770"/>
        <v>Kezar Life Sciences, Inc.</v>
      </c>
      <c r="B548" s="1348" t="str">
        <f t="shared" si="771"/>
        <v>ABD</v>
      </c>
      <c r="C548" s="1348">
        <f t="shared" si="789"/>
        <v>20</v>
      </c>
      <c r="D548" s="1349">
        <f t="shared" si="773"/>
        <v>43252</v>
      </c>
      <c r="E548" s="1349"/>
      <c r="F548" s="1347" t="s">
        <v>113</v>
      </c>
      <c r="G548" s="1347" t="s">
        <v>85</v>
      </c>
      <c r="H548" s="1347" t="s">
        <v>85</v>
      </c>
      <c r="I548" s="1347" t="s">
        <v>113</v>
      </c>
      <c r="J548" s="1349"/>
      <c r="K548" s="1349" t="s">
        <v>254</v>
      </c>
      <c r="L548" s="1350" t="s">
        <v>4682</v>
      </c>
      <c r="M548" s="1350" t="s">
        <v>67</v>
      </c>
      <c r="N548" s="1351" t="s">
        <v>440</v>
      </c>
      <c r="O548" s="1352" t="s">
        <v>4689</v>
      </c>
      <c r="P548" s="1388"/>
      <c r="Q548" s="1354"/>
      <c r="R548" s="1354"/>
      <c r="S548" s="1354"/>
      <c r="T548" s="1354"/>
      <c r="U548" s="1354"/>
      <c r="V548" s="1354"/>
      <c r="W548" s="1354"/>
      <c r="X548" s="1353">
        <f t="shared" si="774"/>
        <v>43252</v>
      </c>
      <c r="Y548" s="1353">
        <f t="shared" si="774"/>
        <v>43466</v>
      </c>
      <c r="Z548" s="1355"/>
      <c r="AA548" s="1355" t="s">
        <v>4685</v>
      </c>
      <c r="AB548" s="1356"/>
      <c r="AC548" s="1356"/>
      <c r="AD548" s="1356"/>
      <c r="AE548" s="1356"/>
      <c r="AF548" s="1357" t="str">
        <f t="shared" si="768"/>
        <v/>
      </c>
      <c r="AG548" s="1358">
        <v>0</v>
      </c>
      <c r="AH548" s="1426">
        <f t="shared" si="791"/>
        <v>0</v>
      </c>
      <c r="AI548" s="1359">
        <v>0.15</v>
      </c>
      <c r="AJ548" s="1360">
        <f t="shared" si="776"/>
        <v>0</v>
      </c>
      <c r="AK548" s="1361">
        <f t="shared" si="792"/>
        <v>0</v>
      </c>
      <c r="AL548" s="1384">
        <v>0</v>
      </c>
      <c r="AM548" s="1363">
        <f t="shared" si="778"/>
        <v>0</v>
      </c>
      <c r="AN548" s="1364">
        <v>0.1</v>
      </c>
      <c r="AO548" s="1365">
        <f t="shared" si="779"/>
        <v>0</v>
      </c>
      <c r="AP548" s="1366">
        <v>0</v>
      </c>
      <c r="AQ548" s="1367">
        <f t="shared" si="780"/>
        <v>0</v>
      </c>
      <c r="AR548" s="1368">
        <v>0</v>
      </c>
      <c r="AS548" s="1369">
        <f t="shared" si="781"/>
        <v>0</v>
      </c>
      <c r="AT548" s="1370">
        <v>0</v>
      </c>
      <c r="AU548" s="1371">
        <f t="shared" si="782"/>
        <v>0</v>
      </c>
      <c r="AV548" s="1359">
        <f t="shared" si="783"/>
        <v>4.9999999999999989E-2</v>
      </c>
      <c r="AW548" s="1372">
        <f t="shared" si="784"/>
        <v>0</v>
      </c>
      <c r="AX548" s="1373">
        <f t="shared" si="785"/>
        <v>4.9999999999999989E-2</v>
      </c>
      <c r="AY548" s="1374">
        <f t="shared" si="786"/>
        <v>0</v>
      </c>
      <c r="AZ548" s="1375">
        <f t="shared" si="787"/>
        <v>4.9999999999999989E-2</v>
      </c>
      <c r="BA548" s="1376">
        <f t="shared" si="788"/>
        <v>0</v>
      </c>
      <c r="BB548" s="1377"/>
      <c r="BC548" s="1820"/>
      <c r="BD548" s="1820"/>
      <c r="BE548" s="1823"/>
      <c r="BF548" s="1826"/>
      <c r="BG548" s="1829"/>
    </row>
    <row r="549" spans="1:59" s="1378" customFormat="1" ht="38.25">
      <c r="A549" s="1347" t="str">
        <f t="shared" si="770"/>
        <v>Kezar Life Sciences, Inc.</v>
      </c>
      <c r="B549" s="1348" t="str">
        <f t="shared" si="771"/>
        <v>ABD</v>
      </c>
      <c r="C549" s="1348">
        <f t="shared" si="789"/>
        <v>20</v>
      </c>
      <c r="D549" s="1349">
        <f t="shared" si="773"/>
        <v>43252</v>
      </c>
      <c r="E549" s="1349"/>
      <c r="F549" s="1347" t="s">
        <v>72</v>
      </c>
      <c r="G549" s="1347" t="s">
        <v>85</v>
      </c>
      <c r="H549" s="1347" t="s">
        <v>72</v>
      </c>
      <c r="I549" s="1347" t="s">
        <v>72</v>
      </c>
      <c r="J549" s="1349" t="s">
        <v>4670</v>
      </c>
      <c r="K549" s="1349" t="s">
        <v>254</v>
      </c>
      <c r="L549" s="1350" t="s">
        <v>4696</v>
      </c>
      <c r="M549" s="1350" t="s">
        <v>4697</v>
      </c>
      <c r="N549" s="1389" t="s">
        <v>4698</v>
      </c>
      <c r="O549" s="1352" t="s">
        <v>4699</v>
      </c>
      <c r="P549" s="1388"/>
      <c r="Q549" s="1354"/>
      <c r="R549" s="1354"/>
      <c r="S549" s="1354"/>
      <c r="T549" s="1354"/>
      <c r="U549" s="1354"/>
      <c r="V549" s="1354"/>
      <c r="W549" s="1354"/>
      <c r="X549" s="1353">
        <f t="shared" si="774"/>
        <v>43252</v>
      </c>
      <c r="Y549" s="1353">
        <f t="shared" si="774"/>
        <v>43466</v>
      </c>
      <c r="Z549" s="1355"/>
      <c r="AA549" s="1355" t="s">
        <v>4674</v>
      </c>
      <c r="AB549" s="1356"/>
      <c r="AC549" s="1356"/>
      <c r="AD549" s="1356"/>
      <c r="AE549" s="1356"/>
      <c r="AF549" s="1357" t="str">
        <f t="shared" si="768"/>
        <v/>
      </c>
      <c r="AG549" s="1380">
        <f t="shared" si="790"/>
        <v>0</v>
      </c>
      <c r="AH549" s="1380">
        <v>0</v>
      </c>
      <c r="AI549" s="1381">
        <v>0</v>
      </c>
      <c r="AJ549" s="1382">
        <f t="shared" si="776"/>
        <v>0</v>
      </c>
      <c r="AK549" s="1383">
        <f t="shared" si="792"/>
        <v>0</v>
      </c>
      <c r="AL549" s="1384">
        <v>0</v>
      </c>
      <c r="AM549" s="1363">
        <f t="shared" si="778"/>
        <v>0</v>
      </c>
      <c r="AN549" s="1364">
        <v>0</v>
      </c>
      <c r="AO549" s="1365">
        <f t="shared" si="779"/>
        <v>0</v>
      </c>
      <c r="AP549" s="1366">
        <v>0</v>
      </c>
      <c r="AQ549" s="1367">
        <f t="shared" si="780"/>
        <v>0</v>
      </c>
      <c r="AR549" s="1368">
        <v>0</v>
      </c>
      <c r="AS549" s="1369">
        <f t="shared" si="781"/>
        <v>0</v>
      </c>
      <c r="AT549" s="1370">
        <v>0</v>
      </c>
      <c r="AU549" s="1371">
        <f t="shared" si="782"/>
        <v>0</v>
      </c>
      <c r="AV549" s="1359">
        <f t="shared" si="783"/>
        <v>0</v>
      </c>
      <c r="AW549" s="1372">
        <f t="shared" si="784"/>
        <v>0</v>
      </c>
      <c r="AX549" s="1373">
        <f t="shared" si="785"/>
        <v>0</v>
      </c>
      <c r="AY549" s="1374">
        <f t="shared" si="786"/>
        <v>0</v>
      </c>
      <c r="AZ549" s="1375">
        <f t="shared" si="787"/>
        <v>0</v>
      </c>
      <c r="BA549" s="1376">
        <f t="shared" si="788"/>
        <v>0</v>
      </c>
      <c r="BB549" s="1377"/>
      <c r="BC549" s="1820"/>
      <c r="BD549" s="1820"/>
      <c r="BE549" s="1823"/>
      <c r="BF549" s="1826"/>
      <c r="BG549" s="1829"/>
    </row>
    <row r="550" spans="1:59" s="1378" customFormat="1" ht="38.25">
      <c r="A550" s="1347" t="str">
        <f t="shared" si="770"/>
        <v>Kezar Life Sciences, Inc.</v>
      </c>
      <c r="B550" s="1348" t="str">
        <f t="shared" si="771"/>
        <v>ABD</v>
      </c>
      <c r="C550" s="1348">
        <f t="shared" si="789"/>
        <v>20</v>
      </c>
      <c r="D550" s="1349">
        <f t="shared" si="773"/>
        <v>43252</v>
      </c>
      <c r="E550" s="1349"/>
      <c r="F550" s="1347" t="s">
        <v>72</v>
      </c>
      <c r="G550" s="1347" t="s">
        <v>85</v>
      </c>
      <c r="H550" s="1347" t="s">
        <v>72</v>
      </c>
      <c r="I550" s="1347" t="s">
        <v>72</v>
      </c>
      <c r="J550" s="1349" t="s">
        <v>4670</v>
      </c>
      <c r="K550" s="1349" t="s">
        <v>254</v>
      </c>
      <c r="L550" s="1350" t="s">
        <v>48</v>
      </c>
      <c r="M550" s="1350" t="s">
        <v>253</v>
      </c>
      <c r="N550" s="1390" t="s">
        <v>4703</v>
      </c>
      <c r="O550" s="1352" t="s">
        <v>4704</v>
      </c>
      <c r="P550" s="1388"/>
      <c r="Q550" s="1354"/>
      <c r="R550" s="1354"/>
      <c r="S550" s="1354"/>
      <c r="T550" s="1354"/>
      <c r="U550" s="1354"/>
      <c r="V550" s="1354"/>
      <c r="W550" s="1354"/>
      <c r="X550" s="1353">
        <f t="shared" si="774"/>
        <v>43252</v>
      </c>
      <c r="Y550" s="1353">
        <f t="shared" si="774"/>
        <v>43466</v>
      </c>
      <c r="Z550" s="1355"/>
      <c r="AA550" s="1355" t="s">
        <v>4674</v>
      </c>
      <c r="AB550" s="1356"/>
      <c r="AC550" s="1356"/>
      <c r="AD550" s="1356"/>
      <c r="AE550" s="1356"/>
      <c r="AF550" s="1357" t="str">
        <f t="shared" si="768"/>
        <v/>
      </c>
      <c r="AG550" s="1380">
        <f t="shared" si="790"/>
        <v>0</v>
      </c>
      <c r="AH550" s="1380">
        <v>0</v>
      </c>
      <c r="AI550" s="1381">
        <v>0</v>
      </c>
      <c r="AJ550" s="1382">
        <f t="shared" si="776"/>
        <v>0</v>
      </c>
      <c r="AK550" s="1383">
        <f t="shared" si="792"/>
        <v>0</v>
      </c>
      <c r="AL550" s="1384">
        <v>0</v>
      </c>
      <c r="AM550" s="1363">
        <f t="shared" si="778"/>
        <v>0</v>
      </c>
      <c r="AN550" s="1364">
        <v>0</v>
      </c>
      <c r="AO550" s="1365">
        <f t="shared" si="779"/>
        <v>0</v>
      </c>
      <c r="AP550" s="1366">
        <v>0</v>
      </c>
      <c r="AQ550" s="1367">
        <f t="shared" si="780"/>
        <v>0</v>
      </c>
      <c r="AR550" s="1368">
        <v>0</v>
      </c>
      <c r="AS550" s="1369">
        <f t="shared" si="781"/>
        <v>0</v>
      </c>
      <c r="AT550" s="1370">
        <v>0</v>
      </c>
      <c r="AU550" s="1371">
        <f t="shared" si="782"/>
        <v>0</v>
      </c>
      <c r="AV550" s="1359">
        <f t="shared" si="783"/>
        <v>0</v>
      </c>
      <c r="AW550" s="1372">
        <f t="shared" si="784"/>
        <v>0</v>
      </c>
      <c r="AX550" s="1373">
        <f t="shared" si="785"/>
        <v>0</v>
      </c>
      <c r="AY550" s="1374">
        <f t="shared" si="786"/>
        <v>0</v>
      </c>
      <c r="AZ550" s="1375">
        <f t="shared" si="787"/>
        <v>0</v>
      </c>
      <c r="BA550" s="1376">
        <f t="shared" si="788"/>
        <v>0</v>
      </c>
      <c r="BB550" s="1377"/>
      <c r="BC550" s="1820"/>
      <c r="BD550" s="1820"/>
      <c r="BE550" s="1823"/>
      <c r="BF550" s="1826"/>
      <c r="BG550" s="1829"/>
    </row>
    <row r="551" spans="1:59" s="1378" customFormat="1" ht="38.25">
      <c r="A551" s="1347" t="str">
        <f t="shared" si="770"/>
        <v>Kezar Life Sciences, Inc.</v>
      </c>
      <c r="B551" s="1348" t="str">
        <f t="shared" si="771"/>
        <v>ABD</v>
      </c>
      <c r="C551" s="1348">
        <f t="shared" si="789"/>
        <v>20</v>
      </c>
      <c r="D551" s="1349">
        <f t="shared" si="773"/>
        <v>43252</v>
      </c>
      <c r="E551" s="1349"/>
      <c r="F551" s="1347" t="s">
        <v>72</v>
      </c>
      <c r="G551" s="1347" t="s">
        <v>113</v>
      </c>
      <c r="H551" s="1347" t="s">
        <v>72</v>
      </c>
      <c r="I551" s="1347" t="s">
        <v>72</v>
      </c>
      <c r="J551" s="1349" t="s">
        <v>4670</v>
      </c>
      <c r="K551" s="1349" t="s">
        <v>254</v>
      </c>
      <c r="L551" s="1397" t="s">
        <v>3056</v>
      </c>
      <c r="M551" s="1397" t="s">
        <v>4705</v>
      </c>
      <c r="N551" s="1412" t="s">
        <v>4746</v>
      </c>
      <c r="O551" s="1399" t="s">
        <v>5111</v>
      </c>
      <c r="P551" s="1399"/>
      <c r="Q551" s="1400"/>
      <c r="R551" s="1400"/>
      <c r="S551" s="1400"/>
      <c r="T551" s="1400"/>
      <c r="U551" s="1400"/>
      <c r="V551" s="1400"/>
      <c r="W551" s="1400"/>
      <c r="X551" s="1400">
        <f t="shared" si="774"/>
        <v>43252</v>
      </c>
      <c r="Y551" s="1400">
        <f t="shared" si="774"/>
        <v>43466</v>
      </c>
      <c r="Z551" s="1401"/>
      <c r="AA551" s="1401" t="s">
        <v>4738</v>
      </c>
      <c r="AB551" s="1356"/>
      <c r="AC551" s="1356"/>
      <c r="AD551" s="1356"/>
      <c r="AE551" s="1356"/>
      <c r="AF551" s="1357" t="str">
        <f t="shared" si="768"/>
        <v/>
      </c>
      <c r="AG551" s="1380">
        <f t="shared" si="790"/>
        <v>0</v>
      </c>
      <c r="AH551" s="1380">
        <v>0</v>
      </c>
      <c r="AI551" s="1381">
        <v>0</v>
      </c>
      <c r="AJ551" s="1382">
        <f t="shared" si="776"/>
        <v>0</v>
      </c>
      <c r="AK551" s="1383">
        <f t="shared" si="792"/>
        <v>0</v>
      </c>
      <c r="AL551" s="1384">
        <v>0</v>
      </c>
      <c r="AM551" s="1363">
        <f t="shared" si="778"/>
        <v>0</v>
      </c>
      <c r="AN551" s="1364">
        <v>0</v>
      </c>
      <c r="AO551" s="1365">
        <f t="shared" si="779"/>
        <v>0</v>
      </c>
      <c r="AP551" s="1366">
        <v>0</v>
      </c>
      <c r="AQ551" s="1367">
        <f t="shared" si="780"/>
        <v>0</v>
      </c>
      <c r="AR551" s="1368">
        <v>0</v>
      </c>
      <c r="AS551" s="1369">
        <f t="shared" si="781"/>
        <v>0</v>
      </c>
      <c r="AT551" s="1370">
        <v>0</v>
      </c>
      <c r="AU551" s="1371">
        <f t="shared" si="782"/>
        <v>0</v>
      </c>
      <c r="AV551" s="1359">
        <f t="shared" si="783"/>
        <v>0</v>
      </c>
      <c r="AW551" s="1372">
        <f t="shared" si="784"/>
        <v>0</v>
      </c>
      <c r="AX551" s="1373">
        <f t="shared" si="785"/>
        <v>0</v>
      </c>
      <c r="AY551" s="1374">
        <f t="shared" si="786"/>
        <v>0</v>
      </c>
      <c r="AZ551" s="1375">
        <f t="shared" si="787"/>
        <v>0</v>
      </c>
      <c r="BA551" s="1376">
        <f t="shared" si="788"/>
        <v>0</v>
      </c>
      <c r="BB551" s="1391"/>
      <c r="BC551" s="1820"/>
      <c r="BD551" s="1820"/>
      <c r="BE551" s="1823"/>
      <c r="BF551" s="1826"/>
      <c r="BG551" s="1829"/>
    </row>
    <row r="552" spans="1:59" s="1378" customFormat="1" ht="38.25">
      <c r="A552" s="1347" t="str">
        <f t="shared" si="770"/>
        <v>Kezar Life Sciences, Inc.</v>
      </c>
      <c r="B552" s="1348" t="str">
        <f t="shared" si="771"/>
        <v>ABD</v>
      </c>
      <c r="C552" s="1348">
        <f t="shared" si="789"/>
        <v>20</v>
      </c>
      <c r="D552" s="1349">
        <f t="shared" si="773"/>
        <v>43252</v>
      </c>
      <c r="E552" s="1349"/>
      <c r="F552" s="1347" t="s">
        <v>72</v>
      </c>
      <c r="G552" s="1347" t="s">
        <v>85</v>
      </c>
      <c r="H552" s="1347" t="s">
        <v>72</v>
      </c>
      <c r="I552" s="1347" t="s">
        <v>72</v>
      </c>
      <c r="J552" s="1349" t="s">
        <v>4670</v>
      </c>
      <c r="K552" s="1349" t="s">
        <v>254</v>
      </c>
      <c r="L552" s="1350" t="s">
        <v>3056</v>
      </c>
      <c r="M552" s="1350" t="s">
        <v>4708</v>
      </c>
      <c r="N552" s="1390" t="s">
        <v>4709</v>
      </c>
      <c r="O552" s="1352" t="s">
        <v>4710</v>
      </c>
      <c r="P552" s="1388"/>
      <c r="Q552" s="1354"/>
      <c r="R552" s="1354"/>
      <c r="S552" s="1354"/>
      <c r="T552" s="1354"/>
      <c r="U552" s="1354"/>
      <c r="V552" s="1354"/>
      <c r="W552" s="1354"/>
      <c r="X552" s="1353">
        <f t="shared" si="774"/>
        <v>43252</v>
      </c>
      <c r="Y552" s="1353">
        <f t="shared" si="774"/>
        <v>43466</v>
      </c>
      <c r="Z552" s="1355"/>
      <c r="AA552" s="1355" t="s">
        <v>4674</v>
      </c>
      <c r="AB552" s="1356"/>
      <c r="AC552" s="1356"/>
      <c r="AD552" s="1356"/>
      <c r="AE552" s="1356"/>
      <c r="AF552" s="1357" t="str">
        <f t="shared" si="768"/>
        <v/>
      </c>
      <c r="AG552" s="1380">
        <f t="shared" si="790"/>
        <v>0</v>
      </c>
      <c r="AH552" s="1380">
        <v>0</v>
      </c>
      <c r="AI552" s="1381">
        <v>0</v>
      </c>
      <c r="AJ552" s="1382">
        <f t="shared" si="776"/>
        <v>0</v>
      </c>
      <c r="AK552" s="1383">
        <f t="shared" si="792"/>
        <v>0</v>
      </c>
      <c r="AL552" s="1384">
        <v>0</v>
      </c>
      <c r="AM552" s="1363">
        <f t="shared" si="778"/>
        <v>0</v>
      </c>
      <c r="AN552" s="1364">
        <v>0</v>
      </c>
      <c r="AO552" s="1365">
        <f t="shared" si="779"/>
        <v>0</v>
      </c>
      <c r="AP552" s="1366">
        <v>0</v>
      </c>
      <c r="AQ552" s="1367">
        <f t="shared" si="780"/>
        <v>0</v>
      </c>
      <c r="AR552" s="1368">
        <v>0</v>
      </c>
      <c r="AS552" s="1369">
        <f t="shared" si="781"/>
        <v>0</v>
      </c>
      <c r="AT552" s="1370">
        <v>0</v>
      </c>
      <c r="AU552" s="1371">
        <f t="shared" si="782"/>
        <v>0</v>
      </c>
      <c r="AV552" s="1359">
        <f t="shared" si="783"/>
        <v>0</v>
      </c>
      <c r="AW552" s="1372">
        <f t="shared" si="784"/>
        <v>0</v>
      </c>
      <c r="AX552" s="1373">
        <f t="shared" si="785"/>
        <v>0</v>
      </c>
      <c r="AY552" s="1374">
        <f t="shared" si="786"/>
        <v>0</v>
      </c>
      <c r="AZ552" s="1375">
        <f t="shared" si="787"/>
        <v>0</v>
      </c>
      <c r="BA552" s="1376">
        <f t="shared" si="788"/>
        <v>0</v>
      </c>
      <c r="BB552" s="1391"/>
      <c r="BC552" s="1821"/>
      <c r="BD552" s="1821"/>
      <c r="BE552" s="1824"/>
      <c r="BF552" s="1827"/>
      <c r="BG552" s="1830"/>
    </row>
    <row r="553" spans="1:59" s="1315" customFormat="1" ht="38.25">
      <c r="A553" s="1277" t="str">
        <f>L553</f>
        <v>Kodiak Sciences, Inc.</v>
      </c>
      <c r="B553" s="1316" t="str">
        <f>N553</f>
        <v>Woodruff-Sawyer</v>
      </c>
      <c r="C553" s="1316">
        <f>Z553</f>
        <v>19</v>
      </c>
      <c r="D553" s="1317">
        <v>43101</v>
      </c>
      <c r="E553" s="1317"/>
      <c r="F553" s="1277" t="s">
        <v>72</v>
      </c>
      <c r="G553" s="1277" t="s">
        <v>72</v>
      </c>
      <c r="H553" s="1277" t="s">
        <v>72</v>
      </c>
      <c r="I553" s="1277" t="s">
        <v>4711</v>
      </c>
      <c r="J553" s="1317"/>
      <c r="K553" s="1317"/>
      <c r="L553" s="1318" t="s">
        <v>424</v>
      </c>
      <c r="M553" s="1319"/>
      <c r="N553" s="1417" t="s">
        <v>3659</v>
      </c>
      <c r="O553" s="1418" t="s">
        <v>2473</v>
      </c>
      <c r="P553" s="1418"/>
      <c r="Q553" s="1322"/>
      <c r="R553" s="1322"/>
      <c r="S553" s="1322"/>
      <c r="T553" s="1322"/>
      <c r="U553" s="1322"/>
      <c r="V553" s="1322"/>
      <c r="W553" s="1322"/>
      <c r="X553" s="1317">
        <v>43101</v>
      </c>
      <c r="Y553" s="1317">
        <v>43466</v>
      </c>
      <c r="Z553" s="1316">
        <v>19</v>
      </c>
      <c r="AA553" s="1316" t="s">
        <v>5112</v>
      </c>
      <c r="AB553" s="1323">
        <f>SUM(AB554:AB566)</f>
        <v>0</v>
      </c>
      <c r="AC553" s="1323">
        <f>SUM(AC554:AC566)</f>
        <v>263243.24</v>
      </c>
      <c r="AD553" s="1323">
        <f>SUM(AD554:AD566)</f>
        <v>229797</v>
      </c>
      <c r="AE553" s="1324">
        <f t="shared" ref="AE553:AE557" si="793">AD553-AB553</f>
        <v>229797</v>
      </c>
      <c r="AF553" s="1325" t="str">
        <f t="shared" si="768"/>
        <v/>
      </c>
      <c r="AG553" s="1326">
        <f t="shared" si="790"/>
        <v>20316.964166666668</v>
      </c>
      <c r="AH553" s="1326">
        <f>SUM(AH554:AH566)</f>
        <v>243803.57</v>
      </c>
      <c r="AI553" s="1339"/>
      <c r="AJ553" s="1328">
        <f>SUM(AJ554:AJ566)</f>
        <v>1772.6721250000001</v>
      </c>
      <c r="AK553" s="1328">
        <f>SUM(AK554:AK566)</f>
        <v>21272.065499999997</v>
      </c>
      <c r="AL553" s="1329"/>
      <c r="AM553" s="1330">
        <f>SUM(AM554:AM566)</f>
        <v>952.15499999999997</v>
      </c>
      <c r="AN553" s="1331"/>
      <c r="AO553" s="1332">
        <f>SUM(AO554:AO566)</f>
        <v>12167.177</v>
      </c>
      <c r="AP553" s="1333"/>
      <c r="AQ553" s="1334">
        <f>SUM(AQ554:AQ566)</f>
        <v>0</v>
      </c>
      <c r="AR553" s="1335"/>
      <c r="AS553" s="1336">
        <f>SUM(AS554:AS566)</f>
        <v>0</v>
      </c>
      <c r="AT553" s="1337"/>
      <c r="AU553" s="1338">
        <f>SUM(AU554:AU566)</f>
        <v>4760.7750000000005</v>
      </c>
      <c r="AV553" s="1339"/>
      <c r="AW553" s="1340">
        <f>SUM(AW554:AW566)</f>
        <v>3391.9584999999988</v>
      </c>
      <c r="AX553" s="1306"/>
      <c r="AY553" s="1307">
        <f>SUM(AW553+AS553+AU553)</f>
        <v>8152.7334999999994</v>
      </c>
      <c r="AZ553" s="1341"/>
      <c r="BA553" s="1309">
        <f>SUM(AY553+AQ553)</f>
        <v>8152.7334999999994</v>
      </c>
      <c r="BB553" s="1342">
        <f>(AW553+AU553)/(AK553-AM553)</f>
        <v>0.40121896698314691</v>
      </c>
      <c r="BC553" s="1343"/>
      <c r="BD553" s="1343"/>
      <c r="BE553" s="1344"/>
      <c r="BF553" s="1420" t="s">
        <v>5113</v>
      </c>
      <c r="BG553" s="1346"/>
    </row>
    <row r="554" spans="1:59" s="1378" customFormat="1" ht="76.5">
      <c r="A554" s="1347" t="str">
        <f>L553</f>
        <v>Kodiak Sciences, Inc.</v>
      </c>
      <c r="B554" s="1348" t="str">
        <f>N553</f>
        <v>Woodruff-Sawyer</v>
      </c>
      <c r="C554" s="1348">
        <f>Z553</f>
        <v>19</v>
      </c>
      <c r="D554" s="1349">
        <v>43101</v>
      </c>
      <c r="E554" s="1349"/>
      <c r="F554" s="1347" t="s">
        <v>85</v>
      </c>
      <c r="G554" s="1347" t="s">
        <v>85</v>
      </c>
      <c r="H554" s="1347" t="s">
        <v>85</v>
      </c>
      <c r="I554" s="1347" t="s">
        <v>2474</v>
      </c>
      <c r="J554" s="1349"/>
      <c r="K554" s="1349" t="s">
        <v>254</v>
      </c>
      <c r="L554" s="1350" t="s">
        <v>2661</v>
      </c>
      <c r="M554" s="1350" t="s">
        <v>3647</v>
      </c>
      <c r="N554" s="1351" t="s">
        <v>5114</v>
      </c>
      <c r="O554" s="1352" t="s">
        <v>5115</v>
      </c>
      <c r="P554" s="1352" t="s">
        <v>4788</v>
      </c>
      <c r="Q554" s="1353" t="s">
        <v>303</v>
      </c>
      <c r="R554" s="1353" t="s">
        <v>3648</v>
      </c>
      <c r="S554" s="1353" t="s">
        <v>307</v>
      </c>
      <c r="T554" s="1353" t="s">
        <v>113</v>
      </c>
      <c r="U554" s="1354"/>
      <c r="V554" s="1354"/>
      <c r="W554" s="1354"/>
      <c r="X554" s="1353">
        <v>43101</v>
      </c>
      <c r="Y554" s="1353">
        <v>43466</v>
      </c>
      <c r="Z554" s="1355"/>
      <c r="AA554" s="1355" t="s">
        <v>4667</v>
      </c>
      <c r="AB554" s="1356"/>
      <c r="AC554" s="1422">
        <v>228814.24</v>
      </c>
      <c r="AD554" s="1422">
        <f t="shared" ref="AD554" si="794">AH554</f>
        <v>190431</v>
      </c>
      <c r="AE554" s="1422">
        <f t="shared" si="793"/>
        <v>190431</v>
      </c>
      <c r="AF554" s="1423">
        <f>IFERROR((AE554/AC554),"")</f>
        <v>0.83225152420583615</v>
      </c>
      <c r="AG554" s="1358">
        <f t="shared" si="790"/>
        <v>15869.25</v>
      </c>
      <c r="AH554" s="1358">
        <v>190431</v>
      </c>
      <c r="AI554" s="1359">
        <v>0.08</v>
      </c>
      <c r="AJ554" s="1360">
        <f t="shared" ref="AJ554:AJ561" si="795">$AI554*$AG554</f>
        <v>1269.54</v>
      </c>
      <c r="AK554" s="1361">
        <f t="shared" ref="AK554:AK561" si="796">AI554*$AH554</f>
        <v>15234.48</v>
      </c>
      <c r="AL554" s="1362">
        <v>5.0000000000000001E-3</v>
      </c>
      <c r="AM554" s="1363">
        <f t="shared" ref="AM554:AM566" si="797">AL554*$AH554</f>
        <v>952.15499999999997</v>
      </c>
      <c r="AN554" s="1364">
        <v>0.04</v>
      </c>
      <c r="AO554" s="1365">
        <f t="shared" ref="AO554:AO566" si="798">AN554*$AH554</f>
        <v>7617.24</v>
      </c>
      <c r="AP554" s="1366">
        <v>0</v>
      </c>
      <c r="AQ554" s="1367">
        <f t="shared" ref="AQ554:AQ566" si="799">AP554*$AH554</f>
        <v>0</v>
      </c>
      <c r="AR554" s="1368">
        <v>0</v>
      </c>
      <c r="AS554" s="1369">
        <f t="shared" ref="AS554:AS566" si="800">AR554*$AH554</f>
        <v>0</v>
      </c>
      <c r="AT554" s="1370">
        <v>2.5000000000000001E-2</v>
      </c>
      <c r="AU554" s="1371">
        <f t="shared" ref="AU554:AU566" si="801">AT554*$AH554</f>
        <v>4760.7750000000005</v>
      </c>
      <c r="AV554" s="1359">
        <f t="shared" ref="AV554:AV566" si="802">AZ554-AR554-AT554-AP554</f>
        <v>9.999999999999995E-3</v>
      </c>
      <c r="AW554" s="1372">
        <f t="shared" ref="AW554:AW566" si="803">AV554*$AH554</f>
        <v>1904.309999999999</v>
      </c>
      <c r="AX554" s="1373">
        <f t="shared" ref="AX554:AX566" si="804">$AZ554-$AP554</f>
        <v>3.4999999999999996E-2</v>
      </c>
      <c r="AY554" s="1374">
        <f t="shared" ref="AY554:AY566" si="805">AX554*$AH554</f>
        <v>6665.0849999999991</v>
      </c>
      <c r="AZ554" s="1375">
        <f t="shared" ref="AZ554:AZ566" si="806">$AI554-$AL554-$AN554</f>
        <v>3.4999999999999996E-2</v>
      </c>
      <c r="BA554" s="1376">
        <f t="shared" ref="BA554:BA566" si="807">AZ554*$AH554</f>
        <v>6665.0849999999991</v>
      </c>
      <c r="BB554" s="1377"/>
      <c r="BC554" s="1847" t="s">
        <v>425</v>
      </c>
      <c r="BD554" s="1819" t="s">
        <v>3742</v>
      </c>
      <c r="BE554" s="1822" t="s">
        <v>1239</v>
      </c>
      <c r="BF554" s="1825" t="s">
        <v>5116</v>
      </c>
      <c r="BG554" s="1828">
        <v>270476525</v>
      </c>
    </row>
    <row r="555" spans="1:59" s="1378" customFormat="1" ht="38.25">
      <c r="A555" s="1347" t="str">
        <f>L553</f>
        <v>Kodiak Sciences, Inc.</v>
      </c>
      <c r="B555" s="1348" t="str">
        <f>N553</f>
        <v>Woodruff-Sawyer</v>
      </c>
      <c r="C555" s="1348">
        <f>Z553</f>
        <v>19</v>
      </c>
      <c r="D555" s="1349">
        <v>43101</v>
      </c>
      <c r="E555" s="1349"/>
      <c r="F555" s="1347" t="s">
        <v>72</v>
      </c>
      <c r="G555" s="1347" t="s">
        <v>85</v>
      </c>
      <c r="H555" s="1347" t="s">
        <v>72</v>
      </c>
      <c r="I555" s="1347" t="s">
        <v>72</v>
      </c>
      <c r="J555" s="1349" t="s">
        <v>4670</v>
      </c>
      <c r="K555" s="1349" t="s">
        <v>254</v>
      </c>
      <c r="L555" s="1350" t="s">
        <v>4671</v>
      </c>
      <c r="M555" s="1350" t="s">
        <v>3649</v>
      </c>
      <c r="N555" s="1379" t="s">
        <v>5117</v>
      </c>
      <c r="O555" s="1352" t="s">
        <v>5118</v>
      </c>
      <c r="P555" s="1352"/>
      <c r="Q555" s="1354"/>
      <c r="R555" s="1354"/>
      <c r="S555" s="1354"/>
      <c r="T555" s="1354"/>
      <c r="U555" s="1354"/>
      <c r="V555" s="1354"/>
      <c r="W555" s="1354"/>
      <c r="X555" s="1353">
        <v>43101</v>
      </c>
      <c r="Y555" s="1353">
        <v>43466</v>
      </c>
      <c r="Z555" s="1355"/>
      <c r="AA555" s="1355" t="s">
        <v>4674</v>
      </c>
      <c r="AB555" s="1356"/>
      <c r="AC555" s="1356"/>
      <c r="AD555" s="1356"/>
      <c r="AE555" s="1356"/>
      <c r="AF555" s="1357" t="str">
        <f t="shared" si="768"/>
        <v/>
      </c>
      <c r="AG555" s="1380"/>
      <c r="AH555" s="1380"/>
      <c r="AI555" s="1381">
        <v>0</v>
      </c>
      <c r="AJ555" s="1382">
        <f t="shared" si="795"/>
        <v>0</v>
      </c>
      <c r="AK555" s="1383">
        <f t="shared" si="796"/>
        <v>0</v>
      </c>
      <c r="AL555" s="1384">
        <v>0</v>
      </c>
      <c r="AM555" s="1363">
        <f t="shared" si="797"/>
        <v>0</v>
      </c>
      <c r="AN555" s="1364">
        <v>0</v>
      </c>
      <c r="AO555" s="1365">
        <f t="shared" si="798"/>
        <v>0</v>
      </c>
      <c r="AP555" s="1366">
        <v>0</v>
      </c>
      <c r="AQ555" s="1367">
        <f t="shared" si="799"/>
        <v>0</v>
      </c>
      <c r="AR555" s="1368">
        <v>0</v>
      </c>
      <c r="AS555" s="1369">
        <f t="shared" si="800"/>
        <v>0</v>
      </c>
      <c r="AT555" s="1370">
        <v>0</v>
      </c>
      <c r="AU555" s="1371">
        <f t="shared" si="801"/>
        <v>0</v>
      </c>
      <c r="AV555" s="1359">
        <f t="shared" si="802"/>
        <v>0</v>
      </c>
      <c r="AW555" s="1372">
        <f t="shared" si="803"/>
        <v>0</v>
      </c>
      <c r="AX555" s="1373">
        <f t="shared" si="804"/>
        <v>0</v>
      </c>
      <c r="AY555" s="1374">
        <f t="shared" si="805"/>
        <v>0</v>
      </c>
      <c r="AZ555" s="1375">
        <f t="shared" si="806"/>
        <v>0</v>
      </c>
      <c r="BA555" s="1376">
        <f t="shared" si="807"/>
        <v>0</v>
      </c>
      <c r="BB555" s="1377"/>
      <c r="BC555" s="1848"/>
      <c r="BD555" s="1820"/>
      <c r="BE555" s="1823"/>
      <c r="BF555" s="1826"/>
      <c r="BG555" s="1829"/>
    </row>
    <row r="556" spans="1:59" s="1378" customFormat="1" ht="38.25">
      <c r="A556" s="1347" t="str">
        <f>L553</f>
        <v>Kodiak Sciences, Inc.</v>
      </c>
      <c r="B556" s="1348" t="str">
        <f>N553</f>
        <v>Woodruff-Sawyer</v>
      </c>
      <c r="C556" s="1348">
        <f>Z553</f>
        <v>19</v>
      </c>
      <c r="D556" s="1349">
        <v>43101</v>
      </c>
      <c r="E556" s="1349"/>
      <c r="F556" s="1347" t="s">
        <v>113</v>
      </c>
      <c r="G556" s="1347" t="s">
        <v>85</v>
      </c>
      <c r="H556" s="1347" t="s">
        <v>85</v>
      </c>
      <c r="I556" s="1347" t="s">
        <v>2474</v>
      </c>
      <c r="J556" s="1349"/>
      <c r="K556" s="1349" t="s">
        <v>254</v>
      </c>
      <c r="L556" s="1350" t="s">
        <v>4675</v>
      </c>
      <c r="M556" s="1350" t="s">
        <v>3650</v>
      </c>
      <c r="N556" s="1385" t="s">
        <v>5119</v>
      </c>
      <c r="O556" s="1352" t="s">
        <v>4677</v>
      </c>
      <c r="P556" s="1352"/>
      <c r="Q556" s="1354"/>
      <c r="R556" s="1354"/>
      <c r="S556" s="1354"/>
      <c r="T556" s="1354"/>
      <c r="U556" s="1353" t="s">
        <v>5120</v>
      </c>
      <c r="V556" s="1353" t="s">
        <v>2497</v>
      </c>
      <c r="W556" s="1354"/>
      <c r="X556" s="1353">
        <v>43101</v>
      </c>
      <c r="Y556" s="1353">
        <v>43466</v>
      </c>
      <c r="Z556" s="1355"/>
      <c r="AA556" s="1355" t="s">
        <v>4679</v>
      </c>
      <c r="AB556" s="1356"/>
      <c r="AC556" s="1422">
        <v>27709</v>
      </c>
      <c r="AD556" s="1422">
        <f t="shared" ref="AD556:AD557" si="808">AH556</f>
        <v>35726.76</v>
      </c>
      <c r="AE556" s="1422">
        <f t="shared" si="793"/>
        <v>35726.76</v>
      </c>
      <c r="AF556" s="1423">
        <f>IFERROR((AE556/AC556),"")</f>
        <v>1.2893558049731135</v>
      </c>
      <c r="AG556" s="1358">
        <f t="shared" si="790"/>
        <v>2977.23</v>
      </c>
      <c r="AH556" s="1358">
        <v>35726.76</v>
      </c>
      <c r="AI556" s="1359">
        <v>0.1</v>
      </c>
      <c r="AJ556" s="1360">
        <f t="shared" si="795"/>
        <v>297.72300000000001</v>
      </c>
      <c r="AK556" s="1361">
        <f t="shared" si="796"/>
        <v>3572.6760000000004</v>
      </c>
      <c r="AL556" s="1384">
        <v>0</v>
      </c>
      <c r="AM556" s="1363">
        <f t="shared" si="797"/>
        <v>0</v>
      </c>
      <c r="AN556" s="1364">
        <v>0.08</v>
      </c>
      <c r="AO556" s="1365">
        <f t="shared" si="798"/>
        <v>2858.1408000000001</v>
      </c>
      <c r="AP556" s="1366">
        <v>0</v>
      </c>
      <c r="AQ556" s="1367">
        <f t="shared" si="799"/>
        <v>0</v>
      </c>
      <c r="AR556" s="1368">
        <v>0</v>
      </c>
      <c r="AS556" s="1369">
        <f t="shared" si="800"/>
        <v>0</v>
      </c>
      <c r="AT556" s="1370">
        <v>0</v>
      </c>
      <c r="AU556" s="1371">
        <f t="shared" si="801"/>
        <v>0</v>
      </c>
      <c r="AV556" s="1359">
        <f t="shared" si="802"/>
        <v>2.0000000000000004E-2</v>
      </c>
      <c r="AW556" s="1372">
        <f t="shared" si="803"/>
        <v>714.53520000000015</v>
      </c>
      <c r="AX556" s="1373">
        <f t="shared" si="804"/>
        <v>2.0000000000000004E-2</v>
      </c>
      <c r="AY556" s="1374">
        <f t="shared" si="805"/>
        <v>714.53520000000015</v>
      </c>
      <c r="AZ556" s="1375">
        <f t="shared" si="806"/>
        <v>2.0000000000000004E-2</v>
      </c>
      <c r="BA556" s="1376">
        <f t="shared" si="807"/>
        <v>714.53520000000015</v>
      </c>
      <c r="BB556" s="1377"/>
      <c r="BC556" s="1848"/>
      <c r="BD556" s="1820"/>
      <c r="BE556" s="1823"/>
      <c r="BF556" s="1826"/>
      <c r="BG556" s="1829"/>
    </row>
    <row r="557" spans="1:59" s="1378" customFormat="1" ht="38.25">
      <c r="A557" s="1347" t="str">
        <f>L553</f>
        <v>Kodiak Sciences, Inc.</v>
      </c>
      <c r="B557" s="1348" t="str">
        <f>N553</f>
        <v>Woodruff-Sawyer</v>
      </c>
      <c r="C557" s="1348">
        <f>Z553</f>
        <v>19</v>
      </c>
      <c r="D557" s="1349">
        <v>43101</v>
      </c>
      <c r="E557" s="1349"/>
      <c r="F557" s="1347" t="s">
        <v>113</v>
      </c>
      <c r="G557" s="1347" t="s">
        <v>85</v>
      </c>
      <c r="H557" s="1347" t="s">
        <v>85</v>
      </c>
      <c r="I557" s="1347" t="s">
        <v>2474</v>
      </c>
      <c r="J557" s="1349"/>
      <c r="K557" s="1349" t="s">
        <v>254</v>
      </c>
      <c r="L557" s="1350" t="s">
        <v>4675</v>
      </c>
      <c r="M557" s="1350" t="s">
        <v>3651</v>
      </c>
      <c r="N557" s="1351" t="s">
        <v>4834</v>
      </c>
      <c r="O557" s="1352" t="s">
        <v>4681</v>
      </c>
      <c r="P557" s="1352"/>
      <c r="Q557" s="1354"/>
      <c r="R557" s="1354"/>
      <c r="S557" s="1354"/>
      <c r="T557" s="1354"/>
      <c r="U557" s="1354"/>
      <c r="V557" s="1354"/>
      <c r="W557" s="1353" t="s">
        <v>2492</v>
      </c>
      <c r="X557" s="1353">
        <v>43101</v>
      </c>
      <c r="Y557" s="1353">
        <v>43466</v>
      </c>
      <c r="Z557" s="1355"/>
      <c r="AA557" s="1355" t="s">
        <v>4679</v>
      </c>
      <c r="AB557" s="1356"/>
      <c r="AC557" s="1422">
        <v>6720</v>
      </c>
      <c r="AD557" s="1422">
        <f t="shared" si="808"/>
        <v>3639.24</v>
      </c>
      <c r="AE557" s="1422">
        <f t="shared" si="793"/>
        <v>3639.24</v>
      </c>
      <c r="AF557" s="1423">
        <f>IFERROR((AE557/AC557),"")</f>
        <v>0.54155357142857141</v>
      </c>
      <c r="AG557" s="1358">
        <f t="shared" si="790"/>
        <v>303.27</v>
      </c>
      <c r="AH557" s="1358">
        <v>3639.24</v>
      </c>
      <c r="AI557" s="1359">
        <v>0.1</v>
      </c>
      <c r="AJ557" s="1360">
        <f t="shared" si="795"/>
        <v>30.326999999999998</v>
      </c>
      <c r="AK557" s="1361">
        <f t="shared" si="796"/>
        <v>363.92399999999998</v>
      </c>
      <c r="AL557" s="1384">
        <v>0</v>
      </c>
      <c r="AM557" s="1363">
        <f t="shared" si="797"/>
        <v>0</v>
      </c>
      <c r="AN557" s="1364">
        <v>0.08</v>
      </c>
      <c r="AO557" s="1365">
        <f t="shared" si="798"/>
        <v>291.13920000000002</v>
      </c>
      <c r="AP557" s="1366">
        <v>0</v>
      </c>
      <c r="AQ557" s="1367">
        <f t="shared" si="799"/>
        <v>0</v>
      </c>
      <c r="AR557" s="1368">
        <v>0</v>
      </c>
      <c r="AS557" s="1369">
        <f t="shared" si="800"/>
        <v>0</v>
      </c>
      <c r="AT557" s="1370">
        <v>0</v>
      </c>
      <c r="AU557" s="1371">
        <f t="shared" si="801"/>
        <v>0</v>
      </c>
      <c r="AV557" s="1359">
        <f t="shared" si="802"/>
        <v>2.0000000000000004E-2</v>
      </c>
      <c r="AW557" s="1372">
        <f t="shared" si="803"/>
        <v>72.784800000000004</v>
      </c>
      <c r="AX557" s="1373">
        <f t="shared" si="804"/>
        <v>2.0000000000000004E-2</v>
      </c>
      <c r="AY557" s="1374">
        <f t="shared" si="805"/>
        <v>72.784800000000004</v>
      </c>
      <c r="AZ557" s="1375">
        <f t="shared" si="806"/>
        <v>2.0000000000000004E-2</v>
      </c>
      <c r="BA557" s="1376">
        <f t="shared" si="807"/>
        <v>72.784800000000004</v>
      </c>
      <c r="BB557" s="1377"/>
      <c r="BC557" s="1848"/>
      <c r="BD557" s="1820"/>
      <c r="BE557" s="1823"/>
      <c r="BF557" s="1826"/>
      <c r="BG557" s="1829"/>
    </row>
    <row r="558" spans="1:59" s="1378" customFormat="1" ht="38.25">
      <c r="A558" s="1347" t="str">
        <f>L553</f>
        <v>Kodiak Sciences, Inc.</v>
      </c>
      <c r="B558" s="1348" t="str">
        <f>N553</f>
        <v>Woodruff-Sawyer</v>
      </c>
      <c r="C558" s="1348">
        <f>Z553</f>
        <v>19</v>
      </c>
      <c r="D558" s="1349">
        <v>43101</v>
      </c>
      <c r="E558" s="1349"/>
      <c r="F558" s="1347" t="s">
        <v>113</v>
      </c>
      <c r="G558" s="1347" t="s">
        <v>85</v>
      </c>
      <c r="H558" s="1347" t="s">
        <v>85</v>
      </c>
      <c r="I558" s="1347" t="s">
        <v>113</v>
      </c>
      <c r="J558" s="1349"/>
      <c r="K558" s="1349" t="s">
        <v>254</v>
      </c>
      <c r="L558" s="1350" t="s">
        <v>4682</v>
      </c>
      <c r="M558" s="1350" t="s">
        <v>4683</v>
      </c>
      <c r="N558" s="1386" t="s">
        <v>1249</v>
      </c>
      <c r="O558" s="1352" t="s">
        <v>4684</v>
      </c>
      <c r="P558" s="1387"/>
      <c r="Q558" s="1354"/>
      <c r="R558" s="1354"/>
      <c r="S558" s="1354"/>
      <c r="T558" s="1354"/>
      <c r="U558" s="1354"/>
      <c r="V558" s="1354"/>
      <c r="W558" s="1354"/>
      <c r="X558" s="1353">
        <v>43101</v>
      </c>
      <c r="Y558" s="1353">
        <v>43466</v>
      </c>
      <c r="Z558" s="1355"/>
      <c r="AA558" s="1355" t="s">
        <v>4685</v>
      </c>
      <c r="AB558" s="1356"/>
      <c r="AC558" s="1356"/>
      <c r="AD558" s="1356"/>
      <c r="AE558" s="1356"/>
      <c r="AF558" s="1357"/>
      <c r="AG558" s="1358">
        <f t="shared" si="790"/>
        <v>353.40000000000003</v>
      </c>
      <c r="AH558" s="1358">
        <v>4240.8</v>
      </c>
      <c r="AI558" s="1359">
        <v>0.15</v>
      </c>
      <c r="AJ558" s="1360">
        <f t="shared" si="795"/>
        <v>53.010000000000005</v>
      </c>
      <c r="AK558" s="1361">
        <f t="shared" si="796"/>
        <v>636.12</v>
      </c>
      <c r="AL558" s="1384">
        <v>0</v>
      </c>
      <c r="AM558" s="1363">
        <f t="shared" si="797"/>
        <v>0</v>
      </c>
      <c r="AN558" s="1364">
        <v>0.1</v>
      </c>
      <c r="AO558" s="1365">
        <f t="shared" si="798"/>
        <v>424.08000000000004</v>
      </c>
      <c r="AP558" s="1366">
        <v>0</v>
      </c>
      <c r="AQ558" s="1367">
        <f t="shared" si="799"/>
        <v>0</v>
      </c>
      <c r="AR558" s="1368">
        <v>0</v>
      </c>
      <c r="AS558" s="1369">
        <f t="shared" si="800"/>
        <v>0</v>
      </c>
      <c r="AT558" s="1370">
        <v>0</v>
      </c>
      <c r="AU558" s="1371">
        <f t="shared" si="801"/>
        <v>0</v>
      </c>
      <c r="AV558" s="1359">
        <f t="shared" si="802"/>
        <v>4.9999999999999989E-2</v>
      </c>
      <c r="AW558" s="1372">
        <f t="shared" si="803"/>
        <v>212.03999999999996</v>
      </c>
      <c r="AX558" s="1373">
        <f t="shared" si="804"/>
        <v>4.9999999999999989E-2</v>
      </c>
      <c r="AY558" s="1374">
        <f t="shared" si="805"/>
        <v>212.03999999999996</v>
      </c>
      <c r="AZ558" s="1375">
        <f t="shared" si="806"/>
        <v>4.9999999999999989E-2</v>
      </c>
      <c r="BA558" s="1376">
        <f t="shared" si="807"/>
        <v>212.03999999999996</v>
      </c>
      <c r="BB558" s="1377"/>
      <c r="BC558" s="1848"/>
      <c r="BD558" s="1820"/>
      <c r="BE558" s="1823"/>
      <c r="BF558" s="1826"/>
      <c r="BG558" s="1829"/>
    </row>
    <row r="559" spans="1:59" s="1378" customFormat="1" ht="38.25">
      <c r="A559" s="1347" t="str">
        <f>L553</f>
        <v>Kodiak Sciences, Inc.</v>
      </c>
      <c r="B559" s="1348" t="str">
        <f>N553</f>
        <v>Woodruff-Sawyer</v>
      </c>
      <c r="C559" s="1348">
        <f>Z553</f>
        <v>19</v>
      </c>
      <c r="D559" s="1349">
        <v>43101</v>
      </c>
      <c r="E559" s="1349"/>
      <c r="F559" s="1347" t="s">
        <v>113</v>
      </c>
      <c r="G559" s="1347" t="s">
        <v>85</v>
      </c>
      <c r="H559" s="1347" t="s">
        <v>85</v>
      </c>
      <c r="I559" s="1347" t="s">
        <v>113</v>
      </c>
      <c r="J559" s="1349"/>
      <c r="K559" s="1349" t="s">
        <v>254</v>
      </c>
      <c r="L559" s="1350" t="s">
        <v>4682</v>
      </c>
      <c r="M559" s="1350" t="s">
        <v>62</v>
      </c>
      <c r="N559" s="1351" t="s">
        <v>81</v>
      </c>
      <c r="O559" s="1352" t="s">
        <v>4688</v>
      </c>
      <c r="P559" s="1352"/>
      <c r="Q559" s="1354"/>
      <c r="R559" s="1354"/>
      <c r="S559" s="1354"/>
      <c r="T559" s="1354"/>
      <c r="U559" s="1354"/>
      <c r="V559" s="1354"/>
      <c r="W559" s="1354"/>
      <c r="X559" s="1353">
        <v>43101</v>
      </c>
      <c r="Y559" s="1353">
        <v>43466</v>
      </c>
      <c r="Z559" s="1355"/>
      <c r="AA559" s="1355" t="s">
        <v>4685</v>
      </c>
      <c r="AB559" s="1356"/>
      <c r="AC559" s="1356"/>
      <c r="AD559" s="1356"/>
      <c r="AE559" s="1356"/>
      <c r="AF559" s="1357"/>
      <c r="AG559" s="1358">
        <f t="shared" si="790"/>
        <v>284.92750000000001</v>
      </c>
      <c r="AH559" s="1358">
        <v>3419.13</v>
      </c>
      <c r="AI559" s="1359">
        <v>0.15</v>
      </c>
      <c r="AJ559" s="1360">
        <f t="shared" si="795"/>
        <v>42.739125000000001</v>
      </c>
      <c r="AK559" s="1361">
        <f t="shared" si="796"/>
        <v>512.86950000000002</v>
      </c>
      <c r="AL559" s="1384">
        <v>0</v>
      </c>
      <c r="AM559" s="1363">
        <f t="shared" si="797"/>
        <v>0</v>
      </c>
      <c r="AN559" s="1364">
        <v>0.1</v>
      </c>
      <c r="AO559" s="1365">
        <f t="shared" si="798"/>
        <v>341.91300000000001</v>
      </c>
      <c r="AP559" s="1366">
        <v>0</v>
      </c>
      <c r="AQ559" s="1367">
        <f t="shared" si="799"/>
        <v>0</v>
      </c>
      <c r="AR559" s="1368">
        <v>0</v>
      </c>
      <c r="AS559" s="1369">
        <f t="shared" si="800"/>
        <v>0</v>
      </c>
      <c r="AT559" s="1370">
        <v>0</v>
      </c>
      <c r="AU559" s="1371">
        <f t="shared" si="801"/>
        <v>0</v>
      </c>
      <c r="AV559" s="1359">
        <f t="shared" si="802"/>
        <v>4.9999999999999989E-2</v>
      </c>
      <c r="AW559" s="1372">
        <f t="shared" si="803"/>
        <v>170.95649999999998</v>
      </c>
      <c r="AX559" s="1373">
        <f t="shared" si="804"/>
        <v>4.9999999999999989E-2</v>
      </c>
      <c r="AY559" s="1374">
        <f t="shared" si="805"/>
        <v>170.95649999999998</v>
      </c>
      <c r="AZ559" s="1375">
        <f t="shared" si="806"/>
        <v>4.9999999999999989E-2</v>
      </c>
      <c r="BA559" s="1376">
        <f t="shared" si="807"/>
        <v>170.95649999999998</v>
      </c>
      <c r="BB559" s="1377"/>
      <c r="BC559" s="1848"/>
      <c r="BD559" s="1820"/>
      <c r="BE559" s="1823"/>
      <c r="BF559" s="1826"/>
      <c r="BG559" s="1829"/>
    </row>
    <row r="560" spans="1:59" s="1378" customFormat="1" ht="38.25">
      <c r="A560" s="1347" t="str">
        <f>L553</f>
        <v>Kodiak Sciences, Inc.</v>
      </c>
      <c r="B560" s="1348" t="str">
        <f>N553</f>
        <v>Woodruff-Sawyer</v>
      </c>
      <c r="C560" s="1348">
        <f>Z553</f>
        <v>19</v>
      </c>
      <c r="D560" s="1349">
        <v>43101</v>
      </c>
      <c r="E560" s="1349"/>
      <c r="F560" s="1347" t="s">
        <v>113</v>
      </c>
      <c r="G560" s="1347" t="s">
        <v>85</v>
      </c>
      <c r="H560" s="1347" t="s">
        <v>85</v>
      </c>
      <c r="I560" s="1347" t="s">
        <v>113</v>
      </c>
      <c r="J560" s="1349"/>
      <c r="K560" s="1349" t="s">
        <v>254</v>
      </c>
      <c r="L560" s="1350" t="s">
        <v>4682</v>
      </c>
      <c r="M560" s="1350" t="s">
        <v>67</v>
      </c>
      <c r="N560" s="1351" t="s">
        <v>82</v>
      </c>
      <c r="O560" s="1352" t="s">
        <v>4689</v>
      </c>
      <c r="P560" s="1352"/>
      <c r="Q560" s="1354"/>
      <c r="R560" s="1354"/>
      <c r="S560" s="1354"/>
      <c r="T560" s="1354"/>
      <c r="U560" s="1354"/>
      <c r="V560" s="1354"/>
      <c r="W560" s="1354"/>
      <c r="X560" s="1353">
        <v>43101</v>
      </c>
      <c r="Y560" s="1353">
        <v>43466</v>
      </c>
      <c r="Z560" s="1355"/>
      <c r="AA560" s="1355" t="s">
        <v>4685</v>
      </c>
      <c r="AB560" s="1356"/>
      <c r="AC560" s="1356"/>
      <c r="AD560" s="1356"/>
      <c r="AE560" s="1356"/>
      <c r="AF560" s="1357"/>
      <c r="AG560" s="1358">
        <f t="shared" si="790"/>
        <v>528.88666666666666</v>
      </c>
      <c r="AH560" s="1358">
        <v>6346.64</v>
      </c>
      <c r="AI560" s="1359">
        <v>0.15</v>
      </c>
      <c r="AJ560" s="1360">
        <f t="shared" si="795"/>
        <v>79.332999999999998</v>
      </c>
      <c r="AK560" s="1361">
        <f t="shared" si="796"/>
        <v>951.99599999999998</v>
      </c>
      <c r="AL560" s="1384">
        <v>0</v>
      </c>
      <c r="AM560" s="1363">
        <f t="shared" si="797"/>
        <v>0</v>
      </c>
      <c r="AN560" s="1364">
        <v>0.1</v>
      </c>
      <c r="AO560" s="1365">
        <f t="shared" si="798"/>
        <v>634.6640000000001</v>
      </c>
      <c r="AP560" s="1366">
        <v>0</v>
      </c>
      <c r="AQ560" s="1367">
        <f t="shared" si="799"/>
        <v>0</v>
      </c>
      <c r="AR560" s="1368">
        <v>0</v>
      </c>
      <c r="AS560" s="1369">
        <f t="shared" si="800"/>
        <v>0</v>
      </c>
      <c r="AT560" s="1370">
        <v>0</v>
      </c>
      <c r="AU560" s="1371">
        <f t="shared" si="801"/>
        <v>0</v>
      </c>
      <c r="AV560" s="1359">
        <f t="shared" si="802"/>
        <v>4.9999999999999989E-2</v>
      </c>
      <c r="AW560" s="1372">
        <f t="shared" si="803"/>
        <v>317.33199999999994</v>
      </c>
      <c r="AX560" s="1373">
        <f t="shared" si="804"/>
        <v>4.9999999999999989E-2</v>
      </c>
      <c r="AY560" s="1374">
        <f t="shared" si="805"/>
        <v>317.33199999999994</v>
      </c>
      <c r="AZ560" s="1375">
        <f t="shared" si="806"/>
        <v>4.9999999999999989E-2</v>
      </c>
      <c r="BA560" s="1376">
        <f t="shared" si="807"/>
        <v>317.33199999999994</v>
      </c>
      <c r="BB560" s="1377"/>
      <c r="BC560" s="1848"/>
      <c r="BD560" s="1820"/>
      <c r="BE560" s="1823"/>
      <c r="BF560" s="1826"/>
      <c r="BG560" s="1829"/>
    </row>
    <row r="561" spans="1:59" s="1378" customFormat="1" ht="38.25">
      <c r="A561" s="1347" t="str">
        <f>L553</f>
        <v>Kodiak Sciences, Inc.</v>
      </c>
      <c r="B561" s="1348" t="str">
        <f>N553</f>
        <v>Woodruff-Sawyer</v>
      </c>
      <c r="C561" s="1348">
        <f>Z553</f>
        <v>19</v>
      </c>
      <c r="D561" s="1349">
        <v>43101</v>
      </c>
      <c r="E561" s="1349"/>
      <c r="F561" s="1347" t="s">
        <v>113</v>
      </c>
      <c r="G561" s="1347" t="s">
        <v>4700</v>
      </c>
      <c r="H561" s="1347" t="s">
        <v>72</v>
      </c>
      <c r="I561" s="1347" t="s">
        <v>72</v>
      </c>
      <c r="J561" s="1349" t="s">
        <v>4670</v>
      </c>
      <c r="K561" s="1349" t="s">
        <v>254</v>
      </c>
      <c r="L561" s="1350" t="s">
        <v>48</v>
      </c>
      <c r="M561" s="1350" t="s">
        <v>3652</v>
      </c>
      <c r="N561" s="1390" t="s">
        <v>5121</v>
      </c>
      <c r="O561" s="1352" t="s">
        <v>4702</v>
      </c>
      <c r="P561" s="1352"/>
      <c r="Q561" s="1354"/>
      <c r="R561" s="1354"/>
      <c r="S561" s="1354"/>
      <c r="T561" s="1354"/>
      <c r="U561" s="1354"/>
      <c r="V561" s="1354"/>
      <c r="W561" s="1354"/>
      <c r="X561" s="1353">
        <v>43101</v>
      </c>
      <c r="Y561" s="1353">
        <v>43466</v>
      </c>
      <c r="Z561" s="1355"/>
      <c r="AA561" s="1355" t="s">
        <v>4674</v>
      </c>
      <c r="AB561" s="1356"/>
      <c r="AC561" s="1356"/>
      <c r="AD561" s="1356"/>
      <c r="AE561" s="1356"/>
      <c r="AF561" s="1357" t="str">
        <f t="shared" si="768"/>
        <v/>
      </c>
      <c r="AG561" s="1380"/>
      <c r="AH561" s="1380"/>
      <c r="AI561" s="1381">
        <v>0</v>
      </c>
      <c r="AJ561" s="1382">
        <f t="shared" si="795"/>
        <v>0</v>
      </c>
      <c r="AK561" s="1383">
        <f t="shared" si="796"/>
        <v>0</v>
      </c>
      <c r="AL561" s="1384">
        <v>0</v>
      </c>
      <c r="AM561" s="1363">
        <f t="shared" si="797"/>
        <v>0</v>
      </c>
      <c r="AN561" s="1364">
        <v>0</v>
      </c>
      <c r="AO561" s="1365">
        <f t="shared" si="798"/>
        <v>0</v>
      </c>
      <c r="AP561" s="1366">
        <v>0</v>
      </c>
      <c r="AQ561" s="1367">
        <f t="shared" si="799"/>
        <v>0</v>
      </c>
      <c r="AR561" s="1368">
        <v>0</v>
      </c>
      <c r="AS561" s="1369">
        <f t="shared" si="800"/>
        <v>0</v>
      </c>
      <c r="AT561" s="1370">
        <v>0</v>
      </c>
      <c r="AU561" s="1371">
        <f t="shared" si="801"/>
        <v>0</v>
      </c>
      <c r="AV561" s="1359">
        <f t="shared" si="802"/>
        <v>0</v>
      </c>
      <c r="AW561" s="1372">
        <f t="shared" si="803"/>
        <v>0</v>
      </c>
      <c r="AX561" s="1373">
        <f t="shared" si="804"/>
        <v>0</v>
      </c>
      <c r="AY561" s="1374">
        <f t="shared" si="805"/>
        <v>0</v>
      </c>
      <c r="AZ561" s="1375">
        <f t="shared" si="806"/>
        <v>0</v>
      </c>
      <c r="BA561" s="1376">
        <f t="shared" si="807"/>
        <v>0</v>
      </c>
      <c r="BB561" s="1377"/>
      <c r="BC561" s="1848"/>
      <c r="BD561" s="1820"/>
      <c r="BE561" s="1823"/>
      <c r="BF561" s="1826"/>
      <c r="BG561" s="1829"/>
    </row>
    <row r="562" spans="1:59" s="1378" customFormat="1" ht="63.75">
      <c r="A562" s="1347" t="str">
        <f>L553</f>
        <v>Kodiak Sciences, Inc.</v>
      </c>
      <c r="B562" s="1348" t="str">
        <f>N553</f>
        <v>Woodruff-Sawyer</v>
      </c>
      <c r="C562" s="1348">
        <f>Z553</f>
        <v>19</v>
      </c>
      <c r="D562" s="1349">
        <v>43101</v>
      </c>
      <c r="E562" s="1349"/>
      <c r="F562" s="1347" t="s">
        <v>72</v>
      </c>
      <c r="G562" s="1347" t="s">
        <v>113</v>
      </c>
      <c r="H562" s="1347" t="s">
        <v>72</v>
      </c>
      <c r="I562" s="1347" t="s">
        <v>113</v>
      </c>
      <c r="J562" s="1349" t="s">
        <v>4766</v>
      </c>
      <c r="K562" s="1349" t="s">
        <v>254</v>
      </c>
      <c r="L562" s="1397" t="s">
        <v>1279</v>
      </c>
      <c r="M562" s="1397" t="s">
        <v>5033</v>
      </c>
      <c r="N562" s="1412" t="s">
        <v>5122</v>
      </c>
      <c r="O562" s="1399" t="s">
        <v>5123</v>
      </c>
      <c r="P562" s="1399"/>
      <c r="Q562" s="1400"/>
      <c r="R562" s="1400"/>
      <c r="S562" s="1400"/>
      <c r="T562" s="1400"/>
      <c r="U562" s="1400"/>
      <c r="V562" s="1400"/>
      <c r="W562" s="1400"/>
      <c r="X562" s="1400">
        <v>43101</v>
      </c>
      <c r="Y562" s="1400">
        <v>43466</v>
      </c>
      <c r="Z562" s="1401"/>
      <c r="AA562" s="1401" t="s">
        <v>4738</v>
      </c>
      <c r="AB562" s="1369"/>
      <c r="AC562" s="1369"/>
      <c r="AD562" s="1369"/>
      <c r="AE562" s="1369"/>
      <c r="AF562" s="1403" t="str">
        <f t="shared" si="768"/>
        <v/>
      </c>
      <c r="AG562" s="1404"/>
      <c r="AH562" s="1404"/>
      <c r="AI562" s="1405">
        <v>0</v>
      </c>
      <c r="AJ562" s="1406">
        <v>0</v>
      </c>
      <c r="AK562" s="1406">
        <v>0</v>
      </c>
      <c r="AL562" s="1384">
        <v>0</v>
      </c>
      <c r="AM562" s="1363">
        <f t="shared" si="797"/>
        <v>0</v>
      </c>
      <c r="AN562" s="1364">
        <v>0</v>
      </c>
      <c r="AO562" s="1365">
        <f t="shared" si="798"/>
        <v>0</v>
      </c>
      <c r="AP562" s="1366">
        <v>0</v>
      </c>
      <c r="AQ562" s="1367">
        <f t="shared" si="799"/>
        <v>0</v>
      </c>
      <c r="AR562" s="1368">
        <v>0</v>
      </c>
      <c r="AS562" s="1369">
        <f t="shared" si="800"/>
        <v>0</v>
      </c>
      <c r="AT562" s="1370">
        <v>0</v>
      </c>
      <c r="AU562" s="1371">
        <f t="shared" si="801"/>
        <v>0</v>
      </c>
      <c r="AV562" s="1359">
        <f t="shared" si="802"/>
        <v>0</v>
      </c>
      <c r="AW562" s="1372">
        <f t="shared" si="803"/>
        <v>0</v>
      </c>
      <c r="AX562" s="1373">
        <f t="shared" si="804"/>
        <v>0</v>
      </c>
      <c r="AY562" s="1374">
        <f t="shared" si="805"/>
        <v>0</v>
      </c>
      <c r="AZ562" s="1375">
        <f t="shared" si="806"/>
        <v>0</v>
      </c>
      <c r="BA562" s="1376">
        <f t="shared" si="807"/>
        <v>0</v>
      </c>
      <c r="BB562" s="1377"/>
      <c r="BC562" s="1848"/>
      <c r="BD562" s="1820"/>
      <c r="BE562" s="1823"/>
      <c r="BF562" s="1826"/>
      <c r="BG562" s="1829"/>
    </row>
    <row r="563" spans="1:59" s="1378" customFormat="1" ht="38.25">
      <c r="A563" s="1347" t="s">
        <v>424</v>
      </c>
      <c r="B563" s="1348" t="s">
        <v>3659</v>
      </c>
      <c r="C563" s="1348">
        <v>17</v>
      </c>
      <c r="D563" s="1349">
        <v>43101</v>
      </c>
      <c r="E563" s="1349"/>
      <c r="F563" s="1347" t="s">
        <v>72</v>
      </c>
      <c r="G563" s="1347" t="s">
        <v>85</v>
      </c>
      <c r="H563" s="1347" t="s">
        <v>72</v>
      </c>
      <c r="I563" s="1347" t="s">
        <v>72</v>
      </c>
      <c r="J563" s="1349" t="s">
        <v>4670</v>
      </c>
      <c r="K563" s="1349" t="s">
        <v>254</v>
      </c>
      <c r="L563" s="1350" t="s">
        <v>4696</v>
      </c>
      <c r="M563" s="1350" t="s">
        <v>4697</v>
      </c>
      <c r="N563" s="1389" t="s">
        <v>4698</v>
      </c>
      <c r="O563" s="1352" t="s">
        <v>4699</v>
      </c>
      <c r="P563" s="1352"/>
      <c r="Q563" s="1354"/>
      <c r="R563" s="1354"/>
      <c r="S563" s="1354"/>
      <c r="T563" s="1354"/>
      <c r="U563" s="1354"/>
      <c r="V563" s="1354"/>
      <c r="W563" s="1354"/>
      <c r="X563" s="1353">
        <v>43101</v>
      </c>
      <c r="Y563" s="1353">
        <v>43466</v>
      </c>
      <c r="Z563" s="1355"/>
      <c r="AA563" s="1355" t="s">
        <v>4674</v>
      </c>
      <c r="AB563" s="1356"/>
      <c r="AC563" s="1356"/>
      <c r="AD563" s="1356"/>
      <c r="AE563" s="1356"/>
      <c r="AF563" s="1357" t="str">
        <f t="shared" si="768"/>
        <v/>
      </c>
      <c r="AG563" s="1380"/>
      <c r="AH563" s="1380"/>
      <c r="AI563" s="1381">
        <v>0</v>
      </c>
      <c r="AJ563" s="1382">
        <f>$AI563*$AG563</f>
        <v>0</v>
      </c>
      <c r="AK563" s="1383">
        <f>AI563*$AH563</f>
        <v>0</v>
      </c>
      <c r="AL563" s="1384">
        <v>0</v>
      </c>
      <c r="AM563" s="1363">
        <f t="shared" si="797"/>
        <v>0</v>
      </c>
      <c r="AN563" s="1364">
        <v>0</v>
      </c>
      <c r="AO563" s="1365">
        <f t="shared" si="798"/>
        <v>0</v>
      </c>
      <c r="AP563" s="1366">
        <v>0</v>
      </c>
      <c r="AQ563" s="1367">
        <f t="shared" si="799"/>
        <v>0</v>
      </c>
      <c r="AR563" s="1368">
        <v>0</v>
      </c>
      <c r="AS563" s="1369">
        <f t="shared" si="800"/>
        <v>0</v>
      </c>
      <c r="AT563" s="1370">
        <v>0</v>
      </c>
      <c r="AU563" s="1371">
        <f t="shared" si="801"/>
        <v>0</v>
      </c>
      <c r="AV563" s="1359">
        <f t="shared" si="802"/>
        <v>0</v>
      </c>
      <c r="AW563" s="1372">
        <f t="shared" si="803"/>
        <v>0</v>
      </c>
      <c r="AX563" s="1373">
        <f t="shared" si="804"/>
        <v>0</v>
      </c>
      <c r="AY563" s="1374">
        <f t="shared" si="805"/>
        <v>0</v>
      </c>
      <c r="AZ563" s="1375">
        <f t="shared" si="806"/>
        <v>0</v>
      </c>
      <c r="BA563" s="1376">
        <f t="shared" si="807"/>
        <v>0</v>
      </c>
      <c r="BB563" s="1377"/>
      <c r="BC563" s="1848"/>
      <c r="BD563" s="1820"/>
      <c r="BE563" s="1823"/>
      <c r="BF563" s="1826"/>
      <c r="BG563" s="1829"/>
    </row>
    <row r="564" spans="1:59" s="1378" customFormat="1" ht="38.25">
      <c r="A564" s="1347" t="str">
        <f>L553</f>
        <v>Kodiak Sciences, Inc.</v>
      </c>
      <c r="B564" s="1348" t="str">
        <f>N553</f>
        <v>Woodruff-Sawyer</v>
      </c>
      <c r="C564" s="1348">
        <f>Z553</f>
        <v>19</v>
      </c>
      <c r="D564" s="1349">
        <v>43101</v>
      </c>
      <c r="E564" s="1349"/>
      <c r="F564" s="1347" t="s">
        <v>72</v>
      </c>
      <c r="G564" s="1347" t="s">
        <v>85</v>
      </c>
      <c r="H564" s="1347" t="s">
        <v>72</v>
      </c>
      <c r="I564" s="1347" t="s">
        <v>72</v>
      </c>
      <c r="J564" s="1349" t="s">
        <v>4670</v>
      </c>
      <c r="K564" s="1349" t="s">
        <v>254</v>
      </c>
      <c r="L564" s="1350" t="s">
        <v>48</v>
      </c>
      <c r="M564" s="1350" t="s">
        <v>253</v>
      </c>
      <c r="N564" s="1390" t="s">
        <v>4703</v>
      </c>
      <c r="O564" s="1352" t="s">
        <v>4704</v>
      </c>
      <c r="P564" s="1352"/>
      <c r="Q564" s="1354"/>
      <c r="R564" s="1354"/>
      <c r="S564" s="1354"/>
      <c r="T564" s="1354"/>
      <c r="U564" s="1354"/>
      <c r="V564" s="1354"/>
      <c r="W564" s="1354"/>
      <c r="X564" s="1353">
        <v>43101</v>
      </c>
      <c r="Y564" s="1353">
        <v>43466</v>
      </c>
      <c r="Z564" s="1355"/>
      <c r="AA564" s="1355" t="s">
        <v>4674</v>
      </c>
      <c r="AB564" s="1356"/>
      <c r="AC564" s="1356"/>
      <c r="AD564" s="1356"/>
      <c r="AE564" s="1356"/>
      <c r="AF564" s="1357" t="str">
        <f t="shared" si="768"/>
        <v/>
      </c>
      <c r="AG564" s="1380"/>
      <c r="AH564" s="1380"/>
      <c r="AI564" s="1381">
        <v>0</v>
      </c>
      <c r="AJ564" s="1383">
        <v>0</v>
      </c>
      <c r="AK564" s="1383">
        <v>0</v>
      </c>
      <c r="AL564" s="1384">
        <v>0</v>
      </c>
      <c r="AM564" s="1363">
        <f t="shared" si="797"/>
        <v>0</v>
      </c>
      <c r="AN564" s="1364">
        <v>0</v>
      </c>
      <c r="AO564" s="1365">
        <f t="shared" si="798"/>
        <v>0</v>
      </c>
      <c r="AP564" s="1366">
        <v>0</v>
      </c>
      <c r="AQ564" s="1367">
        <f t="shared" si="799"/>
        <v>0</v>
      </c>
      <c r="AR564" s="1368">
        <v>0</v>
      </c>
      <c r="AS564" s="1369">
        <f t="shared" si="800"/>
        <v>0</v>
      </c>
      <c r="AT564" s="1370">
        <v>0</v>
      </c>
      <c r="AU564" s="1371">
        <f t="shared" si="801"/>
        <v>0</v>
      </c>
      <c r="AV564" s="1359">
        <f t="shared" si="802"/>
        <v>0</v>
      </c>
      <c r="AW564" s="1372">
        <f t="shared" si="803"/>
        <v>0</v>
      </c>
      <c r="AX564" s="1373">
        <f t="shared" si="804"/>
        <v>0</v>
      </c>
      <c r="AY564" s="1374">
        <f t="shared" si="805"/>
        <v>0</v>
      </c>
      <c r="AZ564" s="1375">
        <f t="shared" si="806"/>
        <v>0</v>
      </c>
      <c r="BA564" s="1376">
        <f t="shared" si="807"/>
        <v>0</v>
      </c>
      <c r="BB564" s="1377"/>
      <c r="BC564" s="1848"/>
      <c r="BD564" s="1820"/>
      <c r="BE564" s="1823"/>
      <c r="BF564" s="1826"/>
      <c r="BG564" s="1829"/>
    </row>
    <row r="565" spans="1:59" s="1378" customFormat="1" ht="38.25">
      <c r="A565" s="1347" t="str">
        <f>L553</f>
        <v>Kodiak Sciences, Inc.</v>
      </c>
      <c r="B565" s="1348" t="str">
        <f>N553</f>
        <v>Woodruff-Sawyer</v>
      </c>
      <c r="C565" s="1348">
        <f>Z553</f>
        <v>19</v>
      </c>
      <c r="D565" s="1349">
        <v>43101</v>
      </c>
      <c r="E565" s="1349"/>
      <c r="F565" s="1347" t="s">
        <v>72</v>
      </c>
      <c r="G565" s="1347" t="s">
        <v>85</v>
      </c>
      <c r="H565" s="1347" t="s">
        <v>72</v>
      </c>
      <c r="I565" s="1347" t="s">
        <v>72</v>
      </c>
      <c r="J565" s="1349" t="s">
        <v>4670</v>
      </c>
      <c r="K565" s="1349" t="s">
        <v>254</v>
      </c>
      <c r="L565" s="1350" t="s">
        <v>49</v>
      </c>
      <c r="M565" s="1350" t="s">
        <v>4705</v>
      </c>
      <c r="N565" s="1390" t="s">
        <v>4706</v>
      </c>
      <c r="O565" s="1352" t="s">
        <v>4707</v>
      </c>
      <c r="P565" s="1352"/>
      <c r="Q565" s="1354"/>
      <c r="R565" s="1354"/>
      <c r="S565" s="1354"/>
      <c r="T565" s="1354"/>
      <c r="U565" s="1354"/>
      <c r="V565" s="1354"/>
      <c r="W565" s="1354"/>
      <c r="X565" s="1353">
        <v>43101</v>
      </c>
      <c r="Y565" s="1353">
        <v>43466</v>
      </c>
      <c r="Z565" s="1355"/>
      <c r="AA565" s="1355" t="s">
        <v>4674</v>
      </c>
      <c r="AB565" s="1356"/>
      <c r="AC565" s="1356"/>
      <c r="AD565" s="1356"/>
      <c r="AE565" s="1356"/>
      <c r="AF565" s="1357" t="str">
        <f t="shared" si="768"/>
        <v/>
      </c>
      <c r="AG565" s="1380"/>
      <c r="AH565" s="1380"/>
      <c r="AI565" s="1381">
        <v>0</v>
      </c>
      <c r="AJ565" s="1382">
        <f>$AI565*$AG565</f>
        <v>0</v>
      </c>
      <c r="AK565" s="1383">
        <f>AI565*$AH565</f>
        <v>0</v>
      </c>
      <c r="AL565" s="1384">
        <v>0</v>
      </c>
      <c r="AM565" s="1363">
        <f t="shared" si="797"/>
        <v>0</v>
      </c>
      <c r="AN565" s="1364">
        <v>0</v>
      </c>
      <c r="AO565" s="1365">
        <f t="shared" si="798"/>
        <v>0</v>
      </c>
      <c r="AP565" s="1366">
        <v>0</v>
      </c>
      <c r="AQ565" s="1367">
        <f t="shared" si="799"/>
        <v>0</v>
      </c>
      <c r="AR565" s="1368">
        <v>0</v>
      </c>
      <c r="AS565" s="1369">
        <f t="shared" si="800"/>
        <v>0</v>
      </c>
      <c r="AT565" s="1370">
        <v>0</v>
      </c>
      <c r="AU565" s="1371">
        <f t="shared" si="801"/>
        <v>0</v>
      </c>
      <c r="AV565" s="1359">
        <f t="shared" si="802"/>
        <v>0</v>
      </c>
      <c r="AW565" s="1372">
        <f t="shared" si="803"/>
        <v>0</v>
      </c>
      <c r="AX565" s="1373">
        <f t="shared" si="804"/>
        <v>0</v>
      </c>
      <c r="AY565" s="1374">
        <f t="shared" si="805"/>
        <v>0</v>
      </c>
      <c r="AZ565" s="1375">
        <f t="shared" si="806"/>
        <v>0</v>
      </c>
      <c r="BA565" s="1376">
        <f t="shared" si="807"/>
        <v>0</v>
      </c>
      <c r="BB565" s="1391"/>
      <c r="BC565" s="1848"/>
      <c r="BD565" s="1820"/>
      <c r="BE565" s="1823"/>
      <c r="BF565" s="1826"/>
      <c r="BG565" s="1829"/>
    </row>
    <row r="566" spans="1:59" s="1378" customFormat="1" ht="38.25">
      <c r="A566" s="1347" t="str">
        <f>L553</f>
        <v>Kodiak Sciences, Inc.</v>
      </c>
      <c r="B566" s="1348" t="str">
        <f>N553</f>
        <v>Woodruff-Sawyer</v>
      </c>
      <c r="C566" s="1348">
        <f>Z553</f>
        <v>19</v>
      </c>
      <c r="D566" s="1349">
        <v>43101</v>
      </c>
      <c r="E566" s="1349"/>
      <c r="F566" s="1347" t="s">
        <v>72</v>
      </c>
      <c r="G566" s="1347" t="s">
        <v>85</v>
      </c>
      <c r="H566" s="1347" t="s">
        <v>72</v>
      </c>
      <c r="I566" s="1347" t="s">
        <v>72</v>
      </c>
      <c r="J566" s="1349" t="s">
        <v>4670</v>
      </c>
      <c r="K566" s="1349" t="s">
        <v>254</v>
      </c>
      <c r="L566" s="1350" t="s">
        <v>3056</v>
      </c>
      <c r="M566" s="1350" t="s">
        <v>4708</v>
      </c>
      <c r="N566" s="1390" t="s">
        <v>4709</v>
      </c>
      <c r="O566" s="1352" t="s">
        <v>4710</v>
      </c>
      <c r="P566" s="1352"/>
      <c r="Q566" s="1354"/>
      <c r="R566" s="1354"/>
      <c r="S566" s="1354"/>
      <c r="T566" s="1354"/>
      <c r="U566" s="1354"/>
      <c r="V566" s="1354"/>
      <c r="W566" s="1354"/>
      <c r="X566" s="1353">
        <v>43101</v>
      </c>
      <c r="Y566" s="1353">
        <v>43466</v>
      </c>
      <c r="Z566" s="1355"/>
      <c r="AA566" s="1355" t="s">
        <v>4674</v>
      </c>
      <c r="AB566" s="1356"/>
      <c r="AC566" s="1356"/>
      <c r="AD566" s="1356"/>
      <c r="AE566" s="1356"/>
      <c r="AF566" s="1357" t="str">
        <f t="shared" si="768"/>
        <v/>
      </c>
      <c r="AG566" s="1380"/>
      <c r="AH566" s="1380"/>
      <c r="AI566" s="1381">
        <v>0</v>
      </c>
      <c r="AJ566" s="1382">
        <f>$AI566*$AG566</f>
        <v>0</v>
      </c>
      <c r="AK566" s="1383">
        <f>AI566*$AH566</f>
        <v>0</v>
      </c>
      <c r="AL566" s="1384">
        <v>0</v>
      </c>
      <c r="AM566" s="1363">
        <f t="shared" si="797"/>
        <v>0</v>
      </c>
      <c r="AN566" s="1364">
        <v>0</v>
      </c>
      <c r="AO566" s="1365">
        <f t="shared" si="798"/>
        <v>0</v>
      </c>
      <c r="AP566" s="1366">
        <v>0</v>
      </c>
      <c r="AQ566" s="1367">
        <f t="shared" si="799"/>
        <v>0</v>
      </c>
      <c r="AR566" s="1368">
        <v>0</v>
      </c>
      <c r="AS566" s="1369">
        <f t="shared" si="800"/>
        <v>0</v>
      </c>
      <c r="AT566" s="1370">
        <v>0</v>
      </c>
      <c r="AU566" s="1371">
        <f t="shared" si="801"/>
        <v>0</v>
      </c>
      <c r="AV566" s="1359">
        <f t="shared" si="802"/>
        <v>0</v>
      </c>
      <c r="AW566" s="1372">
        <f t="shared" si="803"/>
        <v>0</v>
      </c>
      <c r="AX566" s="1373">
        <f t="shared" si="804"/>
        <v>0</v>
      </c>
      <c r="AY566" s="1374">
        <f t="shared" si="805"/>
        <v>0</v>
      </c>
      <c r="AZ566" s="1375">
        <f t="shared" si="806"/>
        <v>0</v>
      </c>
      <c r="BA566" s="1376">
        <f t="shared" si="807"/>
        <v>0</v>
      </c>
      <c r="BB566" s="1391"/>
      <c r="BC566" s="1849"/>
      <c r="BD566" s="1821"/>
      <c r="BE566" s="1824"/>
      <c r="BF566" s="1827"/>
      <c r="BG566" s="1830"/>
    </row>
    <row r="567" spans="1:59" s="1315" customFormat="1" ht="51">
      <c r="A567" s="1277" t="str">
        <f>L567</f>
        <v>Memorial Research Medical Clinic</v>
      </c>
      <c r="B567" s="1316" t="str">
        <f>N567</f>
        <v>HUB SD</v>
      </c>
      <c r="C567" s="1316">
        <f>Z567</f>
        <v>63</v>
      </c>
      <c r="D567" s="1317">
        <v>43101</v>
      </c>
      <c r="E567" s="1317"/>
      <c r="F567" s="1277" t="s">
        <v>72</v>
      </c>
      <c r="G567" s="1277" t="s">
        <v>72</v>
      </c>
      <c r="H567" s="1277" t="s">
        <v>72</v>
      </c>
      <c r="I567" s="1277" t="s">
        <v>4711</v>
      </c>
      <c r="J567" s="1317"/>
      <c r="K567" s="1317"/>
      <c r="L567" s="1318" t="s">
        <v>3745</v>
      </c>
      <c r="M567" s="1319" t="s">
        <v>5124</v>
      </c>
      <c r="N567" s="1320" t="s">
        <v>4661</v>
      </c>
      <c r="O567" s="1321" t="s">
        <v>2473</v>
      </c>
      <c r="P567" s="1321"/>
      <c r="Q567" s="1322"/>
      <c r="R567" s="1322"/>
      <c r="S567" s="1322"/>
      <c r="T567" s="1322"/>
      <c r="U567" s="1322"/>
      <c r="V567" s="1322"/>
      <c r="W567" s="1322"/>
      <c r="X567" s="1317">
        <v>43101</v>
      </c>
      <c r="Y567" s="1317">
        <v>43466</v>
      </c>
      <c r="Z567" s="1316">
        <v>63</v>
      </c>
      <c r="AA567" s="1316" t="s">
        <v>5125</v>
      </c>
      <c r="AB567" s="1323">
        <f>SUM(AB568:AB580)</f>
        <v>636113.43928699987</v>
      </c>
      <c r="AC567" s="1323">
        <f>SUM(AC568:AC580)</f>
        <v>656836.86928699992</v>
      </c>
      <c r="AD567" s="1323">
        <f>SUM(AD568:AD580)</f>
        <v>653449.32999999996</v>
      </c>
      <c r="AE567" s="1324">
        <f t="shared" ref="AE567:AE730" si="809">AD567-AB567</f>
        <v>17335.890713000088</v>
      </c>
      <c r="AF567" s="1325">
        <f t="shared" si="768"/>
        <v>2.7252828886041709E-2</v>
      </c>
      <c r="AG567" s="1326">
        <f t="shared" si="790"/>
        <v>55425.810833333329</v>
      </c>
      <c r="AH567" s="1326">
        <f>SUM(AH568:AH580)</f>
        <v>665109.73</v>
      </c>
      <c r="AI567" s="1327"/>
      <c r="AJ567" s="1328">
        <f>SUM(AJ568:AJ580)</f>
        <v>4763.7711250000002</v>
      </c>
      <c r="AK567" s="1328">
        <f>SUM(AK568:AK580)</f>
        <v>57165.253499999992</v>
      </c>
      <c r="AL567" s="1329"/>
      <c r="AM567" s="1330">
        <f>SUM(AM568:AM580)</f>
        <v>2781.4380000000001</v>
      </c>
      <c r="AN567" s="1331"/>
      <c r="AO567" s="1332">
        <f>SUM(AO568:AO580)</f>
        <v>0</v>
      </c>
      <c r="AP567" s="1333"/>
      <c r="AQ567" s="1334">
        <f>SUM(AQ568:AQ580)</f>
        <v>0</v>
      </c>
      <c r="AR567" s="1335"/>
      <c r="AS567" s="1336">
        <f>SUM(AS568:AS580)</f>
        <v>31669.287400000005</v>
      </c>
      <c r="AT567" s="1337"/>
      <c r="AU567" s="1338">
        <f>SUM(AU568:AU580)</f>
        <v>13907.19</v>
      </c>
      <c r="AV567" s="1339"/>
      <c r="AW567" s="1340">
        <f>SUM(AW568:AW580)</f>
        <v>8807.3380999999972</v>
      </c>
      <c r="AX567" s="1306"/>
      <c r="AY567" s="1307">
        <f>SUM(AW567+AS567+AU567)</f>
        <v>54383.815500000004</v>
      </c>
      <c r="AZ567" s="1341"/>
      <c r="BA567" s="1309">
        <f>SUM(AY567+AQ567)</f>
        <v>54383.815500000004</v>
      </c>
      <c r="BB567" s="1342">
        <f>(AW567+AU567)/(AK567-AM567)</f>
        <v>0.41767073330851529</v>
      </c>
      <c r="BC567" s="1343"/>
      <c r="BD567" s="1343"/>
      <c r="BE567" s="1344"/>
      <c r="BF567" s="1345" t="s">
        <v>5081</v>
      </c>
      <c r="BG567" s="1346"/>
    </row>
    <row r="568" spans="1:59" s="1378" customFormat="1" ht="76.5">
      <c r="A568" s="1347" t="str">
        <f>L567</f>
        <v>Memorial Research Medical Clinic</v>
      </c>
      <c r="B568" s="1348" t="str">
        <f>N567</f>
        <v>HUB SD</v>
      </c>
      <c r="C568" s="1348">
        <f>Z567</f>
        <v>63</v>
      </c>
      <c r="D568" s="1349">
        <v>43101</v>
      </c>
      <c r="E568" s="1349"/>
      <c r="F568" s="1347" t="s">
        <v>85</v>
      </c>
      <c r="G568" s="1347" t="s">
        <v>85</v>
      </c>
      <c r="H568" s="1347" t="s">
        <v>85</v>
      </c>
      <c r="I568" s="1347" t="s">
        <v>85</v>
      </c>
      <c r="J568" s="1349"/>
      <c r="K568" s="1349" t="s">
        <v>254</v>
      </c>
      <c r="L568" s="1350" t="s">
        <v>2661</v>
      </c>
      <c r="M568" s="1350" t="s">
        <v>3647</v>
      </c>
      <c r="N568" s="1351" t="s">
        <v>5126</v>
      </c>
      <c r="O568" s="1352" t="s">
        <v>5127</v>
      </c>
      <c r="P568" s="1352" t="s">
        <v>5128</v>
      </c>
      <c r="Q568" s="1353" t="s">
        <v>317</v>
      </c>
      <c r="R568" s="1353" t="s">
        <v>3656</v>
      </c>
      <c r="S568" s="1353" t="s">
        <v>307</v>
      </c>
      <c r="T568" s="1353" t="s">
        <v>113</v>
      </c>
      <c r="U568" s="1354"/>
      <c r="V568" s="1354"/>
      <c r="W568" s="1354"/>
      <c r="X568" s="1353">
        <v>43101</v>
      </c>
      <c r="Y568" s="1353">
        <v>43466</v>
      </c>
      <c r="Z568" s="1355"/>
      <c r="AA568" s="1355" t="s">
        <v>4667</v>
      </c>
      <c r="AB568" s="1422">
        <v>539881.43999999994</v>
      </c>
      <c r="AC568" s="1422">
        <v>560416</v>
      </c>
      <c r="AD568" s="1422">
        <f t="shared" ref="AD568:AD575" si="810">AH568</f>
        <v>556287.6</v>
      </c>
      <c r="AE568" s="1422">
        <f t="shared" si="809"/>
        <v>16406.160000000033</v>
      </c>
      <c r="AF568" s="1423">
        <f t="shared" si="768"/>
        <v>3.0388449730740945E-2</v>
      </c>
      <c r="AG568" s="1358">
        <f t="shared" si="790"/>
        <v>46357.299999999996</v>
      </c>
      <c r="AH568" s="1358">
        <v>556287.6</v>
      </c>
      <c r="AI568" s="1359">
        <v>0.08</v>
      </c>
      <c r="AJ568" s="1360">
        <f t="shared" ref="AJ568:AJ580" si="811">$AI568*$AG568</f>
        <v>3708.5839999999998</v>
      </c>
      <c r="AK568" s="1361">
        <f t="shared" ref="AK568:AK580" si="812">AI568*$AH568</f>
        <v>44503.008000000002</v>
      </c>
      <c r="AL568" s="1362">
        <v>5.0000000000000001E-3</v>
      </c>
      <c r="AM568" s="1363">
        <f t="shared" ref="AM568:AM580" si="813">AL568*$AH568</f>
        <v>2781.4380000000001</v>
      </c>
      <c r="AN568" s="1364">
        <v>0</v>
      </c>
      <c r="AO568" s="1365">
        <f t="shared" ref="AO568:AO580" si="814">AN568*$AH568</f>
        <v>0</v>
      </c>
      <c r="AP568" s="1366">
        <v>0</v>
      </c>
      <c r="AQ568" s="1367">
        <f t="shared" ref="AQ568:AQ580" si="815">AP568*$AH568</f>
        <v>0</v>
      </c>
      <c r="AR568" s="1368">
        <v>0.04</v>
      </c>
      <c r="AS568" s="1369">
        <f t="shared" ref="AS568:AS580" si="816">AR568*$AH568</f>
        <v>22251.504000000001</v>
      </c>
      <c r="AT568" s="1370">
        <v>2.5000000000000001E-2</v>
      </c>
      <c r="AU568" s="1371">
        <f t="shared" ref="AU568:AU580" si="817">AT568*$AH568</f>
        <v>13907.19</v>
      </c>
      <c r="AV568" s="1359">
        <f t="shared" ref="AV568:AV580" si="818">AZ568-AR568-AT568-AP568</f>
        <v>9.999999999999995E-3</v>
      </c>
      <c r="AW568" s="1372">
        <f t="shared" ref="AW568:AW580" si="819">AV568*$AH568</f>
        <v>5562.8759999999966</v>
      </c>
      <c r="AX568" s="1373">
        <f t="shared" ref="AX568:AX580" si="820">$AZ568-$AP568</f>
        <v>7.4999999999999997E-2</v>
      </c>
      <c r="AY568" s="1374">
        <f t="shared" ref="AY568:AY580" si="821">AX568*$AH568</f>
        <v>41721.57</v>
      </c>
      <c r="AZ568" s="1375">
        <f t="shared" ref="AZ568:AZ580" si="822">$AI568-$AL568-$AN568</f>
        <v>7.4999999999999997E-2</v>
      </c>
      <c r="BA568" s="1376">
        <f t="shared" ref="BA568:BA580" si="823">AZ568*$AH568</f>
        <v>41721.57</v>
      </c>
      <c r="BB568" s="1377"/>
      <c r="BC568" s="1820" t="s">
        <v>370</v>
      </c>
      <c r="BD568" s="1820" t="s">
        <v>371</v>
      </c>
      <c r="BE568" s="1823" t="s">
        <v>4151</v>
      </c>
      <c r="BF568" s="1826" t="s">
        <v>5129</v>
      </c>
      <c r="BG568" s="1829">
        <v>330663715</v>
      </c>
    </row>
    <row r="569" spans="1:59" s="1378" customFormat="1" ht="51">
      <c r="A569" s="1347" t="str">
        <f>L567</f>
        <v>Memorial Research Medical Clinic</v>
      </c>
      <c r="B569" s="1348" t="str">
        <f>N567</f>
        <v>HUB SD</v>
      </c>
      <c r="C569" s="1348">
        <f>Z567</f>
        <v>63</v>
      </c>
      <c r="D569" s="1349">
        <v>43101</v>
      </c>
      <c r="E569" s="1349"/>
      <c r="F569" s="1347" t="s">
        <v>72</v>
      </c>
      <c r="G569" s="1347" t="s">
        <v>85</v>
      </c>
      <c r="H569" s="1347" t="s">
        <v>72</v>
      </c>
      <c r="I569" s="1347" t="s">
        <v>72</v>
      </c>
      <c r="J569" s="1349" t="s">
        <v>4670</v>
      </c>
      <c r="K569" s="1349" t="s">
        <v>254</v>
      </c>
      <c r="L569" s="1350" t="s">
        <v>4671</v>
      </c>
      <c r="M569" s="1350" t="s">
        <v>3649</v>
      </c>
      <c r="N569" s="1379" t="s">
        <v>4820</v>
      </c>
      <c r="O569" s="1352" t="s">
        <v>5130</v>
      </c>
      <c r="P569" s="1388"/>
      <c r="Q569" s="1354"/>
      <c r="R569" s="1354"/>
      <c r="S569" s="1354"/>
      <c r="T569" s="1354"/>
      <c r="U569" s="1354"/>
      <c r="V569" s="1354"/>
      <c r="W569" s="1354"/>
      <c r="X569" s="1353">
        <v>43101</v>
      </c>
      <c r="Y569" s="1353">
        <v>43466</v>
      </c>
      <c r="Z569" s="1355"/>
      <c r="AA569" s="1355" t="s">
        <v>4674</v>
      </c>
      <c r="AB569" s="1356"/>
      <c r="AC569" s="1356"/>
      <c r="AD569" s="1356"/>
      <c r="AE569" s="1356"/>
      <c r="AF569" s="1357" t="str">
        <f t="shared" si="768"/>
        <v/>
      </c>
      <c r="AG569" s="1380"/>
      <c r="AH569" s="1380"/>
      <c r="AI569" s="1381">
        <v>0</v>
      </c>
      <c r="AJ569" s="1382">
        <f t="shared" si="811"/>
        <v>0</v>
      </c>
      <c r="AK569" s="1383">
        <f t="shared" si="812"/>
        <v>0</v>
      </c>
      <c r="AL569" s="1384">
        <v>0</v>
      </c>
      <c r="AM569" s="1363">
        <f t="shared" si="813"/>
        <v>0</v>
      </c>
      <c r="AN569" s="1364">
        <v>0</v>
      </c>
      <c r="AO569" s="1365">
        <f t="shared" si="814"/>
        <v>0</v>
      </c>
      <c r="AP569" s="1366">
        <v>0</v>
      </c>
      <c r="AQ569" s="1367">
        <f t="shared" si="815"/>
        <v>0</v>
      </c>
      <c r="AR569" s="1368">
        <v>0</v>
      </c>
      <c r="AS569" s="1369">
        <f t="shared" si="816"/>
        <v>0</v>
      </c>
      <c r="AT569" s="1370">
        <v>0</v>
      </c>
      <c r="AU569" s="1371">
        <f t="shared" si="817"/>
        <v>0</v>
      </c>
      <c r="AV569" s="1359">
        <f t="shared" si="818"/>
        <v>0</v>
      </c>
      <c r="AW569" s="1372">
        <f t="shared" si="819"/>
        <v>0</v>
      </c>
      <c r="AX569" s="1373">
        <f t="shared" si="820"/>
        <v>0</v>
      </c>
      <c r="AY569" s="1374">
        <f t="shared" si="821"/>
        <v>0</v>
      </c>
      <c r="AZ569" s="1375">
        <f t="shared" si="822"/>
        <v>0</v>
      </c>
      <c r="BA569" s="1376">
        <f t="shared" si="823"/>
        <v>0</v>
      </c>
      <c r="BB569" s="1377"/>
      <c r="BC569" s="1820"/>
      <c r="BD569" s="1820"/>
      <c r="BE569" s="1823"/>
      <c r="BF569" s="1826"/>
      <c r="BG569" s="1829"/>
    </row>
    <row r="570" spans="1:59" s="1378" customFormat="1" ht="51">
      <c r="A570" s="1347" t="str">
        <f>L567</f>
        <v>Memorial Research Medical Clinic</v>
      </c>
      <c r="B570" s="1348" t="str">
        <f>N567</f>
        <v>HUB SD</v>
      </c>
      <c r="C570" s="1348">
        <f>Z567</f>
        <v>63</v>
      </c>
      <c r="D570" s="1349">
        <v>43101</v>
      </c>
      <c r="E570" s="1349"/>
      <c r="F570" s="1347" t="s">
        <v>113</v>
      </c>
      <c r="G570" s="1347" t="s">
        <v>85</v>
      </c>
      <c r="H570" s="1347" t="s">
        <v>85</v>
      </c>
      <c r="I570" s="1347" t="s">
        <v>85</v>
      </c>
      <c r="J570" s="1349"/>
      <c r="K570" s="1349" t="s">
        <v>254</v>
      </c>
      <c r="L570" s="1350" t="s">
        <v>4675</v>
      </c>
      <c r="M570" s="1350" t="s">
        <v>3650</v>
      </c>
      <c r="N570" s="1385" t="s">
        <v>5131</v>
      </c>
      <c r="O570" s="1352" t="s">
        <v>4677</v>
      </c>
      <c r="P570" s="1388"/>
      <c r="Q570" s="1354"/>
      <c r="R570" s="1354"/>
      <c r="S570" s="1354"/>
      <c r="T570" s="1354"/>
      <c r="U570" s="1353" t="s">
        <v>4723</v>
      </c>
      <c r="V570" s="1353" t="s">
        <v>2482</v>
      </c>
      <c r="W570" s="1354"/>
      <c r="X570" s="1353">
        <v>43101</v>
      </c>
      <c r="Y570" s="1353">
        <v>43466</v>
      </c>
      <c r="Z570" s="1355"/>
      <c r="AA570" s="1355" t="s">
        <v>4679</v>
      </c>
      <c r="AB570" s="1422">
        <v>64377.24</v>
      </c>
      <c r="AC570" s="1422">
        <v>64377.24</v>
      </c>
      <c r="AD570" s="1422">
        <f t="shared" si="810"/>
        <v>64037.64</v>
      </c>
      <c r="AE570" s="1422">
        <f t="shared" si="809"/>
        <v>-339.59999999999854</v>
      </c>
      <c r="AF570" s="1423">
        <f t="shared" si="768"/>
        <v>-5.2751562508737337E-3</v>
      </c>
      <c r="AG570" s="1358">
        <f t="shared" si="790"/>
        <v>5336.47</v>
      </c>
      <c r="AH570" s="1358">
        <v>64037.64</v>
      </c>
      <c r="AI570" s="1359">
        <v>0.1</v>
      </c>
      <c r="AJ570" s="1360">
        <f t="shared" si="811"/>
        <v>533.64700000000005</v>
      </c>
      <c r="AK570" s="1361">
        <f t="shared" si="812"/>
        <v>6403.7640000000001</v>
      </c>
      <c r="AL570" s="1384">
        <v>0</v>
      </c>
      <c r="AM570" s="1363">
        <f t="shared" si="813"/>
        <v>0</v>
      </c>
      <c r="AN570" s="1364">
        <v>0</v>
      </c>
      <c r="AO570" s="1365">
        <f t="shared" si="814"/>
        <v>0</v>
      </c>
      <c r="AP570" s="1366">
        <v>0</v>
      </c>
      <c r="AQ570" s="1367">
        <f t="shared" si="815"/>
        <v>0</v>
      </c>
      <c r="AR570" s="1368">
        <v>0.08</v>
      </c>
      <c r="AS570" s="1369">
        <f t="shared" si="816"/>
        <v>5123.0111999999999</v>
      </c>
      <c r="AT570" s="1370">
        <v>0</v>
      </c>
      <c r="AU570" s="1371">
        <f t="shared" si="817"/>
        <v>0</v>
      </c>
      <c r="AV570" s="1359">
        <f t="shared" si="818"/>
        <v>2.0000000000000004E-2</v>
      </c>
      <c r="AW570" s="1372">
        <f t="shared" si="819"/>
        <v>1280.7528000000002</v>
      </c>
      <c r="AX570" s="1373">
        <f t="shared" si="820"/>
        <v>0.1</v>
      </c>
      <c r="AY570" s="1374">
        <f t="shared" si="821"/>
        <v>6403.7640000000001</v>
      </c>
      <c r="AZ570" s="1375">
        <f t="shared" si="822"/>
        <v>0.1</v>
      </c>
      <c r="BA570" s="1376">
        <f t="shared" si="823"/>
        <v>6403.7640000000001</v>
      </c>
      <c r="BB570" s="1377"/>
      <c r="BC570" s="1820"/>
      <c r="BD570" s="1820"/>
      <c r="BE570" s="1823"/>
      <c r="BF570" s="1826"/>
      <c r="BG570" s="1829"/>
    </row>
    <row r="571" spans="1:59" s="1378" customFormat="1" ht="51">
      <c r="A571" s="1347" t="str">
        <f>L567</f>
        <v>Memorial Research Medical Clinic</v>
      </c>
      <c r="B571" s="1348" t="str">
        <f>N567</f>
        <v>HUB SD</v>
      </c>
      <c r="C571" s="1348">
        <f>Z567</f>
        <v>63</v>
      </c>
      <c r="D571" s="1349">
        <v>43101</v>
      </c>
      <c r="E571" s="1349"/>
      <c r="F571" s="1347" t="s">
        <v>113</v>
      </c>
      <c r="G571" s="1347" t="s">
        <v>85</v>
      </c>
      <c r="H571" s="1347" t="s">
        <v>85</v>
      </c>
      <c r="I571" s="1347" t="s">
        <v>85</v>
      </c>
      <c r="J571" s="1349"/>
      <c r="K571" s="1349" t="s">
        <v>254</v>
      </c>
      <c r="L571" s="1350" t="s">
        <v>4675</v>
      </c>
      <c r="M571" s="1350" t="s">
        <v>3651</v>
      </c>
      <c r="N571" s="1351" t="s">
        <v>4847</v>
      </c>
      <c r="O571" s="1352" t="s">
        <v>4681</v>
      </c>
      <c r="P571" s="1388"/>
      <c r="Q571" s="1354"/>
      <c r="R571" s="1354"/>
      <c r="S571" s="1354"/>
      <c r="T571" s="1354"/>
      <c r="U571" s="1354"/>
      <c r="V571" s="1354"/>
      <c r="W571" s="1353" t="s">
        <v>2482</v>
      </c>
      <c r="X571" s="1353">
        <v>43101</v>
      </c>
      <c r="Y571" s="1353">
        <v>43466</v>
      </c>
      <c r="Z571" s="1355"/>
      <c r="AA571" s="1355" t="s">
        <v>4679</v>
      </c>
      <c r="AB571" s="1422">
        <v>8993.76</v>
      </c>
      <c r="AC571" s="1422">
        <v>9182.6299999999992</v>
      </c>
      <c r="AD571" s="1422">
        <f t="shared" si="810"/>
        <v>9183.84</v>
      </c>
      <c r="AE571" s="1422">
        <f t="shared" si="809"/>
        <v>190.07999999999993</v>
      </c>
      <c r="AF571" s="1423">
        <f t="shared" si="768"/>
        <v>2.1134653359662692E-2</v>
      </c>
      <c r="AG571" s="1358">
        <f t="shared" si="790"/>
        <v>765.32</v>
      </c>
      <c r="AH571" s="1358">
        <v>9183.84</v>
      </c>
      <c r="AI571" s="1359">
        <v>0.1</v>
      </c>
      <c r="AJ571" s="1360">
        <f t="shared" si="811"/>
        <v>76.532000000000011</v>
      </c>
      <c r="AK571" s="1361">
        <f t="shared" si="812"/>
        <v>918.38400000000001</v>
      </c>
      <c r="AL571" s="1384">
        <v>0</v>
      </c>
      <c r="AM571" s="1363">
        <f t="shared" si="813"/>
        <v>0</v>
      </c>
      <c r="AN571" s="1364">
        <v>0</v>
      </c>
      <c r="AO571" s="1365">
        <f t="shared" si="814"/>
        <v>0</v>
      </c>
      <c r="AP571" s="1366">
        <v>0</v>
      </c>
      <c r="AQ571" s="1367">
        <f t="shared" si="815"/>
        <v>0</v>
      </c>
      <c r="AR571" s="1368">
        <v>0.08</v>
      </c>
      <c r="AS571" s="1369">
        <f t="shared" si="816"/>
        <v>734.70720000000006</v>
      </c>
      <c r="AT571" s="1370">
        <v>0</v>
      </c>
      <c r="AU571" s="1371">
        <f t="shared" si="817"/>
        <v>0</v>
      </c>
      <c r="AV571" s="1359">
        <f t="shared" si="818"/>
        <v>2.0000000000000004E-2</v>
      </c>
      <c r="AW571" s="1372">
        <f t="shared" si="819"/>
        <v>183.67680000000004</v>
      </c>
      <c r="AX571" s="1373">
        <f t="shared" si="820"/>
        <v>0.1</v>
      </c>
      <c r="AY571" s="1374">
        <f t="shared" si="821"/>
        <v>918.38400000000001</v>
      </c>
      <c r="AZ571" s="1375">
        <f t="shared" si="822"/>
        <v>0.1</v>
      </c>
      <c r="BA571" s="1376">
        <f t="shared" si="823"/>
        <v>918.38400000000001</v>
      </c>
      <c r="BB571" s="1377"/>
      <c r="BC571" s="1820"/>
      <c r="BD571" s="1820"/>
      <c r="BE571" s="1823"/>
      <c r="BF571" s="1826"/>
      <c r="BG571" s="1829"/>
    </row>
    <row r="572" spans="1:59" s="1378" customFormat="1" ht="51">
      <c r="A572" s="1347" t="str">
        <f>L567</f>
        <v>Memorial Research Medical Clinic</v>
      </c>
      <c r="B572" s="1348" t="str">
        <f>N567</f>
        <v>HUB SD</v>
      </c>
      <c r="C572" s="1348">
        <f>Z567</f>
        <v>63</v>
      </c>
      <c r="D572" s="1349">
        <v>43101</v>
      </c>
      <c r="E572" s="1349"/>
      <c r="F572" s="1347" t="s">
        <v>113</v>
      </c>
      <c r="G572" s="1347" t="s">
        <v>85</v>
      </c>
      <c r="H572" s="1347" t="s">
        <v>85</v>
      </c>
      <c r="I572" s="1347" t="s">
        <v>85</v>
      </c>
      <c r="J572" s="1349"/>
      <c r="K572" s="1349" t="s">
        <v>254</v>
      </c>
      <c r="L572" s="1350" t="s">
        <v>4682</v>
      </c>
      <c r="M572" s="1350" t="s">
        <v>4683</v>
      </c>
      <c r="N572" s="1386" t="s">
        <v>1249</v>
      </c>
      <c r="O572" s="1352" t="s">
        <v>4684</v>
      </c>
      <c r="P572" s="1421"/>
      <c r="Q572" s="1354"/>
      <c r="R572" s="1354"/>
      <c r="S572" s="1354"/>
      <c r="T572" s="1354"/>
      <c r="U572" s="1354"/>
      <c r="V572" s="1354"/>
      <c r="W572" s="1354"/>
      <c r="X572" s="1353">
        <v>43101</v>
      </c>
      <c r="Y572" s="1353">
        <v>43466</v>
      </c>
      <c r="Z572" s="1355"/>
      <c r="AA572" s="1355" t="s">
        <v>4685</v>
      </c>
      <c r="AB572" s="1422">
        <v>8280</v>
      </c>
      <c r="AC572" s="1422">
        <v>8280</v>
      </c>
      <c r="AD572" s="1422">
        <f t="shared" si="810"/>
        <v>6229.87</v>
      </c>
      <c r="AE572" s="1422">
        <f t="shared" si="809"/>
        <v>-2050.13</v>
      </c>
      <c r="AF572" s="1423">
        <f t="shared" si="768"/>
        <v>-0.24760024154589375</v>
      </c>
      <c r="AG572" s="1358">
        <f t="shared" si="790"/>
        <v>519.15583333333336</v>
      </c>
      <c r="AH572" s="1358">
        <v>6229.87</v>
      </c>
      <c r="AI572" s="1359">
        <v>0.15</v>
      </c>
      <c r="AJ572" s="1360">
        <f t="shared" si="811"/>
        <v>77.873374999999996</v>
      </c>
      <c r="AK572" s="1361">
        <f t="shared" si="812"/>
        <v>934.48049999999989</v>
      </c>
      <c r="AL572" s="1384">
        <v>0</v>
      </c>
      <c r="AM572" s="1363">
        <f t="shared" si="813"/>
        <v>0</v>
      </c>
      <c r="AN572" s="1364">
        <v>0</v>
      </c>
      <c r="AO572" s="1365">
        <f t="shared" si="814"/>
        <v>0</v>
      </c>
      <c r="AP572" s="1366">
        <v>0</v>
      </c>
      <c r="AQ572" s="1367">
        <f t="shared" si="815"/>
        <v>0</v>
      </c>
      <c r="AR572" s="1368">
        <v>0.1</v>
      </c>
      <c r="AS572" s="1369">
        <f t="shared" si="816"/>
        <v>622.98700000000008</v>
      </c>
      <c r="AT572" s="1370">
        <v>0</v>
      </c>
      <c r="AU572" s="1371">
        <f t="shared" si="817"/>
        <v>0</v>
      </c>
      <c r="AV572" s="1359">
        <f t="shared" si="818"/>
        <v>4.9999999999999989E-2</v>
      </c>
      <c r="AW572" s="1372">
        <f t="shared" si="819"/>
        <v>311.49349999999993</v>
      </c>
      <c r="AX572" s="1373">
        <f t="shared" si="820"/>
        <v>0.15</v>
      </c>
      <c r="AY572" s="1374">
        <f t="shared" si="821"/>
        <v>934.48049999999989</v>
      </c>
      <c r="AZ572" s="1375">
        <f t="shared" si="822"/>
        <v>0.15</v>
      </c>
      <c r="BA572" s="1376">
        <f t="shared" si="823"/>
        <v>934.48049999999989</v>
      </c>
      <c r="BB572" s="1377"/>
      <c r="BC572" s="1820"/>
      <c r="BD572" s="1820"/>
      <c r="BE572" s="1823"/>
      <c r="BF572" s="1826"/>
      <c r="BG572" s="1829"/>
    </row>
    <row r="573" spans="1:59" s="1378" customFormat="1" ht="51">
      <c r="A573" s="1347" t="str">
        <f>L567</f>
        <v>Memorial Research Medical Clinic</v>
      </c>
      <c r="B573" s="1348" t="str">
        <f>N567</f>
        <v>HUB SD</v>
      </c>
      <c r="C573" s="1348">
        <f>Z567</f>
        <v>63</v>
      </c>
      <c r="D573" s="1349">
        <v>43101</v>
      </c>
      <c r="E573" s="1349"/>
      <c r="F573" s="1347" t="s">
        <v>113</v>
      </c>
      <c r="G573" s="1347" t="s">
        <v>85</v>
      </c>
      <c r="H573" s="1347" t="s">
        <v>85</v>
      </c>
      <c r="I573" s="1347" t="s">
        <v>113</v>
      </c>
      <c r="J573" s="1349"/>
      <c r="K573" s="1349" t="s">
        <v>254</v>
      </c>
      <c r="L573" s="1350" t="s">
        <v>4682</v>
      </c>
      <c r="M573" s="1350" t="s">
        <v>4686</v>
      </c>
      <c r="N573" s="1386" t="s">
        <v>60</v>
      </c>
      <c r="O573" s="1352" t="s">
        <v>4687</v>
      </c>
      <c r="P573" s="1421"/>
      <c r="Q573" s="1354"/>
      <c r="R573" s="1354"/>
      <c r="S573" s="1354"/>
      <c r="T573" s="1354"/>
      <c r="U573" s="1354"/>
      <c r="V573" s="1354"/>
      <c r="W573" s="1354"/>
      <c r="X573" s="1353">
        <v>43101</v>
      </c>
      <c r="Y573" s="1353">
        <v>43466</v>
      </c>
      <c r="Z573" s="1355"/>
      <c r="AA573" s="1355" t="s">
        <v>4685</v>
      </c>
      <c r="AB573" s="1356"/>
      <c r="AC573" s="1356"/>
      <c r="AD573" s="1356"/>
      <c r="AE573" s="1356"/>
      <c r="AF573" s="1357" t="str">
        <f t="shared" si="768"/>
        <v/>
      </c>
      <c r="AG573" s="1358">
        <f t="shared" si="790"/>
        <v>971.69999999999993</v>
      </c>
      <c r="AH573" s="1358">
        <v>11660.4</v>
      </c>
      <c r="AI573" s="1359">
        <v>0.15</v>
      </c>
      <c r="AJ573" s="1360">
        <f t="shared" si="811"/>
        <v>145.755</v>
      </c>
      <c r="AK573" s="1361">
        <f t="shared" si="812"/>
        <v>1749.06</v>
      </c>
      <c r="AL573" s="1384">
        <v>0</v>
      </c>
      <c r="AM573" s="1363">
        <f t="shared" si="813"/>
        <v>0</v>
      </c>
      <c r="AN573" s="1364">
        <v>0</v>
      </c>
      <c r="AO573" s="1365">
        <f t="shared" si="814"/>
        <v>0</v>
      </c>
      <c r="AP573" s="1366">
        <v>0</v>
      </c>
      <c r="AQ573" s="1367">
        <f t="shared" si="815"/>
        <v>0</v>
      </c>
      <c r="AR573" s="1368">
        <v>0.1</v>
      </c>
      <c r="AS573" s="1369">
        <f t="shared" si="816"/>
        <v>1166.04</v>
      </c>
      <c r="AT573" s="1370">
        <v>0</v>
      </c>
      <c r="AU573" s="1371">
        <f t="shared" si="817"/>
        <v>0</v>
      </c>
      <c r="AV573" s="1359">
        <f t="shared" si="818"/>
        <v>4.9999999999999989E-2</v>
      </c>
      <c r="AW573" s="1372">
        <f t="shared" si="819"/>
        <v>583.01999999999987</v>
      </c>
      <c r="AX573" s="1373">
        <f t="shared" si="820"/>
        <v>0.15</v>
      </c>
      <c r="AY573" s="1374">
        <f t="shared" si="821"/>
        <v>1749.06</v>
      </c>
      <c r="AZ573" s="1375">
        <f t="shared" si="822"/>
        <v>0.15</v>
      </c>
      <c r="BA573" s="1376">
        <f t="shared" si="823"/>
        <v>1749.06</v>
      </c>
      <c r="BB573" s="1377"/>
      <c r="BC573" s="1820"/>
      <c r="BD573" s="1820"/>
      <c r="BE573" s="1823"/>
      <c r="BF573" s="1826"/>
      <c r="BG573" s="1829"/>
    </row>
    <row r="574" spans="1:59" s="1378" customFormat="1" ht="51">
      <c r="A574" s="1347" t="str">
        <f>L567</f>
        <v>Memorial Research Medical Clinic</v>
      </c>
      <c r="B574" s="1348" t="str">
        <f>N567</f>
        <v>HUB SD</v>
      </c>
      <c r="C574" s="1348">
        <f>Z567</f>
        <v>63</v>
      </c>
      <c r="D574" s="1349">
        <v>43101</v>
      </c>
      <c r="E574" s="1349"/>
      <c r="F574" s="1347" t="s">
        <v>113</v>
      </c>
      <c r="G574" s="1347" t="s">
        <v>85</v>
      </c>
      <c r="H574" s="1347" t="s">
        <v>85</v>
      </c>
      <c r="I574" s="1347" t="s">
        <v>85</v>
      </c>
      <c r="J574" s="1349"/>
      <c r="K574" s="1349" t="s">
        <v>254</v>
      </c>
      <c r="L574" s="1350" t="s">
        <v>4682</v>
      </c>
      <c r="M574" s="1350" t="s">
        <v>62</v>
      </c>
      <c r="N574" s="1351" t="s">
        <v>81</v>
      </c>
      <c r="O574" s="1352" t="s">
        <v>4688</v>
      </c>
      <c r="P574" s="1388"/>
      <c r="Q574" s="1354"/>
      <c r="R574" s="1354"/>
      <c r="S574" s="1354"/>
      <c r="T574" s="1354"/>
      <c r="U574" s="1354"/>
      <c r="V574" s="1354"/>
      <c r="W574" s="1354"/>
      <c r="X574" s="1353">
        <v>43101</v>
      </c>
      <c r="Y574" s="1353">
        <v>43466</v>
      </c>
      <c r="Z574" s="1355"/>
      <c r="AA574" s="1355" t="s">
        <v>4685</v>
      </c>
      <c r="AB574" s="1422">
        <v>6319.72</v>
      </c>
      <c r="AC574" s="1422">
        <v>6319.72</v>
      </c>
      <c r="AD574" s="1422">
        <f t="shared" si="810"/>
        <v>6063.53</v>
      </c>
      <c r="AE574" s="1422">
        <f t="shared" si="809"/>
        <v>-256.19000000000051</v>
      </c>
      <c r="AF574" s="1423">
        <f t="shared" si="768"/>
        <v>-4.0538188400752011E-2</v>
      </c>
      <c r="AG574" s="1358">
        <f t="shared" si="790"/>
        <v>505.29416666666663</v>
      </c>
      <c r="AH574" s="1358">
        <v>6063.53</v>
      </c>
      <c r="AI574" s="1359">
        <v>0.15</v>
      </c>
      <c r="AJ574" s="1360">
        <f t="shared" si="811"/>
        <v>75.794124999999994</v>
      </c>
      <c r="AK574" s="1361">
        <f t="shared" si="812"/>
        <v>909.52949999999998</v>
      </c>
      <c r="AL574" s="1384">
        <v>0</v>
      </c>
      <c r="AM574" s="1363">
        <f t="shared" si="813"/>
        <v>0</v>
      </c>
      <c r="AN574" s="1364">
        <v>0</v>
      </c>
      <c r="AO574" s="1365">
        <f t="shared" si="814"/>
        <v>0</v>
      </c>
      <c r="AP574" s="1366">
        <v>0</v>
      </c>
      <c r="AQ574" s="1367">
        <f t="shared" si="815"/>
        <v>0</v>
      </c>
      <c r="AR574" s="1368">
        <v>0.1</v>
      </c>
      <c r="AS574" s="1369">
        <f t="shared" si="816"/>
        <v>606.35299999999995</v>
      </c>
      <c r="AT574" s="1370">
        <v>0</v>
      </c>
      <c r="AU574" s="1371">
        <f t="shared" si="817"/>
        <v>0</v>
      </c>
      <c r="AV574" s="1359">
        <f t="shared" si="818"/>
        <v>4.9999999999999989E-2</v>
      </c>
      <c r="AW574" s="1372">
        <f t="shared" si="819"/>
        <v>303.17649999999992</v>
      </c>
      <c r="AX574" s="1373">
        <f t="shared" si="820"/>
        <v>0.15</v>
      </c>
      <c r="AY574" s="1374">
        <f t="shared" si="821"/>
        <v>909.52949999999998</v>
      </c>
      <c r="AZ574" s="1375">
        <f t="shared" si="822"/>
        <v>0.15</v>
      </c>
      <c r="BA574" s="1376">
        <f t="shared" si="823"/>
        <v>909.52949999999998</v>
      </c>
      <c r="BB574" s="1377"/>
      <c r="BC574" s="1820"/>
      <c r="BD574" s="1820"/>
      <c r="BE574" s="1823"/>
      <c r="BF574" s="1826"/>
      <c r="BG574" s="1829"/>
    </row>
    <row r="575" spans="1:59" s="1378" customFormat="1" ht="51">
      <c r="A575" s="1347" t="str">
        <f>L567</f>
        <v>Memorial Research Medical Clinic</v>
      </c>
      <c r="B575" s="1348" t="str">
        <f>N567</f>
        <v>HUB SD</v>
      </c>
      <c r="C575" s="1348">
        <f>Z567</f>
        <v>63</v>
      </c>
      <c r="D575" s="1349">
        <v>43101</v>
      </c>
      <c r="E575" s="1349"/>
      <c r="F575" s="1347" t="s">
        <v>113</v>
      </c>
      <c r="G575" s="1347" t="s">
        <v>85</v>
      </c>
      <c r="H575" s="1347" t="s">
        <v>85</v>
      </c>
      <c r="I575" s="1347" t="s">
        <v>85</v>
      </c>
      <c r="J575" s="1349"/>
      <c r="K575" s="1349" t="s">
        <v>254</v>
      </c>
      <c r="L575" s="1350" t="s">
        <v>4682</v>
      </c>
      <c r="M575" s="1350" t="s">
        <v>67</v>
      </c>
      <c r="N575" s="1351" t="s">
        <v>82</v>
      </c>
      <c r="O575" s="1352" t="s">
        <v>4689</v>
      </c>
      <c r="P575" s="1388"/>
      <c r="Q575" s="1354"/>
      <c r="R575" s="1354"/>
      <c r="S575" s="1354"/>
      <c r="T575" s="1354"/>
      <c r="U575" s="1354"/>
      <c r="V575" s="1354"/>
      <c r="W575" s="1354"/>
      <c r="X575" s="1353">
        <v>43101</v>
      </c>
      <c r="Y575" s="1353">
        <v>43466</v>
      </c>
      <c r="Z575" s="1355"/>
      <c r="AA575" s="1355" t="s">
        <v>4685</v>
      </c>
      <c r="AB575" s="1422">
        <v>8261.2792869999994</v>
      </c>
      <c r="AC575" s="1422">
        <v>8261.2792869999994</v>
      </c>
      <c r="AD575" s="1422">
        <f t="shared" si="810"/>
        <v>11646.85</v>
      </c>
      <c r="AE575" s="1422">
        <f t="shared" si="809"/>
        <v>3385.570713000001</v>
      </c>
      <c r="AF575" s="1423">
        <f t="shared" si="768"/>
        <v>0.40981191839471598</v>
      </c>
      <c r="AG575" s="1358">
        <f t="shared" si="790"/>
        <v>970.57083333333333</v>
      </c>
      <c r="AH575" s="1358">
        <v>11646.85</v>
      </c>
      <c r="AI575" s="1359">
        <v>0.15</v>
      </c>
      <c r="AJ575" s="1360">
        <f t="shared" si="811"/>
        <v>145.58562499999999</v>
      </c>
      <c r="AK575" s="1361">
        <f t="shared" si="812"/>
        <v>1747.0274999999999</v>
      </c>
      <c r="AL575" s="1384">
        <v>0</v>
      </c>
      <c r="AM575" s="1363">
        <f t="shared" si="813"/>
        <v>0</v>
      </c>
      <c r="AN575" s="1364">
        <v>0</v>
      </c>
      <c r="AO575" s="1365">
        <f t="shared" si="814"/>
        <v>0</v>
      </c>
      <c r="AP575" s="1366">
        <v>0</v>
      </c>
      <c r="AQ575" s="1367">
        <f t="shared" si="815"/>
        <v>0</v>
      </c>
      <c r="AR575" s="1368">
        <v>0.1</v>
      </c>
      <c r="AS575" s="1369">
        <f t="shared" si="816"/>
        <v>1164.6850000000002</v>
      </c>
      <c r="AT575" s="1370">
        <v>0</v>
      </c>
      <c r="AU575" s="1371">
        <f t="shared" si="817"/>
        <v>0</v>
      </c>
      <c r="AV575" s="1359">
        <f t="shared" si="818"/>
        <v>4.9999999999999989E-2</v>
      </c>
      <c r="AW575" s="1372">
        <f t="shared" si="819"/>
        <v>582.34249999999986</v>
      </c>
      <c r="AX575" s="1373">
        <f t="shared" si="820"/>
        <v>0.15</v>
      </c>
      <c r="AY575" s="1374">
        <f t="shared" si="821"/>
        <v>1747.0274999999999</v>
      </c>
      <c r="AZ575" s="1375">
        <f t="shared" si="822"/>
        <v>0.15</v>
      </c>
      <c r="BA575" s="1376">
        <f t="shared" si="823"/>
        <v>1747.0274999999999</v>
      </c>
      <c r="BB575" s="1377"/>
      <c r="BC575" s="1820"/>
      <c r="BD575" s="1820"/>
      <c r="BE575" s="1823"/>
      <c r="BF575" s="1826"/>
      <c r="BG575" s="1829"/>
    </row>
    <row r="576" spans="1:59" s="1378" customFormat="1" ht="51">
      <c r="A576" s="1347" t="str">
        <f>A567</f>
        <v>Memorial Research Medical Clinic</v>
      </c>
      <c r="B576" s="1348" t="s">
        <v>4661</v>
      </c>
      <c r="C576" s="1348">
        <v>60</v>
      </c>
      <c r="D576" s="1349">
        <v>43101</v>
      </c>
      <c r="E576" s="1349"/>
      <c r="F576" s="1347" t="s">
        <v>72</v>
      </c>
      <c r="G576" s="1347" t="s">
        <v>85</v>
      </c>
      <c r="H576" s="1347" t="s">
        <v>72</v>
      </c>
      <c r="I576" s="1347" t="s">
        <v>72</v>
      </c>
      <c r="J576" s="1349" t="s">
        <v>4670</v>
      </c>
      <c r="K576" s="1349" t="s">
        <v>254</v>
      </c>
      <c r="L576" s="1350" t="s">
        <v>4696</v>
      </c>
      <c r="M576" s="1350" t="s">
        <v>4697</v>
      </c>
      <c r="N576" s="1389" t="s">
        <v>4698</v>
      </c>
      <c r="O576" s="1352" t="s">
        <v>4699</v>
      </c>
      <c r="P576" s="1388"/>
      <c r="Q576" s="1354"/>
      <c r="R576" s="1354"/>
      <c r="S576" s="1354"/>
      <c r="T576" s="1354"/>
      <c r="U576" s="1354"/>
      <c r="V576" s="1354"/>
      <c r="W576" s="1354"/>
      <c r="X576" s="1353">
        <v>43101</v>
      </c>
      <c r="Y576" s="1353">
        <v>43466</v>
      </c>
      <c r="Z576" s="1355"/>
      <c r="AA576" s="1355" t="s">
        <v>4674</v>
      </c>
      <c r="AB576" s="1356"/>
      <c r="AC576" s="1356"/>
      <c r="AD576" s="1356"/>
      <c r="AE576" s="1356"/>
      <c r="AF576" s="1357" t="str">
        <f t="shared" si="768"/>
        <v/>
      </c>
      <c r="AG576" s="1380"/>
      <c r="AH576" s="1380"/>
      <c r="AI576" s="1381">
        <v>0</v>
      </c>
      <c r="AJ576" s="1382">
        <f t="shared" si="811"/>
        <v>0</v>
      </c>
      <c r="AK576" s="1383">
        <f t="shared" si="812"/>
        <v>0</v>
      </c>
      <c r="AL576" s="1384">
        <v>0</v>
      </c>
      <c r="AM576" s="1363">
        <f t="shared" si="813"/>
        <v>0</v>
      </c>
      <c r="AN576" s="1364">
        <v>0</v>
      </c>
      <c r="AO576" s="1365">
        <f t="shared" si="814"/>
        <v>0</v>
      </c>
      <c r="AP576" s="1366">
        <v>0</v>
      </c>
      <c r="AQ576" s="1367">
        <f t="shared" si="815"/>
        <v>0</v>
      </c>
      <c r="AR576" s="1368">
        <v>0</v>
      </c>
      <c r="AS576" s="1369">
        <f t="shared" si="816"/>
        <v>0</v>
      </c>
      <c r="AT576" s="1370">
        <v>0</v>
      </c>
      <c r="AU576" s="1371">
        <f t="shared" si="817"/>
        <v>0</v>
      </c>
      <c r="AV576" s="1359">
        <f t="shared" si="818"/>
        <v>0</v>
      </c>
      <c r="AW576" s="1372">
        <f t="shared" si="819"/>
        <v>0</v>
      </c>
      <c r="AX576" s="1373">
        <f t="shared" si="820"/>
        <v>0</v>
      </c>
      <c r="AY576" s="1374">
        <f t="shared" si="821"/>
        <v>0</v>
      </c>
      <c r="AZ576" s="1375">
        <f t="shared" si="822"/>
        <v>0</v>
      </c>
      <c r="BA576" s="1376">
        <f t="shared" si="823"/>
        <v>0</v>
      </c>
      <c r="BB576" s="1377"/>
      <c r="BC576" s="1820"/>
      <c r="BD576" s="1820"/>
      <c r="BE576" s="1823"/>
      <c r="BF576" s="1826"/>
      <c r="BG576" s="1829"/>
    </row>
    <row r="577" spans="1:59" s="1378" customFormat="1" ht="51">
      <c r="A577" s="1347" t="str">
        <f>L567</f>
        <v>Memorial Research Medical Clinic</v>
      </c>
      <c r="B577" s="1348" t="str">
        <f>N567</f>
        <v>HUB SD</v>
      </c>
      <c r="C577" s="1348">
        <f>Z567</f>
        <v>63</v>
      </c>
      <c r="D577" s="1349">
        <v>43101</v>
      </c>
      <c r="E577" s="1349"/>
      <c r="F577" s="1347" t="s">
        <v>72</v>
      </c>
      <c r="G577" s="1347" t="s">
        <v>4700</v>
      </c>
      <c r="H577" s="1347" t="s">
        <v>72</v>
      </c>
      <c r="I577" s="1347" t="s">
        <v>72</v>
      </c>
      <c r="J577" s="1349" t="s">
        <v>4670</v>
      </c>
      <c r="K577" s="1349" t="s">
        <v>254</v>
      </c>
      <c r="L577" s="1350" t="s">
        <v>48</v>
      </c>
      <c r="M577" s="1350" t="s">
        <v>3652</v>
      </c>
      <c r="N577" s="1390" t="s">
        <v>4701</v>
      </c>
      <c r="O577" s="1352" t="s">
        <v>4702</v>
      </c>
      <c r="P577" s="1388"/>
      <c r="Q577" s="1354"/>
      <c r="R577" s="1354"/>
      <c r="S577" s="1354"/>
      <c r="T577" s="1354"/>
      <c r="U577" s="1354"/>
      <c r="V577" s="1354"/>
      <c r="W577" s="1354"/>
      <c r="X577" s="1353">
        <v>43101</v>
      </c>
      <c r="Y577" s="1353">
        <v>43466</v>
      </c>
      <c r="Z577" s="1355"/>
      <c r="AA577" s="1355" t="s">
        <v>4674</v>
      </c>
      <c r="AB577" s="1356"/>
      <c r="AC577" s="1356"/>
      <c r="AD577" s="1356"/>
      <c r="AE577" s="1356"/>
      <c r="AF577" s="1357" t="str">
        <f t="shared" si="768"/>
        <v/>
      </c>
      <c r="AG577" s="1380"/>
      <c r="AH577" s="1380"/>
      <c r="AI577" s="1381">
        <v>0</v>
      </c>
      <c r="AJ577" s="1382">
        <f t="shared" si="811"/>
        <v>0</v>
      </c>
      <c r="AK577" s="1383">
        <f t="shared" si="812"/>
        <v>0</v>
      </c>
      <c r="AL577" s="1384">
        <v>0</v>
      </c>
      <c r="AM577" s="1363">
        <f t="shared" si="813"/>
        <v>0</v>
      </c>
      <c r="AN577" s="1364">
        <v>0</v>
      </c>
      <c r="AO577" s="1365">
        <f t="shared" si="814"/>
        <v>0</v>
      </c>
      <c r="AP577" s="1366">
        <v>0</v>
      </c>
      <c r="AQ577" s="1367">
        <f t="shared" si="815"/>
        <v>0</v>
      </c>
      <c r="AR577" s="1368">
        <v>0</v>
      </c>
      <c r="AS577" s="1369">
        <f t="shared" si="816"/>
        <v>0</v>
      </c>
      <c r="AT577" s="1370">
        <v>0</v>
      </c>
      <c r="AU577" s="1371">
        <f t="shared" si="817"/>
        <v>0</v>
      </c>
      <c r="AV577" s="1359">
        <f t="shared" si="818"/>
        <v>0</v>
      </c>
      <c r="AW577" s="1372">
        <f t="shared" si="819"/>
        <v>0</v>
      </c>
      <c r="AX577" s="1373">
        <f t="shared" si="820"/>
        <v>0</v>
      </c>
      <c r="AY577" s="1374">
        <f t="shared" si="821"/>
        <v>0</v>
      </c>
      <c r="AZ577" s="1375">
        <f t="shared" si="822"/>
        <v>0</v>
      </c>
      <c r="BA577" s="1376">
        <f t="shared" si="823"/>
        <v>0</v>
      </c>
      <c r="BB577" s="1377"/>
      <c r="BC577" s="1820"/>
      <c r="BD577" s="1820"/>
      <c r="BE577" s="1823"/>
      <c r="BF577" s="1826"/>
      <c r="BG577" s="1829"/>
    </row>
    <row r="578" spans="1:59" s="1378" customFormat="1" ht="51">
      <c r="A578" s="1347" t="str">
        <f>L567</f>
        <v>Memorial Research Medical Clinic</v>
      </c>
      <c r="B578" s="1348" t="str">
        <f>N567</f>
        <v>HUB SD</v>
      </c>
      <c r="C578" s="1348">
        <f>Z567</f>
        <v>63</v>
      </c>
      <c r="D578" s="1349">
        <v>43101</v>
      </c>
      <c r="E578" s="1349"/>
      <c r="F578" s="1347" t="s">
        <v>72</v>
      </c>
      <c r="G578" s="1347" t="s">
        <v>85</v>
      </c>
      <c r="H578" s="1347" t="s">
        <v>72</v>
      </c>
      <c r="I578" s="1347" t="s">
        <v>72</v>
      </c>
      <c r="J578" s="1349" t="s">
        <v>4670</v>
      </c>
      <c r="K578" s="1349" t="s">
        <v>254</v>
      </c>
      <c r="L578" s="1350" t="s">
        <v>48</v>
      </c>
      <c r="M578" s="1350" t="s">
        <v>253</v>
      </c>
      <c r="N578" s="1390" t="s">
        <v>4703</v>
      </c>
      <c r="O578" s="1352" t="s">
        <v>4704</v>
      </c>
      <c r="P578" s="1388"/>
      <c r="Q578" s="1354"/>
      <c r="R578" s="1354"/>
      <c r="S578" s="1354"/>
      <c r="T578" s="1354"/>
      <c r="U578" s="1354"/>
      <c r="V578" s="1354"/>
      <c r="W578" s="1354"/>
      <c r="X578" s="1353">
        <v>43101</v>
      </c>
      <c r="Y578" s="1353">
        <v>43466</v>
      </c>
      <c r="Z578" s="1355"/>
      <c r="AA578" s="1355" t="s">
        <v>4674</v>
      </c>
      <c r="AB578" s="1356"/>
      <c r="AC578" s="1356"/>
      <c r="AD578" s="1356"/>
      <c r="AE578" s="1356"/>
      <c r="AF578" s="1357" t="str">
        <f t="shared" si="768"/>
        <v/>
      </c>
      <c r="AG578" s="1380"/>
      <c r="AH578" s="1380"/>
      <c r="AI578" s="1381">
        <v>0</v>
      </c>
      <c r="AJ578" s="1382">
        <f t="shared" si="811"/>
        <v>0</v>
      </c>
      <c r="AK578" s="1383">
        <f t="shared" si="812"/>
        <v>0</v>
      </c>
      <c r="AL578" s="1384">
        <v>0</v>
      </c>
      <c r="AM578" s="1363">
        <f t="shared" si="813"/>
        <v>0</v>
      </c>
      <c r="AN578" s="1364">
        <v>0</v>
      </c>
      <c r="AO578" s="1365">
        <f t="shared" si="814"/>
        <v>0</v>
      </c>
      <c r="AP578" s="1366">
        <v>0</v>
      </c>
      <c r="AQ578" s="1367">
        <f t="shared" si="815"/>
        <v>0</v>
      </c>
      <c r="AR578" s="1368">
        <v>0</v>
      </c>
      <c r="AS578" s="1369">
        <f t="shared" si="816"/>
        <v>0</v>
      </c>
      <c r="AT578" s="1370">
        <v>0</v>
      </c>
      <c r="AU578" s="1371">
        <f t="shared" si="817"/>
        <v>0</v>
      </c>
      <c r="AV578" s="1359">
        <f t="shared" si="818"/>
        <v>0</v>
      </c>
      <c r="AW578" s="1372">
        <f t="shared" si="819"/>
        <v>0</v>
      </c>
      <c r="AX578" s="1373">
        <f t="shared" si="820"/>
        <v>0</v>
      </c>
      <c r="AY578" s="1374">
        <f t="shared" si="821"/>
        <v>0</v>
      </c>
      <c r="AZ578" s="1375">
        <f t="shared" si="822"/>
        <v>0</v>
      </c>
      <c r="BA578" s="1376">
        <f t="shared" si="823"/>
        <v>0</v>
      </c>
      <c r="BB578" s="1377"/>
      <c r="BC578" s="1820"/>
      <c r="BD578" s="1820"/>
      <c r="BE578" s="1823"/>
      <c r="BF578" s="1826"/>
      <c r="BG578" s="1829"/>
    </row>
    <row r="579" spans="1:59" s="1378" customFormat="1" ht="25.5" customHeight="1">
      <c r="A579" s="1347" t="str">
        <f t="shared" ref="A579:C580" si="824">A578</f>
        <v>Memorial Research Medical Clinic</v>
      </c>
      <c r="B579" s="1348" t="str">
        <f t="shared" si="824"/>
        <v>HUB SD</v>
      </c>
      <c r="C579" s="1348">
        <f t="shared" si="824"/>
        <v>63</v>
      </c>
      <c r="D579" s="1349">
        <v>43101</v>
      </c>
      <c r="E579" s="1349"/>
      <c r="F579" s="1347" t="s">
        <v>72</v>
      </c>
      <c r="G579" s="1347" t="s">
        <v>85</v>
      </c>
      <c r="H579" s="1347" t="s">
        <v>72</v>
      </c>
      <c r="I579" s="1347" t="s">
        <v>72</v>
      </c>
      <c r="J579" s="1349" t="s">
        <v>4670</v>
      </c>
      <c r="K579" s="1349" t="s">
        <v>254</v>
      </c>
      <c r="L579" s="1350" t="s">
        <v>49</v>
      </c>
      <c r="M579" s="1350" t="s">
        <v>4705</v>
      </c>
      <c r="N579" s="1390" t="s">
        <v>4706</v>
      </c>
      <c r="O579" s="1352" t="s">
        <v>4707</v>
      </c>
      <c r="P579" s="1388"/>
      <c r="Q579" s="1354"/>
      <c r="R579" s="1354"/>
      <c r="S579" s="1354"/>
      <c r="T579" s="1354"/>
      <c r="U579" s="1354"/>
      <c r="V579" s="1354"/>
      <c r="W579" s="1354"/>
      <c r="X579" s="1353">
        <v>43101</v>
      </c>
      <c r="Y579" s="1353">
        <v>43466</v>
      </c>
      <c r="Z579" s="1355"/>
      <c r="AA579" s="1355" t="s">
        <v>4674</v>
      </c>
      <c r="AB579" s="1356"/>
      <c r="AC579" s="1356"/>
      <c r="AD579" s="1356"/>
      <c r="AE579" s="1356"/>
      <c r="AF579" s="1357" t="str">
        <f t="shared" si="768"/>
        <v/>
      </c>
      <c r="AG579" s="1380"/>
      <c r="AH579" s="1380"/>
      <c r="AI579" s="1381">
        <v>0</v>
      </c>
      <c r="AJ579" s="1382">
        <f t="shared" si="811"/>
        <v>0</v>
      </c>
      <c r="AK579" s="1383">
        <f t="shared" si="812"/>
        <v>0</v>
      </c>
      <c r="AL579" s="1384">
        <v>0</v>
      </c>
      <c r="AM579" s="1363">
        <f t="shared" si="813"/>
        <v>0</v>
      </c>
      <c r="AN579" s="1364">
        <v>0</v>
      </c>
      <c r="AO579" s="1365">
        <f t="shared" si="814"/>
        <v>0</v>
      </c>
      <c r="AP579" s="1366">
        <v>0</v>
      </c>
      <c r="AQ579" s="1367">
        <f t="shared" si="815"/>
        <v>0</v>
      </c>
      <c r="AR579" s="1368">
        <v>0</v>
      </c>
      <c r="AS579" s="1369">
        <f t="shared" si="816"/>
        <v>0</v>
      </c>
      <c r="AT579" s="1370">
        <v>0</v>
      </c>
      <c r="AU579" s="1371">
        <f t="shared" si="817"/>
        <v>0</v>
      </c>
      <c r="AV579" s="1359">
        <f t="shared" si="818"/>
        <v>0</v>
      </c>
      <c r="AW579" s="1372">
        <f t="shared" si="819"/>
        <v>0</v>
      </c>
      <c r="AX579" s="1373">
        <f t="shared" si="820"/>
        <v>0</v>
      </c>
      <c r="AY579" s="1374">
        <f t="shared" si="821"/>
        <v>0</v>
      </c>
      <c r="AZ579" s="1375">
        <f t="shared" si="822"/>
        <v>0</v>
      </c>
      <c r="BA579" s="1376">
        <f t="shared" si="823"/>
        <v>0</v>
      </c>
      <c r="BB579" s="1377"/>
      <c r="BC579" s="1820"/>
      <c r="BD579" s="1820"/>
      <c r="BE579" s="1823"/>
      <c r="BF579" s="1826"/>
      <c r="BG579" s="1829"/>
    </row>
    <row r="580" spans="1:59" s="1378" customFormat="1" ht="21.75" customHeight="1">
      <c r="A580" s="1347" t="str">
        <f t="shared" si="824"/>
        <v>Memorial Research Medical Clinic</v>
      </c>
      <c r="B580" s="1348" t="str">
        <f t="shared" si="824"/>
        <v>HUB SD</v>
      </c>
      <c r="C580" s="1348">
        <f t="shared" si="824"/>
        <v>63</v>
      </c>
      <c r="D580" s="1349">
        <v>43101</v>
      </c>
      <c r="E580" s="1349"/>
      <c r="F580" s="1347" t="s">
        <v>72</v>
      </c>
      <c r="G580" s="1347" t="s">
        <v>85</v>
      </c>
      <c r="H580" s="1347" t="s">
        <v>72</v>
      </c>
      <c r="I580" s="1347" t="s">
        <v>72</v>
      </c>
      <c r="J580" s="1349" t="s">
        <v>4670</v>
      </c>
      <c r="K580" s="1349" t="s">
        <v>254</v>
      </c>
      <c r="L580" s="1350" t="s">
        <v>3056</v>
      </c>
      <c r="M580" s="1350" t="s">
        <v>4708</v>
      </c>
      <c r="N580" s="1390" t="s">
        <v>4709</v>
      </c>
      <c r="O580" s="1352" t="s">
        <v>4710</v>
      </c>
      <c r="P580" s="1388"/>
      <c r="Q580" s="1354"/>
      <c r="R580" s="1354"/>
      <c r="S580" s="1354"/>
      <c r="T580" s="1354"/>
      <c r="U580" s="1354"/>
      <c r="V580" s="1354"/>
      <c r="W580" s="1354"/>
      <c r="X580" s="1353">
        <v>43101</v>
      </c>
      <c r="Y580" s="1353">
        <v>43466</v>
      </c>
      <c r="Z580" s="1355"/>
      <c r="AA580" s="1355" t="s">
        <v>4674</v>
      </c>
      <c r="AB580" s="1356"/>
      <c r="AC580" s="1356"/>
      <c r="AD580" s="1356"/>
      <c r="AE580" s="1356"/>
      <c r="AF580" s="1357" t="str">
        <f t="shared" si="768"/>
        <v/>
      </c>
      <c r="AG580" s="1380"/>
      <c r="AH580" s="1380"/>
      <c r="AI580" s="1381">
        <v>0</v>
      </c>
      <c r="AJ580" s="1382">
        <f t="shared" si="811"/>
        <v>0</v>
      </c>
      <c r="AK580" s="1383">
        <f t="shared" si="812"/>
        <v>0</v>
      </c>
      <c r="AL580" s="1384">
        <v>0</v>
      </c>
      <c r="AM580" s="1363">
        <f t="shared" si="813"/>
        <v>0</v>
      </c>
      <c r="AN580" s="1364">
        <v>0</v>
      </c>
      <c r="AO580" s="1365">
        <f t="shared" si="814"/>
        <v>0</v>
      </c>
      <c r="AP580" s="1366">
        <v>0</v>
      </c>
      <c r="AQ580" s="1367">
        <f t="shared" si="815"/>
        <v>0</v>
      </c>
      <c r="AR580" s="1368">
        <v>0</v>
      </c>
      <c r="AS580" s="1369">
        <f t="shared" si="816"/>
        <v>0</v>
      </c>
      <c r="AT580" s="1370">
        <v>0</v>
      </c>
      <c r="AU580" s="1371">
        <f t="shared" si="817"/>
        <v>0</v>
      </c>
      <c r="AV580" s="1359">
        <f t="shared" si="818"/>
        <v>0</v>
      </c>
      <c r="AW580" s="1372">
        <f t="shared" si="819"/>
        <v>0</v>
      </c>
      <c r="AX580" s="1373">
        <f t="shared" si="820"/>
        <v>0</v>
      </c>
      <c r="AY580" s="1374">
        <f t="shared" si="821"/>
        <v>0</v>
      </c>
      <c r="AZ580" s="1375">
        <f t="shared" si="822"/>
        <v>0</v>
      </c>
      <c r="BA580" s="1376">
        <f t="shared" si="823"/>
        <v>0</v>
      </c>
      <c r="BB580" s="1391"/>
      <c r="BC580" s="1821"/>
      <c r="BD580" s="1821"/>
      <c r="BE580" s="1824"/>
      <c r="BF580" s="1827"/>
      <c r="BG580" s="1830"/>
    </row>
    <row r="581" spans="1:59" s="1315" customFormat="1" ht="57" customHeight="1">
      <c r="A581" s="1277" t="str">
        <f>L581</f>
        <v>Molecular Stethoscope, Inc.</v>
      </c>
      <c r="B581" s="1316" t="str">
        <f>N581</f>
        <v>HUB SD</v>
      </c>
      <c r="C581" s="1316">
        <f>Z581</f>
        <v>11</v>
      </c>
      <c r="D581" s="1317">
        <v>43101</v>
      </c>
      <c r="E581" s="1317"/>
      <c r="F581" s="1277" t="s">
        <v>72</v>
      </c>
      <c r="G581" s="1277" t="s">
        <v>72</v>
      </c>
      <c r="H581" s="1277" t="s">
        <v>72</v>
      </c>
      <c r="I581" s="1277" t="s">
        <v>4711</v>
      </c>
      <c r="J581" s="1317"/>
      <c r="K581" s="1317"/>
      <c r="L581" s="1318" t="s">
        <v>358</v>
      </c>
      <c r="M581" s="1319"/>
      <c r="N581" s="1320" t="s">
        <v>4661</v>
      </c>
      <c r="O581" s="1321" t="s">
        <v>2473</v>
      </c>
      <c r="P581" s="1321"/>
      <c r="Q581" s="1322"/>
      <c r="R581" s="1322"/>
      <c r="S581" s="1322"/>
      <c r="T581" s="1322"/>
      <c r="U581" s="1322"/>
      <c r="V581" s="1322"/>
      <c r="W581" s="1322"/>
      <c r="X581" s="1317">
        <v>43101</v>
      </c>
      <c r="Y581" s="1317">
        <v>43466</v>
      </c>
      <c r="Z581" s="1316">
        <v>11</v>
      </c>
      <c r="AA581" s="1316" t="s">
        <v>5099</v>
      </c>
      <c r="AB581" s="1323">
        <f>SUM(AB582:AB592)</f>
        <v>170025</v>
      </c>
      <c r="AC581" s="1323">
        <f>SUM(AC582:AC592)</f>
        <v>189747</v>
      </c>
      <c r="AD581" s="1323">
        <f>SUM(AD582:AD592)</f>
        <v>131813.64000000001</v>
      </c>
      <c r="AE581" s="1324">
        <f t="shared" si="809"/>
        <v>-38211.359999999986</v>
      </c>
      <c r="AF581" s="1325">
        <f t="shared" si="768"/>
        <v>-0.22473965593295095</v>
      </c>
      <c r="AG581" s="1326">
        <f t="shared" si="790"/>
        <v>11625.142500000002</v>
      </c>
      <c r="AH581" s="1326">
        <f>SUM(AH582:AH592)</f>
        <v>139501.71000000002</v>
      </c>
      <c r="AI581" s="1327"/>
      <c r="AJ581" s="1328">
        <f>SUM(AJ582:AJ592)</f>
        <v>987.50877500000001</v>
      </c>
      <c r="AK581" s="1328">
        <f>SUM(AK582:AK592)</f>
        <v>11850.105300000001</v>
      </c>
      <c r="AL581" s="1329"/>
      <c r="AM581" s="1330">
        <f>SUM(AM582:AM592)</f>
        <v>603.59580000000005</v>
      </c>
      <c r="AN581" s="1331"/>
      <c r="AO581" s="1332">
        <f>SUM(AO582:AO592)</f>
        <v>0</v>
      </c>
      <c r="AP581" s="1333"/>
      <c r="AQ581" s="1334">
        <f>SUM(AQ582:AQ592)</f>
        <v>0</v>
      </c>
      <c r="AR581" s="1335"/>
      <c r="AS581" s="1336">
        <f>SUM(AS582:AS592)</f>
        <v>6457.0974000000006</v>
      </c>
      <c r="AT581" s="1337"/>
      <c r="AU581" s="1338">
        <f>SUM(AU582:AU592)</f>
        <v>3017.9790000000003</v>
      </c>
      <c r="AV581" s="1339"/>
      <c r="AW581" s="1340">
        <f>SUM(AW582:AW592)</f>
        <v>1771.4330999999993</v>
      </c>
      <c r="AX581" s="1306"/>
      <c r="AY581" s="1307">
        <f>SUM(AW581+AS581+AU581)</f>
        <v>11246.5095</v>
      </c>
      <c r="AZ581" s="1341"/>
      <c r="BA581" s="1309">
        <f>SUM(AY581+AQ581)</f>
        <v>11246.5095</v>
      </c>
      <c r="BB581" s="1342">
        <f>(AW581+AU581)/(AK581-AM581)</f>
        <v>0.42585764943336413</v>
      </c>
      <c r="BC581" s="1343"/>
      <c r="BD581" s="1343"/>
      <c r="BE581" s="1344"/>
      <c r="BF581" s="1345" t="s">
        <v>5050</v>
      </c>
      <c r="BG581" s="1346"/>
    </row>
    <row r="582" spans="1:59" s="1378" customFormat="1" ht="66" customHeight="1">
      <c r="A582" s="1347" t="str">
        <f>L581</f>
        <v>Molecular Stethoscope, Inc.</v>
      </c>
      <c r="B582" s="1348" t="str">
        <f>N581</f>
        <v>HUB SD</v>
      </c>
      <c r="C582" s="1348">
        <f>Z581</f>
        <v>11</v>
      </c>
      <c r="D582" s="1349">
        <v>43101</v>
      </c>
      <c r="E582" s="1349"/>
      <c r="F582" s="1347" t="s">
        <v>85</v>
      </c>
      <c r="G582" s="1347" t="s">
        <v>85</v>
      </c>
      <c r="H582" s="1347" t="s">
        <v>85</v>
      </c>
      <c r="I582" s="1347" t="s">
        <v>85</v>
      </c>
      <c r="J582" s="1349"/>
      <c r="K582" s="1349" t="s">
        <v>254</v>
      </c>
      <c r="L582" s="1350" t="s">
        <v>2661</v>
      </c>
      <c r="M582" s="1350" t="s">
        <v>3647</v>
      </c>
      <c r="N582" s="1351" t="s">
        <v>5132</v>
      </c>
      <c r="O582" s="1352" t="s">
        <v>5133</v>
      </c>
      <c r="P582" s="1352" t="s">
        <v>4862</v>
      </c>
      <c r="Q582" s="1353" t="s">
        <v>317</v>
      </c>
      <c r="R582" s="1353" t="s">
        <v>3648</v>
      </c>
      <c r="S582" s="1353" t="s">
        <v>307</v>
      </c>
      <c r="T582" s="1353" t="s">
        <v>113</v>
      </c>
      <c r="U582" s="1354"/>
      <c r="V582" s="1354"/>
      <c r="W582" s="1354"/>
      <c r="X582" s="1353">
        <v>43101</v>
      </c>
      <c r="Y582" s="1353">
        <v>43466</v>
      </c>
      <c r="Z582" s="1355"/>
      <c r="AA582" s="1355" t="s">
        <v>4667</v>
      </c>
      <c r="AB582" s="1422">
        <v>157774</v>
      </c>
      <c r="AC582" s="1422">
        <v>177496</v>
      </c>
      <c r="AD582" s="1422">
        <f t="shared" ref="AD582:AD584" si="825">AH582</f>
        <v>120719.16</v>
      </c>
      <c r="AE582" s="1422">
        <f t="shared" si="809"/>
        <v>-37054.839999999997</v>
      </c>
      <c r="AF582" s="1423">
        <f t="shared" si="768"/>
        <v>-0.23486024313258203</v>
      </c>
      <c r="AG582" s="1358">
        <f t="shared" si="790"/>
        <v>10059.93</v>
      </c>
      <c r="AH582" s="1358">
        <f>47252.4 + 59181.36 +14285.4</f>
        <v>120719.16</v>
      </c>
      <c r="AI582" s="1359">
        <v>0.08</v>
      </c>
      <c r="AJ582" s="1360">
        <f t="shared" ref="AJ582:AJ592" si="826">$AI582*$AG582</f>
        <v>804.7944</v>
      </c>
      <c r="AK582" s="1361">
        <f t="shared" ref="AK582:AK592" si="827">AI582*$AH582</f>
        <v>9657.5328000000009</v>
      </c>
      <c r="AL582" s="1362">
        <v>5.0000000000000001E-3</v>
      </c>
      <c r="AM582" s="1363">
        <f t="shared" ref="AM582:AM592" si="828">AL582*$AH582</f>
        <v>603.59580000000005</v>
      </c>
      <c r="AN582" s="1364">
        <v>0</v>
      </c>
      <c r="AO582" s="1365">
        <f t="shared" ref="AO582:AO592" si="829">AN582*$AH582</f>
        <v>0</v>
      </c>
      <c r="AP582" s="1366">
        <v>0</v>
      </c>
      <c r="AQ582" s="1367">
        <f t="shared" ref="AQ582:AQ592" si="830">AP582*$AH582</f>
        <v>0</v>
      </c>
      <c r="AR582" s="1368">
        <v>0.04</v>
      </c>
      <c r="AS582" s="1369">
        <f t="shared" ref="AS582:AS592" si="831">AR582*$AH582</f>
        <v>4828.7664000000004</v>
      </c>
      <c r="AT582" s="1370">
        <v>2.5000000000000001E-2</v>
      </c>
      <c r="AU582" s="1371">
        <f t="shared" ref="AU582:AU592" si="832">AT582*$AH582</f>
        <v>3017.9790000000003</v>
      </c>
      <c r="AV582" s="1359">
        <f t="shared" ref="AV582:AV592" si="833">AZ582-AR582-AT582-AP582</f>
        <v>9.999999999999995E-3</v>
      </c>
      <c r="AW582" s="1372">
        <f t="shared" ref="AW582:AW592" si="834">AV582*$AH582</f>
        <v>1207.1915999999994</v>
      </c>
      <c r="AX582" s="1373">
        <f t="shared" ref="AX582:AX592" si="835">$AZ582-$AP582</f>
        <v>7.4999999999999997E-2</v>
      </c>
      <c r="AY582" s="1374">
        <f t="shared" ref="AY582:AY592" si="836">AX582*$AH582</f>
        <v>9053.9369999999999</v>
      </c>
      <c r="AZ582" s="1375">
        <f t="shared" ref="AZ582:AZ592" si="837">$AI582-$AL582-$AN582</f>
        <v>7.4999999999999997E-2</v>
      </c>
      <c r="BA582" s="1376">
        <f t="shared" ref="BA582:BA592" si="838">AZ582*$AH582</f>
        <v>9053.9369999999999</v>
      </c>
      <c r="BB582" s="1377"/>
      <c r="BC582" s="1820" t="s">
        <v>372</v>
      </c>
      <c r="BD582" s="1820" t="s">
        <v>1316</v>
      </c>
      <c r="BE582" s="1823" t="s">
        <v>1316</v>
      </c>
      <c r="BF582" s="1826" t="s">
        <v>5134</v>
      </c>
      <c r="BG582" s="1829">
        <v>474885455</v>
      </c>
    </row>
    <row r="583" spans="1:59" s="1378" customFormat="1" ht="38.25">
      <c r="A583" s="1347" t="str">
        <f>L581</f>
        <v>Molecular Stethoscope, Inc.</v>
      </c>
      <c r="B583" s="1348" t="str">
        <f>N581</f>
        <v>HUB SD</v>
      </c>
      <c r="C583" s="1348">
        <f>Z581</f>
        <v>11</v>
      </c>
      <c r="D583" s="1349">
        <v>43101</v>
      </c>
      <c r="E583" s="1349"/>
      <c r="F583" s="1347" t="s">
        <v>72</v>
      </c>
      <c r="G583" s="1347" t="s">
        <v>85</v>
      </c>
      <c r="H583" s="1347" t="s">
        <v>72</v>
      </c>
      <c r="I583" s="1347" t="s">
        <v>72</v>
      </c>
      <c r="J583" s="1349" t="s">
        <v>4670</v>
      </c>
      <c r="K583" s="1349" t="s">
        <v>254</v>
      </c>
      <c r="L583" s="1350" t="s">
        <v>4671</v>
      </c>
      <c r="M583" s="1350" t="s">
        <v>3649</v>
      </c>
      <c r="N583" s="1379" t="s">
        <v>5135</v>
      </c>
      <c r="O583" s="1352" t="s">
        <v>5136</v>
      </c>
      <c r="P583" s="1352"/>
      <c r="Q583" s="1354"/>
      <c r="R583" s="1354"/>
      <c r="S583" s="1354"/>
      <c r="T583" s="1354"/>
      <c r="U583" s="1354"/>
      <c r="V583" s="1354"/>
      <c r="W583" s="1354"/>
      <c r="X583" s="1353">
        <v>43101</v>
      </c>
      <c r="Y583" s="1353">
        <v>43466</v>
      </c>
      <c r="Z583" s="1355"/>
      <c r="AA583" s="1355" t="s">
        <v>4674</v>
      </c>
      <c r="AB583" s="1356"/>
      <c r="AC583" s="1356"/>
      <c r="AD583" s="1356"/>
      <c r="AE583" s="1356"/>
      <c r="AF583" s="1357" t="str">
        <f t="shared" si="768"/>
        <v/>
      </c>
      <c r="AG583" s="1380"/>
      <c r="AH583" s="1380"/>
      <c r="AI583" s="1381">
        <v>0</v>
      </c>
      <c r="AJ583" s="1382">
        <f t="shared" si="826"/>
        <v>0</v>
      </c>
      <c r="AK583" s="1383">
        <f t="shared" si="827"/>
        <v>0</v>
      </c>
      <c r="AL583" s="1384">
        <v>0</v>
      </c>
      <c r="AM583" s="1363">
        <f t="shared" si="828"/>
        <v>0</v>
      </c>
      <c r="AN583" s="1364">
        <v>0</v>
      </c>
      <c r="AO583" s="1365">
        <f t="shared" si="829"/>
        <v>0</v>
      </c>
      <c r="AP583" s="1366">
        <v>0</v>
      </c>
      <c r="AQ583" s="1367">
        <f t="shared" si="830"/>
        <v>0</v>
      </c>
      <c r="AR583" s="1368">
        <v>0</v>
      </c>
      <c r="AS583" s="1369">
        <f t="shared" si="831"/>
        <v>0</v>
      </c>
      <c r="AT583" s="1370">
        <v>0</v>
      </c>
      <c r="AU583" s="1371">
        <f t="shared" si="832"/>
        <v>0</v>
      </c>
      <c r="AV583" s="1359">
        <f t="shared" si="833"/>
        <v>0</v>
      </c>
      <c r="AW583" s="1372">
        <f t="shared" si="834"/>
        <v>0</v>
      </c>
      <c r="AX583" s="1373">
        <f t="shared" si="835"/>
        <v>0</v>
      </c>
      <c r="AY583" s="1374">
        <f t="shared" si="836"/>
        <v>0</v>
      </c>
      <c r="AZ583" s="1375">
        <f t="shared" si="837"/>
        <v>0</v>
      </c>
      <c r="BA583" s="1376">
        <f t="shared" si="838"/>
        <v>0</v>
      </c>
      <c r="BB583" s="1377"/>
      <c r="BC583" s="1820"/>
      <c r="BD583" s="1820"/>
      <c r="BE583" s="1823"/>
      <c r="BF583" s="1826"/>
      <c r="BG583" s="1829"/>
    </row>
    <row r="584" spans="1:59" s="1378" customFormat="1" ht="38.25" customHeight="1">
      <c r="A584" s="1347" t="str">
        <f>L581</f>
        <v>Molecular Stethoscope, Inc.</v>
      </c>
      <c r="B584" s="1348" t="str">
        <f>N581</f>
        <v>HUB SD</v>
      </c>
      <c r="C584" s="1348">
        <f>Z581</f>
        <v>11</v>
      </c>
      <c r="D584" s="1349">
        <v>43101</v>
      </c>
      <c r="E584" s="1349"/>
      <c r="F584" s="1347" t="s">
        <v>113</v>
      </c>
      <c r="G584" s="1347" t="s">
        <v>85</v>
      </c>
      <c r="H584" s="1347" t="s">
        <v>85</v>
      </c>
      <c r="I584" s="1347" t="s">
        <v>85</v>
      </c>
      <c r="J584" s="1349"/>
      <c r="K584" s="1349" t="s">
        <v>254</v>
      </c>
      <c r="L584" s="1350" t="s">
        <v>4675</v>
      </c>
      <c r="M584" s="1350" t="s">
        <v>3650</v>
      </c>
      <c r="N584" s="1385" t="s">
        <v>4944</v>
      </c>
      <c r="O584" s="1352" t="s">
        <v>4677</v>
      </c>
      <c r="P584" s="1352"/>
      <c r="Q584" s="1354"/>
      <c r="R584" s="1354"/>
      <c r="S584" s="1354"/>
      <c r="T584" s="1354"/>
      <c r="U584" s="1353" t="s">
        <v>4802</v>
      </c>
      <c r="V584" s="1353" t="s">
        <v>2497</v>
      </c>
      <c r="W584" s="1354"/>
      <c r="X584" s="1353">
        <v>43101</v>
      </c>
      <c r="Y584" s="1353">
        <v>43466</v>
      </c>
      <c r="Z584" s="1355"/>
      <c r="AA584" s="1355" t="s">
        <v>4679</v>
      </c>
      <c r="AB584" s="1422">
        <v>12251</v>
      </c>
      <c r="AC584" s="1422">
        <v>12251</v>
      </c>
      <c r="AD584" s="1422">
        <f t="shared" si="825"/>
        <v>11094.48</v>
      </c>
      <c r="AE584" s="1422">
        <f t="shared" si="809"/>
        <v>-1156.5200000000004</v>
      </c>
      <c r="AF584" s="1423">
        <f t="shared" si="768"/>
        <v>-9.4402089625336749E-2</v>
      </c>
      <c r="AG584" s="1358">
        <f t="shared" si="790"/>
        <v>924.54</v>
      </c>
      <c r="AH584" s="1358">
        <v>11094.48</v>
      </c>
      <c r="AI584" s="1359">
        <v>0.1</v>
      </c>
      <c r="AJ584" s="1360">
        <f t="shared" si="826"/>
        <v>92.454000000000008</v>
      </c>
      <c r="AK584" s="1361">
        <f t="shared" si="827"/>
        <v>1109.4480000000001</v>
      </c>
      <c r="AL584" s="1384">
        <v>0</v>
      </c>
      <c r="AM584" s="1363">
        <f t="shared" si="828"/>
        <v>0</v>
      </c>
      <c r="AN584" s="1364">
        <v>0</v>
      </c>
      <c r="AO584" s="1365">
        <f t="shared" si="829"/>
        <v>0</v>
      </c>
      <c r="AP584" s="1366">
        <v>0</v>
      </c>
      <c r="AQ584" s="1367">
        <f t="shared" si="830"/>
        <v>0</v>
      </c>
      <c r="AR584" s="1368">
        <v>0.08</v>
      </c>
      <c r="AS584" s="1369">
        <f t="shared" si="831"/>
        <v>887.55840000000001</v>
      </c>
      <c r="AT584" s="1370">
        <v>0</v>
      </c>
      <c r="AU584" s="1371">
        <f t="shared" si="832"/>
        <v>0</v>
      </c>
      <c r="AV584" s="1359">
        <f t="shared" si="833"/>
        <v>2.0000000000000004E-2</v>
      </c>
      <c r="AW584" s="1372">
        <f t="shared" si="834"/>
        <v>221.88960000000003</v>
      </c>
      <c r="AX584" s="1373">
        <f t="shared" si="835"/>
        <v>0.1</v>
      </c>
      <c r="AY584" s="1374">
        <f t="shared" si="836"/>
        <v>1109.4480000000001</v>
      </c>
      <c r="AZ584" s="1375">
        <f t="shared" si="837"/>
        <v>0.1</v>
      </c>
      <c r="BA584" s="1376">
        <f t="shared" si="838"/>
        <v>1109.4480000000001</v>
      </c>
      <c r="BB584" s="1377"/>
      <c r="BC584" s="1820"/>
      <c r="BD584" s="1820"/>
      <c r="BE584" s="1823"/>
      <c r="BF584" s="1826"/>
      <c r="BG584" s="1829"/>
    </row>
    <row r="585" spans="1:59" s="1378" customFormat="1" ht="38.25" customHeight="1">
      <c r="A585" s="1347" t="str">
        <f>L581</f>
        <v>Molecular Stethoscope, Inc.</v>
      </c>
      <c r="B585" s="1348" t="str">
        <f>N581</f>
        <v>HUB SD</v>
      </c>
      <c r="C585" s="1348">
        <f>Z581</f>
        <v>11</v>
      </c>
      <c r="D585" s="1349">
        <v>43101</v>
      </c>
      <c r="E585" s="1349"/>
      <c r="F585" s="1347" t="s">
        <v>113</v>
      </c>
      <c r="G585" s="1347" t="s">
        <v>85</v>
      </c>
      <c r="H585" s="1347" t="s">
        <v>85</v>
      </c>
      <c r="I585" s="1347" t="s">
        <v>113</v>
      </c>
      <c r="J585" s="1349"/>
      <c r="K585" s="1349" t="s">
        <v>254</v>
      </c>
      <c r="L585" s="1350" t="s">
        <v>4675</v>
      </c>
      <c r="M585" s="1350" t="s">
        <v>3651</v>
      </c>
      <c r="N585" s="1351" t="s">
        <v>4875</v>
      </c>
      <c r="O585" s="1352" t="s">
        <v>4681</v>
      </c>
      <c r="P585" s="1352"/>
      <c r="Q585" s="1354"/>
      <c r="R585" s="1354"/>
      <c r="S585" s="1354"/>
      <c r="T585" s="1354"/>
      <c r="U585" s="1354"/>
      <c r="V585" s="1354"/>
      <c r="W585" s="1353" t="s">
        <v>2492</v>
      </c>
      <c r="X585" s="1353">
        <v>43101</v>
      </c>
      <c r="Y585" s="1353">
        <v>43466</v>
      </c>
      <c r="Z585" s="1355"/>
      <c r="AA585" s="1355" t="s">
        <v>4679</v>
      </c>
      <c r="AB585" s="1356"/>
      <c r="AC585" s="1356"/>
      <c r="AD585" s="1356"/>
      <c r="AE585" s="1356"/>
      <c r="AF585" s="1357" t="str">
        <f t="shared" si="768"/>
        <v/>
      </c>
      <c r="AG585" s="1358">
        <f t="shared" si="790"/>
        <v>116.81</v>
      </c>
      <c r="AH585" s="1358">
        <v>1401.72</v>
      </c>
      <c r="AI585" s="1359">
        <v>0.1</v>
      </c>
      <c r="AJ585" s="1360">
        <f t="shared" si="826"/>
        <v>11.681000000000001</v>
      </c>
      <c r="AK585" s="1361">
        <f t="shared" si="827"/>
        <v>140.172</v>
      </c>
      <c r="AL585" s="1384">
        <v>0</v>
      </c>
      <c r="AM585" s="1363">
        <f t="shared" si="828"/>
        <v>0</v>
      </c>
      <c r="AN585" s="1364">
        <v>0</v>
      </c>
      <c r="AO585" s="1365">
        <f t="shared" si="829"/>
        <v>0</v>
      </c>
      <c r="AP585" s="1366">
        <v>0</v>
      </c>
      <c r="AQ585" s="1367">
        <f t="shared" si="830"/>
        <v>0</v>
      </c>
      <c r="AR585" s="1368">
        <v>0.08</v>
      </c>
      <c r="AS585" s="1369">
        <f t="shared" si="831"/>
        <v>112.13760000000001</v>
      </c>
      <c r="AT585" s="1370">
        <v>0</v>
      </c>
      <c r="AU585" s="1371">
        <f t="shared" si="832"/>
        <v>0</v>
      </c>
      <c r="AV585" s="1359">
        <f t="shared" si="833"/>
        <v>2.0000000000000004E-2</v>
      </c>
      <c r="AW585" s="1372">
        <f t="shared" si="834"/>
        <v>28.034400000000005</v>
      </c>
      <c r="AX585" s="1373">
        <f t="shared" si="835"/>
        <v>0.1</v>
      </c>
      <c r="AY585" s="1374">
        <f t="shared" si="836"/>
        <v>140.172</v>
      </c>
      <c r="AZ585" s="1375">
        <f t="shared" si="837"/>
        <v>0.1</v>
      </c>
      <c r="BA585" s="1376">
        <f t="shared" si="838"/>
        <v>140.172</v>
      </c>
      <c r="BB585" s="1377"/>
      <c r="BC585" s="1820"/>
      <c r="BD585" s="1820"/>
      <c r="BE585" s="1823"/>
      <c r="BF585" s="1826"/>
      <c r="BG585" s="1829"/>
    </row>
    <row r="586" spans="1:59" s="1378" customFormat="1" ht="38.25">
      <c r="A586" s="1347" t="str">
        <f>L581</f>
        <v>Molecular Stethoscope, Inc.</v>
      </c>
      <c r="B586" s="1348" t="str">
        <f>N581</f>
        <v>HUB SD</v>
      </c>
      <c r="C586" s="1348">
        <f>Z581</f>
        <v>11</v>
      </c>
      <c r="D586" s="1349">
        <v>43101</v>
      </c>
      <c r="E586" s="1349"/>
      <c r="F586" s="1347" t="s">
        <v>113</v>
      </c>
      <c r="G586" s="1347" t="s">
        <v>85</v>
      </c>
      <c r="H586" s="1347" t="s">
        <v>85</v>
      </c>
      <c r="I586" s="1347" t="s">
        <v>113</v>
      </c>
      <c r="J586" s="1349"/>
      <c r="K586" s="1349" t="s">
        <v>254</v>
      </c>
      <c r="L586" s="1350" t="s">
        <v>4682</v>
      </c>
      <c r="M586" s="1350" t="s">
        <v>4683</v>
      </c>
      <c r="N586" s="1386" t="s">
        <v>1249</v>
      </c>
      <c r="O586" s="1352" t="s">
        <v>4684</v>
      </c>
      <c r="P586" s="1387"/>
      <c r="Q586" s="1354"/>
      <c r="R586" s="1354"/>
      <c r="S586" s="1354"/>
      <c r="T586" s="1354"/>
      <c r="U586" s="1354"/>
      <c r="V586" s="1354"/>
      <c r="W586" s="1354"/>
      <c r="X586" s="1353">
        <v>43101</v>
      </c>
      <c r="Y586" s="1353">
        <v>43466</v>
      </c>
      <c r="Z586" s="1355"/>
      <c r="AA586" s="1355" t="s">
        <v>4685</v>
      </c>
      <c r="AB586" s="1356"/>
      <c r="AC586" s="1356"/>
      <c r="AD586" s="1356"/>
      <c r="AE586" s="1356"/>
      <c r="AF586" s="1357"/>
      <c r="AG586" s="1358">
        <f t="shared" si="790"/>
        <v>193.23000000000002</v>
      </c>
      <c r="AH586" s="1358">
        <v>2318.7600000000002</v>
      </c>
      <c r="AI586" s="1359">
        <v>0.15</v>
      </c>
      <c r="AJ586" s="1360">
        <f t="shared" si="826"/>
        <v>28.984500000000001</v>
      </c>
      <c r="AK586" s="1361">
        <f t="shared" si="827"/>
        <v>347.81400000000002</v>
      </c>
      <c r="AL586" s="1384">
        <v>0</v>
      </c>
      <c r="AM586" s="1363">
        <f t="shared" si="828"/>
        <v>0</v>
      </c>
      <c r="AN586" s="1364">
        <v>0</v>
      </c>
      <c r="AO586" s="1365">
        <f t="shared" si="829"/>
        <v>0</v>
      </c>
      <c r="AP586" s="1366">
        <v>0</v>
      </c>
      <c r="AQ586" s="1367">
        <f t="shared" si="830"/>
        <v>0</v>
      </c>
      <c r="AR586" s="1368">
        <v>0.1</v>
      </c>
      <c r="AS586" s="1369">
        <f t="shared" si="831"/>
        <v>231.87600000000003</v>
      </c>
      <c r="AT586" s="1370">
        <v>0</v>
      </c>
      <c r="AU586" s="1371">
        <f t="shared" si="832"/>
        <v>0</v>
      </c>
      <c r="AV586" s="1359">
        <f t="shared" si="833"/>
        <v>4.9999999999999989E-2</v>
      </c>
      <c r="AW586" s="1372">
        <f t="shared" si="834"/>
        <v>115.93799999999999</v>
      </c>
      <c r="AX586" s="1373">
        <f t="shared" si="835"/>
        <v>0.15</v>
      </c>
      <c r="AY586" s="1374">
        <f t="shared" si="836"/>
        <v>347.81400000000002</v>
      </c>
      <c r="AZ586" s="1375">
        <f t="shared" si="837"/>
        <v>0.15</v>
      </c>
      <c r="BA586" s="1376">
        <f t="shared" si="838"/>
        <v>347.81400000000002</v>
      </c>
      <c r="BB586" s="1377"/>
      <c r="BC586" s="1820"/>
      <c r="BD586" s="1820"/>
      <c r="BE586" s="1823"/>
      <c r="BF586" s="1826"/>
      <c r="BG586" s="1829"/>
    </row>
    <row r="587" spans="1:59" s="1378" customFormat="1" ht="38.25">
      <c r="A587" s="1347" t="str">
        <f>L581</f>
        <v>Molecular Stethoscope, Inc.</v>
      </c>
      <c r="B587" s="1348" t="str">
        <f>N581</f>
        <v>HUB SD</v>
      </c>
      <c r="C587" s="1348">
        <f>Z581</f>
        <v>11</v>
      </c>
      <c r="D587" s="1349">
        <v>43101</v>
      </c>
      <c r="E587" s="1349"/>
      <c r="F587" s="1347" t="s">
        <v>113</v>
      </c>
      <c r="G587" s="1347" t="s">
        <v>85</v>
      </c>
      <c r="H587" s="1347" t="s">
        <v>85</v>
      </c>
      <c r="I587" s="1347" t="s">
        <v>113</v>
      </c>
      <c r="J587" s="1349"/>
      <c r="K587" s="1349" t="s">
        <v>254</v>
      </c>
      <c r="L587" s="1350" t="s">
        <v>4682</v>
      </c>
      <c r="M587" s="1350" t="s">
        <v>4686</v>
      </c>
      <c r="N587" s="1386" t="s">
        <v>60</v>
      </c>
      <c r="O587" s="1352" t="s">
        <v>4687</v>
      </c>
      <c r="P587" s="1387"/>
      <c r="Q587" s="1354"/>
      <c r="R587" s="1354"/>
      <c r="S587" s="1354"/>
      <c r="T587" s="1354"/>
      <c r="U587" s="1354"/>
      <c r="V587" s="1354"/>
      <c r="W587" s="1354"/>
      <c r="X587" s="1353">
        <v>43101</v>
      </c>
      <c r="Y587" s="1353">
        <v>43466</v>
      </c>
      <c r="Z587" s="1355"/>
      <c r="AA587" s="1355" t="s">
        <v>4685</v>
      </c>
      <c r="AB587" s="1356"/>
      <c r="AC587" s="1356"/>
      <c r="AD587" s="1356"/>
      <c r="AE587" s="1356"/>
      <c r="AF587" s="1357" t="str">
        <f t="shared" si="768"/>
        <v/>
      </c>
      <c r="AG587" s="1358">
        <f t="shared" si="790"/>
        <v>31.569999999999997</v>
      </c>
      <c r="AH587" s="1358">
        <v>378.84</v>
      </c>
      <c r="AI587" s="1359">
        <v>0.15</v>
      </c>
      <c r="AJ587" s="1360">
        <f t="shared" si="826"/>
        <v>4.7354999999999992</v>
      </c>
      <c r="AK587" s="1361">
        <f t="shared" si="827"/>
        <v>56.825999999999993</v>
      </c>
      <c r="AL587" s="1384">
        <v>0</v>
      </c>
      <c r="AM587" s="1363">
        <f t="shared" si="828"/>
        <v>0</v>
      </c>
      <c r="AN587" s="1364">
        <v>0</v>
      </c>
      <c r="AO587" s="1365">
        <f t="shared" si="829"/>
        <v>0</v>
      </c>
      <c r="AP587" s="1366">
        <v>0</v>
      </c>
      <c r="AQ587" s="1367">
        <f t="shared" si="830"/>
        <v>0</v>
      </c>
      <c r="AR587" s="1368">
        <v>0.1</v>
      </c>
      <c r="AS587" s="1369">
        <f t="shared" si="831"/>
        <v>37.884</v>
      </c>
      <c r="AT587" s="1370">
        <v>0</v>
      </c>
      <c r="AU587" s="1371">
        <f t="shared" si="832"/>
        <v>0</v>
      </c>
      <c r="AV587" s="1359">
        <f t="shared" si="833"/>
        <v>4.9999999999999989E-2</v>
      </c>
      <c r="AW587" s="1372">
        <f t="shared" si="834"/>
        <v>18.941999999999993</v>
      </c>
      <c r="AX587" s="1373">
        <f t="shared" si="835"/>
        <v>0.15</v>
      </c>
      <c r="AY587" s="1374">
        <f t="shared" si="836"/>
        <v>56.825999999999993</v>
      </c>
      <c r="AZ587" s="1375">
        <f t="shared" si="837"/>
        <v>0.15</v>
      </c>
      <c r="BA587" s="1376">
        <f t="shared" si="838"/>
        <v>56.825999999999993</v>
      </c>
      <c r="BB587" s="1377"/>
      <c r="BC587" s="1820"/>
      <c r="BD587" s="1820"/>
      <c r="BE587" s="1823"/>
      <c r="BF587" s="1826"/>
      <c r="BG587" s="1829"/>
    </row>
    <row r="588" spans="1:59" s="1378" customFormat="1" ht="38.25">
      <c r="A588" s="1347" t="str">
        <f>L581</f>
        <v>Molecular Stethoscope, Inc.</v>
      </c>
      <c r="B588" s="1348" t="str">
        <f>N581</f>
        <v>HUB SD</v>
      </c>
      <c r="C588" s="1348">
        <f>Z581</f>
        <v>11</v>
      </c>
      <c r="D588" s="1349">
        <v>43101</v>
      </c>
      <c r="E588" s="1349"/>
      <c r="F588" s="1347" t="s">
        <v>113</v>
      </c>
      <c r="G588" s="1347" t="s">
        <v>85</v>
      </c>
      <c r="H588" s="1347" t="s">
        <v>85</v>
      </c>
      <c r="I588" s="1347" t="s">
        <v>113</v>
      </c>
      <c r="J588" s="1349"/>
      <c r="K588" s="1349" t="s">
        <v>254</v>
      </c>
      <c r="L588" s="1350" t="s">
        <v>4682</v>
      </c>
      <c r="M588" s="1350" t="s">
        <v>67</v>
      </c>
      <c r="N588" s="1351" t="s">
        <v>82</v>
      </c>
      <c r="O588" s="1352" t="s">
        <v>4689</v>
      </c>
      <c r="P588" s="1352"/>
      <c r="Q588" s="1354"/>
      <c r="R588" s="1354"/>
      <c r="S588" s="1354"/>
      <c r="T588" s="1354"/>
      <c r="U588" s="1354"/>
      <c r="V588" s="1354"/>
      <c r="W588" s="1354"/>
      <c r="X588" s="1353">
        <v>43101</v>
      </c>
      <c r="Y588" s="1353">
        <v>43466</v>
      </c>
      <c r="Z588" s="1355"/>
      <c r="AA588" s="1355" t="s">
        <v>4685</v>
      </c>
      <c r="AB588" s="1356"/>
      <c r="AC588" s="1356"/>
      <c r="AD588" s="1356"/>
      <c r="AE588" s="1356"/>
      <c r="AF588" s="1357"/>
      <c r="AG588" s="1358">
        <f t="shared" si="790"/>
        <v>299.0625</v>
      </c>
      <c r="AH588" s="1358">
        <v>3588.75</v>
      </c>
      <c r="AI588" s="1359">
        <v>0.15</v>
      </c>
      <c r="AJ588" s="1360">
        <f t="shared" si="826"/>
        <v>44.859375</v>
      </c>
      <c r="AK588" s="1361">
        <f t="shared" si="827"/>
        <v>538.3125</v>
      </c>
      <c r="AL588" s="1384">
        <v>0</v>
      </c>
      <c r="AM588" s="1363">
        <f t="shared" si="828"/>
        <v>0</v>
      </c>
      <c r="AN588" s="1364">
        <v>0</v>
      </c>
      <c r="AO588" s="1365">
        <f t="shared" si="829"/>
        <v>0</v>
      </c>
      <c r="AP588" s="1366">
        <v>0</v>
      </c>
      <c r="AQ588" s="1367">
        <f t="shared" si="830"/>
        <v>0</v>
      </c>
      <c r="AR588" s="1368">
        <v>0.1</v>
      </c>
      <c r="AS588" s="1369">
        <f t="shared" si="831"/>
        <v>358.875</v>
      </c>
      <c r="AT588" s="1370">
        <v>0</v>
      </c>
      <c r="AU588" s="1371">
        <f t="shared" si="832"/>
        <v>0</v>
      </c>
      <c r="AV588" s="1359">
        <f t="shared" si="833"/>
        <v>4.9999999999999989E-2</v>
      </c>
      <c r="AW588" s="1372">
        <f t="shared" si="834"/>
        <v>179.43749999999997</v>
      </c>
      <c r="AX588" s="1373">
        <f t="shared" si="835"/>
        <v>0.15</v>
      </c>
      <c r="AY588" s="1374">
        <f t="shared" si="836"/>
        <v>538.3125</v>
      </c>
      <c r="AZ588" s="1375">
        <f t="shared" si="837"/>
        <v>0.15</v>
      </c>
      <c r="BA588" s="1376">
        <f t="shared" si="838"/>
        <v>538.3125</v>
      </c>
      <c r="BB588" s="1377"/>
      <c r="BC588" s="1820"/>
      <c r="BD588" s="1820"/>
      <c r="BE588" s="1823"/>
      <c r="BF588" s="1826"/>
      <c r="BG588" s="1829"/>
    </row>
    <row r="589" spans="1:59" s="1378" customFormat="1" ht="27.75" customHeight="1">
      <c r="A589" s="1347" t="s">
        <v>358</v>
      </c>
      <c r="B589" s="1348" t="s">
        <v>4661</v>
      </c>
      <c r="C589" s="1348">
        <v>11</v>
      </c>
      <c r="D589" s="1349">
        <v>43101</v>
      </c>
      <c r="E589" s="1349"/>
      <c r="F589" s="1347" t="s">
        <v>72</v>
      </c>
      <c r="G589" s="1347" t="s">
        <v>85</v>
      </c>
      <c r="H589" s="1347" t="s">
        <v>72</v>
      </c>
      <c r="I589" s="1347" t="s">
        <v>72</v>
      </c>
      <c r="J589" s="1349" t="s">
        <v>4670</v>
      </c>
      <c r="K589" s="1349" t="s">
        <v>254</v>
      </c>
      <c r="L589" s="1350" t="s">
        <v>4696</v>
      </c>
      <c r="M589" s="1350" t="s">
        <v>4697</v>
      </c>
      <c r="N589" s="1389" t="s">
        <v>4698</v>
      </c>
      <c r="O589" s="1352" t="s">
        <v>4699</v>
      </c>
      <c r="P589" s="1352"/>
      <c r="Q589" s="1354"/>
      <c r="R589" s="1354"/>
      <c r="S589" s="1354"/>
      <c r="T589" s="1354"/>
      <c r="U589" s="1354"/>
      <c r="V589" s="1354"/>
      <c r="W589" s="1354"/>
      <c r="X589" s="1353">
        <v>43101</v>
      </c>
      <c r="Y589" s="1353">
        <v>43466</v>
      </c>
      <c r="Z589" s="1355"/>
      <c r="AA589" s="1355" t="s">
        <v>4674</v>
      </c>
      <c r="AB589" s="1356"/>
      <c r="AC589" s="1356"/>
      <c r="AD589" s="1356"/>
      <c r="AE589" s="1356"/>
      <c r="AF589" s="1357" t="str">
        <f t="shared" si="768"/>
        <v/>
      </c>
      <c r="AG589" s="1380"/>
      <c r="AH589" s="1380"/>
      <c r="AI589" s="1381">
        <v>0</v>
      </c>
      <c r="AJ589" s="1382">
        <f t="shared" si="826"/>
        <v>0</v>
      </c>
      <c r="AK589" s="1383">
        <f t="shared" si="827"/>
        <v>0</v>
      </c>
      <c r="AL589" s="1384">
        <v>0</v>
      </c>
      <c r="AM589" s="1363">
        <f t="shared" si="828"/>
        <v>0</v>
      </c>
      <c r="AN589" s="1364">
        <v>0</v>
      </c>
      <c r="AO589" s="1365">
        <f t="shared" si="829"/>
        <v>0</v>
      </c>
      <c r="AP589" s="1366">
        <v>0</v>
      </c>
      <c r="AQ589" s="1367">
        <f t="shared" si="830"/>
        <v>0</v>
      </c>
      <c r="AR589" s="1368">
        <v>0</v>
      </c>
      <c r="AS589" s="1369">
        <f t="shared" si="831"/>
        <v>0</v>
      </c>
      <c r="AT589" s="1370">
        <v>0</v>
      </c>
      <c r="AU589" s="1371">
        <f t="shared" si="832"/>
        <v>0</v>
      </c>
      <c r="AV589" s="1359">
        <f t="shared" si="833"/>
        <v>0</v>
      </c>
      <c r="AW589" s="1372">
        <f t="shared" si="834"/>
        <v>0</v>
      </c>
      <c r="AX589" s="1373">
        <f t="shared" si="835"/>
        <v>0</v>
      </c>
      <c r="AY589" s="1374">
        <f t="shared" si="836"/>
        <v>0</v>
      </c>
      <c r="AZ589" s="1375">
        <f t="shared" si="837"/>
        <v>0</v>
      </c>
      <c r="BA589" s="1376">
        <f t="shared" si="838"/>
        <v>0</v>
      </c>
      <c r="BB589" s="1377"/>
      <c r="BC589" s="1820"/>
      <c r="BD589" s="1820"/>
      <c r="BE589" s="1823"/>
      <c r="BF589" s="1826"/>
      <c r="BG589" s="1829"/>
    </row>
    <row r="590" spans="1:59" s="1378" customFormat="1" ht="38.25">
      <c r="A590" s="1347" t="str">
        <f>L581</f>
        <v>Molecular Stethoscope, Inc.</v>
      </c>
      <c r="B590" s="1348" t="str">
        <f>N581</f>
        <v>HUB SD</v>
      </c>
      <c r="C590" s="1348">
        <f>Z581</f>
        <v>11</v>
      </c>
      <c r="D590" s="1349">
        <v>43101</v>
      </c>
      <c r="E590" s="1349"/>
      <c r="F590" s="1347" t="s">
        <v>72</v>
      </c>
      <c r="G590" s="1347" t="s">
        <v>85</v>
      </c>
      <c r="H590" s="1347" t="s">
        <v>72</v>
      </c>
      <c r="I590" s="1347" t="s">
        <v>113</v>
      </c>
      <c r="J590" s="1349" t="s">
        <v>4670</v>
      </c>
      <c r="K590" s="1349" t="s">
        <v>254</v>
      </c>
      <c r="L590" s="1350" t="s">
        <v>48</v>
      </c>
      <c r="M590" s="1350" t="s">
        <v>253</v>
      </c>
      <c r="N590" s="1390" t="s">
        <v>4703</v>
      </c>
      <c r="O590" s="1352" t="s">
        <v>4704</v>
      </c>
      <c r="P590" s="1352"/>
      <c r="Q590" s="1354"/>
      <c r="R590" s="1354"/>
      <c r="S590" s="1354"/>
      <c r="T590" s="1354"/>
      <c r="U590" s="1354"/>
      <c r="V590" s="1354"/>
      <c r="W590" s="1354"/>
      <c r="X590" s="1353">
        <v>43101</v>
      </c>
      <c r="Y590" s="1353">
        <v>43466</v>
      </c>
      <c r="Z590" s="1355"/>
      <c r="AA590" s="1355" t="s">
        <v>4674</v>
      </c>
      <c r="AB590" s="1356"/>
      <c r="AC590" s="1356"/>
      <c r="AD590" s="1356"/>
      <c r="AE590" s="1356"/>
      <c r="AF590" s="1357" t="str">
        <f t="shared" si="768"/>
        <v/>
      </c>
      <c r="AG590" s="1380"/>
      <c r="AH590" s="1380"/>
      <c r="AI590" s="1381">
        <v>0</v>
      </c>
      <c r="AJ590" s="1382">
        <f t="shared" si="826"/>
        <v>0</v>
      </c>
      <c r="AK590" s="1383">
        <f t="shared" si="827"/>
        <v>0</v>
      </c>
      <c r="AL590" s="1384">
        <v>0</v>
      </c>
      <c r="AM590" s="1363">
        <f t="shared" si="828"/>
        <v>0</v>
      </c>
      <c r="AN590" s="1364">
        <v>0</v>
      </c>
      <c r="AO590" s="1365">
        <f t="shared" si="829"/>
        <v>0</v>
      </c>
      <c r="AP590" s="1366">
        <v>0</v>
      </c>
      <c r="AQ590" s="1367">
        <f t="shared" si="830"/>
        <v>0</v>
      </c>
      <c r="AR590" s="1368">
        <v>0</v>
      </c>
      <c r="AS590" s="1369">
        <f t="shared" si="831"/>
        <v>0</v>
      </c>
      <c r="AT590" s="1370">
        <v>0</v>
      </c>
      <c r="AU590" s="1371">
        <f t="shared" si="832"/>
        <v>0</v>
      </c>
      <c r="AV590" s="1359">
        <f t="shared" si="833"/>
        <v>0</v>
      </c>
      <c r="AW590" s="1372">
        <f t="shared" si="834"/>
        <v>0</v>
      </c>
      <c r="AX590" s="1373">
        <f t="shared" si="835"/>
        <v>0</v>
      </c>
      <c r="AY590" s="1374">
        <f t="shared" si="836"/>
        <v>0</v>
      </c>
      <c r="AZ590" s="1375">
        <f t="shared" si="837"/>
        <v>0</v>
      </c>
      <c r="BA590" s="1376">
        <f t="shared" si="838"/>
        <v>0</v>
      </c>
      <c r="BB590" s="1377"/>
      <c r="BC590" s="1820"/>
      <c r="BD590" s="1820"/>
      <c r="BE590" s="1823"/>
      <c r="BF590" s="1826"/>
      <c r="BG590" s="1829"/>
    </row>
    <row r="591" spans="1:59" s="1378" customFormat="1" ht="25.5" customHeight="1">
      <c r="A591" s="1347" t="str">
        <f t="shared" ref="A591:C592" si="839">A590</f>
        <v>Molecular Stethoscope, Inc.</v>
      </c>
      <c r="B591" s="1348" t="str">
        <f t="shared" si="839"/>
        <v>HUB SD</v>
      </c>
      <c r="C591" s="1348">
        <f t="shared" si="839"/>
        <v>11</v>
      </c>
      <c r="D591" s="1349">
        <v>43101</v>
      </c>
      <c r="E591" s="1349"/>
      <c r="F591" s="1347" t="s">
        <v>72</v>
      </c>
      <c r="G591" s="1347" t="s">
        <v>85</v>
      </c>
      <c r="H591" s="1347" t="s">
        <v>72</v>
      </c>
      <c r="I591" s="1347" t="s">
        <v>72</v>
      </c>
      <c r="J591" s="1349" t="s">
        <v>4670</v>
      </c>
      <c r="K591" s="1349" t="s">
        <v>254</v>
      </c>
      <c r="L591" s="1350" t="s">
        <v>49</v>
      </c>
      <c r="M591" s="1350" t="s">
        <v>4705</v>
      </c>
      <c r="N591" s="1390" t="s">
        <v>4706</v>
      </c>
      <c r="O591" s="1352" t="s">
        <v>4707</v>
      </c>
      <c r="P591" s="1352"/>
      <c r="Q591" s="1354"/>
      <c r="R591" s="1354"/>
      <c r="S591" s="1354"/>
      <c r="T591" s="1354"/>
      <c r="U591" s="1354"/>
      <c r="V591" s="1354"/>
      <c r="W591" s="1354"/>
      <c r="X591" s="1353">
        <v>43101</v>
      </c>
      <c r="Y591" s="1353">
        <v>43466</v>
      </c>
      <c r="Z591" s="1355"/>
      <c r="AA591" s="1355" t="s">
        <v>4674</v>
      </c>
      <c r="AB591" s="1356"/>
      <c r="AC591" s="1356"/>
      <c r="AD591" s="1356"/>
      <c r="AE591" s="1356"/>
      <c r="AF591" s="1357" t="str">
        <f t="shared" si="768"/>
        <v/>
      </c>
      <c r="AG591" s="1380"/>
      <c r="AH591" s="1380"/>
      <c r="AI591" s="1381">
        <v>0</v>
      </c>
      <c r="AJ591" s="1382">
        <f t="shared" si="826"/>
        <v>0</v>
      </c>
      <c r="AK591" s="1383">
        <f t="shared" si="827"/>
        <v>0</v>
      </c>
      <c r="AL591" s="1384">
        <v>0</v>
      </c>
      <c r="AM591" s="1363">
        <f t="shared" si="828"/>
        <v>0</v>
      </c>
      <c r="AN591" s="1364">
        <v>0</v>
      </c>
      <c r="AO591" s="1365">
        <f t="shared" si="829"/>
        <v>0</v>
      </c>
      <c r="AP591" s="1366">
        <v>0</v>
      </c>
      <c r="AQ591" s="1367">
        <f t="shared" si="830"/>
        <v>0</v>
      </c>
      <c r="AR591" s="1368">
        <v>0</v>
      </c>
      <c r="AS591" s="1369">
        <f t="shared" si="831"/>
        <v>0</v>
      </c>
      <c r="AT591" s="1370">
        <v>0</v>
      </c>
      <c r="AU591" s="1371">
        <f t="shared" si="832"/>
        <v>0</v>
      </c>
      <c r="AV591" s="1359">
        <f t="shared" si="833"/>
        <v>0</v>
      </c>
      <c r="AW591" s="1372">
        <f t="shared" si="834"/>
        <v>0</v>
      </c>
      <c r="AX591" s="1373">
        <f t="shared" si="835"/>
        <v>0</v>
      </c>
      <c r="AY591" s="1374">
        <f t="shared" si="836"/>
        <v>0</v>
      </c>
      <c r="AZ591" s="1375">
        <f t="shared" si="837"/>
        <v>0</v>
      </c>
      <c r="BA591" s="1376">
        <f t="shared" si="838"/>
        <v>0</v>
      </c>
      <c r="BB591" s="1377"/>
      <c r="BC591" s="1820"/>
      <c r="BD591" s="1820"/>
      <c r="BE591" s="1823"/>
      <c r="BF591" s="1826"/>
      <c r="BG591" s="1829"/>
    </row>
    <row r="592" spans="1:59" s="1378" customFormat="1" ht="21.75" customHeight="1">
      <c r="A592" s="1347" t="str">
        <f t="shared" si="839"/>
        <v>Molecular Stethoscope, Inc.</v>
      </c>
      <c r="B592" s="1348" t="str">
        <f t="shared" si="839"/>
        <v>HUB SD</v>
      </c>
      <c r="C592" s="1348">
        <f t="shared" si="839"/>
        <v>11</v>
      </c>
      <c r="D592" s="1349">
        <v>43101</v>
      </c>
      <c r="E592" s="1349"/>
      <c r="F592" s="1347" t="s">
        <v>72</v>
      </c>
      <c r="G592" s="1347" t="s">
        <v>85</v>
      </c>
      <c r="H592" s="1347" t="s">
        <v>72</v>
      </c>
      <c r="I592" s="1347" t="s">
        <v>72</v>
      </c>
      <c r="J592" s="1349" t="s">
        <v>4670</v>
      </c>
      <c r="K592" s="1349" t="s">
        <v>254</v>
      </c>
      <c r="L592" s="1350" t="s">
        <v>3056</v>
      </c>
      <c r="M592" s="1350" t="s">
        <v>4708</v>
      </c>
      <c r="N592" s="1390" t="s">
        <v>4709</v>
      </c>
      <c r="O592" s="1352" t="s">
        <v>4710</v>
      </c>
      <c r="P592" s="1352"/>
      <c r="Q592" s="1354"/>
      <c r="R592" s="1354"/>
      <c r="S592" s="1354"/>
      <c r="T592" s="1354"/>
      <c r="U592" s="1354"/>
      <c r="V592" s="1354"/>
      <c r="W592" s="1354"/>
      <c r="X592" s="1353">
        <v>43101</v>
      </c>
      <c r="Y592" s="1353">
        <v>43466</v>
      </c>
      <c r="Z592" s="1355"/>
      <c r="AA592" s="1355" t="s">
        <v>4674</v>
      </c>
      <c r="AB592" s="1356"/>
      <c r="AC592" s="1356"/>
      <c r="AD592" s="1356"/>
      <c r="AE592" s="1356"/>
      <c r="AF592" s="1357" t="str">
        <f t="shared" si="768"/>
        <v/>
      </c>
      <c r="AG592" s="1380"/>
      <c r="AH592" s="1380"/>
      <c r="AI592" s="1381">
        <v>0</v>
      </c>
      <c r="AJ592" s="1382">
        <f t="shared" si="826"/>
        <v>0</v>
      </c>
      <c r="AK592" s="1383">
        <f t="shared" si="827"/>
        <v>0</v>
      </c>
      <c r="AL592" s="1384">
        <v>0</v>
      </c>
      <c r="AM592" s="1363">
        <f t="shared" si="828"/>
        <v>0</v>
      </c>
      <c r="AN592" s="1364">
        <v>0</v>
      </c>
      <c r="AO592" s="1365">
        <f t="shared" si="829"/>
        <v>0</v>
      </c>
      <c r="AP592" s="1366">
        <v>0</v>
      </c>
      <c r="AQ592" s="1367">
        <f t="shared" si="830"/>
        <v>0</v>
      </c>
      <c r="AR592" s="1368">
        <v>0</v>
      </c>
      <c r="AS592" s="1369">
        <f t="shared" si="831"/>
        <v>0</v>
      </c>
      <c r="AT592" s="1370">
        <v>0</v>
      </c>
      <c r="AU592" s="1371">
        <f t="shared" si="832"/>
        <v>0</v>
      </c>
      <c r="AV592" s="1359">
        <f t="shared" si="833"/>
        <v>0</v>
      </c>
      <c r="AW592" s="1372">
        <f t="shared" si="834"/>
        <v>0</v>
      </c>
      <c r="AX592" s="1373">
        <f t="shared" si="835"/>
        <v>0</v>
      </c>
      <c r="AY592" s="1374">
        <f t="shared" si="836"/>
        <v>0</v>
      </c>
      <c r="AZ592" s="1375">
        <f t="shared" si="837"/>
        <v>0</v>
      </c>
      <c r="BA592" s="1376">
        <f t="shared" si="838"/>
        <v>0</v>
      </c>
      <c r="BB592" s="1391"/>
      <c r="BC592" s="1821"/>
      <c r="BD592" s="1821"/>
      <c r="BE592" s="1824"/>
      <c r="BF592" s="1827"/>
      <c r="BG592" s="1830"/>
    </row>
    <row r="593" spans="1:59" s="1315" customFormat="1" ht="63.75">
      <c r="A593" s="1277" t="str">
        <f>$L$593</f>
        <v>Okapi Environmental Group, Inc.</v>
      </c>
      <c r="B593" s="1277" t="s">
        <v>4835</v>
      </c>
      <c r="C593" s="1316">
        <f t="shared" ref="C593:C606" si="840">$Z$593</f>
        <v>15</v>
      </c>
      <c r="D593" s="1317">
        <v>42705</v>
      </c>
      <c r="E593" s="1317"/>
      <c r="F593" s="1277" t="s">
        <v>72</v>
      </c>
      <c r="G593" s="1277" t="s">
        <v>72</v>
      </c>
      <c r="H593" s="1277" t="s">
        <v>72</v>
      </c>
      <c r="I593" s="1277" t="s">
        <v>113</v>
      </c>
      <c r="J593" s="1317"/>
      <c r="K593" s="1317"/>
      <c r="L593" s="1318" t="s">
        <v>4072</v>
      </c>
      <c r="M593" s="1319" t="s">
        <v>5137</v>
      </c>
      <c r="N593" s="1427" t="s">
        <v>4835</v>
      </c>
      <c r="O593" s="1419" t="s">
        <v>2474</v>
      </c>
      <c r="P593" s="1419"/>
      <c r="Q593" s="1322"/>
      <c r="R593" s="1322"/>
      <c r="S593" s="1322"/>
      <c r="T593" s="1322"/>
      <c r="U593" s="1322"/>
      <c r="V593" s="1322"/>
      <c r="W593" s="1322"/>
      <c r="X593" s="1317">
        <v>43101</v>
      </c>
      <c r="Y593" s="1317">
        <v>43466</v>
      </c>
      <c r="Z593" s="1316">
        <v>15</v>
      </c>
      <c r="AA593" s="1316" t="s">
        <v>5138</v>
      </c>
      <c r="AB593" s="1323">
        <f>SUM(AB594:AB606)</f>
        <v>95853</v>
      </c>
      <c r="AC593" s="1323">
        <f>SUM(AC594:AC606)</f>
        <v>105822</v>
      </c>
      <c r="AD593" s="1323">
        <f>SUM(AD594:AD606)</f>
        <v>86755.8</v>
      </c>
      <c r="AE593" s="1324">
        <f t="shared" si="809"/>
        <v>-9097.1999999999971</v>
      </c>
      <c r="AF593" s="1325">
        <f t="shared" si="768"/>
        <v>-9.4907827611029352E-2</v>
      </c>
      <c r="AG593" s="1326">
        <f t="shared" si="790"/>
        <v>8868.0266666666666</v>
      </c>
      <c r="AH593" s="1326">
        <f>SUM(AH594:AH606)</f>
        <v>106416.31999999999</v>
      </c>
      <c r="AI593" s="1327"/>
      <c r="AJ593" s="1328">
        <f>SUM(AJ594:AJ606)</f>
        <v>772.25650000000007</v>
      </c>
      <c r="AK593" s="1328">
        <f>SUM(AK594:AK606)</f>
        <v>9267.0779999999995</v>
      </c>
      <c r="AL593" s="1329"/>
      <c r="AM593" s="1330">
        <f>SUM(AM594:AM606)</f>
        <v>433.779</v>
      </c>
      <c r="AN593" s="1331"/>
      <c r="AO593" s="1332">
        <f>SUM(AO594:AO606)</f>
        <v>0</v>
      </c>
      <c r="AP593" s="1333"/>
      <c r="AQ593" s="1334">
        <f>SUM(AQ594:AQ606)</f>
        <v>0</v>
      </c>
      <c r="AR593" s="1335"/>
      <c r="AS593" s="1336">
        <f>SUM(AS594:AS606)</f>
        <v>0</v>
      </c>
      <c r="AT593" s="1337"/>
      <c r="AU593" s="1338">
        <f>SUM(AU594:AU606)</f>
        <v>2168.895</v>
      </c>
      <c r="AV593" s="1339"/>
      <c r="AW593" s="1340">
        <f>SUM(AW594:AW606)</f>
        <v>6664.4040000000005</v>
      </c>
      <c r="AX593" s="1306"/>
      <c r="AY593" s="1307">
        <f>SUM(AW593+AS593+AU593)</f>
        <v>8833.2990000000009</v>
      </c>
      <c r="AZ593" s="1341"/>
      <c r="BA593" s="1309">
        <f>SUM(AY593+AQ593)</f>
        <v>8833.2990000000009</v>
      </c>
      <c r="BB593" s="1342">
        <f>(AW593+AU593)/(AK593-AM593)</f>
        <v>1.0000000000000002</v>
      </c>
      <c r="BC593" s="1343"/>
      <c r="BD593" s="1343"/>
      <c r="BE593" s="1344"/>
      <c r="BF593" s="1428" t="s">
        <v>5139</v>
      </c>
      <c r="BG593" s="1346"/>
    </row>
    <row r="594" spans="1:59" s="1378" customFormat="1" ht="51" customHeight="1">
      <c r="A594" s="1347" t="str">
        <f t="shared" ref="A594:A606" si="841">$L$593</f>
        <v>Okapi Environmental Group, Inc.</v>
      </c>
      <c r="B594" s="1347" t="s">
        <v>4835</v>
      </c>
      <c r="C594" s="1348">
        <f t="shared" si="840"/>
        <v>15</v>
      </c>
      <c r="D594" s="1349">
        <v>42705</v>
      </c>
      <c r="E594" s="1349"/>
      <c r="F594" s="1347" t="s">
        <v>85</v>
      </c>
      <c r="G594" s="1347" t="s">
        <v>85</v>
      </c>
      <c r="H594" s="1347" t="s">
        <v>85</v>
      </c>
      <c r="I594" s="1347" t="s">
        <v>85</v>
      </c>
      <c r="J594" s="1349"/>
      <c r="K594" s="1349" t="s">
        <v>254</v>
      </c>
      <c r="L594" s="1350" t="s">
        <v>2661</v>
      </c>
      <c r="M594" s="1350" t="s">
        <v>3647</v>
      </c>
      <c r="N594" s="1351" t="s">
        <v>5140</v>
      </c>
      <c r="O594" s="1352" t="s">
        <v>5133</v>
      </c>
      <c r="P594" s="1352" t="s">
        <v>4862</v>
      </c>
      <c r="Q594" s="1353" t="s">
        <v>317</v>
      </c>
      <c r="R594" s="1353" t="s">
        <v>3648</v>
      </c>
      <c r="S594" s="1353" t="s">
        <v>307</v>
      </c>
      <c r="T594" s="1353" t="s">
        <v>113</v>
      </c>
      <c r="U594" s="1354"/>
      <c r="V594" s="1354"/>
      <c r="W594" s="1354"/>
      <c r="X594" s="1353">
        <v>43101</v>
      </c>
      <c r="Y594" s="1353">
        <v>43466</v>
      </c>
      <c r="Z594" s="1355"/>
      <c r="AA594" s="1355" t="s">
        <v>4841</v>
      </c>
      <c r="AB594" s="1422">
        <v>95853</v>
      </c>
      <c r="AC594" s="1422">
        <v>105822</v>
      </c>
      <c r="AD594" s="1422">
        <f>AH594</f>
        <v>86755.8</v>
      </c>
      <c r="AE594" s="1422">
        <f t="shared" si="809"/>
        <v>-9097.1999999999971</v>
      </c>
      <c r="AF594" s="1423">
        <f t="shared" si="768"/>
        <v>-9.4907827611029352E-2</v>
      </c>
      <c r="AG594" s="1358">
        <f t="shared" si="790"/>
        <v>7229.6500000000005</v>
      </c>
      <c r="AH594" s="1358">
        <v>86755.8</v>
      </c>
      <c r="AI594" s="1359">
        <v>0.08</v>
      </c>
      <c r="AJ594" s="1360">
        <f t="shared" ref="AJ594:AJ601" si="842">$AI594*$AG594</f>
        <v>578.37200000000007</v>
      </c>
      <c r="AK594" s="1361">
        <f t="shared" ref="AK594:AK606" si="843">AI594*$AH594</f>
        <v>6940.4639999999999</v>
      </c>
      <c r="AL594" s="1362">
        <v>5.0000000000000001E-3</v>
      </c>
      <c r="AM594" s="1363">
        <f t="shared" ref="AM594:AM606" si="844">AL594*$AH594</f>
        <v>433.779</v>
      </c>
      <c r="AN594" s="1364">
        <v>0</v>
      </c>
      <c r="AO594" s="1365">
        <f t="shared" ref="AO594:AO606" si="845">AN594*$AH594</f>
        <v>0</v>
      </c>
      <c r="AP594" s="1366">
        <v>0</v>
      </c>
      <c r="AQ594" s="1367">
        <f t="shared" ref="AQ594:AQ606" si="846">AP594*$AH594</f>
        <v>0</v>
      </c>
      <c r="AR594" s="1368">
        <v>0</v>
      </c>
      <c r="AS594" s="1369">
        <f t="shared" ref="AS594:AS606" si="847">AR594*$AH594</f>
        <v>0</v>
      </c>
      <c r="AT594" s="1370">
        <v>2.5000000000000001E-2</v>
      </c>
      <c r="AU594" s="1371">
        <f t="shared" ref="AU594:AU606" si="848">AT594*$AH594</f>
        <v>2168.895</v>
      </c>
      <c r="AV594" s="1359">
        <f t="shared" ref="AV594:AV606" si="849">AZ594-AR594-AT594-AP594</f>
        <v>4.9999999999999996E-2</v>
      </c>
      <c r="AW594" s="1372">
        <f t="shared" ref="AW594:AW606" si="850">AV594*$AH594</f>
        <v>4337.79</v>
      </c>
      <c r="AX594" s="1373">
        <f t="shared" ref="AX594:AX606" si="851">$AZ594-$AP594</f>
        <v>7.4999999999999997E-2</v>
      </c>
      <c r="AY594" s="1374">
        <f t="shared" ref="AY594:AY606" si="852">AX594*$AH594</f>
        <v>6506.6850000000004</v>
      </c>
      <c r="AZ594" s="1375">
        <f t="shared" ref="AZ594:AZ606" si="853">$AI594-$AL594-$AN594</f>
        <v>7.4999999999999997E-2</v>
      </c>
      <c r="BA594" s="1376">
        <f t="shared" ref="BA594:BA606" si="854">AZ594*$AH594</f>
        <v>6506.6850000000004</v>
      </c>
      <c r="BB594" s="1391"/>
      <c r="BC594" s="1819" t="s">
        <v>146</v>
      </c>
      <c r="BD594" s="1819" t="s">
        <v>4137</v>
      </c>
      <c r="BE594" s="1822" t="s">
        <v>4137</v>
      </c>
      <c r="BF594" s="1825" t="s">
        <v>5141</v>
      </c>
      <c r="BG594" s="1828">
        <v>461617513</v>
      </c>
    </row>
    <row r="595" spans="1:59" s="1378" customFormat="1" ht="51">
      <c r="A595" s="1347" t="str">
        <f t="shared" si="841"/>
        <v>Okapi Environmental Group, Inc.</v>
      </c>
      <c r="B595" s="1347" t="s">
        <v>4835</v>
      </c>
      <c r="C595" s="1348">
        <f t="shared" si="840"/>
        <v>15</v>
      </c>
      <c r="D595" s="1349">
        <v>42705</v>
      </c>
      <c r="E595" s="1349"/>
      <c r="F595" s="1347" t="s">
        <v>113</v>
      </c>
      <c r="G595" s="1347" t="s">
        <v>85</v>
      </c>
      <c r="H595" s="1347" t="s">
        <v>85</v>
      </c>
      <c r="I595" s="1347" t="s">
        <v>72</v>
      </c>
      <c r="J595" s="1349" t="s">
        <v>4670</v>
      </c>
      <c r="K595" s="1349" t="s">
        <v>254</v>
      </c>
      <c r="L595" s="1350" t="s">
        <v>4671</v>
      </c>
      <c r="M595" s="1350" t="s">
        <v>3649</v>
      </c>
      <c r="N595" s="1379" t="s">
        <v>4820</v>
      </c>
      <c r="O595" s="1352" t="s">
        <v>5142</v>
      </c>
      <c r="P595" s="1388"/>
      <c r="Q595" s="1354"/>
      <c r="R595" s="1354"/>
      <c r="S595" s="1354"/>
      <c r="T595" s="1354"/>
      <c r="U595" s="1354"/>
      <c r="V595" s="1354"/>
      <c r="W595" s="1354"/>
      <c r="X595" s="1353">
        <v>43101</v>
      </c>
      <c r="Y595" s="1353">
        <v>43466</v>
      </c>
      <c r="Z595" s="1355"/>
      <c r="AA595" s="1355" t="s">
        <v>4674</v>
      </c>
      <c r="AB595" s="1356"/>
      <c r="AC595" s="1356"/>
      <c r="AD595" s="1356"/>
      <c r="AE595" s="1356"/>
      <c r="AF595" s="1357" t="str">
        <f t="shared" si="768"/>
        <v/>
      </c>
      <c r="AG595" s="1380"/>
      <c r="AH595" s="1380"/>
      <c r="AI595" s="1381">
        <v>0</v>
      </c>
      <c r="AJ595" s="1382">
        <f t="shared" si="842"/>
        <v>0</v>
      </c>
      <c r="AK595" s="1383">
        <f t="shared" si="843"/>
        <v>0</v>
      </c>
      <c r="AL595" s="1384">
        <v>0</v>
      </c>
      <c r="AM595" s="1363">
        <f t="shared" si="844"/>
        <v>0</v>
      </c>
      <c r="AN595" s="1364">
        <v>0</v>
      </c>
      <c r="AO595" s="1365">
        <f t="shared" si="845"/>
        <v>0</v>
      </c>
      <c r="AP595" s="1366">
        <v>0</v>
      </c>
      <c r="AQ595" s="1367">
        <f t="shared" si="846"/>
        <v>0</v>
      </c>
      <c r="AR595" s="1368">
        <v>0</v>
      </c>
      <c r="AS595" s="1369">
        <f t="shared" si="847"/>
        <v>0</v>
      </c>
      <c r="AT595" s="1370">
        <v>0</v>
      </c>
      <c r="AU595" s="1371">
        <f t="shared" si="848"/>
        <v>0</v>
      </c>
      <c r="AV595" s="1359">
        <f t="shared" si="849"/>
        <v>0</v>
      </c>
      <c r="AW595" s="1372">
        <f t="shared" si="850"/>
        <v>0</v>
      </c>
      <c r="AX595" s="1373">
        <f t="shared" si="851"/>
        <v>0</v>
      </c>
      <c r="AY595" s="1374">
        <f t="shared" si="852"/>
        <v>0</v>
      </c>
      <c r="AZ595" s="1375">
        <f t="shared" si="853"/>
        <v>0</v>
      </c>
      <c r="BA595" s="1376">
        <f t="shared" si="854"/>
        <v>0</v>
      </c>
      <c r="BB595" s="1391"/>
      <c r="BC595" s="1820"/>
      <c r="BD595" s="1820"/>
      <c r="BE595" s="1823"/>
      <c r="BF595" s="1826"/>
      <c r="BG595" s="1829"/>
    </row>
    <row r="596" spans="1:59" s="1378" customFormat="1" ht="51">
      <c r="A596" s="1347" t="str">
        <f t="shared" si="841"/>
        <v>Okapi Environmental Group, Inc.</v>
      </c>
      <c r="B596" s="1347" t="s">
        <v>4835</v>
      </c>
      <c r="C596" s="1348">
        <f t="shared" si="840"/>
        <v>15</v>
      </c>
      <c r="D596" s="1349">
        <v>42705</v>
      </c>
      <c r="E596" s="1349"/>
      <c r="F596" s="1347" t="s">
        <v>113</v>
      </c>
      <c r="G596" s="1347" t="s">
        <v>85</v>
      </c>
      <c r="H596" s="1347" t="s">
        <v>85</v>
      </c>
      <c r="I596" s="1347" t="s">
        <v>113</v>
      </c>
      <c r="J596" s="1349"/>
      <c r="K596" s="1349" t="s">
        <v>254</v>
      </c>
      <c r="L596" s="1350" t="s">
        <v>4675</v>
      </c>
      <c r="M596" s="1350" t="s">
        <v>3650</v>
      </c>
      <c r="N596" s="1385" t="s">
        <v>5143</v>
      </c>
      <c r="O596" s="1352" t="s">
        <v>4677</v>
      </c>
      <c r="P596" s="1352"/>
      <c r="Q596" s="1354"/>
      <c r="R596" s="1354"/>
      <c r="S596" s="1354"/>
      <c r="T596" s="1354"/>
      <c r="U596" s="1353" t="s">
        <v>4802</v>
      </c>
      <c r="V596" s="1353" t="s">
        <v>2481</v>
      </c>
      <c r="W596" s="1354"/>
      <c r="X596" s="1353">
        <v>43101</v>
      </c>
      <c r="Y596" s="1353">
        <v>43466</v>
      </c>
      <c r="Z596" s="1355"/>
      <c r="AA596" s="1355" t="s">
        <v>4846</v>
      </c>
      <c r="AB596" s="1356"/>
      <c r="AC596" s="1356"/>
      <c r="AD596" s="1356"/>
      <c r="AE596" s="1356"/>
      <c r="AF596" s="1357"/>
      <c r="AG596" s="1358">
        <f t="shared" si="790"/>
        <v>904.48</v>
      </c>
      <c r="AH596" s="1358">
        <v>10853.76</v>
      </c>
      <c r="AI596" s="1359">
        <v>0.1</v>
      </c>
      <c r="AJ596" s="1360">
        <f t="shared" si="842"/>
        <v>90.448000000000008</v>
      </c>
      <c r="AK596" s="1361">
        <f t="shared" si="843"/>
        <v>1085.376</v>
      </c>
      <c r="AL596" s="1384">
        <v>0</v>
      </c>
      <c r="AM596" s="1363">
        <f t="shared" si="844"/>
        <v>0</v>
      </c>
      <c r="AN596" s="1364">
        <v>0</v>
      </c>
      <c r="AO596" s="1365">
        <f t="shared" si="845"/>
        <v>0</v>
      </c>
      <c r="AP596" s="1366">
        <v>0</v>
      </c>
      <c r="AQ596" s="1367">
        <f t="shared" si="846"/>
        <v>0</v>
      </c>
      <c r="AR596" s="1368">
        <v>0</v>
      </c>
      <c r="AS596" s="1369">
        <f t="shared" si="847"/>
        <v>0</v>
      </c>
      <c r="AT596" s="1370">
        <v>0</v>
      </c>
      <c r="AU596" s="1371">
        <f t="shared" si="848"/>
        <v>0</v>
      </c>
      <c r="AV596" s="1359">
        <f t="shared" si="849"/>
        <v>0.1</v>
      </c>
      <c r="AW596" s="1372">
        <f t="shared" si="850"/>
        <v>1085.376</v>
      </c>
      <c r="AX596" s="1373">
        <f t="shared" si="851"/>
        <v>0.1</v>
      </c>
      <c r="AY596" s="1374">
        <f t="shared" si="852"/>
        <v>1085.376</v>
      </c>
      <c r="AZ596" s="1375">
        <f t="shared" si="853"/>
        <v>0.1</v>
      </c>
      <c r="BA596" s="1376">
        <f t="shared" si="854"/>
        <v>1085.376</v>
      </c>
      <c r="BB596" s="1377"/>
      <c r="BC596" s="1820"/>
      <c r="BD596" s="1820"/>
      <c r="BE596" s="1823"/>
      <c r="BF596" s="1826"/>
      <c r="BG596" s="1829"/>
    </row>
    <row r="597" spans="1:59" s="1378" customFormat="1" ht="51">
      <c r="A597" s="1347" t="str">
        <f t="shared" si="841"/>
        <v>Okapi Environmental Group, Inc.</v>
      </c>
      <c r="B597" s="1347" t="s">
        <v>4835</v>
      </c>
      <c r="C597" s="1348">
        <f t="shared" si="840"/>
        <v>15</v>
      </c>
      <c r="D597" s="1349">
        <v>42705</v>
      </c>
      <c r="E597" s="1349"/>
      <c r="F597" s="1347" t="s">
        <v>113</v>
      </c>
      <c r="G597" s="1347" t="s">
        <v>85</v>
      </c>
      <c r="H597" s="1347" t="s">
        <v>85</v>
      </c>
      <c r="I597" s="1347" t="s">
        <v>113</v>
      </c>
      <c r="J597" s="1349"/>
      <c r="K597" s="1349" t="s">
        <v>254</v>
      </c>
      <c r="L597" s="1350" t="s">
        <v>4675</v>
      </c>
      <c r="M597" s="1350" t="s">
        <v>3651</v>
      </c>
      <c r="N597" s="1351" t="s">
        <v>4908</v>
      </c>
      <c r="O597" s="1352" t="s">
        <v>4681</v>
      </c>
      <c r="P597" s="1352"/>
      <c r="Q597" s="1354"/>
      <c r="R597" s="1354"/>
      <c r="S597" s="1354"/>
      <c r="T597" s="1354"/>
      <c r="U597" s="1354"/>
      <c r="V597" s="1354"/>
      <c r="W597" s="1353" t="s">
        <v>2492</v>
      </c>
      <c r="X597" s="1353">
        <v>43101</v>
      </c>
      <c r="Y597" s="1353">
        <v>43466</v>
      </c>
      <c r="Z597" s="1355"/>
      <c r="AA597" s="1355" t="s">
        <v>4846</v>
      </c>
      <c r="AB597" s="1356"/>
      <c r="AC597" s="1356"/>
      <c r="AD597" s="1356"/>
      <c r="AE597" s="1356"/>
      <c r="AF597" s="1357"/>
      <c r="AG597" s="1358">
        <f t="shared" si="790"/>
        <v>132.96</v>
      </c>
      <c r="AH597" s="1358">
        <v>1595.52</v>
      </c>
      <c r="AI597" s="1359">
        <v>0.1</v>
      </c>
      <c r="AJ597" s="1360">
        <f t="shared" si="842"/>
        <v>13.296000000000001</v>
      </c>
      <c r="AK597" s="1361">
        <f t="shared" si="843"/>
        <v>159.55200000000002</v>
      </c>
      <c r="AL597" s="1384">
        <v>0</v>
      </c>
      <c r="AM597" s="1363">
        <f t="shared" si="844"/>
        <v>0</v>
      </c>
      <c r="AN597" s="1364">
        <v>0</v>
      </c>
      <c r="AO597" s="1365">
        <f t="shared" si="845"/>
        <v>0</v>
      </c>
      <c r="AP597" s="1366">
        <v>0</v>
      </c>
      <c r="AQ597" s="1367">
        <f t="shared" si="846"/>
        <v>0</v>
      </c>
      <c r="AR597" s="1368">
        <v>0</v>
      </c>
      <c r="AS597" s="1369">
        <f t="shared" si="847"/>
        <v>0</v>
      </c>
      <c r="AT597" s="1370">
        <v>0</v>
      </c>
      <c r="AU597" s="1371">
        <f t="shared" si="848"/>
        <v>0</v>
      </c>
      <c r="AV597" s="1359">
        <f t="shared" si="849"/>
        <v>0.1</v>
      </c>
      <c r="AW597" s="1372">
        <f t="shared" si="850"/>
        <v>159.55200000000002</v>
      </c>
      <c r="AX597" s="1373">
        <f t="shared" si="851"/>
        <v>0.1</v>
      </c>
      <c r="AY597" s="1374">
        <f t="shared" si="852"/>
        <v>159.55200000000002</v>
      </c>
      <c r="AZ597" s="1375">
        <f t="shared" si="853"/>
        <v>0.1</v>
      </c>
      <c r="BA597" s="1376">
        <f t="shared" si="854"/>
        <v>159.55200000000002</v>
      </c>
      <c r="BB597" s="1377"/>
      <c r="BC597" s="1820"/>
      <c r="BD597" s="1820"/>
      <c r="BE597" s="1823"/>
      <c r="BF597" s="1826"/>
      <c r="BG597" s="1829"/>
    </row>
    <row r="598" spans="1:59" s="1378" customFormat="1" ht="51">
      <c r="A598" s="1347" t="str">
        <f t="shared" si="841"/>
        <v>Okapi Environmental Group, Inc.</v>
      </c>
      <c r="B598" s="1347" t="s">
        <v>4835</v>
      </c>
      <c r="C598" s="1348">
        <f t="shared" si="840"/>
        <v>15</v>
      </c>
      <c r="D598" s="1349">
        <v>42705</v>
      </c>
      <c r="E598" s="1349"/>
      <c r="F598" s="1347" t="s">
        <v>113</v>
      </c>
      <c r="G598" s="1347" t="s">
        <v>85</v>
      </c>
      <c r="H598" s="1347" t="s">
        <v>85</v>
      </c>
      <c r="I598" s="1347" t="s">
        <v>113</v>
      </c>
      <c r="J598" s="1349"/>
      <c r="K598" s="1349" t="s">
        <v>254</v>
      </c>
      <c r="L598" s="1350" t="s">
        <v>4682</v>
      </c>
      <c r="M598" s="1350" t="s">
        <v>4683</v>
      </c>
      <c r="N598" s="1386" t="s">
        <v>148</v>
      </c>
      <c r="O598" s="1352" t="s">
        <v>4684</v>
      </c>
      <c r="P598" s="1387"/>
      <c r="Q598" s="1354"/>
      <c r="R598" s="1354"/>
      <c r="S598" s="1354"/>
      <c r="T598" s="1354"/>
      <c r="U598" s="1354"/>
      <c r="V598" s="1354"/>
      <c r="W598" s="1354"/>
      <c r="X598" s="1353">
        <v>43101</v>
      </c>
      <c r="Y598" s="1353">
        <v>43466</v>
      </c>
      <c r="Z598" s="1355"/>
      <c r="AA598" s="1355" t="s">
        <v>4884</v>
      </c>
      <c r="AB598" s="1356"/>
      <c r="AC598" s="1356"/>
      <c r="AD598" s="1356"/>
      <c r="AE598" s="1356"/>
      <c r="AF598" s="1357"/>
      <c r="AG598" s="1358">
        <f t="shared" si="790"/>
        <v>84.75</v>
      </c>
      <c r="AH598" s="1358">
        <v>1017</v>
      </c>
      <c r="AI598" s="1359">
        <v>0.15</v>
      </c>
      <c r="AJ598" s="1360">
        <f t="shared" si="842"/>
        <v>12.7125</v>
      </c>
      <c r="AK598" s="1361">
        <f t="shared" si="843"/>
        <v>152.54999999999998</v>
      </c>
      <c r="AL598" s="1384">
        <v>0</v>
      </c>
      <c r="AM598" s="1363">
        <f t="shared" si="844"/>
        <v>0</v>
      </c>
      <c r="AN598" s="1364">
        <v>0</v>
      </c>
      <c r="AO598" s="1365">
        <f t="shared" si="845"/>
        <v>0</v>
      </c>
      <c r="AP598" s="1366">
        <v>0</v>
      </c>
      <c r="AQ598" s="1367">
        <f t="shared" si="846"/>
        <v>0</v>
      </c>
      <c r="AR598" s="1368">
        <v>0</v>
      </c>
      <c r="AS598" s="1369">
        <f t="shared" si="847"/>
        <v>0</v>
      </c>
      <c r="AT598" s="1370">
        <v>0</v>
      </c>
      <c r="AU598" s="1371">
        <f t="shared" si="848"/>
        <v>0</v>
      </c>
      <c r="AV598" s="1359">
        <f t="shared" si="849"/>
        <v>0.15</v>
      </c>
      <c r="AW598" s="1372">
        <f t="shared" si="850"/>
        <v>152.54999999999998</v>
      </c>
      <c r="AX598" s="1373">
        <f t="shared" si="851"/>
        <v>0.15</v>
      </c>
      <c r="AY598" s="1374">
        <f t="shared" si="852"/>
        <v>152.54999999999998</v>
      </c>
      <c r="AZ598" s="1375">
        <f t="shared" si="853"/>
        <v>0.15</v>
      </c>
      <c r="BA598" s="1376">
        <f t="shared" si="854"/>
        <v>152.54999999999998</v>
      </c>
      <c r="BB598" s="1377"/>
      <c r="BC598" s="1820"/>
      <c r="BD598" s="1820"/>
      <c r="BE598" s="1823"/>
      <c r="BF598" s="1826"/>
      <c r="BG598" s="1829"/>
    </row>
    <row r="599" spans="1:59" s="1378" customFormat="1" ht="51">
      <c r="A599" s="1347" t="str">
        <f t="shared" si="841"/>
        <v>Okapi Environmental Group, Inc.</v>
      </c>
      <c r="B599" s="1347" t="s">
        <v>4835</v>
      </c>
      <c r="C599" s="1348">
        <f t="shared" si="840"/>
        <v>15</v>
      </c>
      <c r="D599" s="1349">
        <v>42705</v>
      </c>
      <c r="E599" s="1349"/>
      <c r="F599" s="1347" t="s">
        <v>113</v>
      </c>
      <c r="G599" s="1347" t="s">
        <v>85</v>
      </c>
      <c r="H599" s="1347" t="s">
        <v>85</v>
      </c>
      <c r="I599" s="1347" t="s">
        <v>113</v>
      </c>
      <c r="J599" s="1349"/>
      <c r="K599" s="1349" t="s">
        <v>254</v>
      </c>
      <c r="L599" s="1350" t="s">
        <v>4682</v>
      </c>
      <c r="M599" s="1350" t="s">
        <v>4686</v>
      </c>
      <c r="N599" s="1386" t="s">
        <v>60</v>
      </c>
      <c r="O599" s="1352" t="s">
        <v>4687</v>
      </c>
      <c r="P599" s="1387"/>
      <c r="Q599" s="1354"/>
      <c r="R599" s="1354"/>
      <c r="S599" s="1354"/>
      <c r="T599" s="1354"/>
      <c r="U599" s="1354"/>
      <c r="V599" s="1354"/>
      <c r="W599" s="1354"/>
      <c r="X599" s="1353">
        <v>43101</v>
      </c>
      <c r="Y599" s="1353">
        <v>43466</v>
      </c>
      <c r="Z599" s="1355"/>
      <c r="AA599" s="1355" t="s">
        <v>4884</v>
      </c>
      <c r="AB599" s="1356"/>
      <c r="AC599" s="1356"/>
      <c r="AD599" s="1356"/>
      <c r="AE599" s="1356"/>
      <c r="AF599" s="1357" t="str">
        <f t="shared" si="768"/>
        <v/>
      </c>
      <c r="AG599" s="1358">
        <f t="shared" si="790"/>
        <v>303.76</v>
      </c>
      <c r="AH599" s="1358">
        <v>3645.12</v>
      </c>
      <c r="AI599" s="1359">
        <v>0.15</v>
      </c>
      <c r="AJ599" s="1360">
        <f t="shared" si="842"/>
        <v>45.564</v>
      </c>
      <c r="AK599" s="1361">
        <f t="shared" si="843"/>
        <v>546.76799999999992</v>
      </c>
      <c r="AL599" s="1384">
        <v>0</v>
      </c>
      <c r="AM599" s="1363">
        <f t="shared" si="844"/>
        <v>0</v>
      </c>
      <c r="AN599" s="1364">
        <v>0</v>
      </c>
      <c r="AO599" s="1365">
        <f t="shared" si="845"/>
        <v>0</v>
      </c>
      <c r="AP599" s="1366">
        <v>0</v>
      </c>
      <c r="AQ599" s="1367">
        <f t="shared" si="846"/>
        <v>0</v>
      </c>
      <c r="AR599" s="1368">
        <v>0</v>
      </c>
      <c r="AS599" s="1369">
        <f t="shared" si="847"/>
        <v>0</v>
      </c>
      <c r="AT599" s="1370">
        <v>0</v>
      </c>
      <c r="AU599" s="1371">
        <f t="shared" si="848"/>
        <v>0</v>
      </c>
      <c r="AV599" s="1359">
        <f t="shared" si="849"/>
        <v>0.15</v>
      </c>
      <c r="AW599" s="1372">
        <f t="shared" si="850"/>
        <v>546.76799999999992</v>
      </c>
      <c r="AX599" s="1373">
        <f t="shared" si="851"/>
        <v>0.15</v>
      </c>
      <c r="AY599" s="1374">
        <f t="shared" si="852"/>
        <v>546.76799999999992</v>
      </c>
      <c r="AZ599" s="1375">
        <f t="shared" si="853"/>
        <v>0.15</v>
      </c>
      <c r="BA599" s="1376">
        <f t="shared" si="854"/>
        <v>546.76799999999992</v>
      </c>
      <c r="BB599" s="1377"/>
      <c r="BC599" s="1820"/>
      <c r="BD599" s="1820"/>
      <c r="BE599" s="1823"/>
      <c r="BF599" s="1826"/>
      <c r="BG599" s="1829"/>
    </row>
    <row r="600" spans="1:59" s="1378" customFormat="1" ht="51">
      <c r="A600" s="1347" t="str">
        <f t="shared" si="841"/>
        <v>Okapi Environmental Group, Inc.</v>
      </c>
      <c r="B600" s="1347" t="s">
        <v>4835</v>
      </c>
      <c r="C600" s="1348">
        <f t="shared" si="840"/>
        <v>15</v>
      </c>
      <c r="D600" s="1349">
        <v>42705</v>
      </c>
      <c r="E600" s="1349"/>
      <c r="F600" s="1347" t="s">
        <v>113</v>
      </c>
      <c r="G600" s="1347" t="s">
        <v>85</v>
      </c>
      <c r="H600" s="1347" t="s">
        <v>85</v>
      </c>
      <c r="I600" s="1347" t="s">
        <v>113</v>
      </c>
      <c r="J600" s="1349"/>
      <c r="K600" s="1349" t="s">
        <v>254</v>
      </c>
      <c r="L600" s="1350" t="s">
        <v>4682</v>
      </c>
      <c r="M600" s="1350" t="s">
        <v>67</v>
      </c>
      <c r="N600" s="1351" t="s">
        <v>82</v>
      </c>
      <c r="O600" s="1352" t="s">
        <v>4689</v>
      </c>
      <c r="P600" s="1352"/>
      <c r="Q600" s="1354"/>
      <c r="R600" s="1354"/>
      <c r="S600" s="1354"/>
      <c r="T600" s="1354"/>
      <c r="U600" s="1354"/>
      <c r="V600" s="1354"/>
      <c r="W600" s="1354"/>
      <c r="X600" s="1353">
        <v>43101</v>
      </c>
      <c r="Y600" s="1353">
        <v>43466</v>
      </c>
      <c r="Z600" s="1355"/>
      <c r="AA600" s="1355" t="s">
        <v>4884</v>
      </c>
      <c r="AB600" s="1356"/>
      <c r="AC600" s="1356"/>
      <c r="AD600" s="1356"/>
      <c r="AE600" s="1356"/>
      <c r="AF600" s="1357"/>
      <c r="AG600" s="1358">
        <f t="shared" si="790"/>
        <v>212.42666666666665</v>
      </c>
      <c r="AH600" s="1358">
        <v>2549.12</v>
      </c>
      <c r="AI600" s="1359">
        <v>0.15</v>
      </c>
      <c r="AJ600" s="1360">
        <f t="shared" si="842"/>
        <v>31.863999999999997</v>
      </c>
      <c r="AK600" s="1361">
        <f t="shared" si="843"/>
        <v>382.36799999999999</v>
      </c>
      <c r="AL600" s="1384">
        <v>0</v>
      </c>
      <c r="AM600" s="1363">
        <f t="shared" si="844"/>
        <v>0</v>
      </c>
      <c r="AN600" s="1364">
        <v>0</v>
      </c>
      <c r="AO600" s="1365">
        <f t="shared" si="845"/>
        <v>0</v>
      </c>
      <c r="AP600" s="1366">
        <v>0</v>
      </c>
      <c r="AQ600" s="1367">
        <f t="shared" si="846"/>
        <v>0</v>
      </c>
      <c r="AR600" s="1368">
        <v>0</v>
      </c>
      <c r="AS600" s="1369">
        <f t="shared" si="847"/>
        <v>0</v>
      </c>
      <c r="AT600" s="1370">
        <v>0</v>
      </c>
      <c r="AU600" s="1371">
        <f t="shared" si="848"/>
        <v>0</v>
      </c>
      <c r="AV600" s="1359">
        <f t="shared" si="849"/>
        <v>0.15</v>
      </c>
      <c r="AW600" s="1372">
        <f t="shared" si="850"/>
        <v>382.36799999999999</v>
      </c>
      <c r="AX600" s="1373">
        <f t="shared" si="851"/>
        <v>0.15</v>
      </c>
      <c r="AY600" s="1374">
        <f t="shared" si="852"/>
        <v>382.36799999999999</v>
      </c>
      <c r="AZ600" s="1375">
        <f t="shared" si="853"/>
        <v>0.15</v>
      </c>
      <c r="BA600" s="1376">
        <f t="shared" si="854"/>
        <v>382.36799999999999</v>
      </c>
      <c r="BB600" s="1377"/>
      <c r="BC600" s="1820"/>
      <c r="BD600" s="1820"/>
      <c r="BE600" s="1823"/>
      <c r="BF600" s="1826"/>
      <c r="BG600" s="1829"/>
    </row>
    <row r="601" spans="1:59" s="1378" customFormat="1" ht="27.75" customHeight="1">
      <c r="A601" s="1347" t="str">
        <f t="shared" si="841"/>
        <v>Okapi Environmental Group, Inc.</v>
      </c>
      <c r="B601" s="1348" t="s">
        <v>4835</v>
      </c>
      <c r="C601" s="1348">
        <v>16</v>
      </c>
      <c r="D601" s="1349">
        <v>42705</v>
      </c>
      <c r="E601" s="1349"/>
      <c r="F601" s="1347" t="s">
        <v>72</v>
      </c>
      <c r="G601" s="1347" t="s">
        <v>85</v>
      </c>
      <c r="H601" s="1347" t="s">
        <v>72</v>
      </c>
      <c r="I601" s="1347" t="s">
        <v>72</v>
      </c>
      <c r="J601" s="1349" t="s">
        <v>4670</v>
      </c>
      <c r="K601" s="1349" t="s">
        <v>254</v>
      </c>
      <c r="L601" s="1350" t="s">
        <v>4696</v>
      </c>
      <c r="M601" s="1350" t="s">
        <v>4697</v>
      </c>
      <c r="N601" s="1389" t="s">
        <v>4698</v>
      </c>
      <c r="O601" s="1352" t="s">
        <v>4699</v>
      </c>
      <c r="P601" s="1352"/>
      <c r="Q601" s="1354"/>
      <c r="R601" s="1354"/>
      <c r="S601" s="1354"/>
      <c r="T601" s="1354"/>
      <c r="U601" s="1354"/>
      <c r="V601" s="1354"/>
      <c r="W601" s="1354"/>
      <c r="X601" s="1353">
        <v>43101</v>
      </c>
      <c r="Y601" s="1353">
        <v>43466</v>
      </c>
      <c r="Z601" s="1355"/>
      <c r="AA601" s="1355" t="s">
        <v>4674</v>
      </c>
      <c r="AB601" s="1356"/>
      <c r="AC601" s="1356"/>
      <c r="AD601" s="1356"/>
      <c r="AE601" s="1356"/>
      <c r="AF601" s="1357" t="str">
        <f t="shared" ref="AF601:AF664" si="855">IFERROR((AE601/AB601),"")</f>
        <v/>
      </c>
      <c r="AG601" s="1380"/>
      <c r="AH601" s="1380"/>
      <c r="AI601" s="1381">
        <v>0</v>
      </c>
      <c r="AJ601" s="1382">
        <f t="shared" si="842"/>
        <v>0</v>
      </c>
      <c r="AK601" s="1383">
        <f t="shared" si="843"/>
        <v>0</v>
      </c>
      <c r="AL601" s="1384">
        <v>0</v>
      </c>
      <c r="AM601" s="1363">
        <f t="shared" si="844"/>
        <v>0</v>
      </c>
      <c r="AN601" s="1364">
        <v>0</v>
      </c>
      <c r="AO601" s="1365">
        <f t="shared" si="845"/>
        <v>0</v>
      </c>
      <c r="AP601" s="1366">
        <v>0</v>
      </c>
      <c r="AQ601" s="1367">
        <f t="shared" si="846"/>
        <v>0</v>
      </c>
      <c r="AR601" s="1368">
        <v>0</v>
      </c>
      <c r="AS601" s="1369">
        <f t="shared" si="847"/>
        <v>0</v>
      </c>
      <c r="AT601" s="1370">
        <v>0</v>
      </c>
      <c r="AU601" s="1371">
        <f t="shared" si="848"/>
        <v>0</v>
      </c>
      <c r="AV601" s="1359">
        <f t="shared" si="849"/>
        <v>0</v>
      </c>
      <c r="AW601" s="1372">
        <f t="shared" si="850"/>
        <v>0</v>
      </c>
      <c r="AX601" s="1373">
        <f t="shared" si="851"/>
        <v>0</v>
      </c>
      <c r="AY601" s="1374">
        <f t="shared" si="852"/>
        <v>0</v>
      </c>
      <c r="AZ601" s="1375">
        <f t="shared" si="853"/>
        <v>0</v>
      </c>
      <c r="BA601" s="1376">
        <f t="shared" si="854"/>
        <v>0</v>
      </c>
      <c r="BB601" s="1377"/>
      <c r="BC601" s="1820"/>
      <c r="BD601" s="1820"/>
      <c r="BE601" s="1823"/>
      <c r="BF601" s="1826"/>
      <c r="BG601" s="1829"/>
    </row>
    <row r="602" spans="1:59" s="1378" customFormat="1" ht="51">
      <c r="A602" s="1347" t="str">
        <f t="shared" si="841"/>
        <v>Okapi Environmental Group, Inc.</v>
      </c>
      <c r="B602" s="1347" t="s">
        <v>4835</v>
      </c>
      <c r="C602" s="1348">
        <f t="shared" si="840"/>
        <v>15</v>
      </c>
      <c r="D602" s="1349">
        <v>42705</v>
      </c>
      <c r="E602" s="1349"/>
      <c r="F602" s="1347" t="s">
        <v>72</v>
      </c>
      <c r="G602" s="1347" t="s">
        <v>113</v>
      </c>
      <c r="H602" s="1347" t="s">
        <v>72</v>
      </c>
      <c r="I602" s="1347" t="s">
        <v>113</v>
      </c>
      <c r="J602" s="1349" t="s">
        <v>4670</v>
      </c>
      <c r="K602" s="1349"/>
      <c r="L602" s="1397" t="s">
        <v>111</v>
      </c>
      <c r="M602" s="1397" t="s">
        <v>3652</v>
      </c>
      <c r="N602" s="1412" t="s">
        <v>5144</v>
      </c>
      <c r="O602" s="1399" t="s">
        <v>5145</v>
      </c>
      <c r="P602" s="1399"/>
      <c r="Q602" s="1400"/>
      <c r="R602" s="1400"/>
      <c r="S602" s="1400"/>
      <c r="T602" s="1400"/>
      <c r="U602" s="1400"/>
      <c r="V602" s="1400"/>
      <c r="W602" s="1400"/>
      <c r="X602" s="1400">
        <v>43101</v>
      </c>
      <c r="Y602" s="1400">
        <v>43466</v>
      </c>
      <c r="Z602" s="1401"/>
      <c r="AA602" s="1401" t="s">
        <v>4738</v>
      </c>
      <c r="AB602" s="1369"/>
      <c r="AC602" s="1369"/>
      <c r="AD602" s="1369"/>
      <c r="AE602" s="1369"/>
      <c r="AF602" s="1403" t="str">
        <f t="shared" si="855"/>
        <v/>
      </c>
      <c r="AG602" s="1404"/>
      <c r="AH602" s="1404"/>
      <c r="AI602" s="1405">
        <v>0</v>
      </c>
      <c r="AJ602" s="1406">
        <v>0</v>
      </c>
      <c r="AK602" s="1406">
        <v>0</v>
      </c>
      <c r="AL602" s="1384">
        <v>0</v>
      </c>
      <c r="AM602" s="1363">
        <f t="shared" si="844"/>
        <v>0</v>
      </c>
      <c r="AN602" s="1364">
        <v>0</v>
      </c>
      <c r="AO602" s="1365">
        <f t="shared" si="845"/>
        <v>0</v>
      </c>
      <c r="AP602" s="1366">
        <v>0</v>
      </c>
      <c r="AQ602" s="1367">
        <f t="shared" si="846"/>
        <v>0</v>
      </c>
      <c r="AR602" s="1368">
        <v>0</v>
      </c>
      <c r="AS602" s="1369">
        <f t="shared" si="847"/>
        <v>0</v>
      </c>
      <c r="AT602" s="1370">
        <v>0</v>
      </c>
      <c r="AU602" s="1371">
        <f t="shared" si="848"/>
        <v>0</v>
      </c>
      <c r="AV602" s="1359">
        <f t="shared" si="849"/>
        <v>0</v>
      </c>
      <c r="AW602" s="1372">
        <f t="shared" si="850"/>
        <v>0</v>
      </c>
      <c r="AX602" s="1373">
        <f t="shared" si="851"/>
        <v>0</v>
      </c>
      <c r="AY602" s="1374">
        <f t="shared" si="852"/>
        <v>0</v>
      </c>
      <c r="AZ602" s="1375">
        <f t="shared" si="853"/>
        <v>0</v>
      </c>
      <c r="BA602" s="1376">
        <f t="shared" si="854"/>
        <v>0</v>
      </c>
      <c r="BB602" s="1377"/>
      <c r="BC602" s="1820"/>
      <c r="BD602" s="1820"/>
      <c r="BE602" s="1823"/>
      <c r="BF602" s="1826"/>
      <c r="BG602" s="1829"/>
    </row>
    <row r="603" spans="1:59" s="1378" customFormat="1" ht="51">
      <c r="A603" s="1347" t="str">
        <f t="shared" si="841"/>
        <v>Okapi Environmental Group, Inc.</v>
      </c>
      <c r="B603" s="1347" t="s">
        <v>4835</v>
      </c>
      <c r="C603" s="1348">
        <f t="shared" si="840"/>
        <v>15</v>
      </c>
      <c r="D603" s="1349">
        <v>42705</v>
      </c>
      <c r="E603" s="1349"/>
      <c r="F603" s="1347" t="s">
        <v>72</v>
      </c>
      <c r="G603" s="1347" t="s">
        <v>113</v>
      </c>
      <c r="H603" s="1347" t="s">
        <v>72</v>
      </c>
      <c r="I603" s="1347" t="s">
        <v>113</v>
      </c>
      <c r="J603" s="1349" t="s">
        <v>4670</v>
      </c>
      <c r="K603" s="1349"/>
      <c r="L603" s="1397" t="s">
        <v>111</v>
      </c>
      <c r="M603" s="1397" t="s">
        <v>3652</v>
      </c>
      <c r="N603" s="1412" t="s">
        <v>5146</v>
      </c>
      <c r="O603" s="1399" t="s">
        <v>5147</v>
      </c>
      <c r="P603" s="1399"/>
      <c r="Q603" s="1400"/>
      <c r="R603" s="1400"/>
      <c r="S603" s="1400"/>
      <c r="T603" s="1400"/>
      <c r="U603" s="1400"/>
      <c r="V603" s="1400"/>
      <c r="W603" s="1400"/>
      <c r="X603" s="1400">
        <v>43101</v>
      </c>
      <c r="Y603" s="1400">
        <v>43466</v>
      </c>
      <c r="Z603" s="1401"/>
      <c r="AA603" s="1401" t="s">
        <v>4738</v>
      </c>
      <c r="AB603" s="1369"/>
      <c r="AC603" s="1369"/>
      <c r="AD603" s="1369"/>
      <c r="AE603" s="1369"/>
      <c r="AF603" s="1403" t="str">
        <f t="shared" si="855"/>
        <v/>
      </c>
      <c r="AG603" s="1404"/>
      <c r="AH603" s="1404"/>
      <c r="AI603" s="1405">
        <v>0</v>
      </c>
      <c r="AJ603" s="1406">
        <v>0</v>
      </c>
      <c r="AK603" s="1406">
        <v>0</v>
      </c>
      <c r="AL603" s="1384">
        <v>0</v>
      </c>
      <c r="AM603" s="1363">
        <f t="shared" si="844"/>
        <v>0</v>
      </c>
      <c r="AN603" s="1364">
        <v>0</v>
      </c>
      <c r="AO603" s="1365">
        <f t="shared" si="845"/>
        <v>0</v>
      </c>
      <c r="AP603" s="1366">
        <v>0</v>
      </c>
      <c r="AQ603" s="1367">
        <f t="shared" si="846"/>
        <v>0</v>
      </c>
      <c r="AR603" s="1368">
        <v>0</v>
      </c>
      <c r="AS603" s="1369">
        <f t="shared" si="847"/>
        <v>0</v>
      </c>
      <c r="AT603" s="1370">
        <v>0</v>
      </c>
      <c r="AU603" s="1371">
        <f t="shared" si="848"/>
        <v>0</v>
      </c>
      <c r="AV603" s="1359">
        <f>AZ603-AR603-AT603-AP603</f>
        <v>0</v>
      </c>
      <c r="AW603" s="1372">
        <f t="shared" si="850"/>
        <v>0</v>
      </c>
      <c r="AX603" s="1373">
        <f t="shared" si="851"/>
        <v>0</v>
      </c>
      <c r="AY603" s="1374">
        <f t="shared" si="852"/>
        <v>0</v>
      </c>
      <c r="AZ603" s="1375">
        <f t="shared" si="853"/>
        <v>0</v>
      </c>
      <c r="BA603" s="1376">
        <f t="shared" si="854"/>
        <v>0</v>
      </c>
      <c r="BB603" s="1377"/>
      <c r="BC603" s="1820"/>
      <c r="BD603" s="1820"/>
      <c r="BE603" s="1823"/>
      <c r="BF603" s="1826"/>
      <c r="BG603" s="1829"/>
    </row>
    <row r="604" spans="1:59" s="1378" customFormat="1" ht="51">
      <c r="A604" s="1347" t="str">
        <f t="shared" si="841"/>
        <v>Okapi Environmental Group, Inc.</v>
      </c>
      <c r="B604" s="1347" t="s">
        <v>4835</v>
      </c>
      <c r="C604" s="1348">
        <f t="shared" si="840"/>
        <v>15</v>
      </c>
      <c r="D604" s="1349">
        <v>42705</v>
      </c>
      <c r="E604" s="1349"/>
      <c r="F604" s="1347" t="s">
        <v>72</v>
      </c>
      <c r="G604" s="1347" t="s">
        <v>85</v>
      </c>
      <c r="H604" s="1347" t="s">
        <v>72</v>
      </c>
      <c r="I604" s="1347" t="s">
        <v>72</v>
      </c>
      <c r="J604" s="1349" t="s">
        <v>4670</v>
      </c>
      <c r="K604" s="1349" t="s">
        <v>254</v>
      </c>
      <c r="L604" s="1350" t="s">
        <v>48</v>
      </c>
      <c r="M604" s="1350" t="s">
        <v>253</v>
      </c>
      <c r="N604" s="1390" t="s">
        <v>4703</v>
      </c>
      <c r="O604" s="1352" t="s">
        <v>4704</v>
      </c>
      <c r="P604" s="1352"/>
      <c r="Q604" s="1354"/>
      <c r="R604" s="1354"/>
      <c r="S604" s="1354"/>
      <c r="T604" s="1354"/>
      <c r="U604" s="1354"/>
      <c r="V604" s="1354"/>
      <c r="W604" s="1354"/>
      <c r="X604" s="1353">
        <v>43101</v>
      </c>
      <c r="Y604" s="1353">
        <v>43466</v>
      </c>
      <c r="Z604" s="1355"/>
      <c r="AA604" s="1355" t="s">
        <v>4674</v>
      </c>
      <c r="AB604" s="1356"/>
      <c r="AC604" s="1356"/>
      <c r="AD604" s="1356"/>
      <c r="AE604" s="1356"/>
      <c r="AF604" s="1357" t="str">
        <f t="shared" si="855"/>
        <v/>
      </c>
      <c r="AG604" s="1380"/>
      <c r="AH604" s="1380"/>
      <c r="AI604" s="1381">
        <v>0</v>
      </c>
      <c r="AJ604" s="1382">
        <f>$AI604*$AG604</f>
        <v>0</v>
      </c>
      <c r="AK604" s="1383">
        <f t="shared" si="843"/>
        <v>0</v>
      </c>
      <c r="AL604" s="1384">
        <v>0</v>
      </c>
      <c r="AM604" s="1363">
        <f t="shared" si="844"/>
        <v>0</v>
      </c>
      <c r="AN604" s="1364">
        <v>0</v>
      </c>
      <c r="AO604" s="1365">
        <f t="shared" si="845"/>
        <v>0</v>
      </c>
      <c r="AP604" s="1366">
        <v>0</v>
      </c>
      <c r="AQ604" s="1367">
        <f t="shared" si="846"/>
        <v>0</v>
      </c>
      <c r="AR604" s="1368">
        <v>0</v>
      </c>
      <c r="AS604" s="1369">
        <f t="shared" si="847"/>
        <v>0</v>
      </c>
      <c r="AT604" s="1370">
        <v>0</v>
      </c>
      <c r="AU604" s="1371">
        <f t="shared" si="848"/>
        <v>0</v>
      </c>
      <c r="AV604" s="1359">
        <f t="shared" si="849"/>
        <v>0</v>
      </c>
      <c r="AW604" s="1372">
        <f t="shared" si="850"/>
        <v>0</v>
      </c>
      <c r="AX604" s="1373">
        <f t="shared" si="851"/>
        <v>0</v>
      </c>
      <c r="AY604" s="1374">
        <f t="shared" si="852"/>
        <v>0</v>
      </c>
      <c r="AZ604" s="1375">
        <f t="shared" si="853"/>
        <v>0</v>
      </c>
      <c r="BA604" s="1376">
        <f t="shared" si="854"/>
        <v>0</v>
      </c>
      <c r="BB604" s="1377"/>
      <c r="BC604" s="1820"/>
      <c r="BD604" s="1820"/>
      <c r="BE604" s="1823"/>
      <c r="BF604" s="1826"/>
      <c r="BG604" s="1829"/>
    </row>
    <row r="605" spans="1:59" s="1378" customFormat="1" ht="51">
      <c r="A605" s="1347" t="str">
        <f t="shared" si="841"/>
        <v>Okapi Environmental Group, Inc.</v>
      </c>
      <c r="B605" s="1347" t="s">
        <v>4835</v>
      </c>
      <c r="C605" s="1348">
        <f t="shared" si="840"/>
        <v>15</v>
      </c>
      <c r="D605" s="1349">
        <v>42705</v>
      </c>
      <c r="E605" s="1349"/>
      <c r="F605" s="1347" t="s">
        <v>72</v>
      </c>
      <c r="G605" s="1347" t="s">
        <v>85</v>
      </c>
      <c r="H605" s="1347" t="s">
        <v>72</v>
      </c>
      <c r="I605" s="1347" t="s">
        <v>72</v>
      </c>
      <c r="J605" s="1349" t="s">
        <v>4670</v>
      </c>
      <c r="K605" s="1349" t="s">
        <v>254</v>
      </c>
      <c r="L605" s="1350" t="s">
        <v>49</v>
      </c>
      <c r="M605" s="1350" t="s">
        <v>4705</v>
      </c>
      <c r="N605" s="1390" t="s">
        <v>4784</v>
      </c>
      <c r="O605" s="1352" t="s">
        <v>5104</v>
      </c>
      <c r="P605" s="1352"/>
      <c r="Q605" s="1354"/>
      <c r="R605" s="1354"/>
      <c r="S605" s="1354"/>
      <c r="T605" s="1354"/>
      <c r="U605" s="1354"/>
      <c r="V605" s="1354"/>
      <c r="W605" s="1354"/>
      <c r="X605" s="1353">
        <v>43101</v>
      </c>
      <c r="Y605" s="1353">
        <v>43466</v>
      </c>
      <c r="Z605" s="1355"/>
      <c r="AA605" s="1355" t="s">
        <v>4674</v>
      </c>
      <c r="AB605" s="1356"/>
      <c r="AC605" s="1356"/>
      <c r="AD605" s="1356"/>
      <c r="AE605" s="1356"/>
      <c r="AF605" s="1357" t="str">
        <f t="shared" si="855"/>
        <v/>
      </c>
      <c r="AG605" s="1380"/>
      <c r="AH605" s="1380"/>
      <c r="AI605" s="1381">
        <v>0</v>
      </c>
      <c r="AJ605" s="1382">
        <f>$AI605*$AG605</f>
        <v>0</v>
      </c>
      <c r="AK605" s="1383">
        <f t="shared" si="843"/>
        <v>0</v>
      </c>
      <c r="AL605" s="1384">
        <v>0</v>
      </c>
      <c r="AM605" s="1363">
        <f t="shared" si="844"/>
        <v>0</v>
      </c>
      <c r="AN605" s="1364">
        <v>0</v>
      </c>
      <c r="AO605" s="1365">
        <f t="shared" si="845"/>
        <v>0</v>
      </c>
      <c r="AP605" s="1366">
        <v>0</v>
      </c>
      <c r="AQ605" s="1367">
        <f t="shared" si="846"/>
        <v>0</v>
      </c>
      <c r="AR605" s="1368">
        <v>0</v>
      </c>
      <c r="AS605" s="1369">
        <f t="shared" si="847"/>
        <v>0</v>
      </c>
      <c r="AT605" s="1370">
        <v>0</v>
      </c>
      <c r="AU605" s="1371">
        <f t="shared" si="848"/>
        <v>0</v>
      </c>
      <c r="AV605" s="1359">
        <f t="shared" si="849"/>
        <v>0</v>
      </c>
      <c r="AW605" s="1372">
        <f t="shared" si="850"/>
        <v>0</v>
      </c>
      <c r="AX605" s="1373">
        <f t="shared" si="851"/>
        <v>0</v>
      </c>
      <c r="AY605" s="1374">
        <f t="shared" si="852"/>
        <v>0</v>
      </c>
      <c r="AZ605" s="1375">
        <f t="shared" si="853"/>
        <v>0</v>
      </c>
      <c r="BA605" s="1376">
        <f t="shared" si="854"/>
        <v>0</v>
      </c>
      <c r="BB605" s="1391"/>
      <c r="BC605" s="1820"/>
      <c r="BD605" s="1820"/>
      <c r="BE605" s="1823"/>
      <c r="BF605" s="1826"/>
      <c r="BG605" s="1829"/>
    </row>
    <row r="606" spans="1:59" s="1378" customFormat="1" ht="21.75" customHeight="1">
      <c r="A606" s="1347" t="str">
        <f t="shared" si="841"/>
        <v>Okapi Environmental Group, Inc.</v>
      </c>
      <c r="B606" s="1347" t="s">
        <v>4835</v>
      </c>
      <c r="C606" s="1348">
        <f t="shared" si="840"/>
        <v>15</v>
      </c>
      <c r="D606" s="1349">
        <v>42705</v>
      </c>
      <c r="E606" s="1349"/>
      <c r="F606" s="1347" t="s">
        <v>72</v>
      </c>
      <c r="G606" s="1347" t="s">
        <v>85</v>
      </c>
      <c r="H606" s="1347" t="s">
        <v>72</v>
      </c>
      <c r="I606" s="1347" t="s">
        <v>72</v>
      </c>
      <c r="J606" s="1349" t="s">
        <v>4670</v>
      </c>
      <c r="K606" s="1349" t="s">
        <v>254</v>
      </c>
      <c r="L606" s="1350" t="s">
        <v>3056</v>
      </c>
      <c r="M606" s="1350" t="s">
        <v>4708</v>
      </c>
      <c r="N606" s="1390" t="s">
        <v>4709</v>
      </c>
      <c r="O606" s="1352" t="s">
        <v>4710</v>
      </c>
      <c r="P606" s="1352"/>
      <c r="Q606" s="1354"/>
      <c r="R606" s="1354"/>
      <c r="S606" s="1354"/>
      <c r="T606" s="1354"/>
      <c r="U606" s="1354"/>
      <c r="V606" s="1354"/>
      <c r="W606" s="1354"/>
      <c r="X606" s="1353">
        <v>43101</v>
      </c>
      <c r="Y606" s="1353">
        <v>43466</v>
      </c>
      <c r="Z606" s="1355"/>
      <c r="AA606" s="1355" t="s">
        <v>4674</v>
      </c>
      <c r="AB606" s="1356"/>
      <c r="AC606" s="1356"/>
      <c r="AD606" s="1356"/>
      <c r="AE606" s="1356"/>
      <c r="AF606" s="1357" t="str">
        <f t="shared" si="855"/>
        <v/>
      </c>
      <c r="AG606" s="1380"/>
      <c r="AH606" s="1380"/>
      <c r="AI606" s="1381">
        <v>0</v>
      </c>
      <c r="AJ606" s="1382">
        <f>$AI606*$AG606</f>
        <v>0</v>
      </c>
      <c r="AK606" s="1383">
        <f t="shared" si="843"/>
        <v>0</v>
      </c>
      <c r="AL606" s="1384">
        <v>0</v>
      </c>
      <c r="AM606" s="1363">
        <f t="shared" si="844"/>
        <v>0</v>
      </c>
      <c r="AN606" s="1364">
        <v>0</v>
      </c>
      <c r="AO606" s="1365">
        <f t="shared" si="845"/>
        <v>0</v>
      </c>
      <c r="AP606" s="1366">
        <v>0</v>
      </c>
      <c r="AQ606" s="1367">
        <f t="shared" si="846"/>
        <v>0</v>
      </c>
      <c r="AR606" s="1368">
        <v>0</v>
      </c>
      <c r="AS606" s="1369">
        <f t="shared" si="847"/>
        <v>0</v>
      </c>
      <c r="AT606" s="1370">
        <v>0</v>
      </c>
      <c r="AU606" s="1371">
        <f t="shared" si="848"/>
        <v>0</v>
      </c>
      <c r="AV606" s="1359">
        <f t="shared" si="849"/>
        <v>0</v>
      </c>
      <c r="AW606" s="1372">
        <f t="shared" si="850"/>
        <v>0</v>
      </c>
      <c r="AX606" s="1373">
        <f t="shared" si="851"/>
        <v>0</v>
      </c>
      <c r="AY606" s="1374">
        <f t="shared" si="852"/>
        <v>0</v>
      </c>
      <c r="AZ606" s="1375">
        <f t="shared" si="853"/>
        <v>0</v>
      </c>
      <c r="BA606" s="1376">
        <f t="shared" si="854"/>
        <v>0</v>
      </c>
      <c r="BB606" s="1391"/>
      <c r="BC606" s="1821"/>
      <c r="BD606" s="1821"/>
      <c r="BE606" s="1824"/>
      <c r="BF606" s="1827"/>
      <c r="BG606" s="1830"/>
    </row>
    <row r="607" spans="1:59" s="1315" customFormat="1" ht="57" customHeight="1">
      <c r="A607" s="1277" t="str">
        <f>L607</f>
        <v>Pipeline Therapeutics, Inc.</v>
      </c>
      <c r="B607" s="1316" t="str">
        <f>N607</f>
        <v>HUB SD</v>
      </c>
      <c r="C607" s="1316">
        <f>Z607</f>
        <v>6</v>
      </c>
      <c r="D607" s="1317">
        <v>43009</v>
      </c>
      <c r="E607" s="1317"/>
      <c r="F607" s="1277" t="s">
        <v>72</v>
      </c>
      <c r="G607" s="1277" t="s">
        <v>72</v>
      </c>
      <c r="H607" s="1277" t="s">
        <v>72</v>
      </c>
      <c r="I607" s="1277" t="s">
        <v>4711</v>
      </c>
      <c r="J607" s="1317"/>
      <c r="K607" s="1317"/>
      <c r="L607" s="1318" t="s">
        <v>347</v>
      </c>
      <c r="M607" s="1319"/>
      <c r="N607" s="1320" t="s">
        <v>4661</v>
      </c>
      <c r="O607" s="1321" t="s">
        <v>2473</v>
      </c>
      <c r="P607" s="1321"/>
      <c r="Q607" s="1322"/>
      <c r="R607" s="1322"/>
      <c r="S607" s="1322"/>
      <c r="T607" s="1322"/>
      <c r="U607" s="1322"/>
      <c r="V607" s="1322"/>
      <c r="W607" s="1322"/>
      <c r="X607" s="1317">
        <v>43009</v>
      </c>
      <c r="Y607" s="1317">
        <v>43466</v>
      </c>
      <c r="Z607" s="1316">
        <v>6</v>
      </c>
      <c r="AA607" s="1316" t="s">
        <v>5148</v>
      </c>
      <c r="AB607" s="1323">
        <f>SUM(AB608:AB617)</f>
        <v>0</v>
      </c>
      <c r="AC607" s="1323">
        <f>SUM(AC608:AC617)</f>
        <v>0</v>
      </c>
      <c r="AD607" s="1323">
        <f>SUM(AD608:AD617)</f>
        <v>0</v>
      </c>
      <c r="AE607" s="1324">
        <f t="shared" si="809"/>
        <v>0</v>
      </c>
      <c r="AF607" s="1325" t="str">
        <f t="shared" si="855"/>
        <v/>
      </c>
      <c r="AG607" s="1326">
        <f t="shared" ref="AG607:AG658" si="856">AH607/12</f>
        <v>10232.233310000001</v>
      </c>
      <c r="AH607" s="1326">
        <f>SUM(AH608:AH617)</f>
        <v>122786.79972000001</v>
      </c>
      <c r="AI607" s="1327"/>
      <c r="AJ607" s="1328">
        <f>SUM(AJ608:AJ617)</f>
        <v>874.4662965</v>
      </c>
      <c r="AK607" s="1328">
        <f>SUM(AK608:AK617)</f>
        <v>10493.595558000001</v>
      </c>
      <c r="AL607" s="1329"/>
      <c r="AM607" s="1330">
        <f>SUM(AM608:AM617)</f>
        <v>515.96460000000002</v>
      </c>
      <c r="AN607" s="1331"/>
      <c r="AO607" s="1332">
        <f>SUM(AO608:AO617)</f>
        <v>0</v>
      </c>
      <c r="AP607" s="1333"/>
      <c r="AQ607" s="1334">
        <f>SUM(AQ608:AQ617)</f>
        <v>0</v>
      </c>
      <c r="AR607" s="1335"/>
      <c r="AS607" s="1336">
        <f>SUM(AS608:AS617)</f>
        <v>5806.7367719999993</v>
      </c>
      <c r="AT607" s="1337"/>
      <c r="AU607" s="1338">
        <f>SUM(AU608:AU617)</f>
        <v>2579.8230000000003</v>
      </c>
      <c r="AV607" s="1339"/>
      <c r="AW607" s="1340">
        <f>SUM(AW608:AW617)</f>
        <v>1591.0711859999994</v>
      </c>
      <c r="AX607" s="1306"/>
      <c r="AY607" s="1307">
        <f>SUM(AW607+AS607+AU607)</f>
        <v>9977.6309579999979</v>
      </c>
      <c r="AZ607" s="1341"/>
      <c r="BA607" s="1309">
        <f>SUM(AY607+AQ607)</f>
        <v>9977.6309579999979</v>
      </c>
      <c r="BB607" s="1342">
        <f>(AW607+AU607)/(AK607-AM607)</f>
        <v>0.41802449935831743</v>
      </c>
      <c r="BC607" s="1343"/>
      <c r="BD607" s="1343"/>
      <c r="BE607" s="1344"/>
      <c r="BF607" s="1345" t="s">
        <v>5149</v>
      </c>
      <c r="BG607" s="1346"/>
    </row>
    <row r="608" spans="1:59" s="1378" customFormat="1" ht="66" customHeight="1">
      <c r="A608" s="1347" t="str">
        <f>L607</f>
        <v>Pipeline Therapeutics, Inc.</v>
      </c>
      <c r="B608" s="1348" t="str">
        <f>N607</f>
        <v>HUB SD</v>
      </c>
      <c r="C608" s="1348">
        <f>Z607</f>
        <v>6</v>
      </c>
      <c r="D608" s="1349">
        <v>43009</v>
      </c>
      <c r="E608" s="1349"/>
      <c r="F608" s="1347" t="s">
        <v>85</v>
      </c>
      <c r="G608" s="1347" t="s">
        <v>85</v>
      </c>
      <c r="H608" s="1347" t="s">
        <v>85</v>
      </c>
      <c r="I608" s="1347" t="s">
        <v>5095</v>
      </c>
      <c r="J608" s="1349"/>
      <c r="K608" s="1349" t="s">
        <v>254</v>
      </c>
      <c r="L608" s="1350" t="s">
        <v>2661</v>
      </c>
      <c r="M608" s="1350" t="s">
        <v>3647</v>
      </c>
      <c r="N608" s="1351" t="s">
        <v>5150</v>
      </c>
      <c r="O608" s="1352" t="s">
        <v>4778</v>
      </c>
      <c r="P608" s="1352" t="s">
        <v>4779</v>
      </c>
      <c r="Q608" s="1353" t="s">
        <v>317</v>
      </c>
      <c r="R608" s="1353" t="s">
        <v>3648</v>
      </c>
      <c r="S608" s="1353" t="s">
        <v>307</v>
      </c>
      <c r="T608" s="1353" t="s">
        <v>113</v>
      </c>
      <c r="U608" s="1354"/>
      <c r="V608" s="1354"/>
      <c r="W608" s="1354"/>
      <c r="X608" s="1353">
        <v>43009</v>
      </c>
      <c r="Y608" s="1353">
        <v>43466</v>
      </c>
      <c r="Z608" s="1355"/>
      <c r="AA608" s="1355" t="s">
        <v>4667</v>
      </c>
      <c r="AB608" s="1356"/>
      <c r="AC608" s="1356"/>
      <c r="AD608" s="1356"/>
      <c r="AE608" s="1356"/>
      <c r="AF608" s="1357" t="str">
        <f t="shared" si="855"/>
        <v/>
      </c>
      <c r="AG608" s="1358">
        <f t="shared" si="856"/>
        <v>8599.41</v>
      </c>
      <c r="AH608" s="1358">
        <v>103192.92</v>
      </c>
      <c r="AI608" s="1359">
        <v>0.08</v>
      </c>
      <c r="AJ608" s="1360">
        <f t="shared" ref="AJ608:AJ615" si="857">$AI608*$AG608</f>
        <v>687.95280000000002</v>
      </c>
      <c r="AK608" s="1361">
        <f t="shared" ref="AK608:AK615" si="858">AI608*$AH608</f>
        <v>8255.4336000000003</v>
      </c>
      <c r="AL608" s="1362">
        <v>5.0000000000000001E-3</v>
      </c>
      <c r="AM608" s="1363">
        <f t="shared" ref="AM608:AM617" si="859">AL608*$AH608</f>
        <v>515.96460000000002</v>
      </c>
      <c r="AN608" s="1364">
        <v>0</v>
      </c>
      <c r="AO608" s="1365">
        <f t="shared" ref="AO608:AO617" si="860">AN608*$AH608</f>
        <v>0</v>
      </c>
      <c r="AP608" s="1366">
        <v>0</v>
      </c>
      <c r="AQ608" s="1367">
        <f t="shared" ref="AQ608:AQ617" si="861">AP608*$AH608</f>
        <v>0</v>
      </c>
      <c r="AR608" s="1368">
        <v>0.04</v>
      </c>
      <c r="AS608" s="1369">
        <f t="shared" ref="AS608:AS617" si="862">AR608*$AH608</f>
        <v>4127.7168000000001</v>
      </c>
      <c r="AT608" s="1370">
        <v>2.5000000000000001E-2</v>
      </c>
      <c r="AU608" s="1371">
        <f t="shared" ref="AU608:AU617" si="863">AT608*$AH608</f>
        <v>2579.8230000000003</v>
      </c>
      <c r="AV608" s="1359">
        <f t="shared" ref="AV608:AV617" si="864">AZ608-AR608-AT608-AP608</f>
        <v>9.999999999999995E-3</v>
      </c>
      <c r="AW608" s="1372">
        <f t="shared" ref="AW608:AW617" si="865">AV608*$AH608</f>
        <v>1031.9291999999994</v>
      </c>
      <c r="AX608" s="1373">
        <f t="shared" ref="AX608:AX617" si="866">$AZ608-$AP608</f>
        <v>7.4999999999999997E-2</v>
      </c>
      <c r="AY608" s="1374">
        <f t="shared" ref="AY608:AY617" si="867">AX608*$AH608</f>
        <v>7739.4689999999991</v>
      </c>
      <c r="AZ608" s="1375">
        <f t="shared" ref="AZ608:AZ617" si="868">$AI608-$AL608-$AN608</f>
        <v>7.4999999999999997E-2</v>
      </c>
      <c r="BA608" s="1376">
        <f t="shared" ref="BA608:BA617" si="869">AZ608*$AH608</f>
        <v>7739.4689999999991</v>
      </c>
      <c r="BB608" s="1377"/>
      <c r="BC608" s="1820" t="s">
        <v>4319</v>
      </c>
      <c r="BD608" s="1820" t="s">
        <v>351</v>
      </c>
      <c r="BE608" s="1823" t="s">
        <v>351</v>
      </c>
      <c r="BF608" s="1826" t="s">
        <v>348</v>
      </c>
      <c r="BG608" s="1829" t="s">
        <v>5151</v>
      </c>
    </row>
    <row r="609" spans="1:59" s="1378" customFormat="1" ht="38.25" customHeight="1">
      <c r="A609" s="1347" t="str">
        <f>L607</f>
        <v>Pipeline Therapeutics, Inc.</v>
      </c>
      <c r="B609" s="1348" t="str">
        <f>N607</f>
        <v>HUB SD</v>
      </c>
      <c r="C609" s="1348">
        <f>Z607</f>
        <v>6</v>
      </c>
      <c r="D609" s="1349">
        <v>43009</v>
      </c>
      <c r="E609" s="1349"/>
      <c r="F609" s="1347" t="s">
        <v>113</v>
      </c>
      <c r="G609" s="1347" t="s">
        <v>85</v>
      </c>
      <c r="H609" s="1347" t="s">
        <v>85</v>
      </c>
      <c r="I609" s="1347" t="s">
        <v>5095</v>
      </c>
      <c r="J609" s="1349"/>
      <c r="K609" s="1349" t="s">
        <v>254</v>
      </c>
      <c r="L609" s="1350" t="s">
        <v>4675</v>
      </c>
      <c r="M609" s="1350" t="s">
        <v>3650</v>
      </c>
      <c r="N609" s="1385" t="s">
        <v>5015</v>
      </c>
      <c r="O609" s="1352" t="s">
        <v>4677</v>
      </c>
      <c r="P609" s="1352"/>
      <c r="Q609" s="1354"/>
      <c r="R609" s="1354"/>
      <c r="S609" s="1354"/>
      <c r="T609" s="1354"/>
      <c r="U609" s="1353" t="s">
        <v>4802</v>
      </c>
      <c r="V609" s="1353" t="s">
        <v>2495</v>
      </c>
      <c r="W609" s="1354"/>
      <c r="X609" s="1353">
        <v>43009</v>
      </c>
      <c r="Y609" s="1353">
        <v>43466</v>
      </c>
      <c r="Z609" s="1355"/>
      <c r="AA609" s="1355" t="s">
        <v>4679</v>
      </c>
      <c r="AB609" s="1356"/>
      <c r="AC609" s="1356"/>
      <c r="AD609" s="1356"/>
      <c r="AE609" s="1356"/>
      <c r="AF609" s="1357" t="str">
        <f t="shared" si="855"/>
        <v/>
      </c>
      <c r="AG609" s="1358">
        <f t="shared" si="856"/>
        <v>1040.9000000000001</v>
      </c>
      <c r="AH609" s="1358">
        <v>12490.800000000001</v>
      </c>
      <c r="AI609" s="1359">
        <v>0.1</v>
      </c>
      <c r="AJ609" s="1360">
        <f t="shared" si="857"/>
        <v>104.09000000000002</v>
      </c>
      <c r="AK609" s="1361">
        <f t="shared" si="858"/>
        <v>1249.0800000000002</v>
      </c>
      <c r="AL609" s="1384">
        <v>0</v>
      </c>
      <c r="AM609" s="1363">
        <f t="shared" si="859"/>
        <v>0</v>
      </c>
      <c r="AN609" s="1364">
        <v>0</v>
      </c>
      <c r="AO609" s="1365">
        <f t="shared" si="860"/>
        <v>0</v>
      </c>
      <c r="AP609" s="1366">
        <v>0</v>
      </c>
      <c r="AQ609" s="1367">
        <f t="shared" si="861"/>
        <v>0</v>
      </c>
      <c r="AR609" s="1368">
        <v>0.08</v>
      </c>
      <c r="AS609" s="1369">
        <f t="shared" si="862"/>
        <v>999.26400000000012</v>
      </c>
      <c r="AT609" s="1370">
        <v>0</v>
      </c>
      <c r="AU609" s="1371">
        <f t="shared" si="863"/>
        <v>0</v>
      </c>
      <c r="AV609" s="1359">
        <f t="shared" si="864"/>
        <v>2.0000000000000004E-2</v>
      </c>
      <c r="AW609" s="1372">
        <f t="shared" si="865"/>
        <v>249.81600000000006</v>
      </c>
      <c r="AX609" s="1373">
        <f t="shared" si="866"/>
        <v>0.1</v>
      </c>
      <c r="AY609" s="1374">
        <f t="shared" si="867"/>
        <v>1249.0800000000002</v>
      </c>
      <c r="AZ609" s="1375">
        <f t="shared" si="868"/>
        <v>0.1</v>
      </c>
      <c r="BA609" s="1376">
        <f t="shared" si="869"/>
        <v>1249.0800000000002</v>
      </c>
      <c r="BB609" s="1377"/>
      <c r="BC609" s="1820"/>
      <c r="BD609" s="1820"/>
      <c r="BE609" s="1823"/>
      <c r="BF609" s="1826"/>
      <c r="BG609" s="1829"/>
    </row>
    <row r="610" spans="1:59" s="1378" customFormat="1" ht="38.25" customHeight="1">
      <c r="A610" s="1347" t="str">
        <f>L607</f>
        <v>Pipeline Therapeutics, Inc.</v>
      </c>
      <c r="B610" s="1348" t="str">
        <f>N607</f>
        <v>HUB SD</v>
      </c>
      <c r="C610" s="1348">
        <f>Z607</f>
        <v>6</v>
      </c>
      <c r="D610" s="1349">
        <v>43009</v>
      </c>
      <c r="E610" s="1349"/>
      <c r="F610" s="1347" t="s">
        <v>113</v>
      </c>
      <c r="G610" s="1347" t="s">
        <v>85</v>
      </c>
      <c r="H610" s="1347" t="s">
        <v>85</v>
      </c>
      <c r="I610" s="1347" t="s">
        <v>5095</v>
      </c>
      <c r="J610" s="1349"/>
      <c r="K610" s="1349" t="s">
        <v>254</v>
      </c>
      <c r="L610" s="1350" t="s">
        <v>4675</v>
      </c>
      <c r="M610" s="1350" t="s">
        <v>3651</v>
      </c>
      <c r="N610" s="1351" t="s">
        <v>5007</v>
      </c>
      <c r="O610" s="1352" t="s">
        <v>4681</v>
      </c>
      <c r="P610" s="1352"/>
      <c r="Q610" s="1354"/>
      <c r="R610" s="1354"/>
      <c r="S610" s="1354"/>
      <c r="T610" s="1354"/>
      <c r="U610" s="1354"/>
      <c r="V610" s="1354"/>
      <c r="W610" s="1353" t="s">
        <v>2492</v>
      </c>
      <c r="X610" s="1353">
        <v>43009</v>
      </c>
      <c r="Y610" s="1353">
        <v>43466</v>
      </c>
      <c r="Z610" s="1355"/>
      <c r="AA610" s="1355" t="s">
        <v>4679</v>
      </c>
      <c r="AB610" s="1356"/>
      <c r="AC610" s="1356"/>
      <c r="AD610" s="1356"/>
      <c r="AE610" s="1356"/>
      <c r="AF610" s="1357" t="str">
        <f t="shared" si="855"/>
        <v/>
      </c>
      <c r="AG610" s="1358">
        <f t="shared" si="856"/>
        <v>127.3</v>
      </c>
      <c r="AH610" s="1358">
        <v>1527.6</v>
      </c>
      <c r="AI610" s="1359">
        <v>0.1</v>
      </c>
      <c r="AJ610" s="1360">
        <f t="shared" si="857"/>
        <v>12.73</v>
      </c>
      <c r="AK610" s="1361">
        <f t="shared" si="858"/>
        <v>152.76</v>
      </c>
      <c r="AL610" s="1384">
        <v>0</v>
      </c>
      <c r="AM610" s="1363">
        <f t="shared" si="859"/>
        <v>0</v>
      </c>
      <c r="AN610" s="1364">
        <v>0</v>
      </c>
      <c r="AO610" s="1365">
        <f t="shared" si="860"/>
        <v>0</v>
      </c>
      <c r="AP610" s="1366">
        <v>0</v>
      </c>
      <c r="AQ610" s="1367">
        <f t="shared" si="861"/>
        <v>0</v>
      </c>
      <c r="AR610" s="1368">
        <v>0.08</v>
      </c>
      <c r="AS610" s="1369">
        <f t="shared" si="862"/>
        <v>122.208</v>
      </c>
      <c r="AT610" s="1370">
        <v>0</v>
      </c>
      <c r="AU610" s="1371">
        <f t="shared" si="863"/>
        <v>0</v>
      </c>
      <c r="AV610" s="1359">
        <f t="shared" si="864"/>
        <v>2.0000000000000004E-2</v>
      </c>
      <c r="AW610" s="1372">
        <f t="shared" si="865"/>
        <v>30.552000000000003</v>
      </c>
      <c r="AX610" s="1373">
        <f t="shared" si="866"/>
        <v>0.1</v>
      </c>
      <c r="AY610" s="1374">
        <f t="shared" si="867"/>
        <v>152.76</v>
      </c>
      <c r="AZ610" s="1375">
        <f t="shared" si="868"/>
        <v>0.1</v>
      </c>
      <c r="BA610" s="1376">
        <f t="shared" si="869"/>
        <v>152.76</v>
      </c>
      <c r="BB610" s="1377"/>
      <c r="BC610" s="1820"/>
      <c r="BD610" s="1820"/>
      <c r="BE610" s="1823"/>
      <c r="BF610" s="1826"/>
      <c r="BG610" s="1829"/>
    </row>
    <row r="611" spans="1:59" s="1378" customFormat="1" ht="38.25">
      <c r="A611" s="1347" t="str">
        <f>L607</f>
        <v>Pipeline Therapeutics, Inc.</v>
      </c>
      <c r="B611" s="1348" t="str">
        <f>N607</f>
        <v>HUB SD</v>
      </c>
      <c r="C611" s="1348">
        <f>Z607</f>
        <v>6</v>
      </c>
      <c r="D611" s="1349">
        <v>43009</v>
      </c>
      <c r="E611" s="1349"/>
      <c r="F611" s="1347" t="s">
        <v>113</v>
      </c>
      <c r="G611" s="1347" t="s">
        <v>85</v>
      </c>
      <c r="H611" s="1347" t="s">
        <v>85</v>
      </c>
      <c r="I611" s="1347" t="s">
        <v>5095</v>
      </c>
      <c r="J611" s="1349"/>
      <c r="K611" s="1349" t="s">
        <v>254</v>
      </c>
      <c r="L611" s="1350" t="s">
        <v>4682</v>
      </c>
      <c r="M611" s="1350" t="s">
        <v>4683</v>
      </c>
      <c r="N611" s="1386" t="s">
        <v>57</v>
      </c>
      <c r="O611" s="1352" t="s">
        <v>4684</v>
      </c>
      <c r="P611" s="1387"/>
      <c r="Q611" s="1354"/>
      <c r="R611" s="1354"/>
      <c r="S611" s="1354"/>
      <c r="T611" s="1354"/>
      <c r="U611" s="1354"/>
      <c r="V611" s="1354"/>
      <c r="W611" s="1354"/>
      <c r="X611" s="1353">
        <v>43009</v>
      </c>
      <c r="Y611" s="1353">
        <v>43466</v>
      </c>
      <c r="Z611" s="1355"/>
      <c r="AA611" s="1355" t="s">
        <v>4685</v>
      </c>
      <c r="AB611" s="1356"/>
      <c r="AC611" s="1356"/>
      <c r="AD611" s="1356"/>
      <c r="AE611" s="1356"/>
      <c r="AF611" s="1357" t="str">
        <f t="shared" si="855"/>
        <v/>
      </c>
      <c r="AG611" s="1358">
        <f t="shared" si="856"/>
        <v>184.26</v>
      </c>
      <c r="AH611" s="1358">
        <v>2211.12</v>
      </c>
      <c r="AI611" s="1359">
        <v>0.15</v>
      </c>
      <c r="AJ611" s="1360">
        <f t="shared" si="857"/>
        <v>27.638999999999999</v>
      </c>
      <c r="AK611" s="1361">
        <f t="shared" si="858"/>
        <v>331.66799999999995</v>
      </c>
      <c r="AL611" s="1384">
        <v>0</v>
      </c>
      <c r="AM611" s="1363">
        <f t="shared" si="859"/>
        <v>0</v>
      </c>
      <c r="AN611" s="1364">
        <v>0</v>
      </c>
      <c r="AO611" s="1365">
        <f t="shared" si="860"/>
        <v>0</v>
      </c>
      <c r="AP611" s="1366">
        <v>0</v>
      </c>
      <c r="AQ611" s="1367">
        <f t="shared" si="861"/>
        <v>0</v>
      </c>
      <c r="AR611" s="1368">
        <v>0.1</v>
      </c>
      <c r="AS611" s="1369">
        <f t="shared" si="862"/>
        <v>221.11199999999999</v>
      </c>
      <c r="AT611" s="1370">
        <v>0</v>
      </c>
      <c r="AU611" s="1371">
        <f t="shared" si="863"/>
        <v>0</v>
      </c>
      <c r="AV611" s="1359">
        <f t="shared" si="864"/>
        <v>4.9999999999999989E-2</v>
      </c>
      <c r="AW611" s="1372">
        <f t="shared" si="865"/>
        <v>110.55599999999997</v>
      </c>
      <c r="AX611" s="1373">
        <f t="shared" si="866"/>
        <v>0.15</v>
      </c>
      <c r="AY611" s="1374">
        <f t="shared" si="867"/>
        <v>331.66799999999995</v>
      </c>
      <c r="AZ611" s="1375">
        <f t="shared" si="868"/>
        <v>0.15</v>
      </c>
      <c r="BA611" s="1376">
        <f t="shared" si="869"/>
        <v>331.66799999999995</v>
      </c>
      <c r="BB611" s="1377"/>
      <c r="BC611" s="1820"/>
      <c r="BD611" s="1820"/>
      <c r="BE611" s="1823"/>
      <c r="BF611" s="1826"/>
      <c r="BG611" s="1829"/>
    </row>
    <row r="612" spans="1:59" s="1378" customFormat="1" ht="38.25">
      <c r="A612" s="1347" t="str">
        <f>L607</f>
        <v>Pipeline Therapeutics, Inc.</v>
      </c>
      <c r="B612" s="1348" t="str">
        <f>N607</f>
        <v>HUB SD</v>
      </c>
      <c r="C612" s="1348">
        <f>Z607</f>
        <v>6</v>
      </c>
      <c r="D612" s="1349">
        <v>43009</v>
      </c>
      <c r="E612" s="1349"/>
      <c r="F612" s="1347" t="s">
        <v>113</v>
      </c>
      <c r="G612" s="1347" t="s">
        <v>85</v>
      </c>
      <c r="H612" s="1347" t="s">
        <v>85</v>
      </c>
      <c r="I612" s="1347" t="s">
        <v>113</v>
      </c>
      <c r="J612" s="1349"/>
      <c r="K612" s="1349" t="s">
        <v>254</v>
      </c>
      <c r="L612" s="1350" t="s">
        <v>4682</v>
      </c>
      <c r="M612" s="1350" t="s">
        <v>4686</v>
      </c>
      <c r="N612" s="1386" t="s">
        <v>60</v>
      </c>
      <c r="O612" s="1352" t="s">
        <v>4687</v>
      </c>
      <c r="P612" s="1387"/>
      <c r="Q612" s="1354"/>
      <c r="R612" s="1354"/>
      <c r="S612" s="1354"/>
      <c r="T612" s="1354"/>
      <c r="U612" s="1354"/>
      <c r="V612" s="1354"/>
      <c r="W612" s="1354"/>
      <c r="X612" s="1353">
        <v>43009</v>
      </c>
      <c r="Y612" s="1353">
        <v>43466</v>
      </c>
      <c r="Z612" s="1355"/>
      <c r="AA612" s="1355" t="s">
        <v>4685</v>
      </c>
      <c r="AB612" s="1356"/>
      <c r="AC612" s="1356"/>
      <c r="AD612" s="1356"/>
      <c r="AE612" s="1356"/>
      <c r="AF612" s="1357" t="str">
        <f t="shared" si="855"/>
        <v/>
      </c>
      <c r="AG612" s="1358">
        <f t="shared" si="856"/>
        <v>38.28</v>
      </c>
      <c r="AH612" s="1358">
        <v>459.36</v>
      </c>
      <c r="AI612" s="1359">
        <v>0.15</v>
      </c>
      <c r="AJ612" s="1360">
        <f t="shared" si="857"/>
        <v>5.742</v>
      </c>
      <c r="AK612" s="1361">
        <f t="shared" si="858"/>
        <v>68.903999999999996</v>
      </c>
      <c r="AL612" s="1384">
        <v>0</v>
      </c>
      <c r="AM612" s="1363">
        <f t="shared" si="859"/>
        <v>0</v>
      </c>
      <c r="AN612" s="1364">
        <v>0</v>
      </c>
      <c r="AO612" s="1365">
        <f t="shared" si="860"/>
        <v>0</v>
      </c>
      <c r="AP612" s="1366">
        <v>0</v>
      </c>
      <c r="AQ612" s="1367">
        <f t="shared" si="861"/>
        <v>0</v>
      </c>
      <c r="AR612" s="1368">
        <v>0.1</v>
      </c>
      <c r="AS612" s="1369">
        <f t="shared" si="862"/>
        <v>45.936000000000007</v>
      </c>
      <c r="AT612" s="1370">
        <v>0</v>
      </c>
      <c r="AU612" s="1371">
        <f t="shared" si="863"/>
        <v>0</v>
      </c>
      <c r="AV612" s="1359">
        <f t="shared" si="864"/>
        <v>4.9999999999999989E-2</v>
      </c>
      <c r="AW612" s="1372">
        <f t="shared" si="865"/>
        <v>22.967999999999996</v>
      </c>
      <c r="AX612" s="1373">
        <f t="shared" si="866"/>
        <v>0.15</v>
      </c>
      <c r="AY612" s="1374">
        <f t="shared" si="867"/>
        <v>68.903999999999996</v>
      </c>
      <c r="AZ612" s="1375">
        <f t="shared" si="868"/>
        <v>0.15</v>
      </c>
      <c r="BA612" s="1376">
        <f t="shared" si="869"/>
        <v>68.903999999999996</v>
      </c>
      <c r="BB612" s="1377"/>
      <c r="BC612" s="1820"/>
      <c r="BD612" s="1820"/>
      <c r="BE612" s="1823"/>
      <c r="BF612" s="1826"/>
      <c r="BG612" s="1829"/>
    </row>
    <row r="613" spans="1:59" s="1378" customFormat="1" ht="38.25">
      <c r="A613" s="1347" t="str">
        <f>L607</f>
        <v>Pipeline Therapeutics, Inc.</v>
      </c>
      <c r="B613" s="1348" t="str">
        <f>N607</f>
        <v>HUB SD</v>
      </c>
      <c r="C613" s="1348">
        <f>Z607</f>
        <v>6</v>
      </c>
      <c r="D613" s="1349">
        <v>43009</v>
      </c>
      <c r="E613" s="1349"/>
      <c r="F613" s="1347" t="s">
        <v>113</v>
      </c>
      <c r="G613" s="1347" t="s">
        <v>85</v>
      </c>
      <c r="H613" s="1347" t="s">
        <v>85</v>
      </c>
      <c r="I613" s="1347" t="s">
        <v>5095</v>
      </c>
      <c r="J613" s="1349"/>
      <c r="K613" s="1349" t="s">
        <v>254</v>
      </c>
      <c r="L613" s="1350" t="s">
        <v>4682</v>
      </c>
      <c r="M613" s="1350" t="s">
        <v>67</v>
      </c>
      <c r="N613" s="1351" t="s">
        <v>68</v>
      </c>
      <c r="O613" s="1352" t="s">
        <v>4689</v>
      </c>
      <c r="P613" s="1352"/>
      <c r="Q613" s="1354"/>
      <c r="R613" s="1354"/>
      <c r="S613" s="1354"/>
      <c r="T613" s="1354"/>
      <c r="U613" s="1354"/>
      <c r="V613" s="1354"/>
      <c r="W613" s="1354"/>
      <c r="X613" s="1353">
        <v>43009</v>
      </c>
      <c r="Y613" s="1353">
        <v>43466</v>
      </c>
      <c r="Z613" s="1355"/>
      <c r="AA613" s="1355" t="s">
        <v>4685</v>
      </c>
      <c r="AB613" s="1356"/>
      <c r="AC613" s="1356"/>
      <c r="AD613" s="1356"/>
      <c r="AE613" s="1356"/>
      <c r="AF613" s="1357" t="str">
        <f t="shared" si="855"/>
        <v/>
      </c>
      <c r="AG613" s="1358">
        <f t="shared" si="856"/>
        <v>242.08331000000001</v>
      </c>
      <c r="AH613" s="1358">
        <v>2904.9997200000003</v>
      </c>
      <c r="AI613" s="1359">
        <v>0.15</v>
      </c>
      <c r="AJ613" s="1360">
        <f t="shared" si="857"/>
        <v>36.312496500000002</v>
      </c>
      <c r="AK613" s="1361">
        <f t="shared" si="858"/>
        <v>435.74995800000005</v>
      </c>
      <c r="AL613" s="1384">
        <v>0</v>
      </c>
      <c r="AM613" s="1363">
        <f t="shared" si="859"/>
        <v>0</v>
      </c>
      <c r="AN613" s="1364">
        <v>0</v>
      </c>
      <c r="AO613" s="1365">
        <f t="shared" si="860"/>
        <v>0</v>
      </c>
      <c r="AP613" s="1366">
        <v>0</v>
      </c>
      <c r="AQ613" s="1367">
        <f t="shared" si="861"/>
        <v>0</v>
      </c>
      <c r="AR613" s="1368">
        <v>0.1</v>
      </c>
      <c r="AS613" s="1369">
        <f t="shared" si="862"/>
        <v>290.49997200000001</v>
      </c>
      <c r="AT613" s="1370">
        <v>0</v>
      </c>
      <c r="AU613" s="1371">
        <f t="shared" si="863"/>
        <v>0</v>
      </c>
      <c r="AV613" s="1359">
        <f t="shared" si="864"/>
        <v>4.9999999999999989E-2</v>
      </c>
      <c r="AW613" s="1372">
        <f t="shared" si="865"/>
        <v>145.24998599999998</v>
      </c>
      <c r="AX613" s="1373">
        <f t="shared" si="866"/>
        <v>0.15</v>
      </c>
      <c r="AY613" s="1374">
        <f t="shared" si="867"/>
        <v>435.74995800000005</v>
      </c>
      <c r="AZ613" s="1375">
        <f t="shared" si="868"/>
        <v>0.15</v>
      </c>
      <c r="BA613" s="1376">
        <f t="shared" si="869"/>
        <v>435.74995800000005</v>
      </c>
      <c r="BB613" s="1377"/>
      <c r="BC613" s="1820"/>
      <c r="BD613" s="1820"/>
      <c r="BE613" s="1823"/>
      <c r="BF613" s="1826"/>
      <c r="BG613" s="1829"/>
    </row>
    <row r="614" spans="1:59" s="1378" customFormat="1" ht="27.75" customHeight="1">
      <c r="A614" s="1347" t="s">
        <v>347</v>
      </c>
      <c r="B614" s="1348" t="s">
        <v>4661</v>
      </c>
      <c r="C614" s="1348">
        <f>Z607</f>
        <v>6</v>
      </c>
      <c r="D614" s="1349">
        <v>43009</v>
      </c>
      <c r="E614" s="1349"/>
      <c r="F614" s="1347" t="s">
        <v>72</v>
      </c>
      <c r="G614" s="1347" t="s">
        <v>85</v>
      </c>
      <c r="H614" s="1347" t="s">
        <v>72</v>
      </c>
      <c r="I614" s="1347" t="s">
        <v>72</v>
      </c>
      <c r="J614" s="1349" t="s">
        <v>4670</v>
      </c>
      <c r="K614" s="1349" t="s">
        <v>254</v>
      </c>
      <c r="L614" s="1350" t="s">
        <v>4696</v>
      </c>
      <c r="M614" s="1350" t="s">
        <v>4697</v>
      </c>
      <c r="N614" s="1389" t="s">
        <v>4698</v>
      </c>
      <c r="O614" s="1352" t="s">
        <v>4699</v>
      </c>
      <c r="P614" s="1352"/>
      <c r="Q614" s="1354"/>
      <c r="R614" s="1354"/>
      <c r="S614" s="1354"/>
      <c r="T614" s="1354"/>
      <c r="U614" s="1354"/>
      <c r="V614" s="1354"/>
      <c r="W614" s="1354"/>
      <c r="X614" s="1353">
        <v>43101</v>
      </c>
      <c r="Y614" s="1353">
        <v>43466</v>
      </c>
      <c r="Z614" s="1355"/>
      <c r="AA614" s="1355" t="s">
        <v>4674</v>
      </c>
      <c r="AB614" s="1356"/>
      <c r="AC614" s="1356"/>
      <c r="AD614" s="1356"/>
      <c r="AE614" s="1356"/>
      <c r="AF614" s="1357" t="str">
        <f t="shared" si="855"/>
        <v/>
      </c>
      <c r="AG614" s="1380"/>
      <c r="AH614" s="1380"/>
      <c r="AI614" s="1381">
        <v>0</v>
      </c>
      <c r="AJ614" s="1382">
        <f t="shared" si="857"/>
        <v>0</v>
      </c>
      <c r="AK614" s="1383">
        <f t="shared" si="858"/>
        <v>0</v>
      </c>
      <c r="AL614" s="1384">
        <v>0</v>
      </c>
      <c r="AM614" s="1363">
        <f t="shared" si="859"/>
        <v>0</v>
      </c>
      <c r="AN614" s="1364">
        <v>0</v>
      </c>
      <c r="AO614" s="1365">
        <f t="shared" si="860"/>
        <v>0</v>
      </c>
      <c r="AP614" s="1366">
        <v>0</v>
      </c>
      <c r="AQ614" s="1367">
        <f t="shared" si="861"/>
        <v>0</v>
      </c>
      <c r="AR614" s="1368">
        <v>0</v>
      </c>
      <c r="AS614" s="1369">
        <f t="shared" si="862"/>
        <v>0</v>
      </c>
      <c r="AT614" s="1370">
        <v>0</v>
      </c>
      <c r="AU614" s="1371">
        <f t="shared" si="863"/>
        <v>0</v>
      </c>
      <c r="AV614" s="1359">
        <f t="shared" si="864"/>
        <v>0</v>
      </c>
      <c r="AW614" s="1372">
        <f t="shared" si="865"/>
        <v>0</v>
      </c>
      <c r="AX614" s="1373">
        <f t="shared" si="866"/>
        <v>0</v>
      </c>
      <c r="AY614" s="1374">
        <f t="shared" si="867"/>
        <v>0</v>
      </c>
      <c r="AZ614" s="1375">
        <f t="shared" si="868"/>
        <v>0</v>
      </c>
      <c r="BA614" s="1376">
        <f t="shared" si="869"/>
        <v>0</v>
      </c>
      <c r="BB614" s="1377"/>
      <c r="BC614" s="1820"/>
      <c r="BD614" s="1820"/>
      <c r="BE614" s="1823"/>
      <c r="BF614" s="1826"/>
      <c r="BG614" s="1829"/>
    </row>
    <row r="615" spans="1:59" s="1378" customFormat="1" ht="38.25">
      <c r="A615" s="1347" t="str">
        <f>L607</f>
        <v>Pipeline Therapeutics, Inc.</v>
      </c>
      <c r="B615" s="1348" t="str">
        <f>N607</f>
        <v>HUB SD</v>
      </c>
      <c r="C615" s="1348">
        <f>Z607</f>
        <v>6</v>
      </c>
      <c r="D615" s="1349">
        <v>43009</v>
      </c>
      <c r="E615" s="1349"/>
      <c r="F615" s="1347" t="s">
        <v>72</v>
      </c>
      <c r="G615" s="1347" t="s">
        <v>85</v>
      </c>
      <c r="H615" s="1347" t="s">
        <v>72</v>
      </c>
      <c r="I615" s="1347" t="s">
        <v>72</v>
      </c>
      <c r="J615" s="1349" t="s">
        <v>4670</v>
      </c>
      <c r="K615" s="1349" t="s">
        <v>254</v>
      </c>
      <c r="L615" s="1350" t="s">
        <v>48</v>
      </c>
      <c r="M615" s="1350" t="s">
        <v>253</v>
      </c>
      <c r="N615" s="1390" t="s">
        <v>4703</v>
      </c>
      <c r="O615" s="1352" t="s">
        <v>4704</v>
      </c>
      <c r="P615" s="1352"/>
      <c r="Q615" s="1354"/>
      <c r="R615" s="1354"/>
      <c r="S615" s="1354"/>
      <c r="T615" s="1354"/>
      <c r="U615" s="1354"/>
      <c r="V615" s="1354"/>
      <c r="W615" s="1354"/>
      <c r="X615" s="1353">
        <v>43009</v>
      </c>
      <c r="Y615" s="1353">
        <v>43466</v>
      </c>
      <c r="Z615" s="1355"/>
      <c r="AA615" s="1355" t="s">
        <v>4674</v>
      </c>
      <c r="AB615" s="1356"/>
      <c r="AC615" s="1356"/>
      <c r="AD615" s="1356"/>
      <c r="AE615" s="1356"/>
      <c r="AF615" s="1357" t="str">
        <f t="shared" si="855"/>
        <v/>
      </c>
      <c r="AG615" s="1380"/>
      <c r="AH615" s="1380"/>
      <c r="AI615" s="1381">
        <v>0</v>
      </c>
      <c r="AJ615" s="1382">
        <f t="shared" si="857"/>
        <v>0</v>
      </c>
      <c r="AK615" s="1383">
        <f t="shared" si="858"/>
        <v>0</v>
      </c>
      <c r="AL615" s="1384">
        <v>0</v>
      </c>
      <c r="AM615" s="1363">
        <f t="shared" si="859"/>
        <v>0</v>
      </c>
      <c r="AN615" s="1364">
        <v>0</v>
      </c>
      <c r="AO615" s="1365">
        <f t="shared" si="860"/>
        <v>0</v>
      </c>
      <c r="AP615" s="1366">
        <v>0</v>
      </c>
      <c r="AQ615" s="1367">
        <f t="shared" si="861"/>
        <v>0</v>
      </c>
      <c r="AR615" s="1368">
        <v>0</v>
      </c>
      <c r="AS615" s="1369">
        <f t="shared" si="862"/>
        <v>0</v>
      </c>
      <c r="AT615" s="1370">
        <v>0</v>
      </c>
      <c r="AU615" s="1371">
        <f t="shared" si="863"/>
        <v>0</v>
      </c>
      <c r="AV615" s="1359">
        <f t="shared" si="864"/>
        <v>0</v>
      </c>
      <c r="AW615" s="1372">
        <f t="shared" si="865"/>
        <v>0</v>
      </c>
      <c r="AX615" s="1373">
        <f t="shared" si="866"/>
        <v>0</v>
      </c>
      <c r="AY615" s="1374">
        <f t="shared" si="867"/>
        <v>0</v>
      </c>
      <c r="AZ615" s="1375">
        <f t="shared" si="868"/>
        <v>0</v>
      </c>
      <c r="BA615" s="1376">
        <f t="shared" si="869"/>
        <v>0</v>
      </c>
      <c r="BB615" s="1377"/>
      <c r="BC615" s="1820"/>
      <c r="BD615" s="1820"/>
      <c r="BE615" s="1823"/>
      <c r="BF615" s="1826"/>
      <c r="BG615" s="1829"/>
    </row>
    <row r="616" spans="1:59" s="1378" customFormat="1" ht="25.5" customHeight="1">
      <c r="A616" s="1347" t="str">
        <f t="shared" ref="A616:C617" si="870">A615</f>
        <v>Pipeline Therapeutics, Inc.</v>
      </c>
      <c r="B616" s="1348" t="str">
        <f t="shared" si="870"/>
        <v>HUB SD</v>
      </c>
      <c r="C616" s="1348">
        <f t="shared" si="870"/>
        <v>6</v>
      </c>
      <c r="D616" s="1349">
        <v>43009</v>
      </c>
      <c r="E616" s="1349"/>
      <c r="F616" s="1347" t="s">
        <v>72</v>
      </c>
      <c r="G616" s="1347" t="s">
        <v>113</v>
      </c>
      <c r="H616" s="1347" t="s">
        <v>72</v>
      </c>
      <c r="I616" s="1347" t="s">
        <v>113</v>
      </c>
      <c r="J616" s="1349" t="s">
        <v>4670</v>
      </c>
      <c r="K616" s="1349" t="s">
        <v>254</v>
      </c>
      <c r="L616" s="1397" t="s">
        <v>112</v>
      </c>
      <c r="M616" s="1397" t="s">
        <v>4705</v>
      </c>
      <c r="N616" s="1412" t="s">
        <v>4746</v>
      </c>
      <c r="O616" s="1399" t="s">
        <v>5111</v>
      </c>
      <c r="P616" s="1399"/>
      <c r="Q616" s="1400"/>
      <c r="R616" s="1400"/>
      <c r="S616" s="1400"/>
      <c r="T616" s="1400"/>
      <c r="U616" s="1400"/>
      <c r="V616" s="1400"/>
      <c r="W616" s="1400"/>
      <c r="X616" s="1400">
        <v>43009</v>
      </c>
      <c r="Y616" s="1400">
        <v>43466</v>
      </c>
      <c r="Z616" s="1401"/>
      <c r="AA616" s="1401" t="s">
        <v>4738</v>
      </c>
      <c r="AB616" s="1369"/>
      <c r="AC616" s="1369"/>
      <c r="AD616" s="1369"/>
      <c r="AE616" s="1369"/>
      <c r="AF616" s="1403" t="str">
        <f t="shared" si="855"/>
        <v/>
      </c>
      <c r="AG616" s="1404"/>
      <c r="AH616" s="1404"/>
      <c r="AI616" s="1405">
        <v>0</v>
      </c>
      <c r="AJ616" s="1406">
        <v>0</v>
      </c>
      <c r="AK616" s="1406">
        <v>0</v>
      </c>
      <c r="AL616" s="1384">
        <v>0</v>
      </c>
      <c r="AM616" s="1363">
        <f t="shared" si="859"/>
        <v>0</v>
      </c>
      <c r="AN616" s="1364">
        <v>0</v>
      </c>
      <c r="AO616" s="1365">
        <f t="shared" si="860"/>
        <v>0</v>
      </c>
      <c r="AP616" s="1366">
        <v>0</v>
      </c>
      <c r="AQ616" s="1367">
        <f t="shared" si="861"/>
        <v>0</v>
      </c>
      <c r="AR616" s="1368">
        <v>0</v>
      </c>
      <c r="AS616" s="1369">
        <f t="shared" si="862"/>
        <v>0</v>
      </c>
      <c r="AT616" s="1370">
        <v>0</v>
      </c>
      <c r="AU616" s="1371">
        <f t="shared" si="863"/>
        <v>0</v>
      </c>
      <c r="AV616" s="1359">
        <f t="shared" si="864"/>
        <v>0</v>
      </c>
      <c r="AW616" s="1372">
        <f t="shared" si="865"/>
        <v>0</v>
      </c>
      <c r="AX616" s="1373">
        <f t="shared" si="866"/>
        <v>0</v>
      </c>
      <c r="AY616" s="1374">
        <f t="shared" si="867"/>
        <v>0</v>
      </c>
      <c r="AZ616" s="1375">
        <f t="shared" si="868"/>
        <v>0</v>
      </c>
      <c r="BA616" s="1376">
        <f t="shared" si="869"/>
        <v>0</v>
      </c>
      <c r="BB616" s="1377"/>
      <c r="BC616" s="1820"/>
      <c r="BD616" s="1820"/>
      <c r="BE616" s="1823"/>
      <c r="BF616" s="1826"/>
      <c r="BG616" s="1829"/>
    </row>
    <row r="617" spans="1:59" s="1378" customFormat="1" ht="21.75" customHeight="1">
      <c r="A617" s="1347" t="str">
        <f t="shared" si="870"/>
        <v>Pipeline Therapeutics, Inc.</v>
      </c>
      <c r="B617" s="1348" t="str">
        <f t="shared" si="870"/>
        <v>HUB SD</v>
      </c>
      <c r="C617" s="1348">
        <f t="shared" si="870"/>
        <v>6</v>
      </c>
      <c r="D617" s="1349">
        <v>43009</v>
      </c>
      <c r="E617" s="1349"/>
      <c r="F617" s="1347" t="s">
        <v>72</v>
      </c>
      <c r="G617" s="1347" t="s">
        <v>85</v>
      </c>
      <c r="H617" s="1347" t="s">
        <v>72</v>
      </c>
      <c r="I617" s="1347" t="s">
        <v>72</v>
      </c>
      <c r="J617" s="1349" t="s">
        <v>4670</v>
      </c>
      <c r="K617" s="1349" t="s">
        <v>254</v>
      </c>
      <c r="L617" s="1350" t="s">
        <v>3056</v>
      </c>
      <c r="M617" s="1350" t="s">
        <v>4708</v>
      </c>
      <c r="N617" s="1390" t="s">
        <v>4709</v>
      </c>
      <c r="O617" s="1352" t="s">
        <v>4710</v>
      </c>
      <c r="P617" s="1352"/>
      <c r="Q617" s="1354"/>
      <c r="R617" s="1354"/>
      <c r="S617" s="1354"/>
      <c r="T617" s="1354"/>
      <c r="U617" s="1354"/>
      <c r="V617" s="1354"/>
      <c r="W617" s="1354"/>
      <c r="X617" s="1353">
        <v>43009</v>
      </c>
      <c r="Y617" s="1353">
        <v>43466</v>
      </c>
      <c r="Z617" s="1355"/>
      <c r="AA617" s="1355" t="s">
        <v>4674</v>
      </c>
      <c r="AB617" s="1356"/>
      <c r="AC617" s="1356"/>
      <c r="AD617" s="1356"/>
      <c r="AE617" s="1356"/>
      <c r="AF617" s="1357" t="str">
        <f t="shared" si="855"/>
        <v/>
      </c>
      <c r="AG617" s="1380"/>
      <c r="AH617" s="1380"/>
      <c r="AI617" s="1381">
        <v>0</v>
      </c>
      <c r="AJ617" s="1382">
        <f>$AI617*$AG617</f>
        <v>0</v>
      </c>
      <c r="AK617" s="1383">
        <f t="shared" ref="AK617" si="871">AI617*$AH617</f>
        <v>0</v>
      </c>
      <c r="AL617" s="1384">
        <v>0</v>
      </c>
      <c r="AM617" s="1363">
        <f t="shared" si="859"/>
        <v>0</v>
      </c>
      <c r="AN617" s="1364">
        <v>0</v>
      </c>
      <c r="AO617" s="1365">
        <f t="shared" si="860"/>
        <v>0</v>
      </c>
      <c r="AP617" s="1366">
        <v>0</v>
      </c>
      <c r="AQ617" s="1367">
        <f t="shared" si="861"/>
        <v>0</v>
      </c>
      <c r="AR617" s="1368">
        <v>0</v>
      </c>
      <c r="AS617" s="1369">
        <f t="shared" si="862"/>
        <v>0</v>
      </c>
      <c r="AT617" s="1370">
        <v>0</v>
      </c>
      <c r="AU617" s="1371">
        <f t="shared" si="863"/>
        <v>0</v>
      </c>
      <c r="AV617" s="1359">
        <f t="shared" si="864"/>
        <v>0</v>
      </c>
      <c r="AW617" s="1372">
        <f t="shared" si="865"/>
        <v>0</v>
      </c>
      <c r="AX617" s="1373">
        <f t="shared" si="866"/>
        <v>0</v>
      </c>
      <c r="AY617" s="1374">
        <f t="shared" si="867"/>
        <v>0</v>
      </c>
      <c r="AZ617" s="1375">
        <f t="shared" si="868"/>
        <v>0</v>
      </c>
      <c r="BA617" s="1376">
        <f t="shared" si="869"/>
        <v>0</v>
      </c>
      <c r="BB617" s="1391"/>
      <c r="BC617" s="1821"/>
      <c r="BD617" s="1821"/>
      <c r="BE617" s="1824"/>
      <c r="BF617" s="1827"/>
      <c r="BG617" s="1830"/>
    </row>
    <row r="618" spans="1:59" s="1315" customFormat="1" ht="25.5">
      <c r="A618" s="1277" t="str">
        <f>$L$618</f>
        <v>Plexxikon Inc.</v>
      </c>
      <c r="B618" s="1277" t="s">
        <v>4806</v>
      </c>
      <c r="C618" s="1316">
        <f>$Z$618</f>
        <v>70</v>
      </c>
      <c r="D618" s="1317">
        <v>42736</v>
      </c>
      <c r="E618" s="1317"/>
      <c r="F618" s="1277" t="s">
        <v>72</v>
      </c>
      <c r="G618" s="1277" t="s">
        <v>72</v>
      </c>
      <c r="H618" s="1277" t="s">
        <v>72</v>
      </c>
      <c r="I618" s="1277" t="s">
        <v>4711</v>
      </c>
      <c r="J618" s="1317"/>
      <c r="K618" s="1317"/>
      <c r="L618" s="1318" t="s">
        <v>149</v>
      </c>
      <c r="M618" s="1319"/>
      <c r="N618" s="1417" t="s">
        <v>3654</v>
      </c>
      <c r="O618" s="1418" t="s">
        <v>2474</v>
      </c>
      <c r="P618" s="1418"/>
      <c r="Q618" s="1322"/>
      <c r="R618" s="1322"/>
      <c r="S618" s="1322"/>
      <c r="T618" s="1322"/>
      <c r="U618" s="1322"/>
      <c r="V618" s="1322"/>
      <c r="W618" s="1322"/>
      <c r="X618" s="1317">
        <v>43101</v>
      </c>
      <c r="Y618" s="1317">
        <v>43466</v>
      </c>
      <c r="Z618" s="1316">
        <v>70</v>
      </c>
      <c r="AA618" s="1316" t="s">
        <v>5152</v>
      </c>
      <c r="AB618" s="1323">
        <f>SUM(AB619:AB624)</f>
        <v>0</v>
      </c>
      <c r="AC618" s="1323">
        <f>SUM(AC619:AC624)</f>
        <v>0</v>
      </c>
      <c r="AD618" s="1323">
        <f>SUM(AD619:AD624)</f>
        <v>0</v>
      </c>
      <c r="AE618" s="1324">
        <f>AD618-AB618</f>
        <v>0</v>
      </c>
      <c r="AF618" s="1325" t="str">
        <f>IFERROR((AE618/AB618),"")</f>
        <v/>
      </c>
      <c r="AG618" s="1326">
        <f t="shared" si="856"/>
        <v>104701.68000000001</v>
      </c>
      <c r="AH618" s="1326">
        <f>SUM(AH619:AH624)</f>
        <v>1256420.1600000001</v>
      </c>
      <c r="AI618" s="1327"/>
      <c r="AJ618" s="1328">
        <f>SUM(AJ619:AJ624)</f>
        <v>8556.8577999999998</v>
      </c>
      <c r="AK618" s="1328">
        <f>SUM(AK619:AK624)</f>
        <v>102682.2936</v>
      </c>
      <c r="AL618" s="1329"/>
      <c r="AM618" s="1330">
        <f>SUM(AM619:AM624)</f>
        <v>5739.9306000000006</v>
      </c>
      <c r="AN618" s="1331"/>
      <c r="AO618" s="1332">
        <f>SUM(AO619:AO624)</f>
        <v>54594.168000000005</v>
      </c>
      <c r="AP618" s="1333"/>
      <c r="AQ618" s="1334">
        <f>SUM(AQ619:AQ624)</f>
        <v>0</v>
      </c>
      <c r="AR618" s="1335"/>
      <c r="AS618" s="1336">
        <f>SUM(AS619:AS624)</f>
        <v>0</v>
      </c>
      <c r="AT618" s="1337"/>
      <c r="AU618" s="1338">
        <f>SUM(AU619:AU624)</f>
        <v>28699.653000000006</v>
      </c>
      <c r="AV618" s="1339"/>
      <c r="AW618" s="1340">
        <f>SUM(AW619:AW624)</f>
        <v>13648.541999999996</v>
      </c>
      <c r="AX618" s="1306"/>
      <c r="AY618" s="1307">
        <f>SUM(AW618+AS618+AU618)</f>
        <v>42348.195</v>
      </c>
      <c r="AZ618" s="1341"/>
      <c r="BA618" s="1309">
        <f>SUM(AY618+AQ618)</f>
        <v>42348.195</v>
      </c>
      <c r="BB618" s="1342">
        <f>(AW618+AU618)/(AK618-AM618)</f>
        <v>0.43683889776856377</v>
      </c>
      <c r="BC618" s="1343"/>
      <c r="BD618" s="1343"/>
      <c r="BE618" s="1344"/>
      <c r="BF618" s="1420" t="s">
        <v>4808</v>
      </c>
      <c r="BG618" s="1346"/>
    </row>
    <row r="619" spans="1:59" s="1378" customFormat="1" ht="38.25" customHeight="1">
      <c r="A619" s="1347" t="str">
        <f>$L$618</f>
        <v>Plexxikon Inc.</v>
      </c>
      <c r="B619" s="1347" t="s">
        <v>4806</v>
      </c>
      <c r="C619" s="1348">
        <f>$Z$618</f>
        <v>70</v>
      </c>
      <c r="D619" s="1349">
        <v>42736</v>
      </c>
      <c r="E619" s="1349"/>
      <c r="F619" s="1347" t="s">
        <v>85</v>
      </c>
      <c r="G619" s="1347" t="s">
        <v>85</v>
      </c>
      <c r="H619" s="1347" t="s">
        <v>85</v>
      </c>
      <c r="I619" s="1347" t="s">
        <v>113</v>
      </c>
      <c r="J619" s="1349"/>
      <c r="K619" s="1349" t="s">
        <v>254</v>
      </c>
      <c r="L619" s="1350" t="s">
        <v>2661</v>
      </c>
      <c r="M619" s="1350" t="s">
        <v>3647</v>
      </c>
      <c r="N619" s="1351" t="s">
        <v>5153</v>
      </c>
      <c r="O619" s="1352" t="s">
        <v>5154</v>
      </c>
      <c r="P619" s="1352" t="s">
        <v>5029</v>
      </c>
      <c r="Q619" s="1353" t="s">
        <v>303</v>
      </c>
      <c r="R619" s="1353" t="s">
        <v>3656</v>
      </c>
      <c r="S619" s="1353" t="s">
        <v>307</v>
      </c>
      <c r="T619" s="1353" t="s">
        <v>113</v>
      </c>
      <c r="U619" s="1354"/>
      <c r="V619" s="1354"/>
      <c r="W619" s="1354"/>
      <c r="X619" s="1353">
        <v>43101</v>
      </c>
      <c r="Y619" s="1353">
        <v>43466</v>
      </c>
      <c r="Z619" s="1355"/>
      <c r="AA619" s="1355" t="s">
        <v>4667</v>
      </c>
      <c r="AB619" s="1356"/>
      <c r="AC619" s="1356"/>
      <c r="AD619" s="1356"/>
      <c r="AE619" s="1356"/>
      <c r="AF619" s="1357"/>
      <c r="AG619" s="1358">
        <f t="shared" si="856"/>
        <v>95665.510000000009</v>
      </c>
      <c r="AH619" s="1358">
        <v>1147986.1200000001</v>
      </c>
      <c r="AI619" s="1359">
        <v>0.08</v>
      </c>
      <c r="AJ619" s="1360">
        <f>$AI619*$AG619</f>
        <v>7653.2408000000005</v>
      </c>
      <c r="AK619" s="1361">
        <f>AI619*$AH619</f>
        <v>91838.88960000001</v>
      </c>
      <c r="AL619" s="1362">
        <v>5.0000000000000001E-3</v>
      </c>
      <c r="AM619" s="1363">
        <f t="shared" ref="AM619:AM624" si="872">AL619*$AH619</f>
        <v>5739.9306000000006</v>
      </c>
      <c r="AN619" s="1364">
        <v>0.04</v>
      </c>
      <c r="AO619" s="1365">
        <f t="shared" ref="AO619:AO624" si="873">AN619*$AH619</f>
        <v>45919.444800000005</v>
      </c>
      <c r="AP619" s="1366">
        <v>0</v>
      </c>
      <c r="AQ619" s="1367">
        <f t="shared" ref="AQ619:AQ624" si="874">AP619*$AH619</f>
        <v>0</v>
      </c>
      <c r="AR619" s="1368">
        <v>0</v>
      </c>
      <c r="AS619" s="1369">
        <f t="shared" ref="AS619:AS624" si="875">AR619*$AH619</f>
        <v>0</v>
      </c>
      <c r="AT619" s="1370">
        <v>2.5000000000000001E-2</v>
      </c>
      <c r="AU619" s="1371">
        <f t="shared" ref="AU619:AU624" si="876">AT619*$AH619</f>
        <v>28699.653000000006</v>
      </c>
      <c r="AV619" s="1359">
        <f>AZ619-AR619-AT619-AP619</f>
        <v>9.999999999999995E-3</v>
      </c>
      <c r="AW619" s="1372">
        <f t="shared" ref="AW619:AW624" si="877">AV619*$AH619</f>
        <v>11479.861199999996</v>
      </c>
      <c r="AX619" s="1373">
        <f t="shared" ref="AX619:AX624" si="878">$AZ619-$AP619</f>
        <v>3.4999999999999996E-2</v>
      </c>
      <c r="AY619" s="1374">
        <f t="shared" ref="AY619:AY624" si="879">AX619*$AH619</f>
        <v>40179.514199999998</v>
      </c>
      <c r="AZ619" s="1375">
        <f t="shared" ref="AZ619:AZ624" si="880">$AI619-$AL619-$AN619</f>
        <v>3.4999999999999996E-2</v>
      </c>
      <c r="BA619" s="1376">
        <f t="shared" ref="BA619:BA624" si="881">AZ619*$AH619</f>
        <v>40179.514199999998</v>
      </c>
      <c r="BB619" s="1377"/>
      <c r="BC619" s="1819" t="s">
        <v>150</v>
      </c>
      <c r="BD619" s="1819" t="s">
        <v>241</v>
      </c>
      <c r="BE619" s="1822" t="s">
        <v>241</v>
      </c>
      <c r="BF619" s="1825" t="s">
        <v>5155</v>
      </c>
      <c r="BG619" s="1828">
        <v>943382925</v>
      </c>
    </row>
    <row r="620" spans="1:59" s="1378" customFormat="1" ht="38.25">
      <c r="A620" s="1347" t="str">
        <f>$L$618</f>
        <v>Plexxikon Inc.</v>
      </c>
      <c r="B620" s="1347" t="s">
        <v>4806</v>
      </c>
      <c r="C620" s="1348">
        <f>$Z$618</f>
        <v>70</v>
      </c>
      <c r="D620" s="1349">
        <v>42736</v>
      </c>
      <c r="E620" s="1349"/>
      <c r="F620" s="1347" t="s">
        <v>113</v>
      </c>
      <c r="G620" s="1347" t="s">
        <v>85</v>
      </c>
      <c r="H620" s="1347" t="s">
        <v>85</v>
      </c>
      <c r="I620" s="1347" t="s">
        <v>113</v>
      </c>
      <c r="J620" s="1349"/>
      <c r="K620" s="1349" t="s">
        <v>254</v>
      </c>
      <c r="L620" s="1350" t="s">
        <v>4675</v>
      </c>
      <c r="M620" s="1350" t="s">
        <v>3650</v>
      </c>
      <c r="N620" s="1351" t="s">
        <v>5156</v>
      </c>
      <c r="O620" s="1457" t="s">
        <v>5157</v>
      </c>
      <c r="P620" s="1352"/>
      <c r="Q620" s="1354"/>
      <c r="R620" s="1354"/>
      <c r="S620" s="1354"/>
      <c r="T620" s="1354"/>
      <c r="U620" s="1353" t="s">
        <v>4723</v>
      </c>
      <c r="V620" s="1353" t="s">
        <v>2482</v>
      </c>
      <c r="W620" s="1354"/>
      <c r="X620" s="1353">
        <v>43101</v>
      </c>
      <c r="Y620" s="1353">
        <v>43466</v>
      </c>
      <c r="Z620" s="1355"/>
      <c r="AA620" s="1355" t="s">
        <v>4679</v>
      </c>
      <c r="AB620" s="1356"/>
      <c r="AC620" s="1356"/>
      <c r="AD620" s="1356"/>
      <c r="AE620" s="1356"/>
      <c r="AF620" s="1357"/>
      <c r="AG620" s="1358">
        <f t="shared" si="856"/>
        <v>9036.17</v>
      </c>
      <c r="AH620" s="1358">
        <v>108434.04</v>
      </c>
      <c r="AI620" s="1359">
        <v>0.1</v>
      </c>
      <c r="AJ620" s="1360">
        <f>$AI620*$AG620</f>
        <v>903.61700000000008</v>
      </c>
      <c r="AK620" s="1361">
        <f>AI620*$AH620</f>
        <v>10843.404</v>
      </c>
      <c r="AL620" s="1384">
        <v>0</v>
      </c>
      <c r="AM620" s="1363">
        <f t="shared" si="872"/>
        <v>0</v>
      </c>
      <c r="AN620" s="1364">
        <v>0.08</v>
      </c>
      <c r="AO620" s="1365">
        <f t="shared" si="873"/>
        <v>8674.7232000000004</v>
      </c>
      <c r="AP620" s="1366">
        <v>0</v>
      </c>
      <c r="AQ620" s="1367">
        <f t="shared" si="874"/>
        <v>0</v>
      </c>
      <c r="AR620" s="1368">
        <v>0</v>
      </c>
      <c r="AS620" s="1369">
        <f t="shared" si="875"/>
        <v>0</v>
      </c>
      <c r="AT620" s="1370">
        <v>0</v>
      </c>
      <c r="AU620" s="1371">
        <f t="shared" si="876"/>
        <v>0</v>
      </c>
      <c r="AV620" s="1359">
        <f>AZ620-AR620-AT620-AP620</f>
        <v>2.0000000000000004E-2</v>
      </c>
      <c r="AW620" s="1372">
        <f t="shared" si="877"/>
        <v>2168.6808000000001</v>
      </c>
      <c r="AX620" s="1373">
        <f t="shared" si="878"/>
        <v>2.0000000000000004E-2</v>
      </c>
      <c r="AY620" s="1374">
        <f t="shared" si="879"/>
        <v>2168.6808000000001</v>
      </c>
      <c r="AZ620" s="1375">
        <f t="shared" si="880"/>
        <v>2.0000000000000004E-2</v>
      </c>
      <c r="BA620" s="1376">
        <f t="shared" si="881"/>
        <v>2168.6808000000001</v>
      </c>
      <c r="BB620" s="1377"/>
      <c r="BC620" s="1820"/>
      <c r="BD620" s="1820"/>
      <c r="BE620" s="1823"/>
      <c r="BF620" s="1826"/>
      <c r="BG620" s="1829"/>
    </row>
    <row r="621" spans="1:59" s="1378" customFormat="1" ht="27.75" customHeight="1">
      <c r="A621" s="1347" t="s">
        <v>149</v>
      </c>
      <c r="B621" s="1348" t="s">
        <v>4806</v>
      </c>
      <c r="C621" s="1348">
        <f>Z618</f>
        <v>70</v>
      </c>
      <c r="D621" s="1349">
        <v>42736</v>
      </c>
      <c r="E621" s="1349"/>
      <c r="F621" s="1347" t="s">
        <v>72</v>
      </c>
      <c r="G621" s="1347" t="s">
        <v>85</v>
      </c>
      <c r="H621" s="1347" t="s">
        <v>72</v>
      </c>
      <c r="I621" s="1347" t="s">
        <v>72</v>
      </c>
      <c r="J621" s="1349" t="s">
        <v>4670</v>
      </c>
      <c r="K621" s="1349" t="s">
        <v>254</v>
      </c>
      <c r="L621" s="1350" t="s">
        <v>4696</v>
      </c>
      <c r="M621" s="1350" t="s">
        <v>4697</v>
      </c>
      <c r="N621" s="1389" t="s">
        <v>4698</v>
      </c>
      <c r="O621" s="1352" t="s">
        <v>4699</v>
      </c>
      <c r="P621" s="1352"/>
      <c r="Q621" s="1354"/>
      <c r="R621" s="1354"/>
      <c r="S621" s="1354"/>
      <c r="T621" s="1354"/>
      <c r="U621" s="1354"/>
      <c r="V621" s="1354"/>
      <c r="W621" s="1354"/>
      <c r="X621" s="1353">
        <v>43101</v>
      </c>
      <c r="Y621" s="1353">
        <v>43466</v>
      </c>
      <c r="Z621" s="1355"/>
      <c r="AA621" s="1355" t="s">
        <v>4674</v>
      </c>
      <c r="AB621" s="1356"/>
      <c r="AC621" s="1356"/>
      <c r="AD621" s="1356"/>
      <c r="AE621" s="1356"/>
      <c r="AF621" s="1357" t="str">
        <f>IFERROR((AE621/AB621),"")</f>
        <v/>
      </c>
      <c r="AG621" s="1380"/>
      <c r="AH621" s="1380"/>
      <c r="AI621" s="1381">
        <v>0</v>
      </c>
      <c r="AJ621" s="1382">
        <f>$AI621*$AG621</f>
        <v>0</v>
      </c>
      <c r="AK621" s="1383">
        <f>AI621*$AH621</f>
        <v>0</v>
      </c>
      <c r="AL621" s="1384">
        <v>0</v>
      </c>
      <c r="AM621" s="1363">
        <f t="shared" si="872"/>
        <v>0</v>
      </c>
      <c r="AN621" s="1364">
        <v>0</v>
      </c>
      <c r="AO621" s="1365">
        <f t="shared" si="873"/>
        <v>0</v>
      </c>
      <c r="AP621" s="1366">
        <v>0</v>
      </c>
      <c r="AQ621" s="1367">
        <f t="shared" si="874"/>
        <v>0</v>
      </c>
      <c r="AR621" s="1368">
        <v>0</v>
      </c>
      <c r="AS621" s="1369">
        <f t="shared" si="875"/>
        <v>0</v>
      </c>
      <c r="AT621" s="1370">
        <v>0</v>
      </c>
      <c r="AU621" s="1371">
        <f t="shared" si="876"/>
        <v>0</v>
      </c>
      <c r="AV621" s="1359">
        <f t="shared" ref="AV621" si="882">AZ621-AR621-AT621-AP621</f>
        <v>0</v>
      </c>
      <c r="AW621" s="1372">
        <f t="shared" si="877"/>
        <v>0</v>
      </c>
      <c r="AX621" s="1373">
        <f t="shared" si="878"/>
        <v>0</v>
      </c>
      <c r="AY621" s="1374">
        <f t="shared" si="879"/>
        <v>0</v>
      </c>
      <c r="AZ621" s="1375">
        <f t="shared" si="880"/>
        <v>0</v>
      </c>
      <c r="BA621" s="1376">
        <f t="shared" si="881"/>
        <v>0</v>
      </c>
      <c r="BB621" s="1377"/>
      <c r="BC621" s="1820"/>
      <c r="BD621" s="1820"/>
      <c r="BE621" s="1823"/>
      <c r="BF621" s="1826"/>
      <c r="BG621" s="1829"/>
    </row>
    <row r="622" spans="1:59" s="1378" customFormat="1" ht="25.5">
      <c r="A622" s="1347" t="str">
        <f>$L$618</f>
        <v>Plexxikon Inc.</v>
      </c>
      <c r="B622" s="1347" t="s">
        <v>4806</v>
      </c>
      <c r="C622" s="1348">
        <f>$Z$618</f>
        <v>70</v>
      </c>
      <c r="D622" s="1349">
        <v>42736</v>
      </c>
      <c r="E622" s="1349"/>
      <c r="F622" s="1347" t="s">
        <v>72</v>
      </c>
      <c r="G622" s="1347" t="s">
        <v>85</v>
      </c>
      <c r="H622" s="1347" t="s">
        <v>72</v>
      </c>
      <c r="I622" s="1347" t="s">
        <v>113</v>
      </c>
      <c r="J622" s="1349" t="s">
        <v>4670</v>
      </c>
      <c r="K622" s="1349" t="s">
        <v>254</v>
      </c>
      <c r="L622" s="1350" t="s">
        <v>48</v>
      </c>
      <c r="M622" s="1350" t="s">
        <v>253</v>
      </c>
      <c r="N622" s="1390" t="s">
        <v>4703</v>
      </c>
      <c r="O622" s="1352" t="s">
        <v>4704</v>
      </c>
      <c r="P622" s="1352"/>
      <c r="Q622" s="1354"/>
      <c r="R622" s="1354"/>
      <c r="S622" s="1354"/>
      <c r="T622" s="1354"/>
      <c r="U622" s="1354"/>
      <c r="V622" s="1354"/>
      <c r="W622" s="1354"/>
      <c r="X622" s="1353">
        <v>43101</v>
      </c>
      <c r="Y622" s="1353">
        <v>43466</v>
      </c>
      <c r="Z622" s="1355"/>
      <c r="AA622" s="1355" t="s">
        <v>4674</v>
      </c>
      <c r="AB622" s="1356"/>
      <c r="AC622" s="1356"/>
      <c r="AD622" s="1356"/>
      <c r="AE622" s="1356"/>
      <c r="AF622" s="1357" t="str">
        <f>IFERROR((AE622/AB622),"")</f>
        <v/>
      </c>
      <c r="AG622" s="1380"/>
      <c r="AH622" s="1380"/>
      <c r="AI622" s="1381">
        <v>0</v>
      </c>
      <c r="AJ622" s="1383">
        <v>0</v>
      </c>
      <c r="AK622" s="1383">
        <v>0</v>
      </c>
      <c r="AL622" s="1384">
        <v>0</v>
      </c>
      <c r="AM622" s="1363">
        <f t="shared" si="872"/>
        <v>0</v>
      </c>
      <c r="AN622" s="1364">
        <v>0</v>
      </c>
      <c r="AO622" s="1365">
        <f t="shared" si="873"/>
        <v>0</v>
      </c>
      <c r="AP622" s="1366">
        <v>0</v>
      </c>
      <c r="AQ622" s="1367">
        <f t="shared" si="874"/>
        <v>0</v>
      </c>
      <c r="AR622" s="1368">
        <v>0</v>
      </c>
      <c r="AS622" s="1369">
        <f t="shared" si="875"/>
        <v>0</v>
      </c>
      <c r="AT622" s="1370">
        <v>0</v>
      </c>
      <c r="AU622" s="1371">
        <f t="shared" si="876"/>
        <v>0</v>
      </c>
      <c r="AV622" s="1359">
        <f>AZ622-AR622-AT622-AP622</f>
        <v>0</v>
      </c>
      <c r="AW622" s="1372">
        <f t="shared" si="877"/>
        <v>0</v>
      </c>
      <c r="AX622" s="1373">
        <f t="shared" si="878"/>
        <v>0</v>
      </c>
      <c r="AY622" s="1374">
        <f t="shared" si="879"/>
        <v>0</v>
      </c>
      <c r="AZ622" s="1375">
        <f t="shared" si="880"/>
        <v>0</v>
      </c>
      <c r="BA622" s="1376">
        <f t="shared" si="881"/>
        <v>0</v>
      </c>
      <c r="BB622" s="1377"/>
      <c r="BC622" s="1820"/>
      <c r="BD622" s="1820"/>
      <c r="BE622" s="1823"/>
      <c r="BF622" s="1826"/>
      <c r="BG622" s="1829"/>
    </row>
    <row r="623" spans="1:59" s="1378" customFormat="1" ht="63.75">
      <c r="A623" s="1347" t="str">
        <f>$L$618</f>
        <v>Plexxikon Inc.</v>
      </c>
      <c r="B623" s="1347" t="s">
        <v>4806</v>
      </c>
      <c r="C623" s="1348">
        <f>$Z$618</f>
        <v>70</v>
      </c>
      <c r="D623" s="1349">
        <v>42736</v>
      </c>
      <c r="E623" s="1349"/>
      <c r="F623" s="1347" t="s">
        <v>72</v>
      </c>
      <c r="G623" s="1347" t="s">
        <v>113</v>
      </c>
      <c r="H623" s="1347" t="s">
        <v>72</v>
      </c>
      <c r="I623" s="1347" t="s">
        <v>72</v>
      </c>
      <c r="J623" s="1349" t="s">
        <v>4766</v>
      </c>
      <c r="K623" s="1349" t="s">
        <v>254</v>
      </c>
      <c r="L623" s="1397" t="s">
        <v>318</v>
      </c>
      <c r="M623" s="1397" t="s">
        <v>4705</v>
      </c>
      <c r="N623" s="1412" t="s">
        <v>4773</v>
      </c>
      <c r="O623" s="1399" t="s">
        <v>4792</v>
      </c>
      <c r="P623" s="1399"/>
      <c r="Q623" s="1400"/>
      <c r="R623" s="1400"/>
      <c r="S623" s="1400"/>
      <c r="T623" s="1400"/>
      <c r="U623" s="1400"/>
      <c r="V623" s="1400"/>
      <c r="W623" s="1400"/>
      <c r="X623" s="1400">
        <v>43101</v>
      </c>
      <c r="Y623" s="1400">
        <v>43466</v>
      </c>
      <c r="Z623" s="1401"/>
      <c r="AA623" s="1401" t="s">
        <v>4738</v>
      </c>
      <c r="AB623" s="1369"/>
      <c r="AC623" s="1369"/>
      <c r="AD623" s="1369"/>
      <c r="AE623" s="1369"/>
      <c r="AF623" s="1403" t="str">
        <f t="shared" ref="AF623:AF644" si="883">IFERROR((AE623/AB623),"")</f>
        <v/>
      </c>
      <c r="AG623" s="1404"/>
      <c r="AH623" s="1404"/>
      <c r="AI623" s="1405">
        <v>0</v>
      </c>
      <c r="AJ623" s="1406">
        <v>0</v>
      </c>
      <c r="AK623" s="1406">
        <v>0</v>
      </c>
      <c r="AL623" s="1384">
        <v>0</v>
      </c>
      <c r="AM623" s="1363">
        <f t="shared" si="872"/>
        <v>0</v>
      </c>
      <c r="AN623" s="1364">
        <v>0</v>
      </c>
      <c r="AO623" s="1365">
        <f t="shared" si="873"/>
        <v>0</v>
      </c>
      <c r="AP623" s="1366">
        <v>0</v>
      </c>
      <c r="AQ623" s="1367">
        <f t="shared" si="874"/>
        <v>0</v>
      </c>
      <c r="AR623" s="1368">
        <v>0</v>
      </c>
      <c r="AS623" s="1369">
        <f t="shared" si="875"/>
        <v>0</v>
      </c>
      <c r="AT623" s="1370">
        <v>0</v>
      </c>
      <c r="AU623" s="1371">
        <f t="shared" si="876"/>
        <v>0</v>
      </c>
      <c r="AV623" s="1359">
        <f>AZ623-AR623-AT623-AP623</f>
        <v>0</v>
      </c>
      <c r="AW623" s="1372">
        <f t="shared" si="877"/>
        <v>0</v>
      </c>
      <c r="AX623" s="1373">
        <f t="shared" si="878"/>
        <v>0</v>
      </c>
      <c r="AY623" s="1374">
        <f t="shared" si="879"/>
        <v>0</v>
      </c>
      <c r="AZ623" s="1375">
        <f t="shared" si="880"/>
        <v>0</v>
      </c>
      <c r="BA623" s="1376">
        <f t="shared" si="881"/>
        <v>0</v>
      </c>
      <c r="BB623" s="1377"/>
      <c r="BC623" s="1820"/>
      <c r="BD623" s="1820"/>
      <c r="BE623" s="1823"/>
      <c r="BF623" s="1826"/>
      <c r="BG623" s="1829"/>
    </row>
    <row r="624" spans="1:59" s="1378" customFormat="1" ht="21.75" customHeight="1">
      <c r="A624" s="1347" t="str">
        <f>A623</f>
        <v>Plexxikon Inc.</v>
      </c>
      <c r="B624" s="1348" t="str">
        <f>B623</f>
        <v xml:space="preserve">ABD </v>
      </c>
      <c r="C624" s="1348">
        <f>C623</f>
        <v>70</v>
      </c>
      <c r="D624" s="1349">
        <v>42736</v>
      </c>
      <c r="E624" s="1349"/>
      <c r="F624" s="1347" t="s">
        <v>72</v>
      </c>
      <c r="G624" s="1347" t="s">
        <v>85</v>
      </c>
      <c r="H624" s="1347" t="s">
        <v>72</v>
      </c>
      <c r="I624" s="1347" t="s">
        <v>72</v>
      </c>
      <c r="J624" s="1349" t="s">
        <v>4670</v>
      </c>
      <c r="K624" s="1349" t="s">
        <v>254</v>
      </c>
      <c r="L624" s="1350" t="s">
        <v>3056</v>
      </c>
      <c r="M624" s="1350" t="s">
        <v>4708</v>
      </c>
      <c r="N624" s="1390" t="s">
        <v>4709</v>
      </c>
      <c r="O624" s="1352" t="s">
        <v>4710</v>
      </c>
      <c r="P624" s="1352"/>
      <c r="Q624" s="1354"/>
      <c r="R624" s="1354"/>
      <c r="S624" s="1354"/>
      <c r="T624" s="1354"/>
      <c r="U624" s="1354"/>
      <c r="V624" s="1354"/>
      <c r="W624" s="1354"/>
      <c r="X624" s="1353">
        <v>43101</v>
      </c>
      <c r="Y624" s="1353">
        <v>43466</v>
      </c>
      <c r="Z624" s="1355"/>
      <c r="AA624" s="1355" t="s">
        <v>4674</v>
      </c>
      <c r="AB624" s="1356"/>
      <c r="AC624" s="1356"/>
      <c r="AD624" s="1356"/>
      <c r="AE624" s="1356"/>
      <c r="AF624" s="1357" t="str">
        <f t="shared" si="883"/>
        <v/>
      </c>
      <c r="AG624" s="1380"/>
      <c r="AH624" s="1380"/>
      <c r="AI624" s="1381">
        <v>0</v>
      </c>
      <c r="AJ624" s="1382">
        <f>$AI624*$AG624</f>
        <v>0</v>
      </c>
      <c r="AK624" s="1383">
        <f>AI624*$AH624</f>
        <v>0</v>
      </c>
      <c r="AL624" s="1384">
        <v>0</v>
      </c>
      <c r="AM624" s="1363">
        <f t="shared" si="872"/>
        <v>0</v>
      </c>
      <c r="AN624" s="1364">
        <v>0</v>
      </c>
      <c r="AO624" s="1365">
        <f t="shared" si="873"/>
        <v>0</v>
      </c>
      <c r="AP624" s="1366">
        <v>0</v>
      </c>
      <c r="AQ624" s="1367">
        <f t="shared" si="874"/>
        <v>0</v>
      </c>
      <c r="AR624" s="1368">
        <v>0</v>
      </c>
      <c r="AS624" s="1369">
        <f t="shared" si="875"/>
        <v>0</v>
      </c>
      <c r="AT624" s="1370">
        <v>0</v>
      </c>
      <c r="AU624" s="1371">
        <f t="shared" si="876"/>
        <v>0</v>
      </c>
      <c r="AV624" s="1359">
        <f t="shared" ref="AV624" si="884">AZ624-AR624-AT624-AP624</f>
        <v>0</v>
      </c>
      <c r="AW624" s="1372">
        <f t="shared" si="877"/>
        <v>0</v>
      </c>
      <c r="AX624" s="1373">
        <f t="shared" si="878"/>
        <v>0</v>
      </c>
      <c r="AY624" s="1374">
        <f t="shared" si="879"/>
        <v>0</v>
      </c>
      <c r="AZ624" s="1375">
        <f t="shared" si="880"/>
        <v>0</v>
      </c>
      <c r="BA624" s="1376">
        <f t="shared" si="881"/>
        <v>0</v>
      </c>
      <c r="BB624" s="1391"/>
      <c r="BC624" s="1821"/>
      <c r="BD624" s="1821"/>
      <c r="BE624" s="1824"/>
      <c r="BF624" s="1827"/>
      <c r="BG624" s="1830"/>
    </row>
    <row r="625" spans="1:59" s="1315" customFormat="1" ht="38.25">
      <c r="A625" s="1277" t="str">
        <f t="shared" ref="A625:A631" si="885">L$625</f>
        <v>Public Library of Science</v>
      </c>
      <c r="B625" s="1316" t="str">
        <f t="shared" ref="B625:B631" si="886">N$625</f>
        <v>Woodruff-Sawyer</v>
      </c>
      <c r="C625" s="1316">
        <f t="shared" ref="C625:C631" si="887">Z$625</f>
        <v>171</v>
      </c>
      <c r="D625" s="1317">
        <v>43101</v>
      </c>
      <c r="E625" s="1317"/>
      <c r="F625" s="1277" t="s">
        <v>72</v>
      </c>
      <c r="G625" s="1277" t="s">
        <v>72</v>
      </c>
      <c r="H625" s="1277" t="s">
        <v>72</v>
      </c>
      <c r="I625" s="1277" t="s">
        <v>4711</v>
      </c>
      <c r="J625" s="1317"/>
      <c r="K625" s="1317"/>
      <c r="L625" s="1318" t="s">
        <v>4173</v>
      </c>
      <c r="M625" s="1319" t="s">
        <v>6167</v>
      </c>
      <c r="N625" s="1417" t="s">
        <v>3659</v>
      </c>
      <c r="O625" s="1418" t="s">
        <v>2473</v>
      </c>
      <c r="P625" s="1418"/>
      <c r="Q625" s="1322"/>
      <c r="R625" s="1322"/>
      <c r="S625" s="1322"/>
      <c r="T625" s="1322"/>
      <c r="U625" s="1322"/>
      <c r="V625" s="1322"/>
      <c r="W625" s="1322"/>
      <c r="X625" s="1317">
        <v>43101</v>
      </c>
      <c r="Y625" s="1317">
        <v>43466</v>
      </c>
      <c r="Z625" s="1316">
        <v>171</v>
      </c>
      <c r="AA625" s="1316" t="s">
        <v>5158</v>
      </c>
      <c r="AB625" s="1323">
        <f>SUM(AB626:AB632)</f>
        <v>0</v>
      </c>
      <c r="AC625" s="1323">
        <f>SUM(AC626:AC632)</f>
        <v>0</v>
      </c>
      <c r="AD625" s="1323">
        <f>SUM(AD626:AD632)</f>
        <v>0</v>
      </c>
      <c r="AE625" s="1324">
        <f t="shared" ref="AE625:AE633" si="888">AD625-AB625</f>
        <v>0</v>
      </c>
      <c r="AF625" s="1325" t="str">
        <f t="shared" si="883"/>
        <v/>
      </c>
      <c r="AG625" s="1326">
        <f t="shared" si="856"/>
        <v>83521.849999999991</v>
      </c>
      <c r="AH625" s="1326">
        <f>SUM(AH626:AH632)</f>
        <v>1002262.2</v>
      </c>
      <c r="AI625" s="1339"/>
      <c r="AJ625" s="1328">
        <f>SUM(AJ626:AJ632)</f>
        <v>6681.7479999999996</v>
      </c>
      <c r="AK625" s="1328">
        <f>SUM(AK626:AK632)</f>
        <v>80180.975999999995</v>
      </c>
      <c r="AL625" s="1329"/>
      <c r="AM625" s="1330">
        <f>SUM(AM626:AM632)</f>
        <v>5011.3109999999997</v>
      </c>
      <c r="AN625" s="1331"/>
      <c r="AO625" s="1332">
        <f>SUM(AO626:AO632)</f>
        <v>40090.487999999998</v>
      </c>
      <c r="AP625" s="1333"/>
      <c r="AQ625" s="1334">
        <f>SUM(AQ626:AQ632)</f>
        <v>0</v>
      </c>
      <c r="AR625" s="1335"/>
      <c r="AS625" s="1336">
        <f>SUM(AS626:AS632)</f>
        <v>0</v>
      </c>
      <c r="AT625" s="1337"/>
      <c r="AU625" s="1338">
        <f>SUM(AU626:AU632)</f>
        <v>25056.555</v>
      </c>
      <c r="AV625" s="1339"/>
      <c r="AW625" s="1340">
        <f>SUM(AW626:AW632)</f>
        <v>10022.621999999994</v>
      </c>
      <c r="AX625" s="1306"/>
      <c r="AY625" s="1307">
        <f>SUM(AW625+AS625+AU625)</f>
        <v>35079.176999999996</v>
      </c>
      <c r="AZ625" s="1341"/>
      <c r="BA625" s="1309">
        <f>SUM(AY625+AQ625)</f>
        <v>35079.176999999996</v>
      </c>
      <c r="BB625" s="1342">
        <f>(AW625+AU625)/(AK625-AM625)</f>
        <v>0.46666666666666667</v>
      </c>
      <c r="BC625" s="1343"/>
      <c r="BD625" s="1343"/>
      <c r="BE625" s="1344"/>
      <c r="BF625" s="1420" t="s">
        <v>5159</v>
      </c>
      <c r="BG625" s="1346"/>
    </row>
    <row r="626" spans="1:59" s="1378" customFormat="1" ht="76.5">
      <c r="A626" s="1347" t="str">
        <f t="shared" si="885"/>
        <v>Public Library of Science</v>
      </c>
      <c r="B626" s="1348" t="str">
        <f t="shared" si="886"/>
        <v>Woodruff-Sawyer</v>
      </c>
      <c r="C626" s="1348">
        <f t="shared" si="887"/>
        <v>171</v>
      </c>
      <c r="D626" s="1349">
        <v>43101</v>
      </c>
      <c r="E626" s="1349"/>
      <c r="F626" s="1347" t="s">
        <v>85</v>
      </c>
      <c r="G626" s="1347" t="s">
        <v>85</v>
      </c>
      <c r="H626" s="1347" t="s">
        <v>85</v>
      </c>
      <c r="I626" s="1347" t="s">
        <v>113</v>
      </c>
      <c r="J626" s="1349"/>
      <c r="K626" s="1349" t="s">
        <v>254</v>
      </c>
      <c r="L626" s="1350" t="s">
        <v>2661</v>
      </c>
      <c r="M626" s="1350" t="s">
        <v>3647</v>
      </c>
      <c r="N626" s="1351" t="s">
        <v>5160</v>
      </c>
      <c r="O626" s="1352" t="s">
        <v>5161</v>
      </c>
      <c r="P626" s="1352" t="s">
        <v>5162</v>
      </c>
      <c r="Q626" s="1353" t="s">
        <v>303</v>
      </c>
      <c r="R626" s="1353" t="s">
        <v>3656</v>
      </c>
      <c r="S626" s="1353" t="s">
        <v>307</v>
      </c>
      <c r="T626" s="1353" t="s">
        <v>113</v>
      </c>
      <c r="U626" s="1354"/>
      <c r="V626" s="1354"/>
      <c r="W626" s="1354"/>
      <c r="X626" s="1353">
        <v>43101</v>
      </c>
      <c r="Y626" s="1353">
        <v>43466</v>
      </c>
      <c r="Z626" s="1355"/>
      <c r="AA626" s="1355" t="s">
        <v>4667</v>
      </c>
      <c r="AB626" s="1356"/>
      <c r="AC626" s="1356"/>
      <c r="AD626" s="1356"/>
      <c r="AE626" s="1356"/>
      <c r="AF626" s="1357" t="str">
        <f t="shared" si="883"/>
        <v/>
      </c>
      <c r="AG626" s="1358">
        <f t="shared" si="856"/>
        <v>83521.849999999991</v>
      </c>
      <c r="AH626" s="1358">
        <v>1002262.2</v>
      </c>
      <c r="AI626" s="1359">
        <v>0.08</v>
      </c>
      <c r="AJ626" s="1360">
        <f>$AI626*$AG626</f>
        <v>6681.7479999999996</v>
      </c>
      <c r="AK626" s="1361">
        <f t="shared" ref="AK626" si="889">AI626*$AH626</f>
        <v>80180.975999999995</v>
      </c>
      <c r="AL626" s="1362">
        <v>5.0000000000000001E-3</v>
      </c>
      <c r="AM626" s="1363">
        <f t="shared" ref="AM626:AM632" si="890">AL626*$AH626</f>
        <v>5011.3109999999997</v>
      </c>
      <c r="AN626" s="1364">
        <v>0.04</v>
      </c>
      <c r="AO626" s="1365">
        <f t="shared" ref="AO626:AO632" si="891">AN626*$AH626</f>
        <v>40090.487999999998</v>
      </c>
      <c r="AP626" s="1366">
        <v>0</v>
      </c>
      <c r="AQ626" s="1367">
        <f t="shared" ref="AQ626:AQ632" si="892">AP626*$AH626</f>
        <v>0</v>
      </c>
      <c r="AR626" s="1368">
        <v>0</v>
      </c>
      <c r="AS626" s="1369">
        <f t="shared" ref="AS626:AS632" si="893">AR626*$AH626</f>
        <v>0</v>
      </c>
      <c r="AT626" s="1370">
        <v>2.5000000000000001E-2</v>
      </c>
      <c r="AU626" s="1371">
        <f t="shared" ref="AU626:AU632" si="894">AT626*$AH626</f>
        <v>25056.555</v>
      </c>
      <c r="AV626" s="1359">
        <f t="shared" ref="AV626:AV627" si="895">AZ626-AR626-AT626-AP626</f>
        <v>9.999999999999995E-3</v>
      </c>
      <c r="AW626" s="1372">
        <f t="shared" ref="AW626:AW632" si="896">AV626*$AH626</f>
        <v>10022.621999999994</v>
      </c>
      <c r="AX626" s="1373">
        <f t="shared" ref="AX626:AX632" si="897">$AZ626-$AP626</f>
        <v>3.4999999999999996E-2</v>
      </c>
      <c r="AY626" s="1374">
        <f t="shared" ref="AY626:AY632" si="898">AX626*$AH626</f>
        <v>35079.176999999996</v>
      </c>
      <c r="AZ626" s="1375">
        <f t="shared" ref="AZ626:AZ632" si="899">$AI626-$AL626-$AN626</f>
        <v>3.4999999999999996E-2</v>
      </c>
      <c r="BA626" s="1376">
        <f t="shared" ref="BA626:BA632" si="900">AZ626*$AH626</f>
        <v>35079.176999999996</v>
      </c>
      <c r="BB626" s="1377"/>
      <c r="BC626" s="1847" t="s">
        <v>1285</v>
      </c>
      <c r="BD626" s="1819" t="s">
        <v>4226</v>
      </c>
      <c r="BE626" s="1822" t="s">
        <v>5163</v>
      </c>
      <c r="BF626" s="1825" t="s">
        <v>5164</v>
      </c>
      <c r="BG626" s="1828">
        <v>680492065</v>
      </c>
    </row>
    <row r="627" spans="1:59" s="1378" customFormat="1" ht="38.25">
      <c r="A627" s="1347" t="str">
        <f t="shared" si="885"/>
        <v>Public Library of Science</v>
      </c>
      <c r="B627" s="1348" t="str">
        <f t="shared" si="886"/>
        <v>Woodruff-Sawyer</v>
      </c>
      <c r="C627" s="1348">
        <f t="shared" si="887"/>
        <v>171</v>
      </c>
      <c r="D627" s="1349">
        <v>43101</v>
      </c>
      <c r="E627" s="1349"/>
      <c r="F627" s="1347" t="s">
        <v>72</v>
      </c>
      <c r="G627" s="1347" t="s">
        <v>85</v>
      </c>
      <c r="H627" s="1347" t="s">
        <v>72</v>
      </c>
      <c r="I627" s="1347" t="s">
        <v>72</v>
      </c>
      <c r="J627" s="1349" t="s">
        <v>4670</v>
      </c>
      <c r="K627" s="1349" t="s">
        <v>254</v>
      </c>
      <c r="L627" s="1350" t="s">
        <v>4671</v>
      </c>
      <c r="M627" s="1350" t="s">
        <v>3649</v>
      </c>
      <c r="N627" s="1379" t="s">
        <v>4820</v>
      </c>
      <c r="O627" s="1352" t="s">
        <v>5165</v>
      </c>
      <c r="P627" s="1388"/>
      <c r="Q627" s="1354"/>
      <c r="R627" s="1354"/>
      <c r="S627" s="1354"/>
      <c r="T627" s="1354"/>
      <c r="U627" s="1354"/>
      <c r="V627" s="1354"/>
      <c r="W627" s="1354"/>
      <c r="X627" s="1353">
        <v>43101</v>
      </c>
      <c r="Y627" s="1353">
        <v>43466</v>
      </c>
      <c r="Z627" s="1355"/>
      <c r="AA627" s="1355" t="s">
        <v>4674</v>
      </c>
      <c r="AB627" s="1356"/>
      <c r="AC627" s="1356"/>
      <c r="AD627" s="1356"/>
      <c r="AE627" s="1356"/>
      <c r="AF627" s="1357" t="str">
        <f t="shared" si="883"/>
        <v/>
      </c>
      <c r="AG627" s="1380"/>
      <c r="AH627" s="1380"/>
      <c r="AI627" s="1381">
        <v>0</v>
      </c>
      <c r="AJ627" s="1382">
        <f>$AI627*$AG627</f>
        <v>0</v>
      </c>
      <c r="AK627" s="1383">
        <f>AI627*$AH627</f>
        <v>0</v>
      </c>
      <c r="AL627" s="1384">
        <v>0</v>
      </c>
      <c r="AM627" s="1363">
        <f t="shared" si="890"/>
        <v>0</v>
      </c>
      <c r="AN627" s="1364">
        <v>0</v>
      </c>
      <c r="AO627" s="1365">
        <f t="shared" si="891"/>
        <v>0</v>
      </c>
      <c r="AP627" s="1366">
        <v>0</v>
      </c>
      <c r="AQ627" s="1367">
        <f t="shared" si="892"/>
        <v>0</v>
      </c>
      <c r="AR627" s="1368">
        <v>0</v>
      </c>
      <c r="AS627" s="1369">
        <f t="shared" si="893"/>
        <v>0</v>
      </c>
      <c r="AT627" s="1370">
        <v>0</v>
      </c>
      <c r="AU627" s="1371">
        <f t="shared" si="894"/>
        <v>0</v>
      </c>
      <c r="AV627" s="1359">
        <f t="shared" si="895"/>
        <v>0</v>
      </c>
      <c r="AW627" s="1372">
        <f t="shared" si="896"/>
        <v>0</v>
      </c>
      <c r="AX627" s="1373">
        <f t="shared" si="897"/>
        <v>0</v>
      </c>
      <c r="AY627" s="1374">
        <f t="shared" si="898"/>
        <v>0</v>
      </c>
      <c r="AZ627" s="1375">
        <f t="shared" si="899"/>
        <v>0</v>
      </c>
      <c r="BA627" s="1376">
        <f t="shared" si="900"/>
        <v>0</v>
      </c>
      <c r="BB627" s="1377"/>
      <c r="BC627" s="1848"/>
      <c r="BD627" s="1820"/>
      <c r="BE627" s="1823"/>
      <c r="BF627" s="1826"/>
      <c r="BG627" s="1829"/>
    </row>
    <row r="628" spans="1:59" s="1378" customFormat="1" ht="63.75">
      <c r="A628" s="1347" t="str">
        <f t="shared" si="885"/>
        <v>Public Library of Science</v>
      </c>
      <c r="B628" s="1348" t="str">
        <f t="shared" si="886"/>
        <v>Woodruff-Sawyer</v>
      </c>
      <c r="C628" s="1348">
        <f t="shared" si="887"/>
        <v>171</v>
      </c>
      <c r="D628" s="1349">
        <v>43101</v>
      </c>
      <c r="E628" s="1349"/>
      <c r="F628" s="1347" t="s">
        <v>113</v>
      </c>
      <c r="G628" s="1347" t="s">
        <v>113</v>
      </c>
      <c r="H628" s="1347" t="s">
        <v>113</v>
      </c>
      <c r="I628" s="1347" t="s">
        <v>113</v>
      </c>
      <c r="J628" s="1349" t="s">
        <v>4766</v>
      </c>
      <c r="K628" s="1349" t="s">
        <v>254</v>
      </c>
      <c r="L628" s="1397" t="s">
        <v>4767</v>
      </c>
      <c r="M628" s="1397" t="s">
        <v>3647</v>
      </c>
      <c r="N628" s="1398" t="s">
        <v>4768</v>
      </c>
      <c r="O628" s="1399" t="s">
        <v>4886</v>
      </c>
      <c r="P628" s="1424"/>
      <c r="Q628" s="1400"/>
      <c r="R628" s="1400"/>
      <c r="S628" s="1400"/>
      <c r="T628" s="1400"/>
      <c r="U628" s="1480"/>
      <c r="V628" s="1400"/>
      <c r="W628" s="1400"/>
      <c r="X628" s="1400">
        <v>43101</v>
      </c>
      <c r="Y628" s="1400">
        <v>43466</v>
      </c>
      <c r="Z628" s="1401"/>
      <c r="AA628" s="1401" t="s">
        <v>4738</v>
      </c>
      <c r="AB628" s="1369"/>
      <c r="AC628" s="1369"/>
      <c r="AD628" s="1369"/>
      <c r="AE628" s="1369"/>
      <c r="AF628" s="1403" t="str">
        <f t="shared" si="883"/>
        <v/>
      </c>
      <c r="AG628" s="1404"/>
      <c r="AH628" s="1404"/>
      <c r="AI628" s="1405">
        <v>0</v>
      </c>
      <c r="AJ628" s="1406">
        <v>0</v>
      </c>
      <c r="AK628" s="1406">
        <v>0</v>
      </c>
      <c r="AL628" s="1362">
        <v>0</v>
      </c>
      <c r="AM628" s="1363">
        <f t="shared" si="890"/>
        <v>0</v>
      </c>
      <c r="AN628" s="1364">
        <f>AI628</f>
        <v>0</v>
      </c>
      <c r="AO628" s="1365">
        <f t="shared" si="891"/>
        <v>0</v>
      </c>
      <c r="AP628" s="1366">
        <v>0</v>
      </c>
      <c r="AQ628" s="1367">
        <f t="shared" si="892"/>
        <v>0</v>
      </c>
      <c r="AR628" s="1368">
        <v>0</v>
      </c>
      <c r="AS628" s="1369">
        <f t="shared" si="893"/>
        <v>0</v>
      </c>
      <c r="AT628" s="1370">
        <v>0</v>
      </c>
      <c r="AU628" s="1371">
        <f t="shared" si="894"/>
        <v>0</v>
      </c>
      <c r="AV628" s="1359">
        <v>0</v>
      </c>
      <c r="AW628" s="1372">
        <f t="shared" si="896"/>
        <v>0</v>
      </c>
      <c r="AX628" s="1373">
        <f t="shared" si="897"/>
        <v>0</v>
      </c>
      <c r="AY628" s="1374">
        <f t="shared" si="898"/>
        <v>0</v>
      </c>
      <c r="AZ628" s="1375">
        <f t="shared" si="899"/>
        <v>0</v>
      </c>
      <c r="BA628" s="1376">
        <f t="shared" si="900"/>
        <v>0</v>
      </c>
      <c r="BB628" s="1377"/>
      <c r="BC628" s="1848"/>
      <c r="BD628" s="1820"/>
      <c r="BE628" s="1823"/>
      <c r="BF628" s="1826"/>
      <c r="BG628" s="1829"/>
    </row>
    <row r="629" spans="1:59" s="1378" customFormat="1" ht="41.25" customHeight="1">
      <c r="A629" s="1347" t="str">
        <f t="shared" si="885"/>
        <v>Public Library of Science</v>
      </c>
      <c r="B629" s="1348" t="str">
        <f t="shared" si="886"/>
        <v>Woodruff-Sawyer</v>
      </c>
      <c r="C629" s="1348">
        <f t="shared" si="887"/>
        <v>171</v>
      </c>
      <c r="D629" s="1349">
        <v>43101</v>
      </c>
      <c r="E629" s="1349"/>
      <c r="F629" s="1347" t="s">
        <v>113</v>
      </c>
      <c r="G629" s="1347" t="s">
        <v>85</v>
      </c>
      <c r="H629" s="1347" t="s">
        <v>72</v>
      </c>
      <c r="I629" s="1347" t="s">
        <v>72</v>
      </c>
      <c r="J629" s="1349" t="s">
        <v>4670</v>
      </c>
      <c r="K629" s="1349" t="s">
        <v>254</v>
      </c>
      <c r="L629" s="1350" t="s">
        <v>4696</v>
      </c>
      <c r="M629" s="1350" t="s">
        <v>4697</v>
      </c>
      <c r="N629" s="1389" t="s">
        <v>4698</v>
      </c>
      <c r="O629" s="1352" t="s">
        <v>4699</v>
      </c>
      <c r="P629" s="1388"/>
      <c r="Q629" s="1354"/>
      <c r="R629" s="1354"/>
      <c r="S629" s="1354"/>
      <c r="T629" s="1354"/>
      <c r="U629" s="1354"/>
      <c r="V629" s="1354"/>
      <c r="W629" s="1354"/>
      <c r="X629" s="1353">
        <v>43101</v>
      </c>
      <c r="Y629" s="1353">
        <v>43466</v>
      </c>
      <c r="Z629" s="1355"/>
      <c r="AA629" s="1355" t="s">
        <v>4674</v>
      </c>
      <c r="AB629" s="1356"/>
      <c r="AC629" s="1356"/>
      <c r="AD629" s="1356"/>
      <c r="AE629" s="1356"/>
      <c r="AF629" s="1357" t="str">
        <f t="shared" si="883"/>
        <v/>
      </c>
      <c r="AG629" s="1380"/>
      <c r="AH629" s="1380"/>
      <c r="AI629" s="1381">
        <v>0</v>
      </c>
      <c r="AJ629" s="1382">
        <f>$AI629*$AG629</f>
        <v>0</v>
      </c>
      <c r="AK629" s="1383">
        <f t="shared" ref="AK629:AK632" si="901">AI629*$AH629</f>
        <v>0</v>
      </c>
      <c r="AL629" s="1384">
        <v>0</v>
      </c>
      <c r="AM629" s="1363">
        <f t="shared" si="890"/>
        <v>0</v>
      </c>
      <c r="AN629" s="1364">
        <v>0</v>
      </c>
      <c r="AO629" s="1365">
        <f t="shared" si="891"/>
        <v>0</v>
      </c>
      <c r="AP629" s="1366">
        <v>0</v>
      </c>
      <c r="AQ629" s="1367">
        <f t="shared" si="892"/>
        <v>0</v>
      </c>
      <c r="AR629" s="1368">
        <v>0</v>
      </c>
      <c r="AS629" s="1369">
        <f t="shared" si="893"/>
        <v>0</v>
      </c>
      <c r="AT629" s="1370">
        <v>0</v>
      </c>
      <c r="AU629" s="1371">
        <f t="shared" si="894"/>
        <v>0</v>
      </c>
      <c r="AV629" s="1359">
        <f t="shared" ref="AV629:AV632" si="902">AZ629-AR629-AT629-AP629</f>
        <v>0</v>
      </c>
      <c r="AW629" s="1372">
        <f t="shared" si="896"/>
        <v>0</v>
      </c>
      <c r="AX629" s="1373">
        <f t="shared" si="897"/>
        <v>0</v>
      </c>
      <c r="AY629" s="1374">
        <f t="shared" si="898"/>
        <v>0</v>
      </c>
      <c r="AZ629" s="1375">
        <f t="shared" si="899"/>
        <v>0</v>
      </c>
      <c r="BA629" s="1376">
        <f t="shared" si="900"/>
        <v>0</v>
      </c>
      <c r="BB629" s="1377"/>
      <c r="BC629" s="1848"/>
      <c r="BD629" s="1820"/>
      <c r="BE629" s="1823"/>
      <c r="BF629" s="1826"/>
      <c r="BG629" s="1829"/>
    </row>
    <row r="630" spans="1:59" s="1378" customFormat="1" ht="63.75">
      <c r="A630" s="1347" t="str">
        <f t="shared" si="885"/>
        <v>Public Library of Science</v>
      </c>
      <c r="B630" s="1348" t="str">
        <f t="shared" si="886"/>
        <v>Woodruff-Sawyer</v>
      </c>
      <c r="C630" s="1348">
        <f t="shared" si="887"/>
        <v>171</v>
      </c>
      <c r="D630" s="1349">
        <v>43101</v>
      </c>
      <c r="E630" s="1349"/>
      <c r="F630" s="1347" t="s">
        <v>72</v>
      </c>
      <c r="G630" s="1347" t="s">
        <v>113</v>
      </c>
      <c r="H630" s="1347" t="s">
        <v>72</v>
      </c>
      <c r="I630" s="1347" t="s">
        <v>72</v>
      </c>
      <c r="J630" s="1349" t="s">
        <v>4766</v>
      </c>
      <c r="K630" s="1349" t="s">
        <v>254</v>
      </c>
      <c r="L630" s="1397" t="s">
        <v>111</v>
      </c>
      <c r="M630" s="1397" t="s">
        <v>253</v>
      </c>
      <c r="N630" s="1412" t="s">
        <v>4771</v>
      </c>
      <c r="O630" s="1399" t="s">
        <v>5166</v>
      </c>
      <c r="P630" s="1424"/>
      <c r="Q630" s="1400"/>
      <c r="R630" s="1400"/>
      <c r="S630" s="1400"/>
      <c r="T630" s="1400"/>
      <c r="U630" s="1400"/>
      <c r="V630" s="1400"/>
      <c r="W630" s="1400"/>
      <c r="X630" s="1400">
        <v>43101</v>
      </c>
      <c r="Y630" s="1400">
        <v>43466</v>
      </c>
      <c r="Z630" s="1401"/>
      <c r="AA630" s="1401" t="s">
        <v>4674</v>
      </c>
      <c r="AB630" s="1369"/>
      <c r="AC630" s="1369"/>
      <c r="AD630" s="1369"/>
      <c r="AE630" s="1369"/>
      <c r="AF630" s="1403" t="str">
        <f t="shared" si="883"/>
        <v/>
      </c>
      <c r="AG630" s="1404"/>
      <c r="AH630" s="1404"/>
      <c r="AI630" s="1405">
        <v>0</v>
      </c>
      <c r="AJ630" s="1411">
        <f>$AI630*$AG630</f>
        <v>0</v>
      </c>
      <c r="AK630" s="1406">
        <f t="shared" si="901"/>
        <v>0</v>
      </c>
      <c r="AL630" s="1384">
        <v>0</v>
      </c>
      <c r="AM630" s="1363">
        <f t="shared" si="890"/>
        <v>0</v>
      </c>
      <c r="AN630" s="1364">
        <v>0</v>
      </c>
      <c r="AO630" s="1365">
        <f t="shared" si="891"/>
        <v>0</v>
      </c>
      <c r="AP630" s="1366">
        <v>0</v>
      </c>
      <c r="AQ630" s="1367">
        <f t="shared" si="892"/>
        <v>0</v>
      </c>
      <c r="AR630" s="1368">
        <v>0</v>
      </c>
      <c r="AS630" s="1369">
        <f t="shared" si="893"/>
        <v>0</v>
      </c>
      <c r="AT630" s="1370">
        <v>0</v>
      </c>
      <c r="AU630" s="1371">
        <f t="shared" si="894"/>
        <v>0</v>
      </c>
      <c r="AV630" s="1359">
        <f t="shared" si="902"/>
        <v>0</v>
      </c>
      <c r="AW630" s="1372">
        <f t="shared" si="896"/>
        <v>0</v>
      </c>
      <c r="AX630" s="1373">
        <f t="shared" si="897"/>
        <v>0</v>
      </c>
      <c r="AY630" s="1374">
        <f t="shared" si="898"/>
        <v>0</v>
      </c>
      <c r="AZ630" s="1375">
        <f t="shared" si="899"/>
        <v>0</v>
      </c>
      <c r="BA630" s="1376">
        <f t="shared" si="900"/>
        <v>0</v>
      </c>
      <c r="BB630" s="1377"/>
      <c r="BC630" s="1848"/>
      <c r="BD630" s="1820"/>
      <c r="BE630" s="1823"/>
      <c r="BF630" s="1826"/>
      <c r="BG630" s="1829"/>
    </row>
    <row r="631" spans="1:59" s="1378" customFormat="1" ht="63.75">
      <c r="A631" s="1347" t="str">
        <f t="shared" si="885"/>
        <v>Public Library of Science</v>
      </c>
      <c r="B631" s="1348" t="str">
        <f t="shared" si="886"/>
        <v>Woodruff-Sawyer</v>
      </c>
      <c r="C631" s="1348">
        <f t="shared" si="887"/>
        <v>171</v>
      </c>
      <c r="D631" s="1349">
        <v>43101</v>
      </c>
      <c r="E631" s="1349"/>
      <c r="F631" s="1347" t="s">
        <v>72</v>
      </c>
      <c r="G631" s="1347" t="s">
        <v>113</v>
      </c>
      <c r="H631" s="1347" t="s">
        <v>72</v>
      </c>
      <c r="I631" s="1347" t="s">
        <v>72</v>
      </c>
      <c r="J631" s="1349" t="s">
        <v>4766</v>
      </c>
      <c r="K631" s="1349" t="s">
        <v>254</v>
      </c>
      <c r="L631" s="1397" t="s">
        <v>409</v>
      </c>
      <c r="M631" s="1397" t="s">
        <v>4705</v>
      </c>
      <c r="N631" s="1412" t="s">
        <v>4773</v>
      </c>
      <c r="O631" s="1399" t="s">
        <v>5167</v>
      </c>
      <c r="P631" s="1424"/>
      <c r="Q631" s="1400"/>
      <c r="R631" s="1400"/>
      <c r="S631" s="1400"/>
      <c r="T631" s="1400"/>
      <c r="U631" s="1400"/>
      <c r="V631" s="1400"/>
      <c r="W631" s="1400"/>
      <c r="X631" s="1400">
        <v>43101</v>
      </c>
      <c r="Y631" s="1400">
        <v>43466</v>
      </c>
      <c r="Z631" s="1401"/>
      <c r="AA631" s="1401" t="s">
        <v>4674</v>
      </c>
      <c r="AB631" s="1369"/>
      <c r="AC631" s="1369"/>
      <c r="AD631" s="1369"/>
      <c r="AE631" s="1369"/>
      <c r="AF631" s="1403" t="str">
        <f t="shared" si="883"/>
        <v/>
      </c>
      <c r="AG631" s="1404"/>
      <c r="AH631" s="1404"/>
      <c r="AI631" s="1405">
        <v>0</v>
      </c>
      <c r="AJ631" s="1411">
        <f>$AI631*$AG631</f>
        <v>0</v>
      </c>
      <c r="AK631" s="1406">
        <f t="shared" si="901"/>
        <v>0</v>
      </c>
      <c r="AL631" s="1384">
        <v>0</v>
      </c>
      <c r="AM631" s="1363">
        <f t="shared" si="890"/>
        <v>0</v>
      </c>
      <c r="AN631" s="1364">
        <v>0</v>
      </c>
      <c r="AO631" s="1365">
        <f t="shared" si="891"/>
        <v>0</v>
      </c>
      <c r="AP631" s="1366">
        <v>0</v>
      </c>
      <c r="AQ631" s="1367">
        <f t="shared" si="892"/>
        <v>0</v>
      </c>
      <c r="AR631" s="1368">
        <v>0</v>
      </c>
      <c r="AS631" s="1369">
        <f t="shared" si="893"/>
        <v>0</v>
      </c>
      <c r="AT631" s="1370">
        <v>0</v>
      </c>
      <c r="AU631" s="1371">
        <f t="shared" si="894"/>
        <v>0</v>
      </c>
      <c r="AV631" s="1359">
        <f t="shared" si="902"/>
        <v>0</v>
      </c>
      <c r="AW631" s="1372">
        <f t="shared" si="896"/>
        <v>0</v>
      </c>
      <c r="AX631" s="1373">
        <f t="shared" si="897"/>
        <v>0</v>
      </c>
      <c r="AY631" s="1374">
        <f t="shared" si="898"/>
        <v>0</v>
      </c>
      <c r="AZ631" s="1375">
        <f t="shared" si="899"/>
        <v>0</v>
      </c>
      <c r="BA631" s="1376">
        <f t="shared" si="900"/>
        <v>0</v>
      </c>
      <c r="BB631" s="1391"/>
      <c r="BC631" s="1848"/>
      <c r="BD631" s="1820"/>
      <c r="BE631" s="1823"/>
      <c r="BF631" s="1826"/>
      <c r="BG631" s="1829"/>
    </row>
    <row r="632" spans="1:59" s="1378" customFormat="1" ht="38.25">
      <c r="A632" s="1347" t="str">
        <f>L625</f>
        <v>Public Library of Science</v>
      </c>
      <c r="B632" s="1348" t="str">
        <f>N625</f>
        <v>Woodruff-Sawyer</v>
      </c>
      <c r="C632" s="1348">
        <f>Z625</f>
        <v>171</v>
      </c>
      <c r="D632" s="1349">
        <v>43101</v>
      </c>
      <c r="E632" s="1349"/>
      <c r="F632" s="1347" t="s">
        <v>72</v>
      </c>
      <c r="G632" s="1347" t="s">
        <v>85</v>
      </c>
      <c r="H632" s="1347" t="s">
        <v>72</v>
      </c>
      <c r="I632" s="1347" t="s">
        <v>72</v>
      </c>
      <c r="J632" s="1349" t="s">
        <v>4670</v>
      </c>
      <c r="K632" s="1349" t="s">
        <v>254</v>
      </c>
      <c r="L632" s="1350" t="s">
        <v>3056</v>
      </c>
      <c r="M632" s="1350" t="s">
        <v>4708</v>
      </c>
      <c r="N632" s="1390" t="s">
        <v>4709</v>
      </c>
      <c r="O632" s="1352" t="s">
        <v>4710</v>
      </c>
      <c r="P632" s="1388"/>
      <c r="Q632" s="1354"/>
      <c r="R632" s="1354"/>
      <c r="S632" s="1354"/>
      <c r="T632" s="1354"/>
      <c r="U632" s="1354"/>
      <c r="V632" s="1354"/>
      <c r="W632" s="1354"/>
      <c r="X632" s="1353">
        <v>43101</v>
      </c>
      <c r="Y632" s="1353">
        <v>43466</v>
      </c>
      <c r="Z632" s="1355"/>
      <c r="AA632" s="1355" t="s">
        <v>4674</v>
      </c>
      <c r="AB632" s="1356"/>
      <c r="AC632" s="1356"/>
      <c r="AD632" s="1356"/>
      <c r="AE632" s="1356"/>
      <c r="AF632" s="1357" t="str">
        <f t="shared" si="883"/>
        <v/>
      </c>
      <c r="AG632" s="1380"/>
      <c r="AH632" s="1380"/>
      <c r="AI632" s="1381">
        <v>0</v>
      </c>
      <c r="AJ632" s="1382">
        <f>$AI632*$AG632</f>
        <v>0</v>
      </c>
      <c r="AK632" s="1383">
        <f t="shared" si="901"/>
        <v>0</v>
      </c>
      <c r="AL632" s="1384">
        <v>0</v>
      </c>
      <c r="AM632" s="1363">
        <f t="shared" si="890"/>
        <v>0</v>
      </c>
      <c r="AN632" s="1364">
        <v>0</v>
      </c>
      <c r="AO632" s="1365">
        <f t="shared" si="891"/>
        <v>0</v>
      </c>
      <c r="AP632" s="1366">
        <v>0</v>
      </c>
      <c r="AQ632" s="1367">
        <f t="shared" si="892"/>
        <v>0</v>
      </c>
      <c r="AR632" s="1368">
        <v>0</v>
      </c>
      <c r="AS632" s="1369">
        <f t="shared" si="893"/>
        <v>0</v>
      </c>
      <c r="AT632" s="1370">
        <v>0</v>
      </c>
      <c r="AU632" s="1371">
        <f t="shared" si="894"/>
        <v>0</v>
      </c>
      <c r="AV632" s="1359">
        <f t="shared" si="902"/>
        <v>0</v>
      </c>
      <c r="AW632" s="1372">
        <f t="shared" si="896"/>
        <v>0</v>
      </c>
      <c r="AX632" s="1373">
        <f t="shared" si="897"/>
        <v>0</v>
      </c>
      <c r="AY632" s="1374">
        <f t="shared" si="898"/>
        <v>0</v>
      </c>
      <c r="AZ632" s="1375">
        <f t="shared" si="899"/>
        <v>0</v>
      </c>
      <c r="BA632" s="1376">
        <f t="shared" si="900"/>
        <v>0</v>
      </c>
      <c r="BB632" s="1391"/>
      <c r="BC632" s="1849"/>
      <c r="BD632" s="1821"/>
      <c r="BE632" s="1824"/>
      <c r="BF632" s="1827"/>
      <c r="BG632" s="1830"/>
    </row>
    <row r="633" spans="1:59" s="1315" customFormat="1" ht="57" customHeight="1">
      <c r="A633" s="1277" t="str">
        <f t="shared" ref="A633:A644" si="903">L$633</f>
        <v>Primmune Therapeutics, Inc.</v>
      </c>
      <c r="B633" s="1316" t="str">
        <f t="shared" ref="B633:B644" si="904">N$633</f>
        <v>HUB SD</v>
      </c>
      <c r="C633" s="1316">
        <f t="shared" ref="C633:C644" si="905">Z$633</f>
        <v>2</v>
      </c>
      <c r="D633" s="1317">
        <v>43101</v>
      </c>
      <c r="E633" s="1317"/>
      <c r="F633" s="1277" t="s">
        <v>72</v>
      </c>
      <c r="G633" s="1277" t="s">
        <v>72</v>
      </c>
      <c r="H633" s="1277" t="s">
        <v>72</v>
      </c>
      <c r="I633" s="1277" t="s">
        <v>4711</v>
      </c>
      <c r="J633" s="1317"/>
      <c r="K633" s="1317"/>
      <c r="L633" s="1318" t="s">
        <v>1293</v>
      </c>
      <c r="M633" s="1318"/>
      <c r="N633" s="1320" t="s">
        <v>4661</v>
      </c>
      <c r="O633" s="1321" t="s">
        <v>2473</v>
      </c>
      <c r="P633" s="1321"/>
      <c r="Q633" s="1322"/>
      <c r="R633" s="1322"/>
      <c r="S633" s="1322"/>
      <c r="T633" s="1322"/>
      <c r="U633" s="1322"/>
      <c r="V633" s="1322"/>
      <c r="W633" s="1322"/>
      <c r="X633" s="1317">
        <v>43101</v>
      </c>
      <c r="Y633" s="1317">
        <v>43466</v>
      </c>
      <c r="Z633" s="1316">
        <v>2</v>
      </c>
      <c r="AA633" s="1316" t="s">
        <v>5168</v>
      </c>
      <c r="AB633" s="1323">
        <f>SUM(AB634:AB644)</f>
        <v>0</v>
      </c>
      <c r="AC633" s="1323">
        <f>SUM(AC634:AC644)</f>
        <v>0</v>
      </c>
      <c r="AD633" s="1323">
        <f>SUM(AD634:AD644)</f>
        <v>0</v>
      </c>
      <c r="AE633" s="1324">
        <f t="shared" si="888"/>
        <v>0</v>
      </c>
      <c r="AF633" s="1325" t="str">
        <f t="shared" si="883"/>
        <v/>
      </c>
      <c r="AG633" s="1326">
        <f t="shared" si="856"/>
        <v>3189.6666666666665</v>
      </c>
      <c r="AH633" s="1326">
        <f>SUM(AH634:AH644)</f>
        <v>38276</v>
      </c>
      <c r="AI633" s="1339" t="s">
        <v>4984</v>
      </c>
      <c r="AJ633" s="1328">
        <f>SUM(AJ634:AJ644)</f>
        <v>277.62809999999996</v>
      </c>
      <c r="AK633" s="1328">
        <f>SUM(AK634:AK644)</f>
        <v>3331.5371999999998</v>
      </c>
      <c r="AL633" s="1329"/>
      <c r="AM633" s="1330">
        <f>SUM(AM634:AM644)</f>
        <v>155.93520000000001</v>
      </c>
      <c r="AN633" s="1331"/>
      <c r="AO633" s="1332">
        <f>SUM(AO634:AO644)</f>
        <v>0</v>
      </c>
      <c r="AP633" s="1333"/>
      <c r="AQ633" s="1334">
        <f>SUM(AQ634:AQ644)</f>
        <v>0</v>
      </c>
      <c r="AR633" s="1335"/>
      <c r="AS633" s="1336">
        <f>SUM(AS634:AS644)</f>
        <v>0</v>
      </c>
      <c r="AT633" s="1337"/>
      <c r="AU633" s="1338">
        <f>SUM(AU634:AU644)</f>
        <v>3175.6019999999999</v>
      </c>
      <c r="AV633" s="1339"/>
      <c r="AW633" s="1340">
        <f>SUM(AW634:AW644)</f>
        <v>0</v>
      </c>
      <c r="AX633" s="1306"/>
      <c r="AY633" s="1307">
        <f>SUM(AW633+AS633+AU633)</f>
        <v>3175.6019999999999</v>
      </c>
      <c r="AZ633" s="1341"/>
      <c r="BA633" s="1309">
        <f>SUM(AY633+AQ633)</f>
        <v>3175.6019999999999</v>
      </c>
      <c r="BB633" s="1342">
        <f>(AW633+AU633)/(AK633-AM633)</f>
        <v>1</v>
      </c>
      <c r="BC633" s="1343"/>
      <c r="BD633" s="1343"/>
      <c r="BE633" s="1344"/>
      <c r="BF633" s="1345" t="s">
        <v>4859</v>
      </c>
      <c r="BG633" s="1346"/>
    </row>
    <row r="634" spans="1:59" s="1378" customFormat="1" ht="38.25">
      <c r="A634" s="1347" t="str">
        <f t="shared" si="903"/>
        <v>Primmune Therapeutics, Inc.</v>
      </c>
      <c r="B634" s="1348" t="str">
        <f t="shared" si="904"/>
        <v>HUB SD</v>
      </c>
      <c r="C634" s="1348">
        <f t="shared" si="905"/>
        <v>2</v>
      </c>
      <c r="D634" s="1349">
        <v>43101</v>
      </c>
      <c r="E634" s="1349"/>
      <c r="F634" s="1347" t="s">
        <v>85</v>
      </c>
      <c r="G634" s="1347" t="s">
        <v>85</v>
      </c>
      <c r="H634" s="1347" t="s">
        <v>85</v>
      </c>
      <c r="I634" s="1347" t="s">
        <v>113</v>
      </c>
      <c r="J634" s="1349"/>
      <c r="K634" s="1349" t="s">
        <v>254</v>
      </c>
      <c r="L634" s="1350" t="s">
        <v>2661</v>
      </c>
      <c r="M634" s="1350" t="s">
        <v>3647</v>
      </c>
      <c r="N634" s="1351" t="s">
        <v>5169</v>
      </c>
      <c r="O634" s="1352" t="s">
        <v>5012</v>
      </c>
      <c r="P634" s="1352" t="s">
        <v>5013</v>
      </c>
      <c r="Q634" s="1353" t="s">
        <v>317</v>
      </c>
      <c r="R634" s="1353" t="s">
        <v>3658</v>
      </c>
      <c r="S634" s="1353" t="s">
        <v>307</v>
      </c>
      <c r="T634" s="1353" t="s">
        <v>113</v>
      </c>
      <c r="U634" s="1354"/>
      <c r="V634" s="1354"/>
      <c r="W634" s="1354"/>
      <c r="X634" s="1353">
        <v>43101</v>
      </c>
      <c r="Y634" s="1353">
        <v>43466</v>
      </c>
      <c r="Z634" s="1355"/>
      <c r="AA634" s="1355" t="s">
        <v>4988</v>
      </c>
      <c r="AB634" s="1356"/>
      <c r="AC634" s="1356"/>
      <c r="AD634" s="1356"/>
      <c r="AE634" s="1356"/>
      <c r="AF634" s="1357" t="str">
        <f t="shared" si="883"/>
        <v/>
      </c>
      <c r="AG634" s="1358">
        <f t="shared" si="856"/>
        <v>2598.92</v>
      </c>
      <c r="AH634" s="1358">
        <v>31187.040000000001</v>
      </c>
      <c r="AI634" s="1359">
        <v>0.08</v>
      </c>
      <c r="AJ634" s="1360">
        <f t="shared" ref="AJ634:AJ644" si="906">$AI634*$AG634</f>
        <v>207.9136</v>
      </c>
      <c r="AK634" s="1361">
        <f t="shared" ref="AK634" si="907">AI634*$AH634</f>
        <v>2494.9632000000001</v>
      </c>
      <c r="AL634" s="1362">
        <v>5.0000000000000001E-3</v>
      </c>
      <c r="AM634" s="1363">
        <f t="shared" ref="AM634:AM644" si="908">AL634*$AH634</f>
        <v>155.93520000000001</v>
      </c>
      <c r="AN634" s="1364">
        <v>0</v>
      </c>
      <c r="AO634" s="1365">
        <f t="shared" ref="AO634:AO644" si="909">AN634*$AH634</f>
        <v>0</v>
      </c>
      <c r="AP634" s="1366">
        <v>0</v>
      </c>
      <c r="AQ634" s="1367">
        <f t="shared" ref="AQ634:AQ644" si="910">AP634*$AH634</f>
        <v>0</v>
      </c>
      <c r="AR634" s="1368">
        <v>0</v>
      </c>
      <c r="AS634" s="1369">
        <f t="shared" ref="AS634:AS644" si="911">AR634*$AH634</f>
        <v>0</v>
      </c>
      <c r="AT634" s="1370">
        <v>7.4999999999999997E-2</v>
      </c>
      <c r="AU634" s="1371">
        <f t="shared" ref="AU634:AU644" si="912">AT634*$AH634</f>
        <v>2339.0279999999998</v>
      </c>
      <c r="AV634" s="1359">
        <f t="shared" ref="AV634:AV644" si="913">AZ634-AR634-AT634-AP634</f>
        <v>0</v>
      </c>
      <c r="AW634" s="1372">
        <f t="shared" ref="AW634:AW644" si="914">AV634*$AH634</f>
        <v>0</v>
      </c>
      <c r="AX634" s="1373">
        <f t="shared" ref="AX634:AX644" si="915">$AZ634-$AP634</f>
        <v>7.4999999999999997E-2</v>
      </c>
      <c r="AY634" s="1374">
        <f t="shared" ref="AY634:AY644" si="916">AX634*$AH634</f>
        <v>2339.0279999999998</v>
      </c>
      <c r="AZ634" s="1375">
        <f t="shared" ref="AZ634:AZ644" si="917">$AI634-$AL634-$AN634</f>
        <v>7.4999999999999997E-2</v>
      </c>
      <c r="BA634" s="1376">
        <f t="shared" ref="BA634:BA644" si="918">AZ634*$AH634</f>
        <v>2339.0279999999998</v>
      </c>
      <c r="BB634" s="1391"/>
      <c r="BC634" s="1819" t="s">
        <v>1295</v>
      </c>
      <c r="BD634" s="1819" t="s">
        <v>1294</v>
      </c>
      <c r="BE634" s="1822" t="s">
        <v>1294</v>
      </c>
      <c r="BF634" s="1834" t="s">
        <v>1322</v>
      </c>
      <c r="BG634" s="1828">
        <v>823006157</v>
      </c>
    </row>
    <row r="635" spans="1:59" s="1378" customFormat="1" ht="38.25">
      <c r="A635" s="1347" t="str">
        <f t="shared" si="903"/>
        <v>Primmune Therapeutics, Inc.</v>
      </c>
      <c r="B635" s="1348" t="str">
        <f t="shared" si="904"/>
        <v>HUB SD</v>
      </c>
      <c r="C635" s="1348">
        <f t="shared" si="905"/>
        <v>2</v>
      </c>
      <c r="D635" s="1349">
        <v>43101</v>
      </c>
      <c r="E635" s="1349"/>
      <c r="F635" s="1347" t="s">
        <v>72</v>
      </c>
      <c r="G635" s="1347" t="s">
        <v>85</v>
      </c>
      <c r="H635" s="1347" t="s">
        <v>72</v>
      </c>
      <c r="I635" s="1347" t="s">
        <v>72</v>
      </c>
      <c r="J635" s="1349" t="s">
        <v>4670</v>
      </c>
      <c r="K635" s="1349" t="s">
        <v>254</v>
      </c>
      <c r="L635" s="1350" t="s">
        <v>4671</v>
      </c>
      <c r="M635" s="1350" t="s">
        <v>3649</v>
      </c>
      <c r="N635" s="1379" t="s">
        <v>5170</v>
      </c>
      <c r="O635" s="1352" t="s">
        <v>5171</v>
      </c>
      <c r="P635" s="1388"/>
      <c r="Q635" s="1354"/>
      <c r="R635" s="1354"/>
      <c r="S635" s="1354"/>
      <c r="T635" s="1354"/>
      <c r="U635" s="1354"/>
      <c r="V635" s="1354"/>
      <c r="W635" s="1354"/>
      <c r="X635" s="1353">
        <v>43101</v>
      </c>
      <c r="Y635" s="1353">
        <v>43466</v>
      </c>
      <c r="Z635" s="1355"/>
      <c r="AA635" s="1355" t="s">
        <v>4674</v>
      </c>
      <c r="AB635" s="1356"/>
      <c r="AC635" s="1356"/>
      <c r="AD635" s="1356"/>
      <c r="AE635" s="1356"/>
      <c r="AF635" s="1357" t="str">
        <f t="shared" si="883"/>
        <v/>
      </c>
      <c r="AG635" s="1380"/>
      <c r="AH635" s="1380"/>
      <c r="AI635" s="1381">
        <v>0</v>
      </c>
      <c r="AJ635" s="1382">
        <f t="shared" si="906"/>
        <v>0</v>
      </c>
      <c r="AK635" s="1383">
        <f>AI635*$AH635</f>
        <v>0</v>
      </c>
      <c r="AL635" s="1384">
        <v>0</v>
      </c>
      <c r="AM635" s="1363">
        <f t="shared" si="908"/>
        <v>0</v>
      </c>
      <c r="AN635" s="1364">
        <v>0</v>
      </c>
      <c r="AO635" s="1365">
        <f t="shared" si="909"/>
        <v>0</v>
      </c>
      <c r="AP635" s="1366">
        <v>0</v>
      </c>
      <c r="AQ635" s="1367">
        <f t="shared" si="910"/>
        <v>0</v>
      </c>
      <c r="AR635" s="1368">
        <v>0</v>
      </c>
      <c r="AS635" s="1369">
        <f t="shared" si="911"/>
        <v>0</v>
      </c>
      <c r="AT635" s="1370">
        <v>0</v>
      </c>
      <c r="AU635" s="1371">
        <f t="shared" si="912"/>
        <v>0</v>
      </c>
      <c r="AV635" s="1359">
        <f t="shared" si="913"/>
        <v>0</v>
      </c>
      <c r="AW635" s="1372">
        <f t="shared" si="914"/>
        <v>0</v>
      </c>
      <c r="AX635" s="1373">
        <f t="shared" si="915"/>
        <v>0</v>
      </c>
      <c r="AY635" s="1374">
        <f t="shared" si="916"/>
        <v>0</v>
      </c>
      <c r="AZ635" s="1375">
        <f t="shared" si="917"/>
        <v>0</v>
      </c>
      <c r="BA635" s="1376">
        <f t="shared" si="918"/>
        <v>0</v>
      </c>
      <c r="BB635" s="1391"/>
      <c r="BC635" s="1820"/>
      <c r="BD635" s="1820"/>
      <c r="BE635" s="1823"/>
      <c r="BF635" s="1834"/>
      <c r="BG635" s="1829"/>
    </row>
    <row r="636" spans="1:59" s="1378" customFormat="1" ht="38.25">
      <c r="A636" s="1347" t="str">
        <f t="shared" si="903"/>
        <v>Primmune Therapeutics, Inc.</v>
      </c>
      <c r="B636" s="1348" t="str">
        <f t="shared" si="904"/>
        <v>HUB SD</v>
      </c>
      <c r="C636" s="1348">
        <f t="shared" si="905"/>
        <v>2</v>
      </c>
      <c r="D636" s="1349">
        <v>43101</v>
      </c>
      <c r="E636" s="1349"/>
      <c r="F636" s="1347" t="s">
        <v>113</v>
      </c>
      <c r="G636" s="1347" t="s">
        <v>85</v>
      </c>
      <c r="H636" s="1347" t="s">
        <v>85</v>
      </c>
      <c r="I636" s="1347" t="s">
        <v>113</v>
      </c>
      <c r="J636" s="1349"/>
      <c r="K636" s="1349" t="s">
        <v>254</v>
      </c>
      <c r="L636" s="1350" t="s">
        <v>4675</v>
      </c>
      <c r="M636" s="1350" t="s">
        <v>3650</v>
      </c>
      <c r="N636" s="1385" t="s">
        <v>5172</v>
      </c>
      <c r="O636" s="1352" t="s">
        <v>4677</v>
      </c>
      <c r="P636" s="1388"/>
      <c r="Q636" s="1354"/>
      <c r="R636" s="1354"/>
      <c r="S636" s="1354"/>
      <c r="T636" s="1354"/>
      <c r="U636" s="1353" t="s">
        <v>4678</v>
      </c>
      <c r="V636" s="1353" t="s">
        <v>2495</v>
      </c>
      <c r="W636" s="1354"/>
      <c r="X636" s="1353">
        <v>43101</v>
      </c>
      <c r="Y636" s="1353">
        <v>43466</v>
      </c>
      <c r="Z636" s="1355"/>
      <c r="AA636" s="1355" t="s">
        <v>5173</v>
      </c>
      <c r="AB636" s="1356"/>
      <c r="AC636" s="1356"/>
      <c r="AD636" s="1356"/>
      <c r="AE636" s="1356"/>
      <c r="AF636" s="1357" t="str">
        <f t="shared" si="883"/>
        <v/>
      </c>
      <c r="AG636" s="1358">
        <f t="shared" si="856"/>
        <v>331.7</v>
      </c>
      <c r="AH636" s="1358">
        <v>3980.4</v>
      </c>
      <c r="AI636" s="1359">
        <v>0.1</v>
      </c>
      <c r="AJ636" s="1360">
        <f t="shared" si="906"/>
        <v>33.17</v>
      </c>
      <c r="AK636" s="1361">
        <f t="shared" ref="AK636:AK644" si="919">AI636*$AH636</f>
        <v>398.04</v>
      </c>
      <c r="AL636" s="1384">
        <v>0</v>
      </c>
      <c r="AM636" s="1363">
        <f t="shared" si="908"/>
        <v>0</v>
      </c>
      <c r="AN636" s="1364">
        <v>0</v>
      </c>
      <c r="AO636" s="1365">
        <f t="shared" si="909"/>
        <v>0</v>
      </c>
      <c r="AP636" s="1366">
        <v>0</v>
      </c>
      <c r="AQ636" s="1367">
        <f t="shared" si="910"/>
        <v>0</v>
      </c>
      <c r="AR636" s="1368">
        <v>0</v>
      </c>
      <c r="AS636" s="1369">
        <f t="shared" si="911"/>
        <v>0</v>
      </c>
      <c r="AT636" s="1370">
        <v>0.1</v>
      </c>
      <c r="AU636" s="1371">
        <f t="shared" si="912"/>
        <v>398.04</v>
      </c>
      <c r="AV636" s="1359">
        <f t="shared" si="913"/>
        <v>0</v>
      </c>
      <c r="AW636" s="1372">
        <f t="shared" si="914"/>
        <v>0</v>
      </c>
      <c r="AX636" s="1373">
        <f t="shared" si="915"/>
        <v>0.1</v>
      </c>
      <c r="AY636" s="1374">
        <f t="shared" si="916"/>
        <v>398.04</v>
      </c>
      <c r="AZ636" s="1375">
        <f t="shared" si="917"/>
        <v>0.1</v>
      </c>
      <c r="BA636" s="1376">
        <f t="shared" si="918"/>
        <v>398.04</v>
      </c>
      <c r="BB636" s="1391"/>
      <c r="BC636" s="1820"/>
      <c r="BD636" s="1820"/>
      <c r="BE636" s="1823"/>
      <c r="BF636" s="1834"/>
      <c r="BG636" s="1829"/>
    </row>
    <row r="637" spans="1:59" s="1378" customFormat="1" ht="38.25">
      <c r="A637" s="1347" t="str">
        <f t="shared" si="903"/>
        <v>Primmune Therapeutics, Inc.</v>
      </c>
      <c r="B637" s="1348" t="str">
        <f t="shared" si="904"/>
        <v>HUB SD</v>
      </c>
      <c r="C637" s="1348">
        <f t="shared" si="905"/>
        <v>2</v>
      </c>
      <c r="D637" s="1349">
        <v>43101</v>
      </c>
      <c r="E637" s="1349"/>
      <c r="F637" s="1347" t="s">
        <v>113</v>
      </c>
      <c r="G637" s="1347" t="s">
        <v>85</v>
      </c>
      <c r="H637" s="1347" t="s">
        <v>85</v>
      </c>
      <c r="I637" s="1347" t="s">
        <v>113</v>
      </c>
      <c r="J637" s="1349"/>
      <c r="K637" s="1349" t="s">
        <v>254</v>
      </c>
      <c r="L637" s="1350" t="s">
        <v>4675</v>
      </c>
      <c r="M637" s="1350" t="s">
        <v>3651</v>
      </c>
      <c r="N637" s="1351" t="s">
        <v>4834</v>
      </c>
      <c r="O637" s="1352" t="s">
        <v>4681</v>
      </c>
      <c r="P637" s="1388"/>
      <c r="Q637" s="1354"/>
      <c r="R637" s="1354"/>
      <c r="S637" s="1354"/>
      <c r="T637" s="1354"/>
      <c r="U637" s="1354"/>
      <c r="V637" s="1354"/>
      <c r="W637" s="1353" t="s">
        <v>2492</v>
      </c>
      <c r="X637" s="1353">
        <v>43101</v>
      </c>
      <c r="Y637" s="1353">
        <v>43466</v>
      </c>
      <c r="Z637" s="1355"/>
      <c r="AA637" s="1355" t="s">
        <v>5173</v>
      </c>
      <c r="AB637" s="1356"/>
      <c r="AC637" s="1356"/>
      <c r="AD637" s="1356"/>
      <c r="AE637" s="1356"/>
      <c r="AF637" s="1357" t="str">
        <f t="shared" si="883"/>
        <v/>
      </c>
      <c r="AG637" s="1358">
        <f t="shared" si="856"/>
        <v>46.25</v>
      </c>
      <c r="AH637" s="1358">
        <v>555</v>
      </c>
      <c r="AI637" s="1359">
        <v>0.1</v>
      </c>
      <c r="AJ637" s="1360">
        <f t="shared" si="906"/>
        <v>4.625</v>
      </c>
      <c r="AK637" s="1361">
        <f t="shared" si="919"/>
        <v>55.5</v>
      </c>
      <c r="AL637" s="1384">
        <v>0</v>
      </c>
      <c r="AM637" s="1363">
        <f t="shared" si="908"/>
        <v>0</v>
      </c>
      <c r="AN637" s="1364">
        <v>0</v>
      </c>
      <c r="AO637" s="1365">
        <f t="shared" si="909"/>
        <v>0</v>
      </c>
      <c r="AP637" s="1366">
        <v>0</v>
      </c>
      <c r="AQ637" s="1367">
        <f t="shared" si="910"/>
        <v>0</v>
      </c>
      <c r="AR637" s="1368">
        <v>0</v>
      </c>
      <c r="AS637" s="1369">
        <f t="shared" si="911"/>
        <v>0</v>
      </c>
      <c r="AT637" s="1370">
        <v>0.1</v>
      </c>
      <c r="AU637" s="1371">
        <f t="shared" si="912"/>
        <v>55.5</v>
      </c>
      <c r="AV637" s="1359">
        <f t="shared" si="913"/>
        <v>0</v>
      </c>
      <c r="AW637" s="1372">
        <f t="shared" si="914"/>
        <v>0</v>
      </c>
      <c r="AX637" s="1373">
        <f t="shared" si="915"/>
        <v>0.1</v>
      </c>
      <c r="AY637" s="1374">
        <f t="shared" si="916"/>
        <v>55.5</v>
      </c>
      <c r="AZ637" s="1375">
        <f t="shared" si="917"/>
        <v>0.1</v>
      </c>
      <c r="BA637" s="1376">
        <f t="shared" si="918"/>
        <v>55.5</v>
      </c>
      <c r="BB637" s="1391"/>
      <c r="BC637" s="1820"/>
      <c r="BD637" s="1820"/>
      <c r="BE637" s="1823"/>
      <c r="BF637" s="1834"/>
      <c r="BG637" s="1829"/>
    </row>
    <row r="638" spans="1:59" s="1378" customFormat="1" ht="38.25">
      <c r="A638" s="1347" t="str">
        <f t="shared" si="903"/>
        <v>Primmune Therapeutics, Inc.</v>
      </c>
      <c r="B638" s="1348" t="str">
        <f t="shared" si="904"/>
        <v>HUB SD</v>
      </c>
      <c r="C638" s="1348">
        <f t="shared" si="905"/>
        <v>2</v>
      </c>
      <c r="D638" s="1349">
        <v>43101</v>
      </c>
      <c r="E638" s="1349"/>
      <c r="F638" s="1347" t="s">
        <v>113</v>
      </c>
      <c r="G638" s="1347" t="s">
        <v>85</v>
      </c>
      <c r="H638" s="1347" t="s">
        <v>85</v>
      </c>
      <c r="I638" s="1347" t="s">
        <v>113</v>
      </c>
      <c r="J638" s="1349"/>
      <c r="K638" s="1349" t="s">
        <v>254</v>
      </c>
      <c r="L638" s="1350" t="s">
        <v>4682</v>
      </c>
      <c r="M638" s="1350" t="s">
        <v>4683</v>
      </c>
      <c r="N638" s="1386" t="s">
        <v>57</v>
      </c>
      <c r="O638" s="1352" t="s">
        <v>4684</v>
      </c>
      <c r="P638" s="1421"/>
      <c r="Q638" s="1354"/>
      <c r="R638" s="1354"/>
      <c r="S638" s="1354"/>
      <c r="T638" s="1354"/>
      <c r="U638" s="1354"/>
      <c r="V638" s="1354"/>
      <c r="W638" s="1354"/>
      <c r="X638" s="1353">
        <v>43101</v>
      </c>
      <c r="Y638" s="1353">
        <v>43466</v>
      </c>
      <c r="Z638" s="1355"/>
      <c r="AA638" s="1355" t="s">
        <v>5174</v>
      </c>
      <c r="AB638" s="1356"/>
      <c r="AC638" s="1356"/>
      <c r="AD638" s="1356"/>
      <c r="AE638" s="1356"/>
      <c r="AF638" s="1357" t="str">
        <f t="shared" si="883"/>
        <v/>
      </c>
      <c r="AG638" s="1358">
        <f t="shared" si="856"/>
        <v>79.92</v>
      </c>
      <c r="AH638" s="1358">
        <v>959.04</v>
      </c>
      <c r="AI638" s="1359">
        <v>0.15</v>
      </c>
      <c r="AJ638" s="1360">
        <f t="shared" si="906"/>
        <v>11.988</v>
      </c>
      <c r="AK638" s="1361">
        <f t="shared" si="919"/>
        <v>143.85599999999999</v>
      </c>
      <c r="AL638" s="1384">
        <v>0</v>
      </c>
      <c r="AM638" s="1363">
        <f t="shared" si="908"/>
        <v>0</v>
      </c>
      <c r="AN638" s="1364">
        <v>0</v>
      </c>
      <c r="AO638" s="1365">
        <f t="shared" si="909"/>
        <v>0</v>
      </c>
      <c r="AP638" s="1366">
        <v>0</v>
      </c>
      <c r="AQ638" s="1367">
        <f t="shared" si="910"/>
        <v>0</v>
      </c>
      <c r="AR638" s="1368">
        <v>0</v>
      </c>
      <c r="AS638" s="1369">
        <f t="shared" si="911"/>
        <v>0</v>
      </c>
      <c r="AT638" s="1370">
        <v>0.15</v>
      </c>
      <c r="AU638" s="1371">
        <f t="shared" si="912"/>
        <v>143.85599999999999</v>
      </c>
      <c r="AV638" s="1359">
        <f t="shared" si="913"/>
        <v>0</v>
      </c>
      <c r="AW638" s="1372">
        <f t="shared" si="914"/>
        <v>0</v>
      </c>
      <c r="AX638" s="1373">
        <f t="shared" si="915"/>
        <v>0.15</v>
      </c>
      <c r="AY638" s="1374">
        <f t="shared" si="916"/>
        <v>143.85599999999999</v>
      </c>
      <c r="AZ638" s="1375">
        <f t="shared" si="917"/>
        <v>0.15</v>
      </c>
      <c r="BA638" s="1376">
        <f t="shared" si="918"/>
        <v>143.85599999999999</v>
      </c>
      <c r="BB638" s="1391"/>
      <c r="BC638" s="1820"/>
      <c r="BD638" s="1820"/>
      <c r="BE638" s="1823"/>
      <c r="BF638" s="1834"/>
      <c r="BG638" s="1829"/>
    </row>
    <row r="639" spans="1:59" s="1378" customFormat="1" ht="38.25">
      <c r="A639" s="1347" t="str">
        <f t="shared" si="903"/>
        <v>Primmune Therapeutics, Inc.</v>
      </c>
      <c r="B639" s="1348" t="str">
        <f t="shared" si="904"/>
        <v>HUB SD</v>
      </c>
      <c r="C639" s="1348">
        <f t="shared" si="905"/>
        <v>2</v>
      </c>
      <c r="D639" s="1349">
        <v>43101</v>
      </c>
      <c r="E639" s="1349"/>
      <c r="F639" s="1347" t="s">
        <v>113</v>
      </c>
      <c r="G639" s="1347" t="s">
        <v>85</v>
      </c>
      <c r="H639" s="1347" t="s">
        <v>85</v>
      </c>
      <c r="I639" s="1347" t="s">
        <v>113</v>
      </c>
      <c r="J639" s="1349"/>
      <c r="K639" s="1349" t="s">
        <v>254</v>
      </c>
      <c r="L639" s="1350" t="s">
        <v>4682</v>
      </c>
      <c r="M639" s="1350" t="s">
        <v>62</v>
      </c>
      <c r="N639" s="1351" t="s">
        <v>266</v>
      </c>
      <c r="O639" s="1352" t="s">
        <v>4688</v>
      </c>
      <c r="P639" s="1388"/>
      <c r="Q639" s="1354"/>
      <c r="R639" s="1354"/>
      <c r="S639" s="1354"/>
      <c r="T639" s="1354"/>
      <c r="U639" s="1354"/>
      <c r="V639" s="1354"/>
      <c r="W639" s="1354"/>
      <c r="X639" s="1353">
        <v>43101</v>
      </c>
      <c r="Y639" s="1353">
        <v>43466</v>
      </c>
      <c r="Z639" s="1355"/>
      <c r="AA639" s="1355" t="s">
        <v>5174</v>
      </c>
      <c r="AB639" s="1356"/>
      <c r="AC639" s="1356"/>
      <c r="AD639" s="1356"/>
      <c r="AE639" s="1356"/>
      <c r="AF639" s="1357" t="str">
        <f t="shared" si="883"/>
        <v/>
      </c>
      <c r="AG639" s="1358">
        <f t="shared" si="856"/>
        <v>39.876666666666665</v>
      </c>
      <c r="AH639" s="1358">
        <v>478.52</v>
      </c>
      <c r="AI639" s="1359">
        <v>0.15</v>
      </c>
      <c r="AJ639" s="1360">
        <f t="shared" si="906"/>
        <v>5.9814999999999996</v>
      </c>
      <c r="AK639" s="1361">
        <f t="shared" si="919"/>
        <v>71.777999999999992</v>
      </c>
      <c r="AL639" s="1384">
        <v>0</v>
      </c>
      <c r="AM639" s="1363">
        <f t="shared" si="908"/>
        <v>0</v>
      </c>
      <c r="AN639" s="1364">
        <v>0</v>
      </c>
      <c r="AO639" s="1365">
        <f t="shared" si="909"/>
        <v>0</v>
      </c>
      <c r="AP639" s="1366">
        <v>0</v>
      </c>
      <c r="AQ639" s="1367">
        <f t="shared" si="910"/>
        <v>0</v>
      </c>
      <c r="AR639" s="1368">
        <v>0</v>
      </c>
      <c r="AS639" s="1369">
        <f t="shared" si="911"/>
        <v>0</v>
      </c>
      <c r="AT639" s="1370">
        <v>0.15</v>
      </c>
      <c r="AU639" s="1371">
        <f t="shared" si="912"/>
        <v>71.777999999999992</v>
      </c>
      <c r="AV639" s="1359">
        <f t="shared" si="913"/>
        <v>0</v>
      </c>
      <c r="AW639" s="1372">
        <f t="shared" si="914"/>
        <v>0</v>
      </c>
      <c r="AX639" s="1373">
        <f t="shared" si="915"/>
        <v>0.15</v>
      </c>
      <c r="AY639" s="1374">
        <f t="shared" si="916"/>
        <v>71.777999999999992</v>
      </c>
      <c r="AZ639" s="1375">
        <f t="shared" si="917"/>
        <v>0.15</v>
      </c>
      <c r="BA639" s="1376">
        <f t="shared" si="918"/>
        <v>71.777999999999992</v>
      </c>
      <c r="BB639" s="1391"/>
      <c r="BC639" s="1820"/>
      <c r="BD639" s="1820"/>
      <c r="BE639" s="1823"/>
      <c r="BF639" s="1834"/>
      <c r="BG639" s="1829"/>
    </row>
    <row r="640" spans="1:59" s="1378" customFormat="1" ht="38.25">
      <c r="A640" s="1347" t="str">
        <f t="shared" si="903"/>
        <v>Primmune Therapeutics, Inc.</v>
      </c>
      <c r="B640" s="1348" t="str">
        <f t="shared" si="904"/>
        <v>HUB SD</v>
      </c>
      <c r="C640" s="1348">
        <f t="shared" si="905"/>
        <v>2</v>
      </c>
      <c r="D640" s="1349">
        <v>43101</v>
      </c>
      <c r="E640" s="1349"/>
      <c r="F640" s="1347" t="s">
        <v>113</v>
      </c>
      <c r="G640" s="1347" t="s">
        <v>85</v>
      </c>
      <c r="H640" s="1347" t="s">
        <v>85</v>
      </c>
      <c r="I640" s="1347" t="s">
        <v>113</v>
      </c>
      <c r="J640" s="1349"/>
      <c r="K640" s="1349" t="s">
        <v>254</v>
      </c>
      <c r="L640" s="1350" t="s">
        <v>4682</v>
      </c>
      <c r="M640" s="1350" t="s">
        <v>67</v>
      </c>
      <c r="N640" s="1351" t="s">
        <v>440</v>
      </c>
      <c r="O640" s="1352" t="s">
        <v>4689</v>
      </c>
      <c r="P640" s="1388"/>
      <c r="Q640" s="1354"/>
      <c r="R640" s="1354"/>
      <c r="S640" s="1354"/>
      <c r="T640" s="1354"/>
      <c r="U640" s="1354"/>
      <c r="V640" s="1354"/>
      <c r="W640" s="1354"/>
      <c r="X640" s="1353">
        <v>43101</v>
      </c>
      <c r="Y640" s="1353">
        <v>43466</v>
      </c>
      <c r="Z640" s="1355"/>
      <c r="AA640" s="1355" t="s">
        <v>5174</v>
      </c>
      <c r="AB640" s="1356"/>
      <c r="AC640" s="1356"/>
      <c r="AD640" s="1356"/>
      <c r="AE640" s="1356"/>
      <c r="AF640" s="1357" t="str">
        <f t="shared" si="883"/>
        <v/>
      </c>
      <c r="AG640" s="1358">
        <f t="shared" si="856"/>
        <v>93</v>
      </c>
      <c r="AH640" s="1358">
        <v>1116</v>
      </c>
      <c r="AI640" s="1359">
        <v>0.15</v>
      </c>
      <c r="AJ640" s="1360">
        <f t="shared" si="906"/>
        <v>13.95</v>
      </c>
      <c r="AK640" s="1361">
        <f t="shared" si="919"/>
        <v>167.4</v>
      </c>
      <c r="AL640" s="1384">
        <v>0</v>
      </c>
      <c r="AM640" s="1363">
        <f t="shared" si="908"/>
        <v>0</v>
      </c>
      <c r="AN640" s="1364">
        <v>0</v>
      </c>
      <c r="AO640" s="1365">
        <f t="shared" si="909"/>
        <v>0</v>
      </c>
      <c r="AP640" s="1366">
        <v>0</v>
      </c>
      <c r="AQ640" s="1367">
        <f t="shared" si="910"/>
        <v>0</v>
      </c>
      <c r="AR640" s="1368">
        <v>0</v>
      </c>
      <c r="AS640" s="1369">
        <f t="shared" si="911"/>
        <v>0</v>
      </c>
      <c r="AT640" s="1370">
        <v>0.15</v>
      </c>
      <c r="AU640" s="1371">
        <f t="shared" si="912"/>
        <v>167.4</v>
      </c>
      <c r="AV640" s="1359">
        <f t="shared" si="913"/>
        <v>0</v>
      </c>
      <c r="AW640" s="1372">
        <f t="shared" si="914"/>
        <v>0</v>
      </c>
      <c r="AX640" s="1373">
        <f t="shared" si="915"/>
        <v>0.15</v>
      </c>
      <c r="AY640" s="1374">
        <f t="shared" si="916"/>
        <v>167.4</v>
      </c>
      <c r="AZ640" s="1375">
        <f t="shared" si="917"/>
        <v>0.15</v>
      </c>
      <c r="BA640" s="1376">
        <f t="shared" si="918"/>
        <v>167.4</v>
      </c>
      <c r="BB640" s="1391"/>
      <c r="BC640" s="1820"/>
      <c r="BD640" s="1820"/>
      <c r="BE640" s="1823"/>
      <c r="BF640" s="1834"/>
      <c r="BG640" s="1829"/>
    </row>
    <row r="641" spans="1:59" s="1378" customFormat="1" ht="27.75" customHeight="1">
      <c r="A641" s="1347" t="str">
        <f t="shared" si="903"/>
        <v>Primmune Therapeutics, Inc.</v>
      </c>
      <c r="B641" s="1348" t="str">
        <f t="shared" si="904"/>
        <v>HUB SD</v>
      </c>
      <c r="C641" s="1348">
        <f t="shared" si="905"/>
        <v>2</v>
      </c>
      <c r="D641" s="1349">
        <v>43101</v>
      </c>
      <c r="E641" s="1349"/>
      <c r="F641" s="1347" t="s">
        <v>72</v>
      </c>
      <c r="G641" s="1347" t="s">
        <v>85</v>
      </c>
      <c r="H641" s="1347" t="s">
        <v>72</v>
      </c>
      <c r="I641" s="1347" t="s">
        <v>72</v>
      </c>
      <c r="J641" s="1349" t="s">
        <v>4670</v>
      </c>
      <c r="K641" s="1349" t="s">
        <v>254</v>
      </c>
      <c r="L641" s="1350" t="s">
        <v>4696</v>
      </c>
      <c r="M641" s="1350" t="s">
        <v>4697</v>
      </c>
      <c r="N641" s="1389" t="s">
        <v>4698</v>
      </c>
      <c r="O641" s="1352" t="s">
        <v>4699</v>
      </c>
      <c r="P641" s="1388"/>
      <c r="Q641" s="1354"/>
      <c r="R641" s="1354"/>
      <c r="S641" s="1354"/>
      <c r="T641" s="1354"/>
      <c r="U641" s="1354"/>
      <c r="V641" s="1354"/>
      <c r="W641" s="1354"/>
      <c r="X641" s="1353">
        <v>43101</v>
      </c>
      <c r="Y641" s="1353">
        <v>43466</v>
      </c>
      <c r="Z641" s="1355"/>
      <c r="AA641" s="1355" t="s">
        <v>4674</v>
      </c>
      <c r="AB641" s="1356"/>
      <c r="AC641" s="1356"/>
      <c r="AD641" s="1356"/>
      <c r="AE641" s="1356"/>
      <c r="AF641" s="1357" t="str">
        <f t="shared" si="883"/>
        <v/>
      </c>
      <c r="AG641" s="1380"/>
      <c r="AH641" s="1380"/>
      <c r="AI641" s="1381">
        <v>0</v>
      </c>
      <c r="AJ641" s="1382">
        <f t="shared" si="906"/>
        <v>0</v>
      </c>
      <c r="AK641" s="1383">
        <f t="shared" si="919"/>
        <v>0</v>
      </c>
      <c r="AL641" s="1384">
        <v>0</v>
      </c>
      <c r="AM641" s="1363">
        <f t="shared" si="908"/>
        <v>0</v>
      </c>
      <c r="AN641" s="1364">
        <v>0</v>
      </c>
      <c r="AO641" s="1365">
        <f t="shared" si="909"/>
        <v>0</v>
      </c>
      <c r="AP641" s="1366">
        <v>0</v>
      </c>
      <c r="AQ641" s="1367">
        <f t="shared" si="910"/>
        <v>0</v>
      </c>
      <c r="AR641" s="1368">
        <v>0</v>
      </c>
      <c r="AS641" s="1369">
        <f t="shared" si="911"/>
        <v>0</v>
      </c>
      <c r="AT641" s="1370">
        <v>0</v>
      </c>
      <c r="AU641" s="1371">
        <f t="shared" si="912"/>
        <v>0</v>
      </c>
      <c r="AV641" s="1359">
        <f t="shared" si="913"/>
        <v>0</v>
      </c>
      <c r="AW641" s="1372">
        <f t="shared" si="914"/>
        <v>0</v>
      </c>
      <c r="AX641" s="1373">
        <f t="shared" si="915"/>
        <v>0</v>
      </c>
      <c r="AY641" s="1374">
        <f t="shared" si="916"/>
        <v>0</v>
      </c>
      <c r="AZ641" s="1375">
        <f t="shared" si="917"/>
        <v>0</v>
      </c>
      <c r="BA641" s="1376">
        <f t="shared" si="918"/>
        <v>0</v>
      </c>
      <c r="BB641" s="1377"/>
      <c r="BC641" s="1820"/>
      <c r="BD641" s="1820"/>
      <c r="BE641" s="1823"/>
      <c r="BF641" s="1834"/>
      <c r="BG641" s="1829"/>
    </row>
    <row r="642" spans="1:59" s="1378" customFormat="1" ht="38.25">
      <c r="A642" s="1347" t="str">
        <f t="shared" si="903"/>
        <v>Primmune Therapeutics, Inc.</v>
      </c>
      <c r="B642" s="1348" t="str">
        <f t="shared" si="904"/>
        <v>HUB SD</v>
      </c>
      <c r="C642" s="1348">
        <f t="shared" si="905"/>
        <v>2</v>
      </c>
      <c r="D642" s="1349">
        <v>43101</v>
      </c>
      <c r="E642" s="1349"/>
      <c r="F642" s="1347" t="s">
        <v>72</v>
      </c>
      <c r="G642" s="1347" t="s">
        <v>85</v>
      </c>
      <c r="H642" s="1347" t="s">
        <v>72</v>
      </c>
      <c r="I642" s="1347" t="s">
        <v>72</v>
      </c>
      <c r="J642" s="1349" t="s">
        <v>4670</v>
      </c>
      <c r="K642" s="1349" t="s">
        <v>254</v>
      </c>
      <c r="L642" s="1350" t="s">
        <v>48</v>
      </c>
      <c r="M642" s="1350" t="s">
        <v>253</v>
      </c>
      <c r="N642" s="1390" t="s">
        <v>4703</v>
      </c>
      <c r="O642" s="1352" t="s">
        <v>4704</v>
      </c>
      <c r="P642" s="1388"/>
      <c r="Q642" s="1354"/>
      <c r="R642" s="1354"/>
      <c r="S642" s="1354"/>
      <c r="T642" s="1354"/>
      <c r="U642" s="1354"/>
      <c r="V642" s="1354"/>
      <c r="W642" s="1354"/>
      <c r="X642" s="1353">
        <v>43101</v>
      </c>
      <c r="Y642" s="1353">
        <v>43466</v>
      </c>
      <c r="Z642" s="1355"/>
      <c r="AA642" s="1355" t="s">
        <v>4674</v>
      </c>
      <c r="AB642" s="1356"/>
      <c r="AC642" s="1356"/>
      <c r="AD642" s="1356"/>
      <c r="AE642" s="1356"/>
      <c r="AF642" s="1357" t="str">
        <f t="shared" si="883"/>
        <v/>
      </c>
      <c r="AG642" s="1380"/>
      <c r="AH642" s="1380"/>
      <c r="AI642" s="1381">
        <v>0</v>
      </c>
      <c r="AJ642" s="1382">
        <f t="shared" si="906"/>
        <v>0</v>
      </c>
      <c r="AK642" s="1383">
        <f t="shared" si="919"/>
        <v>0</v>
      </c>
      <c r="AL642" s="1384">
        <v>0</v>
      </c>
      <c r="AM642" s="1363">
        <f t="shared" si="908"/>
        <v>0</v>
      </c>
      <c r="AN642" s="1364">
        <v>0</v>
      </c>
      <c r="AO642" s="1365">
        <f t="shared" si="909"/>
        <v>0</v>
      </c>
      <c r="AP642" s="1366">
        <v>0</v>
      </c>
      <c r="AQ642" s="1367">
        <f t="shared" si="910"/>
        <v>0</v>
      </c>
      <c r="AR642" s="1368">
        <v>0</v>
      </c>
      <c r="AS642" s="1369">
        <f t="shared" si="911"/>
        <v>0</v>
      </c>
      <c r="AT642" s="1370">
        <v>0</v>
      </c>
      <c r="AU642" s="1371">
        <f t="shared" si="912"/>
        <v>0</v>
      </c>
      <c r="AV642" s="1359">
        <f t="shared" si="913"/>
        <v>0</v>
      </c>
      <c r="AW642" s="1372">
        <f t="shared" si="914"/>
        <v>0</v>
      </c>
      <c r="AX642" s="1373">
        <f t="shared" si="915"/>
        <v>0</v>
      </c>
      <c r="AY642" s="1374">
        <f t="shared" si="916"/>
        <v>0</v>
      </c>
      <c r="AZ642" s="1375">
        <f t="shared" si="917"/>
        <v>0</v>
      </c>
      <c r="BA642" s="1376">
        <f t="shared" si="918"/>
        <v>0</v>
      </c>
      <c r="BB642" s="1391"/>
      <c r="BC642" s="1820"/>
      <c r="BD642" s="1820"/>
      <c r="BE642" s="1823"/>
      <c r="BF642" s="1834"/>
      <c r="BG642" s="1829"/>
    </row>
    <row r="643" spans="1:59" s="1378" customFormat="1" ht="38.25">
      <c r="A643" s="1347" t="str">
        <f t="shared" si="903"/>
        <v>Primmune Therapeutics, Inc.</v>
      </c>
      <c r="B643" s="1348" t="str">
        <f t="shared" si="904"/>
        <v>HUB SD</v>
      </c>
      <c r="C643" s="1348">
        <f t="shared" si="905"/>
        <v>2</v>
      </c>
      <c r="D643" s="1349">
        <v>43101</v>
      </c>
      <c r="E643" s="1349"/>
      <c r="F643" s="1347" t="s">
        <v>72</v>
      </c>
      <c r="G643" s="1347" t="s">
        <v>85</v>
      </c>
      <c r="H643" s="1347" t="s">
        <v>72</v>
      </c>
      <c r="I643" s="1347" t="s">
        <v>72</v>
      </c>
      <c r="J643" s="1349" t="s">
        <v>4670</v>
      </c>
      <c r="K643" s="1349" t="s">
        <v>254</v>
      </c>
      <c r="L643" s="1350" t="s">
        <v>49</v>
      </c>
      <c r="M643" s="1350" t="s">
        <v>4705</v>
      </c>
      <c r="N643" s="1390" t="s">
        <v>4706</v>
      </c>
      <c r="O643" s="1352" t="s">
        <v>4707</v>
      </c>
      <c r="P643" s="1388"/>
      <c r="Q643" s="1354"/>
      <c r="R643" s="1354"/>
      <c r="S643" s="1354"/>
      <c r="T643" s="1354"/>
      <c r="U643" s="1354"/>
      <c r="V643" s="1354"/>
      <c r="W643" s="1354"/>
      <c r="X643" s="1353">
        <v>43101</v>
      </c>
      <c r="Y643" s="1353">
        <v>43466</v>
      </c>
      <c r="Z643" s="1355"/>
      <c r="AA643" s="1355" t="s">
        <v>4674</v>
      </c>
      <c r="AB643" s="1356"/>
      <c r="AC643" s="1356"/>
      <c r="AD643" s="1356"/>
      <c r="AE643" s="1356"/>
      <c r="AF643" s="1357" t="str">
        <f t="shared" si="883"/>
        <v/>
      </c>
      <c r="AG643" s="1380"/>
      <c r="AH643" s="1380"/>
      <c r="AI643" s="1381">
        <v>0</v>
      </c>
      <c r="AJ643" s="1382">
        <f t="shared" si="906"/>
        <v>0</v>
      </c>
      <c r="AK643" s="1383">
        <f t="shared" si="919"/>
        <v>0</v>
      </c>
      <c r="AL643" s="1384">
        <v>0</v>
      </c>
      <c r="AM643" s="1363">
        <f t="shared" si="908"/>
        <v>0</v>
      </c>
      <c r="AN643" s="1364">
        <v>0</v>
      </c>
      <c r="AO643" s="1365">
        <f t="shared" si="909"/>
        <v>0</v>
      </c>
      <c r="AP643" s="1366">
        <v>0</v>
      </c>
      <c r="AQ643" s="1367">
        <f t="shared" si="910"/>
        <v>0</v>
      </c>
      <c r="AR643" s="1368">
        <v>0</v>
      </c>
      <c r="AS643" s="1369">
        <f t="shared" si="911"/>
        <v>0</v>
      </c>
      <c r="AT643" s="1370">
        <v>0</v>
      </c>
      <c r="AU643" s="1371">
        <f t="shared" si="912"/>
        <v>0</v>
      </c>
      <c r="AV643" s="1359">
        <f t="shared" si="913"/>
        <v>0</v>
      </c>
      <c r="AW643" s="1372">
        <f t="shared" si="914"/>
        <v>0</v>
      </c>
      <c r="AX643" s="1373">
        <f t="shared" si="915"/>
        <v>0</v>
      </c>
      <c r="AY643" s="1374">
        <f t="shared" si="916"/>
        <v>0</v>
      </c>
      <c r="AZ643" s="1375">
        <f t="shared" si="917"/>
        <v>0</v>
      </c>
      <c r="BA643" s="1376">
        <f t="shared" si="918"/>
        <v>0</v>
      </c>
      <c r="BB643" s="1391"/>
      <c r="BC643" s="1820"/>
      <c r="BD643" s="1820"/>
      <c r="BE643" s="1823"/>
      <c r="BF643" s="1834"/>
      <c r="BG643" s="1829"/>
    </row>
    <row r="644" spans="1:59" s="1378" customFormat="1" ht="38.25">
      <c r="A644" s="1347" t="str">
        <f t="shared" si="903"/>
        <v>Primmune Therapeutics, Inc.</v>
      </c>
      <c r="B644" s="1348" t="str">
        <f t="shared" si="904"/>
        <v>HUB SD</v>
      </c>
      <c r="C644" s="1348">
        <f t="shared" si="905"/>
        <v>2</v>
      </c>
      <c r="D644" s="1349">
        <v>43101</v>
      </c>
      <c r="E644" s="1349"/>
      <c r="F644" s="1347" t="s">
        <v>72</v>
      </c>
      <c r="G644" s="1347" t="s">
        <v>85</v>
      </c>
      <c r="H644" s="1347" t="s">
        <v>72</v>
      </c>
      <c r="I644" s="1347" t="s">
        <v>72</v>
      </c>
      <c r="J644" s="1349" t="s">
        <v>4670</v>
      </c>
      <c r="K644" s="1349" t="s">
        <v>254</v>
      </c>
      <c r="L644" s="1350" t="s">
        <v>3056</v>
      </c>
      <c r="M644" s="1350" t="s">
        <v>4708</v>
      </c>
      <c r="N644" s="1390" t="s">
        <v>4709</v>
      </c>
      <c r="O644" s="1352" t="s">
        <v>4710</v>
      </c>
      <c r="P644" s="1388"/>
      <c r="Q644" s="1354"/>
      <c r="R644" s="1354"/>
      <c r="S644" s="1354"/>
      <c r="T644" s="1354"/>
      <c r="U644" s="1354"/>
      <c r="V644" s="1354"/>
      <c r="W644" s="1354"/>
      <c r="X644" s="1353">
        <v>43101</v>
      </c>
      <c r="Y644" s="1353">
        <v>43466</v>
      </c>
      <c r="Z644" s="1355"/>
      <c r="AA644" s="1355" t="s">
        <v>4674</v>
      </c>
      <c r="AB644" s="1356"/>
      <c r="AC644" s="1356"/>
      <c r="AD644" s="1356"/>
      <c r="AE644" s="1356"/>
      <c r="AF644" s="1357" t="str">
        <f t="shared" si="883"/>
        <v/>
      </c>
      <c r="AG644" s="1380"/>
      <c r="AH644" s="1380"/>
      <c r="AI644" s="1381">
        <v>0</v>
      </c>
      <c r="AJ644" s="1382">
        <f t="shared" si="906"/>
        <v>0</v>
      </c>
      <c r="AK644" s="1383">
        <f t="shared" si="919"/>
        <v>0</v>
      </c>
      <c r="AL644" s="1384">
        <v>0</v>
      </c>
      <c r="AM644" s="1363">
        <f t="shared" si="908"/>
        <v>0</v>
      </c>
      <c r="AN644" s="1364">
        <v>0</v>
      </c>
      <c r="AO644" s="1365">
        <f t="shared" si="909"/>
        <v>0</v>
      </c>
      <c r="AP644" s="1366">
        <v>0</v>
      </c>
      <c r="AQ644" s="1367">
        <f t="shared" si="910"/>
        <v>0</v>
      </c>
      <c r="AR644" s="1368">
        <v>0</v>
      </c>
      <c r="AS644" s="1369">
        <f t="shared" si="911"/>
        <v>0</v>
      </c>
      <c r="AT644" s="1370">
        <v>0</v>
      </c>
      <c r="AU644" s="1371">
        <f t="shared" si="912"/>
        <v>0</v>
      </c>
      <c r="AV644" s="1359">
        <f t="shared" si="913"/>
        <v>0</v>
      </c>
      <c r="AW644" s="1372">
        <f t="shared" si="914"/>
        <v>0</v>
      </c>
      <c r="AX644" s="1373">
        <f t="shared" si="915"/>
        <v>0</v>
      </c>
      <c r="AY644" s="1374">
        <f t="shared" si="916"/>
        <v>0</v>
      </c>
      <c r="AZ644" s="1375">
        <f t="shared" si="917"/>
        <v>0</v>
      </c>
      <c r="BA644" s="1376">
        <f t="shared" si="918"/>
        <v>0</v>
      </c>
      <c r="BB644" s="1391"/>
      <c r="BC644" s="1821"/>
      <c r="BD644" s="1821"/>
      <c r="BE644" s="1824"/>
      <c r="BF644" s="1834"/>
      <c r="BG644" s="1830"/>
    </row>
    <row r="645" spans="1:59" s="1315" customFormat="1" ht="38.25">
      <c r="A645" s="1277" t="str">
        <f t="shared" ref="A645:A655" si="920">$L$645</f>
        <v>Prime Genomics, Inc.</v>
      </c>
      <c r="B645" s="1277" t="s">
        <v>4835</v>
      </c>
      <c r="C645" s="1316">
        <f t="shared" ref="C645:C655" si="921">$Z$645</f>
        <v>2</v>
      </c>
      <c r="D645" s="1317">
        <v>42826</v>
      </c>
      <c r="E645" s="1317"/>
      <c r="F645" s="1277" t="s">
        <v>72</v>
      </c>
      <c r="G645" s="1277" t="s">
        <v>72</v>
      </c>
      <c r="H645" s="1277" t="s">
        <v>72</v>
      </c>
      <c r="I645" s="1277" t="s">
        <v>4711</v>
      </c>
      <c r="J645" s="1317"/>
      <c r="K645" s="1317"/>
      <c r="L645" s="1318" t="s">
        <v>152</v>
      </c>
      <c r="M645" s="1319"/>
      <c r="N645" s="1427" t="s">
        <v>4835</v>
      </c>
      <c r="O645" s="1419" t="s">
        <v>2473</v>
      </c>
      <c r="P645" s="1419"/>
      <c r="Q645" s="1322"/>
      <c r="R645" s="1322"/>
      <c r="S645" s="1322"/>
      <c r="T645" s="1322"/>
      <c r="U645" s="1322"/>
      <c r="V645" s="1322"/>
      <c r="W645" s="1322"/>
      <c r="X645" s="1317">
        <v>43101</v>
      </c>
      <c r="Y645" s="1317">
        <v>43466</v>
      </c>
      <c r="Z645" s="1316">
        <v>2</v>
      </c>
      <c r="AA645" s="1316" t="s">
        <v>5175</v>
      </c>
      <c r="AB645" s="1323">
        <f>SUM(AB646:AB656)</f>
        <v>0</v>
      </c>
      <c r="AC645" s="1323">
        <f>SUM(AC646:AC656)</f>
        <v>0</v>
      </c>
      <c r="AD645" s="1323">
        <f>SUM(AD646:AD656)</f>
        <v>0</v>
      </c>
      <c r="AE645" s="1324">
        <f t="shared" si="809"/>
        <v>0</v>
      </c>
      <c r="AF645" s="1325" t="str">
        <f t="shared" si="855"/>
        <v/>
      </c>
      <c r="AG645" s="1326">
        <f t="shared" si="856"/>
        <v>3875.4308333333338</v>
      </c>
      <c r="AH645" s="1326">
        <f>SUM(AH646:AH656)</f>
        <v>46505.170000000006</v>
      </c>
      <c r="AI645" s="1481" t="s">
        <v>4984</v>
      </c>
      <c r="AJ645" s="1328">
        <f>SUM(AJ646:AJ656)</f>
        <v>323.84742499999999</v>
      </c>
      <c r="AK645" s="1328">
        <f>SUM(AK646:AK656)</f>
        <v>3886.1691000000005</v>
      </c>
      <c r="AL645" s="1329"/>
      <c r="AM645" s="1330">
        <f>SUM(AM646:AM656)</f>
        <v>206.59560000000002</v>
      </c>
      <c r="AN645" s="1331"/>
      <c r="AO645" s="1332">
        <f>SUM(AO646:AO656)</f>
        <v>0</v>
      </c>
      <c r="AP645" s="1333"/>
      <c r="AQ645" s="1334">
        <f>SUM(AQ646:AQ656)</f>
        <v>0</v>
      </c>
      <c r="AR645" s="1335"/>
      <c r="AS645" s="1336">
        <f>SUM(AS646:AS656)</f>
        <v>0</v>
      </c>
      <c r="AT645" s="1337"/>
      <c r="AU645" s="1338">
        <f>SUM(AU646:AU656)</f>
        <v>3679.5735000000004</v>
      </c>
      <c r="AV645" s="1339"/>
      <c r="AW645" s="1340">
        <f>SUM(AW646:AW656)</f>
        <v>0</v>
      </c>
      <c r="AX645" s="1306"/>
      <c r="AY645" s="1307">
        <f>SUM(AW645+AS645+AU645)</f>
        <v>3679.5735000000004</v>
      </c>
      <c r="AZ645" s="1341"/>
      <c r="BA645" s="1309">
        <f>SUM(AY645+AQ645)</f>
        <v>3679.5735000000004</v>
      </c>
      <c r="BB645" s="1342">
        <f>(AW645+AU645)/(AK645-AM645)</f>
        <v>1</v>
      </c>
      <c r="BC645" s="1343"/>
      <c r="BD645" s="1343"/>
      <c r="BE645" s="1344"/>
      <c r="BF645" s="1428" t="s">
        <v>5087</v>
      </c>
      <c r="BG645" s="1346"/>
    </row>
    <row r="646" spans="1:59" s="1396" customFormat="1" ht="66.75" customHeight="1">
      <c r="A646" s="1347" t="str">
        <f t="shared" si="920"/>
        <v>Prime Genomics, Inc.</v>
      </c>
      <c r="B646" s="1347" t="s">
        <v>4835</v>
      </c>
      <c r="C646" s="1348">
        <f t="shared" si="921"/>
        <v>2</v>
      </c>
      <c r="D646" s="1349">
        <v>42826</v>
      </c>
      <c r="E646" s="1349"/>
      <c r="F646" s="1347" t="s">
        <v>85</v>
      </c>
      <c r="G646" s="1347" t="s">
        <v>85</v>
      </c>
      <c r="H646" s="1347" t="s">
        <v>85</v>
      </c>
      <c r="I646" s="1347" t="s">
        <v>113</v>
      </c>
      <c r="J646" s="1349"/>
      <c r="K646" s="1349" t="s">
        <v>254</v>
      </c>
      <c r="L646" s="1350" t="s">
        <v>2661</v>
      </c>
      <c r="M646" s="1350" t="s">
        <v>3647</v>
      </c>
      <c r="N646" s="1351" t="s">
        <v>5176</v>
      </c>
      <c r="O646" s="1352" t="s">
        <v>4903</v>
      </c>
      <c r="P646" s="1352" t="s">
        <v>4752</v>
      </c>
      <c r="Q646" s="1353" t="s">
        <v>303</v>
      </c>
      <c r="R646" s="1353" t="s">
        <v>3656</v>
      </c>
      <c r="S646" s="1353" t="s">
        <v>307</v>
      </c>
      <c r="T646" s="1353" t="s">
        <v>113</v>
      </c>
      <c r="U646" s="1445"/>
      <c r="V646" s="1445"/>
      <c r="W646" s="1445"/>
      <c r="X646" s="1353">
        <v>43101</v>
      </c>
      <c r="Y646" s="1353">
        <v>43466</v>
      </c>
      <c r="Z646" s="1425"/>
      <c r="AA646" s="1355" t="s">
        <v>5097</v>
      </c>
      <c r="AB646" s="1356"/>
      <c r="AC646" s="1356"/>
      <c r="AD646" s="1356"/>
      <c r="AE646" s="1356"/>
      <c r="AF646" s="1357" t="str">
        <f t="shared" si="855"/>
        <v/>
      </c>
      <c r="AG646" s="1358">
        <f t="shared" si="856"/>
        <v>3443.26</v>
      </c>
      <c r="AH646" s="1358">
        <v>41319.120000000003</v>
      </c>
      <c r="AI646" s="1359">
        <v>0.08</v>
      </c>
      <c r="AJ646" s="1360">
        <f t="shared" ref="AJ646:AJ656" si="922">$AI646*$AG646</f>
        <v>275.46080000000001</v>
      </c>
      <c r="AK646" s="1361">
        <f t="shared" ref="AK646:AK656" si="923">AI646*$AH646</f>
        <v>3305.5296000000003</v>
      </c>
      <c r="AL646" s="1362">
        <v>5.0000000000000001E-3</v>
      </c>
      <c r="AM646" s="1363">
        <f t="shared" ref="AM646:AM656" si="924">AL646*$AH646</f>
        <v>206.59560000000002</v>
      </c>
      <c r="AN646" s="1364">
        <v>0</v>
      </c>
      <c r="AO646" s="1365">
        <f t="shared" ref="AO646:AO656" si="925">AN646*$AH646</f>
        <v>0</v>
      </c>
      <c r="AP646" s="1366">
        <v>0</v>
      </c>
      <c r="AQ646" s="1367">
        <f t="shared" ref="AQ646:AQ656" si="926">AP646*$AH646</f>
        <v>0</v>
      </c>
      <c r="AR646" s="1368">
        <v>0</v>
      </c>
      <c r="AS646" s="1369">
        <f t="shared" ref="AS646:AS656" si="927">AR646*$AH646</f>
        <v>0</v>
      </c>
      <c r="AT646" s="1370">
        <v>7.4999999999999997E-2</v>
      </c>
      <c r="AU646" s="1371">
        <f t="shared" ref="AU646:AU656" si="928">AT646*$AH646</f>
        <v>3098.9340000000002</v>
      </c>
      <c r="AV646" s="1359">
        <f t="shared" ref="AV646:AV656" si="929">AZ646-AR646-AT646-AP646</f>
        <v>0</v>
      </c>
      <c r="AW646" s="1372">
        <f t="shared" ref="AW646:AW656" si="930">AV646*$AH646</f>
        <v>0</v>
      </c>
      <c r="AX646" s="1373">
        <f t="shared" ref="AX646:AX656" si="931">$AZ646-$AP646</f>
        <v>7.4999999999999997E-2</v>
      </c>
      <c r="AY646" s="1374">
        <f t="shared" ref="AY646:AY656" si="932">AX646*$AH646</f>
        <v>3098.9340000000002</v>
      </c>
      <c r="AZ646" s="1375">
        <f t="shared" ref="AZ646:AZ656" si="933">$AI646-$AL646-$AN646</f>
        <v>7.4999999999999997E-2</v>
      </c>
      <c r="BA646" s="1376">
        <f t="shared" ref="BA646:BA656" si="934">AZ646*$AH646</f>
        <v>3098.9340000000002</v>
      </c>
      <c r="BB646" s="1391"/>
      <c r="BC646" s="1819" t="s">
        <v>5177</v>
      </c>
      <c r="BD646" s="1819" t="s">
        <v>258</v>
      </c>
      <c r="BE646" s="1822" t="s">
        <v>258</v>
      </c>
      <c r="BF646" s="1825" t="s">
        <v>5091</v>
      </c>
      <c r="BG646" s="1828">
        <v>452597954</v>
      </c>
    </row>
    <row r="647" spans="1:59" s="1396" customFormat="1" ht="51" customHeight="1">
      <c r="A647" s="1347" t="str">
        <f t="shared" si="920"/>
        <v>Prime Genomics, Inc.</v>
      </c>
      <c r="B647" s="1347" t="s">
        <v>4835</v>
      </c>
      <c r="C647" s="1348">
        <f t="shared" si="921"/>
        <v>2</v>
      </c>
      <c r="D647" s="1349">
        <v>42826</v>
      </c>
      <c r="E647" s="1349"/>
      <c r="F647" s="1347" t="s">
        <v>72</v>
      </c>
      <c r="G647" s="1347" t="s">
        <v>85</v>
      </c>
      <c r="H647" s="1347" t="s">
        <v>72</v>
      </c>
      <c r="I647" s="1347" t="s">
        <v>72</v>
      </c>
      <c r="J647" s="1349" t="s">
        <v>4670</v>
      </c>
      <c r="K647" s="1349" t="s">
        <v>254</v>
      </c>
      <c r="L647" s="1350" t="s">
        <v>4671</v>
      </c>
      <c r="M647" s="1350" t="s">
        <v>3649</v>
      </c>
      <c r="N647" s="1379" t="s">
        <v>5178</v>
      </c>
      <c r="O647" s="1352" t="s">
        <v>4791</v>
      </c>
      <c r="P647" s="1352"/>
      <c r="Q647" s="1445"/>
      <c r="R647" s="1445"/>
      <c r="S647" s="1445"/>
      <c r="T647" s="1445"/>
      <c r="U647" s="1445"/>
      <c r="V647" s="1445"/>
      <c r="W647" s="1445"/>
      <c r="X647" s="1353">
        <v>43101</v>
      </c>
      <c r="Y647" s="1353">
        <v>43466</v>
      </c>
      <c r="Z647" s="1425"/>
      <c r="AA647" s="1355" t="s">
        <v>4674</v>
      </c>
      <c r="AB647" s="1356"/>
      <c r="AC647" s="1356"/>
      <c r="AD647" s="1356"/>
      <c r="AE647" s="1356"/>
      <c r="AF647" s="1357" t="str">
        <f t="shared" si="855"/>
        <v/>
      </c>
      <c r="AG647" s="1380"/>
      <c r="AH647" s="1380"/>
      <c r="AI647" s="1381">
        <v>0</v>
      </c>
      <c r="AJ647" s="1382">
        <f t="shared" si="922"/>
        <v>0</v>
      </c>
      <c r="AK647" s="1383">
        <f t="shared" si="923"/>
        <v>0</v>
      </c>
      <c r="AL647" s="1384">
        <v>0</v>
      </c>
      <c r="AM647" s="1363">
        <f t="shared" si="924"/>
        <v>0</v>
      </c>
      <c r="AN647" s="1364">
        <v>0</v>
      </c>
      <c r="AO647" s="1365">
        <f t="shared" si="925"/>
        <v>0</v>
      </c>
      <c r="AP647" s="1366">
        <v>0</v>
      </c>
      <c r="AQ647" s="1367">
        <f t="shared" si="926"/>
        <v>0</v>
      </c>
      <c r="AR647" s="1368">
        <v>0</v>
      </c>
      <c r="AS647" s="1369">
        <f t="shared" si="927"/>
        <v>0</v>
      </c>
      <c r="AT647" s="1370">
        <v>0</v>
      </c>
      <c r="AU647" s="1371">
        <f t="shared" si="928"/>
        <v>0</v>
      </c>
      <c r="AV647" s="1359">
        <f t="shared" si="929"/>
        <v>0</v>
      </c>
      <c r="AW647" s="1372">
        <f t="shared" si="930"/>
        <v>0</v>
      </c>
      <c r="AX647" s="1373">
        <f t="shared" si="931"/>
        <v>0</v>
      </c>
      <c r="AY647" s="1374">
        <f t="shared" si="932"/>
        <v>0</v>
      </c>
      <c r="AZ647" s="1375">
        <f t="shared" si="933"/>
        <v>0</v>
      </c>
      <c r="BA647" s="1376">
        <f t="shared" si="934"/>
        <v>0</v>
      </c>
      <c r="BB647" s="1391"/>
      <c r="BC647" s="1820"/>
      <c r="BD647" s="1820"/>
      <c r="BE647" s="1823"/>
      <c r="BF647" s="1826"/>
      <c r="BG647" s="1829"/>
    </row>
    <row r="648" spans="1:59" s="1396" customFormat="1" ht="38.25">
      <c r="A648" s="1347" t="str">
        <f t="shared" si="920"/>
        <v>Prime Genomics, Inc.</v>
      </c>
      <c r="B648" s="1347" t="s">
        <v>4835</v>
      </c>
      <c r="C648" s="1348">
        <f t="shared" si="921"/>
        <v>2</v>
      </c>
      <c r="D648" s="1349">
        <v>42826</v>
      </c>
      <c r="E648" s="1349"/>
      <c r="F648" s="1347" t="s">
        <v>113</v>
      </c>
      <c r="G648" s="1347" t="s">
        <v>85</v>
      </c>
      <c r="H648" s="1347" t="s">
        <v>85</v>
      </c>
      <c r="I648" s="1347" t="s">
        <v>113</v>
      </c>
      <c r="J648" s="1349"/>
      <c r="K648" s="1349" t="s">
        <v>254</v>
      </c>
      <c r="L648" s="1350" t="s">
        <v>4675</v>
      </c>
      <c r="M648" s="1350" t="s">
        <v>3650</v>
      </c>
      <c r="N648" s="1385" t="s">
        <v>4996</v>
      </c>
      <c r="O648" s="1352" t="s">
        <v>4677</v>
      </c>
      <c r="P648" s="1352"/>
      <c r="Q648" s="1445"/>
      <c r="R648" s="1445"/>
      <c r="S648" s="1445"/>
      <c r="T648" s="1445"/>
      <c r="U648" s="1353" t="s">
        <v>4959</v>
      </c>
      <c r="V648" s="1353" t="s">
        <v>2495</v>
      </c>
      <c r="W648" s="1354"/>
      <c r="X648" s="1353">
        <v>43101</v>
      </c>
      <c r="Y648" s="1353">
        <v>43466</v>
      </c>
      <c r="Z648" s="1425"/>
      <c r="AA648" s="1355" t="s">
        <v>4991</v>
      </c>
      <c r="AB648" s="1356"/>
      <c r="AC648" s="1356"/>
      <c r="AD648" s="1356"/>
      <c r="AE648" s="1356"/>
      <c r="AF648" s="1357" t="str">
        <f t="shared" si="855"/>
        <v/>
      </c>
      <c r="AG648" s="1358">
        <f t="shared" si="856"/>
        <v>293.3</v>
      </c>
      <c r="AH648" s="1358">
        <v>3519.6</v>
      </c>
      <c r="AI648" s="1359">
        <v>0.1</v>
      </c>
      <c r="AJ648" s="1360">
        <f t="shared" si="922"/>
        <v>29.330000000000002</v>
      </c>
      <c r="AK648" s="1361">
        <f t="shared" si="923"/>
        <v>351.96000000000004</v>
      </c>
      <c r="AL648" s="1384">
        <v>0</v>
      </c>
      <c r="AM648" s="1363">
        <f t="shared" si="924"/>
        <v>0</v>
      </c>
      <c r="AN648" s="1364">
        <v>0</v>
      </c>
      <c r="AO648" s="1365">
        <f t="shared" si="925"/>
        <v>0</v>
      </c>
      <c r="AP648" s="1366">
        <v>0</v>
      </c>
      <c r="AQ648" s="1367">
        <f t="shared" si="926"/>
        <v>0</v>
      </c>
      <c r="AR648" s="1368">
        <v>0</v>
      </c>
      <c r="AS648" s="1369">
        <f t="shared" si="927"/>
        <v>0</v>
      </c>
      <c r="AT648" s="1370">
        <v>0.1</v>
      </c>
      <c r="AU648" s="1371">
        <f t="shared" si="928"/>
        <v>351.96000000000004</v>
      </c>
      <c r="AV648" s="1359">
        <f t="shared" si="929"/>
        <v>0</v>
      </c>
      <c r="AW648" s="1372">
        <f t="shared" si="930"/>
        <v>0</v>
      </c>
      <c r="AX648" s="1373">
        <f t="shared" si="931"/>
        <v>0.1</v>
      </c>
      <c r="AY648" s="1374">
        <f t="shared" si="932"/>
        <v>351.96000000000004</v>
      </c>
      <c r="AZ648" s="1375">
        <f t="shared" si="933"/>
        <v>0.1</v>
      </c>
      <c r="BA648" s="1376">
        <f t="shared" si="934"/>
        <v>351.96000000000004</v>
      </c>
      <c r="BB648" s="1391"/>
      <c r="BC648" s="1820"/>
      <c r="BD648" s="1820"/>
      <c r="BE648" s="1823"/>
      <c r="BF648" s="1826"/>
      <c r="BG648" s="1829"/>
    </row>
    <row r="649" spans="1:59" s="1396" customFormat="1" ht="38.25">
      <c r="A649" s="1347" t="str">
        <f t="shared" si="920"/>
        <v>Prime Genomics, Inc.</v>
      </c>
      <c r="B649" s="1347" t="s">
        <v>4835</v>
      </c>
      <c r="C649" s="1348">
        <f t="shared" si="921"/>
        <v>2</v>
      </c>
      <c r="D649" s="1349">
        <v>42826</v>
      </c>
      <c r="E649" s="1349"/>
      <c r="F649" s="1347" t="s">
        <v>113</v>
      </c>
      <c r="G649" s="1347" t="s">
        <v>85</v>
      </c>
      <c r="H649" s="1347" t="s">
        <v>85</v>
      </c>
      <c r="I649" s="1347" t="s">
        <v>113</v>
      </c>
      <c r="J649" s="1349"/>
      <c r="K649" s="1349" t="s">
        <v>254</v>
      </c>
      <c r="L649" s="1350" t="s">
        <v>4675</v>
      </c>
      <c r="M649" s="1350" t="s">
        <v>3651</v>
      </c>
      <c r="N649" s="1351" t="s">
        <v>4875</v>
      </c>
      <c r="O649" s="1352" t="s">
        <v>4681</v>
      </c>
      <c r="P649" s="1352"/>
      <c r="Q649" s="1445"/>
      <c r="R649" s="1445"/>
      <c r="S649" s="1445"/>
      <c r="T649" s="1445"/>
      <c r="U649" s="1354"/>
      <c r="V649" s="1354"/>
      <c r="W649" s="1353" t="s">
        <v>2492</v>
      </c>
      <c r="X649" s="1353">
        <v>43101</v>
      </c>
      <c r="Y649" s="1353">
        <v>43466</v>
      </c>
      <c r="Z649" s="1425"/>
      <c r="AA649" s="1355" t="s">
        <v>4991</v>
      </c>
      <c r="AB649" s="1356"/>
      <c r="AC649" s="1356"/>
      <c r="AD649" s="1356"/>
      <c r="AE649" s="1356"/>
      <c r="AF649" s="1357" t="str">
        <f t="shared" si="855"/>
        <v/>
      </c>
      <c r="AG649" s="1358">
        <f t="shared" si="856"/>
        <v>35.479999999999997</v>
      </c>
      <c r="AH649" s="1358">
        <v>425.76</v>
      </c>
      <c r="AI649" s="1359">
        <v>0.1</v>
      </c>
      <c r="AJ649" s="1360">
        <f t="shared" si="922"/>
        <v>3.548</v>
      </c>
      <c r="AK649" s="1361">
        <f t="shared" si="923"/>
        <v>42.576000000000001</v>
      </c>
      <c r="AL649" s="1384">
        <v>0</v>
      </c>
      <c r="AM649" s="1363">
        <f t="shared" si="924"/>
        <v>0</v>
      </c>
      <c r="AN649" s="1364">
        <v>0</v>
      </c>
      <c r="AO649" s="1365">
        <f t="shared" si="925"/>
        <v>0</v>
      </c>
      <c r="AP649" s="1366">
        <v>0</v>
      </c>
      <c r="AQ649" s="1367">
        <f t="shared" si="926"/>
        <v>0</v>
      </c>
      <c r="AR649" s="1368">
        <v>0</v>
      </c>
      <c r="AS649" s="1369">
        <f t="shared" si="927"/>
        <v>0</v>
      </c>
      <c r="AT649" s="1370">
        <v>0.1</v>
      </c>
      <c r="AU649" s="1371">
        <f t="shared" si="928"/>
        <v>42.576000000000001</v>
      </c>
      <c r="AV649" s="1359">
        <f t="shared" si="929"/>
        <v>0</v>
      </c>
      <c r="AW649" s="1372">
        <f t="shared" si="930"/>
        <v>0</v>
      </c>
      <c r="AX649" s="1373">
        <f t="shared" si="931"/>
        <v>0.1</v>
      </c>
      <c r="AY649" s="1374">
        <f t="shared" si="932"/>
        <v>42.576000000000001</v>
      </c>
      <c r="AZ649" s="1375">
        <f t="shared" si="933"/>
        <v>0.1</v>
      </c>
      <c r="BA649" s="1376">
        <f t="shared" si="934"/>
        <v>42.576000000000001</v>
      </c>
      <c r="BB649" s="1391"/>
      <c r="BC649" s="1820"/>
      <c r="BD649" s="1820"/>
      <c r="BE649" s="1823"/>
      <c r="BF649" s="1826"/>
      <c r="BG649" s="1829"/>
    </row>
    <row r="650" spans="1:59" s="1396" customFormat="1" ht="38.25">
      <c r="A650" s="1347" t="str">
        <f t="shared" si="920"/>
        <v>Prime Genomics, Inc.</v>
      </c>
      <c r="B650" s="1347" t="s">
        <v>4835</v>
      </c>
      <c r="C650" s="1348">
        <f t="shared" si="921"/>
        <v>2</v>
      </c>
      <c r="D650" s="1349">
        <v>42826</v>
      </c>
      <c r="E650" s="1349"/>
      <c r="F650" s="1347" t="s">
        <v>113</v>
      </c>
      <c r="G650" s="1347" t="s">
        <v>85</v>
      </c>
      <c r="H650" s="1347" t="s">
        <v>85</v>
      </c>
      <c r="I650" s="1347" t="s">
        <v>113</v>
      </c>
      <c r="J650" s="1349"/>
      <c r="K650" s="1349" t="s">
        <v>254</v>
      </c>
      <c r="L650" s="1350" t="s">
        <v>4682</v>
      </c>
      <c r="M650" s="1350" t="s">
        <v>4683</v>
      </c>
      <c r="N650" s="1386" t="s">
        <v>1249</v>
      </c>
      <c r="O650" s="1352" t="s">
        <v>4684</v>
      </c>
      <c r="P650" s="1387"/>
      <c r="Q650" s="1445"/>
      <c r="R650" s="1445"/>
      <c r="S650" s="1445"/>
      <c r="T650" s="1445"/>
      <c r="U650" s="1445"/>
      <c r="V650" s="1445"/>
      <c r="W650" s="1445"/>
      <c r="X650" s="1353">
        <v>43101</v>
      </c>
      <c r="Y650" s="1353">
        <v>43466</v>
      </c>
      <c r="Z650" s="1425"/>
      <c r="AA650" s="1355" t="s">
        <v>4992</v>
      </c>
      <c r="AB650" s="1356"/>
      <c r="AC650" s="1356"/>
      <c r="AD650" s="1356"/>
      <c r="AE650" s="1356"/>
      <c r="AF650" s="1357" t="str">
        <f t="shared" si="855"/>
        <v/>
      </c>
      <c r="AG650" s="1358">
        <f t="shared" si="856"/>
        <v>27.360000000000003</v>
      </c>
      <c r="AH650" s="1358">
        <f>270.72+57.6</f>
        <v>328.32000000000005</v>
      </c>
      <c r="AI650" s="1359">
        <v>0.15</v>
      </c>
      <c r="AJ650" s="1360">
        <f t="shared" si="922"/>
        <v>4.1040000000000001</v>
      </c>
      <c r="AK650" s="1361">
        <f t="shared" si="923"/>
        <v>49.248000000000005</v>
      </c>
      <c r="AL650" s="1384">
        <v>0</v>
      </c>
      <c r="AM650" s="1363">
        <f t="shared" si="924"/>
        <v>0</v>
      </c>
      <c r="AN650" s="1364">
        <v>0</v>
      </c>
      <c r="AO650" s="1365">
        <f t="shared" si="925"/>
        <v>0</v>
      </c>
      <c r="AP650" s="1366">
        <v>0</v>
      </c>
      <c r="AQ650" s="1367">
        <f t="shared" si="926"/>
        <v>0</v>
      </c>
      <c r="AR650" s="1368">
        <v>0</v>
      </c>
      <c r="AS650" s="1369">
        <f t="shared" si="927"/>
        <v>0</v>
      </c>
      <c r="AT650" s="1370">
        <v>0.15</v>
      </c>
      <c r="AU650" s="1371">
        <f t="shared" si="928"/>
        <v>49.248000000000005</v>
      </c>
      <c r="AV650" s="1359">
        <f t="shared" si="929"/>
        <v>0</v>
      </c>
      <c r="AW650" s="1372">
        <f t="shared" si="930"/>
        <v>0</v>
      </c>
      <c r="AX650" s="1373">
        <f t="shared" si="931"/>
        <v>0.15</v>
      </c>
      <c r="AY650" s="1374">
        <f t="shared" si="932"/>
        <v>49.248000000000005</v>
      </c>
      <c r="AZ650" s="1375">
        <f t="shared" si="933"/>
        <v>0.15</v>
      </c>
      <c r="BA650" s="1376">
        <f t="shared" si="934"/>
        <v>49.248000000000005</v>
      </c>
      <c r="BB650" s="1391"/>
      <c r="BC650" s="1820"/>
      <c r="BD650" s="1820"/>
      <c r="BE650" s="1823"/>
      <c r="BF650" s="1826"/>
      <c r="BG650" s="1829"/>
    </row>
    <row r="651" spans="1:59" s="1396" customFormat="1" ht="38.25">
      <c r="A651" s="1347" t="str">
        <f t="shared" si="920"/>
        <v>Prime Genomics, Inc.</v>
      </c>
      <c r="B651" s="1347" t="s">
        <v>4835</v>
      </c>
      <c r="C651" s="1348">
        <f t="shared" si="921"/>
        <v>2</v>
      </c>
      <c r="D651" s="1349">
        <v>42826</v>
      </c>
      <c r="E651" s="1349"/>
      <c r="F651" s="1347" t="s">
        <v>113</v>
      </c>
      <c r="G651" s="1347" t="s">
        <v>85</v>
      </c>
      <c r="H651" s="1347" t="s">
        <v>85</v>
      </c>
      <c r="I651" s="1347" t="s">
        <v>113</v>
      </c>
      <c r="J651" s="1349"/>
      <c r="K651" s="1349" t="s">
        <v>254</v>
      </c>
      <c r="L651" s="1350" t="s">
        <v>4682</v>
      </c>
      <c r="M651" s="1350" t="s">
        <v>62</v>
      </c>
      <c r="N651" s="1351" t="s">
        <v>81</v>
      </c>
      <c r="O651" s="1352" t="s">
        <v>4688</v>
      </c>
      <c r="P651" s="1352"/>
      <c r="Q651" s="1445"/>
      <c r="R651" s="1445"/>
      <c r="S651" s="1445"/>
      <c r="T651" s="1445"/>
      <c r="U651" s="1445"/>
      <c r="V651" s="1445"/>
      <c r="W651" s="1445"/>
      <c r="X651" s="1353">
        <v>43101</v>
      </c>
      <c r="Y651" s="1353">
        <v>43466</v>
      </c>
      <c r="Z651" s="1425"/>
      <c r="AA651" s="1355" t="s">
        <v>4992</v>
      </c>
      <c r="AB651" s="1356"/>
      <c r="AC651" s="1356"/>
      <c r="AD651" s="1356"/>
      <c r="AE651" s="1356"/>
      <c r="AF651" s="1357" t="str">
        <f t="shared" si="855"/>
        <v/>
      </c>
      <c r="AG651" s="1358">
        <f t="shared" si="856"/>
        <v>26.030833333333334</v>
      </c>
      <c r="AH651" s="1358">
        <v>312.37</v>
      </c>
      <c r="AI651" s="1359">
        <v>0.15</v>
      </c>
      <c r="AJ651" s="1360">
        <f t="shared" si="922"/>
        <v>3.9046249999999998</v>
      </c>
      <c r="AK651" s="1361">
        <f t="shared" si="923"/>
        <v>46.855499999999999</v>
      </c>
      <c r="AL651" s="1384">
        <v>0</v>
      </c>
      <c r="AM651" s="1363">
        <f t="shared" si="924"/>
        <v>0</v>
      </c>
      <c r="AN651" s="1364">
        <v>0</v>
      </c>
      <c r="AO651" s="1365">
        <f t="shared" si="925"/>
        <v>0</v>
      </c>
      <c r="AP651" s="1366">
        <v>0</v>
      </c>
      <c r="AQ651" s="1367">
        <f t="shared" si="926"/>
        <v>0</v>
      </c>
      <c r="AR651" s="1368">
        <v>0</v>
      </c>
      <c r="AS651" s="1369">
        <f t="shared" si="927"/>
        <v>0</v>
      </c>
      <c r="AT651" s="1370">
        <v>0.15</v>
      </c>
      <c r="AU651" s="1371">
        <f t="shared" si="928"/>
        <v>46.855499999999999</v>
      </c>
      <c r="AV651" s="1359">
        <f t="shared" si="929"/>
        <v>0</v>
      </c>
      <c r="AW651" s="1372">
        <f t="shared" si="930"/>
        <v>0</v>
      </c>
      <c r="AX651" s="1373">
        <f t="shared" si="931"/>
        <v>0.15</v>
      </c>
      <c r="AY651" s="1374">
        <f t="shared" si="932"/>
        <v>46.855499999999999</v>
      </c>
      <c r="AZ651" s="1375">
        <f t="shared" si="933"/>
        <v>0.15</v>
      </c>
      <c r="BA651" s="1376">
        <f t="shared" si="934"/>
        <v>46.855499999999999</v>
      </c>
      <c r="BB651" s="1391"/>
      <c r="BC651" s="1820"/>
      <c r="BD651" s="1820"/>
      <c r="BE651" s="1823"/>
      <c r="BF651" s="1826"/>
      <c r="BG651" s="1829"/>
    </row>
    <row r="652" spans="1:59" s="1396" customFormat="1" ht="38.25">
      <c r="A652" s="1347" t="str">
        <f t="shared" si="920"/>
        <v>Prime Genomics, Inc.</v>
      </c>
      <c r="B652" s="1347" t="s">
        <v>4835</v>
      </c>
      <c r="C652" s="1348">
        <f t="shared" si="921"/>
        <v>2</v>
      </c>
      <c r="D652" s="1349">
        <v>42826</v>
      </c>
      <c r="E652" s="1349"/>
      <c r="F652" s="1347" t="s">
        <v>113</v>
      </c>
      <c r="G652" s="1347" t="s">
        <v>85</v>
      </c>
      <c r="H652" s="1347" t="s">
        <v>85</v>
      </c>
      <c r="I652" s="1347" t="s">
        <v>113</v>
      </c>
      <c r="J652" s="1349"/>
      <c r="K652" s="1349" t="s">
        <v>254</v>
      </c>
      <c r="L652" s="1350" t="s">
        <v>4682</v>
      </c>
      <c r="M652" s="1350" t="s">
        <v>67</v>
      </c>
      <c r="N652" s="1351" t="s">
        <v>82</v>
      </c>
      <c r="O652" s="1352" t="s">
        <v>4689</v>
      </c>
      <c r="P652" s="1352"/>
      <c r="Q652" s="1445"/>
      <c r="R652" s="1445"/>
      <c r="S652" s="1445"/>
      <c r="T652" s="1445"/>
      <c r="U652" s="1445"/>
      <c r="V652" s="1445"/>
      <c r="W652" s="1445"/>
      <c r="X652" s="1353">
        <v>43101</v>
      </c>
      <c r="Y652" s="1353">
        <v>43466</v>
      </c>
      <c r="Z652" s="1425"/>
      <c r="AA652" s="1355" t="s">
        <v>4992</v>
      </c>
      <c r="AB652" s="1356"/>
      <c r="AC652" s="1356"/>
      <c r="AD652" s="1356"/>
      <c r="AE652" s="1356"/>
      <c r="AF652" s="1357" t="str">
        <f t="shared" si="855"/>
        <v/>
      </c>
      <c r="AG652" s="1358">
        <f t="shared" si="856"/>
        <v>50</v>
      </c>
      <c r="AH652" s="1358">
        <v>600</v>
      </c>
      <c r="AI652" s="1359">
        <v>0.15</v>
      </c>
      <c r="AJ652" s="1360">
        <f t="shared" si="922"/>
        <v>7.5</v>
      </c>
      <c r="AK652" s="1361">
        <f t="shared" si="923"/>
        <v>90</v>
      </c>
      <c r="AL652" s="1384">
        <v>0</v>
      </c>
      <c r="AM652" s="1363">
        <f t="shared" si="924"/>
        <v>0</v>
      </c>
      <c r="AN652" s="1364">
        <v>0</v>
      </c>
      <c r="AO652" s="1365">
        <f t="shared" si="925"/>
        <v>0</v>
      </c>
      <c r="AP652" s="1366">
        <v>0</v>
      </c>
      <c r="AQ652" s="1367">
        <f t="shared" si="926"/>
        <v>0</v>
      </c>
      <c r="AR652" s="1368">
        <v>0</v>
      </c>
      <c r="AS652" s="1369">
        <f t="shared" si="927"/>
        <v>0</v>
      </c>
      <c r="AT652" s="1370">
        <v>0.15</v>
      </c>
      <c r="AU652" s="1371">
        <f t="shared" si="928"/>
        <v>90</v>
      </c>
      <c r="AV652" s="1359">
        <f t="shared" si="929"/>
        <v>0</v>
      </c>
      <c r="AW652" s="1372">
        <f t="shared" si="930"/>
        <v>0</v>
      </c>
      <c r="AX652" s="1373">
        <f t="shared" si="931"/>
        <v>0.15</v>
      </c>
      <c r="AY652" s="1374">
        <f t="shared" si="932"/>
        <v>90</v>
      </c>
      <c r="AZ652" s="1375">
        <f t="shared" si="933"/>
        <v>0.15</v>
      </c>
      <c r="BA652" s="1376">
        <f t="shared" si="934"/>
        <v>90</v>
      </c>
      <c r="BB652" s="1391"/>
      <c r="BC652" s="1820"/>
      <c r="BD652" s="1820"/>
      <c r="BE652" s="1823"/>
      <c r="BF652" s="1826"/>
      <c r="BG652" s="1829"/>
    </row>
    <row r="653" spans="1:59" s="1378" customFormat="1" ht="34.5" customHeight="1">
      <c r="A653" s="1347" t="s">
        <v>152</v>
      </c>
      <c r="B653" s="1348" t="s">
        <v>4835</v>
      </c>
      <c r="C653" s="1348">
        <f>Z645</f>
        <v>2</v>
      </c>
      <c r="D653" s="1349">
        <v>42826</v>
      </c>
      <c r="E653" s="1349"/>
      <c r="F653" s="1347" t="s">
        <v>72</v>
      </c>
      <c r="G653" s="1347" t="s">
        <v>85</v>
      </c>
      <c r="H653" s="1347" t="s">
        <v>72</v>
      </c>
      <c r="I653" s="1347" t="s">
        <v>72</v>
      </c>
      <c r="J653" s="1349" t="s">
        <v>4670</v>
      </c>
      <c r="K653" s="1349" t="s">
        <v>254</v>
      </c>
      <c r="L653" s="1350" t="s">
        <v>4696</v>
      </c>
      <c r="M653" s="1350" t="s">
        <v>4697</v>
      </c>
      <c r="N653" s="1389" t="s">
        <v>4698</v>
      </c>
      <c r="O653" s="1352" t="s">
        <v>4699</v>
      </c>
      <c r="P653" s="1352"/>
      <c r="Q653" s="1354"/>
      <c r="R653" s="1354"/>
      <c r="S653" s="1354"/>
      <c r="T653" s="1354"/>
      <c r="U653" s="1354"/>
      <c r="V653" s="1354"/>
      <c r="W653" s="1354"/>
      <c r="X653" s="1353">
        <v>43101</v>
      </c>
      <c r="Y653" s="1353">
        <v>43466</v>
      </c>
      <c r="Z653" s="1355"/>
      <c r="AA653" s="1355" t="s">
        <v>4674</v>
      </c>
      <c r="AB653" s="1356"/>
      <c r="AC653" s="1356"/>
      <c r="AD653" s="1356"/>
      <c r="AE653" s="1356"/>
      <c r="AF653" s="1357" t="str">
        <f t="shared" si="855"/>
        <v/>
      </c>
      <c r="AG653" s="1380"/>
      <c r="AH653" s="1380"/>
      <c r="AI653" s="1381">
        <v>0</v>
      </c>
      <c r="AJ653" s="1382">
        <f t="shared" si="922"/>
        <v>0</v>
      </c>
      <c r="AK653" s="1383">
        <f t="shared" si="923"/>
        <v>0</v>
      </c>
      <c r="AL653" s="1384">
        <v>0</v>
      </c>
      <c r="AM653" s="1363">
        <f t="shared" si="924"/>
        <v>0</v>
      </c>
      <c r="AN653" s="1364">
        <v>0</v>
      </c>
      <c r="AO653" s="1365">
        <f t="shared" si="925"/>
        <v>0</v>
      </c>
      <c r="AP653" s="1366">
        <v>0</v>
      </c>
      <c r="AQ653" s="1367">
        <f t="shared" si="926"/>
        <v>0</v>
      </c>
      <c r="AR653" s="1368">
        <v>0</v>
      </c>
      <c r="AS653" s="1369">
        <f t="shared" si="927"/>
        <v>0</v>
      </c>
      <c r="AT653" s="1370">
        <v>0</v>
      </c>
      <c r="AU653" s="1371">
        <f t="shared" si="928"/>
        <v>0</v>
      </c>
      <c r="AV653" s="1359">
        <f t="shared" si="929"/>
        <v>0</v>
      </c>
      <c r="AW653" s="1372">
        <f t="shared" si="930"/>
        <v>0</v>
      </c>
      <c r="AX653" s="1373">
        <f t="shared" si="931"/>
        <v>0</v>
      </c>
      <c r="AY653" s="1374">
        <f t="shared" si="932"/>
        <v>0</v>
      </c>
      <c r="AZ653" s="1375">
        <f t="shared" si="933"/>
        <v>0</v>
      </c>
      <c r="BA653" s="1376">
        <f t="shared" si="934"/>
        <v>0</v>
      </c>
      <c r="BB653" s="1377"/>
      <c r="BC653" s="1820"/>
      <c r="BD653" s="1820"/>
      <c r="BE653" s="1823"/>
      <c r="BF653" s="1826"/>
      <c r="BG653" s="1829"/>
    </row>
    <row r="654" spans="1:59" s="1396" customFormat="1" ht="38.25">
      <c r="A654" s="1347" t="str">
        <f t="shared" si="920"/>
        <v>Prime Genomics, Inc.</v>
      </c>
      <c r="B654" s="1347" t="s">
        <v>4835</v>
      </c>
      <c r="C654" s="1348">
        <f t="shared" si="921"/>
        <v>2</v>
      </c>
      <c r="D654" s="1349">
        <v>42826</v>
      </c>
      <c r="E654" s="1349"/>
      <c r="F654" s="1347" t="s">
        <v>72</v>
      </c>
      <c r="G654" s="1347" t="s">
        <v>85</v>
      </c>
      <c r="H654" s="1347" t="s">
        <v>72</v>
      </c>
      <c r="I654" s="1347" t="s">
        <v>113</v>
      </c>
      <c r="J654" s="1349" t="s">
        <v>4670</v>
      </c>
      <c r="K654" s="1349" t="s">
        <v>254</v>
      </c>
      <c r="L654" s="1350" t="s">
        <v>48</v>
      </c>
      <c r="M654" s="1350" t="s">
        <v>253</v>
      </c>
      <c r="N654" s="1390" t="s">
        <v>4703</v>
      </c>
      <c r="O654" s="1352" t="s">
        <v>5179</v>
      </c>
      <c r="P654" s="1352"/>
      <c r="Q654" s="1445"/>
      <c r="R654" s="1445"/>
      <c r="S654" s="1445"/>
      <c r="T654" s="1445"/>
      <c r="U654" s="1445"/>
      <c r="V654" s="1445"/>
      <c r="W654" s="1445"/>
      <c r="X654" s="1353">
        <v>43101</v>
      </c>
      <c r="Y654" s="1353">
        <v>43466</v>
      </c>
      <c r="Z654" s="1425"/>
      <c r="AA654" s="1355" t="s">
        <v>4674</v>
      </c>
      <c r="AB654" s="1356"/>
      <c r="AC654" s="1356"/>
      <c r="AD654" s="1356"/>
      <c r="AE654" s="1356"/>
      <c r="AF654" s="1357" t="str">
        <f t="shared" si="855"/>
        <v/>
      </c>
      <c r="AG654" s="1380"/>
      <c r="AH654" s="1380"/>
      <c r="AI654" s="1381">
        <v>0</v>
      </c>
      <c r="AJ654" s="1382">
        <f t="shared" si="922"/>
        <v>0</v>
      </c>
      <c r="AK654" s="1383">
        <f t="shared" si="923"/>
        <v>0</v>
      </c>
      <c r="AL654" s="1384">
        <v>0</v>
      </c>
      <c r="AM654" s="1363">
        <f t="shared" si="924"/>
        <v>0</v>
      </c>
      <c r="AN654" s="1364">
        <v>0</v>
      </c>
      <c r="AO654" s="1365">
        <f t="shared" si="925"/>
        <v>0</v>
      </c>
      <c r="AP654" s="1366">
        <v>0</v>
      </c>
      <c r="AQ654" s="1367">
        <f t="shared" si="926"/>
        <v>0</v>
      </c>
      <c r="AR654" s="1368">
        <v>0</v>
      </c>
      <c r="AS654" s="1369">
        <f t="shared" si="927"/>
        <v>0</v>
      </c>
      <c r="AT654" s="1370">
        <v>0</v>
      </c>
      <c r="AU654" s="1371">
        <f t="shared" si="928"/>
        <v>0</v>
      </c>
      <c r="AV654" s="1359">
        <f t="shared" si="929"/>
        <v>0</v>
      </c>
      <c r="AW654" s="1372">
        <f t="shared" si="930"/>
        <v>0</v>
      </c>
      <c r="AX654" s="1373">
        <f t="shared" si="931"/>
        <v>0</v>
      </c>
      <c r="AY654" s="1374">
        <f t="shared" si="932"/>
        <v>0</v>
      </c>
      <c r="AZ654" s="1375">
        <f t="shared" si="933"/>
        <v>0</v>
      </c>
      <c r="BA654" s="1376">
        <f t="shared" si="934"/>
        <v>0</v>
      </c>
      <c r="BB654" s="1391"/>
      <c r="BC654" s="1820"/>
      <c r="BD654" s="1820"/>
      <c r="BE654" s="1823"/>
      <c r="BF654" s="1826"/>
      <c r="BG654" s="1829"/>
    </row>
    <row r="655" spans="1:59" s="1396" customFormat="1" ht="38.25">
      <c r="A655" s="1347" t="str">
        <f t="shared" si="920"/>
        <v>Prime Genomics, Inc.</v>
      </c>
      <c r="B655" s="1347" t="s">
        <v>4835</v>
      </c>
      <c r="C655" s="1348">
        <f t="shared" si="921"/>
        <v>2</v>
      </c>
      <c r="D655" s="1349">
        <v>42826</v>
      </c>
      <c r="E655" s="1349"/>
      <c r="F655" s="1347" t="s">
        <v>72</v>
      </c>
      <c r="G655" s="1347" t="s">
        <v>85</v>
      </c>
      <c r="H655" s="1347" t="s">
        <v>72</v>
      </c>
      <c r="I655" s="1347" t="s">
        <v>72</v>
      </c>
      <c r="J655" s="1349" t="s">
        <v>4670</v>
      </c>
      <c r="K655" s="1349" t="s">
        <v>254</v>
      </c>
      <c r="L655" s="1350" t="s">
        <v>49</v>
      </c>
      <c r="M655" s="1350" t="s">
        <v>4705</v>
      </c>
      <c r="N655" s="1390" t="s">
        <v>4784</v>
      </c>
      <c r="O655" s="1352" t="s">
        <v>5104</v>
      </c>
      <c r="P655" s="1352"/>
      <c r="Q655" s="1445"/>
      <c r="R655" s="1445"/>
      <c r="S655" s="1445"/>
      <c r="T655" s="1445"/>
      <c r="U655" s="1445"/>
      <c r="V655" s="1445"/>
      <c r="W655" s="1445"/>
      <c r="X655" s="1353">
        <v>43101</v>
      </c>
      <c r="Y655" s="1353">
        <v>43466</v>
      </c>
      <c r="Z655" s="1425"/>
      <c r="AA655" s="1355" t="s">
        <v>4674</v>
      </c>
      <c r="AB655" s="1394"/>
      <c r="AC655" s="1394"/>
      <c r="AD655" s="1356"/>
      <c r="AE655" s="1356"/>
      <c r="AF655" s="1357" t="str">
        <f t="shared" si="855"/>
        <v/>
      </c>
      <c r="AG655" s="1380"/>
      <c r="AH655" s="1380"/>
      <c r="AI655" s="1381">
        <v>0</v>
      </c>
      <c r="AJ655" s="1382">
        <f t="shared" si="922"/>
        <v>0</v>
      </c>
      <c r="AK655" s="1383">
        <f t="shared" si="923"/>
        <v>0</v>
      </c>
      <c r="AL655" s="1384">
        <v>0</v>
      </c>
      <c r="AM655" s="1363">
        <f t="shared" si="924"/>
        <v>0</v>
      </c>
      <c r="AN655" s="1364">
        <v>0</v>
      </c>
      <c r="AO655" s="1365">
        <f t="shared" si="925"/>
        <v>0</v>
      </c>
      <c r="AP655" s="1366">
        <v>0</v>
      </c>
      <c r="AQ655" s="1367">
        <f t="shared" si="926"/>
        <v>0</v>
      </c>
      <c r="AR655" s="1368">
        <v>0</v>
      </c>
      <c r="AS655" s="1369">
        <f t="shared" si="927"/>
        <v>0</v>
      </c>
      <c r="AT655" s="1370">
        <v>0</v>
      </c>
      <c r="AU655" s="1371">
        <f t="shared" si="928"/>
        <v>0</v>
      </c>
      <c r="AV655" s="1359">
        <f t="shared" si="929"/>
        <v>0</v>
      </c>
      <c r="AW655" s="1372">
        <f t="shared" si="930"/>
        <v>0</v>
      </c>
      <c r="AX655" s="1373">
        <f t="shared" si="931"/>
        <v>0</v>
      </c>
      <c r="AY655" s="1374">
        <f t="shared" si="932"/>
        <v>0</v>
      </c>
      <c r="AZ655" s="1375">
        <f t="shared" si="933"/>
        <v>0</v>
      </c>
      <c r="BA655" s="1376">
        <f t="shared" si="934"/>
        <v>0</v>
      </c>
      <c r="BB655" s="1391"/>
      <c r="BC655" s="1820"/>
      <c r="BD655" s="1820"/>
      <c r="BE655" s="1823"/>
      <c r="BF655" s="1826"/>
      <c r="BG655" s="1829"/>
    </row>
    <row r="656" spans="1:59" s="1378" customFormat="1" ht="21.75" customHeight="1">
      <c r="A656" s="1347" t="str">
        <f>A655</f>
        <v>Prime Genomics, Inc.</v>
      </c>
      <c r="B656" s="1348" t="str">
        <f>B655</f>
        <v>Duenas</v>
      </c>
      <c r="C656" s="1348">
        <f>C655</f>
        <v>2</v>
      </c>
      <c r="D656" s="1349">
        <v>42826</v>
      </c>
      <c r="E656" s="1349"/>
      <c r="F656" s="1347" t="s">
        <v>72</v>
      </c>
      <c r="G656" s="1347" t="s">
        <v>85</v>
      </c>
      <c r="H656" s="1347" t="s">
        <v>72</v>
      </c>
      <c r="I656" s="1347" t="s">
        <v>72</v>
      </c>
      <c r="J656" s="1349" t="s">
        <v>4670</v>
      </c>
      <c r="K656" s="1349" t="s">
        <v>254</v>
      </c>
      <c r="L656" s="1350" t="s">
        <v>3056</v>
      </c>
      <c r="M656" s="1350" t="s">
        <v>4708</v>
      </c>
      <c r="N656" s="1390" t="s">
        <v>4709</v>
      </c>
      <c r="O656" s="1352" t="s">
        <v>4710</v>
      </c>
      <c r="P656" s="1352"/>
      <c r="Q656" s="1354"/>
      <c r="R656" s="1354"/>
      <c r="S656" s="1354"/>
      <c r="T656" s="1354"/>
      <c r="U656" s="1354"/>
      <c r="V656" s="1354"/>
      <c r="W656" s="1354"/>
      <c r="X656" s="1353">
        <v>43101</v>
      </c>
      <c r="Y656" s="1353">
        <v>43466</v>
      </c>
      <c r="Z656" s="1355"/>
      <c r="AA656" s="1355" t="s">
        <v>4674</v>
      </c>
      <c r="AB656" s="1356"/>
      <c r="AC656" s="1356"/>
      <c r="AD656" s="1356"/>
      <c r="AE656" s="1356"/>
      <c r="AF656" s="1357" t="str">
        <f t="shared" si="855"/>
        <v/>
      </c>
      <c r="AG656" s="1380"/>
      <c r="AH656" s="1380"/>
      <c r="AI656" s="1381">
        <v>0</v>
      </c>
      <c r="AJ656" s="1382">
        <f t="shared" si="922"/>
        <v>0</v>
      </c>
      <c r="AK656" s="1383">
        <f t="shared" si="923"/>
        <v>0</v>
      </c>
      <c r="AL656" s="1384">
        <v>0</v>
      </c>
      <c r="AM656" s="1363">
        <f t="shared" si="924"/>
        <v>0</v>
      </c>
      <c r="AN656" s="1364">
        <v>0</v>
      </c>
      <c r="AO656" s="1365">
        <f t="shared" si="925"/>
        <v>0</v>
      </c>
      <c r="AP656" s="1366">
        <v>0</v>
      </c>
      <c r="AQ656" s="1367">
        <f t="shared" si="926"/>
        <v>0</v>
      </c>
      <c r="AR656" s="1368">
        <v>0</v>
      </c>
      <c r="AS656" s="1369">
        <f t="shared" si="927"/>
        <v>0</v>
      </c>
      <c r="AT656" s="1370">
        <v>0</v>
      </c>
      <c r="AU656" s="1371">
        <f t="shared" si="928"/>
        <v>0</v>
      </c>
      <c r="AV656" s="1359">
        <f t="shared" si="929"/>
        <v>0</v>
      </c>
      <c r="AW656" s="1372">
        <f t="shared" si="930"/>
        <v>0</v>
      </c>
      <c r="AX656" s="1373">
        <f t="shared" si="931"/>
        <v>0</v>
      </c>
      <c r="AY656" s="1374">
        <f t="shared" si="932"/>
        <v>0</v>
      </c>
      <c r="AZ656" s="1375">
        <f t="shared" si="933"/>
        <v>0</v>
      </c>
      <c r="BA656" s="1376">
        <f t="shared" si="934"/>
        <v>0</v>
      </c>
      <c r="BB656" s="1391"/>
      <c r="BC656" s="1821"/>
      <c r="BD656" s="1821"/>
      <c r="BE656" s="1824"/>
      <c r="BF656" s="1827"/>
      <c r="BG656" s="1830"/>
    </row>
    <row r="657" spans="1:59" s="1315" customFormat="1" ht="25.5">
      <c r="A657" s="1277" t="str">
        <f t="shared" ref="A657:A669" si="935">$L$657</f>
        <v>Pro-Dex, Inc.</v>
      </c>
      <c r="B657" s="1277" t="s">
        <v>4726</v>
      </c>
      <c r="C657" s="1316">
        <f t="shared" ref="C657:C669" si="936">$Z$657</f>
        <v>77</v>
      </c>
      <c r="D657" s="1317">
        <v>42705</v>
      </c>
      <c r="E657" s="1317"/>
      <c r="F657" s="1277" t="s">
        <v>72</v>
      </c>
      <c r="G657" s="1277" t="s">
        <v>72</v>
      </c>
      <c r="H657" s="1277" t="s">
        <v>72</v>
      </c>
      <c r="I657" s="1277" t="s">
        <v>4711</v>
      </c>
      <c r="J657" s="1317"/>
      <c r="K657" s="1317"/>
      <c r="L657" s="1318" t="s">
        <v>154</v>
      </c>
      <c r="M657" s="1319"/>
      <c r="N657" s="1281" t="s">
        <v>3653</v>
      </c>
      <c r="O657" s="1392" t="s">
        <v>2474</v>
      </c>
      <c r="P657" s="1392"/>
      <c r="Q657" s="1322"/>
      <c r="R657" s="1322"/>
      <c r="S657" s="1322"/>
      <c r="T657" s="1322"/>
      <c r="U657" s="1322"/>
      <c r="V657" s="1322"/>
      <c r="W657" s="1322"/>
      <c r="X657" s="1317">
        <v>43101</v>
      </c>
      <c r="Y657" s="1317">
        <v>43466</v>
      </c>
      <c r="Z657" s="1316">
        <v>77</v>
      </c>
      <c r="AA657" s="1316" t="s">
        <v>5180</v>
      </c>
      <c r="AB657" s="1323">
        <f>SUM(AB658:AB670)</f>
        <v>0</v>
      </c>
      <c r="AC657" s="1323">
        <f>SUM(AC658:AC670)</f>
        <v>0</v>
      </c>
      <c r="AD657" s="1323">
        <f>SUM(AD658:AD670)</f>
        <v>0</v>
      </c>
      <c r="AE657" s="1324">
        <f t="shared" si="809"/>
        <v>0</v>
      </c>
      <c r="AF657" s="1325" t="str">
        <f t="shared" si="855"/>
        <v/>
      </c>
      <c r="AG657" s="1326">
        <f t="shared" si="856"/>
        <v>73565.976666666655</v>
      </c>
      <c r="AH657" s="1326">
        <f>SUM(AH658:AH670)</f>
        <v>882791.71999999986</v>
      </c>
      <c r="AI657" s="1327"/>
      <c r="AJ657" s="1328">
        <f>SUM(AJ658:AJ670)</f>
        <v>6135.9801000000007</v>
      </c>
      <c r="AK657" s="1328">
        <f>SUM(AK658:AK670)</f>
        <v>73631.761199999994</v>
      </c>
      <c r="AL657" s="1329"/>
      <c r="AM657" s="1330">
        <f>SUM(AM658:AM670)</f>
        <v>3913.5942</v>
      </c>
      <c r="AN657" s="1331"/>
      <c r="AO657" s="1332">
        <f>SUM(AO658:AO670)</f>
        <v>0</v>
      </c>
      <c r="AP657" s="1333"/>
      <c r="AQ657" s="1334">
        <f>SUM(AQ658:AQ670)</f>
        <v>39717.3704</v>
      </c>
      <c r="AR657" s="1335"/>
      <c r="AS657" s="1336">
        <f>SUM(AS658:AS670)</f>
        <v>0</v>
      </c>
      <c r="AT657" s="1337"/>
      <c r="AU657" s="1338">
        <f>SUM(AU658:AU670)</f>
        <v>19567.971000000001</v>
      </c>
      <c r="AV657" s="1339"/>
      <c r="AW657" s="1340">
        <f>SUM(AW658:AW670)</f>
        <v>10432.825599999996</v>
      </c>
      <c r="AX657" s="1306"/>
      <c r="AY657" s="1307">
        <f>SUM(AW657+AS657+AU657)</f>
        <v>30000.796599999998</v>
      </c>
      <c r="AZ657" s="1341"/>
      <c r="BA657" s="1309">
        <f>SUM(AY657+AQ657)</f>
        <v>69718.167000000001</v>
      </c>
      <c r="BB657" s="1342">
        <f>(AW657+AU657)/(AK657-AM657)</f>
        <v>0.43031533803807553</v>
      </c>
      <c r="BC657" s="1343"/>
      <c r="BD657" s="1343"/>
      <c r="BE657" s="1344"/>
      <c r="BF657" s="1393" t="s">
        <v>5181</v>
      </c>
      <c r="BG657" s="1346"/>
    </row>
    <row r="658" spans="1:59" s="1396" customFormat="1" ht="76.5">
      <c r="A658" s="1347" t="str">
        <f t="shared" si="935"/>
        <v>Pro-Dex, Inc.</v>
      </c>
      <c r="B658" s="1347" t="s">
        <v>4726</v>
      </c>
      <c r="C658" s="1348">
        <f t="shared" si="936"/>
        <v>77</v>
      </c>
      <c r="D658" s="1349">
        <v>42705</v>
      </c>
      <c r="E658" s="1349"/>
      <c r="F658" s="1347" t="s">
        <v>85</v>
      </c>
      <c r="G658" s="1347" t="s">
        <v>85</v>
      </c>
      <c r="H658" s="1347" t="s">
        <v>85</v>
      </c>
      <c r="I658" s="1347" t="s">
        <v>113</v>
      </c>
      <c r="J658" s="1349"/>
      <c r="K658" s="1349" t="s">
        <v>254</v>
      </c>
      <c r="L658" s="1350" t="s">
        <v>2661</v>
      </c>
      <c r="M658" s="1350" t="s">
        <v>3647</v>
      </c>
      <c r="N658" s="1351" t="s">
        <v>5182</v>
      </c>
      <c r="O658" s="1352" t="s">
        <v>5183</v>
      </c>
      <c r="P658" s="1352" t="s">
        <v>4797</v>
      </c>
      <c r="Q658" s="1353" t="s">
        <v>317</v>
      </c>
      <c r="R658" s="1353" t="s">
        <v>3656</v>
      </c>
      <c r="S658" s="1353" t="s">
        <v>307</v>
      </c>
      <c r="T658" s="1353" t="s">
        <v>113</v>
      </c>
      <c r="U658" s="1445"/>
      <c r="V658" s="1445"/>
      <c r="W658" s="1445"/>
      <c r="X658" s="1353">
        <v>43101</v>
      </c>
      <c r="Y658" s="1353">
        <v>43466</v>
      </c>
      <c r="Z658" s="1425"/>
      <c r="AA658" s="1355" t="s">
        <v>4667</v>
      </c>
      <c r="AB658" s="1394"/>
      <c r="AC658" s="1394"/>
      <c r="AD658" s="1356"/>
      <c r="AE658" s="1356"/>
      <c r="AF658" s="1357" t="str">
        <f t="shared" si="855"/>
        <v/>
      </c>
      <c r="AG658" s="1358">
        <f t="shared" si="856"/>
        <v>65226.57</v>
      </c>
      <c r="AH658" s="1358">
        <v>782718.84</v>
      </c>
      <c r="AI658" s="1359">
        <v>0.08</v>
      </c>
      <c r="AJ658" s="1360">
        <f>$AI658*$AG658</f>
        <v>5218.1256000000003</v>
      </c>
      <c r="AK658" s="1361">
        <f t="shared" ref="AK658:AK670" si="937">AI658*$AH658</f>
        <v>62617.5072</v>
      </c>
      <c r="AL658" s="1362">
        <v>5.0000000000000001E-3</v>
      </c>
      <c r="AM658" s="1363">
        <f t="shared" ref="AM658:AM670" si="938">AL658*$AH658</f>
        <v>3913.5942</v>
      </c>
      <c r="AN658" s="1364">
        <v>0</v>
      </c>
      <c r="AO658" s="1365">
        <f t="shared" ref="AO658:AO670" si="939">AN658*$AH658</f>
        <v>0</v>
      </c>
      <c r="AP658" s="1366">
        <v>0.04</v>
      </c>
      <c r="AQ658" s="1367">
        <f t="shared" ref="AQ658:AQ670" si="940">AP658*$AH658</f>
        <v>31308.7536</v>
      </c>
      <c r="AR658" s="1368">
        <v>0</v>
      </c>
      <c r="AS658" s="1369">
        <f t="shared" ref="AS658:AS670" si="941">AR658*$AH658</f>
        <v>0</v>
      </c>
      <c r="AT658" s="1370">
        <v>2.5000000000000001E-2</v>
      </c>
      <c r="AU658" s="1371">
        <f t="shared" ref="AU658:AU670" si="942">AT658*$AH658</f>
        <v>19567.971000000001</v>
      </c>
      <c r="AV658" s="1359">
        <f t="shared" ref="AV658:AV670" si="943">AZ658-AR658-AT658-AP658</f>
        <v>9.999999999999995E-3</v>
      </c>
      <c r="AW658" s="1372">
        <f t="shared" ref="AW658:AW670" si="944">AV658*$AH658</f>
        <v>7827.1883999999955</v>
      </c>
      <c r="AX658" s="1373">
        <f t="shared" ref="AX658:AX670" si="945">$AZ658-$AP658</f>
        <v>3.4999999999999996E-2</v>
      </c>
      <c r="AY658" s="1374">
        <f t="shared" ref="AY658:AY670" si="946">AX658*$AH658</f>
        <v>27395.159399999997</v>
      </c>
      <c r="AZ658" s="1375">
        <f t="shared" ref="AZ658:AZ670" si="947">$AI658-$AL658-$AN658</f>
        <v>7.4999999999999997E-2</v>
      </c>
      <c r="BA658" s="1376">
        <f t="shared" ref="BA658:BA670" si="948">AZ658*$AH658</f>
        <v>58703.912999999993</v>
      </c>
      <c r="BB658" s="1377"/>
      <c r="BC658" s="1819" t="s">
        <v>155</v>
      </c>
      <c r="BD658" s="1819" t="s">
        <v>227</v>
      </c>
      <c r="BE658" s="1822" t="s">
        <v>227</v>
      </c>
      <c r="BF658" s="1825" t="s">
        <v>156</v>
      </c>
      <c r="BG658" s="1828">
        <v>841261240</v>
      </c>
    </row>
    <row r="659" spans="1:59" s="1396" customFormat="1" ht="25.5">
      <c r="A659" s="1347" t="str">
        <f t="shared" si="935"/>
        <v>Pro-Dex, Inc.</v>
      </c>
      <c r="B659" s="1347" t="s">
        <v>4726</v>
      </c>
      <c r="C659" s="1348">
        <f t="shared" si="936"/>
        <v>77</v>
      </c>
      <c r="D659" s="1349">
        <v>42705</v>
      </c>
      <c r="E659" s="1349"/>
      <c r="F659" s="1347" t="s">
        <v>72</v>
      </c>
      <c r="G659" s="1347" t="s">
        <v>85</v>
      </c>
      <c r="H659" s="1347" t="s">
        <v>72</v>
      </c>
      <c r="I659" s="1347" t="s">
        <v>72</v>
      </c>
      <c r="J659" s="1349" t="s">
        <v>4670</v>
      </c>
      <c r="K659" s="1349" t="s">
        <v>254</v>
      </c>
      <c r="L659" s="1350" t="s">
        <v>4671</v>
      </c>
      <c r="M659" s="1350" t="s">
        <v>3649</v>
      </c>
      <c r="N659" s="1379" t="s">
        <v>4820</v>
      </c>
      <c r="O659" s="1352" t="s">
        <v>5184</v>
      </c>
      <c r="P659" s="1449"/>
      <c r="Q659" s="1445"/>
      <c r="R659" s="1445"/>
      <c r="S659" s="1445"/>
      <c r="T659" s="1445"/>
      <c r="U659" s="1445"/>
      <c r="V659" s="1445"/>
      <c r="W659" s="1445"/>
      <c r="X659" s="1353">
        <v>43101</v>
      </c>
      <c r="Y659" s="1353">
        <v>43466</v>
      </c>
      <c r="Z659" s="1425"/>
      <c r="AA659" s="1355" t="s">
        <v>4674</v>
      </c>
      <c r="AB659" s="1394"/>
      <c r="AC659" s="1394"/>
      <c r="AD659" s="1356"/>
      <c r="AE659" s="1356"/>
      <c r="AF659" s="1357" t="str">
        <f t="shared" si="855"/>
        <v/>
      </c>
      <c r="AG659" s="1380"/>
      <c r="AH659" s="1380"/>
      <c r="AI659" s="1381">
        <v>0</v>
      </c>
      <c r="AJ659" s="1382">
        <f>$AI659*$AG659</f>
        <v>0</v>
      </c>
      <c r="AK659" s="1383">
        <f t="shared" si="937"/>
        <v>0</v>
      </c>
      <c r="AL659" s="1384">
        <v>0</v>
      </c>
      <c r="AM659" s="1363">
        <f t="shared" si="938"/>
        <v>0</v>
      </c>
      <c r="AN659" s="1364">
        <v>0</v>
      </c>
      <c r="AO659" s="1365">
        <f t="shared" si="939"/>
        <v>0</v>
      </c>
      <c r="AP659" s="1366">
        <v>0</v>
      </c>
      <c r="AQ659" s="1367">
        <f t="shared" si="940"/>
        <v>0</v>
      </c>
      <c r="AR659" s="1368">
        <v>0</v>
      </c>
      <c r="AS659" s="1369">
        <f t="shared" si="941"/>
        <v>0</v>
      </c>
      <c r="AT659" s="1370">
        <v>0</v>
      </c>
      <c r="AU659" s="1371">
        <f t="shared" si="942"/>
        <v>0</v>
      </c>
      <c r="AV659" s="1359">
        <f t="shared" si="943"/>
        <v>0</v>
      </c>
      <c r="AW659" s="1372">
        <f t="shared" si="944"/>
        <v>0</v>
      </c>
      <c r="AX659" s="1373">
        <f t="shared" si="945"/>
        <v>0</v>
      </c>
      <c r="AY659" s="1374">
        <f t="shared" si="946"/>
        <v>0</v>
      </c>
      <c r="AZ659" s="1375">
        <f t="shared" si="947"/>
        <v>0</v>
      </c>
      <c r="BA659" s="1376">
        <f t="shared" si="948"/>
        <v>0</v>
      </c>
      <c r="BB659" s="1377"/>
      <c r="BC659" s="1820"/>
      <c r="BD659" s="1820"/>
      <c r="BE659" s="1823"/>
      <c r="BF659" s="1826"/>
      <c r="BG659" s="1829"/>
    </row>
    <row r="660" spans="1:59" s="1378" customFormat="1" ht="30" customHeight="1">
      <c r="A660" s="1347" t="str">
        <f t="shared" si="935"/>
        <v>Pro-Dex, Inc.</v>
      </c>
      <c r="B660" s="1347" t="s">
        <v>4726</v>
      </c>
      <c r="C660" s="1348">
        <f t="shared" si="936"/>
        <v>77</v>
      </c>
      <c r="D660" s="1349">
        <v>42705</v>
      </c>
      <c r="E660" s="1349"/>
      <c r="F660" s="1347" t="s">
        <v>113</v>
      </c>
      <c r="G660" s="1347" t="s">
        <v>113</v>
      </c>
      <c r="H660" s="1347" t="s">
        <v>113</v>
      </c>
      <c r="I660" s="1347" t="s">
        <v>113</v>
      </c>
      <c r="J660" s="1349"/>
      <c r="K660" s="1349"/>
      <c r="L660" s="1397" t="s">
        <v>4767</v>
      </c>
      <c r="M660" s="1397" t="s">
        <v>3647</v>
      </c>
      <c r="N660" s="1398" t="s">
        <v>5185</v>
      </c>
      <c r="O660" s="1399">
        <v>228693</v>
      </c>
      <c r="P660" s="1399"/>
      <c r="Q660" s="1400"/>
      <c r="R660" s="1400"/>
      <c r="S660" s="1400"/>
      <c r="T660" s="1400"/>
      <c r="U660" s="1400"/>
      <c r="V660" s="1400"/>
      <c r="W660" s="1400"/>
      <c r="X660" s="1482">
        <v>43070</v>
      </c>
      <c r="Y660" s="1482">
        <v>43435</v>
      </c>
      <c r="Z660" s="1401"/>
      <c r="AA660" s="1401" t="s">
        <v>4736</v>
      </c>
      <c r="AB660" s="1369"/>
      <c r="AC660" s="1369"/>
      <c r="AD660" s="1369"/>
      <c r="AE660" s="1369"/>
      <c r="AF660" s="1403" t="str">
        <f t="shared" si="855"/>
        <v/>
      </c>
      <c r="AG660" s="1404"/>
      <c r="AH660" s="1404"/>
      <c r="AI660" s="1405">
        <v>0</v>
      </c>
      <c r="AJ660" s="1406">
        <v>0</v>
      </c>
      <c r="AK660" s="1406">
        <v>0</v>
      </c>
      <c r="AL660" s="1384">
        <v>0</v>
      </c>
      <c r="AM660" s="1363">
        <f t="shared" si="938"/>
        <v>0</v>
      </c>
      <c r="AN660" s="1364">
        <v>0</v>
      </c>
      <c r="AO660" s="1365">
        <f t="shared" si="939"/>
        <v>0</v>
      </c>
      <c r="AP660" s="1366">
        <v>0.06</v>
      </c>
      <c r="AQ660" s="1367">
        <f t="shared" si="940"/>
        <v>0</v>
      </c>
      <c r="AR660" s="1368">
        <v>0</v>
      </c>
      <c r="AS660" s="1369">
        <f t="shared" si="941"/>
        <v>0</v>
      </c>
      <c r="AT660" s="1407">
        <v>0</v>
      </c>
      <c r="AU660" s="1371">
        <f t="shared" si="942"/>
        <v>0</v>
      </c>
      <c r="AV660" s="1408">
        <f t="shared" si="943"/>
        <v>-0.06</v>
      </c>
      <c r="AW660" s="1372">
        <f t="shared" si="944"/>
        <v>0</v>
      </c>
      <c r="AX660" s="1409">
        <f t="shared" si="945"/>
        <v>-0.06</v>
      </c>
      <c r="AY660" s="1374">
        <f t="shared" si="946"/>
        <v>0</v>
      </c>
      <c r="AZ660" s="1375">
        <f t="shared" si="947"/>
        <v>0</v>
      </c>
      <c r="BA660" s="1376">
        <f t="shared" si="948"/>
        <v>0</v>
      </c>
      <c r="BB660" s="1377"/>
      <c r="BC660" s="1820"/>
      <c r="BD660" s="1820"/>
      <c r="BE660" s="1823"/>
      <c r="BF660" s="1826"/>
      <c r="BG660" s="1829"/>
    </row>
    <row r="661" spans="1:59" s="1396" customFormat="1" ht="63" customHeight="1">
      <c r="A661" s="1347" t="str">
        <f t="shared" si="935"/>
        <v>Pro-Dex, Inc.</v>
      </c>
      <c r="B661" s="1347" t="s">
        <v>4726</v>
      </c>
      <c r="C661" s="1348">
        <f t="shared" si="936"/>
        <v>77</v>
      </c>
      <c r="D661" s="1349">
        <v>42705</v>
      </c>
      <c r="E661" s="1349"/>
      <c r="F661" s="1347" t="s">
        <v>113</v>
      </c>
      <c r="G661" s="1347" t="s">
        <v>85</v>
      </c>
      <c r="H661" s="1347" t="s">
        <v>85</v>
      </c>
      <c r="I661" s="1347" t="s">
        <v>113</v>
      </c>
      <c r="J661" s="1349"/>
      <c r="K661" s="1349" t="s">
        <v>254</v>
      </c>
      <c r="L661" s="1350" t="s">
        <v>4675</v>
      </c>
      <c r="M661" s="1350" t="s">
        <v>3650</v>
      </c>
      <c r="N661" s="1385" t="s">
        <v>5186</v>
      </c>
      <c r="O661" s="1352" t="s">
        <v>4677</v>
      </c>
      <c r="P661" s="1449"/>
      <c r="Q661" s="1445"/>
      <c r="R661" s="1445"/>
      <c r="S661" s="1445"/>
      <c r="T661" s="1445"/>
      <c r="U661" s="1353" t="s">
        <v>4802</v>
      </c>
      <c r="V661" s="1353" t="s">
        <v>2482</v>
      </c>
      <c r="W661" s="1354"/>
      <c r="X661" s="1353">
        <v>43101</v>
      </c>
      <c r="Y661" s="1353">
        <v>43466</v>
      </c>
      <c r="Z661" s="1425"/>
      <c r="AA661" s="1355" t="s">
        <v>4679</v>
      </c>
      <c r="AB661" s="1394"/>
      <c r="AC661" s="1394"/>
      <c r="AD661" s="1356"/>
      <c r="AE661" s="1356"/>
      <c r="AF661" s="1357" t="str">
        <f t="shared" si="855"/>
        <v/>
      </c>
      <c r="AG661" s="1358">
        <f t="shared" ref="AG661:AG731" si="949">AH661/12</f>
        <v>5842.78</v>
      </c>
      <c r="AH661" s="1358">
        <v>70113.36</v>
      </c>
      <c r="AI661" s="1359">
        <v>0.1</v>
      </c>
      <c r="AJ661" s="1360">
        <f t="shared" ref="AJ661:AJ670" si="950">$AI661*$AG661</f>
        <v>584.27800000000002</v>
      </c>
      <c r="AK661" s="1361">
        <f t="shared" si="937"/>
        <v>7011.3360000000002</v>
      </c>
      <c r="AL661" s="1384">
        <v>0</v>
      </c>
      <c r="AM661" s="1363">
        <f t="shared" si="938"/>
        <v>0</v>
      </c>
      <c r="AN661" s="1364">
        <v>0</v>
      </c>
      <c r="AO661" s="1365">
        <f t="shared" si="939"/>
        <v>0</v>
      </c>
      <c r="AP661" s="1366">
        <v>0.08</v>
      </c>
      <c r="AQ661" s="1367">
        <f t="shared" si="940"/>
        <v>5609.0688</v>
      </c>
      <c r="AR661" s="1368">
        <v>0</v>
      </c>
      <c r="AS661" s="1369">
        <f t="shared" si="941"/>
        <v>0</v>
      </c>
      <c r="AT661" s="1370">
        <v>0</v>
      </c>
      <c r="AU661" s="1371">
        <f t="shared" si="942"/>
        <v>0</v>
      </c>
      <c r="AV661" s="1359">
        <f t="shared" si="943"/>
        <v>2.0000000000000004E-2</v>
      </c>
      <c r="AW661" s="1372">
        <f t="shared" si="944"/>
        <v>1402.2672000000002</v>
      </c>
      <c r="AX661" s="1373">
        <f t="shared" si="945"/>
        <v>2.0000000000000004E-2</v>
      </c>
      <c r="AY661" s="1374">
        <f t="shared" si="946"/>
        <v>1402.2672000000002</v>
      </c>
      <c r="AZ661" s="1375">
        <f t="shared" si="947"/>
        <v>0.1</v>
      </c>
      <c r="BA661" s="1376">
        <f t="shared" si="948"/>
        <v>7011.3360000000002</v>
      </c>
      <c r="BB661" s="1377"/>
      <c r="BC661" s="1820"/>
      <c r="BD661" s="1820"/>
      <c r="BE661" s="1823"/>
      <c r="BF661" s="1826"/>
      <c r="BG661" s="1829"/>
    </row>
    <row r="662" spans="1:59" s="1378" customFormat="1" ht="27" customHeight="1">
      <c r="A662" s="1347" t="str">
        <f t="shared" si="935"/>
        <v>Pro-Dex, Inc.</v>
      </c>
      <c r="B662" s="1347" t="s">
        <v>4726</v>
      </c>
      <c r="C662" s="1348">
        <f t="shared" si="936"/>
        <v>77</v>
      </c>
      <c r="D662" s="1349">
        <v>42705</v>
      </c>
      <c r="E662" s="1349"/>
      <c r="F662" s="1347" t="s">
        <v>113</v>
      </c>
      <c r="G662" s="1347" t="s">
        <v>85</v>
      </c>
      <c r="H662" s="1347" t="s">
        <v>85</v>
      </c>
      <c r="I662" s="1347" t="s">
        <v>113</v>
      </c>
      <c r="J662" s="1349"/>
      <c r="K662" s="1349" t="s">
        <v>254</v>
      </c>
      <c r="L662" s="1350" t="s">
        <v>4675</v>
      </c>
      <c r="M662" s="1350" t="s">
        <v>3651</v>
      </c>
      <c r="N662" s="1351" t="s">
        <v>4680</v>
      </c>
      <c r="O662" s="1352" t="s">
        <v>4681</v>
      </c>
      <c r="P662" s="1449"/>
      <c r="Q662" s="1445"/>
      <c r="R662" s="1445"/>
      <c r="S662" s="1445"/>
      <c r="T662" s="1445"/>
      <c r="U662" s="1354"/>
      <c r="V662" s="1354"/>
      <c r="W662" s="1353" t="s">
        <v>2482</v>
      </c>
      <c r="X662" s="1353">
        <v>43101</v>
      </c>
      <c r="Y662" s="1353">
        <v>43466</v>
      </c>
      <c r="Z662" s="1355"/>
      <c r="AA662" s="1355" t="s">
        <v>4679</v>
      </c>
      <c r="AB662" s="1356"/>
      <c r="AC662" s="1356"/>
      <c r="AD662" s="1356"/>
      <c r="AE662" s="1356"/>
      <c r="AF662" s="1357" t="str">
        <f t="shared" si="855"/>
        <v/>
      </c>
      <c r="AG662" s="1358">
        <f t="shared" si="949"/>
        <v>818.35</v>
      </c>
      <c r="AH662" s="1358">
        <v>9820.2000000000007</v>
      </c>
      <c r="AI662" s="1359">
        <v>0.1</v>
      </c>
      <c r="AJ662" s="1360">
        <f t="shared" si="950"/>
        <v>81.835000000000008</v>
      </c>
      <c r="AK662" s="1361">
        <f t="shared" si="937"/>
        <v>982.0200000000001</v>
      </c>
      <c r="AL662" s="1384">
        <v>0</v>
      </c>
      <c r="AM662" s="1363">
        <f t="shared" si="938"/>
        <v>0</v>
      </c>
      <c r="AN662" s="1364">
        <v>0</v>
      </c>
      <c r="AO662" s="1365">
        <f t="shared" si="939"/>
        <v>0</v>
      </c>
      <c r="AP662" s="1366">
        <v>0.08</v>
      </c>
      <c r="AQ662" s="1367">
        <f t="shared" si="940"/>
        <v>785.6160000000001</v>
      </c>
      <c r="AR662" s="1368">
        <v>0</v>
      </c>
      <c r="AS662" s="1369">
        <f t="shared" si="941"/>
        <v>0</v>
      </c>
      <c r="AT662" s="1370">
        <v>0</v>
      </c>
      <c r="AU662" s="1371">
        <f t="shared" si="942"/>
        <v>0</v>
      </c>
      <c r="AV662" s="1359">
        <f t="shared" si="943"/>
        <v>2.0000000000000004E-2</v>
      </c>
      <c r="AW662" s="1372">
        <f t="shared" si="944"/>
        <v>196.40400000000005</v>
      </c>
      <c r="AX662" s="1373">
        <f t="shared" si="945"/>
        <v>2.0000000000000004E-2</v>
      </c>
      <c r="AY662" s="1374">
        <f t="shared" si="946"/>
        <v>196.40400000000005</v>
      </c>
      <c r="AZ662" s="1375">
        <f t="shared" si="947"/>
        <v>0.1</v>
      </c>
      <c r="BA662" s="1376">
        <f t="shared" si="948"/>
        <v>982.0200000000001</v>
      </c>
      <c r="BB662" s="1377"/>
      <c r="BC662" s="1820"/>
      <c r="BD662" s="1820"/>
      <c r="BE662" s="1823"/>
      <c r="BF662" s="1826"/>
      <c r="BG662" s="1829"/>
    </row>
    <row r="663" spans="1:59" s="1396" customFormat="1" ht="38.25">
      <c r="A663" s="1347" t="str">
        <f t="shared" si="935"/>
        <v>Pro-Dex, Inc.</v>
      </c>
      <c r="B663" s="1347" t="s">
        <v>4726</v>
      </c>
      <c r="C663" s="1348">
        <f t="shared" si="936"/>
        <v>77</v>
      </c>
      <c r="D663" s="1349">
        <v>42705</v>
      </c>
      <c r="E663" s="1349"/>
      <c r="F663" s="1347" t="s">
        <v>113</v>
      </c>
      <c r="G663" s="1347" t="s">
        <v>85</v>
      </c>
      <c r="H663" s="1347" t="s">
        <v>85</v>
      </c>
      <c r="I663" s="1347" t="s">
        <v>113</v>
      </c>
      <c r="J663" s="1349"/>
      <c r="K663" s="1349" t="s">
        <v>254</v>
      </c>
      <c r="L663" s="1350" t="s">
        <v>4682</v>
      </c>
      <c r="M663" s="1350" t="s">
        <v>4683</v>
      </c>
      <c r="N663" s="1386" t="s">
        <v>5187</v>
      </c>
      <c r="O663" s="1352" t="s">
        <v>4684</v>
      </c>
      <c r="P663" s="1446"/>
      <c r="Q663" s="1445"/>
      <c r="R663" s="1445"/>
      <c r="S663" s="1445"/>
      <c r="T663" s="1445"/>
      <c r="U663" s="1445"/>
      <c r="V663" s="1445"/>
      <c r="W663" s="1445"/>
      <c r="X663" s="1353">
        <v>43101</v>
      </c>
      <c r="Y663" s="1353">
        <v>43466</v>
      </c>
      <c r="Z663" s="1425"/>
      <c r="AA663" s="1355" t="s">
        <v>4685</v>
      </c>
      <c r="AB663" s="1394"/>
      <c r="AC663" s="1394"/>
      <c r="AD663" s="1356"/>
      <c r="AE663" s="1356"/>
      <c r="AF663" s="1357" t="str">
        <f t="shared" si="855"/>
        <v/>
      </c>
      <c r="AG663" s="1358">
        <f t="shared" si="949"/>
        <v>615.16916666666668</v>
      </c>
      <c r="AH663" s="1358">
        <f>2161.07+3780+474.96+966</f>
        <v>7382.03</v>
      </c>
      <c r="AI663" s="1359">
        <v>0.15</v>
      </c>
      <c r="AJ663" s="1360">
        <f t="shared" si="950"/>
        <v>92.275374999999997</v>
      </c>
      <c r="AK663" s="1361">
        <f t="shared" si="937"/>
        <v>1107.3045</v>
      </c>
      <c r="AL663" s="1384">
        <v>0</v>
      </c>
      <c r="AM663" s="1363">
        <f t="shared" si="938"/>
        <v>0</v>
      </c>
      <c r="AN663" s="1364">
        <v>0</v>
      </c>
      <c r="AO663" s="1365">
        <f t="shared" si="939"/>
        <v>0</v>
      </c>
      <c r="AP663" s="1366">
        <v>0.1</v>
      </c>
      <c r="AQ663" s="1367">
        <f t="shared" si="940"/>
        <v>738.20299999999997</v>
      </c>
      <c r="AR663" s="1368">
        <v>0</v>
      </c>
      <c r="AS663" s="1369">
        <f t="shared" si="941"/>
        <v>0</v>
      </c>
      <c r="AT663" s="1370">
        <v>0</v>
      </c>
      <c r="AU663" s="1371">
        <f t="shared" si="942"/>
        <v>0</v>
      </c>
      <c r="AV663" s="1359">
        <f t="shared" si="943"/>
        <v>4.9999999999999989E-2</v>
      </c>
      <c r="AW663" s="1372">
        <f t="shared" si="944"/>
        <v>369.10149999999993</v>
      </c>
      <c r="AX663" s="1373">
        <f t="shared" si="945"/>
        <v>4.9999999999999989E-2</v>
      </c>
      <c r="AY663" s="1374">
        <f t="shared" si="946"/>
        <v>369.10149999999993</v>
      </c>
      <c r="AZ663" s="1375">
        <f t="shared" si="947"/>
        <v>0.15</v>
      </c>
      <c r="BA663" s="1376">
        <f t="shared" si="948"/>
        <v>1107.3045</v>
      </c>
      <c r="BB663" s="1377"/>
      <c r="BC663" s="1820"/>
      <c r="BD663" s="1820"/>
      <c r="BE663" s="1823"/>
      <c r="BF663" s="1826"/>
      <c r="BG663" s="1829"/>
    </row>
    <row r="664" spans="1:59" s="1396" customFormat="1" ht="38.25">
      <c r="A664" s="1347" t="str">
        <f t="shared" si="935"/>
        <v>Pro-Dex, Inc.</v>
      </c>
      <c r="B664" s="1347" t="s">
        <v>4726</v>
      </c>
      <c r="C664" s="1348">
        <f t="shared" si="936"/>
        <v>77</v>
      </c>
      <c r="D664" s="1349">
        <v>42705</v>
      </c>
      <c r="E664" s="1349"/>
      <c r="F664" s="1347" t="s">
        <v>113</v>
      </c>
      <c r="G664" s="1347" t="s">
        <v>85</v>
      </c>
      <c r="H664" s="1347" t="s">
        <v>85</v>
      </c>
      <c r="I664" s="1347" t="s">
        <v>113</v>
      </c>
      <c r="J664" s="1349"/>
      <c r="K664" s="1349" t="s">
        <v>254</v>
      </c>
      <c r="L664" s="1350" t="s">
        <v>4682</v>
      </c>
      <c r="M664" s="1350" t="s">
        <v>4686</v>
      </c>
      <c r="N664" s="1386" t="s">
        <v>60</v>
      </c>
      <c r="O664" s="1352" t="s">
        <v>4687</v>
      </c>
      <c r="P664" s="1446"/>
      <c r="Q664" s="1445"/>
      <c r="R664" s="1445"/>
      <c r="S664" s="1445"/>
      <c r="T664" s="1445"/>
      <c r="U664" s="1445"/>
      <c r="V664" s="1445"/>
      <c r="W664" s="1445"/>
      <c r="X664" s="1353">
        <v>43101</v>
      </c>
      <c r="Y664" s="1353">
        <v>43466</v>
      </c>
      <c r="Z664" s="1425"/>
      <c r="AA664" s="1355" t="s">
        <v>4685</v>
      </c>
      <c r="AB664" s="1394"/>
      <c r="AC664" s="1394"/>
      <c r="AD664" s="1356"/>
      <c r="AE664" s="1356"/>
      <c r="AF664" s="1357" t="str">
        <f t="shared" si="855"/>
        <v/>
      </c>
      <c r="AG664" s="1358">
        <f t="shared" si="949"/>
        <v>210.34</v>
      </c>
      <c r="AH664" s="1358">
        <f>2186.04+338.04</f>
        <v>2524.08</v>
      </c>
      <c r="AI664" s="1359">
        <v>0.15</v>
      </c>
      <c r="AJ664" s="1360">
        <f t="shared" si="950"/>
        <v>31.550999999999998</v>
      </c>
      <c r="AK664" s="1361">
        <f t="shared" si="937"/>
        <v>378.61199999999997</v>
      </c>
      <c r="AL664" s="1384">
        <v>0</v>
      </c>
      <c r="AM664" s="1363">
        <f t="shared" si="938"/>
        <v>0</v>
      </c>
      <c r="AN664" s="1364">
        <v>0</v>
      </c>
      <c r="AO664" s="1365">
        <f t="shared" si="939"/>
        <v>0</v>
      </c>
      <c r="AP664" s="1366">
        <v>0.1</v>
      </c>
      <c r="AQ664" s="1367">
        <f t="shared" si="940"/>
        <v>252.40800000000002</v>
      </c>
      <c r="AR664" s="1368">
        <v>0</v>
      </c>
      <c r="AS664" s="1369">
        <f t="shared" si="941"/>
        <v>0</v>
      </c>
      <c r="AT664" s="1370">
        <v>0</v>
      </c>
      <c r="AU664" s="1371">
        <f t="shared" si="942"/>
        <v>0</v>
      </c>
      <c r="AV664" s="1359">
        <f t="shared" si="943"/>
        <v>4.9999999999999989E-2</v>
      </c>
      <c r="AW664" s="1372">
        <f t="shared" si="944"/>
        <v>126.20399999999997</v>
      </c>
      <c r="AX664" s="1373">
        <f t="shared" si="945"/>
        <v>4.9999999999999989E-2</v>
      </c>
      <c r="AY664" s="1374">
        <f t="shared" si="946"/>
        <v>126.20399999999997</v>
      </c>
      <c r="AZ664" s="1375">
        <f t="shared" si="947"/>
        <v>0.15</v>
      </c>
      <c r="BA664" s="1376">
        <f t="shared" si="948"/>
        <v>378.61199999999997</v>
      </c>
      <c r="BB664" s="1377"/>
      <c r="BC664" s="1820"/>
      <c r="BD664" s="1820"/>
      <c r="BE664" s="1823"/>
      <c r="BF664" s="1826"/>
      <c r="BG664" s="1829"/>
    </row>
    <row r="665" spans="1:59" s="1396" customFormat="1" ht="24.75" customHeight="1">
      <c r="A665" s="1347" t="str">
        <f t="shared" si="935"/>
        <v>Pro-Dex, Inc.</v>
      </c>
      <c r="B665" s="1347" t="s">
        <v>4726</v>
      </c>
      <c r="C665" s="1348">
        <f t="shared" si="936"/>
        <v>77</v>
      </c>
      <c r="D665" s="1349">
        <v>42705</v>
      </c>
      <c r="E665" s="1349"/>
      <c r="F665" s="1347" t="s">
        <v>113</v>
      </c>
      <c r="G665" s="1347" t="s">
        <v>85</v>
      </c>
      <c r="H665" s="1347" t="s">
        <v>85</v>
      </c>
      <c r="I665" s="1347" t="s">
        <v>113</v>
      </c>
      <c r="J665" s="1349"/>
      <c r="K665" s="1349" t="s">
        <v>254</v>
      </c>
      <c r="L665" s="1350" t="s">
        <v>4682</v>
      </c>
      <c r="M665" s="1350" t="s">
        <v>67</v>
      </c>
      <c r="N665" s="1351" t="s">
        <v>82</v>
      </c>
      <c r="O665" s="1352" t="s">
        <v>4689</v>
      </c>
      <c r="P665" s="1449"/>
      <c r="Q665" s="1445"/>
      <c r="R665" s="1445"/>
      <c r="S665" s="1445"/>
      <c r="T665" s="1445"/>
      <c r="U665" s="1445"/>
      <c r="V665" s="1445"/>
      <c r="W665" s="1445"/>
      <c r="X665" s="1353">
        <v>43101</v>
      </c>
      <c r="Y665" s="1353">
        <v>43466</v>
      </c>
      <c r="Z665" s="1425"/>
      <c r="AA665" s="1355" t="s">
        <v>4685</v>
      </c>
      <c r="AB665" s="1394"/>
      <c r="AC665" s="1394"/>
      <c r="AD665" s="1356"/>
      <c r="AE665" s="1356"/>
      <c r="AF665" s="1357" t="str">
        <f t="shared" ref="AF665:AF880" si="951">IFERROR((AE665/AB665),"")</f>
        <v/>
      </c>
      <c r="AG665" s="1358">
        <f t="shared" si="949"/>
        <v>852.76749999999993</v>
      </c>
      <c r="AH665" s="1358">
        <v>10233.209999999999</v>
      </c>
      <c r="AI665" s="1359">
        <v>0.15</v>
      </c>
      <c r="AJ665" s="1360">
        <f t="shared" si="950"/>
        <v>127.91512499999999</v>
      </c>
      <c r="AK665" s="1361">
        <f t="shared" si="937"/>
        <v>1534.9814999999999</v>
      </c>
      <c r="AL665" s="1384">
        <v>0</v>
      </c>
      <c r="AM665" s="1363">
        <f t="shared" si="938"/>
        <v>0</v>
      </c>
      <c r="AN665" s="1364">
        <v>0</v>
      </c>
      <c r="AO665" s="1365">
        <f t="shared" si="939"/>
        <v>0</v>
      </c>
      <c r="AP665" s="1366">
        <v>0.1</v>
      </c>
      <c r="AQ665" s="1367">
        <f t="shared" si="940"/>
        <v>1023.3209999999999</v>
      </c>
      <c r="AR665" s="1368">
        <v>0</v>
      </c>
      <c r="AS665" s="1369">
        <f t="shared" si="941"/>
        <v>0</v>
      </c>
      <c r="AT665" s="1370">
        <v>0</v>
      </c>
      <c r="AU665" s="1371">
        <f t="shared" si="942"/>
        <v>0</v>
      </c>
      <c r="AV665" s="1359">
        <f t="shared" si="943"/>
        <v>4.9999999999999989E-2</v>
      </c>
      <c r="AW665" s="1372">
        <f t="shared" si="944"/>
        <v>511.66049999999984</v>
      </c>
      <c r="AX665" s="1373">
        <f t="shared" si="945"/>
        <v>4.9999999999999989E-2</v>
      </c>
      <c r="AY665" s="1374">
        <f t="shared" si="946"/>
        <v>511.66049999999984</v>
      </c>
      <c r="AZ665" s="1375">
        <f t="shared" si="947"/>
        <v>0.15</v>
      </c>
      <c r="BA665" s="1376">
        <f t="shared" si="948"/>
        <v>1534.9814999999999</v>
      </c>
      <c r="BB665" s="1377"/>
      <c r="BC665" s="1820"/>
      <c r="BD665" s="1820"/>
      <c r="BE665" s="1823"/>
      <c r="BF665" s="1826"/>
      <c r="BG665" s="1829"/>
    </row>
    <row r="666" spans="1:59" s="1378" customFormat="1" ht="27.75" customHeight="1">
      <c r="A666" s="1347" t="s">
        <v>154</v>
      </c>
      <c r="B666" s="1348" t="s">
        <v>4726</v>
      </c>
      <c r="C666" s="1348">
        <v>74</v>
      </c>
      <c r="D666" s="1349">
        <v>42705</v>
      </c>
      <c r="E666" s="1349"/>
      <c r="F666" s="1347" t="s">
        <v>72</v>
      </c>
      <c r="G666" s="1347" t="s">
        <v>85</v>
      </c>
      <c r="H666" s="1347" t="s">
        <v>72</v>
      </c>
      <c r="I666" s="1347" t="s">
        <v>72</v>
      </c>
      <c r="J666" s="1349" t="s">
        <v>4670</v>
      </c>
      <c r="K666" s="1349" t="s">
        <v>254</v>
      </c>
      <c r="L666" s="1350" t="s">
        <v>4696</v>
      </c>
      <c r="M666" s="1350" t="s">
        <v>4697</v>
      </c>
      <c r="N666" s="1389" t="s">
        <v>4698</v>
      </c>
      <c r="O666" s="1352" t="s">
        <v>4699</v>
      </c>
      <c r="P666" s="1352"/>
      <c r="Q666" s="1354"/>
      <c r="R666" s="1354"/>
      <c r="S666" s="1354"/>
      <c r="T666" s="1354"/>
      <c r="U666" s="1354"/>
      <c r="V666" s="1354"/>
      <c r="W666" s="1354"/>
      <c r="X666" s="1353">
        <v>43101</v>
      </c>
      <c r="Y666" s="1353">
        <v>43466</v>
      </c>
      <c r="Z666" s="1355"/>
      <c r="AA666" s="1355" t="s">
        <v>4674</v>
      </c>
      <c r="AB666" s="1356"/>
      <c r="AC666" s="1356"/>
      <c r="AD666" s="1356"/>
      <c r="AE666" s="1356"/>
      <c r="AF666" s="1357" t="str">
        <f t="shared" si="951"/>
        <v/>
      </c>
      <c r="AG666" s="1380"/>
      <c r="AH666" s="1380"/>
      <c r="AI666" s="1381">
        <v>0</v>
      </c>
      <c r="AJ666" s="1382">
        <f t="shared" si="950"/>
        <v>0</v>
      </c>
      <c r="AK666" s="1383">
        <f t="shared" si="937"/>
        <v>0</v>
      </c>
      <c r="AL666" s="1384">
        <v>0</v>
      </c>
      <c r="AM666" s="1363">
        <f t="shared" si="938"/>
        <v>0</v>
      </c>
      <c r="AN666" s="1364">
        <v>0</v>
      </c>
      <c r="AO666" s="1365">
        <f t="shared" si="939"/>
        <v>0</v>
      </c>
      <c r="AP666" s="1366">
        <v>0</v>
      </c>
      <c r="AQ666" s="1367">
        <f t="shared" si="940"/>
        <v>0</v>
      </c>
      <c r="AR666" s="1368">
        <v>0</v>
      </c>
      <c r="AS666" s="1369">
        <f t="shared" si="941"/>
        <v>0</v>
      </c>
      <c r="AT666" s="1370">
        <v>0</v>
      </c>
      <c r="AU666" s="1371">
        <f t="shared" si="942"/>
        <v>0</v>
      </c>
      <c r="AV666" s="1359">
        <f t="shared" si="943"/>
        <v>0</v>
      </c>
      <c r="AW666" s="1372">
        <f t="shared" si="944"/>
        <v>0</v>
      </c>
      <c r="AX666" s="1373">
        <f t="shared" si="945"/>
        <v>0</v>
      </c>
      <c r="AY666" s="1374">
        <f t="shared" si="946"/>
        <v>0</v>
      </c>
      <c r="AZ666" s="1375">
        <f t="shared" si="947"/>
        <v>0</v>
      </c>
      <c r="BA666" s="1376">
        <f t="shared" si="948"/>
        <v>0</v>
      </c>
      <c r="BB666" s="1377"/>
      <c r="BC666" s="1820"/>
      <c r="BD666" s="1820"/>
      <c r="BE666" s="1823"/>
      <c r="BF666" s="1826"/>
      <c r="BG666" s="1829"/>
    </row>
    <row r="667" spans="1:59" s="1396" customFormat="1" ht="19.5" customHeight="1">
      <c r="A667" s="1347" t="str">
        <f t="shared" si="935"/>
        <v>Pro-Dex, Inc.</v>
      </c>
      <c r="B667" s="1347" t="s">
        <v>4726</v>
      </c>
      <c r="C667" s="1348">
        <f t="shared" si="936"/>
        <v>77</v>
      </c>
      <c r="D667" s="1349">
        <v>42705</v>
      </c>
      <c r="E667" s="1349"/>
      <c r="F667" s="1347" t="s">
        <v>72</v>
      </c>
      <c r="G667" s="1347" t="s">
        <v>4700</v>
      </c>
      <c r="H667" s="1347" t="s">
        <v>72</v>
      </c>
      <c r="I667" s="1347" t="s">
        <v>72</v>
      </c>
      <c r="J667" s="1349" t="s">
        <v>4670</v>
      </c>
      <c r="K667" s="1349" t="s">
        <v>254</v>
      </c>
      <c r="L667" s="1350" t="s">
        <v>48</v>
      </c>
      <c r="M667" s="1350" t="s">
        <v>3652</v>
      </c>
      <c r="N667" s="1390" t="s">
        <v>5144</v>
      </c>
      <c r="O667" s="1352" t="s">
        <v>5188</v>
      </c>
      <c r="P667" s="1352"/>
      <c r="Q667" s="1354"/>
      <c r="R667" s="1354"/>
      <c r="S667" s="1354"/>
      <c r="T667" s="1354"/>
      <c r="U667" s="1354"/>
      <c r="V667" s="1354"/>
      <c r="W667" s="1354"/>
      <c r="X667" s="1353">
        <v>43101</v>
      </c>
      <c r="Y667" s="1353">
        <v>43466</v>
      </c>
      <c r="Z667" s="1425"/>
      <c r="AA667" s="1355" t="s">
        <v>4674</v>
      </c>
      <c r="AB667" s="1394"/>
      <c r="AC667" s="1394"/>
      <c r="AD667" s="1356"/>
      <c r="AE667" s="1356"/>
      <c r="AF667" s="1357" t="str">
        <f t="shared" si="951"/>
        <v/>
      </c>
      <c r="AG667" s="1380"/>
      <c r="AH667" s="1380"/>
      <c r="AI667" s="1381">
        <v>0</v>
      </c>
      <c r="AJ667" s="1382">
        <f t="shared" si="950"/>
        <v>0</v>
      </c>
      <c r="AK667" s="1383">
        <f t="shared" si="937"/>
        <v>0</v>
      </c>
      <c r="AL667" s="1384">
        <v>0</v>
      </c>
      <c r="AM667" s="1363">
        <f t="shared" si="938"/>
        <v>0</v>
      </c>
      <c r="AN667" s="1364">
        <v>0</v>
      </c>
      <c r="AO667" s="1365">
        <f t="shared" si="939"/>
        <v>0</v>
      </c>
      <c r="AP667" s="1366">
        <v>0</v>
      </c>
      <c r="AQ667" s="1367">
        <f t="shared" si="940"/>
        <v>0</v>
      </c>
      <c r="AR667" s="1368">
        <v>0</v>
      </c>
      <c r="AS667" s="1369">
        <f t="shared" si="941"/>
        <v>0</v>
      </c>
      <c r="AT667" s="1370">
        <v>0</v>
      </c>
      <c r="AU667" s="1371">
        <f t="shared" si="942"/>
        <v>0</v>
      </c>
      <c r="AV667" s="1359">
        <f t="shared" si="943"/>
        <v>0</v>
      </c>
      <c r="AW667" s="1372">
        <f t="shared" si="944"/>
        <v>0</v>
      </c>
      <c r="AX667" s="1373">
        <f t="shared" si="945"/>
        <v>0</v>
      </c>
      <c r="AY667" s="1374">
        <f t="shared" si="946"/>
        <v>0</v>
      </c>
      <c r="AZ667" s="1375">
        <f t="shared" si="947"/>
        <v>0</v>
      </c>
      <c r="BA667" s="1376">
        <f t="shared" si="948"/>
        <v>0</v>
      </c>
      <c r="BB667" s="1377"/>
      <c r="BC667" s="1820"/>
      <c r="BD667" s="1820"/>
      <c r="BE667" s="1823"/>
      <c r="BF667" s="1826"/>
      <c r="BG667" s="1829"/>
    </row>
    <row r="668" spans="1:59" s="1396" customFormat="1" ht="22.5" customHeight="1">
      <c r="A668" s="1347" t="str">
        <f t="shared" si="935"/>
        <v>Pro-Dex, Inc.</v>
      </c>
      <c r="B668" s="1347" t="s">
        <v>4726</v>
      </c>
      <c r="C668" s="1348">
        <f t="shared" si="936"/>
        <v>77</v>
      </c>
      <c r="D668" s="1349">
        <v>42705</v>
      </c>
      <c r="E668" s="1349"/>
      <c r="F668" s="1347" t="s">
        <v>72</v>
      </c>
      <c r="G668" s="1347" t="s">
        <v>85</v>
      </c>
      <c r="H668" s="1347" t="s">
        <v>72</v>
      </c>
      <c r="I668" s="1347" t="s">
        <v>72</v>
      </c>
      <c r="J668" s="1349" t="s">
        <v>4670</v>
      </c>
      <c r="K668" s="1349" t="s">
        <v>254</v>
      </c>
      <c r="L668" s="1350" t="s">
        <v>48</v>
      </c>
      <c r="M668" s="1350" t="s">
        <v>253</v>
      </c>
      <c r="N668" s="1390" t="s">
        <v>4703</v>
      </c>
      <c r="O668" s="1352" t="s">
        <v>4783</v>
      </c>
      <c r="P668" s="1449"/>
      <c r="Q668" s="1445"/>
      <c r="R668" s="1445"/>
      <c r="S668" s="1445"/>
      <c r="T668" s="1445"/>
      <c r="U668" s="1445"/>
      <c r="V668" s="1445"/>
      <c r="W668" s="1445"/>
      <c r="X668" s="1353">
        <v>43101</v>
      </c>
      <c r="Y668" s="1353">
        <v>43466</v>
      </c>
      <c r="Z668" s="1425"/>
      <c r="AA668" s="1355" t="s">
        <v>4674</v>
      </c>
      <c r="AB668" s="1394"/>
      <c r="AC668" s="1394"/>
      <c r="AD668" s="1356"/>
      <c r="AE668" s="1356"/>
      <c r="AF668" s="1357" t="str">
        <f t="shared" si="951"/>
        <v/>
      </c>
      <c r="AG668" s="1380"/>
      <c r="AH668" s="1380"/>
      <c r="AI668" s="1381">
        <v>0</v>
      </c>
      <c r="AJ668" s="1382">
        <f t="shared" si="950"/>
        <v>0</v>
      </c>
      <c r="AK668" s="1383">
        <f t="shared" si="937"/>
        <v>0</v>
      </c>
      <c r="AL668" s="1384">
        <v>0</v>
      </c>
      <c r="AM668" s="1363">
        <f t="shared" si="938"/>
        <v>0</v>
      </c>
      <c r="AN668" s="1364">
        <v>0</v>
      </c>
      <c r="AO668" s="1365">
        <f t="shared" si="939"/>
        <v>0</v>
      </c>
      <c r="AP668" s="1366">
        <v>0</v>
      </c>
      <c r="AQ668" s="1367">
        <f t="shared" si="940"/>
        <v>0</v>
      </c>
      <c r="AR668" s="1368">
        <v>0</v>
      </c>
      <c r="AS668" s="1369">
        <f t="shared" si="941"/>
        <v>0</v>
      </c>
      <c r="AT668" s="1370">
        <v>0</v>
      </c>
      <c r="AU668" s="1371">
        <f t="shared" si="942"/>
        <v>0</v>
      </c>
      <c r="AV668" s="1359">
        <f t="shared" si="943"/>
        <v>0</v>
      </c>
      <c r="AW668" s="1372">
        <f t="shared" si="944"/>
        <v>0</v>
      </c>
      <c r="AX668" s="1373">
        <f t="shared" si="945"/>
        <v>0</v>
      </c>
      <c r="AY668" s="1374">
        <f t="shared" si="946"/>
        <v>0</v>
      </c>
      <c r="AZ668" s="1375">
        <f t="shared" si="947"/>
        <v>0</v>
      </c>
      <c r="BA668" s="1376">
        <f t="shared" si="948"/>
        <v>0</v>
      </c>
      <c r="BB668" s="1377"/>
      <c r="BC668" s="1820"/>
      <c r="BD668" s="1820"/>
      <c r="BE668" s="1823"/>
      <c r="BF668" s="1826"/>
      <c r="BG668" s="1829"/>
    </row>
    <row r="669" spans="1:59" s="1396" customFormat="1" ht="23.25" customHeight="1">
      <c r="A669" s="1347" t="str">
        <f t="shared" si="935"/>
        <v>Pro-Dex, Inc.</v>
      </c>
      <c r="B669" s="1347" t="s">
        <v>4726</v>
      </c>
      <c r="C669" s="1348">
        <f t="shared" si="936"/>
        <v>77</v>
      </c>
      <c r="D669" s="1349">
        <v>42705</v>
      </c>
      <c r="E669" s="1349"/>
      <c r="F669" s="1347" t="s">
        <v>72</v>
      </c>
      <c r="G669" s="1347" t="s">
        <v>113</v>
      </c>
      <c r="H669" s="1347" t="s">
        <v>72</v>
      </c>
      <c r="I669" s="1347" t="s">
        <v>72</v>
      </c>
      <c r="J669" s="1349" t="s">
        <v>4670</v>
      </c>
      <c r="K669" s="1349" t="s">
        <v>254</v>
      </c>
      <c r="L669" s="1397" t="s">
        <v>3579</v>
      </c>
      <c r="M669" s="1397" t="s">
        <v>4705</v>
      </c>
      <c r="N669" s="1412" t="s">
        <v>4706</v>
      </c>
      <c r="O669" s="1399" t="s">
        <v>5189</v>
      </c>
      <c r="P669" s="1399"/>
      <c r="Q669" s="1400"/>
      <c r="R669" s="1400"/>
      <c r="S669" s="1400"/>
      <c r="T669" s="1400"/>
      <c r="U669" s="1400"/>
      <c r="V669" s="1400"/>
      <c r="W669" s="1400"/>
      <c r="X669" s="1400">
        <v>43101</v>
      </c>
      <c r="Y669" s="1400">
        <v>43466</v>
      </c>
      <c r="Z669" s="1401"/>
      <c r="AA669" s="1401" t="s">
        <v>4736</v>
      </c>
      <c r="AB669" s="1394"/>
      <c r="AC669" s="1394"/>
      <c r="AD669" s="1356"/>
      <c r="AE669" s="1356"/>
      <c r="AF669" s="1357" t="str">
        <f t="shared" si="951"/>
        <v/>
      </c>
      <c r="AG669" s="1380"/>
      <c r="AH669" s="1380"/>
      <c r="AI669" s="1381">
        <v>0</v>
      </c>
      <c r="AJ669" s="1382">
        <f t="shared" si="950"/>
        <v>0</v>
      </c>
      <c r="AK669" s="1383">
        <f t="shared" si="937"/>
        <v>0</v>
      </c>
      <c r="AL669" s="1384">
        <v>0</v>
      </c>
      <c r="AM669" s="1363">
        <f t="shared" si="938"/>
        <v>0</v>
      </c>
      <c r="AN669" s="1364">
        <v>0</v>
      </c>
      <c r="AO669" s="1365">
        <f t="shared" si="939"/>
        <v>0</v>
      </c>
      <c r="AP669" s="1366">
        <v>0</v>
      </c>
      <c r="AQ669" s="1367">
        <f t="shared" si="940"/>
        <v>0</v>
      </c>
      <c r="AR669" s="1368">
        <v>0</v>
      </c>
      <c r="AS669" s="1369">
        <f t="shared" si="941"/>
        <v>0</v>
      </c>
      <c r="AT669" s="1370">
        <v>0</v>
      </c>
      <c r="AU669" s="1371">
        <f t="shared" si="942"/>
        <v>0</v>
      </c>
      <c r="AV669" s="1359">
        <f t="shared" si="943"/>
        <v>0</v>
      </c>
      <c r="AW669" s="1372">
        <f t="shared" si="944"/>
        <v>0</v>
      </c>
      <c r="AX669" s="1373">
        <f t="shared" si="945"/>
        <v>0</v>
      </c>
      <c r="AY669" s="1374">
        <f t="shared" si="946"/>
        <v>0</v>
      </c>
      <c r="AZ669" s="1375">
        <f t="shared" si="947"/>
        <v>0</v>
      </c>
      <c r="BA669" s="1376">
        <f t="shared" si="948"/>
        <v>0</v>
      </c>
      <c r="BB669" s="1377"/>
      <c r="BC669" s="1820"/>
      <c r="BD669" s="1820"/>
      <c r="BE669" s="1823"/>
      <c r="BF669" s="1826"/>
      <c r="BG669" s="1829"/>
    </row>
    <row r="670" spans="1:59" s="1378" customFormat="1" ht="21.75" customHeight="1">
      <c r="A670" s="1347" t="str">
        <f>A669</f>
        <v>Pro-Dex, Inc.</v>
      </c>
      <c r="B670" s="1348" t="str">
        <f>B669</f>
        <v xml:space="preserve">HUB </v>
      </c>
      <c r="C670" s="1348">
        <f>C669</f>
        <v>77</v>
      </c>
      <c r="D670" s="1349">
        <v>42705</v>
      </c>
      <c r="E670" s="1349"/>
      <c r="F670" s="1347" t="s">
        <v>72</v>
      </c>
      <c r="G670" s="1347" t="s">
        <v>85</v>
      </c>
      <c r="H670" s="1347" t="s">
        <v>72</v>
      </c>
      <c r="I670" s="1347" t="s">
        <v>72</v>
      </c>
      <c r="J670" s="1349" t="s">
        <v>4670</v>
      </c>
      <c r="K670" s="1349" t="s">
        <v>254</v>
      </c>
      <c r="L670" s="1350" t="s">
        <v>3056</v>
      </c>
      <c r="M670" s="1350" t="s">
        <v>4708</v>
      </c>
      <c r="N670" s="1390" t="s">
        <v>4709</v>
      </c>
      <c r="O670" s="1352" t="s">
        <v>4710</v>
      </c>
      <c r="P670" s="1352"/>
      <c r="Q670" s="1354"/>
      <c r="R670" s="1354"/>
      <c r="S670" s="1354"/>
      <c r="T670" s="1354"/>
      <c r="U670" s="1354"/>
      <c r="V670" s="1354"/>
      <c r="W670" s="1354"/>
      <c r="X670" s="1353">
        <v>43101</v>
      </c>
      <c r="Y670" s="1353">
        <v>43466</v>
      </c>
      <c r="Z670" s="1355"/>
      <c r="AA670" s="1355" t="s">
        <v>4674</v>
      </c>
      <c r="AB670" s="1356"/>
      <c r="AC670" s="1356"/>
      <c r="AD670" s="1356"/>
      <c r="AE670" s="1356"/>
      <c r="AF670" s="1357" t="str">
        <f t="shared" si="951"/>
        <v/>
      </c>
      <c r="AG670" s="1380"/>
      <c r="AH670" s="1380"/>
      <c r="AI670" s="1381">
        <v>0</v>
      </c>
      <c r="AJ670" s="1382">
        <f t="shared" si="950"/>
        <v>0</v>
      </c>
      <c r="AK670" s="1383">
        <f t="shared" si="937"/>
        <v>0</v>
      </c>
      <c r="AL670" s="1384">
        <v>0</v>
      </c>
      <c r="AM670" s="1363">
        <f t="shared" si="938"/>
        <v>0</v>
      </c>
      <c r="AN670" s="1364">
        <v>0</v>
      </c>
      <c r="AO670" s="1365">
        <f t="shared" si="939"/>
        <v>0</v>
      </c>
      <c r="AP670" s="1366">
        <v>0</v>
      </c>
      <c r="AQ670" s="1367">
        <f t="shared" si="940"/>
        <v>0</v>
      </c>
      <c r="AR670" s="1368">
        <v>0</v>
      </c>
      <c r="AS670" s="1369">
        <f t="shared" si="941"/>
        <v>0</v>
      </c>
      <c r="AT670" s="1370">
        <v>0</v>
      </c>
      <c r="AU670" s="1371">
        <f t="shared" si="942"/>
        <v>0</v>
      </c>
      <c r="AV670" s="1359">
        <f t="shared" si="943"/>
        <v>0</v>
      </c>
      <c r="AW670" s="1372">
        <f t="shared" si="944"/>
        <v>0</v>
      </c>
      <c r="AX670" s="1373">
        <f t="shared" si="945"/>
        <v>0</v>
      </c>
      <c r="AY670" s="1374">
        <f t="shared" si="946"/>
        <v>0</v>
      </c>
      <c r="AZ670" s="1375">
        <f t="shared" si="947"/>
        <v>0</v>
      </c>
      <c r="BA670" s="1376">
        <f t="shared" si="948"/>
        <v>0</v>
      </c>
      <c r="BB670" s="1391"/>
      <c r="BC670" s="1821"/>
      <c r="BD670" s="1821"/>
      <c r="BE670" s="1824"/>
      <c r="BF670" s="1827"/>
      <c r="BG670" s="1830"/>
    </row>
    <row r="671" spans="1:59" s="1315" customFormat="1" ht="38.25">
      <c r="A671" s="1277" t="str">
        <f>L671</f>
        <v>Prothena Biosciences Inc.</v>
      </c>
      <c r="B671" s="1316" t="str">
        <f>N671</f>
        <v>Woodruff-Sawyer</v>
      </c>
      <c r="C671" s="1316">
        <f>Z671</f>
        <v>101</v>
      </c>
      <c r="D671" s="1317">
        <v>43101</v>
      </c>
      <c r="E671" s="1317"/>
      <c r="F671" s="1277" t="s">
        <v>72</v>
      </c>
      <c r="G671" s="1277" t="s">
        <v>72</v>
      </c>
      <c r="H671" s="1277" t="s">
        <v>72</v>
      </c>
      <c r="I671" s="1277" t="s">
        <v>4711</v>
      </c>
      <c r="J671" s="1317"/>
      <c r="K671" s="1317"/>
      <c r="L671" s="1318" t="s">
        <v>427</v>
      </c>
      <c r="M671" s="1319"/>
      <c r="N671" s="1417" t="s">
        <v>3659</v>
      </c>
      <c r="O671" s="1418" t="s">
        <v>2473</v>
      </c>
      <c r="P671" s="1418"/>
      <c r="Q671" s="1322"/>
      <c r="R671" s="1322"/>
      <c r="S671" s="1322"/>
      <c r="T671" s="1322"/>
      <c r="U671" s="1322"/>
      <c r="V671" s="1322"/>
      <c r="W671" s="1322"/>
      <c r="X671" s="1317">
        <v>43101</v>
      </c>
      <c r="Y671" s="1317">
        <v>43466</v>
      </c>
      <c r="Z671" s="1316">
        <v>101</v>
      </c>
      <c r="AA671" s="1316" t="s">
        <v>5190</v>
      </c>
      <c r="AB671" s="1323">
        <f>SUM(AB672:AB687)</f>
        <v>1706511.6620000002</v>
      </c>
      <c r="AC671" s="1323">
        <f>SUM(AC672:AC687)</f>
        <v>0</v>
      </c>
      <c r="AD671" s="1323">
        <f>SUM(AD672:AD687)</f>
        <v>1598457.0499999998</v>
      </c>
      <c r="AE671" s="1324">
        <f t="shared" ref="AE671:AE681" si="952">AD671-AB671</f>
        <v>-108054.61200000043</v>
      </c>
      <c r="AF671" s="1325">
        <f t="shared" si="951"/>
        <v>-6.3319000043259244E-2</v>
      </c>
      <c r="AG671" s="1326">
        <f t="shared" si="949"/>
        <v>135026.65416666665</v>
      </c>
      <c r="AH671" s="1326">
        <f>SUM(AH672:AH687)</f>
        <v>1620319.8499999999</v>
      </c>
      <c r="AI671" s="1339"/>
      <c r="AJ671" s="1328">
        <f>SUM(AJ672:AJ687)</f>
        <v>11709.209225000002</v>
      </c>
      <c r="AK671" s="1328">
        <f>SUM(AK672:AK687)</f>
        <v>140510.51069999998</v>
      </c>
      <c r="AL671" s="1329"/>
      <c r="AM671" s="1330">
        <f>SUM(AM672:AM687)</f>
        <v>6700.2312000000002</v>
      </c>
      <c r="AN671" s="1331"/>
      <c r="AO671" s="1332">
        <f>SUM(AO672:AO687)</f>
        <v>78135.518600000025</v>
      </c>
      <c r="AP671" s="1333"/>
      <c r="AQ671" s="1334">
        <f>SUM(AQ672:AQ687)</f>
        <v>0</v>
      </c>
      <c r="AR671" s="1335"/>
      <c r="AS671" s="1336">
        <f>SUM(AS672:AS687)</f>
        <v>0</v>
      </c>
      <c r="AT671" s="1337"/>
      <c r="AU671" s="1338">
        <f>SUM(AU672:AU687)</f>
        <v>33501.156000000003</v>
      </c>
      <c r="AV671" s="1339"/>
      <c r="AW671" s="1340">
        <f>SUM(AW672:AW687)</f>
        <v>22173.604899999995</v>
      </c>
      <c r="AX671" s="1306"/>
      <c r="AY671" s="1307">
        <f>SUM(AW671+AS671+AU671)</f>
        <v>55674.760899999994</v>
      </c>
      <c r="AZ671" s="1341"/>
      <c r="BA671" s="1309">
        <f>SUM(AY671+AQ671)</f>
        <v>55674.760899999994</v>
      </c>
      <c r="BB671" s="1342">
        <f>(AW671+AU671)/(AK671-AM671)</f>
        <v>0.41607237581474454</v>
      </c>
      <c r="BC671" s="1343"/>
      <c r="BD671" s="1343"/>
      <c r="BE671" s="1344"/>
      <c r="BF671" s="1420" t="s">
        <v>5191</v>
      </c>
      <c r="BG671" s="1346"/>
    </row>
    <row r="672" spans="1:59" s="1378" customFormat="1" ht="76.5">
      <c r="A672" s="1347" t="str">
        <f>A671</f>
        <v>Prothena Biosciences Inc.</v>
      </c>
      <c r="B672" s="1348" t="str">
        <f>B671</f>
        <v>Woodruff-Sawyer</v>
      </c>
      <c r="C672" s="1348">
        <f>C671</f>
        <v>101</v>
      </c>
      <c r="D672" s="1349">
        <v>43101</v>
      </c>
      <c r="E672" s="1349"/>
      <c r="F672" s="1347" t="s">
        <v>85</v>
      </c>
      <c r="G672" s="1347" t="s">
        <v>85</v>
      </c>
      <c r="H672" s="1347" t="s">
        <v>85</v>
      </c>
      <c r="I672" s="1347" t="s">
        <v>85</v>
      </c>
      <c r="J672" s="1349"/>
      <c r="K672" s="1349" t="s">
        <v>254</v>
      </c>
      <c r="L672" s="1350" t="s">
        <v>2661</v>
      </c>
      <c r="M672" s="1350" t="s">
        <v>3647</v>
      </c>
      <c r="N672" s="1351" t="s">
        <v>5192</v>
      </c>
      <c r="O672" s="1352" t="s">
        <v>5193</v>
      </c>
      <c r="P672" s="1352" t="s">
        <v>4752</v>
      </c>
      <c r="Q672" s="1353" t="s">
        <v>303</v>
      </c>
      <c r="R672" s="1353" t="s">
        <v>3656</v>
      </c>
      <c r="S672" s="1353" t="s">
        <v>307</v>
      </c>
      <c r="T672" s="1353" t="s">
        <v>113</v>
      </c>
      <c r="U672" s="1354"/>
      <c r="V672" s="1354"/>
      <c r="W672" s="1354"/>
      <c r="X672" s="1353">
        <v>43101</v>
      </c>
      <c r="Y672" s="1353">
        <v>43466</v>
      </c>
      <c r="Z672" s="1355"/>
      <c r="AA672" s="1355" t="s">
        <v>4667</v>
      </c>
      <c r="AB672" s="1422">
        <v>1489836</v>
      </c>
      <c r="AC672" s="1356"/>
      <c r="AD672" s="1422">
        <f t="shared" ref="AD672" si="953">AH672</f>
        <v>1340046.24</v>
      </c>
      <c r="AE672" s="1422">
        <f t="shared" si="952"/>
        <v>-149789.76000000001</v>
      </c>
      <c r="AF672" s="1423">
        <f t="shared" si="951"/>
        <v>-0.10054110653790083</v>
      </c>
      <c r="AG672" s="1358">
        <f t="shared" si="949"/>
        <v>111670.52</v>
      </c>
      <c r="AH672" s="1358">
        <v>1340046.24</v>
      </c>
      <c r="AI672" s="1359">
        <v>0.08</v>
      </c>
      <c r="AJ672" s="1360">
        <f>$AI672*$AG672</f>
        <v>8933.6416000000008</v>
      </c>
      <c r="AK672" s="1361">
        <f t="shared" ref="AK672:AK682" si="954">AI672*$AH672</f>
        <v>107203.6992</v>
      </c>
      <c r="AL672" s="1362">
        <v>5.0000000000000001E-3</v>
      </c>
      <c r="AM672" s="1363">
        <f t="shared" ref="AM672:AM687" si="955">AL672*$AH672</f>
        <v>6700.2312000000002</v>
      </c>
      <c r="AN672" s="1364">
        <v>0.04</v>
      </c>
      <c r="AO672" s="1365">
        <f t="shared" ref="AO672:AO687" si="956">AN672*$AH672</f>
        <v>53601.849600000001</v>
      </c>
      <c r="AP672" s="1366">
        <v>0</v>
      </c>
      <c r="AQ672" s="1367">
        <f t="shared" ref="AQ672:AQ687" si="957">AP672*$AH672</f>
        <v>0</v>
      </c>
      <c r="AR672" s="1368">
        <v>0</v>
      </c>
      <c r="AS672" s="1369">
        <f t="shared" ref="AS672:AS687" si="958">AR672*$AH672</f>
        <v>0</v>
      </c>
      <c r="AT672" s="1370">
        <v>2.5000000000000001E-2</v>
      </c>
      <c r="AU672" s="1371">
        <f t="shared" ref="AU672:AU687" si="959">AT672*$AH672</f>
        <v>33501.156000000003</v>
      </c>
      <c r="AV672" s="1359">
        <f t="shared" ref="AV672:AV687" si="960">AZ672-AR672-AT672-AP672</f>
        <v>9.999999999999995E-3</v>
      </c>
      <c r="AW672" s="1372">
        <f t="shared" ref="AW672:AW687" si="961">AV672*$AH672</f>
        <v>13400.462399999993</v>
      </c>
      <c r="AX672" s="1373">
        <f t="shared" ref="AX672:AX687" si="962">$AZ672-$AP672</f>
        <v>3.4999999999999996E-2</v>
      </c>
      <c r="AY672" s="1374">
        <f t="shared" ref="AY672:AY687" si="963">AX672*$AH672</f>
        <v>46901.618399999992</v>
      </c>
      <c r="AZ672" s="1375">
        <f t="shared" ref="AZ672:AZ687" si="964">$AI672-$AL672-$AN672</f>
        <v>3.4999999999999996E-2</v>
      </c>
      <c r="BA672" s="1376">
        <f t="shared" ref="BA672:BA687" si="965">AZ672*$AH672</f>
        <v>46901.618399999992</v>
      </c>
      <c r="BB672" s="1377"/>
      <c r="BC672" s="1847" t="s">
        <v>437</v>
      </c>
      <c r="BD672" s="1819" t="s">
        <v>6162</v>
      </c>
      <c r="BE672" s="1822" t="s">
        <v>438</v>
      </c>
      <c r="BF672" s="1825" t="s">
        <v>3604</v>
      </c>
      <c r="BG672" s="1828">
        <v>461256213</v>
      </c>
    </row>
    <row r="673" spans="1:59" s="1378" customFormat="1" ht="38.25">
      <c r="A673" s="1347" t="str">
        <f>L671</f>
        <v>Prothena Biosciences Inc.</v>
      </c>
      <c r="B673" s="1348" t="str">
        <f>N671</f>
        <v>Woodruff-Sawyer</v>
      </c>
      <c r="C673" s="1348">
        <f>Z671</f>
        <v>101</v>
      </c>
      <c r="D673" s="1349">
        <v>43101</v>
      </c>
      <c r="E673" s="1349"/>
      <c r="F673" s="1347" t="s">
        <v>72</v>
      </c>
      <c r="G673" s="1347" t="s">
        <v>85</v>
      </c>
      <c r="H673" s="1347" t="s">
        <v>72</v>
      </c>
      <c r="I673" s="1347" t="s">
        <v>72</v>
      </c>
      <c r="J673" s="1349" t="s">
        <v>4670</v>
      </c>
      <c r="K673" s="1349" t="s">
        <v>254</v>
      </c>
      <c r="L673" s="1350" t="s">
        <v>4671</v>
      </c>
      <c r="M673" s="1350" t="s">
        <v>3649</v>
      </c>
      <c r="N673" s="1379" t="s">
        <v>4933</v>
      </c>
      <c r="O673" s="1352" t="s">
        <v>5194</v>
      </c>
      <c r="P673" s="1352"/>
      <c r="Q673" s="1354"/>
      <c r="R673" s="1354"/>
      <c r="S673" s="1354"/>
      <c r="T673" s="1354"/>
      <c r="U673" s="1354"/>
      <c r="V673" s="1354"/>
      <c r="W673" s="1354"/>
      <c r="X673" s="1353">
        <v>43101</v>
      </c>
      <c r="Y673" s="1353">
        <v>43466</v>
      </c>
      <c r="Z673" s="1355"/>
      <c r="AA673" s="1355" t="s">
        <v>4674</v>
      </c>
      <c r="AB673" s="1356"/>
      <c r="AC673" s="1356"/>
      <c r="AD673" s="1356"/>
      <c r="AE673" s="1356"/>
      <c r="AF673" s="1357" t="str">
        <f t="shared" si="951"/>
        <v/>
      </c>
      <c r="AG673" s="1380"/>
      <c r="AH673" s="1380"/>
      <c r="AI673" s="1381">
        <v>0</v>
      </c>
      <c r="AJ673" s="1382">
        <f>$AI673*$AG673</f>
        <v>0</v>
      </c>
      <c r="AK673" s="1383">
        <f t="shared" si="954"/>
        <v>0</v>
      </c>
      <c r="AL673" s="1384">
        <v>0</v>
      </c>
      <c r="AM673" s="1363">
        <f t="shared" si="955"/>
        <v>0</v>
      </c>
      <c r="AN673" s="1364">
        <v>0</v>
      </c>
      <c r="AO673" s="1365">
        <f t="shared" si="956"/>
        <v>0</v>
      </c>
      <c r="AP673" s="1366">
        <v>0</v>
      </c>
      <c r="AQ673" s="1367">
        <f t="shared" si="957"/>
        <v>0</v>
      </c>
      <c r="AR673" s="1368">
        <v>0</v>
      </c>
      <c r="AS673" s="1369">
        <f t="shared" si="958"/>
        <v>0</v>
      </c>
      <c r="AT673" s="1370">
        <v>0</v>
      </c>
      <c r="AU673" s="1371">
        <f t="shared" si="959"/>
        <v>0</v>
      </c>
      <c r="AV673" s="1359">
        <f t="shared" si="960"/>
        <v>0</v>
      </c>
      <c r="AW673" s="1372">
        <f t="shared" si="961"/>
        <v>0</v>
      </c>
      <c r="AX673" s="1373">
        <f t="shared" si="962"/>
        <v>0</v>
      </c>
      <c r="AY673" s="1374">
        <f t="shared" si="963"/>
        <v>0</v>
      </c>
      <c r="AZ673" s="1375">
        <f t="shared" si="964"/>
        <v>0</v>
      </c>
      <c r="BA673" s="1376">
        <f t="shared" si="965"/>
        <v>0</v>
      </c>
      <c r="BB673" s="1377"/>
      <c r="BC673" s="1848"/>
      <c r="BD673" s="1820"/>
      <c r="BE673" s="1823"/>
      <c r="BF673" s="1826"/>
      <c r="BG673" s="1829"/>
    </row>
    <row r="674" spans="1:59" s="1378" customFormat="1" ht="63.75">
      <c r="A674" s="1347" t="str">
        <f>A671</f>
        <v>Prothena Biosciences Inc.</v>
      </c>
      <c r="B674" s="1348" t="str">
        <f>B671</f>
        <v>Woodruff-Sawyer</v>
      </c>
      <c r="C674" s="1348">
        <f>C671</f>
        <v>101</v>
      </c>
      <c r="D674" s="1349">
        <v>43101</v>
      </c>
      <c r="E674" s="1349"/>
      <c r="F674" s="1347" t="s">
        <v>113</v>
      </c>
      <c r="G674" s="1347" t="s">
        <v>113</v>
      </c>
      <c r="H674" s="1347" t="s">
        <v>113</v>
      </c>
      <c r="I674" s="1347" t="s">
        <v>113</v>
      </c>
      <c r="J674" s="1349" t="s">
        <v>4766</v>
      </c>
      <c r="K674" s="1349" t="s">
        <v>254</v>
      </c>
      <c r="L674" s="1397" t="s">
        <v>4767</v>
      </c>
      <c r="M674" s="1397" t="s">
        <v>3647</v>
      </c>
      <c r="N674" s="1398" t="s">
        <v>5195</v>
      </c>
      <c r="O674" s="1399" t="s">
        <v>4769</v>
      </c>
      <c r="P674" s="1424"/>
      <c r="Q674" s="1400"/>
      <c r="R674" s="1400"/>
      <c r="S674" s="1400"/>
      <c r="T674" s="1400"/>
      <c r="U674" s="1400"/>
      <c r="V674" s="1400"/>
      <c r="W674" s="1400"/>
      <c r="X674" s="1400">
        <v>43101</v>
      </c>
      <c r="Y674" s="1400">
        <v>43466</v>
      </c>
      <c r="Z674" s="1401"/>
      <c r="AA674" s="1401" t="s">
        <v>4738</v>
      </c>
      <c r="AB674" s="1369"/>
      <c r="AC674" s="1369"/>
      <c r="AD674" s="1369"/>
      <c r="AE674" s="1369"/>
      <c r="AF674" s="1403" t="str">
        <f t="shared" si="951"/>
        <v/>
      </c>
      <c r="AG674" s="1404"/>
      <c r="AH674" s="1404"/>
      <c r="AI674" s="1405">
        <v>0</v>
      </c>
      <c r="AJ674" s="1406">
        <v>0</v>
      </c>
      <c r="AK674" s="1406">
        <v>0</v>
      </c>
      <c r="AL674" s="1362">
        <v>0</v>
      </c>
      <c r="AM674" s="1363">
        <f t="shared" si="955"/>
        <v>0</v>
      </c>
      <c r="AN674" s="1364">
        <f>AI674</f>
        <v>0</v>
      </c>
      <c r="AO674" s="1365">
        <f t="shared" si="956"/>
        <v>0</v>
      </c>
      <c r="AP674" s="1366">
        <v>0</v>
      </c>
      <c r="AQ674" s="1367">
        <f t="shared" si="957"/>
        <v>0</v>
      </c>
      <c r="AR674" s="1368">
        <v>0</v>
      </c>
      <c r="AS674" s="1369">
        <f t="shared" si="958"/>
        <v>0</v>
      </c>
      <c r="AT674" s="1370">
        <v>0</v>
      </c>
      <c r="AU674" s="1371">
        <f t="shared" si="959"/>
        <v>0</v>
      </c>
      <c r="AV674" s="1359">
        <v>0</v>
      </c>
      <c r="AW674" s="1372">
        <f t="shared" si="961"/>
        <v>0</v>
      </c>
      <c r="AX674" s="1373">
        <f t="shared" si="962"/>
        <v>0</v>
      </c>
      <c r="AY674" s="1374">
        <f t="shared" si="963"/>
        <v>0</v>
      </c>
      <c r="AZ674" s="1375">
        <f t="shared" si="964"/>
        <v>0</v>
      </c>
      <c r="BA674" s="1376">
        <f t="shared" si="965"/>
        <v>0</v>
      </c>
      <c r="BB674" s="1377"/>
      <c r="BC674" s="1848"/>
      <c r="BD674" s="1820"/>
      <c r="BE674" s="1823"/>
      <c r="BF674" s="1826"/>
      <c r="BG674" s="1829"/>
    </row>
    <row r="675" spans="1:59" s="1378" customFormat="1" ht="38.25">
      <c r="A675" s="1347" t="str">
        <f>L671</f>
        <v>Prothena Biosciences Inc.</v>
      </c>
      <c r="B675" s="1348" t="str">
        <f>N671</f>
        <v>Woodruff-Sawyer</v>
      </c>
      <c r="C675" s="1348">
        <f>Z671</f>
        <v>101</v>
      </c>
      <c r="D675" s="1349">
        <v>43101</v>
      </c>
      <c r="E675" s="1349"/>
      <c r="F675" s="1347" t="s">
        <v>113</v>
      </c>
      <c r="G675" s="1347" t="s">
        <v>85</v>
      </c>
      <c r="H675" s="1347" t="s">
        <v>85</v>
      </c>
      <c r="I675" s="1347" t="s">
        <v>85</v>
      </c>
      <c r="J675" s="1349"/>
      <c r="K675" s="1349" t="s">
        <v>254</v>
      </c>
      <c r="L675" s="1350" t="s">
        <v>4675</v>
      </c>
      <c r="M675" s="1350" t="s">
        <v>3650</v>
      </c>
      <c r="N675" s="1385" t="s">
        <v>5196</v>
      </c>
      <c r="O675" s="1352" t="s">
        <v>4677</v>
      </c>
      <c r="P675" s="1352"/>
      <c r="Q675" s="1354"/>
      <c r="R675" s="1354"/>
      <c r="S675" s="1354"/>
      <c r="T675" s="1354"/>
      <c r="U675" s="1353" t="s">
        <v>4723</v>
      </c>
      <c r="V675" s="1353" t="s">
        <v>2482</v>
      </c>
      <c r="W675" s="1354"/>
      <c r="X675" s="1353">
        <v>43101</v>
      </c>
      <c r="Y675" s="1353">
        <v>43466</v>
      </c>
      <c r="Z675" s="1355"/>
      <c r="AA675" s="1355" t="s">
        <v>4679</v>
      </c>
      <c r="AB675" s="1422">
        <v>122499.6</v>
      </c>
      <c r="AC675" s="1356"/>
      <c r="AD675" s="1422">
        <f t="shared" ref="AD675:AD681" si="966">AH675</f>
        <v>155471.76</v>
      </c>
      <c r="AE675" s="1422">
        <f t="shared" si="952"/>
        <v>32972.160000000003</v>
      </c>
      <c r="AF675" s="1423">
        <f t="shared" si="951"/>
        <v>0.26916136869018348</v>
      </c>
      <c r="AG675" s="1358">
        <f t="shared" si="949"/>
        <v>12955.980000000001</v>
      </c>
      <c r="AH675" s="1358">
        <v>155471.76</v>
      </c>
      <c r="AI675" s="1359">
        <v>0.1</v>
      </c>
      <c r="AJ675" s="1360">
        <f t="shared" ref="AJ675:AJ682" si="967">$AI675*$AG675</f>
        <v>1295.5980000000002</v>
      </c>
      <c r="AK675" s="1361">
        <f t="shared" si="954"/>
        <v>15547.176000000001</v>
      </c>
      <c r="AL675" s="1384">
        <v>0</v>
      </c>
      <c r="AM675" s="1363">
        <f t="shared" si="955"/>
        <v>0</v>
      </c>
      <c r="AN675" s="1364">
        <v>0.08</v>
      </c>
      <c r="AO675" s="1365">
        <f t="shared" si="956"/>
        <v>12437.740800000001</v>
      </c>
      <c r="AP675" s="1366">
        <v>0</v>
      </c>
      <c r="AQ675" s="1367">
        <f t="shared" si="957"/>
        <v>0</v>
      </c>
      <c r="AR675" s="1368">
        <v>0</v>
      </c>
      <c r="AS675" s="1369">
        <f t="shared" si="958"/>
        <v>0</v>
      </c>
      <c r="AT675" s="1370">
        <v>0</v>
      </c>
      <c r="AU675" s="1371">
        <f t="shared" si="959"/>
        <v>0</v>
      </c>
      <c r="AV675" s="1359">
        <f t="shared" si="960"/>
        <v>2.0000000000000004E-2</v>
      </c>
      <c r="AW675" s="1372">
        <f t="shared" si="961"/>
        <v>3109.4352000000008</v>
      </c>
      <c r="AX675" s="1373">
        <f t="shared" si="962"/>
        <v>2.0000000000000004E-2</v>
      </c>
      <c r="AY675" s="1374">
        <f t="shared" si="963"/>
        <v>3109.4352000000008</v>
      </c>
      <c r="AZ675" s="1375">
        <f t="shared" si="964"/>
        <v>2.0000000000000004E-2</v>
      </c>
      <c r="BA675" s="1376">
        <f t="shared" si="965"/>
        <v>3109.4352000000008</v>
      </c>
      <c r="BB675" s="1377"/>
      <c r="BC675" s="1848"/>
      <c r="BD675" s="1820"/>
      <c r="BE675" s="1823"/>
      <c r="BF675" s="1826"/>
      <c r="BG675" s="1829"/>
    </row>
    <row r="676" spans="1:59" s="1378" customFormat="1" ht="38.25">
      <c r="A676" s="1347" t="str">
        <f>L671</f>
        <v>Prothena Biosciences Inc.</v>
      </c>
      <c r="B676" s="1348" t="str">
        <f>N671</f>
        <v>Woodruff-Sawyer</v>
      </c>
      <c r="C676" s="1348">
        <f>Z671</f>
        <v>101</v>
      </c>
      <c r="D676" s="1349">
        <v>43101</v>
      </c>
      <c r="E676" s="1349"/>
      <c r="F676" s="1347" t="s">
        <v>113</v>
      </c>
      <c r="G676" s="1347" t="s">
        <v>85</v>
      </c>
      <c r="H676" s="1347" t="s">
        <v>85</v>
      </c>
      <c r="I676" s="1347" t="s">
        <v>85</v>
      </c>
      <c r="J676" s="1349"/>
      <c r="K676" s="1349" t="s">
        <v>254</v>
      </c>
      <c r="L676" s="1350" t="s">
        <v>4675</v>
      </c>
      <c r="M676" s="1350" t="s">
        <v>3651</v>
      </c>
      <c r="N676" s="1351" t="s">
        <v>5197</v>
      </c>
      <c r="O676" s="1352" t="s">
        <v>4681</v>
      </c>
      <c r="P676" s="1352"/>
      <c r="Q676" s="1354"/>
      <c r="R676" s="1354"/>
      <c r="S676" s="1354"/>
      <c r="T676" s="1354"/>
      <c r="U676" s="1354"/>
      <c r="V676" s="1354"/>
      <c r="W676" s="1353" t="s">
        <v>2482</v>
      </c>
      <c r="X676" s="1353">
        <v>43101</v>
      </c>
      <c r="Y676" s="1353">
        <v>43466</v>
      </c>
      <c r="Z676" s="1355"/>
      <c r="AA676" s="1355" t="s">
        <v>4679</v>
      </c>
      <c r="AB676" s="1422">
        <v>18727.2</v>
      </c>
      <c r="AC676" s="1356"/>
      <c r="AD676" s="1422">
        <f t="shared" si="966"/>
        <v>19173.240000000002</v>
      </c>
      <c r="AE676" s="1422">
        <f t="shared" si="952"/>
        <v>446.04000000000087</v>
      </c>
      <c r="AF676" s="1423">
        <f t="shared" si="951"/>
        <v>2.3817762399077323E-2</v>
      </c>
      <c r="AG676" s="1358">
        <f t="shared" si="949"/>
        <v>1597.7700000000002</v>
      </c>
      <c r="AH676" s="1358">
        <v>19173.240000000002</v>
      </c>
      <c r="AI676" s="1359">
        <v>0.1</v>
      </c>
      <c r="AJ676" s="1360">
        <f t="shared" si="967"/>
        <v>159.77700000000004</v>
      </c>
      <c r="AK676" s="1361">
        <f t="shared" si="954"/>
        <v>1917.3240000000003</v>
      </c>
      <c r="AL676" s="1384">
        <v>0</v>
      </c>
      <c r="AM676" s="1363">
        <f t="shared" si="955"/>
        <v>0</v>
      </c>
      <c r="AN676" s="1364">
        <v>0.08</v>
      </c>
      <c r="AO676" s="1365">
        <f t="shared" si="956"/>
        <v>1533.8592000000001</v>
      </c>
      <c r="AP676" s="1366">
        <v>0</v>
      </c>
      <c r="AQ676" s="1367">
        <f t="shared" si="957"/>
        <v>0</v>
      </c>
      <c r="AR676" s="1368">
        <v>0</v>
      </c>
      <c r="AS676" s="1369">
        <f t="shared" si="958"/>
        <v>0</v>
      </c>
      <c r="AT676" s="1370">
        <v>0</v>
      </c>
      <c r="AU676" s="1371">
        <f t="shared" si="959"/>
        <v>0</v>
      </c>
      <c r="AV676" s="1359">
        <f t="shared" si="960"/>
        <v>2.0000000000000004E-2</v>
      </c>
      <c r="AW676" s="1372">
        <f t="shared" si="961"/>
        <v>383.46480000000008</v>
      </c>
      <c r="AX676" s="1373">
        <f t="shared" si="962"/>
        <v>2.0000000000000004E-2</v>
      </c>
      <c r="AY676" s="1374">
        <f t="shared" si="963"/>
        <v>383.46480000000008</v>
      </c>
      <c r="AZ676" s="1375">
        <f t="shared" si="964"/>
        <v>2.0000000000000004E-2</v>
      </c>
      <c r="BA676" s="1376">
        <f t="shared" si="965"/>
        <v>383.46480000000008</v>
      </c>
      <c r="BB676" s="1377"/>
      <c r="BC676" s="1848"/>
      <c r="BD676" s="1820"/>
      <c r="BE676" s="1823"/>
      <c r="BF676" s="1826"/>
      <c r="BG676" s="1829"/>
    </row>
    <row r="677" spans="1:59" s="1378" customFormat="1" ht="38.25">
      <c r="A677" s="1347" t="str">
        <f>L671</f>
        <v>Prothena Biosciences Inc.</v>
      </c>
      <c r="B677" s="1348" t="str">
        <f>N671</f>
        <v>Woodruff-Sawyer</v>
      </c>
      <c r="C677" s="1348">
        <f>Z671</f>
        <v>101</v>
      </c>
      <c r="D677" s="1349">
        <v>43101</v>
      </c>
      <c r="E677" s="1349"/>
      <c r="F677" s="1347" t="s">
        <v>113</v>
      </c>
      <c r="G677" s="1347" t="s">
        <v>85</v>
      </c>
      <c r="H677" s="1347" t="s">
        <v>85</v>
      </c>
      <c r="I677" s="1347" t="s">
        <v>85</v>
      </c>
      <c r="J677" s="1349"/>
      <c r="K677" s="1349" t="s">
        <v>254</v>
      </c>
      <c r="L677" s="1350" t="s">
        <v>4682</v>
      </c>
      <c r="M677" s="1350" t="s">
        <v>4683</v>
      </c>
      <c r="N677" s="1386" t="s">
        <v>126</v>
      </c>
      <c r="O677" s="1352" t="s">
        <v>4684</v>
      </c>
      <c r="P677" s="1387"/>
      <c r="Q677" s="1354"/>
      <c r="R677" s="1354"/>
      <c r="S677" s="1354"/>
      <c r="T677" s="1354"/>
      <c r="U677" s="1354"/>
      <c r="V677" s="1354"/>
      <c r="W677" s="1354"/>
      <c r="X677" s="1353">
        <v>43101</v>
      </c>
      <c r="Y677" s="1353">
        <v>43466</v>
      </c>
      <c r="Z677" s="1355"/>
      <c r="AA677" s="1355" t="s">
        <v>4685</v>
      </c>
      <c r="AB677" s="1422">
        <v>35202.6</v>
      </c>
      <c r="AC677" s="1356"/>
      <c r="AD677" s="1422">
        <f t="shared" si="966"/>
        <v>1584.96</v>
      </c>
      <c r="AE677" s="1422">
        <f t="shared" si="952"/>
        <v>-33617.64</v>
      </c>
      <c r="AF677" s="1423">
        <f t="shared" si="951"/>
        <v>-0.95497605290518317</v>
      </c>
      <c r="AG677" s="1358">
        <f t="shared" si="949"/>
        <v>132.08000000000001</v>
      </c>
      <c r="AH677" s="1358">
        <f>1584.96</f>
        <v>1584.96</v>
      </c>
      <c r="AI677" s="1359">
        <v>0.15</v>
      </c>
      <c r="AJ677" s="1360">
        <f t="shared" si="967"/>
        <v>19.812000000000001</v>
      </c>
      <c r="AK677" s="1361">
        <f t="shared" si="954"/>
        <v>237.744</v>
      </c>
      <c r="AL677" s="1384">
        <v>0</v>
      </c>
      <c r="AM677" s="1363">
        <f t="shared" si="955"/>
        <v>0</v>
      </c>
      <c r="AN677" s="1364">
        <v>0.1</v>
      </c>
      <c r="AO677" s="1365">
        <f t="shared" si="956"/>
        <v>158.49600000000001</v>
      </c>
      <c r="AP677" s="1366">
        <v>0</v>
      </c>
      <c r="AQ677" s="1367">
        <f t="shared" si="957"/>
        <v>0</v>
      </c>
      <c r="AR677" s="1368">
        <v>0</v>
      </c>
      <c r="AS677" s="1369">
        <f t="shared" si="958"/>
        <v>0</v>
      </c>
      <c r="AT677" s="1370">
        <v>0</v>
      </c>
      <c r="AU677" s="1371">
        <f t="shared" si="959"/>
        <v>0</v>
      </c>
      <c r="AV677" s="1359">
        <f t="shared" si="960"/>
        <v>4.9999999999999989E-2</v>
      </c>
      <c r="AW677" s="1372">
        <f t="shared" si="961"/>
        <v>79.24799999999999</v>
      </c>
      <c r="AX677" s="1373">
        <f t="shared" si="962"/>
        <v>4.9999999999999989E-2</v>
      </c>
      <c r="AY677" s="1374">
        <f t="shared" si="963"/>
        <v>79.24799999999999</v>
      </c>
      <c r="AZ677" s="1375">
        <f t="shared" si="964"/>
        <v>4.9999999999999989E-2</v>
      </c>
      <c r="BA677" s="1376">
        <f t="shared" si="965"/>
        <v>79.24799999999999</v>
      </c>
      <c r="BB677" s="1377"/>
      <c r="BC677" s="1848"/>
      <c r="BD677" s="1820"/>
      <c r="BE677" s="1823"/>
      <c r="BF677" s="1826"/>
      <c r="BG677" s="1829"/>
    </row>
    <row r="678" spans="1:59" s="1378" customFormat="1" ht="38.25">
      <c r="A678" s="1347" t="str">
        <f>L671</f>
        <v>Prothena Biosciences Inc.</v>
      </c>
      <c r="B678" s="1348" t="str">
        <f>N671</f>
        <v>Woodruff-Sawyer</v>
      </c>
      <c r="C678" s="1348">
        <f>Z671</f>
        <v>101</v>
      </c>
      <c r="D678" s="1349">
        <v>43101</v>
      </c>
      <c r="E678" s="1349"/>
      <c r="F678" s="1347" t="s">
        <v>113</v>
      </c>
      <c r="G678" s="1347" t="s">
        <v>85</v>
      </c>
      <c r="H678" s="1347" t="s">
        <v>85</v>
      </c>
      <c r="I678" s="1347" t="s">
        <v>113</v>
      </c>
      <c r="J678" s="1349"/>
      <c r="K678" s="1349" t="s">
        <v>254</v>
      </c>
      <c r="L678" s="1350" t="s">
        <v>4682</v>
      </c>
      <c r="M678" s="1350" t="s">
        <v>4686</v>
      </c>
      <c r="N678" s="1386" t="s">
        <v>60</v>
      </c>
      <c r="O678" s="1352" t="s">
        <v>4687</v>
      </c>
      <c r="P678" s="1387"/>
      <c r="Q678" s="1354"/>
      <c r="R678" s="1354"/>
      <c r="S678" s="1354"/>
      <c r="T678" s="1354"/>
      <c r="U678" s="1354"/>
      <c r="V678" s="1354"/>
      <c r="W678" s="1354"/>
      <c r="X678" s="1353">
        <v>43101</v>
      </c>
      <c r="Y678" s="1353">
        <v>43466</v>
      </c>
      <c r="Z678" s="1355"/>
      <c r="AA678" s="1355" t="s">
        <v>4685</v>
      </c>
      <c r="AB678" s="1356"/>
      <c r="AC678" s="1356"/>
      <c r="AD678" s="1356"/>
      <c r="AE678" s="1356"/>
      <c r="AF678" s="1357" t="str">
        <f t="shared" si="951"/>
        <v/>
      </c>
      <c r="AG678" s="1358">
        <f t="shared" si="949"/>
        <v>1818.6000000000001</v>
      </c>
      <c r="AH678" s="1358">
        <f>10113.12 + 11710.08</f>
        <v>21823.200000000001</v>
      </c>
      <c r="AI678" s="1359">
        <v>0.15</v>
      </c>
      <c r="AJ678" s="1360">
        <f t="shared" si="967"/>
        <v>272.79000000000002</v>
      </c>
      <c r="AK678" s="1361">
        <f t="shared" si="954"/>
        <v>3273.48</v>
      </c>
      <c r="AL678" s="1384">
        <v>0</v>
      </c>
      <c r="AM678" s="1363">
        <f t="shared" si="955"/>
        <v>0</v>
      </c>
      <c r="AN678" s="1364">
        <v>0.1</v>
      </c>
      <c r="AO678" s="1365">
        <f t="shared" si="956"/>
        <v>2182.3200000000002</v>
      </c>
      <c r="AP678" s="1366">
        <v>0</v>
      </c>
      <c r="AQ678" s="1367">
        <f t="shared" si="957"/>
        <v>0</v>
      </c>
      <c r="AR678" s="1368">
        <v>0</v>
      </c>
      <c r="AS678" s="1369">
        <f t="shared" si="958"/>
        <v>0</v>
      </c>
      <c r="AT678" s="1370">
        <v>0</v>
      </c>
      <c r="AU678" s="1371">
        <f t="shared" si="959"/>
        <v>0</v>
      </c>
      <c r="AV678" s="1359">
        <f t="shared" si="960"/>
        <v>4.9999999999999989E-2</v>
      </c>
      <c r="AW678" s="1372">
        <f t="shared" si="961"/>
        <v>1091.1599999999999</v>
      </c>
      <c r="AX678" s="1373">
        <f t="shared" si="962"/>
        <v>4.9999999999999989E-2</v>
      </c>
      <c r="AY678" s="1374">
        <f t="shared" si="963"/>
        <v>1091.1599999999999</v>
      </c>
      <c r="AZ678" s="1375">
        <f t="shared" si="964"/>
        <v>4.9999999999999989E-2</v>
      </c>
      <c r="BA678" s="1376">
        <f t="shared" si="965"/>
        <v>1091.1599999999999</v>
      </c>
      <c r="BB678" s="1377"/>
      <c r="BC678" s="1848"/>
      <c r="BD678" s="1820"/>
      <c r="BE678" s="1823"/>
      <c r="BF678" s="1826"/>
      <c r="BG678" s="1829"/>
    </row>
    <row r="679" spans="1:59" s="1378" customFormat="1" ht="38.25">
      <c r="A679" s="1347" t="str">
        <f>L671</f>
        <v>Prothena Biosciences Inc.</v>
      </c>
      <c r="B679" s="1348" t="str">
        <f>N671</f>
        <v>Woodruff-Sawyer</v>
      </c>
      <c r="C679" s="1348">
        <f>Z$671</f>
        <v>101</v>
      </c>
      <c r="D679" s="1349">
        <v>43101</v>
      </c>
      <c r="E679" s="1349"/>
      <c r="F679" s="1347" t="s">
        <v>113</v>
      </c>
      <c r="G679" s="1347" t="s">
        <v>85</v>
      </c>
      <c r="H679" s="1347" t="s">
        <v>85</v>
      </c>
      <c r="I679" s="1347" t="s">
        <v>85</v>
      </c>
      <c r="J679" s="1349"/>
      <c r="K679" s="1349" t="s">
        <v>254</v>
      </c>
      <c r="L679" s="1350" t="s">
        <v>4682</v>
      </c>
      <c r="M679" s="1350" t="s">
        <v>62</v>
      </c>
      <c r="N679" s="1351" t="s">
        <v>101</v>
      </c>
      <c r="O679" s="1352" t="s">
        <v>4688</v>
      </c>
      <c r="P679" s="1352"/>
      <c r="Q679" s="1354"/>
      <c r="R679" s="1354"/>
      <c r="S679" s="1354"/>
      <c r="T679" s="1354"/>
      <c r="U679" s="1354"/>
      <c r="V679" s="1354"/>
      <c r="W679" s="1354"/>
      <c r="X679" s="1353">
        <v>43101</v>
      </c>
      <c r="Y679" s="1353">
        <v>43466</v>
      </c>
      <c r="Z679" s="1355"/>
      <c r="AA679" s="1355" t="s">
        <v>4685</v>
      </c>
      <c r="AB679" s="1422">
        <v>13985.412</v>
      </c>
      <c r="AC679" s="1356"/>
      <c r="AD679" s="1422">
        <f t="shared" si="966"/>
        <v>25489.13</v>
      </c>
      <c r="AE679" s="1422">
        <f t="shared" si="952"/>
        <v>11503.718000000001</v>
      </c>
      <c r="AF679" s="1423">
        <f t="shared" si="951"/>
        <v>0.82255124125052592</v>
      </c>
      <c r="AG679" s="1358">
        <f t="shared" si="949"/>
        <v>2124.0941666666668</v>
      </c>
      <c r="AH679" s="1358">
        <v>25489.13</v>
      </c>
      <c r="AI679" s="1359">
        <v>0.15</v>
      </c>
      <c r="AJ679" s="1360">
        <f t="shared" si="967"/>
        <v>318.614125</v>
      </c>
      <c r="AK679" s="1361">
        <f t="shared" si="954"/>
        <v>3823.3694999999998</v>
      </c>
      <c r="AL679" s="1384">
        <v>0</v>
      </c>
      <c r="AM679" s="1363">
        <f t="shared" si="955"/>
        <v>0</v>
      </c>
      <c r="AN679" s="1364">
        <v>0.1</v>
      </c>
      <c r="AO679" s="1365">
        <f t="shared" si="956"/>
        <v>2548.9130000000005</v>
      </c>
      <c r="AP679" s="1366">
        <v>0</v>
      </c>
      <c r="AQ679" s="1367">
        <f t="shared" si="957"/>
        <v>0</v>
      </c>
      <c r="AR679" s="1368">
        <v>0</v>
      </c>
      <c r="AS679" s="1369">
        <f t="shared" si="958"/>
        <v>0</v>
      </c>
      <c r="AT679" s="1370">
        <v>0</v>
      </c>
      <c r="AU679" s="1371">
        <f t="shared" si="959"/>
        <v>0</v>
      </c>
      <c r="AV679" s="1359">
        <f t="shared" si="960"/>
        <v>4.9999999999999989E-2</v>
      </c>
      <c r="AW679" s="1372">
        <f t="shared" si="961"/>
        <v>1274.4564999999998</v>
      </c>
      <c r="AX679" s="1373">
        <f t="shared" si="962"/>
        <v>4.9999999999999989E-2</v>
      </c>
      <c r="AY679" s="1374">
        <f t="shared" si="963"/>
        <v>1274.4564999999998</v>
      </c>
      <c r="AZ679" s="1375">
        <f t="shared" si="964"/>
        <v>4.9999999999999989E-2</v>
      </c>
      <c r="BA679" s="1376">
        <f t="shared" si="965"/>
        <v>1274.4564999999998</v>
      </c>
      <c r="BB679" s="1377"/>
      <c r="BC679" s="1848"/>
      <c r="BD679" s="1820"/>
      <c r="BE679" s="1823"/>
      <c r="BF679" s="1826"/>
      <c r="BG679" s="1829"/>
    </row>
    <row r="680" spans="1:59" s="1378" customFormat="1" ht="38.25">
      <c r="A680" s="1347" t="str">
        <f>L$671</f>
        <v>Prothena Biosciences Inc.</v>
      </c>
      <c r="B680" s="1348" t="str">
        <f>N$671</f>
        <v>Woodruff-Sawyer</v>
      </c>
      <c r="C680" s="1348">
        <f>Z$671</f>
        <v>101</v>
      </c>
      <c r="D680" s="1349">
        <v>43101</v>
      </c>
      <c r="E680" s="1349"/>
      <c r="F680" s="1347" t="s">
        <v>113</v>
      </c>
      <c r="G680" s="1347" t="s">
        <v>85</v>
      </c>
      <c r="H680" s="1347" t="s">
        <v>85</v>
      </c>
      <c r="I680" s="1347" t="s">
        <v>113</v>
      </c>
      <c r="J680" s="1349"/>
      <c r="K680" s="1349" t="s">
        <v>254</v>
      </c>
      <c r="L680" s="1350" t="s">
        <v>4682</v>
      </c>
      <c r="M680" s="1350" t="s">
        <v>4741</v>
      </c>
      <c r="N680" s="1351" t="s">
        <v>4742</v>
      </c>
      <c r="O680" s="1352" t="s">
        <v>5198</v>
      </c>
      <c r="P680" s="1352"/>
      <c r="Q680" s="1354"/>
      <c r="R680" s="1354"/>
      <c r="S680" s="1354"/>
      <c r="T680" s="1354"/>
      <c r="U680" s="1354"/>
      <c r="V680" s="1354"/>
      <c r="W680" s="1354"/>
      <c r="X680" s="1353">
        <v>43101</v>
      </c>
      <c r="Y680" s="1353">
        <v>43466</v>
      </c>
      <c r="Z680" s="1355"/>
      <c r="AA680" s="1355" t="s">
        <v>4679</v>
      </c>
      <c r="AB680" s="1356"/>
      <c r="AC680" s="1356"/>
      <c r="AD680" s="1356"/>
      <c r="AE680" s="1356"/>
      <c r="AF680" s="1357" t="str">
        <f t="shared" si="951"/>
        <v/>
      </c>
      <c r="AG680" s="1358">
        <f t="shared" si="949"/>
        <v>3.3000000000000003</v>
      </c>
      <c r="AH680" s="1358">
        <v>39.6</v>
      </c>
      <c r="AI680" s="1359">
        <v>0.1</v>
      </c>
      <c r="AJ680" s="1360">
        <f t="shared" si="967"/>
        <v>0.33000000000000007</v>
      </c>
      <c r="AK680" s="1361">
        <f t="shared" si="954"/>
        <v>3.9600000000000004</v>
      </c>
      <c r="AL680" s="1384">
        <v>0</v>
      </c>
      <c r="AM680" s="1363">
        <f t="shared" si="955"/>
        <v>0</v>
      </c>
      <c r="AN680" s="1364">
        <v>0.08</v>
      </c>
      <c r="AO680" s="1365">
        <f t="shared" si="956"/>
        <v>3.1680000000000001</v>
      </c>
      <c r="AP680" s="1366">
        <v>0</v>
      </c>
      <c r="AQ680" s="1367">
        <f t="shared" si="957"/>
        <v>0</v>
      </c>
      <c r="AR680" s="1368">
        <v>0</v>
      </c>
      <c r="AS680" s="1369">
        <f t="shared" si="958"/>
        <v>0</v>
      </c>
      <c r="AT680" s="1370">
        <v>0</v>
      </c>
      <c r="AU680" s="1371">
        <f t="shared" si="959"/>
        <v>0</v>
      </c>
      <c r="AV680" s="1359">
        <f t="shared" si="960"/>
        <v>2.0000000000000004E-2</v>
      </c>
      <c r="AW680" s="1372">
        <f t="shared" si="961"/>
        <v>0.79200000000000015</v>
      </c>
      <c r="AX680" s="1373">
        <f t="shared" si="962"/>
        <v>2.0000000000000004E-2</v>
      </c>
      <c r="AY680" s="1374">
        <f t="shared" si="963"/>
        <v>0.79200000000000015</v>
      </c>
      <c r="AZ680" s="1375">
        <f t="shared" si="964"/>
        <v>2.0000000000000004E-2</v>
      </c>
      <c r="BA680" s="1376">
        <f t="shared" si="965"/>
        <v>0.79200000000000015</v>
      </c>
      <c r="BB680" s="1377"/>
      <c r="BC680" s="1848"/>
      <c r="BD680" s="1820"/>
      <c r="BE680" s="1823"/>
      <c r="BF680" s="1826"/>
      <c r="BG680" s="1829"/>
    </row>
    <row r="681" spans="1:59" s="1378" customFormat="1" ht="38.25">
      <c r="A681" s="1347" t="str">
        <f>L671</f>
        <v>Prothena Biosciences Inc.</v>
      </c>
      <c r="B681" s="1348" t="str">
        <f>N671</f>
        <v>Woodruff-Sawyer</v>
      </c>
      <c r="C681" s="1348">
        <f>Z671</f>
        <v>101</v>
      </c>
      <c r="D681" s="1349">
        <v>43101</v>
      </c>
      <c r="E681" s="1349"/>
      <c r="F681" s="1347" t="s">
        <v>113</v>
      </c>
      <c r="G681" s="1347" t="s">
        <v>85</v>
      </c>
      <c r="H681" s="1347" t="s">
        <v>85</v>
      </c>
      <c r="I681" s="1347" t="s">
        <v>85</v>
      </c>
      <c r="J681" s="1349"/>
      <c r="K681" s="1349" t="s">
        <v>254</v>
      </c>
      <c r="L681" s="1350" t="s">
        <v>4682</v>
      </c>
      <c r="M681" s="1350" t="s">
        <v>67</v>
      </c>
      <c r="N681" s="1351" t="s">
        <v>440</v>
      </c>
      <c r="O681" s="1352" t="s">
        <v>4689</v>
      </c>
      <c r="P681" s="1352"/>
      <c r="Q681" s="1354"/>
      <c r="R681" s="1354"/>
      <c r="S681" s="1354"/>
      <c r="T681" s="1354"/>
      <c r="U681" s="1354"/>
      <c r="V681" s="1354"/>
      <c r="W681" s="1354"/>
      <c r="X681" s="1353">
        <v>43101</v>
      </c>
      <c r="Y681" s="1353">
        <v>43466</v>
      </c>
      <c r="Z681" s="1355"/>
      <c r="AA681" s="1355" t="s">
        <v>4685</v>
      </c>
      <c r="AB681" s="1422">
        <v>26260.85</v>
      </c>
      <c r="AC681" s="1356"/>
      <c r="AD681" s="1422">
        <f t="shared" si="966"/>
        <v>56691.72</v>
      </c>
      <c r="AE681" s="1422">
        <f t="shared" si="952"/>
        <v>30430.870000000003</v>
      </c>
      <c r="AF681" s="1423">
        <f t="shared" si="951"/>
        <v>1.1587922706233806</v>
      </c>
      <c r="AG681" s="1358">
        <f t="shared" si="949"/>
        <v>4724.3100000000004</v>
      </c>
      <c r="AH681" s="1358">
        <v>56691.72</v>
      </c>
      <c r="AI681" s="1359">
        <v>0.15</v>
      </c>
      <c r="AJ681" s="1360">
        <f t="shared" si="967"/>
        <v>708.64650000000006</v>
      </c>
      <c r="AK681" s="1361">
        <f t="shared" si="954"/>
        <v>8503.7579999999998</v>
      </c>
      <c r="AL681" s="1384">
        <v>0</v>
      </c>
      <c r="AM681" s="1363">
        <f t="shared" si="955"/>
        <v>0</v>
      </c>
      <c r="AN681" s="1364">
        <v>0.1</v>
      </c>
      <c r="AO681" s="1365">
        <f t="shared" si="956"/>
        <v>5669.1720000000005</v>
      </c>
      <c r="AP681" s="1366">
        <v>0</v>
      </c>
      <c r="AQ681" s="1367">
        <f t="shared" si="957"/>
        <v>0</v>
      </c>
      <c r="AR681" s="1368">
        <v>0</v>
      </c>
      <c r="AS681" s="1369">
        <f t="shared" si="958"/>
        <v>0</v>
      </c>
      <c r="AT681" s="1370">
        <v>0</v>
      </c>
      <c r="AU681" s="1371">
        <f t="shared" si="959"/>
        <v>0</v>
      </c>
      <c r="AV681" s="1359">
        <f t="shared" si="960"/>
        <v>4.9999999999999989E-2</v>
      </c>
      <c r="AW681" s="1372">
        <f t="shared" si="961"/>
        <v>2834.5859999999993</v>
      </c>
      <c r="AX681" s="1373">
        <f t="shared" si="962"/>
        <v>4.9999999999999989E-2</v>
      </c>
      <c r="AY681" s="1374">
        <f t="shared" si="963"/>
        <v>2834.5859999999993</v>
      </c>
      <c r="AZ681" s="1375">
        <f t="shared" si="964"/>
        <v>4.9999999999999989E-2</v>
      </c>
      <c r="BA681" s="1376">
        <f t="shared" si="965"/>
        <v>2834.5859999999993</v>
      </c>
      <c r="BB681" s="1377"/>
      <c r="BC681" s="1848"/>
      <c r="BD681" s="1820"/>
      <c r="BE681" s="1823"/>
      <c r="BF681" s="1826"/>
      <c r="BG681" s="1829"/>
    </row>
    <row r="682" spans="1:59" s="1378" customFormat="1" ht="27.75" customHeight="1">
      <c r="A682" s="1347" t="s">
        <v>427</v>
      </c>
      <c r="B682" s="1348" t="s">
        <v>3659</v>
      </c>
      <c r="C682" s="1348">
        <v>84</v>
      </c>
      <c r="D682" s="1349">
        <v>43101</v>
      </c>
      <c r="E682" s="1349"/>
      <c r="F682" s="1347" t="s">
        <v>72</v>
      </c>
      <c r="G682" s="1347" t="s">
        <v>85</v>
      </c>
      <c r="H682" s="1347" t="s">
        <v>72</v>
      </c>
      <c r="I682" s="1347" t="s">
        <v>72</v>
      </c>
      <c r="J682" s="1349" t="s">
        <v>4670</v>
      </c>
      <c r="K682" s="1349" t="s">
        <v>254</v>
      </c>
      <c r="L682" s="1350" t="s">
        <v>4696</v>
      </c>
      <c r="M682" s="1350" t="s">
        <v>4697</v>
      </c>
      <c r="N682" s="1389" t="s">
        <v>4698</v>
      </c>
      <c r="O682" s="1352" t="s">
        <v>4699</v>
      </c>
      <c r="P682" s="1388"/>
      <c r="Q682" s="1354"/>
      <c r="R682" s="1354"/>
      <c r="S682" s="1354"/>
      <c r="T682" s="1354"/>
      <c r="U682" s="1354"/>
      <c r="V682" s="1354"/>
      <c r="W682" s="1354"/>
      <c r="X682" s="1353">
        <v>43101</v>
      </c>
      <c r="Y682" s="1353">
        <v>43466</v>
      </c>
      <c r="Z682" s="1355"/>
      <c r="AA682" s="1355" t="s">
        <v>4674</v>
      </c>
      <c r="AB682" s="1356"/>
      <c r="AC682" s="1356"/>
      <c r="AD682" s="1356"/>
      <c r="AE682" s="1356"/>
      <c r="AF682" s="1357" t="str">
        <f t="shared" si="951"/>
        <v/>
      </c>
      <c r="AG682" s="1380"/>
      <c r="AH682" s="1380"/>
      <c r="AI682" s="1381">
        <v>0</v>
      </c>
      <c r="AJ682" s="1382">
        <f t="shared" si="967"/>
        <v>0</v>
      </c>
      <c r="AK682" s="1383">
        <f t="shared" si="954"/>
        <v>0</v>
      </c>
      <c r="AL682" s="1384">
        <v>0</v>
      </c>
      <c r="AM682" s="1363">
        <f t="shared" si="955"/>
        <v>0</v>
      </c>
      <c r="AN682" s="1364">
        <v>0</v>
      </c>
      <c r="AO682" s="1365">
        <f t="shared" si="956"/>
        <v>0</v>
      </c>
      <c r="AP682" s="1366">
        <v>0</v>
      </c>
      <c r="AQ682" s="1367">
        <f t="shared" si="957"/>
        <v>0</v>
      </c>
      <c r="AR682" s="1368">
        <v>0</v>
      </c>
      <c r="AS682" s="1369">
        <f t="shared" si="958"/>
        <v>0</v>
      </c>
      <c r="AT682" s="1370">
        <v>0</v>
      </c>
      <c r="AU682" s="1371">
        <f t="shared" si="959"/>
        <v>0</v>
      </c>
      <c r="AV682" s="1359">
        <f t="shared" si="960"/>
        <v>0</v>
      </c>
      <c r="AW682" s="1372">
        <f t="shared" si="961"/>
        <v>0</v>
      </c>
      <c r="AX682" s="1373">
        <f t="shared" si="962"/>
        <v>0</v>
      </c>
      <c r="AY682" s="1374">
        <f t="shared" si="963"/>
        <v>0</v>
      </c>
      <c r="AZ682" s="1375">
        <f t="shared" si="964"/>
        <v>0</v>
      </c>
      <c r="BA682" s="1376">
        <f t="shared" si="965"/>
        <v>0</v>
      </c>
      <c r="BB682" s="1377"/>
      <c r="BC682" s="1848"/>
      <c r="BD682" s="1820"/>
      <c r="BE682" s="1823"/>
      <c r="BF682" s="1826"/>
      <c r="BG682" s="1829"/>
    </row>
    <row r="683" spans="1:59" s="1378" customFormat="1" ht="38.25">
      <c r="A683" s="1347" t="str">
        <f>L671</f>
        <v>Prothena Biosciences Inc.</v>
      </c>
      <c r="B683" s="1348" t="str">
        <f>N671</f>
        <v>Woodruff-Sawyer</v>
      </c>
      <c r="C683" s="1348">
        <f>Z671</f>
        <v>101</v>
      </c>
      <c r="D683" s="1349">
        <v>43101</v>
      </c>
      <c r="E683" s="1349"/>
      <c r="F683" s="1347" t="s">
        <v>72</v>
      </c>
      <c r="G683" s="1347" t="s">
        <v>4700</v>
      </c>
      <c r="H683" s="1347" t="s">
        <v>72</v>
      </c>
      <c r="I683" s="1347" t="s">
        <v>72</v>
      </c>
      <c r="J683" s="1349" t="s">
        <v>4670</v>
      </c>
      <c r="K683" s="1349" t="s">
        <v>254</v>
      </c>
      <c r="L683" s="1350" t="s">
        <v>48</v>
      </c>
      <c r="M683" s="1350" t="s">
        <v>3652</v>
      </c>
      <c r="N683" s="1390" t="s">
        <v>5199</v>
      </c>
      <c r="O683" s="1352" t="s">
        <v>4702</v>
      </c>
      <c r="P683" s="1352"/>
      <c r="Q683" s="1354"/>
      <c r="R683" s="1354"/>
      <c r="S683" s="1354"/>
      <c r="T683" s="1354"/>
      <c r="U683" s="1354"/>
      <c r="V683" s="1354"/>
      <c r="W683" s="1354"/>
      <c r="X683" s="1353">
        <v>43101</v>
      </c>
      <c r="Y683" s="1353">
        <v>43466</v>
      </c>
      <c r="Z683" s="1355"/>
      <c r="AA683" s="1355" t="s">
        <v>4674</v>
      </c>
      <c r="AB683" s="1356"/>
      <c r="AC683" s="1356"/>
      <c r="AD683" s="1356"/>
      <c r="AE683" s="1356"/>
      <c r="AF683" s="1357" t="str">
        <f>IFERROR((AE683/AB683),"")</f>
        <v/>
      </c>
      <c r="AG683" s="1380"/>
      <c r="AH683" s="1380"/>
      <c r="AI683" s="1381">
        <v>0</v>
      </c>
      <c r="AJ683" s="1383">
        <v>0</v>
      </c>
      <c r="AK683" s="1383">
        <v>0</v>
      </c>
      <c r="AL683" s="1384">
        <v>0</v>
      </c>
      <c r="AM683" s="1363">
        <f t="shared" si="955"/>
        <v>0</v>
      </c>
      <c r="AN683" s="1364">
        <v>0</v>
      </c>
      <c r="AO683" s="1365">
        <f t="shared" si="956"/>
        <v>0</v>
      </c>
      <c r="AP683" s="1366">
        <v>0</v>
      </c>
      <c r="AQ683" s="1367">
        <f t="shared" si="957"/>
        <v>0</v>
      </c>
      <c r="AR683" s="1368">
        <v>0</v>
      </c>
      <c r="AS683" s="1369">
        <f t="shared" si="958"/>
        <v>0</v>
      </c>
      <c r="AT683" s="1370">
        <v>0</v>
      </c>
      <c r="AU683" s="1371">
        <f t="shared" si="959"/>
        <v>0</v>
      </c>
      <c r="AV683" s="1359">
        <f t="shared" si="960"/>
        <v>0</v>
      </c>
      <c r="AW683" s="1372">
        <f t="shared" si="961"/>
        <v>0</v>
      </c>
      <c r="AX683" s="1373">
        <f t="shared" si="962"/>
        <v>0</v>
      </c>
      <c r="AY683" s="1374">
        <f t="shared" si="963"/>
        <v>0</v>
      </c>
      <c r="AZ683" s="1375">
        <f t="shared" si="964"/>
        <v>0</v>
      </c>
      <c r="BA683" s="1376">
        <f t="shared" si="965"/>
        <v>0</v>
      </c>
      <c r="BB683" s="1377"/>
      <c r="BC683" s="1848"/>
      <c r="BD683" s="1820"/>
      <c r="BE683" s="1823"/>
      <c r="BF683" s="1826"/>
      <c r="BG683" s="1829"/>
    </row>
    <row r="684" spans="1:59" s="1378" customFormat="1" ht="63.75">
      <c r="A684" s="1347" t="str">
        <f>L671</f>
        <v>Prothena Biosciences Inc.</v>
      </c>
      <c r="B684" s="1348" t="str">
        <f>N671</f>
        <v>Woodruff-Sawyer</v>
      </c>
      <c r="C684" s="1348">
        <f>Z671</f>
        <v>101</v>
      </c>
      <c r="D684" s="1349">
        <v>43101</v>
      </c>
      <c r="E684" s="1349"/>
      <c r="F684" s="1347" t="s">
        <v>72</v>
      </c>
      <c r="G684" s="1347" t="s">
        <v>113</v>
      </c>
      <c r="H684" s="1347" t="s">
        <v>72</v>
      </c>
      <c r="I684" s="1347" t="s">
        <v>72</v>
      </c>
      <c r="J684" s="1349" t="s">
        <v>4766</v>
      </c>
      <c r="K684" s="1349" t="s">
        <v>5200</v>
      </c>
      <c r="L684" s="1397" t="s">
        <v>1279</v>
      </c>
      <c r="M684" s="1397" t="s">
        <v>5033</v>
      </c>
      <c r="N684" s="1412" t="s">
        <v>5201</v>
      </c>
      <c r="O684" s="1399" t="s">
        <v>5123</v>
      </c>
      <c r="P684" s="1399"/>
      <c r="Q684" s="1400"/>
      <c r="R684" s="1400"/>
      <c r="S684" s="1400"/>
      <c r="T684" s="1400"/>
      <c r="U684" s="1400"/>
      <c r="V684" s="1400"/>
      <c r="W684" s="1400"/>
      <c r="X684" s="1400">
        <v>43101</v>
      </c>
      <c r="Y684" s="1400">
        <v>43466</v>
      </c>
      <c r="Z684" s="1401"/>
      <c r="AA684" s="1401" t="s">
        <v>4738</v>
      </c>
      <c r="AB684" s="1369"/>
      <c r="AC684" s="1369"/>
      <c r="AD684" s="1369"/>
      <c r="AE684" s="1369"/>
      <c r="AF684" s="1403" t="str">
        <f>IFERROR((AE684/AB684),"")</f>
        <v/>
      </c>
      <c r="AG684" s="1404"/>
      <c r="AH684" s="1404"/>
      <c r="AI684" s="1405">
        <v>0</v>
      </c>
      <c r="AJ684" s="1406">
        <v>0</v>
      </c>
      <c r="AK684" s="1406">
        <v>0</v>
      </c>
      <c r="AL684" s="1384">
        <v>0</v>
      </c>
      <c r="AM684" s="1363">
        <f t="shared" si="955"/>
        <v>0</v>
      </c>
      <c r="AN684" s="1364">
        <v>0</v>
      </c>
      <c r="AO684" s="1365">
        <f t="shared" si="956"/>
        <v>0</v>
      </c>
      <c r="AP684" s="1366">
        <v>0</v>
      </c>
      <c r="AQ684" s="1367">
        <f t="shared" si="957"/>
        <v>0</v>
      </c>
      <c r="AR684" s="1368">
        <v>0</v>
      </c>
      <c r="AS684" s="1369">
        <f t="shared" si="958"/>
        <v>0</v>
      </c>
      <c r="AT684" s="1370">
        <v>0</v>
      </c>
      <c r="AU684" s="1371">
        <f t="shared" si="959"/>
        <v>0</v>
      </c>
      <c r="AV684" s="1359">
        <f t="shared" si="960"/>
        <v>0</v>
      </c>
      <c r="AW684" s="1372">
        <f t="shared" si="961"/>
        <v>0</v>
      </c>
      <c r="AX684" s="1373">
        <f t="shared" si="962"/>
        <v>0</v>
      </c>
      <c r="AY684" s="1374">
        <f t="shared" si="963"/>
        <v>0</v>
      </c>
      <c r="AZ684" s="1375">
        <f t="shared" si="964"/>
        <v>0</v>
      </c>
      <c r="BA684" s="1376">
        <f t="shared" si="965"/>
        <v>0</v>
      </c>
      <c r="BB684" s="1377"/>
      <c r="BC684" s="1848"/>
      <c r="BD684" s="1820"/>
      <c r="BE684" s="1823"/>
      <c r="BF684" s="1826"/>
      <c r="BG684" s="1829"/>
    </row>
    <row r="685" spans="1:59" s="1378" customFormat="1" ht="76.5">
      <c r="A685" s="1347" t="str">
        <f>L671</f>
        <v>Prothena Biosciences Inc.</v>
      </c>
      <c r="B685" s="1348" t="str">
        <f>N671</f>
        <v>Woodruff-Sawyer</v>
      </c>
      <c r="C685" s="1348">
        <f>Z671</f>
        <v>101</v>
      </c>
      <c r="D685" s="1349">
        <v>43101</v>
      </c>
      <c r="E685" s="1349"/>
      <c r="F685" s="1347" t="s">
        <v>72</v>
      </c>
      <c r="G685" s="1347" t="s">
        <v>5202</v>
      </c>
      <c r="H685" s="1347" t="s">
        <v>72</v>
      </c>
      <c r="I685" s="1347" t="s">
        <v>72</v>
      </c>
      <c r="J685" s="1349" t="s">
        <v>4670</v>
      </c>
      <c r="K685" s="1349" t="s">
        <v>254</v>
      </c>
      <c r="L685" s="1350" t="s">
        <v>48</v>
      </c>
      <c r="M685" s="1350" t="s">
        <v>253</v>
      </c>
      <c r="N685" s="1390" t="s">
        <v>5203</v>
      </c>
      <c r="O685" s="1352" t="s">
        <v>4704</v>
      </c>
      <c r="P685" s="1352"/>
      <c r="Q685" s="1354"/>
      <c r="R685" s="1354"/>
      <c r="S685" s="1354"/>
      <c r="T685" s="1354"/>
      <c r="U685" s="1354"/>
      <c r="V685" s="1354"/>
      <c r="W685" s="1354"/>
      <c r="X685" s="1353">
        <v>43101</v>
      </c>
      <c r="Y685" s="1353">
        <v>43466</v>
      </c>
      <c r="Z685" s="1355"/>
      <c r="AA685" s="1355" t="s">
        <v>4674</v>
      </c>
      <c r="AB685" s="1356"/>
      <c r="AC685" s="1356"/>
      <c r="AD685" s="1356"/>
      <c r="AE685" s="1356"/>
      <c r="AF685" s="1357" t="str">
        <f>IFERROR((AE685/AB685),"")</f>
        <v/>
      </c>
      <c r="AG685" s="1380"/>
      <c r="AH685" s="1380"/>
      <c r="AI685" s="1381">
        <v>0</v>
      </c>
      <c r="AJ685" s="1383">
        <v>0</v>
      </c>
      <c r="AK685" s="1383">
        <v>0</v>
      </c>
      <c r="AL685" s="1384">
        <v>0</v>
      </c>
      <c r="AM685" s="1363">
        <f t="shared" si="955"/>
        <v>0</v>
      </c>
      <c r="AN685" s="1364">
        <v>0</v>
      </c>
      <c r="AO685" s="1365">
        <f t="shared" si="956"/>
        <v>0</v>
      </c>
      <c r="AP685" s="1366">
        <v>0</v>
      </c>
      <c r="AQ685" s="1367">
        <f t="shared" si="957"/>
        <v>0</v>
      </c>
      <c r="AR685" s="1368">
        <v>0</v>
      </c>
      <c r="AS685" s="1369">
        <f t="shared" si="958"/>
        <v>0</v>
      </c>
      <c r="AT685" s="1370">
        <v>0</v>
      </c>
      <c r="AU685" s="1371">
        <f t="shared" si="959"/>
        <v>0</v>
      </c>
      <c r="AV685" s="1359">
        <f t="shared" si="960"/>
        <v>0</v>
      </c>
      <c r="AW685" s="1372">
        <f t="shared" si="961"/>
        <v>0</v>
      </c>
      <c r="AX685" s="1373">
        <f t="shared" si="962"/>
        <v>0</v>
      </c>
      <c r="AY685" s="1374">
        <f t="shared" si="963"/>
        <v>0</v>
      </c>
      <c r="AZ685" s="1375">
        <f t="shared" si="964"/>
        <v>0</v>
      </c>
      <c r="BA685" s="1376">
        <f t="shared" si="965"/>
        <v>0</v>
      </c>
      <c r="BB685" s="1377"/>
      <c r="BC685" s="1848"/>
      <c r="BD685" s="1820"/>
      <c r="BE685" s="1823"/>
      <c r="BF685" s="1826"/>
      <c r="BG685" s="1829"/>
    </row>
    <row r="686" spans="1:59" s="1378" customFormat="1" ht="38.25">
      <c r="A686" s="1347" t="str">
        <f>L671</f>
        <v>Prothena Biosciences Inc.</v>
      </c>
      <c r="B686" s="1348" t="str">
        <f>N671</f>
        <v>Woodruff-Sawyer</v>
      </c>
      <c r="C686" s="1348">
        <f>Z671</f>
        <v>101</v>
      </c>
      <c r="D686" s="1349">
        <v>43101</v>
      </c>
      <c r="E686" s="1349"/>
      <c r="F686" s="1347" t="s">
        <v>72</v>
      </c>
      <c r="G686" s="1347" t="s">
        <v>85</v>
      </c>
      <c r="H686" s="1347" t="s">
        <v>72</v>
      </c>
      <c r="I686" s="1347" t="s">
        <v>72</v>
      </c>
      <c r="J686" s="1349" t="s">
        <v>4670</v>
      </c>
      <c r="K686" s="1349" t="s">
        <v>254</v>
      </c>
      <c r="L686" s="1350" t="s">
        <v>49</v>
      </c>
      <c r="M686" s="1350" t="s">
        <v>4705</v>
      </c>
      <c r="N686" s="1390" t="s">
        <v>4706</v>
      </c>
      <c r="O686" s="1352" t="s">
        <v>4707</v>
      </c>
      <c r="P686" s="1352"/>
      <c r="Q686" s="1354"/>
      <c r="R686" s="1354"/>
      <c r="S686" s="1354"/>
      <c r="T686" s="1354"/>
      <c r="U686" s="1354"/>
      <c r="V686" s="1354"/>
      <c r="W686" s="1354"/>
      <c r="X686" s="1353">
        <v>43101</v>
      </c>
      <c r="Y686" s="1353">
        <v>43466</v>
      </c>
      <c r="Z686" s="1355"/>
      <c r="AA686" s="1355" t="s">
        <v>4674</v>
      </c>
      <c r="AB686" s="1356"/>
      <c r="AC686" s="1356"/>
      <c r="AD686" s="1356"/>
      <c r="AE686" s="1356"/>
      <c r="AF686" s="1357" t="str">
        <f>IFERROR((AE686/AB686),"")</f>
        <v/>
      </c>
      <c r="AG686" s="1380"/>
      <c r="AH686" s="1380"/>
      <c r="AI686" s="1381">
        <v>0</v>
      </c>
      <c r="AJ686" s="1382">
        <f>$AI686*$AG686</f>
        <v>0</v>
      </c>
      <c r="AK686" s="1383">
        <f>AI686*$AH686</f>
        <v>0</v>
      </c>
      <c r="AL686" s="1384">
        <v>0</v>
      </c>
      <c r="AM686" s="1363">
        <f t="shared" si="955"/>
        <v>0</v>
      </c>
      <c r="AN686" s="1364">
        <v>0</v>
      </c>
      <c r="AO686" s="1365">
        <f t="shared" si="956"/>
        <v>0</v>
      </c>
      <c r="AP686" s="1366">
        <v>0</v>
      </c>
      <c r="AQ686" s="1367">
        <f t="shared" si="957"/>
        <v>0</v>
      </c>
      <c r="AR686" s="1368">
        <v>0</v>
      </c>
      <c r="AS686" s="1369">
        <f t="shared" si="958"/>
        <v>0</v>
      </c>
      <c r="AT686" s="1370">
        <v>0</v>
      </c>
      <c r="AU686" s="1371">
        <f t="shared" si="959"/>
        <v>0</v>
      </c>
      <c r="AV686" s="1359">
        <f t="shared" si="960"/>
        <v>0</v>
      </c>
      <c r="AW686" s="1372">
        <f t="shared" si="961"/>
        <v>0</v>
      </c>
      <c r="AX686" s="1373">
        <f t="shared" si="962"/>
        <v>0</v>
      </c>
      <c r="AY686" s="1374">
        <f t="shared" si="963"/>
        <v>0</v>
      </c>
      <c r="AZ686" s="1375">
        <f t="shared" si="964"/>
        <v>0</v>
      </c>
      <c r="BA686" s="1376">
        <f t="shared" si="965"/>
        <v>0</v>
      </c>
      <c r="BB686" s="1391"/>
      <c r="BC686" s="1848"/>
      <c r="BD686" s="1820"/>
      <c r="BE686" s="1823"/>
      <c r="BF686" s="1826"/>
      <c r="BG686" s="1829"/>
    </row>
    <row r="687" spans="1:59" s="1378" customFormat="1" ht="38.25">
      <c r="A687" s="1347" t="str">
        <f>L671</f>
        <v>Prothena Biosciences Inc.</v>
      </c>
      <c r="B687" s="1348" t="str">
        <f>N671</f>
        <v>Woodruff-Sawyer</v>
      </c>
      <c r="C687" s="1348">
        <f>Z671</f>
        <v>101</v>
      </c>
      <c r="D687" s="1349">
        <v>43101</v>
      </c>
      <c r="E687" s="1349"/>
      <c r="F687" s="1347" t="s">
        <v>72</v>
      </c>
      <c r="G687" s="1347" t="s">
        <v>85</v>
      </c>
      <c r="H687" s="1347" t="s">
        <v>72</v>
      </c>
      <c r="I687" s="1347" t="s">
        <v>72</v>
      </c>
      <c r="J687" s="1349" t="s">
        <v>4670</v>
      </c>
      <c r="K687" s="1349" t="s">
        <v>254</v>
      </c>
      <c r="L687" s="1350" t="s">
        <v>3056</v>
      </c>
      <c r="M687" s="1350" t="s">
        <v>4708</v>
      </c>
      <c r="N687" s="1390" t="s">
        <v>4709</v>
      </c>
      <c r="O687" s="1352" t="s">
        <v>4710</v>
      </c>
      <c r="P687" s="1352"/>
      <c r="Q687" s="1354"/>
      <c r="R687" s="1354"/>
      <c r="S687" s="1354"/>
      <c r="T687" s="1354"/>
      <c r="U687" s="1354"/>
      <c r="V687" s="1354"/>
      <c r="W687" s="1354"/>
      <c r="X687" s="1353">
        <v>43101</v>
      </c>
      <c r="Y687" s="1353">
        <v>43466</v>
      </c>
      <c r="Z687" s="1355"/>
      <c r="AA687" s="1355" t="s">
        <v>4674</v>
      </c>
      <c r="AB687" s="1356"/>
      <c r="AC687" s="1356"/>
      <c r="AD687" s="1356"/>
      <c r="AE687" s="1356"/>
      <c r="AF687" s="1357" t="str">
        <f>IFERROR((AE687/AB687),"")</f>
        <v/>
      </c>
      <c r="AG687" s="1380"/>
      <c r="AH687" s="1380"/>
      <c r="AI687" s="1381">
        <v>0</v>
      </c>
      <c r="AJ687" s="1382">
        <f>$AI687*$AG687</f>
        <v>0</v>
      </c>
      <c r="AK687" s="1383">
        <f>AI687*$AH687</f>
        <v>0</v>
      </c>
      <c r="AL687" s="1384">
        <v>0</v>
      </c>
      <c r="AM687" s="1363">
        <f t="shared" si="955"/>
        <v>0</v>
      </c>
      <c r="AN687" s="1364">
        <v>0</v>
      </c>
      <c r="AO687" s="1365">
        <f t="shared" si="956"/>
        <v>0</v>
      </c>
      <c r="AP687" s="1366">
        <v>0</v>
      </c>
      <c r="AQ687" s="1367">
        <f t="shared" si="957"/>
        <v>0</v>
      </c>
      <c r="AR687" s="1368">
        <v>0</v>
      </c>
      <c r="AS687" s="1369">
        <f t="shared" si="958"/>
        <v>0</v>
      </c>
      <c r="AT687" s="1370">
        <v>0</v>
      </c>
      <c r="AU687" s="1371">
        <f t="shared" si="959"/>
        <v>0</v>
      </c>
      <c r="AV687" s="1359">
        <f t="shared" si="960"/>
        <v>0</v>
      </c>
      <c r="AW687" s="1372">
        <f t="shared" si="961"/>
        <v>0</v>
      </c>
      <c r="AX687" s="1373">
        <f t="shared" si="962"/>
        <v>0</v>
      </c>
      <c r="AY687" s="1374">
        <f t="shared" si="963"/>
        <v>0</v>
      </c>
      <c r="AZ687" s="1375">
        <f t="shared" si="964"/>
        <v>0</v>
      </c>
      <c r="BA687" s="1376">
        <f t="shared" si="965"/>
        <v>0</v>
      </c>
      <c r="BB687" s="1391"/>
      <c r="BC687" s="1849"/>
      <c r="BD687" s="1821"/>
      <c r="BE687" s="1824"/>
      <c r="BF687" s="1827"/>
      <c r="BG687" s="1830"/>
    </row>
    <row r="688" spans="1:59" s="1315" customFormat="1" ht="26.25" customHeight="1">
      <c r="A688" s="1277" t="str">
        <f t="shared" ref="A688:A700" si="968">L$688</f>
        <v>Provenance Biofabrics, Inc.</v>
      </c>
      <c r="B688" s="1316" t="str">
        <f t="shared" ref="B688:B700" si="969">N$688</f>
        <v>HUB SD</v>
      </c>
      <c r="C688" s="1316">
        <f>Z688</f>
        <v>3</v>
      </c>
      <c r="D688" s="1317">
        <v>43282</v>
      </c>
      <c r="E688" s="1317"/>
      <c r="F688" s="1277" t="s">
        <v>72</v>
      </c>
      <c r="G688" s="1277" t="s">
        <v>72</v>
      </c>
      <c r="H688" s="1277" t="s">
        <v>72</v>
      </c>
      <c r="I688" s="1277" t="s">
        <v>4711</v>
      </c>
      <c r="J688" s="1317"/>
      <c r="K688" s="1317"/>
      <c r="L688" s="1318" t="s">
        <v>4354</v>
      </c>
      <c r="M688" s="1318"/>
      <c r="N688" s="1320" t="s">
        <v>4661</v>
      </c>
      <c r="O688" s="1321" t="s">
        <v>2473</v>
      </c>
      <c r="P688" s="1419"/>
      <c r="Q688" s="1322"/>
      <c r="R688" s="1322"/>
      <c r="S688" s="1322"/>
      <c r="T688" s="1322"/>
      <c r="U688" s="1322"/>
      <c r="V688" s="1322"/>
      <c r="W688" s="1322"/>
      <c r="X688" s="1483" t="s">
        <v>3025</v>
      </c>
      <c r="Y688" s="1317">
        <v>43466</v>
      </c>
      <c r="Z688" s="1316">
        <v>3</v>
      </c>
      <c r="AA688" s="1316" t="s">
        <v>5204</v>
      </c>
      <c r="AB688" s="1323">
        <f>SUM(AB689:AB700)</f>
        <v>0</v>
      </c>
      <c r="AC688" s="1323">
        <f>SUM(AC689:AC700)</f>
        <v>0</v>
      </c>
      <c r="AD688" s="1323">
        <f>SUM(AD689:AD700)</f>
        <v>0</v>
      </c>
      <c r="AE688" s="1324">
        <f t="shared" ref="AE688" si="970">AD688-AB688</f>
        <v>0</v>
      </c>
      <c r="AF688" s="1325" t="str">
        <f t="shared" ref="AF688:AF700" si="971">IFERROR((AE688/AB688),"")</f>
        <v/>
      </c>
      <c r="AG688" s="1326">
        <f>SUM(AG689:AG700)</f>
        <v>0</v>
      </c>
      <c r="AH688" s="1326">
        <f>SUM(AH689:AH700)</f>
        <v>0</v>
      </c>
      <c r="AI688" s="1339"/>
      <c r="AJ688" s="1328">
        <f>SUM(AJ689:AJ700)</f>
        <v>0</v>
      </c>
      <c r="AK688" s="1328">
        <f>SUM(AK689:AK700)</f>
        <v>0</v>
      </c>
      <c r="AL688" s="1329"/>
      <c r="AM688" s="1330">
        <f>SUM(AM689:AM700)</f>
        <v>0</v>
      </c>
      <c r="AN688" s="1331"/>
      <c r="AO688" s="1332">
        <f>SUM(AO689:AO700)</f>
        <v>0</v>
      </c>
      <c r="AP688" s="1333"/>
      <c r="AQ688" s="1334">
        <f>SUM(AQ689:AQ700)</f>
        <v>0</v>
      </c>
      <c r="AR688" s="1335"/>
      <c r="AS688" s="1336">
        <f>SUM(AS689:AS700)</f>
        <v>0</v>
      </c>
      <c r="AT688" s="1337"/>
      <c r="AU688" s="1338">
        <f>SUM(AU689:AU700)</f>
        <v>0</v>
      </c>
      <c r="AV688" s="1339"/>
      <c r="AW688" s="1340">
        <f>SUM(AW689:AW700)</f>
        <v>0</v>
      </c>
      <c r="AX688" s="1306"/>
      <c r="AY688" s="1307">
        <f>SUM(AW688+AS688+AU688)</f>
        <v>0</v>
      </c>
      <c r="AZ688" s="1341"/>
      <c r="BA688" s="1309">
        <f>SUM(AY688+AQ688)</f>
        <v>0</v>
      </c>
      <c r="BB688" s="1342" t="e">
        <f>(AW688+AU688)/(AK688-AM688)</f>
        <v>#DIV/0!</v>
      </c>
      <c r="BC688" s="1343"/>
      <c r="BD688" s="1343"/>
      <c r="BE688" s="1344"/>
      <c r="BF688" s="1345" t="s">
        <v>5205</v>
      </c>
      <c r="BG688" s="1346"/>
    </row>
    <row r="689" spans="1:59" s="1378" customFormat="1" ht="63.75">
      <c r="A689" s="1347" t="str">
        <f t="shared" si="968"/>
        <v>Provenance Biofabrics, Inc.</v>
      </c>
      <c r="B689" s="1348" t="str">
        <f t="shared" si="969"/>
        <v>HUB SD</v>
      </c>
      <c r="C689" s="1348">
        <f t="shared" ref="C689:C700" si="972">Z$688</f>
        <v>3</v>
      </c>
      <c r="D689" s="1349">
        <f t="shared" ref="D689:D700" si="973">D$688</f>
        <v>43282</v>
      </c>
      <c r="E689" s="1349"/>
      <c r="F689" s="1347" t="s">
        <v>85</v>
      </c>
      <c r="G689" s="1347" t="s">
        <v>85</v>
      </c>
      <c r="H689" s="1347" t="s">
        <v>85</v>
      </c>
      <c r="I689" s="1347" t="s">
        <v>113</v>
      </c>
      <c r="J689" s="1349"/>
      <c r="K689" s="1349" t="s">
        <v>254</v>
      </c>
      <c r="L689" s="1350" t="s">
        <v>2661</v>
      </c>
      <c r="M689" s="1350" t="s">
        <v>3647</v>
      </c>
      <c r="N689" s="1351" t="s">
        <v>5206</v>
      </c>
      <c r="O689" s="1352" t="s">
        <v>5207</v>
      </c>
      <c r="P689" s="1352" t="s">
        <v>5090</v>
      </c>
      <c r="Q689" s="1353" t="s">
        <v>303</v>
      </c>
      <c r="R689" s="1353" t="s">
        <v>3648</v>
      </c>
      <c r="S689" s="1353" t="s">
        <v>307</v>
      </c>
      <c r="T689" s="1353" t="s">
        <v>113</v>
      </c>
      <c r="U689" s="1354"/>
      <c r="V689" s="1354"/>
      <c r="W689" s="1354"/>
      <c r="X689" s="1484" t="str">
        <f t="shared" ref="X689:Y700" si="974">X$688</f>
        <v>TBD</v>
      </c>
      <c r="Y689" s="1353">
        <f t="shared" si="974"/>
        <v>43466</v>
      </c>
      <c r="Z689" s="1355"/>
      <c r="AA689" s="1355" t="s">
        <v>5097</v>
      </c>
      <c r="AB689" s="1356"/>
      <c r="AC689" s="1356"/>
      <c r="AD689" s="1356"/>
      <c r="AE689" s="1356"/>
      <c r="AF689" s="1357" t="str">
        <f t="shared" si="971"/>
        <v/>
      </c>
      <c r="AG689" s="1358">
        <v>0</v>
      </c>
      <c r="AH689" s="1426">
        <f t="shared" ref="AH689" si="975">AG689*12</f>
        <v>0</v>
      </c>
      <c r="AI689" s="1359">
        <v>0.08</v>
      </c>
      <c r="AJ689" s="1360">
        <f t="shared" ref="AJ689:AJ700" si="976">$AI689*$AG689</f>
        <v>0</v>
      </c>
      <c r="AK689" s="1361">
        <f t="shared" ref="AK689" si="977">AI689*$AH689</f>
        <v>0</v>
      </c>
      <c r="AL689" s="1362">
        <v>5.0000000000000001E-3</v>
      </c>
      <c r="AM689" s="1363">
        <f t="shared" ref="AM689:AM700" si="978">AL689*$AH689</f>
        <v>0</v>
      </c>
      <c r="AN689" s="1364">
        <v>0</v>
      </c>
      <c r="AO689" s="1365">
        <f t="shared" ref="AO689:AO700" si="979">AN689*$AH689</f>
        <v>0</v>
      </c>
      <c r="AP689" s="1366">
        <v>0</v>
      </c>
      <c r="AQ689" s="1367">
        <f t="shared" ref="AQ689:AQ700" si="980">AP689*$AH689</f>
        <v>0</v>
      </c>
      <c r="AR689" s="1368">
        <v>0</v>
      </c>
      <c r="AS689" s="1369">
        <f t="shared" ref="AS689:AS700" si="981">AR689*$AH689</f>
        <v>0</v>
      </c>
      <c r="AT689" s="1370">
        <v>7.4999999999999997E-2</v>
      </c>
      <c r="AU689" s="1371">
        <f t="shared" ref="AU689:AU700" si="982">AT689*$AH689</f>
        <v>0</v>
      </c>
      <c r="AV689" s="1359">
        <f t="shared" ref="AV689:AV700" si="983">AZ689-AR689-AT689-AP689</f>
        <v>0</v>
      </c>
      <c r="AW689" s="1372">
        <f t="shared" ref="AW689:AW700" si="984">AV689*$AH689</f>
        <v>0</v>
      </c>
      <c r="AX689" s="1373">
        <f t="shared" ref="AX689:AX700" si="985">$AZ689-$AP689</f>
        <v>7.4999999999999997E-2</v>
      </c>
      <c r="AY689" s="1374">
        <f t="shared" ref="AY689:AY700" si="986">AX689*$AH689</f>
        <v>0</v>
      </c>
      <c r="AZ689" s="1375">
        <f t="shared" ref="AZ689:AZ700" si="987">$AI689-$AL689-$AN689</f>
        <v>7.4999999999999997E-2</v>
      </c>
      <c r="BA689" s="1376">
        <f t="shared" ref="BA689:BA700" si="988">AZ689*$AH689</f>
        <v>0</v>
      </c>
      <c r="BB689" s="1391"/>
      <c r="BC689" s="1819" t="s">
        <v>4356</v>
      </c>
      <c r="BD689" s="1819" t="s">
        <v>4355</v>
      </c>
      <c r="BE689" s="1822" t="s">
        <v>4355</v>
      </c>
      <c r="BF689" s="1834" t="s">
        <v>4339</v>
      </c>
      <c r="BG689" s="1828" t="s">
        <v>4559</v>
      </c>
    </row>
    <row r="690" spans="1:59" s="1378" customFormat="1" ht="38.25">
      <c r="A690" s="1347" t="str">
        <f t="shared" si="968"/>
        <v>Provenance Biofabrics, Inc.</v>
      </c>
      <c r="B690" s="1348" t="str">
        <f t="shared" si="969"/>
        <v>HUB SD</v>
      </c>
      <c r="C690" s="1348">
        <f t="shared" si="972"/>
        <v>3</v>
      </c>
      <c r="D690" s="1349">
        <f t="shared" si="973"/>
        <v>43282</v>
      </c>
      <c r="E690" s="1349"/>
      <c r="F690" s="1347" t="s">
        <v>72</v>
      </c>
      <c r="G690" s="1347" t="s">
        <v>85</v>
      </c>
      <c r="H690" s="1347" t="s">
        <v>72</v>
      </c>
      <c r="I690" s="1347" t="s">
        <v>72</v>
      </c>
      <c r="J690" s="1349" t="s">
        <v>4670</v>
      </c>
      <c r="K690" s="1349" t="s">
        <v>254</v>
      </c>
      <c r="L690" s="1350" t="s">
        <v>4671</v>
      </c>
      <c r="M690" s="1350" t="s">
        <v>3649</v>
      </c>
      <c r="N690" s="1379" t="s">
        <v>4831</v>
      </c>
      <c r="O690" s="1352" t="s">
        <v>4832</v>
      </c>
      <c r="P690" s="1388"/>
      <c r="Q690" s="1354"/>
      <c r="R690" s="1354"/>
      <c r="S690" s="1354"/>
      <c r="T690" s="1354"/>
      <c r="U690" s="1354"/>
      <c r="V690" s="1354"/>
      <c r="W690" s="1354"/>
      <c r="X690" s="1484" t="str">
        <f t="shared" si="974"/>
        <v>TBD</v>
      </c>
      <c r="Y690" s="1353">
        <f t="shared" si="974"/>
        <v>43466</v>
      </c>
      <c r="Z690" s="1355"/>
      <c r="AA690" s="1355" t="s">
        <v>4674</v>
      </c>
      <c r="AB690" s="1356"/>
      <c r="AC690" s="1356"/>
      <c r="AD690" s="1356"/>
      <c r="AE690" s="1356"/>
      <c r="AF690" s="1357" t="str">
        <f t="shared" si="971"/>
        <v/>
      </c>
      <c r="AG690" s="1358">
        <f t="shared" ref="AG690:AG700" si="989">AH690/12</f>
        <v>0</v>
      </c>
      <c r="AH690" s="1358">
        <v>0</v>
      </c>
      <c r="AI690" s="1381">
        <v>0</v>
      </c>
      <c r="AJ690" s="1382">
        <f t="shared" si="976"/>
        <v>0</v>
      </c>
      <c r="AK690" s="1383">
        <f>AI690*$AH690</f>
        <v>0</v>
      </c>
      <c r="AL690" s="1384">
        <v>0</v>
      </c>
      <c r="AM690" s="1363">
        <f t="shared" si="978"/>
        <v>0</v>
      </c>
      <c r="AN690" s="1364">
        <v>0</v>
      </c>
      <c r="AO690" s="1365">
        <f t="shared" si="979"/>
        <v>0</v>
      </c>
      <c r="AP690" s="1366">
        <v>0</v>
      </c>
      <c r="AQ690" s="1367">
        <f t="shared" si="980"/>
        <v>0</v>
      </c>
      <c r="AR690" s="1368">
        <v>0</v>
      </c>
      <c r="AS690" s="1369">
        <f t="shared" si="981"/>
        <v>0</v>
      </c>
      <c r="AT690" s="1370">
        <v>0</v>
      </c>
      <c r="AU690" s="1371">
        <f t="shared" si="982"/>
        <v>0</v>
      </c>
      <c r="AV690" s="1359">
        <f t="shared" si="983"/>
        <v>0</v>
      </c>
      <c r="AW690" s="1372">
        <f t="shared" si="984"/>
        <v>0</v>
      </c>
      <c r="AX690" s="1373">
        <f t="shared" si="985"/>
        <v>0</v>
      </c>
      <c r="AY690" s="1374">
        <f t="shared" si="986"/>
        <v>0</v>
      </c>
      <c r="AZ690" s="1375">
        <f t="shared" si="987"/>
        <v>0</v>
      </c>
      <c r="BA690" s="1376">
        <f t="shared" si="988"/>
        <v>0</v>
      </c>
      <c r="BB690" s="1391"/>
      <c r="BC690" s="1820"/>
      <c r="BD690" s="1820"/>
      <c r="BE690" s="1823"/>
      <c r="BF690" s="1834"/>
      <c r="BG690" s="1829"/>
    </row>
    <row r="691" spans="1:59" s="1378" customFormat="1" ht="38.25">
      <c r="A691" s="1347" t="str">
        <f t="shared" si="968"/>
        <v>Provenance Biofabrics, Inc.</v>
      </c>
      <c r="B691" s="1348" t="str">
        <f t="shared" si="969"/>
        <v>HUB SD</v>
      </c>
      <c r="C691" s="1348">
        <f t="shared" si="972"/>
        <v>3</v>
      </c>
      <c r="D691" s="1349">
        <f t="shared" si="973"/>
        <v>43282</v>
      </c>
      <c r="E691" s="1349"/>
      <c r="F691" s="1347" t="s">
        <v>113</v>
      </c>
      <c r="G691" s="1347" t="s">
        <v>85</v>
      </c>
      <c r="H691" s="1347" t="s">
        <v>85</v>
      </c>
      <c r="I691" s="1347" t="s">
        <v>113</v>
      </c>
      <c r="J691" s="1349"/>
      <c r="K691" s="1349" t="s">
        <v>254</v>
      </c>
      <c r="L691" s="1350" t="s">
        <v>4675</v>
      </c>
      <c r="M691" s="1350" t="s">
        <v>3650</v>
      </c>
      <c r="N691" s="1385" t="s">
        <v>5208</v>
      </c>
      <c r="O691" s="1352" t="s">
        <v>4677</v>
      </c>
      <c r="P691" s="1388"/>
      <c r="Q691" s="1354"/>
      <c r="R691" s="1354"/>
      <c r="S691" s="1354"/>
      <c r="T691" s="1354"/>
      <c r="U691" s="1353" t="s">
        <v>4959</v>
      </c>
      <c r="V691" s="1353" t="s">
        <v>2495</v>
      </c>
      <c r="W691" s="1354"/>
      <c r="X691" s="1484" t="str">
        <f t="shared" si="974"/>
        <v>TBD</v>
      </c>
      <c r="Y691" s="1353">
        <f t="shared" si="974"/>
        <v>43466</v>
      </c>
      <c r="Z691" s="1355"/>
      <c r="AA691" s="1355" t="s">
        <v>4991</v>
      </c>
      <c r="AB691" s="1356"/>
      <c r="AC691" s="1356"/>
      <c r="AD691" s="1356"/>
      <c r="AE691" s="1356"/>
      <c r="AF691" s="1357" t="str">
        <f t="shared" si="971"/>
        <v/>
      </c>
      <c r="AG691" s="1358">
        <v>0</v>
      </c>
      <c r="AH691" s="1426">
        <f t="shared" ref="AH691:AH693" si="990">AG691*12</f>
        <v>0</v>
      </c>
      <c r="AI691" s="1359">
        <v>0.1</v>
      </c>
      <c r="AJ691" s="1360">
        <f t="shared" si="976"/>
        <v>0</v>
      </c>
      <c r="AK691" s="1361">
        <f t="shared" ref="AK691:AK700" si="991">AI691*$AH691</f>
        <v>0</v>
      </c>
      <c r="AL691" s="1384">
        <v>0</v>
      </c>
      <c r="AM691" s="1363">
        <f t="shared" si="978"/>
        <v>0</v>
      </c>
      <c r="AN691" s="1364">
        <v>0</v>
      </c>
      <c r="AO691" s="1365">
        <f t="shared" si="979"/>
        <v>0</v>
      </c>
      <c r="AP691" s="1366">
        <v>0</v>
      </c>
      <c r="AQ691" s="1367">
        <f t="shared" si="980"/>
        <v>0</v>
      </c>
      <c r="AR691" s="1368">
        <v>0</v>
      </c>
      <c r="AS691" s="1369">
        <f t="shared" si="981"/>
        <v>0</v>
      </c>
      <c r="AT691" s="1370">
        <v>0.1</v>
      </c>
      <c r="AU691" s="1371">
        <f t="shared" si="982"/>
        <v>0</v>
      </c>
      <c r="AV691" s="1359">
        <f t="shared" si="983"/>
        <v>0</v>
      </c>
      <c r="AW691" s="1372">
        <f t="shared" si="984"/>
        <v>0</v>
      </c>
      <c r="AX691" s="1373">
        <f t="shared" si="985"/>
        <v>0.1</v>
      </c>
      <c r="AY691" s="1374">
        <f t="shared" si="986"/>
        <v>0</v>
      </c>
      <c r="AZ691" s="1375">
        <f t="shared" si="987"/>
        <v>0.1</v>
      </c>
      <c r="BA691" s="1376">
        <f t="shared" si="988"/>
        <v>0</v>
      </c>
      <c r="BB691" s="1391"/>
      <c r="BC691" s="1820"/>
      <c r="BD691" s="1820"/>
      <c r="BE691" s="1823"/>
      <c r="BF691" s="1834"/>
      <c r="BG691" s="1829"/>
    </row>
    <row r="692" spans="1:59" s="1378" customFormat="1" ht="38.25">
      <c r="A692" s="1347" t="str">
        <f t="shared" si="968"/>
        <v>Provenance Biofabrics, Inc.</v>
      </c>
      <c r="B692" s="1348" t="str">
        <f t="shared" si="969"/>
        <v>HUB SD</v>
      </c>
      <c r="C692" s="1348">
        <f t="shared" si="972"/>
        <v>3</v>
      </c>
      <c r="D692" s="1349">
        <f t="shared" si="973"/>
        <v>43282</v>
      </c>
      <c r="E692" s="1349"/>
      <c r="F692" s="1347" t="s">
        <v>113</v>
      </c>
      <c r="G692" s="1347" t="s">
        <v>85</v>
      </c>
      <c r="H692" s="1347" t="s">
        <v>85</v>
      </c>
      <c r="I692" s="1347" t="s">
        <v>113</v>
      </c>
      <c r="J692" s="1349"/>
      <c r="K692" s="1349" t="s">
        <v>254</v>
      </c>
      <c r="L692" s="1350" t="s">
        <v>4675</v>
      </c>
      <c r="M692" s="1350" t="s">
        <v>3651</v>
      </c>
      <c r="N692" s="1351" t="s">
        <v>4834</v>
      </c>
      <c r="O692" s="1352" t="s">
        <v>4681</v>
      </c>
      <c r="P692" s="1388"/>
      <c r="Q692" s="1354"/>
      <c r="R692" s="1354"/>
      <c r="S692" s="1354"/>
      <c r="T692" s="1354"/>
      <c r="U692" s="1354"/>
      <c r="V692" s="1354"/>
      <c r="W692" s="1353" t="s">
        <v>2492</v>
      </c>
      <c r="X692" s="1484" t="str">
        <f t="shared" si="974"/>
        <v>TBD</v>
      </c>
      <c r="Y692" s="1353">
        <f t="shared" si="974"/>
        <v>43466</v>
      </c>
      <c r="Z692" s="1355"/>
      <c r="AA692" s="1355" t="s">
        <v>4991</v>
      </c>
      <c r="AB692" s="1356"/>
      <c r="AC692" s="1356"/>
      <c r="AD692" s="1356"/>
      <c r="AE692" s="1356"/>
      <c r="AF692" s="1357" t="str">
        <f t="shared" si="971"/>
        <v/>
      </c>
      <c r="AG692" s="1358">
        <v>0</v>
      </c>
      <c r="AH692" s="1426">
        <f t="shared" si="990"/>
        <v>0</v>
      </c>
      <c r="AI692" s="1359">
        <v>0.1</v>
      </c>
      <c r="AJ692" s="1360">
        <f t="shared" si="976"/>
        <v>0</v>
      </c>
      <c r="AK692" s="1361">
        <f t="shared" si="991"/>
        <v>0</v>
      </c>
      <c r="AL692" s="1384">
        <v>0</v>
      </c>
      <c r="AM692" s="1363">
        <f t="shared" si="978"/>
        <v>0</v>
      </c>
      <c r="AN692" s="1364">
        <v>0</v>
      </c>
      <c r="AO692" s="1365">
        <f t="shared" si="979"/>
        <v>0</v>
      </c>
      <c r="AP692" s="1366">
        <v>0</v>
      </c>
      <c r="AQ692" s="1367">
        <f t="shared" si="980"/>
        <v>0</v>
      </c>
      <c r="AR692" s="1368">
        <v>0</v>
      </c>
      <c r="AS692" s="1369">
        <f t="shared" si="981"/>
        <v>0</v>
      </c>
      <c r="AT692" s="1370">
        <v>0.1</v>
      </c>
      <c r="AU692" s="1371">
        <f t="shared" si="982"/>
        <v>0</v>
      </c>
      <c r="AV692" s="1359">
        <f t="shared" si="983"/>
        <v>0</v>
      </c>
      <c r="AW692" s="1372">
        <f t="shared" si="984"/>
        <v>0</v>
      </c>
      <c r="AX692" s="1373">
        <f t="shared" si="985"/>
        <v>0.1</v>
      </c>
      <c r="AY692" s="1374">
        <f t="shared" si="986"/>
        <v>0</v>
      </c>
      <c r="AZ692" s="1375">
        <f t="shared" si="987"/>
        <v>0.1</v>
      </c>
      <c r="BA692" s="1376">
        <f t="shared" si="988"/>
        <v>0</v>
      </c>
      <c r="BB692" s="1391"/>
      <c r="BC692" s="1820"/>
      <c r="BD692" s="1820"/>
      <c r="BE692" s="1823"/>
      <c r="BF692" s="1834"/>
      <c r="BG692" s="1829"/>
    </row>
    <row r="693" spans="1:59" s="1378" customFormat="1" ht="38.25">
      <c r="A693" s="1347" t="str">
        <f t="shared" si="968"/>
        <v>Provenance Biofabrics, Inc.</v>
      </c>
      <c r="B693" s="1348" t="str">
        <f t="shared" si="969"/>
        <v>HUB SD</v>
      </c>
      <c r="C693" s="1348">
        <f t="shared" si="972"/>
        <v>3</v>
      </c>
      <c r="D693" s="1349">
        <f t="shared" si="973"/>
        <v>43282</v>
      </c>
      <c r="E693" s="1349"/>
      <c r="F693" s="1347" t="s">
        <v>113</v>
      </c>
      <c r="G693" s="1347" t="s">
        <v>85</v>
      </c>
      <c r="H693" s="1347" t="s">
        <v>85</v>
      </c>
      <c r="I693" s="1347" t="s">
        <v>113</v>
      </c>
      <c r="J693" s="1349"/>
      <c r="K693" s="1349" t="s">
        <v>254</v>
      </c>
      <c r="L693" s="1350" t="s">
        <v>4682</v>
      </c>
      <c r="M693" s="1350" t="s">
        <v>4683</v>
      </c>
      <c r="N693" s="1386" t="s">
        <v>57</v>
      </c>
      <c r="O693" s="1352" t="s">
        <v>4684</v>
      </c>
      <c r="P693" s="1421"/>
      <c r="Q693" s="1354"/>
      <c r="R693" s="1354"/>
      <c r="S693" s="1354"/>
      <c r="T693" s="1354"/>
      <c r="U693" s="1354"/>
      <c r="V693" s="1354"/>
      <c r="W693" s="1354"/>
      <c r="X693" s="1484" t="str">
        <f t="shared" si="974"/>
        <v>TBD</v>
      </c>
      <c r="Y693" s="1353">
        <f t="shared" si="974"/>
        <v>43466</v>
      </c>
      <c r="Z693" s="1355"/>
      <c r="AA693" s="1355" t="s">
        <v>5048</v>
      </c>
      <c r="AB693" s="1356"/>
      <c r="AC693" s="1356"/>
      <c r="AD693" s="1356"/>
      <c r="AE693" s="1356"/>
      <c r="AF693" s="1357" t="str">
        <f t="shared" si="971"/>
        <v/>
      </c>
      <c r="AG693" s="1358">
        <v>0</v>
      </c>
      <c r="AH693" s="1426">
        <f t="shared" si="990"/>
        <v>0</v>
      </c>
      <c r="AI693" s="1359">
        <v>0.15</v>
      </c>
      <c r="AJ693" s="1360">
        <f t="shared" si="976"/>
        <v>0</v>
      </c>
      <c r="AK693" s="1361">
        <f t="shared" si="991"/>
        <v>0</v>
      </c>
      <c r="AL693" s="1384">
        <v>0</v>
      </c>
      <c r="AM693" s="1363">
        <f t="shared" si="978"/>
        <v>0</v>
      </c>
      <c r="AN693" s="1364">
        <v>0</v>
      </c>
      <c r="AO693" s="1365">
        <f t="shared" si="979"/>
        <v>0</v>
      </c>
      <c r="AP693" s="1366">
        <v>0</v>
      </c>
      <c r="AQ693" s="1367">
        <f t="shared" si="980"/>
        <v>0</v>
      </c>
      <c r="AR693" s="1368">
        <v>0</v>
      </c>
      <c r="AS693" s="1369">
        <f t="shared" si="981"/>
        <v>0</v>
      </c>
      <c r="AT693" s="1370">
        <v>0.15</v>
      </c>
      <c r="AU693" s="1371">
        <f t="shared" si="982"/>
        <v>0</v>
      </c>
      <c r="AV693" s="1359">
        <f t="shared" si="983"/>
        <v>0</v>
      </c>
      <c r="AW693" s="1372">
        <f t="shared" si="984"/>
        <v>0</v>
      </c>
      <c r="AX693" s="1373">
        <f t="shared" si="985"/>
        <v>0.15</v>
      </c>
      <c r="AY693" s="1374">
        <f t="shared" si="986"/>
        <v>0</v>
      </c>
      <c r="AZ693" s="1375">
        <f t="shared" si="987"/>
        <v>0.15</v>
      </c>
      <c r="BA693" s="1376">
        <f t="shared" si="988"/>
        <v>0</v>
      </c>
      <c r="BB693" s="1391"/>
      <c r="BC693" s="1820"/>
      <c r="BD693" s="1820"/>
      <c r="BE693" s="1823"/>
      <c r="BF693" s="1834"/>
      <c r="BG693" s="1829"/>
    </row>
    <row r="694" spans="1:59" s="1378" customFormat="1" ht="38.25">
      <c r="A694" s="1347" t="str">
        <f t="shared" si="968"/>
        <v>Provenance Biofabrics, Inc.</v>
      </c>
      <c r="B694" s="1348" t="str">
        <f t="shared" si="969"/>
        <v>HUB SD</v>
      </c>
      <c r="C694" s="1348">
        <f t="shared" si="972"/>
        <v>3</v>
      </c>
      <c r="D694" s="1349">
        <f t="shared" si="973"/>
        <v>43282</v>
      </c>
      <c r="E694" s="1349"/>
      <c r="F694" s="1347" t="s">
        <v>113</v>
      </c>
      <c r="G694" s="1347" t="s">
        <v>85</v>
      </c>
      <c r="H694" s="1347" t="s">
        <v>85</v>
      </c>
      <c r="I694" s="1347" t="s">
        <v>113</v>
      </c>
      <c r="J694" s="1349"/>
      <c r="K694" s="1349" t="s">
        <v>254</v>
      </c>
      <c r="L694" s="1350" t="s">
        <v>4682</v>
      </c>
      <c r="M694" s="1350" t="s">
        <v>4686</v>
      </c>
      <c r="N694" s="1386" t="s">
        <v>60</v>
      </c>
      <c r="O694" s="1352" t="s">
        <v>4687</v>
      </c>
      <c r="P694" s="1421"/>
      <c r="Q694" s="1354"/>
      <c r="R694" s="1354"/>
      <c r="S694" s="1354"/>
      <c r="T694" s="1354"/>
      <c r="U694" s="1354"/>
      <c r="V694" s="1354"/>
      <c r="W694" s="1354"/>
      <c r="X694" s="1484" t="str">
        <f t="shared" si="974"/>
        <v>TBD</v>
      </c>
      <c r="Y694" s="1353">
        <f t="shared" si="974"/>
        <v>43466</v>
      </c>
      <c r="Z694" s="1355"/>
      <c r="AA694" s="1355" t="s">
        <v>5048</v>
      </c>
      <c r="AB694" s="1356"/>
      <c r="AC694" s="1356"/>
      <c r="AD694" s="1356"/>
      <c r="AE694" s="1356"/>
      <c r="AF694" s="1357" t="str">
        <f t="shared" si="971"/>
        <v/>
      </c>
      <c r="AG694" s="1358">
        <f t="shared" si="989"/>
        <v>0</v>
      </c>
      <c r="AH694" s="1358">
        <v>0</v>
      </c>
      <c r="AI694" s="1359">
        <v>0.15</v>
      </c>
      <c r="AJ694" s="1360">
        <f t="shared" si="976"/>
        <v>0</v>
      </c>
      <c r="AK694" s="1361">
        <f t="shared" si="991"/>
        <v>0</v>
      </c>
      <c r="AL694" s="1384">
        <v>0</v>
      </c>
      <c r="AM694" s="1363">
        <f t="shared" si="978"/>
        <v>0</v>
      </c>
      <c r="AN694" s="1364">
        <v>0</v>
      </c>
      <c r="AO694" s="1365">
        <f t="shared" si="979"/>
        <v>0</v>
      </c>
      <c r="AP694" s="1366">
        <v>0</v>
      </c>
      <c r="AQ694" s="1367">
        <f t="shared" si="980"/>
        <v>0</v>
      </c>
      <c r="AR694" s="1368">
        <v>0</v>
      </c>
      <c r="AS694" s="1369">
        <f t="shared" si="981"/>
        <v>0</v>
      </c>
      <c r="AT694" s="1370">
        <v>0.15</v>
      </c>
      <c r="AU694" s="1371">
        <f t="shared" si="982"/>
        <v>0</v>
      </c>
      <c r="AV694" s="1359">
        <f t="shared" si="983"/>
        <v>0</v>
      </c>
      <c r="AW694" s="1372">
        <f t="shared" si="984"/>
        <v>0</v>
      </c>
      <c r="AX694" s="1373">
        <f t="shared" si="985"/>
        <v>0.15</v>
      </c>
      <c r="AY694" s="1374">
        <f t="shared" si="986"/>
        <v>0</v>
      </c>
      <c r="AZ694" s="1375">
        <f t="shared" si="987"/>
        <v>0.15</v>
      </c>
      <c r="BA694" s="1376">
        <f t="shared" si="988"/>
        <v>0</v>
      </c>
      <c r="BB694" s="1391"/>
      <c r="BC694" s="1820"/>
      <c r="BD694" s="1820"/>
      <c r="BE694" s="1823"/>
      <c r="BF694" s="1834"/>
      <c r="BG694" s="1829"/>
    </row>
    <row r="695" spans="1:59" s="1378" customFormat="1" ht="38.25">
      <c r="A695" s="1347" t="str">
        <f t="shared" si="968"/>
        <v>Provenance Biofabrics, Inc.</v>
      </c>
      <c r="B695" s="1348" t="str">
        <f t="shared" si="969"/>
        <v>HUB SD</v>
      </c>
      <c r="C695" s="1348">
        <f t="shared" si="972"/>
        <v>3</v>
      </c>
      <c r="D695" s="1349">
        <f t="shared" si="973"/>
        <v>43282</v>
      </c>
      <c r="E695" s="1349"/>
      <c r="F695" s="1347" t="s">
        <v>113</v>
      </c>
      <c r="G695" s="1347" t="s">
        <v>85</v>
      </c>
      <c r="H695" s="1347" t="s">
        <v>85</v>
      </c>
      <c r="I695" s="1347" t="s">
        <v>113</v>
      </c>
      <c r="J695" s="1349"/>
      <c r="K695" s="1349" t="s">
        <v>254</v>
      </c>
      <c r="L695" s="1350" t="s">
        <v>4682</v>
      </c>
      <c r="M695" s="1350" t="s">
        <v>62</v>
      </c>
      <c r="N695" s="1351" t="s">
        <v>266</v>
      </c>
      <c r="O695" s="1352" t="s">
        <v>4688</v>
      </c>
      <c r="P695" s="1388"/>
      <c r="Q695" s="1354"/>
      <c r="R695" s="1354"/>
      <c r="S695" s="1354"/>
      <c r="T695" s="1354"/>
      <c r="U695" s="1354"/>
      <c r="V695" s="1354"/>
      <c r="W695" s="1354"/>
      <c r="X695" s="1484" t="str">
        <f t="shared" si="974"/>
        <v>TBD</v>
      </c>
      <c r="Y695" s="1353">
        <f t="shared" si="974"/>
        <v>43466</v>
      </c>
      <c r="Z695" s="1355"/>
      <c r="AA695" s="1355" t="s">
        <v>5048</v>
      </c>
      <c r="AB695" s="1356"/>
      <c r="AC695" s="1356"/>
      <c r="AD695" s="1356"/>
      <c r="AE695" s="1356"/>
      <c r="AF695" s="1357" t="str">
        <f t="shared" si="971"/>
        <v/>
      </c>
      <c r="AG695" s="1358">
        <v>0</v>
      </c>
      <c r="AH695" s="1426">
        <f t="shared" ref="AH695:AH696" si="992">AG695*12</f>
        <v>0</v>
      </c>
      <c r="AI695" s="1359">
        <v>0.15</v>
      </c>
      <c r="AJ695" s="1360">
        <f t="shared" si="976"/>
        <v>0</v>
      </c>
      <c r="AK695" s="1361">
        <f t="shared" si="991"/>
        <v>0</v>
      </c>
      <c r="AL695" s="1384">
        <v>0</v>
      </c>
      <c r="AM695" s="1363">
        <f t="shared" si="978"/>
        <v>0</v>
      </c>
      <c r="AN695" s="1364">
        <v>0</v>
      </c>
      <c r="AO695" s="1365">
        <f t="shared" si="979"/>
        <v>0</v>
      </c>
      <c r="AP695" s="1366">
        <v>0</v>
      </c>
      <c r="AQ695" s="1367">
        <f t="shared" si="980"/>
        <v>0</v>
      </c>
      <c r="AR695" s="1368">
        <v>0</v>
      </c>
      <c r="AS695" s="1369">
        <f t="shared" si="981"/>
        <v>0</v>
      </c>
      <c r="AT695" s="1370">
        <v>0.15</v>
      </c>
      <c r="AU695" s="1371">
        <f t="shared" si="982"/>
        <v>0</v>
      </c>
      <c r="AV695" s="1359">
        <f t="shared" si="983"/>
        <v>0</v>
      </c>
      <c r="AW695" s="1372">
        <f t="shared" si="984"/>
        <v>0</v>
      </c>
      <c r="AX695" s="1373">
        <f t="shared" si="985"/>
        <v>0.15</v>
      </c>
      <c r="AY695" s="1374">
        <f t="shared" si="986"/>
        <v>0</v>
      </c>
      <c r="AZ695" s="1375">
        <f t="shared" si="987"/>
        <v>0.15</v>
      </c>
      <c r="BA695" s="1376">
        <f t="shared" si="988"/>
        <v>0</v>
      </c>
      <c r="BB695" s="1391"/>
      <c r="BC695" s="1820"/>
      <c r="BD695" s="1820"/>
      <c r="BE695" s="1823"/>
      <c r="BF695" s="1834"/>
      <c r="BG695" s="1829"/>
    </row>
    <row r="696" spans="1:59" s="1378" customFormat="1" ht="38.25">
      <c r="A696" s="1347" t="str">
        <f t="shared" si="968"/>
        <v>Provenance Biofabrics, Inc.</v>
      </c>
      <c r="B696" s="1348" t="str">
        <f t="shared" si="969"/>
        <v>HUB SD</v>
      </c>
      <c r="C696" s="1348">
        <f t="shared" si="972"/>
        <v>3</v>
      </c>
      <c r="D696" s="1349">
        <f t="shared" si="973"/>
        <v>43282</v>
      </c>
      <c r="E696" s="1349"/>
      <c r="F696" s="1347" t="s">
        <v>113</v>
      </c>
      <c r="G696" s="1347" t="s">
        <v>85</v>
      </c>
      <c r="H696" s="1347" t="s">
        <v>85</v>
      </c>
      <c r="I696" s="1347" t="s">
        <v>113</v>
      </c>
      <c r="J696" s="1349"/>
      <c r="K696" s="1349" t="s">
        <v>254</v>
      </c>
      <c r="L696" s="1350" t="s">
        <v>4682</v>
      </c>
      <c r="M696" s="1350" t="s">
        <v>67</v>
      </c>
      <c r="N696" s="1351" t="s">
        <v>82</v>
      </c>
      <c r="O696" s="1352" t="s">
        <v>4689</v>
      </c>
      <c r="P696" s="1388"/>
      <c r="Q696" s="1354"/>
      <c r="R696" s="1354"/>
      <c r="S696" s="1354"/>
      <c r="T696" s="1354"/>
      <c r="U696" s="1354"/>
      <c r="V696" s="1354"/>
      <c r="W696" s="1354"/>
      <c r="X696" s="1484" t="str">
        <f t="shared" si="974"/>
        <v>TBD</v>
      </c>
      <c r="Y696" s="1353">
        <f t="shared" si="974"/>
        <v>43466</v>
      </c>
      <c r="Z696" s="1355"/>
      <c r="AA696" s="1355" t="s">
        <v>5048</v>
      </c>
      <c r="AB696" s="1356"/>
      <c r="AC696" s="1356"/>
      <c r="AD696" s="1356"/>
      <c r="AE696" s="1356"/>
      <c r="AF696" s="1357" t="str">
        <f t="shared" si="971"/>
        <v/>
      </c>
      <c r="AG696" s="1358">
        <v>0</v>
      </c>
      <c r="AH696" s="1426">
        <f t="shared" si="992"/>
        <v>0</v>
      </c>
      <c r="AI696" s="1359">
        <v>0.15</v>
      </c>
      <c r="AJ696" s="1360">
        <f t="shared" si="976"/>
        <v>0</v>
      </c>
      <c r="AK696" s="1361">
        <f t="shared" si="991"/>
        <v>0</v>
      </c>
      <c r="AL696" s="1384">
        <v>0</v>
      </c>
      <c r="AM696" s="1363">
        <f t="shared" si="978"/>
        <v>0</v>
      </c>
      <c r="AN696" s="1364">
        <v>0</v>
      </c>
      <c r="AO696" s="1365">
        <f t="shared" si="979"/>
        <v>0</v>
      </c>
      <c r="AP696" s="1366">
        <v>0</v>
      </c>
      <c r="AQ696" s="1367">
        <f t="shared" si="980"/>
        <v>0</v>
      </c>
      <c r="AR696" s="1368">
        <v>0</v>
      </c>
      <c r="AS696" s="1369">
        <f t="shared" si="981"/>
        <v>0</v>
      </c>
      <c r="AT696" s="1370">
        <v>0.15</v>
      </c>
      <c r="AU696" s="1371">
        <f t="shared" si="982"/>
        <v>0</v>
      </c>
      <c r="AV696" s="1359">
        <f t="shared" si="983"/>
        <v>0</v>
      </c>
      <c r="AW696" s="1372">
        <f t="shared" si="984"/>
        <v>0</v>
      </c>
      <c r="AX696" s="1373">
        <f t="shared" si="985"/>
        <v>0.15</v>
      </c>
      <c r="AY696" s="1374">
        <f t="shared" si="986"/>
        <v>0</v>
      </c>
      <c r="AZ696" s="1375">
        <f t="shared" si="987"/>
        <v>0.15</v>
      </c>
      <c r="BA696" s="1376">
        <f t="shared" si="988"/>
        <v>0</v>
      </c>
      <c r="BB696" s="1391"/>
      <c r="BC696" s="1820"/>
      <c r="BD696" s="1820"/>
      <c r="BE696" s="1823"/>
      <c r="BF696" s="1834"/>
      <c r="BG696" s="1829"/>
    </row>
    <row r="697" spans="1:59" s="1378" customFormat="1" ht="27.75" customHeight="1">
      <c r="A697" s="1347" t="str">
        <f t="shared" si="968"/>
        <v>Provenance Biofabrics, Inc.</v>
      </c>
      <c r="B697" s="1348" t="str">
        <f t="shared" si="969"/>
        <v>HUB SD</v>
      </c>
      <c r="C697" s="1348">
        <f t="shared" si="972"/>
        <v>3</v>
      </c>
      <c r="D697" s="1349">
        <f t="shared" si="973"/>
        <v>43282</v>
      </c>
      <c r="E697" s="1349"/>
      <c r="F697" s="1347" t="s">
        <v>72</v>
      </c>
      <c r="G697" s="1347" t="s">
        <v>85</v>
      </c>
      <c r="H697" s="1347" t="s">
        <v>72</v>
      </c>
      <c r="I697" s="1347" t="s">
        <v>72</v>
      </c>
      <c r="J697" s="1349" t="s">
        <v>4670</v>
      </c>
      <c r="K697" s="1349" t="s">
        <v>254</v>
      </c>
      <c r="L697" s="1350" t="s">
        <v>4696</v>
      </c>
      <c r="M697" s="1350" t="s">
        <v>4697</v>
      </c>
      <c r="N697" s="1389" t="s">
        <v>4698</v>
      </c>
      <c r="O697" s="1352" t="s">
        <v>4699</v>
      </c>
      <c r="P697" s="1388"/>
      <c r="Q697" s="1354"/>
      <c r="R697" s="1354"/>
      <c r="S697" s="1354"/>
      <c r="T697" s="1354"/>
      <c r="U697" s="1354"/>
      <c r="V697" s="1354"/>
      <c r="W697" s="1354"/>
      <c r="X697" s="1484" t="str">
        <f t="shared" si="974"/>
        <v>TBD</v>
      </c>
      <c r="Y697" s="1353">
        <f t="shared" si="974"/>
        <v>43466</v>
      </c>
      <c r="Z697" s="1355"/>
      <c r="AA697" s="1355" t="s">
        <v>4674</v>
      </c>
      <c r="AB697" s="1356"/>
      <c r="AC697" s="1356"/>
      <c r="AD697" s="1356"/>
      <c r="AE697" s="1356"/>
      <c r="AF697" s="1357" t="str">
        <f t="shared" si="971"/>
        <v/>
      </c>
      <c r="AG697" s="1380">
        <f t="shared" si="989"/>
        <v>0</v>
      </c>
      <c r="AH697" s="1380">
        <v>0</v>
      </c>
      <c r="AI697" s="1381">
        <v>0</v>
      </c>
      <c r="AJ697" s="1382">
        <f t="shared" si="976"/>
        <v>0</v>
      </c>
      <c r="AK697" s="1383">
        <f t="shared" si="991"/>
        <v>0</v>
      </c>
      <c r="AL697" s="1384">
        <v>0</v>
      </c>
      <c r="AM697" s="1363">
        <f t="shared" si="978"/>
        <v>0</v>
      </c>
      <c r="AN697" s="1364">
        <v>0</v>
      </c>
      <c r="AO697" s="1365">
        <f t="shared" si="979"/>
        <v>0</v>
      </c>
      <c r="AP697" s="1366">
        <v>0</v>
      </c>
      <c r="AQ697" s="1367">
        <f t="shared" si="980"/>
        <v>0</v>
      </c>
      <c r="AR697" s="1368">
        <v>0</v>
      </c>
      <c r="AS697" s="1369">
        <f t="shared" si="981"/>
        <v>0</v>
      </c>
      <c r="AT697" s="1370">
        <v>0</v>
      </c>
      <c r="AU697" s="1371">
        <f t="shared" si="982"/>
        <v>0</v>
      </c>
      <c r="AV697" s="1359">
        <f t="shared" si="983"/>
        <v>0</v>
      </c>
      <c r="AW697" s="1372">
        <f t="shared" si="984"/>
        <v>0</v>
      </c>
      <c r="AX697" s="1373">
        <f t="shared" si="985"/>
        <v>0</v>
      </c>
      <c r="AY697" s="1374">
        <f t="shared" si="986"/>
        <v>0</v>
      </c>
      <c r="AZ697" s="1375">
        <f t="shared" si="987"/>
        <v>0</v>
      </c>
      <c r="BA697" s="1376">
        <f t="shared" si="988"/>
        <v>0</v>
      </c>
      <c r="BB697" s="1377"/>
      <c r="BC697" s="1820"/>
      <c r="BD697" s="1820"/>
      <c r="BE697" s="1823"/>
      <c r="BF697" s="1834"/>
      <c r="BG697" s="1829"/>
    </row>
    <row r="698" spans="1:59" s="1378" customFormat="1" ht="38.25">
      <c r="A698" s="1347" t="str">
        <f t="shared" si="968"/>
        <v>Provenance Biofabrics, Inc.</v>
      </c>
      <c r="B698" s="1348" t="str">
        <f t="shared" si="969"/>
        <v>HUB SD</v>
      </c>
      <c r="C698" s="1348">
        <f t="shared" si="972"/>
        <v>3</v>
      </c>
      <c r="D698" s="1349">
        <f t="shared" si="973"/>
        <v>43282</v>
      </c>
      <c r="E698" s="1349"/>
      <c r="F698" s="1347" t="s">
        <v>72</v>
      </c>
      <c r="G698" s="1347" t="s">
        <v>85</v>
      </c>
      <c r="H698" s="1347" t="s">
        <v>72</v>
      </c>
      <c r="I698" s="1347" t="s">
        <v>72</v>
      </c>
      <c r="J698" s="1349" t="s">
        <v>4670</v>
      </c>
      <c r="K698" s="1349" t="s">
        <v>254</v>
      </c>
      <c r="L698" s="1350" t="s">
        <v>48</v>
      </c>
      <c r="M698" s="1350" t="s">
        <v>253</v>
      </c>
      <c r="N698" s="1390" t="s">
        <v>4703</v>
      </c>
      <c r="O698" s="1352" t="s">
        <v>4704</v>
      </c>
      <c r="P698" s="1388"/>
      <c r="Q698" s="1354"/>
      <c r="R698" s="1354"/>
      <c r="S698" s="1354"/>
      <c r="T698" s="1354"/>
      <c r="U698" s="1354"/>
      <c r="V698" s="1354"/>
      <c r="W698" s="1354"/>
      <c r="X698" s="1484" t="str">
        <f t="shared" si="974"/>
        <v>TBD</v>
      </c>
      <c r="Y698" s="1353">
        <f t="shared" si="974"/>
        <v>43466</v>
      </c>
      <c r="Z698" s="1355"/>
      <c r="AA698" s="1355" t="s">
        <v>4674</v>
      </c>
      <c r="AB698" s="1356"/>
      <c r="AC698" s="1356"/>
      <c r="AD698" s="1356"/>
      <c r="AE698" s="1356"/>
      <c r="AF698" s="1357" t="str">
        <f t="shared" si="971"/>
        <v/>
      </c>
      <c r="AG698" s="1380">
        <f t="shared" si="989"/>
        <v>0</v>
      </c>
      <c r="AH698" s="1380">
        <v>0</v>
      </c>
      <c r="AI698" s="1381">
        <v>0</v>
      </c>
      <c r="AJ698" s="1382">
        <f t="shared" si="976"/>
        <v>0</v>
      </c>
      <c r="AK698" s="1383">
        <f t="shared" si="991"/>
        <v>0</v>
      </c>
      <c r="AL698" s="1384">
        <v>0</v>
      </c>
      <c r="AM698" s="1363">
        <f t="shared" si="978"/>
        <v>0</v>
      </c>
      <c r="AN698" s="1364">
        <v>0</v>
      </c>
      <c r="AO698" s="1365">
        <f t="shared" si="979"/>
        <v>0</v>
      </c>
      <c r="AP698" s="1366">
        <v>0</v>
      </c>
      <c r="AQ698" s="1367">
        <f t="shared" si="980"/>
        <v>0</v>
      </c>
      <c r="AR698" s="1368">
        <v>0</v>
      </c>
      <c r="AS698" s="1369">
        <f t="shared" si="981"/>
        <v>0</v>
      </c>
      <c r="AT698" s="1370">
        <v>0</v>
      </c>
      <c r="AU698" s="1371">
        <f t="shared" si="982"/>
        <v>0</v>
      </c>
      <c r="AV698" s="1359">
        <f t="shared" si="983"/>
        <v>0</v>
      </c>
      <c r="AW698" s="1372">
        <f t="shared" si="984"/>
        <v>0</v>
      </c>
      <c r="AX698" s="1373">
        <f t="shared" si="985"/>
        <v>0</v>
      </c>
      <c r="AY698" s="1374">
        <f t="shared" si="986"/>
        <v>0</v>
      </c>
      <c r="AZ698" s="1375">
        <f t="shared" si="987"/>
        <v>0</v>
      </c>
      <c r="BA698" s="1376">
        <f t="shared" si="988"/>
        <v>0</v>
      </c>
      <c r="BB698" s="1391"/>
      <c r="BC698" s="1820"/>
      <c r="BD698" s="1820"/>
      <c r="BE698" s="1823"/>
      <c r="BF698" s="1834"/>
      <c r="BG698" s="1829"/>
    </row>
    <row r="699" spans="1:59" s="1378" customFormat="1" ht="38.25">
      <c r="A699" s="1347" t="str">
        <f t="shared" si="968"/>
        <v>Provenance Biofabrics, Inc.</v>
      </c>
      <c r="B699" s="1348" t="str">
        <f t="shared" si="969"/>
        <v>HUB SD</v>
      </c>
      <c r="C699" s="1348">
        <f t="shared" si="972"/>
        <v>3</v>
      </c>
      <c r="D699" s="1349">
        <f t="shared" si="973"/>
        <v>43282</v>
      </c>
      <c r="E699" s="1349"/>
      <c r="F699" s="1347" t="s">
        <v>72</v>
      </c>
      <c r="G699" s="1347" t="s">
        <v>85</v>
      </c>
      <c r="H699" s="1347" t="s">
        <v>72</v>
      </c>
      <c r="I699" s="1347" t="s">
        <v>72</v>
      </c>
      <c r="J699" s="1349" t="s">
        <v>4670</v>
      </c>
      <c r="K699" s="1349" t="s">
        <v>254</v>
      </c>
      <c r="L699" s="1350" t="s">
        <v>49</v>
      </c>
      <c r="M699" s="1350" t="s">
        <v>4705</v>
      </c>
      <c r="N699" s="1390" t="s">
        <v>4706</v>
      </c>
      <c r="O699" s="1352" t="s">
        <v>4707</v>
      </c>
      <c r="P699" s="1388"/>
      <c r="Q699" s="1354"/>
      <c r="R699" s="1354"/>
      <c r="S699" s="1354"/>
      <c r="T699" s="1354"/>
      <c r="U699" s="1354"/>
      <c r="V699" s="1354"/>
      <c r="W699" s="1354"/>
      <c r="X699" s="1484" t="str">
        <f t="shared" si="974"/>
        <v>TBD</v>
      </c>
      <c r="Y699" s="1353">
        <f t="shared" si="974"/>
        <v>43466</v>
      </c>
      <c r="Z699" s="1355"/>
      <c r="AA699" s="1355" t="s">
        <v>4674</v>
      </c>
      <c r="AB699" s="1356"/>
      <c r="AC699" s="1356"/>
      <c r="AD699" s="1356"/>
      <c r="AE699" s="1356"/>
      <c r="AF699" s="1357" t="str">
        <f t="shared" si="971"/>
        <v/>
      </c>
      <c r="AG699" s="1380">
        <f t="shared" si="989"/>
        <v>0</v>
      </c>
      <c r="AH699" s="1380">
        <v>0</v>
      </c>
      <c r="AI699" s="1381">
        <v>0</v>
      </c>
      <c r="AJ699" s="1382">
        <f t="shared" si="976"/>
        <v>0</v>
      </c>
      <c r="AK699" s="1383">
        <f t="shared" si="991"/>
        <v>0</v>
      </c>
      <c r="AL699" s="1384">
        <v>0</v>
      </c>
      <c r="AM699" s="1363">
        <f t="shared" si="978"/>
        <v>0</v>
      </c>
      <c r="AN699" s="1364">
        <v>0</v>
      </c>
      <c r="AO699" s="1365">
        <f t="shared" si="979"/>
        <v>0</v>
      </c>
      <c r="AP699" s="1366">
        <v>0</v>
      </c>
      <c r="AQ699" s="1367">
        <f t="shared" si="980"/>
        <v>0</v>
      </c>
      <c r="AR699" s="1368">
        <v>0</v>
      </c>
      <c r="AS699" s="1369">
        <f t="shared" si="981"/>
        <v>0</v>
      </c>
      <c r="AT699" s="1370">
        <v>0</v>
      </c>
      <c r="AU699" s="1371">
        <f t="shared" si="982"/>
        <v>0</v>
      </c>
      <c r="AV699" s="1359">
        <f t="shared" si="983"/>
        <v>0</v>
      </c>
      <c r="AW699" s="1372">
        <f t="shared" si="984"/>
        <v>0</v>
      </c>
      <c r="AX699" s="1373">
        <f t="shared" si="985"/>
        <v>0</v>
      </c>
      <c r="AY699" s="1374">
        <f t="shared" si="986"/>
        <v>0</v>
      </c>
      <c r="AZ699" s="1375">
        <f t="shared" si="987"/>
        <v>0</v>
      </c>
      <c r="BA699" s="1376">
        <f t="shared" si="988"/>
        <v>0</v>
      </c>
      <c r="BB699" s="1391"/>
      <c r="BC699" s="1820"/>
      <c r="BD699" s="1820"/>
      <c r="BE699" s="1823"/>
      <c r="BF699" s="1834"/>
      <c r="BG699" s="1829"/>
    </row>
    <row r="700" spans="1:59" s="1378" customFormat="1" ht="38.25">
      <c r="A700" s="1347" t="str">
        <f t="shared" si="968"/>
        <v>Provenance Biofabrics, Inc.</v>
      </c>
      <c r="B700" s="1348" t="str">
        <f t="shared" si="969"/>
        <v>HUB SD</v>
      </c>
      <c r="C700" s="1348">
        <f t="shared" si="972"/>
        <v>3</v>
      </c>
      <c r="D700" s="1349">
        <f t="shared" si="973"/>
        <v>43282</v>
      </c>
      <c r="E700" s="1349"/>
      <c r="F700" s="1347" t="s">
        <v>72</v>
      </c>
      <c r="G700" s="1347" t="s">
        <v>85</v>
      </c>
      <c r="H700" s="1347" t="s">
        <v>72</v>
      </c>
      <c r="I700" s="1347" t="s">
        <v>72</v>
      </c>
      <c r="J700" s="1349" t="s">
        <v>4670</v>
      </c>
      <c r="K700" s="1349" t="s">
        <v>254</v>
      </c>
      <c r="L700" s="1350" t="s">
        <v>3056</v>
      </c>
      <c r="M700" s="1350" t="s">
        <v>4708</v>
      </c>
      <c r="N700" s="1390" t="s">
        <v>4709</v>
      </c>
      <c r="O700" s="1352" t="s">
        <v>4710</v>
      </c>
      <c r="P700" s="1388"/>
      <c r="Q700" s="1354"/>
      <c r="R700" s="1354"/>
      <c r="S700" s="1354"/>
      <c r="T700" s="1354"/>
      <c r="U700" s="1354"/>
      <c r="V700" s="1354"/>
      <c r="W700" s="1354"/>
      <c r="X700" s="1484" t="str">
        <f t="shared" si="974"/>
        <v>TBD</v>
      </c>
      <c r="Y700" s="1353">
        <f t="shared" si="974"/>
        <v>43466</v>
      </c>
      <c r="Z700" s="1355"/>
      <c r="AA700" s="1355" t="s">
        <v>4674</v>
      </c>
      <c r="AB700" s="1356"/>
      <c r="AC700" s="1356"/>
      <c r="AD700" s="1356"/>
      <c r="AE700" s="1356"/>
      <c r="AF700" s="1357" t="str">
        <f t="shared" si="971"/>
        <v/>
      </c>
      <c r="AG700" s="1380">
        <f t="shared" si="989"/>
        <v>0</v>
      </c>
      <c r="AH700" s="1380">
        <v>0</v>
      </c>
      <c r="AI700" s="1381">
        <v>0</v>
      </c>
      <c r="AJ700" s="1382">
        <f t="shared" si="976"/>
        <v>0</v>
      </c>
      <c r="AK700" s="1383">
        <f t="shared" si="991"/>
        <v>0</v>
      </c>
      <c r="AL700" s="1384">
        <v>0</v>
      </c>
      <c r="AM700" s="1363">
        <f t="shared" si="978"/>
        <v>0</v>
      </c>
      <c r="AN700" s="1364">
        <v>0</v>
      </c>
      <c r="AO700" s="1365">
        <f t="shared" si="979"/>
        <v>0</v>
      </c>
      <c r="AP700" s="1366">
        <v>0</v>
      </c>
      <c r="AQ700" s="1367">
        <f t="shared" si="980"/>
        <v>0</v>
      </c>
      <c r="AR700" s="1368">
        <v>0</v>
      </c>
      <c r="AS700" s="1369">
        <f t="shared" si="981"/>
        <v>0</v>
      </c>
      <c r="AT700" s="1370">
        <v>0</v>
      </c>
      <c r="AU700" s="1371">
        <f t="shared" si="982"/>
        <v>0</v>
      </c>
      <c r="AV700" s="1359">
        <f t="shared" si="983"/>
        <v>0</v>
      </c>
      <c r="AW700" s="1372">
        <f t="shared" si="984"/>
        <v>0</v>
      </c>
      <c r="AX700" s="1373">
        <f t="shared" si="985"/>
        <v>0</v>
      </c>
      <c r="AY700" s="1374">
        <f t="shared" si="986"/>
        <v>0</v>
      </c>
      <c r="AZ700" s="1375">
        <f t="shared" si="987"/>
        <v>0</v>
      </c>
      <c r="BA700" s="1376">
        <f t="shared" si="988"/>
        <v>0</v>
      </c>
      <c r="BB700" s="1391"/>
      <c r="BC700" s="1821"/>
      <c r="BD700" s="1821"/>
      <c r="BE700" s="1824"/>
      <c r="BF700" s="1834"/>
      <c r="BG700" s="1830"/>
    </row>
    <row r="701" spans="1:59" s="1315" customFormat="1" ht="38.25">
      <c r="A701" s="1277" t="str">
        <f t="shared" ref="A701:A710" si="993">L$701</f>
        <v>Qool Therapeutics, Inc.</v>
      </c>
      <c r="B701" s="1316" t="str">
        <f t="shared" ref="B701:B710" si="994">N$701</f>
        <v>ABD</v>
      </c>
      <c r="C701" s="1316">
        <f t="shared" ref="C701:C710" si="995">Z$701</f>
        <v>3</v>
      </c>
      <c r="D701" s="1317">
        <v>43101</v>
      </c>
      <c r="E701" s="1317"/>
      <c r="F701" s="1277" t="s">
        <v>72</v>
      </c>
      <c r="G701" s="1277" t="s">
        <v>72</v>
      </c>
      <c r="H701" s="1277" t="s">
        <v>72</v>
      </c>
      <c r="I701" s="1277" t="s">
        <v>4711</v>
      </c>
      <c r="J701" s="1317"/>
      <c r="K701" s="1317"/>
      <c r="L701" s="1318" t="s">
        <v>1283</v>
      </c>
      <c r="M701" s="1319"/>
      <c r="N701" s="1417" t="s">
        <v>3654</v>
      </c>
      <c r="O701" s="1418" t="s">
        <v>2473</v>
      </c>
      <c r="P701" s="1418"/>
      <c r="Q701" s="1322"/>
      <c r="R701" s="1322"/>
      <c r="S701" s="1322"/>
      <c r="T701" s="1322"/>
      <c r="U701" s="1322"/>
      <c r="V701" s="1322"/>
      <c r="W701" s="1322"/>
      <c r="X701" s="1317">
        <v>43101</v>
      </c>
      <c r="Y701" s="1317">
        <v>43466</v>
      </c>
      <c r="Z701" s="1316">
        <v>3</v>
      </c>
      <c r="AA701" s="1316" t="s">
        <v>5209</v>
      </c>
      <c r="AB701" s="1323">
        <f>SUM(AB702:AB711)</f>
        <v>0</v>
      </c>
      <c r="AC701" s="1323">
        <f>SUM(AC702:AC711)</f>
        <v>0</v>
      </c>
      <c r="AD701" s="1323">
        <f>SUM(AD702:AD711)</f>
        <v>0</v>
      </c>
      <c r="AE701" s="1324">
        <f t="shared" ref="AE701:AE720" si="996">AD701-AB701</f>
        <v>0</v>
      </c>
      <c r="AF701" s="1325" t="str">
        <f t="shared" si="951"/>
        <v/>
      </c>
      <c r="AG701" s="1326">
        <f t="shared" si="949"/>
        <v>2444.77</v>
      </c>
      <c r="AH701" s="1326">
        <f>SUM(AH702:AH711)</f>
        <v>29337.24</v>
      </c>
      <c r="AI701" s="1339"/>
      <c r="AJ701" s="1328">
        <f>SUM(AJ702:AJ711)</f>
        <v>212.97239999999999</v>
      </c>
      <c r="AK701" s="1328">
        <f>SUM(AK702:AK711)</f>
        <v>2555.6687999999999</v>
      </c>
      <c r="AL701" s="1329"/>
      <c r="AM701" s="1330">
        <f>SUM(AM702:AM711)</f>
        <v>125.2368</v>
      </c>
      <c r="AN701" s="1331"/>
      <c r="AO701" s="1332">
        <f>SUM(AO702:AO711)</f>
        <v>1394.2416000000003</v>
      </c>
      <c r="AP701" s="1333"/>
      <c r="AQ701" s="1334">
        <f>SUM(AQ702:AQ711)</f>
        <v>0</v>
      </c>
      <c r="AR701" s="1335"/>
      <c r="AS701" s="1336">
        <f>SUM(AS702:AS711)</f>
        <v>0</v>
      </c>
      <c r="AT701" s="1337"/>
      <c r="AU701" s="1338">
        <f>SUM(AU702:AU711)</f>
        <v>626.18400000000008</v>
      </c>
      <c r="AV701" s="1339"/>
      <c r="AW701" s="1340">
        <f>SUM(AW702:AW711)</f>
        <v>410.00639999999993</v>
      </c>
      <c r="AX701" s="1306"/>
      <c r="AY701" s="1307">
        <f>SUM(AW701+AS701+AU701)</f>
        <v>1036.1904</v>
      </c>
      <c r="AZ701" s="1341"/>
      <c r="BA701" s="1309">
        <f>SUM(AY701+AQ701)</f>
        <v>1036.1904</v>
      </c>
      <c r="BB701" s="1342">
        <f>(AW701+AU701)/(AK701-AM701)</f>
        <v>0.4263400086898132</v>
      </c>
      <c r="BC701" s="1343"/>
      <c r="BD701" s="1343"/>
      <c r="BE701" s="1344"/>
      <c r="BF701" s="1420" t="s">
        <v>4749</v>
      </c>
      <c r="BG701" s="1346"/>
    </row>
    <row r="702" spans="1:59" s="1378" customFormat="1" ht="76.5">
      <c r="A702" s="1347" t="str">
        <f t="shared" si="993"/>
        <v>Qool Therapeutics, Inc.</v>
      </c>
      <c r="B702" s="1348" t="str">
        <f t="shared" si="994"/>
        <v>ABD</v>
      </c>
      <c r="C702" s="1348">
        <f t="shared" si="995"/>
        <v>3</v>
      </c>
      <c r="D702" s="1349">
        <v>43101</v>
      </c>
      <c r="E702" s="1349"/>
      <c r="F702" s="1347" t="s">
        <v>85</v>
      </c>
      <c r="G702" s="1347" t="s">
        <v>85</v>
      </c>
      <c r="H702" s="1347" t="s">
        <v>85</v>
      </c>
      <c r="I702" s="1347" t="s">
        <v>113</v>
      </c>
      <c r="J702" s="1349"/>
      <c r="K702" s="1349" t="s">
        <v>254</v>
      </c>
      <c r="L702" s="1350" t="s">
        <v>2661</v>
      </c>
      <c r="M702" s="1350" t="s">
        <v>3647</v>
      </c>
      <c r="N702" s="1351" t="s">
        <v>5210</v>
      </c>
      <c r="O702" s="1352" t="s">
        <v>5211</v>
      </c>
      <c r="P702" s="1352" t="s">
        <v>5090</v>
      </c>
      <c r="Q702" s="1353" t="s">
        <v>303</v>
      </c>
      <c r="R702" s="1353" t="s">
        <v>3648</v>
      </c>
      <c r="S702" s="1353" t="s">
        <v>307</v>
      </c>
      <c r="T702" s="1353" t="s">
        <v>113</v>
      </c>
      <c r="U702" s="1354"/>
      <c r="V702" s="1354"/>
      <c r="W702" s="1354"/>
      <c r="X702" s="1353">
        <v>43101</v>
      </c>
      <c r="Y702" s="1353">
        <v>43466</v>
      </c>
      <c r="Z702" s="1355"/>
      <c r="AA702" s="1355" t="s">
        <v>4667</v>
      </c>
      <c r="AB702" s="1356"/>
      <c r="AC702" s="1356"/>
      <c r="AD702" s="1356"/>
      <c r="AE702" s="1356"/>
      <c r="AF702" s="1357"/>
      <c r="AG702" s="1358">
        <f t="shared" si="949"/>
        <v>2087.2800000000002</v>
      </c>
      <c r="AH702" s="1358">
        <v>25047.360000000001</v>
      </c>
      <c r="AI702" s="1359">
        <v>0.08</v>
      </c>
      <c r="AJ702" s="1360">
        <f t="shared" ref="AJ702:AJ711" si="997">$AI702*$AG702</f>
        <v>166.98240000000001</v>
      </c>
      <c r="AK702" s="1361">
        <f t="shared" ref="AK702" si="998">AI702*$AH702</f>
        <v>2003.7888</v>
      </c>
      <c r="AL702" s="1362">
        <v>5.0000000000000001E-3</v>
      </c>
      <c r="AM702" s="1363">
        <f t="shared" ref="AM702:AM711" si="999">AL702*$AH702</f>
        <v>125.2368</v>
      </c>
      <c r="AN702" s="1364">
        <v>0.04</v>
      </c>
      <c r="AO702" s="1365">
        <f t="shared" ref="AO702:AO711" si="1000">AN702*$AH702</f>
        <v>1001.8944</v>
      </c>
      <c r="AP702" s="1366">
        <v>0</v>
      </c>
      <c r="AQ702" s="1367">
        <f t="shared" ref="AQ702:AQ711" si="1001">AP702*$AH702</f>
        <v>0</v>
      </c>
      <c r="AR702" s="1368">
        <v>0</v>
      </c>
      <c r="AS702" s="1369">
        <f t="shared" ref="AS702:AS711" si="1002">AR702*$AH702</f>
        <v>0</v>
      </c>
      <c r="AT702" s="1370">
        <v>2.5000000000000001E-2</v>
      </c>
      <c r="AU702" s="1371">
        <f t="shared" ref="AU702:AU711" si="1003">AT702*$AH702</f>
        <v>626.18400000000008</v>
      </c>
      <c r="AV702" s="1359">
        <f t="shared" ref="AV702:AV711" si="1004">AZ702-AR702-AT702-AP702</f>
        <v>9.999999999999995E-3</v>
      </c>
      <c r="AW702" s="1372">
        <f t="shared" ref="AW702:AW711" si="1005">AV702*$AH702</f>
        <v>250.47359999999989</v>
      </c>
      <c r="AX702" s="1373">
        <f t="shared" ref="AX702:AX711" si="1006">$AZ702-$AP702</f>
        <v>3.4999999999999996E-2</v>
      </c>
      <c r="AY702" s="1374">
        <f t="shared" ref="AY702:AY711" si="1007">AX702*$AH702</f>
        <v>876.65759999999989</v>
      </c>
      <c r="AZ702" s="1375">
        <f t="shared" ref="AZ702:AZ711" si="1008">$AI702-$AL702-$AN702</f>
        <v>3.4999999999999996E-2</v>
      </c>
      <c r="BA702" s="1376">
        <f t="shared" ref="BA702:BA711" si="1009">AZ702*$AH702</f>
        <v>876.65759999999989</v>
      </c>
      <c r="BB702" s="1377"/>
      <c r="BC702" s="1847" t="s">
        <v>1284</v>
      </c>
      <c r="BD702" s="1819" t="s">
        <v>1319</v>
      </c>
      <c r="BE702" s="1822" t="s">
        <v>1319</v>
      </c>
      <c r="BF702" s="1825" t="s">
        <v>432</v>
      </c>
      <c r="BG702" s="1828">
        <v>202814592</v>
      </c>
    </row>
    <row r="703" spans="1:59" s="1378" customFormat="1" ht="38.25">
      <c r="A703" s="1347" t="str">
        <f t="shared" si="993"/>
        <v>Qool Therapeutics, Inc.</v>
      </c>
      <c r="B703" s="1348" t="str">
        <f t="shared" si="994"/>
        <v>ABD</v>
      </c>
      <c r="C703" s="1348">
        <f t="shared" si="995"/>
        <v>3</v>
      </c>
      <c r="D703" s="1349">
        <v>43101</v>
      </c>
      <c r="E703" s="1349"/>
      <c r="F703" s="1347" t="s">
        <v>72</v>
      </c>
      <c r="G703" s="1347" t="s">
        <v>85</v>
      </c>
      <c r="H703" s="1347" t="s">
        <v>72</v>
      </c>
      <c r="I703" s="1347" t="s">
        <v>72</v>
      </c>
      <c r="J703" s="1349" t="s">
        <v>4670</v>
      </c>
      <c r="K703" s="1349" t="s">
        <v>254</v>
      </c>
      <c r="L703" s="1350" t="s">
        <v>4671</v>
      </c>
      <c r="M703" s="1350" t="s">
        <v>3649</v>
      </c>
      <c r="N703" s="1379" t="s">
        <v>4933</v>
      </c>
      <c r="O703" s="1352" t="s">
        <v>5212</v>
      </c>
      <c r="P703" s="1388"/>
      <c r="Q703" s="1354"/>
      <c r="R703" s="1354"/>
      <c r="S703" s="1354"/>
      <c r="T703" s="1354"/>
      <c r="U703" s="1354"/>
      <c r="V703" s="1354"/>
      <c r="W703" s="1354"/>
      <c r="X703" s="1353">
        <v>43101</v>
      </c>
      <c r="Y703" s="1353">
        <v>43466</v>
      </c>
      <c r="Z703" s="1355"/>
      <c r="AA703" s="1355" t="s">
        <v>4674</v>
      </c>
      <c r="AB703" s="1356"/>
      <c r="AC703" s="1356"/>
      <c r="AD703" s="1356"/>
      <c r="AE703" s="1356"/>
      <c r="AF703" s="1357" t="str">
        <f t="shared" si="951"/>
        <v/>
      </c>
      <c r="AG703" s="1380"/>
      <c r="AH703" s="1380"/>
      <c r="AI703" s="1381">
        <v>0</v>
      </c>
      <c r="AJ703" s="1382">
        <f t="shared" si="997"/>
        <v>0</v>
      </c>
      <c r="AK703" s="1383">
        <f>AI703*$AH703</f>
        <v>0</v>
      </c>
      <c r="AL703" s="1384">
        <v>0</v>
      </c>
      <c r="AM703" s="1363">
        <f t="shared" si="999"/>
        <v>0</v>
      </c>
      <c r="AN703" s="1364">
        <v>0</v>
      </c>
      <c r="AO703" s="1365">
        <f t="shared" si="1000"/>
        <v>0</v>
      </c>
      <c r="AP703" s="1366">
        <v>0</v>
      </c>
      <c r="AQ703" s="1367">
        <f t="shared" si="1001"/>
        <v>0</v>
      </c>
      <c r="AR703" s="1368">
        <v>0</v>
      </c>
      <c r="AS703" s="1369">
        <f t="shared" si="1002"/>
        <v>0</v>
      </c>
      <c r="AT703" s="1370">
        <v>0</v>
      </c>
      <c r="AU703" s="1371">
        <f t="shared" si="1003"/>
        <v>0</v>
      </c>
      <c r="AV703" s="1359">
        <f t="shared" si="1004"/>
        <v>0</v>
      </c>
      <c r="AW703" s="1372">
        <f t="shared" si="1005"/>
        <v>0</v>
      </c>
      <c r="AX703" s="1373">
        <f t="shared" si="1006"/>
        <v>0</v>
      </c>
      <c r="AY703" s="1374">
        <f t="shared" si="1007"/>
        <v>0</v>
      </c>
      <c r="AZ703" s="1375">
        <f t="shared" si="1008"/>
        <v>0</v>
      </c>
      <c r="BA703" s="1376">
        <f t="shared" si="1009"/>
        <v>0</v>
      </c>
      <c r="BB703" s="1377"/>
      <c r="BC703" s="1848"/>
      <c r="BD703" s="1820"/>
      <c r="BE703" s="1823"/>
      <c r="BF703" s="1826"/>
      <c r="BG703" s="1829"/>
    </row>
    <row r="704" spans="1:59" s="1378" customFormat="1" ht="38.25">
      <c r="A704" s="1347" t="str">
        <f t="shared" si="993"/>
        <v>Qool Therapeutics, Inc.</v>
      </c>
      <c r="B704" s="1348" t="str">
        <f t="shared" si="994"/>
        <v>ABD</v>
      </c>
      <c r="C704" s="1348">
        <f t="shared" si="995"/>
        <v>3</v>
      </c>
      <c r="D704" s="1349">
        <v>43101</v>
      </c>
      <c r="E704" s="1349"/>
      <c r="F704" s="1347" t="s">
        <v>113</v>
      </c>
      <c r="G704" s="1347" t="s">
        <v>85</v>
      </c>
      <c r="H704" s="1347" t="s">
        <v>85</v>
      </c>
      <c r="I704" s="1347" t="s">
        <v>113</v>
      </c>
      <c r="J704" s="1349"/>
      <c r="K704" s="1349" t="s">
        <v>254</v>
      </c>
      <c r="L704" s="1350" t="s">
        <v>4675</v>
      </c>
      <c r="M704" s="1350" t="s">
        <v>3650</v>
      </c>
      <c r="N704" s="1385" t="s">
        <v>5213</v>
      </c>
      <c r="O704" s="1352" t="s">
        <v>4677</v>
      </c>
      <c r="P704" s="1388"/>
      <c r="Q704" s="1354"/>
      <c r="R704" s="1354"/>
      <c r="S704" s="1354"/>
      <c r="T704" s="1354"/>
      <c r="U704" s="1353" t="s">
        <v>4723</v>
      </c>
      <c r="V704" s="1353" t="s">
        <v>2495</v>
      </c>
      <c r="W704" s="1354"/>
      <c r="X704" s="1353">
        <v>43101</v>
      </c>
      <c r="Y704" s="1353">
        <v>43466</v>
      </c>
      <c r="Z704" s="1355"/>
      <c r="AA704" s="1355" t="s">
        <v>4679</v>
      </c>
      <c r="AB704" s="1356"/>
      <c r="AC704" s="1356"/>
      <c r="AD704" s="1356"/>
      <c r="AE704" s="1356"/>
      <c r="AF704" s="1357"/>
      <c r="AG704" s="1358">
        <f t="shared" si="949"/>
        <v>133.04</v>
      </c>
      <c r="AH704" s="1358">
        <v>1596.48</v>
      </c>
      <c r="AI704" s="1359">
        <v>0.1</v>
      </c>
      <c r="AJ704" s="1360">
        <f t="shared" si="997"/>
        <v>13.304</v>
      </c>
      <c r="AK704" s="1361">
        <f t="shared" ref="AK704:AK711" si="1010">AI704*$AH704</f>
        <v>159.64800000000002</v>
      </c>
      <c r="AL704" s="1384">
        <v>0</v>
      </c>
      <c r="AM704" s="1363">
        <f t="shared" si="999"/>
        <v>0</v>
      </c>
      <c r="AN704" s="1364">
        <v>0.08</v>
      </c>
      <c r="AO704" s="1365">
        <f t="shared" si="1000"/>
        <v>127.7184</v>
      </c>
      <c r="AP704" s="1366">
        <v>0</v>
      </c>
      <c r="AQ704" s="1367">
        <f t="shared" si="1001"/>
        <v>0</v>
      </c>
      <c r="AR704" s="1368">
        <v>0</v>
      </c>
      <c r="AS704" s="1369">
        <f t="shared" si="1002"/>
        <v>0</v>
      </c>
      <c r="AT704" s="1370">
        <v>0</v>
      </c>
      <c r="AU704" s="1371">
        <f t="shared" si="1003"/>
        <v>0</v>
      </c>
      <c r="AV704" s="1359">
        <f t="shared" si="1004"/>
        <v>2.0000000000000004E-2</v>
      </c>
      <c r="AW704" s="1372">
        <f t="shared" si="1005"/>
        <v>31.929600000000008</v>
      </c>
      <c r="AX704" s="1373">
        <f t="shared" si="1006"/>
        <v>2.0000000000000004E-2</v>
      </c>
      <c r="AY704" s="1374">
        <f t="shared" si="1007"/>
        <v>31.929600000000008</v>
      </c>
      <c r="AZ704" s="1375">
        <f t="shared" si="1008"/>
        <v>2.0000000000000004E-2</v>
      </c>
      <c r="BA704" s="1376">
        <f t="shared" si="1009"/>
        <v>31.929600000000008</v>
      </c>
      <c r="BB704" s="1377"/>
      <c r="BC704" s="1848"/>
      <c r="BD704" s="1820"/>
      <c r="BE704" s="1823"/>
      <c r="BF704" s="1826"/>
      <c r="BG704" s="1829"/>
    </row>
    <row r="705" spans="1:59" s="1378" customFormat="1" ht="38.25">
      <c r="A705" s="1347" t="str">
        <f t="shared" si="993"/>
        <v>Qool Therapeutics, Inc.</v>
      </c>
      <c r="B705" s="1348" t="str">
        <f t="shared" si="994"/>
        <v>ABD</v>
      </c>
      <c r="C705" s="1348">
        <f t="shared" si="995"/>
        <v>3</v>
      </c>
      <c r="D705" s="1349">
        <v>43101</v>
      </c>
      <c r="E705" s="1349"/>
      <c r="F705" s="1347" t="s">
        <v>113</v>
      </c>
      <c r="G705" s="1347" t="s">
        <v>85</v>
      </c>
      <c r="H705" s="1347" t="s">
        <v>85</v>
      </c>
      <c r="I705" s="1347" t="s">
        <v>113</v>
      </c>
      <c r="J705" s="1349"/>
      <c r="K705" s="1349" t="s">
        <v>254</v>
      </c>
      <c r="L705" s="1350" t="s">
        <v>4675</v>
      </c>
      <c r="M705" s="1350" t="s">
        <v>3651</v>
      </c>
      <c r="N705" s="1351" t="s">
        <v>4758</v>
      </c>
      <c r="O705" s="1352" t="s">
        <v>4681</v>
      </c>
      <c r="P705" s="1388"/>
      <c r="Q705" s="1354"/>
      <c r="R705" s="1354"/>
      <c r="S705" s="1354"/>
      <c r="T705" s="1354"/>
      <c r="U705" s="1354"/>
      <c r="V705" s="1354"/>
      <c r="W705" s="1353" t="s">
        <v>2492</v>
      </c>
      <c r="X705" s="1353">
        <v>43101</v>
      </c>
      <c r="Y705" s="1353">
        <v>43466</v>
      </c>
      <c r="Z705" s="1355"/>
      <c r="AA705" s="1355" t="s">
        <v>4679</v>
      </c>
      <c r="AB705" s="1356"/>
      <c r="AC705" s="1356"/>
      <c r="AD705" s="1356"/>
      <c r="AE705" s="1356"/>
      <c r="AF705" s="1357"/>
      <c r="AG705" s="1358">
        <f t="shared" si="949"/>
        <v>19.63</v>
      </c>
      <c r="AH705" s="1358">
        <v>235.56</v>
      </c>
      <c r="AI705" s="1359">
        <v>0.1</v>
      </c>
      <c r="AJ705" s="1360">
        <f t="shared" si="997"/>
        <v>1.9630000000000001</v>
      </c>
      <c r="AK705" s="1361">
        <f t="shared" si="1010"/>
        <v>23.556000000000001</v>
      </c>
      <c r="AL705" s="1384">
        <v>0</v>
      </c>
      <c r="AM705" s="1363">
        <f t="shared" si="999"/>
        <v>0</v>
      </c>
      <c r="AN705" s="1364">
        <v>0.08</v>
      </c>
      <c r="AO705" s="1365">
        <f t="shared" si="1000"/>
        <v>18.844799999999999</v>
      </c>
      <c r="AP705" s="1366">
        <v>0</v>
      </c>
      <c r="AQ705" s="1367">
        <f t="shared" si="1001"/>
        <v>0</v>
      </c>
      <c r="AR705" s="1368">
        <v>0</v>
      </c>
      <c r="AS705" s="1369">
        <f t="shared" si="1002"/>
        <v>0</v>
      </c>
      <c r="AT705" s="1370">
        <v>0</v>
      </c>
      <c r="AU705" s="1371">
        <f t="shared" si="1003"/>
        <v>0</v>
      </c>
      <c r="AV705" s="1359">
        <f t="shared" si="1004"/>
        <v>2.0000000000000004E-2</v>
      </c>
      <c r="AW705" s="1372">
        <f t="shared" si="1005"/>
        <v>4.7112000000000007</v>
      </c>
      <c r="AX705" s="1373">
        <f t="shared" si="1006"/>
        <v>2.0000000000000004E-2</v>
      </c>
      <c r="AY705" s="1374">
        <f t="shared" si="1007"/>
        <v>4.7112000000000007</v>
      </c>
      <c r="AZ705" s="1375">
        <f t="shared" si="1008"/>
        <v>2.0000000000000004E-2</v>
      </c>
      <c r="BA705" s="1376">
        <f t="shared" si="1009"/>
        <v>4.7112000000000007</v>
      </c>
      <c r="BB705" s="1377"/>
      <c r="BC705" s="1848"/>
      <c r="BD705" s="1820"/>
      <c r="BE705" s="1823"/>
      <c r="BF705" s="1826"/>
      <c r="BG705" s="1829"/>
    </row>
    <row r="706" spans="1:59" s="1378" customFormat="1" ht="38.25">
      <c r="A706" s="1347" t="str">
        <f t="shared" si="993"/>
        <v>Qool Therapeutics, Inc.</v>
      </c>
      <c r="B706" s="1348" t="str">
        <f t="shared" si="994"/>
        <v>ABD</v>
      </c>
      <c r="C706" s="1348">
        <f t="shared" si="995"/>
        <v>3</v>
      </c>
      <c r="D706" s="1349">
        <v>43101</v>
      </c>
      <c r="E706" s="1349"/>
      <c r="F706" s="1347" t="s">
        <v>113</v>
      </c>
      <c r="G706" s="1347" t="s">
        <v>85</v>
      </c>
      <c r="H706" s="1347" t="s">
        <v>85</v>
      </c>
      <c r="I706" s="1347" t="s">
        <v>113</v>
      </c>
      <c r="J706" s="1349"/>
      <c r="K706" s="1349" t="s">
        <v>254</v>
      </c>
      <c r="L706" s="1350" t="s">
        <v>4682</v>
      </c>
      <c r="M706" s="1350" t="s">
        <v>4683</v>
      </c>
      <c r="N706" s="1386" t="s">
        <v>1249</v>
      </c>
      <c r="O706" s="1352" t="s">
        <v>4684</v>
      </c>
      <c r="P706" s="1421"/>
      <c r="Q706" s="1354"/>
      <c r="R706" s="1354"/>
      <c r="S706" s="1354"/>
      <c r="T706" s="1354"/>
      <c r="U706" s="1354"/>
      <c r="V706" s="1354"/>
      <c r="W706" s="1354"/>
      <c r="X706" s="1353">
        <v>43101</v>
      </c>
      <c r="Y706" s="1353">
        <v>43466</v>
      </c>
      <c r="Z706" s="1355"/>
      <c r="AA706" s="1355" t="s">
        <v>4685</v>
      </c>
      <c r="AB706" s="1356"/>
      <c r="AC706" s="1356"/>
      <c r="AD706" s="1356"/>
      <c r="AE706" s="1356"/>
      <c r="AF706" s="1357"/>
      <c r="AG706" s="1358">
        <f t="shared" si="949"/>
        <v>86.07</v>
      </c>
      <c r="AH706" s="1358">
        <v>1032.8399999999999</v>
      </c>
      <c r="AI706" s="1359">
        <v>0.15</v>
      </c>
      <c r="AJ706" s="1360">
        <f t="shared" si="997"/>
        <v>12.910499999999999</v>
      </c>
      <c r="AK706" s="1361">
        <f t="shared" si="1010"/>
        <v>154.92599999999999</v>
      </c>
      <c r="AL706" s="1384">
        <v>0</v>
      </c>
      <c r="AM706" s="1363">
        <f t="shared" si="999"/>
        <v>0</v>
      </c>
      <c r="AN706" s="1364">
        <v>0.1</v>
      </c>
      <c r="AO706" s="1365">
        <f t="shared" si="1000"/>
        <v>103.28399999999999</v>
      </c>
      <c r="AP706" s="1366">
        <v>0</v>
      </c>
      <c r="AQ706" s="1367">
        <f t="shared" si="1001"/>
        <v>0</v>
      </c>
      <c r="AR706" s="1368">
        <v>0</v>
      </c>
      <c r="AS706" s="1369">
        <f t="shared" si="1002"/>
        <v>0</v>
      </c>
      <c r="AT706" s="1370">
        <v>0</v>
      </c>
      <c r="AU706" s="1371">
        <f t="shared" si="1003"/>
        <v>0</v>
      </c>
      <c r="AV706" s="1359">
        <f t="shared" si="1004"/>
        <v>4.9999999999999989E-2</v>
      </c>
      <c r="AW706" s="1372">
        <f t="shared" si="1005"/>
        <v>51.641999999999982</v>
      </c>
      <c r="AX706" s="1373">
        <f t="shared" si="1006"/>
        <v>4.9999999999999989E-2</v>
      </c>
      <c r="AY706" s="1374">
        <f t="shared" si="1007"/>
        <v>51.641999999999982</v>
      </c>
      <c r="AZ706" s="1375">
        <f t="shared" si="1008"/>
        <v>4.9999999999999989E-2</v>
      </c>
      <c r="BA706" s="1376">
        <f t="shared" si="1009"/>
        <v>51.641999999999982</v>
      </c>
      <c r="BB706" s="1377"/>
      <c r="BC706" s="1848"/>
      <c r="BD706" s="1820"/>
      <c r="BE706" s="1823"/>
      <c r="BF706" s="1826"/>
      <c r="BG706" s="1829"/>
    </row>
    <row r="707" spans="1:59" s="1378" customFormat="1" ht="38.25">
      <c r="A707" s="1347" t="str">
        <f t="shared" si="993"/>
        <v>Qool Therapeutics, Inc.</v>
      </c>
      <c r="B707" s="1348" t="str">
        <f t="shared" si="994"/>
        <v>ABD</v>
      </c>
      <c r="C707" s="1348">
        <f t="shared" si="995"/>
        <v>3</v>
      </c>
      <c r="D707" s="1349">
        <v>43101</v>
      </c>
      <c r="E707" s="1349"/>
      <c r="F707" s="1347" t="s">
        <v>113</v>
      </c>
      <c r="G707" s="1347" t="s">
        <v>85</v>
      </c>
      <c r="H707" s="1347" t="s">
        <v>85</v>
      </c>
      <c r="I707" s="1347" t="s">
        <v>113</v>
      </c>
      <c r="J707" s="1349"/>
      <c r="K707" s="1349" t="s">
        <v>254</v>
      </c>
      <c r="L707" s="1350" t="s">
        <v>4682</v>
      </c>
      <c r="M707" s="1350" t="s">
        <v>67</v>
      </c>
      <c r="N707" s="1351" t="s">
        <v>82</v>
      </c>
      <c r="O707" s="1352" t="s">
        <v>4689</v>
      </c>
      <c r="P707" s="1388"/>
      <c r="Q707" s="1354"/>
      <c r="R707" s="1354"/>
      <c r="S707" s="1354"/>
      <c r="T707" s="1354"/>
      <c r="U707" s="1354"/>
      <c r="V707" s="1354"/>
      <c r="W707" s="1354"/>
      <c r="X707" s="1353">
        <v>43101</v>
      </c>
      <c r="Y707" s="1353">
        <v>43466</v>
      </c>
      <c r="Z707" s="1355"/>
      <c r="AA707" s="1355" t="s">
        <v>4685</v>
      </c>
      <c r="AB707" s="1356"/>
      <c r="AC707" s="1356"/>
      <c r="AD707" s="1356"/>
      <c r="AE707" s="1356"/>
      <c r="AF707" s="1357"/>
      <c r="AG707" s="1358">
        <f t="shared" si="949"/>
        <v>118.75</v>
      </c>
      <c r="AH707" s="1358">
        <v>1425</v>
      </c>
      <c r="AI707" s="1359">
        <v>0.15</v>
      </c>
      <c r="AJ707" s="1360">
        <f t="shared" si="997"/>
        <v>17.8125</v>
      </c>
      <c r="AK707" s="1361">
        <f t="shared" si="1010"/>
        <v>213.75</v>
      </c>
      <c r="AL707" s="1384">
        <v>0</v>
      </c>
      <c r="AM707" s="1363">
        <f t="shared" si="999"/>
        <v>0</v>
      </c>
      <c r="AN707" s="1364">
        <v>0.1</v>
      </c>
      <c r="AO707" s="1365">
        <f t="shared" si="1000"/>
        <v>142.5</v>
      </c>
      <c r="AP707" s="1366">
        <v>0</v>
      </c>
      <c r="AQ707" s="1367">
        <f t="shared" si="1001"/>
        <v>0</v>
      </c>
      <c r="AR707" s="1368">
        <v>0</v>
      </c>
      <c r="AS707" s="1369">
        <f t="shared" si="1002"/>
        <v>0</v>
      </c>
      <c r="AT707" s="1370">
        <v>0</v>
      </c>
      <c r="AU707" s="1371">
        <f t="shared" si="1003"/>
        <v>0</v>
      </c>
      <c r="AV707" s="1359">
        <f t="shared" si="1004"/>
        <v>4.9999999999999989E-2</v>
      </c>
      <c r="AW707" s="1372">
        <f t="shared" si="1005"/>
        <v>71.249999999999986</v>
      </c>
      <c r="AX707" s="1373">
        <f t="shared" si="1006"/>
        <v>4.9999999999999989E-2</v>
      </c>
      <c r="AY707" s="1374">
        <f t="shared" si="1007"/>
        <v>71.249999999999986</v>
      </c>
      <c r="AZ707" s="1375">
        <f t="shared" si="1008"/>
        <v>4.9999999999999989E-2</v>
      </c>
      <c r="BA707" s="1376">
        <f t="shared" si="1009"/>
        <v>71.249999999999986</v>
      </c>
      <c r="BB707" s="1377"/>
      <c r="BC707" s="1848"/>
      <c r="BD707" s="1820"/>
      <c r="BE707" s="1823"/>
      <c r="BF707" s="1826"/>
      <c r="BG707" s="1829"/>
    </row>
    <row r="708" spans="1:59" s="1378" customFormat="1" ht="27.75" customHeight="1">
      <c r="A708" s="1347" t="str">
        <f t="shared" si="993"/>
        <v>Qool Therapeutics, Inc.</v>
      </c>
      <c r="B708" s="1348" t="str">
        <f t="shared" si="994"/>
        <v>ABD</v>
      </c>
      <c r="C708" s="1348">
        <f t="shared" si="995"/>
        <v>3</v>
      </c>
      <c r="D708" s="1349">
        <v>43101</v>
      </c>
      <c r="E708" s="1349"/>
      <c r="F708" s="1347" t="s">
        <v>72</v>
      </c>
      <c r="G708" s="1347" t="s">
        <v>85</v>
      </c>
      <c r="H708" s="1347" t="s">
        <v>72</v>
      </c>
      <c r="I708" s="1347" t="s">
        <v>72</v>
      </c>
      <c r="J708" s="1349" t="s">
        <v>4670</v>
      </c>
      <c r="K708" s="1349" t="s">
        <v>254</v>
      </c>
      <c r="L708" s="1350" t="s">
        <v>4696</v>
      </c>
      <c r="M708" s="1350" t="s">
        <v>4697</v>
      </c>
      <c r="N708" s="1389" t="s">
        <v>4698</v>
      </c>
      <c r="O708" s="1352" t="s">
        <v>4699</v>
      </c>
      <c r="P708" s="1388"/>
      <c r="Q708" s="1354"/>
      <c r="R708" s="1354"/>
      <c r="S708" s="1354"/>
      <c r="T708" s="1354"/>
      <c r="U708" s="1354"/>
      <c r="V708" s="1354"/>
      <c r="W708" s="1354"/>
      <c r="X708" s="1353">
        <v>43101</v>
      </c>
      <c r="Y708" s="1353">
        <v>43466</v>
      </c>
      <c r="Z708" s="1355"/>
      <c r="AA708" s="1355" t="s">
        <v>4674</v>
      </c>
      <c r="AB708" s="1356"/>
      <c r="AC708" s="1356"/>
      <c r="AD708" s="1356"/>
      <c r="AE708" s="1356"/>
      <c r="AF708" s="1357" t="str">
        <f t="shared" si="951"/>
        <v/>
      </c>
      <c r="AG708" s="1380"/>
      <c r="AH708" s="1380"/>
      <c r="AI708" s="1381">
        <v>0</v>
      </c>
      <c r="AJ708" s="1382">
        <f t="shared" si="997"/>
        <v>0</v>
      </c>
      <c r="AK708" s="1383">
        <f t="shared" si="1010"/>
        <v>0</v>
      </c>
      <c r="AL708" s="1384">
        <v>0</v>
      </c>
      <c r="AM708" s="1363">
        <f t="shared" si="999"/>
        <v>0</v>
      </c>
      <c r="AN708" s="1364">
        <v>0</v>
      </c>
      <c r="AO708" s="1365">
        <f t="shared" si="1000"/>
        <v>0</v>
      </c>
      <c r="AP708" s="1366">
        <v>0</v>
      </c>
      <c r="AQ708" s="1367">
        <f t="shared" si="1001"/>
        <v>0</v>
      </c>
      <c r="AR708" s="1368">
        <v>0</v>
      </c>
      <c r="AS708" s="1369">
        <f t="shared" si="1002"/>
        <v>0</v>
      </c>
      <c r="AT708" s="1370">
        <v>0</v>
      </c>
      <c r="AU708" s="1371">
        <f t="shared" si="1003"/>
        <v>0</v>
      </c>
      <c r="AV708" s="1359">
        <f t="shared" si="1004"/>
        <v>0</v>
      </c>
      <c r="AW708" s="1372">
        <f t="shared" si="1005"/>
        <v>0</v>
      </c>
      <c r="AX708" s="1373">
        <f t="shared" si="1006"/>
        <v>0</v>
      </c>
      <c r="AY708" s="1374">
        <f t="shared" si="1007"/>
        <v>0</v>
      </c>
      <c r="AZ708" s="1375">
        <f t="shared" si="1008"/>
        <v>0</v>
      </c>
      <c r="BA708" s="1376">
        <f t="shared" si="1009"/>
        <v>0</v>
      </c>
      <c r="BB708" s="1377"/>
      <c r="BC708" s="1848"/>
      <c r="BD708" s="1820"/>
      <c r="BE708" s="1823"/>
      <c r="BF708" s="1826"/>
      <c r="BG708" s="1829"/>
    </row>
    <row r="709" spans="1:59" s="1378" customFormat="1" ht="38.25">
      <c r="A709" s="1347" t="str">
        <f t="shared" si="993"/>
        <v>Qool Therapeutics, Inc.</v>
      </c>
      <c r="B709" s="1348" t="str">
        <f t="shared" si="994"/>
        <v>ABD</v>
      </c>
      <c r="C709" s="1348">
        <f t="shared" si="995"/>
        <v>3</v>
      </c>
      <c r="D709" s="1349">
        <v>43101</v>
      </c>
      <c r="E709" s="1349"/>
      <c r="F709" s="1347" t="s">
        <v>72</v>
      </c>
      <c r="G709" s="1347" t="s">
        <v>85</v>
      </c>
      <c r="H709" s="1347" t="s">
        <v>72</v>
      </c>
      <c r="I709" s="1347" t="s">
        <v>72</v>
      </c>
      <c r="J709" s="1349" t="s">
        <v>4670</v>
      </c>
      <c r="K709" s="1349" t="s">
        <v>254</v>
      </c>
      <c r="L709" s="1350" t="s">
        <v>48</v>
      </c>
      <c r="M709" s="1350" t="s">
        <v>253</v>
      </c>
      <c r="N709" s="1390" t="s">
        <v>4703</v>
      </c>
      <c r="O709" s="1352" t="s">
        <v>4704</v>
      </c>
      <c r="P709" s="1388"/>
      <c r="Q709" s="1354"/>
      <c r="R709" s="1354"/>
      <c r="S709" s="1354"/>
      <c r="T709" s="1354"/>
      <c r="U709" s="1354"/>
      <c r="V709" s="1354"/>
      <c r="W709" s="1354"/>
      <c r="X709" s="1353">
        <v>43101</v>
      </c>
      <c r="Y709" s="1353">
        <v>43466</v>
      </c>
      <c r="Z709" s="1355"/>
      <c r="AA709" s="1355" t="s">
        <v>4674</v>
      </c>
      <c r="AB709" s="1356"/>
      <c r="AC709" s="1356"/>
      <c r="AD709" s="1356"/>
      <c r="AE709" s="1356"/>
      <c r="AF709" s="1357" t="str">
        <f t="shared" si="951"/>
        <v/>
      </c>
      <c r="AG709" s="1380"/>
      <c r="AH709" s="1380"/>
      <c r="AI709" s="1381">
        <v>0</v>
      </c>
      <c r="AJ709" s="1382">
        <f t="shared" si="997"/>
        <v>0</v>
      </c>
      <c r="AK709" s="1383">
        <f t="shared" si="1010"/>
        <v>0</v>
      </c>
      <c r="AL709" s="1384">
        <v>0</v>
      </c>
      <c r="AM709" s="1363">
        <f t="shared" si="999"/>
        <v>0</v>
      </c>
      <c r="AN709" s="1364">
        <v>0</v>
      </c>
      <c r="AO709" s="1365">
        <f t="shared" si="1000"/>
        <v>0</v>
      </c>
      <c r="AP709" s="1366">
        <v>0</v>
      </c>
      <c r="AQ709" s="1367">
        <f t="shared" si="1001"/>
        <v>0</v>
      </c>
      <c r="AR709" s="1368">
        <v>0</v>
      </c>
      <c r="AS709" s="1369">
        <f t="shared" si="1002"/>
        <v>0</v>
      </c>
      <c r="AT709" s="1370">
        <v>0</v>
      </c>
      <c r="AU709" s="1371">
        <f t="shared" si="1003"/>
        <v>0</v>
      </c>
      <c r="AV709" s="1359">
        <f t="shared" si="1004"/>
        <v>0</v>
      </c>
      <c r="AW709" s="1372">
        <f t="shared" si="1005"/>
        <v>0</v>
      </c>
      <c r="AX709" s="1373">
        <f t="shared" si="1006"/>
        <v>0</v>
      </c>
      <c r="AY709" s="1374">
        <f t="shared" si="1007"/>
        <v>0</v>
      </c>
      <c r="AZ709" s="1375">
        <f t="shared" si="1008"/>
        <v>0</v>
      </c>
      <c r="BA709" s="1376">
        <f t="shared" si="1009"/>
        <v>0</v>
      </c>
      <c r="BB709" s="1377"/>
      <c r="BC709" s="1848"/>
      <c r="BD709" s="1820"/>
      <c r="BE709" s="1823"/>
      <c r="BF709" s="1826"/>
      <c r="BG709" s="1829"/>
    </row>
    <row r="710" spans="1:59" s="1378" customFormat="1" ht="38.25">
      <c r="A710" s="1347" t="str">
        <f t="shared" si="993"/>
        <v>Qool Therapeutics, Inc.</v>
      </c>
      <c r="B710" s="1348" t="str">
        <f t="shared" si="994"/>
        <v>ABD</v>
      </c>
      <c r="C710" s="1348">
        <f t="shared" si="995"/>
        <v>3</v>
      </c>
      <c r="D710" s="1349">
        <v>43101</v>
      </c>
      <c r="E710" s="1349"/>
      <c r="F710" s="1347" t="s">
        <v>72</v>
      </c>
      <c r="G710" s="1347" t="s">
        <v>85</v>
      </c>
      <c r="H710" s="1347" t="s">
        <v>72</v>
      </c>
      <c r="I710" s="1347" t="s">
        <v>72</v>
      </c>
      <c r="J710" s="1349" t="s">
        <v>4670</v>
      </c>
      <c r="K710" s="1349" t="s">
        <v>254</v>
      </c>
      <c r="L710" s="1350" t="s">
        <v>49</v>
      </c>
      <c r="M710" s="1350" t="s">
        <v>4705</v>
      </c>
      <c r="N710" s="1390" t="s">
        <v>4706</v>
      </c>
      <c r="O710" s="1352" t="s">
        <v>4707</v>
      </c>
      <c r="P710" s="1388"/>
      <c r="Q710" s="1354"/>
      <c r="R710" s="1354"/>
      <c r="S710" s="1354"/>
      <c r="T710" s="1354"/>
      <c r="U710" s="1354"/>
      <c r="V710" s="1354"/>
      <c r="W710" s="1354"/>
      <c r="X710" s="1353">
        <v>43101</v>
      </c>
      <c r="Y710" s="1353">
        <v>43466</v>
      </c>
      <c r="Z710" s="1355"/>
      <c r="AA710" s="1355" t="s">
        <v>4674</v>
      </c>
      <c r="AB710" s="1356"/>
      <c r="AC710" s="1356"/>
      <c r="AD710" s="1356"/>
      <c r="AE710" s="1356"/>
      <c r="AF710" s="1357" t="str">
        <f t="shared" si="951"/>
        <v/>
      </c>
      <c r="AG710" s="1380"/>
      <c r="AH710" s="1380"/>
      <c r="AI710" s="1381">
        <v>0</v>
      </c>
      <c r="AJ710" s="1382">
        <f t="shared" si="997"/>
        <v>0</v>
      </c>
      <c r="AK710" s="1383">
        <f t="shared" si="1010"/>
        <v>0</v>
      </c>
      <c r="AL710" s="1384">
        <v>0</v>
      </c>
      <c r="AM710" s="1363">
        <f t="shared" si="999"/>
        <v>0</v>
      </c>
      <c r="AN710" s="1364">
        <v>0</v>
      </c>
      <c r="AO710" s="1365">
        <f t="shared" si="1000"/>
        <v>0</v>
      </c>
      <c r="AP710" s="1366">
        <v>0</v>
      </c>
      <c r="AQ710" s="1367">
        <f t="shared" si="1001"/>
        <v>0</v>
      </c>
      <c r="AR710" s="1368">
        <v>0</v>
      </c>
      <c r="AS710" s="1369">
        <f t="shared" si="1002"/>
        <v>0</v>
      </c>
      <c r="AT710" s="1370">
        <v>0</v>
      </c>
      <c r="AU710" s="1371">
        <f t="shared" si="1003"/>
        <v>0</v>
      </c>
      <c r="AV710" s="1359">
        <f t="shared" si="1004"/>
        <v>0</v>
      </c>
      <c r="AW710" s="1372">
        <f t="shared" si="1005"/>
        <v>0</v>
      </c>
      <c r="AX710" s="1373">
        <f t="shared" si="1006"/>
        <v>0</v>
      </c>
      <c r="AY710" s="1374">
        <f t="shared" si="1007"/>
        <v>0</v>
      </c>
      <c r="AZ710" s="1375">
        <f t="shared" si="1008"/>
        <v>0</v>
      </c>
      <c r="BA710" s="1376">
        <f t="shared" si="1009"/>
        <v>0</v>
      </c>
      <c r="BB710" s="1391"/>
      <c r="BC710" s="1848"/>
      <c r="BD710" s="1820"/>
      <c r="BE710" s="1823"/>
      <c r="BF710" s="1826"/>
      <c r="BG710" s="1829"/>
    </row>
    <row r="711" spans="1:59" s="1378" customFormat="1" ht="38.25">
      <c r="A711" s="1347" t="str">
        <f>L701</f>
        <v>Qool Therapeutics, Inc.</v>
      </c>
      <c r="B711" s="1348" t="str">
        <f>N701</f>
        <v>ABD</v>
      </c>
      <c r="C711" s="1348">
        <f>Z701</f>
        <v>3</v>
      </c>
      <c r="D711" s="1349">
        <v>43101</v>
      </c>
      <c r="E711" s="1349"/>
      <c r="F711" s="1347" t="s">
        <v>72</v>
      </c>
      <c r="G711" s="1347" t="s">
        <v>85</v>
      </c>
      <c r="H711" s="1347" t="s">
        <v>72</v>
      </c>
      <c r="I711" s="1347" t="s">
        <v>72</v>
      </c>
      <c r="J711" s="1349" t="s">
        <v>4670</v>
      </c>
      <c r="K711" s="1349" t="s">
        <v>254</v>
      </c>
      <c r="L711" s="1350" t="s">
        <v>3056</v>
      </c>
      <c r="M711" s="1350" t="s">
        <v>4708</v>
      </c>
      <c r="N711" s="1390" t="s">
        <v>4709</v>
      </c>
      <c r="O711" s="1352" t="s">
        <v>4710</v>
      </c>
      <c r="P711" s="1388"/>
      <c r="Q711" s="1354"/>
      <c r="R711" s="1354"/>
      <c r="S711" s="1354"/>
      <c r="T711" s="1354"/>
      <c r="U711" s="1354"/>
      <c r="V711" s="1354"/>
      <c r="W711" s="1354"/>
      <c r="X711" s="1353">
        <v>43101</v>
      </c>
      <c r="Y711" s="1353">
        <v>43466</v>
      </c>
      <c r="Z711" s="1355"/>
      <c r="AA711" s="1355" t="s">
        <v>4674</v>
      </c>
      <c r="AB711" s="1356"/>
      <c r="AC711" s="1356"/>
      <c r="AD711" s="1356"/>
      <c r="AE711" s="1356"/>
      <c r="AF711" s="1357" t="str">
        <f t="shared" si="951"/>
        <v/>
      </c>
      <c r="AG711" s="1380"/>
      <c r="AH711" s="1380"/>
      <c r="AI711" s="1381">
        <v>0</v>
      </c>
      <c r="AJ711" s="1382">
        <f t="shared" si="997"/>
        <v>0</v>
      </c>
      <c r="AK711" s="1383">
        <f t="shared" si="1010"/>
        <v>0</v>
      </c>
      <c r="AL711" s="1384">
        <v>0</v>
      </c>
      <c r="AM711" s="1363">
        <f t="shared" si="999"/>
        <v>0</v>
      </c>
      <c r="AN711" s="1364">
        <v>0</v>
      </c>
      <c r="AO711" s="1365">
        <f t="shared" si="1000"/>
        <v>0</v>
      </c>
      <c r="AP711" s="1366">
        <v>0</v>
      </c>
      <c r="AQ711" s="1367">
        <f t="shared" si="1001"/>
        <v>0</v>
      </c>
      <c r="AR711" s="1368">
        <v>0</v>
      </c>
      <c r="AS711" s="1369">
        <f t="shared" si="1002"/>
        <v>0</v>
      </c>
      <c r="AT711" s="1370">
        <v>0</v>
      </c>
      <c r="AU711" s="1371">
        <f t="shared" si="1003"/>
        <v>0</v>
      </c>
      <c r="AV711" s="1359">
        <f t="shared" si="1004"/>
        <v>0</v>
      </c>
      <c r="AW711" s="1372">
        <f t="shared" si="1005"/>
        <v>0</v>
      </c>
      <c r="AX711" s="1373">
        <f t="shared" si="1006"/>
        <v>0</v>
      </c>
      <c r="AY711" s="1374">
        <f t="shared" si="1007"/>
        <v>0</v>
      </c>
      <c r="AZ711" s="1375">
        <f t="shared" si="1008"/>
        <v>0</v>
      </c>
      <c r="BA711" s="1376">
        <f t="shared" si="1009"/>
        <v>0</v>
      </c>
      <c r="BB711" s="1391"/>
      <c r="BC711" s="1849"/>
      <c r="BD711" s="1821"/>
      <c r="BE711" s="1824"/>
      <c r="BF711" s="1827"/>
      <c r="BG711" s="1830"/>
    </row>
    <row r="712" spans="1:59" s="1315" customFormat="1" ht="57" customHeight="1">
      <c r="A712" s="1277" t="str">
        <f>L712</f>
        <v>Retrophin, Inc.</v>
      </c>
      <c r="B712" s="1316" t="str">
        <f>N712</f>
        <v>HUB SD</v>
      </c>
      <c r="C712" s="1316">
        <f>Z712</f>
        <v>180</v>
      </c>
      <c r="D712" s="1317">
        <v>43101</v>
      </c>
      <c r="E712" s="1317"/>
      <c r="F712" s="1277" t="s">
        <v>72</v>
      </c>
      <c r="G712" s="1277" t="s">
        <v>72</v>
      </c>
      <c r="H712" s="1277" t="s">
        <v>72</v>
      </c>
      <c r="I712" s="1277" t="s">
        <v>4711</v>
      </c>
      <c r="J712" s="1317"/>
      <c r="K712" s="1317"/>
      <c r="L712" s="1318" t="s">
        <v>426</v>
      </c>
      <c r="M712" s="1318"/>
      <c r="N712" s="1320" t="s">
        <v>4661</v>
      </c>
      <c r="O712" s="1321" t="s">
        <v>4910</v>
      </c>
      <c r="P712" s="1321"/>
      <c r="Q712" s="1322"/>
      <c r="R712" s="1322"/>
      <c r="S712" s="1322"/>
      <c r="T712" s="1322"/>
      <c r="U712" s="1322"/>
      <c r="V712" s="1322"/>
      <c r="W712" s="1322"/>
      <c r="X712" s="1317">
        <v>43101</v>
      </c>
      <c r="Y712" s="1317">
        <v>43466</v>
      </c>
      <c r="Z712" s="1316">
        <v>180</v>
      </c>
      <c r="AA712" s="1316" t="s">
        <v>5039</v>
      </c>
      <c r="AB712" s="1323">
        <f>SUM(AB713:AB719)</f>
        <v>2339222.7599999998</v>
      </c>
      <c r="AC712" s="1323">
        <f>SUM(AC713:AC719)</f>
        <v>0</v>
      </c>
      <c r="AD712" s="1323">
        <f>SUM(AD713:AD719)</f>
        <v>2711256.12</v>
      </c>
      <c r="AE712" s="1324">
        <f t="shared" si="996"/>
        <v>372033.36000000034</v>
      </c>
      <c r="AF712" s="1325">
        <f t="shared" si="951"/>
        <v>0.15904144161114453</v>
      </c>
      <c r="AG712" s="1326">
        <f t="shared" si="949"/>
        <v>225938.01</v>
      </c>
      <c r="AH712" s="1326">
        <f>SUM(AH713:AH719)</f>
        <v>2711256.12</v>
      </c>
      <c r="AI712" s="1339"/>
      <c r="AJ712" s="1328">
        <f>SUM(AJ713:AJ719)</f>
        <v>18075.040800000002</v>
      </c>
      <c r="AK712" s="1328">
        <f>SUM(AK713:AK719)</f>
        <v>216900.4896</v>
      </c>
      <c r="AL712" s="1329"/>
      <c r="AM712" s="1330">
        <f>SUM(AM713:AM719)</f>
        <v>13556.2806</v>
      </c>
      <c r="AN712" s="1331"/>
      <c r="AO712" s="1332">
        <f>SUM(AO713:AO719)</f>
        <v>0</v>
      </c>
      <c r="AP712" s="1333"/>
      <c r="AQ712" s="1334">
        <f>SUM(AQ713:AQ719)</f>
        <v>0</v>
      </c>
      <c r="AR712" s="1335"/>
      <c r="AS712" s="1336">
        <f>SUM(AS713:AS719)</f>
        <v>108450.2448</v>
      </c>
      <c r="AT712" s="1337"/>
      <c r="AU712" s="1338">
        <f>SUM(AU713:AU719)</f>
        <v>67781.403000000006</v>
      </c>
      <c r="AV712" s="1339"/>
      <c r="AW712" s="1340">
        <f>SUM(AW713:AW719)</f>
        <v>27112.561199999989</v>
      </c>
      <c r="AX712" s="1306"/>
      <c r="AY712" s="1307">
        <f>SUM(AW712+AS712+AU712)</f>
        <v>203344.20899999997</v>
      </c>
      <c r="AZ712" s="1341"/>
      <c r="BA712" s="1309">
        <f>SUM(AY712+AQ712)</f>
        <v>203344.20899999997</v>
      </c>
      <c r="BB712" s="1342">
        <f>(AW712+AU712)/(AK712-AM712)</f>
        <v>0.46666666666666662</v>
      </c>
      <c r="BC712" s="1343"/>
      <c r="BD712" s="1343"/>
      <c r="BE712" s="1344"/>
      <c r="BF712" s="1345" t="s">
        <v>5214</v>
      </c>
      <c r="BG712" s="1346"/>
    </row>
    <row r="713" spans="1:59" s="1378" customFormat="1" ht="76.5">
      <c r="A713" s="1347" t="str">
        <f>L712</f>
        <v>Retrophin, Inc.</v>
      </c>
      <c r="B713" s="1348" t="str">
        <f>N712</f>
        <v>HUB SD</v>
      </c>
      <c r="C713" s="1348">
        <f>Z712</f>
        <v>180</v>
      </c>
      <c r="D713" s="1349">
        <v>43101</v>
      </c>
      <c r="E713" s="1349"/>
      <c r="F713" s="1347" t="s">
        <v>85</v>
      </c>
      <c r="G713" s="1347" t="s">
        <v>85</v>
      </c>
      <c r="H713" s="1347" t="s">
        <v>85</v>
      </c>
      <c r="I713" s="1347" t="s">
        <v>85</v>
      </c>
      <c r="J713" s="1349"/>
      <c r="K713" s="1349" t="s">
        <v>254</v>
      </c>
      <c r="L713" s="1350" t="s">
        <v>2661</v>
      </c>
      <c r="M713" s="1350" t="s">
        <v>3647</v>
      </c>
      <c r="N713" s="1351" t="s">
        <v>5215</v>
      </c>
      <c r="O713" s="1352" t="s">
        <v>5216</v>
      </c>
      <c r="P713" s="1352" t="s">
        <v>5217</v>
      </c>
      <c r="Q713" s="1353" t="s">
        <v>317</v>
      </c>
      <c r="R713" s="1353" t="s">
        <v>3656</v>
      </c>
      <c r="S713" s="1353" t="s">
        <v>315</v>
      </c>
      <c r="T713" s="1353" t="s">
        <v>113</v>
      </c>
      <c r="U713" s="1354"/>
      <c r="V713" s="1354"/>
      <c r="W713" s="1354"/>
      <c r="X713" s="1353">
        <v>43101</v>
      </c>
      <c r="Y713" s="1353">
        <v>43466</v>
      </c>
      <c r="Z713" s="1355"/>
      <c r="AA713" s="1355" t="s">
        <v>4667</v>
      </c>
      <c r="AB713" s="1422">
        <v>2339222.7599999998</v>
      </c>
      <c r="AC713" s="1356"/>
      <c r="AD713" s="1422">
        <f t="shared" ref="AD713" si="1011">AH713</f>
        <v>2711256.12</v>
      </c>
      <c r="AE713" s="1422">
        <f t="shared" si="996"/>
        <v>372033.36000000034</v>
      </c>
      <c r="AF713" s="1423">
        <f t="shared" si="951"/>
        <v>0.15904144161114453</v>
      </c>
      <c r="AG713" s="1358">
        <f t="shared" si="949"/>
        <v>225938.01</v>
      </c>
      <c r="AH713" s="1358">
        <v>2711256.12</v>
      </c>
      <c r="AI713" s="1359">
        <v>0.08</v>
      </c>
      <c r="AJ713" s="1360">
        <f t="shared" ref="AJ713:AJ719" si="1012">$AI713*$AG713</f>
        <v>18075.040800000002</v>
      </c>
      <c r="AK713" s="1361">
        <f t="shared" ref="AK713:AK719" si="1013">AI713*$AH713</f>
        <v>216900.4896</v>
      </c>
      <c r="AL713" s="1362">
        <v>5.0000000000000001E-3</v>
      </c>
      <c r="AM713" s="1363">
        <f t="shared" ref="AM713:AM719" si="1014">AL713*$AH713</f>
        <v>13556.2806</v>
      </c>
      <c r="AN713" s="1364">
        <v>0</v>
      </c>
      <c r="AO713" s="1365">
        <f t="shared" ref="AO713:AO719" si="1015">AN713*$AH713</f>
        <v>0</v>
      </c>
      <c r="AP713" s="1366">
        <v>0</v>
      </c>
      <c r="AQ713" s="1367">
        <f t="shared" ref="AQ713:AQ719" si="1016">AP713*$AH713</f>
        <v>0</v>
      </c>
      <c r="AR713" s="1368">
        <v>0.04</v>
      </c>
      <c r="AS713" s="1369">
        <f t="shared" ref="AS713:AS719" si="1017">AR713*$AH713</f>
        <v>108450.2448</v>
      </c>
      <c r="AT713" s="1370">
        <v>2.5000000000000001E-2</v>
      </c>
      <c r="AU713" s="1371">
        <f t="shared" ref="AU713:AU719" si="1018">AT713*$AH713</f>
        <v>67781.403000000006</v>
      </c>
      <c r="AV713" s="1359">
        <f t="shared" ref="AV713:AV719" si="1019">AZ713-AR713-AT713-AP713</f>
        <v>9.999999999999995E-3</v>
      </c>
      <c r="AW713" s="1372">
        <f t="shared" ref="AW713:AW719" si="1020">AV713*$AH713</f>
        <v>27112.561199999989</v>
      </c>
      <c r="AX713" s="1373">
        <f t="shared" ref="AX713:AX719" si="1021">$AZ713-$AP713</f>
        <v>7.4999999999999997E-2</v>
      </c>
      <c r="AY713" s="1374">
        <f t="shared" ref="AY713:AY719" si="1022">AX713*$AH713</f>
        <v>203344.209</v>
      </c>
      <c r="AZ713" s="1375">
        <f t="shared" ref="AZ713:AZ719" si="1023">$AI713-$AL713-$AN713</f>
        <v>7.4999999999999997E-2</v>
      </c>
      <c r="BA713" s="1376">
        <f t="shared" ref="BA713:BA719" si="1024">AZ713*$AH713</f>
        <v>203344.209</v>
      </c>
      <c r="BB713" s="1391"/>
      <c r="BC713" s="1820" t="s">
        <v>428</v>
      </c>
      <c r="BD713" s="1820" t="s">
        <v>429</v>
      </c>
      <c r="BE713" s="1823" t="s">
        <v>429</v>
      </c>
      <c r="BF713" s="1834" t="s">
        <v>3593</v>
      </c>
      <c r="BG713" s="1829">
        <v>274842691</v>
      </c>
    </row>
    <row r="714" spans="1:59" s="1378" customFormat="1" ht="27.75" customHeight="1">
      <c r="A714" s="1347" t="s">
        <v>426</v>
      </c>
      <c r="B714" s="1348" t="s">
        <v>4661</v>
      </c>
      <c r="C714" s="1348">
        <v>180</v>
      </c>
      <c r="D714" s="1349">
        <v>43101</v>
      </c>
      <c r="E714" s="1349"/>
      <c r="F714" s="1347" t="s">
        <v>72</v>
      </c>
      <c r="G714" s="1347" t="s">
        <v>85</v>
      </c>
      <c r="H714" s="1347" t="s">
        <v>72</v>
      </c>
      <c r="I714" s="1347" t="s">
        <v>72</v>
      </c>
      <c r="J714" s="1349" t="s">
        <v>4670</v>
      </c>
      <c r="K714" s="1349" t="s">
        <v>254</v>
      </c>
      <c r="L714" s="1350" t="s">
        <v>4696</v>
      </c>
      <c r="M714" s="1350" t="s">
        <v>4697</v>
      </c>
      <c r="N714" s="1389" t="s">
        <v>4698</v>
      </c>
      <c r="O714" s="1352" t="s">
        <v>4699</v>
      </c>
      <c r="P714" s="1352"/>
      <c r="Q714" s="1354"/>
      <c r="R714" s="1354"/>
      <c r="S714" s="1354"/>
      <c r="T714" s="1354"/>
      <c r="U714" s="1354"/>
      <c r="V714" s="1354"/>
      <c r="W714" s="1354"/>
      <c r="X714" s="1353">
        <v>43101</v>
      </c>
      <c r="Y714" s="1353">
        <v>43466</v>
      </c>
      <c r="Z714" s="1355"/>
      <c r="AA714" s="1355" t="s">
        <v>4674</v>
      </c>
      <c r="AB714" s="1356"/>
      <c r="AC714" s="1356"/>
      <c r="AD714" s="1356"/>
      <c r="AE714" s="1356"/>
      <c r="AF714" s="1357" t="str">
        <f t="shared" si="951"/>
        <v/>
      </c>
      <c r="AG714" s="1380"/>
      <c r="AH714" s="1380"/>
      <c r="AI714" s="1381">
        <v>0</v>
      </c>
      <c r="AJ714" s="1382">
        <f t="shared" si="1012"/>
        <v>0</v>
      </c>
      <c r="AK714" s="1383">
        <f t="shared" si="1013"/>
        <v>0</v>
      </c>
      <c r="AL714" s="1384">
        <v>0</v>
      </c>
      <c r="AM714" s="1363">
        <f t="shared" si="1014"/>
        <v>0</v>
      </c>
      <c r="AN714" s="1364">
        <v>0</v>
      </c>
      <c r="AO714" s="1365">
        <f t="shared" si="1015"/>
        <v>0</v>
      </c>
      <c r="AP714" s="1366">
        <v>0</v>
      </c>
      <c r="AQ714" s="1367">
        <f t="shared" si="1016"/>
        <v>0</v>
      </c>
      <c r="AR714" s="1368">
        <v>0</v>
      </c>
      <c r="AS714" s="1369">
        <f t="shared" si="1017"/>
        <v>0</v>
      </c>
      <c r="AT714" s="1370">
        <v>0</v>
      </c>
      <c r="AU714" s="1371">
        <f t="shared" si="1018"/>
        <v>0</v>
      </c>
      <c r="AV714" s="1359">
        <f t="shared" si="1019"/>
        <v>0</v>
      </c>
      <c r="AW714" s="1372">
        <f t="shared" si="1020"/>
        <v>0</v>
      </c>
      <c r="AX714" s="1373">
        <f t="shared" si="1021"/>
        <v>0</v>
      </c>
      <c r="AY714" s="1374">
        <f t="shared" si="1022"/>
        <v>0</v>
      </c>
      <c r="AZ714" s="1375">
        <f t="shared" si="1023"/>
        <v>0</v>
      </c>
      <c r="BA714" s="1376">
        <f t="shared" si="1024"/>
        <v>0</v>
      </c>
      <c r="BB714" s="1377"/>
      <c r="BC714" s="1820"/>
      <c r="BD714" s="1820"/>
      <c r="BE714" s="1823"/>
      <c r="BF714" s="1834"/>
      <c r="BG714" s="1829"/>
    </row>
    <row r="715" spans="1:59" s="1378" customFormat="1" ht="25.5">
      <c r="A715" s="1347" t="str">
        <f>L712</f>
        <v>Retrophin, Inc.</v>
      </c>
      <c r="B715" s="1348" t="str">
        <f>N712</f>
        <v>HUB SD</v>
      </c>
      <c r="C715" s="1348">
        <f>Z712</f>
        <v>180</v>
      </c>
      <c r="D715" s="1349">
        <v>43101</v>
      </c>
      <c r="E715" s="1349"/>
      <c r="F715" s="1347" t="s">
        <v>72</v>
      </c>
      <c r="G715" s="1347" t="s">
        <v>4700</v>
      </c>
      <c r="H715" s="1347" t="s">
        <v>72</v>
      </c>
      <c r="I715" s="1347" t="s">
        <v>72</v>
      </c>
      <c r="J715" s="1349" t="s">
        <v>4670</v>
      </c>
      <c r="K715" s="1349" t="s">
        <v>254</v>
      </c>
      <c r="L715" s="1350" t="s">
        <v>48</v>
      </c>
      <c r="M715" s="1350" t="s">
        <v>3652</v>
      </c>
      <c r="N715" s="1390" t="s">
        <v>4701</v>
      </c>
      <c r="O715" s="1352" t="s">
        <v>4702</v>
      </c>
      <c r="P715" s="1388"/>
      <c r="Q715" s="1400"/>
      <c r="R715" s="1400"/>
      <c r="S715" s="1400"/>
      <c r="T715" s="1400"/>
      <c r="U715" s="1400"/>
      <c r="V715" s="1400"/>
      <c r="W715" s="1400"/>
      <c r="X715" s="1353">
        <v>43101</v>
      </c>
      <c r="Y715" s="1353">
        <v>43466</v>
      </c>
      <c r="Z715" s="1355"/>
      <c r="AA715" s="1355" t="s">
        <v>4674</v>
      </c>
      <c r="AB715" s="1356"/>
      <c r="AC715" s="1356"/>
      <c r="AD715" s="1356"/>
      <c r="AE715" s="1356"/>
      <c r="AF715" s="1357" t="str">
        <f t="shared" si="951"/>
        <v/>
      </c>
      <c r="AG715" s="1380"/>
      <c r="AH715" s="1380"/>
      <c r="AI715" s="1381">
        <v>0</v>
      </c>
      <c r="AJ715" s="1382">
        <f t="shared" si="1012"/>
        <v>0</v>
      </c>
      <c r="AK715" s="1383">
        <f t="shared" si="1013"/>
        <v>0</v>
      </c>
      <c r="AL715" s="1384">
        <v>0</v>
      </c>
      <c r="AM715" s="1363">
        <f t="shared" si="1014"/>
        <v>0</v>
      </c>
      <c r="AN715" s="1364">
        <v>0</v>
      </c>
      <c r="AO715" s="1365">
        <f t="shared" si="1015"/>
        <v>0</v>
      </c>
      <c r="AP715" s="1366">
        <v>0</v>
      </c>
      <c r="AQ715" s="1367">
        <f t="shared" si="1016"/>
        <v>0</v>
      </c>
      <c r="AR715" s="1368">
        <v>0</v>
      </c>
      <c r="AS715" s="1369">
        <f t="shared" si="1017"/>
        <v>0</v>
      </c>
      <c r="AT715" s="1370">
        <v>0</v>
      </c>
      <c r="AU715" s="1371">
        <f t="shared" si="1018"/>
        <v>0</v>
      </c>
      <c r="AV715" s="1359">
        <f t="shared" si="1019"/>
        <v>0</v>
      </c>
      <c r="AW715" s="1372">
        <f t="shared" si="1020"/>
        <v>0</v>
      </c>
      <c r="AX715" s="1373">
        <f t="shared" si="1021"/>
        <v>0</v>
      </c>
      <c r="AY715" s="1374">
        <f t="shared" si="1022"/>
        <v>0</v>
      </c>
      <c r="AZ715" s="1375">
        <f t="shared" si="1023"/>
        <v>0</v>
      </c>
      <c r="BA715" s="1376">
        <f t="shared" si="1024"/>
        <v>0</v>
      </c>
      <c r="BB715" s="1377"/>
      <c r="BC715" s="1820"/>
      <c r="BD715" s="1820"/>
      <c r="BE715" s="1823"/>
      <c r="BF715" s="1834"/>
      <c r="BG715" s="1829"/>
    </row>
    <row r="716" spans="1:59" s="1378" customFormat="1" ht="25.5">
      <c r="A716" s="1347" t="str">
        <f>L712</f>
        <v>Retrophin, Inc.</v>
      </c>
      <c r="B716" s="1348" t="str">
        <f>N712</f>
        <v>HUB SD</v>
      </c>
      <c r="C716" s="1348">
        <f>Z712</f>
        <v>180</v>
      </c>
      <c r="D716" s="1349">
        <v>43101</v>
      </c>
      <c r="E716" s="1349"/>
      <c r="F716" s="1347" t="s">
        <v>72</v>
      </c>
      <c r="G716" s="1347" t="s">
        <v>4700</v>
      </c>
      <c r="H716" s="1347" t="s">
        <v>72</v>
      </c>
      <c r="I716" s="1347" t="s">
        <v>72</v>
      </c>
      <c r="J716" s="1349" t="s">
        <v>4670</v>
      </c>
      <c r="K716" s="1349" t="s">
        <v>254</v>
      </c>
      <c r="L716" s="1350" t="s">
        <v>48</v>
      </c>
      <c r="M716" s="1350" t="s">
        <v>5033</v>
      </c>
      <c r="N716" s="1390" t="s">
        <v>5218</v>
      </c>
      <c r="O716" s="1352" t="s">
        <v>5035</v>
      </c>
      <c r="P716" s="1388"/>
      <c r="Q716" s="1400"/>
      <c r="R716" s="1400"/>
      <c r="S716" s="1400"/>
      <c r="T716" s="1400"/>
      <c r="U716" s="1400"/>
      <c r="V716" s="1400"/>
      <c r="W716" s="1400"/>
      <c r="X716" s="1353">
        <v>43101</v>
      </c>
      <c r="Y716" s="1353">
        <v>43466</v>
      </c>
      <c r="Z716" s="1355"/>
      <c r="AA716" s="1355" t="s">
        <v>4674</v>
      </c>
      <c r="AB716" s="1356"/>
      <c r="AC716" s="1356"/>
      <c r="AD716" s="1356"/>
      <c r="AE716" s="1356"/>
      <c r="AF716" s="1357" t="str">
        <f t="shared" si="951"/>
        <v/>
      </c>
      <c r="AG716" s="1380"/>
      <c r="AH716" s="1380"/>
      <c r="AI716" s="1381">
        <v>0</v>
      </c>
      <c r="AJ716" s="1382">
        <f t="shared" si="1012"/>
        <v>0</v>
      </c>
      <c r="AK716" s="1383">
        <f t="shared" si="1013"/>
        <v>0</v>
      </c>
      <c r="AL716" s="1384">
        <v>0</v>
      </c>
      <c r="AM716" s="1363">
        <f t="shared" si="1014"/>
        <v>0</v>
      </c>
      <c r="AN716" s="1364">
        <v>0</v>
      </c>
      <c r="AO716" s="1365">
        <f t="shared" si="1015"/>
        <v>0</v>
      </c>
      <c r="AP716" s="1366">
        <v>0</v>
      </c>
      <c r="AQ716" s="1367">
        <f t="shared" si="1016"/>
        <v>0</v>
      </c>
      <c r="AR716" s="1368">
        <v>0</v>
      </c>
      <c r="AS716" s="1369">
        <f t="shared" si="1017"/>
        <v>0</v>
      </c>
      <c r="AT716" s="1370">
        <v>0</v>
      </c>
      <c r="AU716" s="1371">
        <f t="shared" si="1018"/>
        <v>0</v>
      </c>
      <c r="AV716" s="1359">
        <f t="shared" si="1019"/>
        <v>0</v>
      </c>
      <c r="AW716" s="1372">
        <f t="shared" si="1020"/>
        <v>0</v>
      </c>
      <c r="AX716" s="1373">
        <f t="shared" si="1021"/>
        <v>0</v>
      </c>
      <c r="AY716" s="1374">
        <f t="shared" si="1022"/>
        <v>0</v>
      </c>
      <c r="AZ716" s="1375">
        <f t="shared" si="1023"/>
        <v>0</v>
      </c>
      <c r="BA716" s="1376">
        <f t="shared" si="1024"/>
        <v>0</v>
      </c>
      <c r="BB716" s="1377"/>
      <c r="BC716" s="1820"/>
      <c r="BD716" s="1820"/>
      <c r="BE716" s="1823"/>
      <c r="BF716" s="1834"/>
      <c r="BG716" s="1829"/>
    </row>
    <row r="717" spans="1:59" s="1378" customFormat="1" ht="25.5">
      <c r="A717" s="1347" t="str">
        <f>L712</f>
        <v>Retrophin, Inc.</v>
      </c>
      <c r="B717" s="1348" t="str">
        <f>N712</f>
        <v>HUB SD</v>
      </c>
      <c r="C717" s="1348">
        <f>Z712</f>
        <v>180</v>
      </c>
      <c r="D717" s="1349">
        <v>43101</v>
      </c>
      <c r="E717" s="1349"/>
      <c r="F717" s="1347" t="s">
        <v>72</v>
      </c>
      <c r="G717" s="1347" t="s">
        <v>113</v>
      </c>
      <c r="H717" s="1347" t="s">
        <v>72</v>
      </c>
      <c r="I717" s="1347" t="s">
        <v>72</v>
      </c>
      <c r="J717" s="1349" t="s">
        <v>4670</v>
      </c>
      <c r="K717" s="1349" t="s">
        <v>254</v>
      </c>
      <c r="L717" s="1397" t="s">
        <v>48</v>
      </c>
      <c r="M717" s="1397" t="s">
        <v>253</v>
      </c>
      <c r="N717" s="1412" t="s">
        <v>5219</v>
      </c>
      <c r="O717" s="1399" t="s">
        <v>4704</v>
      </c>
      <c r="P717" s="1424"/>
      <c r="Q717" s="1400"/>
      <c r="R717" s="1400"/>
      <c r="S717" s="1400"/>
      <c r="T717" s="1400"/>
      <c r="U717" s="1400"/>
      <c r="V717" s="1400"/>
      <c r="W717" s="1400"/>
      <c r="X717" s="1400">
        <v>43101</v>
      </c>
      <c r="Y717" s="1400">
        <v>43466</v>
      </c>
      <c r="Z717" s="1401"/>
      <c r="AA717" s="1401" t="s">
        <v>4674</v>
      </c>
      <c r="AB717" s="1369"/>
      <c r="AC717" s="1369"/>
      <c r="AD717" s="1369"/>
      <c r="AE717" s="1369"/>
      <c r="AF717" s="1403" t="str">
        <f t="shared" si="951"/>
        <v/>
      </c>
      <c r="AG717" s="1404"/>
      <c r="AH717" s="1404"/>
      <c r="AI717" s="1405">
        <v>0</v>
      </c>
      <c r="AJ717" s="1411">
        <f t="shared" si="1012"/>
        <v>0</v>
      </c>
      <c r="AK717" s="1406">
        <f t="shared" si="1013"/>
        <v>0</v>
      </c>
      <c r="AL717" s="1384">
        <v>0</v>
      </c>
      <c r="AM717" s="1363">
        <f t="shared" si="1014"/>
        <v>0</v>
      </c>
      <c r="AN717" s="1364">
        <v>0</v>
      </c>
      <c r="AO717" s="1365">
        <f t="shared" si="1015"/>
        <v>0</v>
      </c>
      <c r="AP717" s="1366">
        <v>0</v>
      </c>
      <c r="AQ717" s="1367">
        <f t="shared" si="1016"/>
        <v>0</v>
      </c>
      <c r="AR717" s="1368">
        <v>0</v>
      </c>
      <c r="AS717" s="1369">
        <f t="shared" si="1017"/>
        <v>0</v>
      </c>
      <c r="AT717" s="1370">
        <v>0</v>
      </c>
      <c r="AU717" s="1371">
        <f t="shared" si="1018"/>
        <v>0</v>
      </c>
      <c r="AV717" s="1359">
        <f t="shared" si="1019"/>
        <v>0</v>
      </c>
      <c r="AW717" s="1372">
        <f t="shared" si="1020"/>
        <v>0</v>
      </c>
      <c r="AX717" s="1373">
        <f t="shared" si="1021"/>
        <v>0</v>
      </c>
      <c r="AY717" s="1374">
        <f t="shared" si="1022"/>
        <v>0</v>
      </c>
      <c r="AZ717" s="1375">
        <f t="shared" si="1023"/>
        <v>0</v>
      </c>
      <c r="BA717" s="1376">
        <f t="shared" si="1024"/>
        <v>0</v>
      </c>
      <c r="BB717" s="1391"/>
      <c r="BC717" s="1820"/>
      <c r="BD717" s="1820"/>
      <c r="BE717" s="1823"/>
      <c r="BF717" s="1834"/>
      <c r="BG717" s="1829"/>
    </row>
    <row r="718" spans="1:59" s="1378" customFormat="1" ht="38.25">
      <c r="A718" s="1347" t="str">
        <f>L712</f>
        <v>Retrophin, Inc.</v>
      </c>
      <c r="B718" s="1348" t="str">
        <f>N712</f>
        <v>HUB SD</v>
      </c>
      <c r="C718" s="1348">
        <f>Z712</f>
        <v>180</v>
      </c>
      <c r="D718" s="1349">
        <v>43101</v>
      </c>
      <c r="E718" s="1349"/>
      <c r="F718" s="1347" t="s">
        <v>72</v>
      </c>
      <c r="G718" s="1347" t="s">
        <v>113</v>
      </c>
      <c r="H718" s="1347" t="s">
        <v>72</v>
      </c>
      <c r="I718" s="1347" t="s">
        <v>113</v>
      </c>
      <c r="J718" s="1349" t="s">
        <v>4670</v>
      </c>
      <c r="K718" s="1349" t="s">
        <v>254</v>
      </c>
      <c r="L718" s="1397" t="s">
        <v>77</v>
      </c>
      <c r="M718" s="1397" t="s">
        <v>4705</v>
      </c>
      <c r="N718" s="1412" t="s">
        <v>4746</v>
      </c>
      <c r="O718" s="1399" t="s">
        <v>3661</v>
      </c>
      <c r="P718" s="1399"/>
      <c r="Q718" s="1400"/>
      <c r="R718" s="1400"/>
      <c r="S718" s="1400"/>
      <c r="T718" s="1400"/>
      <c r="U718" s="1400"/>
      <c r="V718" s="1400"/>
      <c r="W718" s="1400"/>
      <c r="X718" s="1400">
        <v>43101</v>
      </c>
      <c r="Y718" s="1400">
        <v>43466</v>
      </c>
      <c r="Z718" s="1401"/>
      <c r="AA718" s="1401" t="s">
        <v>4738</v>
      </c>
      <c r="AB718" s="1369"/>
      <c r="AC718" s="1369"/>
      <c r="AD718" s="1369"/>
      <c r="AE718" s="1369"/>
      <c r="AF718" s="1403" t="str">
        <f t="shared" si="951"/>
        <v/>
      </c>
      <c r="AG718" s="1404"/>
      <c r="AH718" s="1404"/>
      <c r="AI718" s="1405">
        <v>0</v>
      </c>
      <c r="AJ718" s="1411">
        <f t="shared" si="1012"/>
        <v>0</v>
      </c>
      <c r="AK718" s="1406">
        <f t="shared" si="1013"/>
        <v>0</v>
      </c>
      <c r="AL718" s="1384">
        <v>0</v>
      </c>
      <c r="AM718" s="1363">
        <f t="shared" si="1014"/>
        <v>0</v>
      </c>
      <c r="AN718" s="1364">
        <v>0</v>
      </c>
      <c r="AO718" s="1365">
        <f t="shared" si="1015"/>
        <v>0</v>
      </c>
      <c r="AP718" s="1366">
        <v>0</v>
      </c>
      <c r="AQ718" s="1367">
        <f t="shared" si="1016"/>
        <v>0</v>
      </c>
      <c r="AR718" s="1368">
        <v>0</v>
      </c>
      <c r="AS718" s="1369">
        <f t="shared" si="1017"/>
        <v>0</v>
      </c>
      <c r="AT718" s="1370">
        <v>0</v>
      </c>
      <c r="AU718" s="1371">
        <f t="shared" si="1018"/>
        <v>0</v>
      </c>
      <c r="AV718" s="1359">
        <f t="shared" si="1019"/>
        <v>0</v>
      </c>
      <c r="AW718" s="1372">
        <f t="shared" si="1020"/>
        <v>0</v>
      </c>
      <c r="AX718" s="1373">
        <f t="shared" si="1021"/>
        <v>0</v>
      </c>
      <c r="AY718" s="1374">
        <f t="shared" si="1022"/>
        <v>0</v>
      </c>
      <c r="AZ718" s="1375">
        <f t="shared" si="1023"/>
        <v>0</v>
      </c>
      <c r="BA718" s="1376">
        <f t="shared" si="1024"/>
        <v>0</v>
      </c>
      <c r="BB718" s="1391"/>
      <c r="BC718" s="1820"/>
      <c r="BD718" s="1820"/>
      <c r="BE718" s="1823"/>
      <c r="BF718" s="1834"/>
      <c r="BG718" s="1829"/>
    </row>
    <row r="719" spans="1:59" s="1378" customFormat="1" ht="25.5">
      <c r="A719" s="1347" t="str">
        <f>L712</f>
        <v>Retrophin, Inc.</v>
      </c>
      <c r="B719" s="1348" t="str">
        <f>N712</f>
        <v>HUB SD</v>
      </c>
      <c r="C719" s="1348">
        <f>Z712</f>
        <v>180</v>
      </c>
      <c r="D719" s="1349">
        <v>43101</v>
      </c>
      <c r="E719" s="1349"/>
      <c r="F719" s="1347" t="s">
        <v>72</v>
      </c>
      <c r="G719" s="1347" t="s">
        <v>85</v>
      </c>
      <c r="H719" s="1347" t="s">
        <v>72</v>
      </c>
      <c r="I719" s="1347" t="s">
        <v>72</v>
      </c>
      <c r="J719" s="1349" t="s">
        <v>4670</v>
      </c>
      <c r="K719" s="1349" t="s">
        <v>254</v>
      </c>
      <c r="L719" s="1350" t="s">
        <v>3056</v>
      </c>
      <c r="M719" s="1350" t="s">
        <v>4708</v>
      </c>
      <c r="N719" s="1390" t="s">
        <v>4709</v>
      </c>
      <c r="O719" s="1352" t="s">
        <v>4710</v>
      </c>
      <c r="P719" s="1352"/>
      <c r="Q719" s="1354"/>
      <c r="R719" s="1354"/>
      <c r="S719" s="1354"/>
      <c r="T719" s="1354"/>
      <c r="U719" s="1354"/>
      <c r="V719" s="1354"/>
      <c r="W719" s="1354"/>
      <c r="X719" s="1353">
        <v>43101</v>
      </c>
      <c r="Y719" s="1353">
        <v>43466</v>
      </c>
      <c r="Z719" s="1355"/>
      <c r="AA719" s="1355" t="s">
        <v>4674</v>
      </c>
      <c r="AB719" s="1356"/>
      <c r="AC719" s="1356"/>
      <c r="AD719" s="1356"/>
      <c r="AE719" s="1356"/>
      <c r="AF719" s="1357" t="str">
        <f t="shared" si="951"/>
        <v/>
      </c>
      <c r="AG719" s="1380"/>
      <c r="AH719" s="1380"/>
      <c r="AI719" s="1381">
        <v>0</v>
      </c>
      <c r="AJ719" s="1382">
        <f t="shared" si="1012"/>
        <v>0</v>
      </c>
      <c r="AK719" s="1383">
        <f t="shared" si="1013"/>
        <v>0</v>
      </c>
      <c r="AL719" s="1384">
        <v>0</v>
      </c>
      <c r="AM719" s="1363">
        <f t="shared" si="1014"/>
        <v>0</v>
      </c>
      <c r="AN719" s="1364">
        <v>0</v>
      </c>
      <c r="AO719" s="1365">
        <f t="shared" si="1015"/>
        <v>0</v>
      </c>
      <c r="AP719" s="1366">
        <v>0</v>
      </c>
      <c r="AQ719" s="1367">
        <f t="shared" si="1016"/>
        <v>0</v>
      </c>
      <c r="AR719" s="1368">
        <v>0</v>
      </c>
      <c r="AS719" s="1369">
        <f t="shared" si="1017"/>
        <v>0</v>
      </c>
      <c r="AT719" s="1370">
        <v>0</v>
      </c>
      <c r="AU719" s="1371">
        <f t="shared" si="1018"/>
        <v>0</v>
      </c>
      <c r="AV719" s="1359">
        <f t="shared" si="1019"/>
        <v>0</v>
      </c>
      <c r="AW719" s="1372">
        <f t="shared" si="1020"/>
        <v>0</v>
      </c>
      <c r="AX719" s="1373">
        <f t="shared" si="1021"/>
        <v>0</v>
      </c>
      <c r="AY719" s="1374">
        <f t="shared" si="1022"/>
        <v>0</v>
      </c>
      <c r="AZ719" s="1375">
        <f t="shared" si="1023"/>
        <v>0</v>
      </c>
      <c r="BA719" s="1376">
        <f t="shared" si="1024"/>
        <v>0</v>
      </c>
      <c r="BB719" s="1391"/>
      <c r="BC719" s="1821"/>
      <c r="BD719" s="1821"/>
      <c r="BE719" s="1824"/>
      <c r="BF719" s="1834"/>
      <c r="BG719" s="1830"/>
    </row>
    <row r="720" spans="1:59" s="1315" customFormat="1" ht="25.5">
      <c r="A720" s="1277" t="str">
        <f>L720</f>
        <v>Sani-Tech West Inc.</v>
      </c>
      <c r="B720" s="1316" t="str">
        <f>N720</f>
        <v>HUB</v>
      </c>
      <c r="C720" s="1316">
        <f>Z720</f>
        <v>98</v>
      </c>
      <c r="D720" s="1317">
        <v>43101</v>
      </c>
      <c r="E720" s="1317"/>
      <c r="F720" s="1277" t="s">
        <v>72</v>
      </c>
      <c r="G720" s="1277" t="s">
        <v>72</v>
      </c>
      <c r="H720" s="1277" t="s">
        <v>72</v>
      </c>
      <c r="I720" s="1277" t="s">
        <v>4711</v>
      </c>
      <c r="J720" s="1317"/>
      <c r="K720" s="1317"/>
      <c r="L720" s="1318" t="s">
        <v>1261</v>
      </c>
      <c r="M720" s="1319"/>
      <c r="N720" s="1281" t="s">
        <v>3653</v>
      </c>
      <c r="O720" s="1392" t="s">
        <v>2473</v>
      </c>
      <c r="P720" s="1392"/>
      <c r="Q720" s="1322"/>
      <c r="R720" s="1322"/>
      <c r="S720" s="1322"/>
      <c r="T720" s="1322"/>
      <c r="U720" s="1322"/>
      <c r="V720" s="1322"/>
      <c r="W720" s="1322"/>
      <c r="X720" s="1317">
        <v>43101</v>
      </c>
      <c r="Y720" s="1317">
        <v>43466</v>
      </c>
      <c r="Z720" s="1316">
        <v>98</v>
      </c>
      <c r="AA720" s="1316" t="s">
        <v>5220</v>
      </c>
      <c r="AB720" s="1323">
        <f>SUM(AB721:AB729)</f>
        <v>0</v>
      </c>
      <c r="AC720" s="1323">
        <f>SUM(AC721:AC729)</f>
        <v>0</v>
      </c>
      <c r="AD720" s="1323">
        <f>SUM(AD721:AD729)</f>
        <v>0</v>
      </c>
      <c r="AE720" s="1324">
        <f t="shared" si="996"/>
        <v>0</v>
      </c>
      <c r="AF720" s="1325" t="str">
        <f t="shared" si="951"/>
        <v/>
      </c>
      <c r="AG720" s="1326">
        <f t="shared" si="949"/>
        <v>51522.934166666666</v>
      </c>
      <c r="AH720" s="1326">
        <f>SUM(AH721:AH729)</f>
        <v>618275.21</v>
      </c>
      <c r="AI720" s="1339"/>
      <c r="AJ720" s="1328">
        <f>SUM(AJ721:AJ729)</f>
        <v>4282.1342249999998</v>
      </c>
      <c r="AK720" s="1328">
        <f>SUM(AK721:AK729)</f>
        <v>51385.610700000005</v>
      </c>
      <c r="AL720" s="1329"/>
      <c r="AM720" s="1330">
        <f>SUM(AM721:AM729)</f>
        <v>2696.7642000000001</v>
      </c>
      <c r="AN720" s="1331"/>
      <c r="AO720" s="1332">
        <f>SUM(AO721:AO729)</f>
        <v>0</v>
      </c>
      <c r="AP720" s="1333"/>
      <c r="AQ720" s="1334">
        <f>SUM(AQ721:AQ729)</f>
        <v>28025.961800000005</v>
      </c>
      <c r="AR720" s="1335"/>
      <c r="AS720" s="1336">
        <f>SUM(AS721:AS729)</f>
        <v>0</v>
      </c>
      <c r="AT720" s="1337"/>
      <c r="AU720" s="1338">
        <f>SUM(AU721:AU729)</f>
        <v>13483.821</v>
      </c>
      <c r="AV720" s="1339"/>
      <c r="AW720" s="1340">
        <f>SUM(AW721:AW729)</f>
        <v>7179.0636999999979</v>
      </c>
      <c r="AX720" s="1306"/>
      <c r="AY720" s="1307">
        <f>SUM(AW720+AS720+AU720)</f>
        <v>20662.884699999999</v>
      </c>
      <c r="AZ720" s="1341"/>
      <c r="BA720" s="1309">
        <f>SUM(AY720+AQ720)</f>
        <v>48688.8465</v>
      </c>
      <c r="BB720" s="1342">
        <f>(AW720+AU720)/(AK720-AM720)</f>
        <v>0.4243864084970671</v>
      </c>
      <c r="BC720" s="1343"/>
      <c r="BD720" s="1343"/>
      <c r="BE720" s="1344"/>
      <c r="BF720" s="1393" t="s">
        <v>5221</v>
      </c>
      <c r="BG720" s="1346"/>
    </row>
    <row r="721" spans="1:59" s="1378" customFormat="1" ht="76.5">
      <c r="A721" s="1347" t="str">
        <f>L720</f>
        <v>Sani-Tech West Inc.</v>
      </c>
      <c r="B721" s="1348" t="str">
        <f>N720</f>
        <v>HUB</v>
      </c>
      <c r="C721" s="1348">
        <f>Z720</f>
        <v>98</v>
      </c>
      <c r="D721" s="1349">
        <v>43101</v>
      </c>
      <c r="E721" s="1349"/>
      <c r="F721" s="1347" t="s">
        <v>85</v>
      </c>
      <c r="G721" s="1347" t="s">
        <v>85</v>
      </c>
      <c r="H721" s="1347" t="s">
        <v>85</v>
      </c>
      <c r="I721" s="1347" t="s">
        <v>113</v>
      </c>
      <c r="J721" s="1349"/>
      <c r="K721" s="1349" t="s">
        <v>254</v>
      </c>
      <c r="L721" s="1350" t="s">
        <v>2661</v>
      </c>
      <c r="M721" s="1350" t="s">
        <v>3647</v>
      </c>
      <c r="N721" s="1351" t="s">
        <v>5510</v>
      </c>
      <c r="O721" s="1352" t="s">
        <v>4796</v>
      </c>
      <c r="P721" s="1352" t="s">
        <v>4797</v>
      </c>
      <c r="Q721" s="1353" t="s">
        <v>317</v>
      </c>
      <c r="R721" s="1353" t="s">
        <v>3656</v>
      </c>
      <c r="S721" s="1353" t="s">
        <v>307</v>
      </c>
      <c r="T721" s="1353" t="s">
        <v>113</v>
      </c>
      <c r="U721" s="1354"/>
      <c r="V721" s="1354"/>
      <c r="W721" s="1354"/>
      <c r="X721" s="1353">
        <v>43101</v>
      </c>
      <c r="Y721" s="1353">
        <v>43466</v>
      </c>
      <c r="Z721" s="1355"/>
      <c r="AA721" s="1355" t="s">
        <v>4667</v>
      </c>
      <c r="AB721" s="1356"/>
      <c r="AC721" s="1356"/>
      <c r="AD721" s="1356"/>
      <c r="AE721" s="1356"/>
      <c r="AF721" s="1357" t="str">
        <f t="shared" si="951"/>
        <v/>
      </c>
      <c r="AG721" s="1358">
        <f t="shared" si="949"/>
        <v>44946.07</v>
      </c>
      <c r="AH721" s="1358">
        <v>539352.84</v>
      </c>
      <c r="AI721" s="1359">
        <v>0.08</v>
      </c>
      <c r="AJ721" s="1360">
        <f t="shared" ref="AJ721:AJ729" si="1025">$AI721*$AG721</f>
        <v>3595.6856000000002</v>
      </c>
      <c r="AK721" s="1361">
        <f t="shared" ref="AK721:AK729" si="1026">AI721*$AH721</f>
        <v>43148.227200000001</v>
      </c>
      <c r="AL721" s="1362">
        <v>5.0000000000000001E-3</v>
      </c>
      <c r="AM721" s="1363">
        <f t="shared" ref="AM721:AM729" si="1027">AL721*$AH721</f>
        <v>2696.7642000000001</v>
      </c>
      <c r="AN721" s="1364">
        <v>0</v>
      </c>
      <c r="AO721" s="1365">
        <f t="shared" ref="AO721:AO729" si="1028">AN721*$AH721</f>
        <v>0</v>
      </c>
      <c r="AP721" s="1366">
        <v>0.04</v>
      </c>
      <c r="AQ721" s="1367">
        <f t="shared" ref="AQ721:AQ729" si="1029">AP721*$AH721</f>
        <v>21574.113600000001</v>
      </c>
      <c r="AR721" s="1368">
        <v>0</v>
      </c>
      <c r="AS721" s="1369">
        <f t="shared" ref="AS721:AS729" si="1030">AR721*$AH721</f>
        <v>0</v>
      </c>
      <c r="AT721" s="1370">
        <v>2.5000000000000001E-2</v>
      </c>
      <c r="AU721" s="1371">
        <f t="shared" ref="AU721:AU729" si="1031">AT721*$AH721</f>
        <v>13483.821</v>
      </c>
      <c r="AV721" s="1359">
        <f t="shared" ref="AV721:AV729" si="1032">AZ721-AR721-AT721-AP721</f>
        <v>9.999999999999995E-3</v>
      </c>
      <c r="AW721" s="1372">
        <f t="shared" ref="AW721:AW729" si="1033">AV721*$AH721</f>
        <v>5393.5283999999974</v>
      </c>
      <c r="AX721" s="1373">
        <f t="shared" ref="AX721:AX729" si="1034">$AZ721-$AP721</f>
        <v>3.4999999999999996E-2</v>
      </c>
      <c r="AY721" s="1374">
        <f t="shared" ref="AY721:AY729" si="1035">AX721*$AH721</f>
        <v>18877.349399999996</v>
      </c>
      <c r="AZ721" s="1375">
        <f t="shared" ref="AZ721:AZ729" si="1036">$AI721-$AL721-$AN721</f>
        <v>7.4999999999999997E-2</v>
      </c>
      <c r="BA721" s="1376">
        <f t="shared" ref="BA721:BA729" si="1037">AZ721*$AH721</f>
        <v>40451.462999999996</v>
      </c>
      <c r="BB721" s="1377"/>
      <c r="BC721" s="1819" t="s">
        <v>1311</v>
      </c>
      <c r="BD721" s="1819" t="s">
        <v>1300</v>
      </c>
      <c r="BE721" s="1822" t="s">
        <v>1300</v>
      </c>
      <c r="BF721" s="1825" t="s">
        <v>3594</v>
      </c>
      <c r="BG721" s="1828">
        <v>954375699</v>
      </c>
    </row>
    <row r="722" spans="1:59" s="1378" customFormat="1" ht="25.5">
      <c r="A722" s="1347" t="str">
        <f>L720</f>
        <v>Sani-Tech West Inc.</v>
      </c>
      <c r="B722" s="1348" t="str">
        <f>N720</f>
        <v>HUB</v>
      </c>
      <c r="C722" s="1348">
        <f>Z720</f>
        <v>98</v>
      </c>
      <c r="D722" s="1349">
        <v>43101</v>
      </c>
      <c r="E722" s="1349"/>
      <c r="F722" s="1347" t="s">
        <v>72</v>
      </c>
      <c r="G722" s="1347" t="s">
        <v>85</v>
      </c>
      <c r="H722" s="1347" t="s">
        <v>72</v>
      </c>
      <c r="I722" s="1347" t="s">
        <v>72</v>
      </c>
      <c r="J722" s="1349" t="s">
        <v>4670</v>
      </c>
      <c r="K722" s="1349" t="s">
        <v>254</v>
      </c>
      <c r="L722" s="1350" t="s">
        <v>4671</v>
      </c>
      <c r="M722" s="1350" t="s">
        <v>3649</v>
      </c>
      <c r="N722" s="1379" t="s">
        <v>4820</v>
      </c>
      <c r="O722" s="1352" t="s">
        <v>5222</v>
      </c>
      <c r="P722" s="1388"/>
      <c r="Q722" s="1354"/>
      <c r="R722" s="1354"/>
      <c r="S722" s="1354"/>
      <c r="T722" s="1354"/>
      <c r="U722" s="1354"/>
      <c r="V722" s="1354"/>
      <c r="W722" s="1354"/>
      <c r="X722" s="1353">
        <v>43101</v>
      </c>
      <c r="Y722" s="1353">
        <v>43466</v>
      </c>
      <c r="Z722" s="1355"/>
      <c r="AA722" s="1355" t="s">
        <v>4674</v>
      </c>
      <c r="AB722" s="1356"/>
      <c r="AC722" s="1356"/>
      <c r="AD722" s="1356"/>
      <c r="AE722" s="1356"/>
      <c r="AF722" s="1357" t="str">
        <f t="shared" si="951"/>
        <v/>
      </c>
      <c r="AG722" s="1380"/>
      <c r="AH722" s="1380"/>
      <c r="AI722" s="1381">
        <v>0</v>
      </c>
      <c r="AJ722" s="1382">
        <f t="shared" si="1025"/>
        <v>0</v>
      </c>
      <c r="AK722" s="1383">
        <f t="shared" si="1026"/>
        <v>0</v>
      </c>
      <c r="AL722" s="1384">
        <v>0</v>
      </c>
      <c r="AM722" s="1363">
        <f t="shared" si="1027"/>
        <v>0</v>
      </c>
      <c r="AN722" s="1364">
        <v>0</v>
      </c>
      <c r="AO722" s="1365">
        <f t="shared" si="1028"/>
        <v>0</v>
      </c>
      <c r="AP722" s="1366">
        <v>0</v>
      </c>
      <c r="AQ722" s="1367">
        <f t="shared" si="1029"/>
        <v>0</v>
      </c>
      <c r="AR722" s="1368">
        <v>0</v>
      </c>
      <c r="AS722" s="1369">
        <f t="shared" si="1030"/>
        <v>0</v>
      </c>
      <c r="AT722" s="1370">
        <v>0</v>
      </c>
      <c r="AU722" s="1371">
        <f t="shared" si="1031"/>
        <v>0</v>
      </c>
      <c r="AV722" s="1359">
        <f t="shared" si="1032"/>
        <v>0</v>
      </c>
      <c r="AW722" s="1372">
        <f t="shared" si="1033"/>
        <v>0</v>
      </c>
      <c r="AX722" s="1373">
        <f t="shared" si="1034"/>
        <v>0</v>
      </c>
      <c r="AY722" s="1374">
        <f t="shared" si="1035"/>
        <v>0</v>
      </c>
      <c r="AZ722" s="1375">
        <f t="shared" si="1036"/>
        <v>0</v>
      </c>
      <c r="BA722" s="1376">
        <f t="shared" si="1037"/>
        <v>0</v>
      </c>
      <c r="BB722" s="1377"/>
      <c r="BC722" s="1820"/>
      <c r="BD722" s="1820"/>
      <c r="BE722" s="1823"/>
      <c r="BF722" s="1826"/>
      <c r="BG722" s="1829"/>
    </row>
    <row r="723" spans="1:59" s="1378" customFormat="1" ht="38.25">
      <c r="A723" s="1347" t="str">
        <f>L720</f>
        <v>Sani-Tech West Inc.</v>
      </c>
      <c r="B723" s="1348" t="str">
        <f>N720</f>
        <v>HUB</v>
      </c>
      <c r="C723" s="1348">
        <f>Z720</f>
        <v>98</v>
      </c>
      <c r="D723" s="1349">
        <v>43101</v>
      </c>
      <c r="E723" s="1349"/>
      <c r="F723" s="1347" t="s">
        <v>113</v>
      </c>
      <c r="G723" s="1347" t="s">
        <v>85</v>
      </c>
      <c r="H723" s="1347" t="s">
        <v>85</v>
      </c>
      <c r="I723" s="1347" t="s">
        <v>113</v>
      </c>
      <c r="J723" s="1349"/>
      <c r="K723" s="1349" t="s">
        <v>254</v>
      </c>
      <c r="L723" s="1350" t="s">
        <v>4675</v>
      </c>
      <c r="M723" s="1350" t="s">
        <v>3650</v>
      </c>
      <c r="N723" s="1385" t="s">
        <v>5223</v>
      </c>
      <c r="O723" s="1352" t="s">
        <v>4677</v>
      </c>
      <c r="P723" s="1388"/>
      <c r="Q723" s="1354"/>
      <c r="R723" s="1354"/>
      <c r="S723" s="1354"/>
      <c r="T723" s="1354"/>
      <c r="U723" s="1353" t="s">
        <v>4802</v>
      </c>
      <c r="V723" s="1353" t="s">
        <v>2482</v>
      </c>
      <c r="W723" s="1354"/>
      <c r="X723" s="1353">
        <v>43101</v>
      </c>
      <c r="Y723" s="1353">
        <v>43466</v>
      </c>
      <c r="Z723" s="1355"/>
      <c r="AA723" s="1355" t="s">
        <v>4679</v>
      </c>
      <c r="AB723" s="1356"/>
      <c r="AC723" s="1356"/>
      <c r="AD723" s="1356"/>
      <c r="AE723" s="1356"/>
      <c r="AF723" s="1357" t="str">
        <f t="shared" si="951"/>
        <v/>
      </c>
      <c r="AG723" s="1358">
        <f t="shared" si="949"/>
        <v>5135.03</v>
      </c>
      <c r="AH723" s="1358">
        <v>61620.36</v>
      </c>
      <c r="AI723" s="1359">
        <v>0.1</v>
      </c>
      <c r="AJ723" s="1360">
        <f t="shared" si="1025"/>
        <v>513.50300000000004</v>
      </c>
      <c r="AK723" s="1361">
        <f t="shared" si="1026"/>
        <v>6162.0360000000001</v>
      </c>
      <c r="AL723" s="1384">
        <v>0</v>
      </c>
      <c r="AM723" s="1363">
        <f t="shared" si="1027"/>
        <v>0</v>
      </c>
      <c r="AN723" s="1364">
        <v>0</v>
      </c>
      <c r="AO723" s="1365">
        <f t="shared" si="1028"/>
        <v>0</v>
      </c>
      <c r="AP723" s="1366">
        <v>0.08</v>
      </c>
      <c r="AQ723" s="1367">
        <f t="shared" si="1029"/>
        <v>4929.6288000000004</v>
      </c>
      <c r="AR723" s="1368">
        <v>0</v>
      </c>
      <c r="AS723" s="1369">
        <f t="shared" si="1030"/>
        <v>0</v>
      </c>
      <c r="AT723" s="1370">
        <v>0</v>
      </c>
      <c r="AU723" s="1371">
        <f t="shared" si="1031"/>
        <v>0</v>
      </c>
      <c r="AV723" s="1359">
        <f t="shared" si="1032"/>
        <v>2.0000000000000004E-2</v>
      </c>
      <c r="AW723" s="1372">
        <f t="shared" si="1033"/>
        <v>1232.4072000000003</v>
      </c>
      <c r="AX723" s="1373">
        <f t="shared" si="1034"/>
        <v>2.0000000000000004E-2</v>
      </c>
      <c r="AY723" s="1374">
        <f t="shared" si="1035"/>
        <v>1232.4072000000003</v>
      </c>
      <c r="AZ723" s="1375">
        <f t="shared" si="1036"/>
        <v>0.1</v>
      </c>
      <c r="BA723" s="1376">
        <f t="shared" si="1037"/>
        <v>6162.0360000000001</v>
      </c>
      <c r="BB723" s="1377"/>
      <c r="BC723" s="1820"/>
      <c r="BD723" s="1820"/>
      <c r="BE723" s="1823"/>
      <c r="BF723" s="1826"/>
      <c r="BG723" s="1829"/>
    </row>
    <row r="724" spans="1:59" s="1378" customFormat="1" ht="38.25">
      <c r="A724" s="1347" t="str">
        <f>L720</f>
        <v>Sani-Tech West Inc.</v>
      </c>
      <c r="B724" s="1348" t="str">
        <f>N720</f>
        <v>HUB</v>
      </c>
      <c r="C724" s="1348">
        <f>Z720</f>
        <v>98</v>
      </c>
      <c r="D724" s="1349">
        <v>43101</v>
      </c>
      <c r="E724" s="1349"/>
      <c r="F724" s="1347" t="s">
        <v>113</v>
      </c>
      <c r="G724" s="1347" t="s">
        <v>85</v>
      </c>
      <c r="H724" s="1347" t="s">
        <v>85</v>
      </c>
      <c r="I724" s="1347" t="s">
        <v>113</v>
      </c>
      <c r="J724" s="1349"/>
      <c r="K724" s="1349" t="s">
        <v>254</v>
      </c>
      <c r="L724" s="1350" t="s">
        <v>4675</v>
      </c>
      <c r="M724" s="1350" t="s">
        <v>3651</v>
      </c>
      <c r="N724" s="1351" t="s">
        <v>5064</v>
      </c>
      <c r="O724" s="1352" t="s">
        <v>4681</v>
      </c>
      <c r="P724" s="1388"/>
      <c r="Q724" s="1354"/>
      <c r="R724" s="1354"/>
      <c r="S724" s="1354"/>
      <c r="T724" s="1354"/>
      <c r="U724" s="1354"/>
      <c r="V724" s="1354"/>
      <c r="W724" s="1353" t="s">
        <v>2482</v>
      </c>
      <c r="X724" s="1353">
        <v>43101</v>
      </c>
      <c r="Y724" s="1353">
        <v>43466</v>
      </c>
      <c r="Z724" s="1355"/>
      <c r="AA724" s="1355" t="s">
        <v>4679</v>
      </c>
      <c r="AB724" s="1356"/>
      <c r="AC724" s="1356"/>
      <c r="AD724" s="1356"/>
      <c r="AE724" s="1356"/>
      <c r="AF724" s="1357" t="str">
        <f t="shared" si="951"/>
        <v/>
      </c>
      <c r="AG724" s="1358">
        <f t="shared" si="949"/>
        <v>866.59</v>
      </c>
      <c r="AH724" s="1358">
        <v>10399.08</v>
      </c>
      <c r="AI724" s="1359">
        <v>0.1</v>
      </c>
      <c r="AJ724" s="1360">
        <f t="shared" si="1025"/>
        <v>86.659000000000006</v>
      </c>
      <c r="AK724" s="1361">
        <f t="shared" si="1026"/>
        <v>1039.9080000000001</v>
      </c>
      <c r="AL724" s="1384">
        <v>0</v>
      </c>
      <c r="AM724" s="1363">
        <f t="shared" si="1027"/>
        <v>0</v>
      </c>
      <c r="AN724" s="1364">
        <v>0</v>
      </c>
      <c r="AO724" s="1365">
        <f t="shared" si="1028"/>
        <v>0</v>
      </c>
      <c r="AP724" s="1366">
        <v>0.08</v>
      </c>
      <c r="AQ724" s="1367">
        <f t="shared" si="1029"/>
        <v>831.92640000000006</v>
      </c>
      <c r="AR724" s="1368">
        <v>0</v>
      </c>
      <c r="AS724" s="1369">
        <f t="shared" si="1030"/>
        <v>0</v>
      </c>
      <c r="AT724" s="1370">
        <v>0</v>
      </c>
      <c r="AU724" s="1371">
        <f t="shared" si="1031"/>
        <v>0</v>
      </c>
      <c r="AV724" s="1359">
        <f t="shared" si="1032"/>
        <v>2.0000000000000004E-2</v>
      </c>
      <c r="AW724" s="1372">
        <f t="shared" si="1033"/>
        <v>207.98160000000004</v>
      </c>
      <c r="AX724" s="1373">
        <f t="shared" si="1034"/>
        <v>2.0000000000000004E-2</v>
      </c>
      <c r="AY724" s="1374">
        <f t="shared" si="1035"/>
        <v>207.98160000000004</v>
      </c>
      <c r="AZ724" s="1375">
        <f t="shared" si="1036"/>
        <v>0.1</v>
      </c>
      <c r="BA724" s="1376">
        <f t="shared" si="1037"/>
        <v>1039.9080000000001</v>
      </c>
      <c r="BB724" s="1377"/>
      <c r="BC724" s="1820"/>
      <c r="BD724" s="1820"/>
      <c r="BE724" s="1823"/>
      <c r="BF724" s="1826"/>
      <c r="BG724" s="1829"/>
    </row>
    <row r="725" spans="1:59" s="1378" customFormat="1" ht="38.25">
      <c r="A725" s="1347" t="str">
        <f>L720</f>
        <v>Sani-Tech West Inc.</v>
      </c>
      <c r="B725" s="1348" t="str">
        <f>N720</f>
        <v>HUB</v>
      </c>
      <c r="C725" s="1348">
        <f>Z720</f>
        <v>98</v>
      </c>
      <c r="D725" s="1349">
        <v>43101</v>
      </c>
      <c r="E725" s="1349"/>
      <c r="F725" s="1347" t="s">
        <v>113</v>
      </c>
      <c r="G725" s="1347" t="s">
        <v>85</v>
      </c>
      <c r="H725" s="1347" t="s">
        <v>85</v>
      </c>
      <c r="I725" s="1347" t="s">
        <v>113</v>
      </c>
      <c r="J725" s="1349"/>
      <c r="K725" s="1349" t="s">
        <v>254</v>
      </c>
      <c r="L725" s="1350" t="s">
        <v>4682</v>
      </c>
      <c r="M725" s="1350" t="s">
        <v>4683</v>
      </c>
      <c r="N725" s="1386" t="s">
        <v>1249</v>
      </c>
      <c r="O725" s="1352" t="s">
        <v>4684</v>
      </c>
      <c r="P725" s="1421"/>
      <c r="Q725" s="1354"/>
      <c r="R725" s="1354"/>
      <c r="S725" s="1354"/>
      <c r="T725" s="1354"/>
      <c r="U725" s="1354"/>
      <c r="V725" s="1354"/>
      <c r="W725" s="1354"/>
      <c r="X725" s="1353">
        <v>43101</v>
      </c>
      <c r="Y725" s="1353">
        <v>43466</v>
      </c>
      <c r="Z725" s="1355"/>
      <c r="AA725" s="1355" t="s">
        <v>4685</v>
      </c>
      <c r="AB725" s="1356"/>
      <c r="AC725" s="1356"/>
      <c r="AD725" s="1356"/>
      <c r="AE725" s="1356"/>
      <c r="AF725" s="1357" t="str">
        <f t="shared" si="951"/>
        <v/>
      </c>
      <c r="AG725" s="1358">
        <f t="shared" si="949"/>
        <v>575.24416666666673</v>
      </c>
      <c r="AH725" s="1358">
        <v>6902.93</v>
      </c>
      <c r="AI725" s="1359">
        <v>0.15</v>
      </c>
      <c r="AJ725" s="1360">
        <f t="shared" si="1025"/>
        <v>86.286625000000001</v>
      </c>
      <c r="AK725" s="1361">
        <f t="shared" si="1026"/>
        <v>1035.4395</v>
      </c>
      <c r="AL725" s="1384">
        <v>0</v>
      </c>
      <c r="AM725" s="1363">
        <f t="shared" si="1027"/>
        <v>0</v>
      </c>
      <c r="AN725" s="1364">
        <v>0</v>
      </c>
      <c r="AO725" s="1365">
        <f t="shared" si="1028"/>
        <v>0</v>
      </c>
      <c r="AP725" s="1366">
        <v>0.1</v>
      </c>
      <c r="AQ725" s="1367">
        <f t="shared" si="1029"/>
        <v>690.29300000000012</v>
      </c>
      <c r="AR725" s="1368">
        <v>0</v>
      </c>
      <c r="AS725" s="1369">
        <f t="shared" si="1030"/>
        <v>0</v>
      </c>
      <c r="AT725" s="1370">
        <v>0</v>
      </c>
      <c r="AU725" s="1371">
        <f t="shared" si="1031"/>
        <v>0</v>
      </c>
      <c r="AV725" s="1359">
        <f t="shared" si="1032"/>
        <v>4.9999999999999989E-2</v>
      </c>
      <c r="AW725" s="1372">
        <f t="shared" si="1033"/>
        <v>345.14649999999995</v>
      </c>
      <c r="AX725" s="1373">
        <f t="shared" si="1034"/>
        <v>4.9999999999999989E-2</v>
      </c>
      <c r="AY725" s="1374">
        <f t="shared" si="1035"/>
        <v>345.14649999999995</v>
      </c>
      <c r="AZ725" s="1375">
        <f t="shared" si="1036"/>
        <v>0.15</v>
      </c>
      <c r="BA725" s="1376">
        <f t="shared" si="1037"/>
        <v>1035.4395</v>
      </c>
      <c r="BB725" s="1377"/>
      <c r="BC725" s="1820"/>
      <c r="BD725" s="1820"/>
      <c r="BE725" s="1823"/>
      <c r="BF725" s="1826"/>
      <c r="BG725" s="1829"/>
    </row>
    <row r="726" spans="1:59" s="1378" customFormat="1" ht="27.75" customHeight="1">
      <c r="A726" s="1347" t="s">
        <v>1261</v>
      </c>
      <c r="B726" s="1348" t="s">
        <v>3653</v>
      </c>
      <c r="C726" s="1348">
        <v>93</v>
      </c>
      <c r="D726" s="1349">
        <v>43101</v>
      </c>
      <c r="E726" s="1349"/>
      <c r="F726" s="1347" t="s">
        <v>72</v>
      </c>
      <c r="G726" s="1347" t="s">
        <v>85</v>
      </c>
      <c r="H726" s="1347" t="s">
        <v>72</v>
      </c>
      <c r="I726" s="1347" t="s">
        <v>72</v>
      </c>
      <c r="J726" s="1349" t="s">
        <v>4670</v>
      </c>
      <c r="K726" s="1349" t="s">
        <v>254</v>
      </c>
      <c r="L726" s="1350" t="s">
        <v>4696</v>
      </c>
      <c r="M726" s="1350" t="s">
        <v>4697</v>
      </c>
      <c r="N726" s="1389" t="s">
        <v>4698</v>
      </c>
      <c r="O726" s="1352" t="s">
        <v>4699</v>
      </c>
      <c r="P726" s="1388"/>
      <c r="Q726" s="1354"/>
      <c r="R726" s="1354"/>
      <c r="S726" s="1354"/>
      <c r="T726" s="1354"/>
      <c r="U726" s="1354"/>
      <c r="V726" s="1354"/>
      <c r="W726" s="1354"/>
      <c r="X726" s="1353">
        <v>43101</v>
      </c>
      <c r="Y726" s="1353">
        <v>43466</v>
      </c>
      <c r="Z726" s="1355"/>
      <c r="AA726" s="1355" t="s">
        <v>4674</v>
      </c>
      <c r="AB726" s="1356"/>
      <c r="AC726" s="1356"/>
      <c r="AD726" s="1356"/>
      <c r="AE726" s="1356"/>
      <c r="AF726" s="1357" t="str">
        <f t="shared" si="951"/>
        <v/>
      </c>
      <c r="AG726" s="1380"/>
      <c r="AH726" s="1380"/>
      <c r="AI726" s="1381">
        <v>0</v>
      </c>
      <c r="AJ726" s="1382">
        <f t="shared" si="1025"/>
        <v>0</v>
      </c>
      <c r="AK726" s="1383">
        <f t="shared" si="1026"/>
        <v>0</v>
      </c>
      <c r="AL726" s="1384">
        <v>0</v>
      </c>
      <c r="AM726" s="1363">
        <f t="shared" si="1027"/>
        <v>0</v>
      </c>
      <c r="AN726" s="1364">
        <v>0</v>
      </c>
      <c r="AO726" s="1365">
        <f t="shared" si="1028"/>
        <v>0</v>
      </c>
      <c r="AP726" s="1366">
        <v>0</v>
      </c>
      <c r="AQ726" s="1367">
        <f t="shared" si="1029"/>
        <v>0</v>
      </c>
      <c r="AR726" s="1368">
        <v>0</v>
      </c>
      <c r="AS726" s="1369">
        <f t="shared" si="1030"/>
        <v>0</v>
      </c>
      <c r="AT726" s="1370">
        <v>0</v>
      </c>
      <c r="AU726" s="1371">
        <f t="shared" si="1031"/>
        <v>0</v>
      </c>
      <c r="AV726" s="1359">
        <f t="shared" si="1032"/>
        <v>0</v>
      </c>
      <c r="AW726" s="1372">
        <f t="shared" si="1033"/>
        <v>0</v>
      </c>
      <c r="AX726" s="1373">
        <f t="shared" si="1034"/>
        <v>0</v>
      </c>
      <c r="AY726" s="1374">
        <f t="shared" si="1035"/>
        <v>0</v>
      </c>
      <c r="AZ726" s="1375">
        <f t="shared" si="1036"/>
        <v>0</v>
      </c>
      <c r="BA726" s="1376">
        <f t="shared" si="1037"/>
        <v>0</v>
      </c>
      <c r="BB726" s="1377"/>
      <c r="BC726" s="1820"/>
      <c r="BD726" s="1820"/>
      <c r="BE726" s="1823"/>
      <c r="BF726" s="1826"/>
      <c r="BG726" s="1829"/>
    </row>
    <row r="727" spans="1:59" s="1378" customFormat="1" ht="25.5">
      <c r="A727" s="1347" t="str">
        <f>L720</f>
        <v>Sani-Tech West Inc.</v>
      </c>
      <c r="B727" s="1348" t="str">
        <f>N720</f>
        <v>HUB</v>
      </c>
      <c r="C727" s="1348">
        <f>Z720</f>
        <v>98</v>
      </c>
      <c r="D727" s="1349">
        <v>43101</v>
      </c>
      <c r="E727" s="1349"/>
      <c r="F727" s="1347" t="s">
        <v>72</v>
      </c>
      <c r="G727" s="1347" t="s">
        <v>85</v>
      </c>
      <c r="H727" s="1347" t="s">
        <v>72</v>
      </c>
      <c r="I727" s="1347" t="s">
        <v>72</v>
      </c>
      <c r="J727" s="1349" t="s">
        <v>4670</v>
      </c>
      <c r="K727" s="1349" t="s">
        <v>254</v>
      </c>
      <c r="L727" s="1350" t="s">
        <v>48</v>
      </c>
      <c r="M727" s="1350" t="s">
        <v>253</v>
      </c>
      <c r="N727" s="1390" t="s">
        <v>4703</v>
      </c>
      <c r="O727" s="1352" t="s">
        <v>4704</v>
      </c>
      <c r="P727" s="1388"/>
      <c r="Q727" s="1354"/>
      <c r="R727" s="1354"/>
      <c r="S727" s="1354"/>
      <c r="T727" s="1354"/>
      <c r="U727" s="1354"/>
      <c r="V727" s="1354"/>
      <c r="W727" s="1354"/>
      <c r="X727" s="1353">
        <v>43101</v>
      </c>
      <c r="Y727" s="1353">
        <v>43466</v>
      </c>
      <c r="Z727" s="1355"/>
      <c r="AA727" s="1355" t="s">
        <v>4674</v>
      </c>
      <c r="AB727" s="1356"/>
      <c r="AC727" s="1356"/>
      <c r="AD727" s="1356"/>
      <c r="AE727" s="1356"/>
      <c r="AF727" s="1357" t="str">
        <f t="shared" si="951"/>
        <v/>
      </c>
      <c r="AG727" s="1380"/>
      <c r="AH727" s="1380"/>
      <c r="AI727" s="1381">
        <v>0</v>
      </c>
      <c r="AJ727" s="1382">
        <f t="shared" si="1025"/>
        <v>0</v>
      </c>
      <c r="AK727" s="1383">
        <f t="shared" si="1026"/>
        <v>0</v>
      </c>
      <c r="AL727" s="1384">
        <v>0</v>
      </c>
      <c r="AM727" s="1363">
        <f t="shared" si="1027"/>
        <v>0</v>
      </c>
      <c r="AN727" s="1364">
        <v>0</v>
      </c>
      <c r="AO727" s="1365">
        <f t="shared" si="1028"/>
        <v>0</v>
      </c>
      <c r="AP727" s="1366">
        <v>0</v>
      </c>
      <c r="AQ727" s="1367">
        <f t="shared" si="1029"/>
        <v>0</v>
      </c>
      <c r="AR727" s="1368">
        <v>0</v>
      </c>
      <c r="AS727" s="1369">
        <f t="shared" si="1030"/>
        <v>0</v>
      </c>
      <c r="AT727" s="1370">
        <v>0</v>
      </c>
      <c r="AU727" s="1371">
        <f t="shared" si="1031"/>
        <v>0</v>
      </c>
      <c r="AV727" s="1359">
        <f t="shared" si="1032"/>
        <v>0</v>
      </c>
      <c r="AW727" s="1372">
        <f t="shared" si="1033"/>
        <v>0</v>
      </c>
      <c r="AX727" s="1373">
        <f t="shared" si="1034"/>
        <v>0</v>
      </c>
      <c r="AY727" s="1374">
        <f t="shared" si="1035"/>
        <v>0</v>
      </c>
      <c r="AZ727" s="1375">
        <f t="shared" si="1036"/>
        <v>0</v>
      </c>
      <c r="BA727" s="1376">
        <f t="shared" si="1037"/>
        <v>0</v>
      </c>
      <c r="BB727" s="1377"/>
      <c r="BC727" s="1820"/>
      <c r="BD727" s="1820"/>
      <c r="BE727" s="1823"/>
      <c r="BF727" s="1826"/>
      <c r="BG727" s="1829"/>
    </row>
    <row r="728" spans="1:59" s="1378" customFormat="1" ht="25.5">
      <c r="A728" s="1347" t="str">
        <f>L720</f>
        <v>Sani-Tech West Inc.</v>
      </c>
      <c r="B728" s="1348" t="str">
        <f>N720</f>
        <v>HUB</v>
      </c>
      <c r="C728" s="1348">
        <f>Z720</f>
        <v>98</v>
      </c>
      <c r="D728" s="1349">
        <v>43101</v>
      </c>
      <c r="E728" s="1349"/>
      <c r="F728" s="1347" t="s">
        <v>72</v>
      </c>
      <c r="G728" s="1347" t="s">
        <v>113</v>
      </c>
      <c r="H728" s="1347" t="s">
        <v>72</v>
      </c>
      <c r="I728" s="1347" t="s">
        <v>72</v>
      </c>
      <c r="J728" s="1349" t="s">
        <v>4670</v>
      </c>
      <c r="K728" s="1349" t="s">
        <v>254</v>
      </c>
      <c r="L728" s="1397" t="s">
        <v>5224</v>
      </c>
      <c r="M728" s="1397" t="s">
        <v>4705</v>
      </c>
      <c r="N728" s="1412" t="s">
        <v>4706</v>
      </c>
      <c r="O728" s="1399" t="s">
        <v>4774</v>
      </c>
      <c r="P728" s="1424"/>
      <c r="Q728" s="1400"/>
      <c r="R728" s="1400"/>
      <c r="S728" s="1400"/>
      <c r="T728" s="1400"/>
      <c r="U728" s="1400"/>
      <c r="V728" s="1400"/>
      <c r="W728" s="1400"/>
      <c r="X728" s="1400">
        <v>43191</v>
      </c>
      <c r="Y728" s="1400">
        <v>43466</v>
      </c>
      <c r="Z728" s="1355"/>
      <c r="AA728" s="1355" t="s">
        <v>4674</v>
      </c>
      <c r="AB728" s="1356"/>
      <c r="AC728" s="1356"/>
      <c r="AD728" s="1356"/>
      <c r="AE728" s="1356"/>
      <c r="AF728" s="1357" t="str">
        <f t="shared" si="951"/>
        <v/>
      </c>
      <c r="AG728" s="1380"/>
      <c r="AH728" s="1380"/>
      <c r="AI728" s="1381">
        <v>0</v>
      </c>
      <c r="AJ728" s="1382">
        <f t="shared" si="1025"/>
        <v>0</v>
      </c>
      <c r="AK728" s="1383">
        <f t="shared" si="1026"/>
        <v>0</v>
      </c>
      <c r="AL728" s="1384">
        <v>0</v>
      </c>
      <c r="AM728" s="1363">
        <f t="shared" si="1027"/>
        <v>0</v>
      </c>
      <c r="AN728" s="1364">
        <v>0</v>
      </c>
      <c r="AO728" s="1365">
        <f t="shared" si="1028"/>
        <v>0</v>
      </c>
      <c r="AP728" s="1366">
        <v>0</v>
      </c>
      <c r="AQ728" s="1367">
        <f t="shared" si="1029"/>
        <v>0</v>
      </c>
      <c r="AR728" s="1368">
        <v>0</v>
      </c>
      <c r="AS728" s="1369">
        <f t="shared" si="1030"/>
        <v>0</v>
      </c>
      <c r="AT728" s="1370">
        <v>0</v>
      </c>
      <c r="AU728" s="1371">
        <f t="shared" si="1031"/>
        <v>0</v>
      </c>
      <c r="AV728" s="1359">
        <f t="shared" si="1032"/>
        <v>0</v>
      </c>
      <c r="AW728" s="1372">
        <f t="shared" si="1033"/>
        <v>0</v>
      </c>
      <c r="AX728" s="1373">
        <f t="shared" si="1034"/>
        <v>0</v>
      </c>
      <c r="AY728" s="1374">
        <f t="shared" si="1035"/>
        <v>0</v>
      </c>
      <c r="AZ728" s="1375">
        <f t="shared" si="1036"/>
        <v>0</v>
      </c>
      <c r="BA728" s="1376">
        <f t="shared" si="1037"/>
        <v>0</v>
      </c>
      <c r="BB728" s="1391"/>
      <c r="BC728" s="1820"/>
      <c r="BD728" s="1820"/>
      <c r="BE728" s="1823"/>
      <c r="BF728" s="1826"/>
      <c r="BG728" s="1829"/>
    </row>
    <row r="729" spans="1:59" s="1378" customFormat="1" ht="25.5">
      <c r="A729" s="1347" t="str">
        <f>L720</f>
        <v>Sani-Tech West Inc.</v>
      </c>
      <c r="B729" s="1348" t="str">
        <f>N720</f>
        <v>HUB</v>
      </c>
      <c r="C729" s="1348">
        <f>Z720</f>
        <v>98</v>
      </c>
      <c r="D729" s="1349">
        <v>43101</v>
      </c>
      <c r="E729" s="1349"/>
      <c r="F729" s="1347" t="s">
        <v>72</v>
      </c>
      <c r="G729" s="1347" t="s">
        <v>85</v>
      </c>
      <c r="H729" s="1347" t="s">
        <v>72</v>
      </c>
      <c r="I729" s="1347" t="s">
        <v>72</v>
      </c>
      <c r="J729" s="1349" t="s">
        <v>4670</v>
      </c>
      <c r="K729" s="1349" t="s">
        <v>254</v>
      </c>
      <c r="L729" s="1350" t="s">
        <v>3056</v>
      </c>
      <c r="M729" s="1350" t="s">
        <v>4708</v>
      </c>
      <c r="N729" s="1390" t="s">
        <v>4709</v>
      </c>
      <c r="O729" s="1352" t="s">
        <v>4710</v>
      </c>
      <c r="P729" s="1388"/>
      <c r="Q729" s="1354"/>
      <c r="R729" s="1354"/>
      <c r="S729" s="1354"/>
      <c r="T729" s="1354"/>
      <c r="U729" s="1354"/>
      <c r="V729" s="1354"/>
      <c r="W729" s="1354"/>
      <c r="X729" s="1353">
        <v>43101</v>
      </c>
      <c r="Y729" s="1353">
        <v>43466</v>
      </c>
      <c r="Z729" s="1355"/>
      <c r="AA729" s="1355" t="s">
        <v>4674</v>
      </c>
      <c r="AB729" s="1356"/>
      <c r="AC729" s="1356"/>
      <c r="AD729" s="1356"/>
      <c r="AE729" s="1356"/>
      <c r="AF729" s="1357" t="str">
        <f t="shared" si="951"/>
        <v/>
      </c>
      <c r="AG729" s="1380"/>
      <c r="AH729" s="1380"/>
      <c r="AI729" s="1381">
        <v>0</v>
      </c>
      <c r="AJ729" s="1382">
        <f t="shared" si="1025"/>
        <v>0</v>
      </c>
      <c r="AK729" s="1383">
        <f t="shared" si="1026"/>
        <v>0</v>
      </c>
      <c r="AL729" s="1384">
        <v>0</v>
      </c>
      <c r="AM729" s="1363">
        <f t="shared" si="1027"/>
        <v>0</v>
      </c>
      <c r="AN729" s="1364">
        <v>0</v>
      </c>
      <c r="AO729" s="1365">
        <f t="shared" si="1028"/>
        <v>0</v>
      </c>
      <c r="AP729" s="1366">
        <v>0</v>
      </c>
      <c r="AQ729" s="1367">
        <f t="shared" si="1029"/>
        <v>0</v>
      </c>
      <c r="AR729" s="1368">
        <v>0</v>
      </c>
      <c r="AS729" s="1369">
        <f t="shared" si="1030"/>
        <v>0</v>
      </c>
      <c r="AT729" s="1370">
        <v>0</v>
      </c>
      <c r="AU729" s="1371">
        <f t="shared" si="1031"/>
        <v>0</v>
      </c>
      <c r="AV729" s="1359">
        <f t="shared" si="1032"/>
        <v>0</v>
      </c>
      <c r="AW729" s="1372">
        <f t="shared" si="1033"/>
        <v>0</v>
      </c>
      <c r="AX729" s="1373">
        <f t="shared" si="1034"/>
        <v>0</v>
      </c>
      <c r="AY729" s="1374">
        <f t="shared" si="1035"/>
        <v>0</v>
      </c>
      <c r="AZ729" s="1375">
        <f t="shared" si="1036"/>
        <v>0</v>
      </c>
      <c r="BA729" s="1376">
        <f t="shared" si="1037"/>
        <v>0</v>
      </c>
      <c r="BB729" s="1391"/>
      <c r="BC729" s="1821"/>
      <c r="BD729" s="1821"/>
      <c r="BE729" s="1824"/>
      <c r="BF729" s="1827"/>
      <c r="BG729" s="1830"/>
    </row>
    <row r="730" spans="1:59" s="1315" customFormat="1" ht="63.75">
      <c r="A730" s="1277" t="str">
        <f t="shared" ref="A730:A745" si="1038">$L$730</f>
        <v>SeaSpine Orthopedics Corporation</v>
      </c>
      <c r="B730" s="1277" t="s">
        <v>4835</v>
      </c>
      <c r="C730" s="1316">
        <f t="shared" ref="C730:C745" si="1039">$Z$730</f>
        <v>333</v>
      </c>
      <c r="D730" s="1317">
        <v>42370</v>
      </c>
      <c r="E730" s="1317"/>
      <c r="F730" s="1277" t="s">
        <v>72</v>
      </c>
      <c r="G730" s="1277" t="s">
        <v>72</v>
      </c>
      <c r="H730" s="1277" t="s">
        <v>72</v>
      </c>
      <c r="I730" s="1277" t="s">
        <v>113</v>
      </c>
      <c r="J730" s="1317"/>
      <c r="K730" s="1317"/>
      <c r="L730" s="1452" t="s">
        <v>410</v>
      </c>
      <c r="M730" s="1453"/>
      <c r="N730" s="1427" t="s">
        <v>4835</v>
      </c>
      <c r="O730" s="1419" t="s">
        <v>2474</v>
      </c>
      <c r="P730" s="1419"/>
      <c r="Q730" s="1322"/>
      <c r="R730" s="1322"/>
      <c r="S730" s="1322"/>
      <c r="T730" s="1322"/>
      <c r="U730" s="1322"/>
      <c r="V730" s="1322"/>
      <c r="W730" s="1322"/>
      <c r="X730" s="1317">
        <v>43101</v>
      </c>
      <c r="Y730" s="1317">
        <v>43466</v>
      </c>
      <c r="Z730" s="1316">
        <v>333</v>
      </c>
      <c r="AA730" s="1316" t="s">
        <v>5225</v>
      </c>
      <c r="AB730" s="1454">
        <f>SUM(AB731:AB746)</f>
        <v>0</v>
      </c>
      <c r="AC730" s="1454">
        <f>SUM(AC731:AC746)</f>
        <v>0</v>
      </c>
      <c r="AD730" s="1454">
        <f>SUM(AD731:AD746)</f>
        <v>0</v>
      </c>
      <c r="AE730" s="1324">
        <f t="shared" si="809"/>
        <v>0</v>
      </c>
      <c r="AF730" s="1325" t="str">
        <f t="shared" si="951"/>
        <v/>
      </c>
      <c r="AG730" s="1455">
        <f t="shared" si="949"/>
        <v>191498.21</v>
      </c>
      <c r="AH730" s="1455">
        <f>SUM(AH731:AH746)</f>
        <v>2297978.52</v>
      </c>
      <c r="AI730" s="1327"/>
      <c r="AJ730" s="1328">
        <f>SUM(AJ731:AJ746)</f>
        <v>15319.8568</v>
      </c>
      <c r="AK730" s="1328">
        <f>SUM(AK731:AK746)</f>
        <v>183838.28160000002</v>
      </c>
      <c r="AL730" s="1329"/>
      <c r="AM730" s="1330">
        <f>SUM(AM731:AM746)</f>
        <v>11489.892600000001</v>
      </c>
      <c r="AN730" s="1331"/>
      <c r="AO730" s="1332">
        <f>SUM(AO731:AO746)</f>
        <v>0</v>
      </c>
      <c r="AP730" s="1333"/>
      <c r="AQ730" s="1334">
        <f>SUM(AQ731:AQ746)</f>
        <v>0</v>
      </c>
      <c r="AR730" s="1335"/>
      <c r="AS730" s="1336">
        <f>SUM(AS731:AS746)</f>
        <v>0</v>
      </c>
      <c r="AT730" s="1337"/>
      <c r="AU730" s="1338">
        <f>SUM(AU731:AU746)</f>
        <v>57449.463000000003</v>
      </c>
      <c r="AV730" s="1339"/>
      <c r="AW730" s="1340">
        <f>SUM(AW731:AW746)</f>
        <v>114898.92599999999</v>
      </c>
      <c r="AX730" s="1306"/>
      <c r="AY730" s="1307">
        <f>SUM(AW730+AS730+AU730)</f>
        <v>172348.389</v>
      </c>
      <c r="AZ730" s="1308"/>
      <c r="BA730" s="1309">
        <f>SUM(AY730+AQ730)</f>
        <v>172348.389</v>
      </c>
      <c r="BB730" s="1342">
        <f>(AW730+AU730)/(AK730-AM730)</f>
        <v>0.99999999999999978</v>
      </c>
      <c r="BC730" s="1343"/>
      <c r="BD730" s="1343"/>
      <c r="BE730" s="1344"/>
      <c r="BF730" s="1428" t="s">
        <v>5226</v>
      </c>
      <c r="BG730" s="1346"/>
    </row>
    <row r="731" spans="1:59" s="1396" customFormat="1" ht="63.75">
      <c r="A731" s="1347" t="str">
        <f t="shared" si="1038"/>
        <v>SeaSpine Orthopedics Corporation</v>
      </c>
      <c r="B731" s="1347" t="s">
        <v>4835</v>
      </c>
      <c r="C731" s="1348">
        <f t="shared" si="1039"/>
        <v>333</v>
      </c>
      <c r="D731" s="1349">
        <v>42370</v>
      </c>
      <c r="E731" s="1349"/>
      <c r="F731" s="1347" t="s">
        <v>85</v>
      </c>
      <c r="G731" s="1347" t="s">
        <v>85</v>
      </c>
      <c r="H731" s="1347" t="s">
        <v>85</v>
      </c>
      <c r="I731" s="1347" t="s">
        <v>113</v>
      </c>
      <c r="J731" s="1349"/>
      <c r="K731" s="1349" t="s">
        <v>254</v>
      </c>
      <c r="L731" s="1350" t="s">
        <v>2661</v>
      </c>
      <c r="M731" s="1350" t="s">
        <v>3647</v>
      </c>
      <c r="N731" s="1351" t="s">
        <v>5227</v>
      </c>
      <c r="O731" s="1352" t="s">
        <v>5228</v>
      </c>
      <c r="P731" s="1352" t="s">
        <v>5229</v>
      </c>
      <c r="Q731" s="1353" t="s">
        <v>317</v>
      </c>
      <c r="R731" s="1353" t="s">
        <v>3648</v>
      </c>
      <c r="S731" s="1353" t="s">
        <v>315</v>
      </c>
      <c r="T731" s="1353" t="s">
        <v>85</v>
      </c>
      <c r="U731" s="1354"/>
      <c r="V731" s="1354"/>
      <c r="W731" s="1354"/>
      <c r="X731" s="1353">
        <v>43101</v>
      </c>
      <c r="Y731" s="1353">
        <v>43466</v>
      </c>
      <c r="Z731" s="1425"/>
      <c r="AA731" s="1355" t="s">
        <v>4841</v>
      </c>
      <c r="AB731" s="1394"/>
      <c r="AC731" s="1356"/>
      <c r="AD731" s="1356"/>
      <c r="AE731" s="1356"/>
      <c r="AF731" s="1357"/>
      <c r="AG731" s="1358">
        <f t="shared" si="949"/>
        <v>191498.21</v>
      </c>
      <c r="AH731" s="1358">
        <v>2297978.52</v>
      </c>
      <c r="AI731" s="1359">
        <v>0.08</v>
      </c>
      <c r="AJ731" s="1360">
        <f>$AI731*$AG731</f>
        <v>15319.8568</v>
      </c>
      <c r="AK731" s="1361">
        <f t="shared" ref="AK731:AK740" si="1040">AI731*$AH731</f>
        <v>183838.28160000002</v>
      </c>
      <c r="AL731" s="1362">
        <v>5.0000000000000001E-3</v>
      </c>
      <c r="AM731" s="1363">
        <f t="shared" ref="AM731:AM740" si="1041">AL731*$AH731</f>
        <v>11489.892600000001</v>
      </c>
      <c r="AN731" s="1364">
        <v>0</v>
      </c>
      <c r="AO731" s="1365">
        <f t="shared" ref="AO731:AO740" si="1042">AN731*$AH731</f>
        <v>0</v>
      </c>
      <c r="AP731" s="1366">
        <v>0</v>
      </c>
      <c r="AQ731" s="1367">
        <f t="shared" ref="AQ731:AQ740" si="1043">AP731*$AH731</f>
        <v>0</v>
      </c>
      <c r="AR731" s="1368">
        <v>0</v>
      </c>
      <c r="AS731" s="1369">
        <f t="shared" ref="AS731:AS740" si="1044">AR731*$AH731</f>
        <v>0</v>
      </c>
      <c r="AT731" s="1370">
        <v>2.5000000000000001E-2</v>
      </c>
      <c r="AU731" s="1371">
        <f t="shared" ref="AU731:AU740" si="1045">AT731*$AH731</f>
        <v>57449.463000000003</v>
      </c>
      <c r="AV731" s="1408">
        <f t="shared" ref="AV731:AV739" si="1046">AZ731-AR731-AT731-AP731</f>
        <v>4.9999999999999996E-2</v>
      </c>
      <c r="AW731" s="1372">
        <f t="shared" ref="AW731:AW740" si="1047">AV731*$AH731</f>
        <v>114898.92599999999</v>
      </c>
      <c r="AX731" s="1409">
        <f t="shared" ref="AX731:AX746" si="1048">$AZ731-$AP731</f>
        <v>7.4999999999999997E-2</v>
      </c>
      <c r="AY731" s="1374">
        <f t="shared" ref="AY731:AY740" si="1049">AX731*$AH731</f>
        <v>172348.389</v>
      </c>
      <c r="AZ731" s="1441">
        <f t="shared" ref="AZ731:AZ746" si="1050">$AI731-$AL731-$AN731</f>
        <v>7.4999999999999997E-2</v>
      </c>
      <c r="BA731" s="1376">
        <f t="shared" ref="BA731:BA740" si="1051">AZ731*$AH731</f>
        <v>172348.389</v>
      </c>
      <c r="BB731" s="1377"/>
      <c r="BC731" s="1819" t="s">
        <v>161</v>
      </c>
      <c r="BD731" s="1819" t="s">
        <v>400</v>
      </c>
      <c r="BE731" s="1822" t="s">
        <v>401</v>
      </c>
      <c r="BF731" s="1825" t="s">
        <v>3595</v>
      </c>
      <c r="BG731" s="1828">
        <v>473251758</v>
      </c>
    </row>
    <row r="732" spans="1:59" s="1396" customFormat="1" ht="51">
      <c r="A732" s="1347" t="str">
        <f t="shared" si="1038"/>
        <v>SeaSpine Orthopedics Corporation</v>
      </c>
      <c r="B732" s="1347" t="s">
        <v>4835</v>
      </c>
      <c r="C732" s="1348">
        <f t="shared" si="1039"/>
        <v>333</v>
      </c>
      <c r="D732" s="1349">
        <v>42370</v>
      </c>
      <c r="E732" s="1349"/>
      <c r="F732" s="1347" t="s">
        <v>72</v>
      </c>
      <c r="G732" s="1347" t="s">
        <v>85</v>
      </c>
      <c r="H732" s="1347" t="s">
        <v>72</v>
      </c>
      <c r="I732" s="1347" t="s">
        <v>72</v>
      </c>
      <c r="J732" s="1349" t="s">
        <v>4670</v>
      </c>
      <c r="K732" s="1349" t="s">
        <v>254</v>
      </c>
      <c r="L732" s="1350" t="s">
        <v>4671</v>
      </c>
      <c r="M732" s="1350" t="s">
        <v>3649</v>
      </c>
      <c r="N732" s="1351" t="s">
        <v>5230</v>
      </c>
      <c r="O732" s="1352" t="s">
        <v>5231</v>
      </c>
      <c r="P732" s="1352"/>
      <c r="Q732" s="1354"/>
      <c r="R732" s="1354"/>
      <c r="S732" s="1354"/>
      <c r="T732" s="1354"/>
      <c r="U732" s="1354"/>
      <c r="V732" s="1354"/>
      <c r="W732" s="1354"/>
      <c r="X732" s="1353">
        <v>43101</v>
      </c>
      <c r="Y732" s="1353">
        <v>43466</v>
      </c>
      <c r="Z732" s="1425"/>
      <c r="AA732" s="1355" t="s">
        <v>4674</v>
      </c>
      <c r="AB732" s="1394"/>
      <c r="AC732" s="1394"/>
      <c r="AD732" s="1356"/>
      <c r="AE732" s="1356"/>
      <c r="AF732" s="1395" t="str">
        <f t="shared" si="951"/>
        <v/>
      </c>
      <c r="AG732" s="1380"/>
      <c r="AH732" s="1380"/>
      <c r="AI732" s="1381">
        <v>0</v>
      </c>
      <c r="AJ732" s="1382">
        <f>$AI732*$AG732</f>
        <v>0</v>
      </c>
      <c r="AK732" s="1383">
        <f t="shared" si="1040"/>
        <v>0</v>
      </c>
      <c r="AL732" s="1384">
        <v>0</v>
      </c>
      <c r="AM732" s="1363">
        <f t="shared" si="1041"/>
        <v>0</v>
      </c>
      <c r="AN732" s="1364">
        <v>0</v>
      </c>
      <c r="AO732" s="1365">
        <f t="shared" si="1042"/>
        <v>0</v>
      </c>
      <c r="AP732" s="1366">
        <v>0</v>
      </c>
      <c r="AQ732" s="1367">
        <f t="shared" si="1043"/>
        <v>0</v>
      </c>
      <c r="AR732" s="1368">
        <v>0</v>
      </c>
      <c r="AS732" s="1369">
        <f t="shared" si="1044"/>
        <v>0</v>
      </c>
      <c r="AT732" s="1370">
        <v>0</v>
      </c>
      <c r="AU732" s="1371">
        <f t="shared" si="1045"/>
        <v>0</v>
      </c>
      <c r="AV732" s="1359">
        <f t="shared" si="1046"/>
        <v>0</v>
      </c>
      <c r="AW732" s="1372">
        <f t="shared" si="1047"/>
        <v>0</v>
      </c>
      <c r="AX732" s="1373">
        <f t="shared" si="1048"/>
        <v>0</v>
      </c>
      <c r="AY732" s="1374">
        <f t="shared" si="1049"/>
        <v>0</v>
      </c>
      <c r="AZ732" s="1375">
        <f t="shared" si="1050"/>
        <v>0</v>
      </c>
      <c r="BA732" s="1376">
        <f t="shared" si="1051"/>
        <v>0</v>
      </c>
      <c r="BB732" s="1377"/>
      <c r="BC732" s="1820"/>
      <c r="BD732" s="1820"/>
      <c r="BE732" s="1823"/>
      <c r="BF732" s="1826"/>
      <c r="BG732" s="1829"/>
    </row>
    <row r="733" spans="1:59" s="1378" customFormat="1" ht="24" customHeight="1">
      <c r="A733" s="1347" t="str">
        <f t="shared" si="1038"/>
        <v>SeaSpine Orthopedics Corporation</v>
      </c>
      <c r="B733" s="1347" t="s">
        <v>4835</v>
      </c>
      <c r="C733" s="1348">
        <f t="shared" si="1039"/>
        <v>333</v>
      </c>
      <c r="D733" s="1349">
        <v>42370</v>
      </c>
      <c r="E733" s="1349"/>
      <c r="F733" s="1347" t="s">
        <v>113</v>
      </c>
      <c r="G733" s="1347" t="s">
        <v>113</v>
      </c>
      <c r="H733" s="1347" t="s">
        <v>113</v>
      </c>
      <c r="I733" s="1347" t="s">
        <v>113</v>
      </c>
      <c r="J733" s="1349"/>
      <c r="K733" s="1349" t="s">
        <v>254</v>
      </c>
      <c r="L733" s="1397" t="s">
        <v>5232</v>
      </c>
      <c r="M733" s="1397" t="s">
        <v>3647</v>
      </c>
      <c r="N733" s="1461" t="s">
        <v>5233</v>
      </c>
      <c r="O733" s="1399">
        <v>232985</v>
      </c>
      <c r="P733" s="1485"/>
      <c r="Q733" s="1400"/>
      <c r="R733" s="1400"/>
      <c r="S733" s="1400"/>
      <c r="T733" s="1400"/>
      <c r="U733" s="1400"/>
      <c r="V733" s="1400"/>
      <c r="W733" s="1400"/>
      <c r="X733" s="1400">
        <v>43101</v>
      </c>
      <c r="Y733" s="1400">
        <v>43466</v>
      </c>
      <c r="Z733" s="1401"/>
      <c r="AA733" s="1401" t="s">
        <v>4887</v>
      </c>
      <c r="AB733" s="1369"/>
      <c r="AC733" s="1369"/>
      <c r="AD733" s="1369"/>
      <c r="AE733" s="1369"/>
      <c r="AF733" s="1403" t="str">
        <f t="shared" si="951"/>
        <v/>
      </c>
      <c r="AG733" s="1404"/>
      <c r="AH733" s="1404"/>
      <c r="AI733" s="1405">
        <v>0.05</v>
      </c>
      <c r="AJ733" s="1406">
        <v>0</v>
      </c>
      <c r="AK733" s="1406">
        <v>0</v>
      </c>
      <c r="AL733" s="1384">
        <v>0</v>
      </c>
      <c r="AM733" s="1363">
        <f>AL733*$AH733</f>
        <v>0</v>
      </c>
      <c r="AN733" s="1364">
        <v>0</v>
      </c>
      <c r="AO733" s="1365">
        <f>AN733*$AH733</f>
        <v>0</v>
      </c>
      <c r="AP733" s="1366">
        <v>0</v>
      </c>
      <c r="AQ733" s="1367">
        <f>AP733*$AH733</f>
        <v>0</v>
      </c>
      <c r="AR733" s="1368">
        <v>0</v>
      </c>
      <c r="AS733" s="1369">
        <f t="shared" si="1044"/>
        <v>0</v>
      </c>
      <c r="AT733" s="1370">
        <v>0</v>
      </c>
      <c r="AU733" s="1371">
        <f>AT733*$AH733</f>
        <v>0</v>
      </c>
      <c r="AV733" s="1359">
        <f>AZ733-AR733-AT733-AP733</f>
        <v>0.05</v>
      </c>
      <c r="AW733" s="1372">
        <f>AV733*$AH733</f>
        <v>0</v>
      </c>
      <c r="AX733" s="1373">
        <f t="shared" si="1048"/>
        <v>0.05</v>
      </c>
      <c r="AY733" s="1374">
        <f t="shared" si="1049"/>
        <v>0</v>
      </c>
      <c r="AZ733" s="1375">
        <f t="shared" si="1050"/>
        <v>0.05</v>
      </c>
      <c r="BA733" s="1376">
        <f t="shared" si="1051"/>
        <v>0</v>
      </c>
      <c r="BB733" s="1377"/>
      <c r="BC733" s="1820"/>
      <c r="BD733" s="1820"/>
      <c r="BE733" s="1823"/>
      <c r="BF733" s="1826"/>
      <c r="BG733" s="1829"/>
    </row>
    <row r="734" spans="1:59" s="1396" customFormat="1" ht="37.5" customHeight="1">
      <c r="A734" s="1347" t="str">
        <f t="shared" si="1038"/>
        <v>SeaSpine Orthopedics Corporation</v>
      </c>
      <c r="B734" s="1347" t="s">
        <v>4835</v>
      </c>
      <c r="C734" s="1348">
        <f t="shared" si="1039"/>
        <v>333</v>
      </c>
      <c r="D734" s="1349">
        <v>42370</v>
      </c>
      <c r="E734" s="1349"/>
      <c r="F734" s="1347" t="s">
        <v>113</v>
      </c>
      <c r="G734" s="1347" t="s">
        <v>113</v>
      </c>
      <c r="H734" s="1347" t="s">
        <v>113</v>
      </c>
      <c r="I734" s="1347" t="s">
        <v>113</v>
      </c>
      <c r="J734" s="1349"/>
      <c r="K734" s="1349" t="s">
        <v>254</v>
      </c>
      <c r="L734" s="1397" t="s">
        <v>4675</v>
      </c>
      <c r="M734" s="1397" t="s">
        <v>3650</v>
      </c>
      <c r="N734" s="1398" t="s">
        <v>5234</v>
      </c>
      <c r="O734" s="1399">
        <v>5928574</v>
      </c>
      <c r="P734" s="1399"/>
      <c r="Q734" s="1486"/>
      <c r="R734" s="1486"/>
      <c r="S734" s="1486"/>
      <c r="T734" s="1486"/>
      <c r="U734" s="1400" t="s">
        <v>4678</v>
      </c>
      <c r="V734" s="1400" t="s">
        <v>2482</v>
      </c>
      <c r="W734" s="1486"/>
      <c r="X734" s="1400">
        <v>43101</v>
      </c>
      <c r="Y734" s="1400">
        <v>43466</v>
      </c>
      <c r="Z734" s="1460"/>
      <c r="AA734" s="1401" t="s">
        <v>4887</v>
      </c>
      <c r="AB734" s="1402"/>
      <c r="AC734" s="1402"/>
      <c r="AD734" s="1369"/>
      <c r="AE734" s="1369"/>
      <c r="AF734" s="1448" t="str">
        <f t="shared" si="951"/>
        <v/>
      </c>
      <c r="AG734" s="1404"/>
      <c r="AH734" s="1404"/>
      <c r="AI734" s="1405">
        <v>0.1</v>
      </c>
      <c r="AJ734" s="1406">
        <v>0</v>
      </c>
      <c r="AK734" s="1406">
        <v>0</v>
      </c>
      <c r="AL734" s="1384">
        <v>0</v>
      </c>
      <c r="AM734" s="1363">
        <f t="shared" si="1041"/>
        <v>0</v>
      </c>
      <c r="AN734" s="1364">
        <v>0</v>
      </c>
      <c r="AO734" s="1365">
        <f t="shared" si="1042"/>
        <v>0</v>
      </c>
      <c r="AP734" s="1366">
        <v>0</v>
      </c>
      <c r="AQ734" s="1367">
        <f t="shared" si="1043"/>
        <v>0</v>
      </c>
      <c r="AR734" s="1368">
        <v>0</v>
      </c>
      <c r="AS734" s="1369">
        <f t="shared" si="1044"/>
        <v>0</v>
      </c>
      <c r="AT734" s="1370">
        <v>0</v>
      </c>
      <c r="AU734" s="1371">
        <f t="shared" si="1045"/>
        <v>0</v>
      </c>
      <c r="AV734" s="1359">
        <f t="shared" si="1046"/>
        <v>0.1</v>
      </c>
      <c r="AW734" s="1372">
        <f t="shared" si="1047"/>
        <v>0</v>
      </c>
      <c r="AX734" s="1373">
        <f t="shared" si="1048"/>
        <v>0.1</v>
      </c>
      <c r="AY734" s="1374">
        <f t="shared" si="1049"/>
        <v>0</v>
      </c>
      <c r="AZ734" s="1375">
        <f t="shared" si="1050"/>
        <v>0.1</v>
      </c>
      <c r="BA734" s="1376">
        <f t="shared" si="1051"/>
        <v>0</v>
      </c>
      <c r="BB734" s="1377"/>
      <c r="BC734" s="1820"/>
      <c r="BD734" s="1820"/>
      <c r="BE734" s="1823"/>
      <c r="BF734" s="1826"/>
      <c r="BG734" s="1829"/>
    </row>
    <row r="735" spans="1:59" s="1378" customFormat="1" ht="51">
      <c r="A735" s="1487" t="str">
        <f t="shared" si="1038"/>
        <v>SeaSpine Orthopedics Corporation</v>
      </c>
      <c r="B735" s="1487" t="s">
        <v>4835</v>
      </c>
      <c r="C735" s="1488">
        <f t="shared" si="1039"/>
        <v>333</v>
      </c>
      <c r="D735" s="1489">
        <v>42370</v>
      </c>
      <c r="E735" s="1489"/>
      <c r="F735" s="1487" t="s">
        <v>113</v>
      </c>
      <c r="G735" s="1487" t="s">
        <v>113</v>
      </c>
      <c r="H735" s="1487" t="s">
        <v>113</v>
      </c>
      <c r="I735" s="1487" t="s">
        <v>113</v>
      </c>
      <c r="J735" s="1489"/>
      <c r="K735" s="1489" t="s">
        <v>254</v>
      </c>
      <c r="L735" s="1397" t="s">
        <v>5235</v>
      </c>
      <c r="M735" s="1397" t="s">
        <v>4724</v>
      </c>
      <c r="N735" s="1398" t="s">
        <v>5236</v>
      </c>
      <c r="O735" s="1399">
        <v>30058318</v>
      </c>
      <c r="P735" s="1399"/>
      <c r="Q735" s="1400"/>
      <c r="R735" s="1400"/>
      <c r="S735" s="1400"/>
      <c r="T735" s="1400"/>
      <c r="U735" s="1400"/>
      <c r="V735" s="1400"/>
      <c r="W735" s="1400"/>
      <c r="X735" s="1400">
        <v>43101</v>
      </c>
      <c r="Y735" s="1400">
        <v>43466</v>
      </c>
      <c r="Z735" s="1401"/>
      <c r="AA735" s="1401" t="s">
        <v>4887</v>
      </c>
      <c r="AB735" s="1369"/>
      <c r="AC735" s="1369"/>
      <c r="AD735" s="1369"/>
      <c r="AE735" s="1369"/>
      <c r="AF735" s="1403" t="str">
        <f t="shared" si="951"/>
        <v/>
      </c>
      <c r="AG735" s="1404"/>
      <c r="AH735" s="1404"/>
      <c r="AI735" s="1405">
        <v>0.1</v>
      </c>
      <c r="AJ735" s="1406">
        <v>0</v>
      </c>
      <c r="AK735" s="1406">
        <v>0</v>
      </c>
      <c r="AL735" s="1384">
        <v>0</v>
      </c>
      <c r="AM735" s="1363">
        <f t="shared" si="1041"/>
        <v>0</v>
      </c>
      <c r="AN735" s="1364">
        <v>0</v>
      </c>
      <c r="AO735" s="1365">
        <f t="shared" si="1042"/>
        <v>0</v>
      </c>
      <c r="AP735" s="1366">
        <v>0</v>
      </c>
      <c r="AQ735" s="1367">
        <f t="shared" si="1043"/>
        <v>0</v>
      </c>
      <c r="AR735" s="1368">
        <v>0</v>
      </c>
      <c r="AS735" s="1369">
        <f t="shared" si="1044"/>
        <v>0</v>
      </c>
      <c r="AT735" s="1370">
        <v>0</v>
      </c>
      <c r="AU735" s="1371">
        <f t="shared" si="1045"/>
        <v>0</v>
      </c>
      <c r="AV735" s="1359">
        <f t="shared" si="1046"/>
        <v>0.1</v>
      </c>
      <c r="AW735" s="1372">
        <f t="shared" si="1047"/>
        <v>0</v>
      </c>
      <c r="AX735" s="1373">
        <f t="shared" si="1048"/>
        <v>0.1</v>
      </c>
      <c r="AY735" s="1374">
        <f t="shared" si="1049"/>
        <v>0</v>
      </c>
      <c r="AZ735" s="1375">
        <f t="shared" si="1050"/>
        <v>0.1</v>
      </c>
      <c r="BA735" s="1376">
        <f t="shared" si="1051"/>
        <v>0</v>
      </c>
      <c r="BB735" s="1377"/>
      <c r="BC735" s="1820"/>
      <c r="BD735" s="1820"/>
      <c r="BE735" s="1823"/>
      <c r="BF735" s="1826"/>
      <c r="BG735" s="1829"/>
    </row>
    <row r="736" spans="1:59" s="1396" customFormat="1" ht="45.75" customHeight="1">
      <c r="A736" s="1487" t="str">
        <f t="shared" si="1038"/>
        <v>SeaSpine Orthopedics Corporation</v>
      </c>
      <c r="B736" s="1487" t="s">
        <v>4835</v>
      </c>
      <c r="C736" s="1488">
        <f t="shared" si="1039"/>
        <v>333</v>
      </c>
      <c r="D736" s="1489">
        <v>42370</v>
      </c>
      <c r="E736" s="1489"/>
      <c r="F736" s="1487" t="s">
        <v>113</v>
      </c>
      <c r="G736" s="1487" t="s">
        <v>5237</v>
      </c>
      <c r="H736" s="1487" t="s">
        <v>85</v>
      </c>
      <c r="I736" s="1487" t="s">
        <v>113</v>
      </c>
      <c r="J736" s="1489"/>
      <c r="K736" s="1489" t="s">
        <v>254</v>
      </c>
      <c r="L736" s="1490" t="s">
        <v>4682</v>
      </c>
      <c r="M736" s="1490" t="s">
        <v>4683</v>
      </c>
      <c r="N736" s="1491" t="s">
        <v>5238</v>
      </c>
      <c r="O736" s="1492" t="s">
        <v>5239</v>
      </c>
      <c r="P736" s="1493"/>
      <c r="Q736" s="1445"/>
      <c r="R736" s="1445"/>
      <c r="S736" s="1445"/>
      <c r="T736" s="1445"/>
      <c r="U736" s="1445"/>
      <c r="V736" s="1445"/>
      <c r="W736" s="1445"/>
      <c r="X736" s="1354">
        <v>43101</v>
      </c>
      <c r="Y736" s="1354">
        <v>43466</v>
      </c>
      <c r="Z736" s="1494"/>
      <c r="AA736" s="1495" t="s">
        <v>5240</v>
      </c>
      <c r="AB736" s="1394"/>
      <c r="AC736" s="1394"/>
      <c r="AD736" s="1356"/>
      <c r="AE736" s="1356"/>
      <c r="AF736" s="1395" t="str">
        <f t="shared" si="951"/>
        <v/>
      </c>
      <c r="AG736" s="1380"/>
      <c r="AH736" s="1380"/>
      <c r="AI736" s="1381">
        <v>0.15</v>
      </c>
      <c r="AJ736" s="1382">
        <f>$AI736*$AG736</f>
        <v>0</v>
      </c>
      <c r="AK736" s="1383">
        <f t="shared" si="1040"/>
        <v>0</v>
      </c>
      <c r="AL736" s="1384">
        <v>0</v>
      </c>
      <c r="AM736" s="1363">
        <f t="shared" si="1041"/>
        <v>0</v>
      </c>
      <c r="AN736" s="1364">
        <v>0</v>
      </c>
      <c r="AO736" s="1365">
        <f t="shared" si="1042"/>
        <v>0</v>
      </c>
      <c r="AP736" s="1366">
        <v>0</v>
      </c>
      <c r="AQ736" s="1367">
        <f t="shared" si="1043"/>
        <v>0</v>
      </c>
      <c r="AR736" s="1368">
        <v>0</v>
      </c>
      <c r="AS736" s="1369">
        <f t="shared" si="1044"/>
        <v>0</v>
      </c>
      <c r="AT736" s="1370">
        <v>0</v>
      </c>
      <c r="AU736" s="1371">
        <f t="shared" si="1045"/>
        <v>0</v>
      </c>
      <c r="AV736" s="1359">
        <f t="shared" si="1046"/>
        <v>0.15</v>
      </c>
      <c r="AW736" s="1372">
        <f t="shared" si="1047"/>
        <v>0</v>
      </c>
      <c r="AX736" s="1373">
        <f t="shared" si="1048"/>
        <v>0.15</v>
      </c>
      <c r="AY736" s="1374">
        <f t="shared" si="1049"/>
        <v>0</v>
      </c>
      <c r="AZ736" s="1375">
        <f t="shared" si="1050"/>
        <v>0.15</v>
      </c>
      <c r="BA736" s="1376">
        <f t="shared" si="1051"/>
        <v>0</v>
      </c>
      <c r="BB736" s="1377"/>
      <c r="BC736" s="1820"/>
      <c r="BD736" s="1820"/>
      <c r="BE736" s="1823"/>
      <c r="BF736" s="1826"/>
      <c r="BG736" s="1829"/>
    </row>
    <row r="737" spans="1:59" s="1396" customFormat="1" ht="29.25" customHeight="1">
      <c r="A737" s="1487" t="str">
        <f t="shared" si="1038"/>
        <v>SeaSpine Orthopedics Corporation</v>
      </c>
      <c r="B737" s="1487" t="s">
        <v>4835</v>
      </c>
      <c r="C737" s="1488">
        <f t="shared" si="1039"/>
        <v>333</v>
      </c>
      <c r="D737" s="1489">
        <v>42370</v>
      </c>
      <c r="E737" s="1489"/>
      <c r="F737" s="1487" t="s">
        <v>113</v>
      </c>
      <c r="G737" s="1487" t="s">
        <v>5237</v>
      </c>
      <c r="H737" s="1487" t="s">
        <v>85</v>
      </c>
      <c r="I737" s="1487" t="s">
        <v>113</v>
      </c>
      <c r="J737" s="1489"/>
      <c r="K737" s="1489" t="s">
        <v>254</v>
      </c>
      <c r="L737" s="1490" t="s">
        <v>4682</v>
      </c>
      <c r="M737" s="1490" t="s">
        <v>4686</v>
      </c>
      <c r="N737" s="1491" t="s">
        <v>60</v>
      </c>
      <c r="O737" s="1492" t="s">
        <v>4687</v>
      </c>
      <c r="P737" s="1493"/>
      <c r="Q737" s="1445"/>
      <c r="R737" s="1445"/>
      <c r="S737" s="1445"/>
      <c r="T737" s="1445"/>
      <c r="U737" s="1445"/>
      <c r="V737" s="1445"/>
      <c r="W737" s="1445"/>
      <c r="X737" s="1354">
        <v>43101</v>
      </c>
      <c r="Y737" s="1354">
        <v>43466</v>
      </c>
      <c r="Z737" s="1494"/>
      <c r="AA737" s="1495" t="s">
        <v>5240</v>
      </c>
      <c r="AB737" s="1394"/>
      <c r="AC737" s="1394"/>
      <c r="AD737" s="1356"/>
      <c r="AE737" s="1356"/>
      <c r="AF737" s="1395" t="str">
        <f t="shared" si="951"/>
        <v/>
      </c>
      <c r="AG737" s="1380"/>
      <c r="AH737" s="1380"/>
      <c r="AI737" s="1381">
        <v>0.15</v>
      </c>
      <c r="AJ737" s="1382">
        <f>$AI737*$AG737</f>
        <v>0</v>
      </c>
      <c r="AK737" s="1383">
        <f t="shared" si="1040"/>
        <v>0</v>
      </c>
      <c r="AL737" s="1384">
        <v>0</v>
      </c>
      <c r="AM737" s="1363">
        <f t="shared" si="1041"/>
        <v>0</v>
      </c>
      <c r="AN737" s="1364">
        <v>0</v>
      </c>
      <c r="AO737" s="1365">
        <f t="shared" si="1042"/>
        <v>0</v>
      </c>
      <c r="AP737" s="1366">
        <v>0</v>
      </c>
      <c r="AQ737" s="1367">
        <f t="shared" si="1043"/>
        <v>0</v>
      </c>
      <c r="AR737" s="1368">
        <v>0</v>
      </c>
      <c r="AS737" s="1369">
        <f t="shared" si="1044"/>
        <v>0</v>
      </c>
      <c r="AT737" s="1370">
        <v>0</v>
      </c>
      <c r="AU737" s="1371">
        <f t="shared" si="1045"/>
        <v>0</v>
      </c>
      <c r="AV737" s="1359">
        <f t="shared" si="1046"/>
        <v>0.15</v>
      </c>
      <c r="AW737" s="1372">
        <f t="shared" si="1047"/>
        <v>0</v>
      </c>
      <c r="AX737" s="1373">
        <f t="shared" si="1048"/>
        <v>0.15</v>
      </c>
      <c r="AY737" s="1374">
        <f t="shared" si="1049"/>
        <v>0</v>
      </c>
      <c r="AZ737" s="1375">
        <f t="shared" si="1050"/>
        <v>0.15</v>
      </c>
      <c r="BA737" s="1376">
        <f t="shared" si="1051"/>
        <v>0</v>
      </c>
      <c r="BB737" s="1377"/>
      <c r="BC737" s="1820"/>
      <c r="BD737" s="1820"/>
      <c r="BE737" s="1823"/>
      <c r="BF737" s="1826"/>
      <c r="BG737" s="1829"/>
    </row>
    <row r="738" spans="1:59" s="1396" customFormat="1" ht="89.25">
      <c r="A738" s="1487" t="str">
        <f t="shared" si="1038"/>
        <v>SeaSpine Orthopedics Corporation</v>
      </c>
      <c r="B738" s="1487" t="s">
        <v>4835</v>
      </c>
      <c r="C738" s="1488">
        <f t="shared" si="1039"/>
        <v>333</v>
      </c>
      <c r="D738" s="1489">
        <v>42370</v>
      </c>
      <c r="E738" s="1489"/>
      <c r="F738" s="1487" t="s">
        <v>113</v>
      </c>
      <c r="G738" s="1487" t="s">
        <v>5237</v>
      </c>
      <c r="H738" s="1487" t="s">
        <v>85</v>
      </c>
      <c r="I738" s="1487" t="s">
        <v>113</v>
      </c>
      <c r="J738" s="1489"/>
      <c r="K738" s="1489" t="s">
        <v>254</v>
      </c>
      <c r="L738" s="1490" t="s">
        <v>4682</v>
      </c>
      <c r="M738" s="1490" t="s">
        <v>62</v>
      </c>
      <c r="N738" s="1496" t="s">
        <v>5241</v>
      </c>
      <c r="O738" s="1492" t="s">
        <v>5242</v>
      </c>
      <c r="P738" s="1497"/>
      <c r="Q738" s="1445"/>
      <c r="R738" s="1445"/>
      <c r="S738" s="1445"/>
      <c r="T738" s="1445"/>
      <c r="U738" s="1445"/>
      <c r="V738" s="1445"/>
      <c r="W738" s="1445"/>
      <c r="X738" s="1354">
        <v>43101</v>
      </c>
      <c r="Y738" s="1354">
        <v>43466</v>
      </c>
      <c r="Z738" s="1494"/>
      <c r="AA738" s="1495" t="s">
        <v>5240</v>
      </c>
      <c r="AB738" s="1394"/>
      <c r="AC738" s="1394"/>
      <c r="AD738" s="1356"/>
      <c r="AE738" s="1356"/>
      <c r="AF738" s="1395" t="str">
        <f t="shared" si="951"/>
        <v/>
      </c>
      <c r="AG738" s="1380"/>
      <c r="AH738" s="1380"/>
      <c r="AI738" s="1381">
        <v>0.15</v>
      </c>
      <c r="AJ738" s="1382">
        <f>$AI738*$AG738</f>
        <v>0</v>
      </c>
      <c r="AK738" s="1383">
        <f t="shared" si="1040"/>
        <v>0</v>
      </c>
      <c r="AL738" s="1384">
        <v>0</v>
      </c>
      <c r="AM738" s="1363">
        <f t="shared" si="1041"/>
        <v>0</v>
      </c>
      <c r="AN738" s="1364">
        <v>0</v>
      </c>
      <c r="AO738" s="1365">
        <f t="shared" si="1042"/>
        <v>0</v>
      </c>
      <c r="AP738" s="1366">
        <v>0</v>
      </c>
      <c r="AQ738" s="1367">
        <f t="shared" si="1043"/>
        <v>0</v>
      </c>
      <c r="AR738" s="1368">
        <v>0</v>
      </c>
      <c r="AS738" s="1369">
        <f t="shared" si="1044"/>
        <v>0</v>
      </c>
      <c r="AT738" s="1370">
        <v>0</v>
      </c>
      <c r="AU738" s="1371">
        <f t="shared" si="1045"/>
        <v>0</v>
      </c>
      <c r="AV738" s="1359">
        <f t="shared" si="1046"/>
        <v>0.15</v>
      </c>
      <c r="AW738" s="1372">
        <f t="shared" si="1047"/>
        <v>0</v>
      </c>
      <c r="AX738" s="1373">
        <f t="shared" si="1048"/>
        <v>0.15</v>
      </c>
      <c r="AY738" s="1374">
        <f t="shared" si="1049"/>
        <v>0</v>
      </c>
      <c r="AZ738" s="1375">
        <f t="shared" si="1050"/>
        <v>0.15</v>
      </c>
      <c r="BA738" s="1376">
        <f t="shared" si="1051"/>
        <v>0</v>
      </c>
      <c r="BB738" s="1377"/>
      <c r="BC738" s="1820"/>
      <c r="BD738" s="1820"/>
      <c r="BE738" s="1823"/>
      <c r="BF738" s="1826"/>
      <c r="BG738" s="1829"/>
    </row>
    <row r="739" spans="1:59" s="1378" customFormat="1" ht="27.75" customHeight="1">
      <c r="A739" s="1347" t="str">
        <f>L$730</f>
        <v>SeaSpine Orthopedics Corporation</v>
      </c>
      <c r="B739" s="1348" t="str">
        <f>N$730</f>
        <v>Duenas</v>
      </c>
      <c r="C739" s="1348">
        <f>Z$730</f>
        <v>333</v>
      </c>
      <c r="D739" s="1489">
        <v>42370</v>
      </c>
      <c r="E739" s="1489"/>
      <c r="F739" s="1347" t="s">
        <v>113</v>
      </c>
      <c r="G739" s="1487" t="s">
        <v>5237</v>
      </c>
      <c r="H739" s="1347" t="s">
        <v>85</v>
      </c>
      <c r="I739" s="1347" t="s">
        <v>113</v>
      </c>
      <c r="J739" s="1349"/>
      <c r="K739" s="1349"/>
      <c r="L739" s="1490" t="s">
        <v>4682</v>
      </c>
      <c r="M739" s="1490" t="s">
        <v>5243</v>
      </c>
      <c r="N739" s="1498" t="s">
        <v>3660</v>
      </c>
      <c r="O739" s="1492" t="s">
        <v>5244</v>
      </c>
      <c r="P739" s="1499"/>
      <c r="Q739" s="1354"/>
      <c r="R739" s="1354"/>
      <c r="S739" s="1354"/>
      <c r="T739" s="1354"/>
      <c r="U739" s="1354"/>
      <c r="V739" s="1354"/>
      <c r="W739" s="1354"/>
      <c r="X739" s="1354">
        <v>43101</v>
      </c>
      <c r="Y739" s="1354">
        <v>43466</v>
      </c>
      <c r="Z739" s="1495"/>
      <c r="AA739" s="1495" t="s">
        <v>4884</v>
      </c>
      <c r="AB739" s="1394"/>
      <c r="AC739" s="1356"/>
      <c r="AD739" s="1356"/>
      <c r="AE739" s="1356"/>
      <c r="AF739" s="1357" t="str">
        <f t="shared" si="951"/>
        <v/>
      </c>
      <c r="AG739" s="1380"/>
      <c r="AH739" s="1380"/>
      <c r="AI739" s="1381">
        <v>0.15</v>
      </c>
      <c r="AJ739" s="1382">
        <f>$AI739*$AG739</f>
        <v>0</v>
      </c>
      <c r="AK739" s="1383">
        <f t="shared" si="1040"/>
        <v>0</v>
      </c>
      <c r="AL739" s="1384">
        <v>0</v>
      </c>
      <c r="AM739" s="1363">
        <f t="shared" si="1041"/>
        <v>0</v>
      </c>
      <c r="AN739" s="1364">
        <v>0</v>
      </c>
      <c r="AO739" s="1365">
        <f t="shared" si="1042"/>
        <v>0</v>
      </c>
      <c r="AP739" s="1366">
        <v>0</v>
      </c>
      <c r="AQ739" s="1367">
        <f t="shared" si="1043"/>
        <v>0</v>
      </c>
      <c r="AR739" s="1368">
        <v>0</v>
      </c>
      <c r="AS739" s="1369">
        <f t="shared" si="1044"/>
        <v>0</v>
      </c>
      <c r="AT739" s="1370">
        <v>0</v>
      </c>
      <c r="AU739" s="1371">
        <f t="shared" si="1045"/>
        <v>0</v>
      </c>
      <c r="AV739" s="1359">
        <f t="shared" si="1046"/>
        <v>0.15</v>
      </c>
      <c r="AW739" s="1372">
        <f t="shared" si="1047"/>
        <v>0</v>
      </c>
      <c r="AX739" s="1373">
        <f t="shared" si="1048"/>
        <v>0.15</v>
      </c>
      <c r="AY739" s="1374">
        <f t="shared" si="1049"/>
        <v>0</v>
      </c>
      <c r="AZ739" s="1375">
        <f t="shared" si="1050"/>
        <v>0.15</v>
      </c>
      <c r="BA739" s="1376">
        <f t="shared" si="1051"/>
        <v>0</v>
      </c>
      <c r="BB739" s="1391"/>
      <c r="BC739" s="1820"/>
      <c r="BD739" s="1820"/>
      <c r="BE739" s="1823"/>
      <c r="BF739" s="1826"/>
      <c r="BG739" s="1829"/>
    </row>
    <row r="740" spans="1:59" s="1396" customFormat="1" ht="89.25">
      <c r="A740" s="1347" t="str">
        <f t="shared" si="1038"/>
        <v>SeaSpine Orthopedics Corporation</v>
      </c>
      <c r="B740" s="1347" t="s">
        <v>4835</v>
      </c>
      <c r="C740" s="1348">
        <f t="shared" si="1039"/>
        <v>333</v>
      </c>
      <c r="D740" s="1349">
        <v>42370</v>
      </c>
      <c r="E740" s="1349"/>
      <c r="F740" s="1347" t="s">
        <v>113</v>
      </c>
      <c r="G740" s="1487" t="s">
        <v>5237</v>
      </c>
      <c r="H740" s="1347" t="s">
        <v>85</v>
      </c>
      <c r="I740" s="1347" t="s">
        <v>113</v>
      </c>
      <c r="J740" s="1349"/>
      <c r="K740" s="1349" t="s">
        <v>254</v>
      </c>
      <c r="L740" s="1490" t="s">
        <v>4682</v>
      </c>
      <c r="M740" s="1490" t="s">
        <v>67</v>
      </c>
      <c r="N740" s="1498" t="s">
        <v>82</v>
      </c>
      <c r="O740" s="1492" t="s">
        <v>5245</v>
      </c>
      <c r="P740" s="1492"/>
      <c r="Q740" s="1445"/>
      <c r="R740" s="1445"/>
      <c r="S740" s="1445"/>
      <c r="T740" s="1445"/>
      <c r="U740" s="1445"/>
      <c r="V740" s="1445"/>
      <c r="W740" s="1445"/>
      <c r="X740" s="1354">
        <v>43101</v>
      </c>
      <c r="Y740" s="1354">
        <v>43466</v>
      </c>
      <c r="Z740" s="1494"/>
      <c r="AA740" s="1495" t="s">
        <v>5240</v>
      </c>
      <c r="AB740" s="1394"/>
      <c r="AC740" s="1394"/>
      <c r="AD740" s="1356"/>
      <c r="AE740" s="1356"/>
      <c r="AF740" s="1395" t="str">
        <f t="shared" si="951"/>
        <v/>
      </c>
      <c r="AG740" s="1380"/>
      <c r="AH740" s="1500"/>
      <c r="AI740" s="1381">
        <v>0.15</v>
      </c>
      <c r="AJ740" s="1382">
        <f>$AI740*$AG740</f>
        <v>0</v>
      </c>
      <c r="AK740" s="1383">
        <f t="shared" si="1040"/>
        <v>0</v>
      </c>
      <c r="AL740" s="1384">
        <v>0</v>
      </c>
      <c r="AM740" s="1363">
        <f t="shared" si="1041"/>
        <v>0</v>
      </c>
      <c r="AN740" s="1364">
        <v>0</v>
      </c>
      <c r="AO740" s="1365">
        <f t="shared" si="1042"/>
        <v>0</v>
      </c>
      <c r="AP740" s="1366">
        <v>0</v>
      </c>
      <c r="AQ740" s="1367">
        <f t="shared" si="1043"/>
        <v>0</v>
      </c>
      <c r="AR740" s="1368">
        <v>0</v>
      </c>
      <c r="AS740" s="1369">
        <f t="shared" si="1044"/>
        <v>0</v>
      </c>
      <c r="AT740" s="1370">
        <v>0</v>
      </c>
      <c r="AU740" s="1371">
        <f t="shared" si="1045"/>
        <v>0</v>
      </c>
      <c r="AV740" s="1359">
        <f>AZ740-AR740-AT740-AP740</f>
        <v>0.15</v>
      </c>
      <c r="AW740" s="1372">
        <f t="shared" si="1047"/>
        <v>0</v>
      </c>
      <c r="AX740" s="1373">
        <f t="shared" si="1048"/>
        <v>0.15</v>
      </c>
      <c r="AY740" s="1374">
        <f t="shared" si="1049"/>
        <v>0</v>
      </c>
      <c r="AZ740" s="1375">
        <f t="shared" si="1050"/>
        <v>0.15</v>
      </c>
      <c r="BA740" s="1376">
        <f t="shared" si="1051"/>
        <v>0</v>
      </c>
      <c r="BB740" s="1377"/>
      <c r="BC740" s="1820"/>
      <c r="BD740" s="1820"/>
      <c r="BE740" s="1823"/>
      <c r="BF740" s="1826"/>
      <c r="BG740" s="1829"/>
    </row>
    <row r="741" spans="1:59" s="1396" customFormat="1" ht="51">
      <c r="A741" s="1347" t="str">
        <f t="shared" si="1038"/>
        <v>SeaSpine Orthopedics Corporation</v>
      </c>
      <c r="B741" s="1347" t="s">
        <v>4835</v>
      </c>
      <c r="C741" s="1348">
        <f t="shared" si="1039"/>
        <v>333</v>
      </c>
      <c r="D741" s="1349">
        <v>42370</v>
      </c>
      <c r="E741" s="1349"/>
      <c r="F741" s="1347" t="s">
        <v>72</v>
      </c>
      <c r="G741" s="1347" t="s">
        <v>113</v>
      </c>
      <c r="H741" s="1347" t="s">
        <v>72</v>
      </c>
      <c r="I741" s="1347" t="s">
        <v>113</v>
      </c>
      <c r="J741" s="1349" t="s">
        <v>4670</v>
      </c>
      <c r="K741" s="1349"/>
      <c r="L741" s="1397" t="s">
        <v>4682</v>
      </c>
      <c r="M741" s="1397" t="s">
        <v>5246</v>
      </c>
      <c r="N741" s="1398" t="s">
        <v>5246</v>
      </c>
      <c r="O741" s="1399" t="s">
        <v>5247</v>
      </c>
      <c r="P741" s="1399"/>
      <c r="Q741" s="1486"/>
      <c r="R741" s="1486"/>
      <c r="S741" s="1486"/>
      <c r="T741" s="1486"/>
      <c r="U741" s="1486"/>
      <c r="V741" s="1486"/>
      <c r="W741" s="1486"/>
      <c r="X741" s="1400">
        <v>43101</v>
      </c>
      <c r="Y741" s="1400">
        <v>43466</v>
      </c>
      <c r="Z741" s="1401"/>
      <c r="AA741" s="1401" t="s">
        <v>5248</v>
      </c>
      <c r="AB741" s="1402"/>
      <c r="AC741" s="1402"/>
      <c r="AD741" s="1369"/>
      <c r="AE741" s="1369"/>
      <c r="AF741" s="1403" t="str">
        <f t="shared" si="951"/>
        <v/>
      </c>
      <c r="AG741" s="1404"/>
      <c r="AH741" s="1404"/>
      <c r="AI741" s="1405">
        <v>0</v>
      </c>
      <c r="AJ741" s="1406">
        <v>0</v>
      </c>
      <c r="AK741" s="1406">
        <v>0</v>
      </c>
      <c r="AL741" s="1384">
        <v>0</v>
      </c>
      <c r="AM741" s="1363">
        <f>AL741*$AH741</f>
        <v>0</v>
      </c>
      <c r="AN741" s="1364">
        <v>0</v>
      </c>
      <c r="AO741" s="1365">
        <f>AN741*$AH741</f>
        <v>0</v>
      </c>
      <c r="AP741" s="1366">
        <v>0</v>
      </c>
      <c r="AQ741" s="1367">
        <f>AP741*$AH741</f>
        <v>0</v>
      </c>
      <c r="AR741" s="1368">
        <v>0</v>
      </c>
      <c r="AS741" s="1369">
        <f>AR741*$AH741</f>
        <v>0</v>
      </c>
      <c r="AT741" s="1370">
        <v>0</v>
      </c>
      <c r="AU741" s="1371">
        <f>AT741*$AH741</f>
        <v>0</v>
      </c>
      <c r="AV741" s="1359">
        <f>AZ741-AR741-AT741-AP741</f>
        <v>0</v>
      </c>
      <c r="AW741" s="1372">
        <f>AV741*$AH741</f>
        <v>0</v>
      </c>
      <c r="AX741" s="1373">
        <f t="shared" si="1048"/>
        <v>0</v>
      </c>
      <c r="AY741" s="1374">
        <f>AX741*$AH741</f>
        <v>0</v>
      </c>
      <c r="AZ741" s="1375">
        <f t="shared" si="1050"/>
        <v>0</v>
      </c>
      <c r="BA741" s="1376">
        <f>AZ741*$AH741</f>
        <v>0</v>
      </c>
      <c r="BB741" s="1377"/>
      <c r="BC741" s="1820"/>
      <c r="BD741" s="1820"/>
      <c r="BE741" s="1823"/>
      <c r="BF741" s="1826"/>
      <c r="BG741" s="1829"/>
    </row>
    <row r="742" spans="1:59" s="1378" customFormat="1" ht="27.75" customHeight="1">
      <c r="A742" s="1347" t="s">
        <v>410</v>
      </c>
      <c r="B742" s="1348" t="s">
        <v>4835</v>
      </c>
      <c r="C742" s="1348">
        <v>333</v>
      </c>
      <c r="D742" s="1349">
        <v>42370</v>
      </c>
      <c r="E742" s="1349"/>
      <c r="F742" s="1347" t="s">
        <v>113</v>
      </c>
      <c r="G742" s="1347" t="s">
        <v>85</v>
      </c>
      <c r="H742" s="1347" t="s">
        <v>85</v>
      </c>
      <c r="I742" s="1347" t="s">
        <v>72</v>
      </c>
      <c r="J742" s="1349" t="s">
        <v>4670</v>
      </c>
      <c r="K742" s="1349" t="s">
        <v>254</v>
      </c>
      <c r="L742" s="1350" t="s">
        <v>4696</v>
      </c>
      <c r="M742" s="1350" t="s">
        <v>4697</v>
      </c>
      <c r="N742" s="1389" t="s">
        <v>4698</v>
      </c>
      <c r="O742" s="1352" t="s">
        <v>4699</v>
      </c>
      <c r="P742" s="1352"/>
      <c r="Q742" s="1354"/>
      <c r="R742" s="1354"/>
      <c r="S742" s="1354"/>
      <c r="T742" s="1354"/>
      <c r="U742" s="1354"/>
      <c r="V742" s="1354"/>
      <c r="W742" s="1354"/>
      <c r="X742" s="1353">
        <v>43101</v>
      </c>
      <c r="Y742" s="1353">
        <v>43466</v>
      </c>
      <c r="Z742" s="1355"/>
      <c r="AA742" s="1355" t="s">
        <v>4674</v>
      </c>
      <c r="AB742" s="1356"/>
      <c r="AC742" s="1356"/>
      <c r="AD742" s="1356"/>
      <c r="AE742" s="1356"/>
      <c r="AF742" s="1357" t="str">
        <f t="shared" si="951"/>
        <v/>
      </c>
      <c r="AG742" s="1380"/>
      <c r="AH742" s="1380"/>
      <c r="AI742" s="1381">
        <v>0</v>
      </c>
      <c r="AJ742" s="1382">
        <f>$AI742*$AG742</f>
        <v>0</v>
      </c>
      <c r="AK742" s="1383">
        <f t="shared" ref="AK742" si="1052">AI742*$AH742</f>
        <v>0</v>
      </c>
      <c r="AL742" s="1384">
        <v>0</v>
      </c>
      <c r="AM742" s="1363">
        <f t="shared" ref="AM742" si="1053">AL742*$AH742</f>
        <v>0</v>
      </c>
      <c r="AN742" s="1364">
        <v>0</v>
      </c>
      <c r="AO742" s="1365">
        <f t="shared" ref="AO742" si="1054">AN742*$AH742</f>
        <v>0</v>
      </c>
      <c r="AP742" s="1366">
        <v>0</v>
      </c>
      <c r="AQ742" s="1367">
        <f t="shared" ref="AQ742" si="1055">AP742*$AH742</f>
        <v>0</v>
      </c>
      <c r="AR742" s="1368">
        <v>0</v>
      </c>
      <c r="AS742" s="1369">
        <f t="shared" ref="AS742" si="1056">AR742*$AH742</f>
        <v>0</v>
      </c>
      <c r="AT742" s="1370">
        <v>0</v>
      </c>
      <c r="AU742" s="1371">
        <f t="shared" ref="AU742" si="1057">AT742*$AH742</f>
        <v>0</v>
      </c>
      <c r="AV742" s="1359">
        <f t="shared" ref="AV742" si="1058">AZ742-AR742-AT742-AP742</f>
        <v>0</v>
      </c>
      <c r="AW742" s="1372">
        <f t="shared" ref="AW742" si="1059">AV742*$AH742</f>
        <v>0</v>
      </c>
      <c r="AX742" s="1373">
        <f t="shared" si="1048"/>
        <v>0</v>
      </c>
      <c r="AY742" s="1374">
        <f t="shared" ref="AY742" si="1060">AX742*$AH742</f>
        <v>0</v>
      </c>
      <c r="AZ742" s="1375">
        <f t="shared" si="1050"/>
        <v>0</v>
      </c>
      <c r="BA742" s="1376">
        <f t="shared" ref="BA742" si="1061">AZ742*$AH742</f>
        <v>0</v>
      </c>
      <c r="BB742" s="1377"/>
      <c r="BC742" s="1820"/>
      <c r="BD742" s="1820"/>
      <c r="BE742" s="1823"/>
      <c r="BF742" s="1826"/>
      <c r="BG742" s="1829"/>
    </row>
    <row r="743" spans="1:59" s="1396" customFormat="1" ht="51">
      <c r="A743" s="1347" t="str">
        <f t="shared" si="1038"/>
        <v>SeaSpine Orthopedics Corporation</v>
      </c>
      <c r="B743" s="1347" t="s">
        <v>4835</v>
      </c>
      <c r="C743" s="1348">
        <f t="shared" si="1039"/>
        <v>333</v>
      </c>
      <c r="D743" s="1349">
        <v>42370</v>
      </c>
      <c r="E743" s="1349"/>
      <c r="F743" s="1347" t="s">
        <v>113</v>
      </c>
      <c r="G743" s="1347" t="s">
        <v>4700</v>
      </c>
      <c r="H743" s="1347" t="s">
        <v>85</v>
      </c>
      <c r="I743" s="1347" t="s">
        <v>72</v>
      </c>
      <c r="J743" s="1349" t="s">
        <v>4670</v>
      </c>
      <c r="K743" s="1349" t="s">
        <v>254</v>
      </c>
      <c r="L743" s="1350" t="s">
        <v>48</v>
      </c>
      <c r="M743" s="1350" t="s">
        <v>3652</v>
      </c>
      <c r="N743" s="1390" t="s">
        <v>4701</v>
      </c>
      <c r="O743" s="1352" t="s">
        <v>4702</v>
      </c>
      <c r="P743" s="1352"/>
      <c r="Q743" s="1445"/>
      <c r="R743" s="1445"/>
      <c r="S743" s="1445"/>
      <c r="T743" s="1445"/>
      <c r="U743" s="1445"/>
      <c r="V743" s="1445"/>
      <c r="W743" s="1445"/>
      <c r="X743" s="1353">
        <v>43101</v>
      </c>
      <c r="Y743" s="1353">
        <v>43466</v>
      </c>
      <c r="Z743" s="1425"/>
      <c r="AA743" s="1355" t="s">
        <v>4674</v>
      </c>
      <c r="AB743" s="1394"/>
      <c r="AC743" s="1394"/>
      <c r="AD743" s="1356"/>
      <c r="AE743" s="1356"/>
      <c r="AF743" s="1357" t="str">
        <f t="shared" si="951"/>
        <v/>
      </c>
      <c r="AG743" s="1380"/>
      <c r="AH743" s="1380"/>
      <c r="AI743" s="1381">
        <v>0</v>
      </c>
      <c r="AJ743" s="1383">
        <v>0</v>
      </c>
      <c r="AK743" s="1383">
        <v>0</v>
      </c>
      <c r="AL743" s="1384">
        <v>0</v>
      </c>
      <c r="AM743" s="1363">
        <f>AL743*$AH743</f>
        <v>0</v>
      </c>
      <c r="AN743" s="1364">
        <v>0</v>
      </c>
      <c r="AO743" s="1365">
        <f>AN743*$AH743</f>
        <v>0</v>
      </c>
      <c r="AP743" s="1366">
        <v>0</v>
      </c>
      <c r="AQ743" s="1367">
        <f>AP743*$AH743</f>
        <v>0</v>
      </c>
      <c r="AR743" s="1368">
        <v>0</v>
      </c>
      <c r="AS743" s="1369">
        <f>AR743*$AH743</f>
        <v>0</v>
      </c>
      <c r="AT743" s="1370">
        <v>0</v>
      </c>
      <c r="AU743" s="1371">
        <f>AT743*$AH743</f>
        <v>0</v>
      </c>
      <c r="AV743" s="1359">
        <f>AZ743-AR743-AT743-AP743</f>
        <v>0</v>
      </c>
      <c r="AW743" s="1372">
        <f>AV743*$AH743</f>
        <v>0</v>
      </c>
      <c r="AX743" s="1373">
        <f t="shared" si="1048"/>
        <v>0</v>
      </c>
      <c r="AY743" s="1374">
        <f>AX743*$AH743</f>
        <v>0</v>
      </c>
      <c r="AZ743" s="1375">
        <f t="shared" si="1050"/>
        <v>0</v>
      </c>
      <c r="BA743" s="1376">
        <f>AZ743*$AH743</f>
        <v>0</v>
      </c>
      <c r="BB743" s="1377"/>
      <c r="BC743" s="1820"/>
      <c r="BD743" s="1820"/>
      <c r="BE743" s="1823"/>
      <c r="BF743" s="1826"/>
      <c r="BG743" s="1829"/>
    </row>
    <row r="744" spans="1:59" s="1396" customFormat="1" ht="51">
      <c r="A744" s="1347" t="str">
        <f t="shared" si="1038"/>
        <v>SeaSpine Orthopedics Corporation</v>
      </c>
      <c r="B744" s="1347" t="s">
        <v>4835</v>
      </c>
      <c r="C744" s="1348">
        <f t="shared" si="1039"/>
        <v>333</v>
      </c>
      <c r="D744" s="1349">
        <v>42370</v>
      </c>
      <c r="E744" s="1349"/>
      <c r="F744" s="1347" t="s">
        <v>113</v>
      </c>
      <c r="G744" s="1347" t="s">
        <v>85</v>
      </c>
      <c r="H744" s="1347" t="s">
        <v>85</v>
      </c>
      <c r="I744" s="1347" t="s">
        <v>72</v>
      </c>
      <c r="J744" s="1349" t="s">
        <v>4670</v>
      </c>
      <c r="K744" s="1349" t="s">
        <v>254</v>
      </c>
      <c r="L744" s="1350" t="s">
        <v>48</v>
      </c>
      <c r="M744" s="1350" t="s">
        <v>253</v>
      </c>
      <c r="N744" s="1390" t="s">
        <v>4703</v>
      </c>
      <c r="O744" s="1352" t="s">
        <v>4704</v>
      </c>
      <c r="P744" s="1352"/>
      <c r="Q744" s="1445"/>
      <c r="R744" s="1445"/>
      <c r="S744" s="1445"/>
      <c r="T744" s="1445"/>
      <c r="U744" s="1445"/>
      <c r="V744" s="1445"/>
      <c r="W744" s="1445"/>
      <c r="X744" s="1501">
        <v>43160</v>
      </c>
      <c r="Y744" s="1353">
        <v>43466</v>
      </c>
      <c r="Z744" s="1425"/>
      <c r="AA744" s="1355" t="s">
        <v>4674</v>
      </c>
      <c r="AB744" s="1394"/>
      <c r="AC744" s="1394"/>
      <c r="AD744" s="1356"/>
      <c r="AE744" s="1356"/>
      <c r="AF744" s="1357" t="str">
        <f t="shared" si="951"/>
        <v/>
      </c>
      <c r="AG744" s="1380"/>
      <c r="AH744" s="1380"/>
      <c r="AI744" s="1381">
        <v>0</v>
      </c>
      <c r="AJ744" s="1383">
        <v>0</v>
      </c>
      <c r="AK744" s="1383">
        <v>0</v>
      </c>
      <c r="AL744" s="1384">
        <v>0</v>
      </c>
      <c r="AM744" s="1363">
        <f>AL744*$AH744</f>
        <v>0</v>
      </c>
      <c r="AN744" s="1364">
        <v>0</v>
      </c>
      <c r="AO744" s="1365">
        <f>AN744*$AH744</f>
        <v>0</v>
      </c>
      <c r="AP744" s="1366">
        <v>0</v>
      </c>
      <c r="AQ744" s="1367">
        <f>AP744*$AH744</f>
        <v>0</v>
      </c>
      <c r="AR744" s="1368">
        <v>0</v>
      </c>
      <c r="AS744" s="1369">
        <f>AR744*$AH744</f>
        <v>0</v>
      </c>
      <c r="AT744" s="1370">
        <v>0</v>
      </c>
      <c r="AU744" s="1371">
        <f>AT744*$AH744</f>
        <v>0</v>
      </c>
      <c r="AV744" s="1359">
        <f>AZ744-AR744-AT744-AP744</f>
        <v>0</v>
      </c>
      <c r="AW744" s="1372">
        <f>AV744*$AH744</f>
        <v>0</v>
      </c>
      <c r="AX744" s="1373">
        <f t="shared" si="1048"/>
        <v>0</v>
      </c>
      <c r="AY744" s="1374">
        <f>AX744*$AH744</f>
        <v>0</v>
      </c>
      <c r="AZ744" s="1375">
        <f t="shared" si="1050"/>
        <v>0</v>
      </c>
      <c r="BA744" s="1376">
        <f>AZ744*$AH744</f>
        <v>0</v>
      </c>
      <c r="BB744" s="1377"/>
      <c r="BC744" s="1820"/>
      <c r="BD744" s="1820"/>
      <c r="BE744" s="1823"/>
      <c r="BF744" s="1826"/>
      <c r="BG744" s="1829"/>
    </row>
    <row r="745" spans="1:59" s="1396" customFormat="1" ht="51">
      <c r="A745" s="1347" t="str">
        <f t="shared" si="1038"/>
        <v>SeaSpine Orthopedics Corporation</v>
      </c>
      <c r="B745" s="1347" t="s">
        <v>4835</v>
      </c>
      <c r="C745" s="1348">
        <f t="shared" si="1039"/>
        <v>333</v>
      </c>
      <c r="D745" s="1349">
        <v>42370</v>
      </c>
      <c r="E745" s="1349"/>
      <c r="F745" s="1347" t="s">
        <v>72</v>
      </c>
      <c r="G745" s="1347" t="s">
        <v>113</v>
      </c>
      <c r="H745" s="1347" t="s">
        <v>72</v>
      </c>
      <c r="I745" s="1347" t="s">
        <v>113</v>
      </c>
      <c r="J745" s="1349" t="s">
        <v>4670</v>
      </c>
      <c r="K745" s="1349" t="s">
        <v>254</v>
      </c>
      <c r="L745" s="1397" t="s">
        <v>409</v>
      </c>
      <c r="M745" s="1397" t="s">
        <v>4705</v>
      </c>
      <c r="N745" s="1412" t="s">
        <v>4746</v>
      </c>
      <c r="O745" s="1399" t="s">
        <v>5249</v>
      </c>
      <c r="P745" s="1399"/>
      <c r="Q745" s="1400"/>
      <c r="R745" s="1400"/>
      <c r="S745" s="1400"/>
      <c r="T745" s="1400"/>
      <c r="U745" s="1400"/>
      <c r="V745" s="1400"/>
      <c r="W745" s="1400"/>
      <c r="X745" s="1400">
        <v>43101</v>
      </c>
      <c r="Y745" s="1400">
        <v>43466</v>
      </c>
      <c r="Z745" s="1401"/>
      <c r="AA745" s="1401" t="s">
        <v>4738</v>
      </c>
      <c r="AB745" s="1402"/>
      <c r="AC745" s="1402"/>
      <c r="AD745" s="1369"/>
      <c r="AE745" s="1369"/>
      <c r="AF745" s="1448" t="str">
        <f t="shared" si="951"/>
        <v/>
      </c>
      <c r="AG745" s="1404"/>
      <c r="AH745" s="1404"/>
      <c r="AI745" s="1405">
        <v>0</v>
      </c>
      <c r="AJ745" s="1406">
        <v>0</v>
      </c>
      <c r="AK745" s="1406">
        <v>0</v>
      </c>
      <c r="AL745" s="1384">
        <v>0</v>
      </c>
      <c r="AM745" s="1363">
        <f t="shared" ref="AM745:AM746" si="1062">AL745*$AH745</f>
        <v>0</v>
      </c>
      <c r="AN745" s="1364">
        <v>0</v>
      </c>
      <c r="AO745" s="1365">
        <f t="shared" ref="AO745:AO746" si="1063">AN745*$AH745</f>
        <v>0</v>
      </c>
      <c r="AP745" s="1366">
        <v>0</v>
      </c>
      <c r="AQ745" s="1367">
        <f t="shared" ref="AQ745:AQ746" si="1064">AP745*$AH745</f>
        <v>0</v>
      </c>
      <c r="AR745" s="1368">
        <v>0</v>
      </c>
      <c r="AS745" s="1369">
        <f t="shared" ref="AS745:AS746" si="1065">AR745*$AH745</f>
        <v>0</v>
      </c>
      <c r="AT745" s="1370">
        <v>0</v>
      </c>
      <c r="AU745" s="1371">
        <f t="shared" ref="AU745:AU746" si="1066">AT745*$AH745</f>
        <v>0</v>
      </c>
      <c r="AV745" s="1359">
        <f>AZ745-AR745-AT745-AP745</f>
        <v>0</v>
      </c>
      <c r="AW745" s="1372">
        <f t="shared" ref="AW745:AW746" si="1067">AV745*$AH745</f>
        <v>0</v>
      </c>
      <c r="AX745" s="1373">
        <f t="shared" si="1048"/>
        <v>0</v>
      </c>
      <c r="AY745" s="1374">
        <f t="shared" ref="AY745:AY746" si="1068">AX745*$AH745</f>
        <v>0</v>
      </c>
      <c r="AZ745" s="1375">
        <f t="shared" si="1050"/>
        <v>0</v>
      </c>
      <c r="BA745" s="1376">
        <f t="shared" ref="BA745:BA746" si="1069">AZ745*$AH745</f>
        <v>0</v>
      </c>
      <c r="BB745" s="1377"/>
      <c r="BC745" s="1820"/>
      <c r="BD745" s="1820"/>
      <c r="BE745" s="1823"/>
      <c r="BF745" s="1826"/>
      <c r="BG745" s="1829"/>
    </row>
    <row r="746" spans="1:59" s="1378" customFormat="1" ht="36" customHeight="1">
      <c r="A746" s="1347" t="str">
        <f>A745</f>
        <v>SeaSpine Orthopedics Corporation</v>
      </c>
      <c r="B746" s="1348" t="str">
        <f>B745</f>
        <v>Duenas</v>
      </c>
      <c r="C746" s="1348">
        <f>C745</f>
        <v>333</v>
      </c>
      <c r="D746" s="1349">
        <v>42370</v>
      </c>
      <c r="E746" s="1349"/>
      <c r="F746" s="1347" t="s">
        <v>72</v>
      </c>
      <c r="G746" s="1347" t="s">
        <v>85</v>
      </c>
      <c r="H746" s="1347" t="s">
        <v>72</v>
      </c>
      <c r="I746" s="1347" t="s">
        <v>72</v>
      </c>
      <c r="J746" s="1349" t="s">
        <v>4670</v>
      </c>
      <c r="K746" s="1349" t="s">
        <v>254</v>
      </c>
      <c r="L746" s="1350" t="s">
        <v>3056</v>
      </c>
      <c r="M746" s="1350" t="s">
        <v>4708</v>
      </c>
      <c r="N746" s="1390" t="s">
        <v>4709</v>
      </c>
      <c r="O746" s="1352" t="s">
        <v>4710</v>
      </c>
      <c r="P746" s="1352"/>
      <c r="Q746" s="1354"/>
      <c r="R746" s="1354"/>
      <c r="S746" s="1354"/>
      <c r="T746" s="1354"/>
      <c r="U746" s="1354"/>
      <c r="V746" s="1354"/>
      <c r="W746" s="1354"/>
      <c r="X746" s="1353">
        <v>43101</v>
      </c>
      <c r="Y746" s="1353">
        <v>43466</v>
      </c>
      <c r="Z746" s="1355"/>
      <c r="AA746" s="1355" t="s">
        <v>4674</v>
      </c>
      <c r="AB746" s="1356"/>
      <c r="AC746" s="1356"/>
      <c r="AD746" s="1356"/>
      <c r="AE746" s="1356"/>
      <c r="AF746" s="1357" t="str">
        <f t="shared" si="951"/>
        <v/>
      </c>
      <c r="AG746" s="1380"/>
      <c r="AH746" s="1380"/>
      <c r="AI746" s="1381">
        <v>0</v>
      </c>
      <c r="AJ746" s="1382">
        <f>$AI746*$AG746</f>
        <v>0</v>
      </c>
      <c r="AK746" s="1383">
        <f t="shared" ref="AK746" si="1070">AI746*$AH746</f>
        <v>0</v>
      </c>
      <c r="AL746" s="1384">
        <v>0</v>
      </c>
      <c r="AM746" s="1363">
        <f t="shared" si="1062"/>
        <v>0</v>
      </c>
      <c r="AN746" s="1364">
        <v>0</v>
      </c>
      <c r="AO746" s="1365">
        <f t="shared" si="1063"/>
        <v>0</v>
      </c>
      <c r="AP746" s="1366">
        <v>0</v>
      </c>
      <c r="AQ746" s="1367">
        <f t="shared" si="1064"/>
        <v>0</v>
      </c>
      <c r="AR746" s="1368">
        <v>0</v>
      </c>
      <c r="AS746" s="1369">
        <f t="shared" si="1065"/>
        <v>0</v>
      </c>
      <c r="AT746" s="1370">
        <v>0</v>
      </c>
      <c r="AU746" s="1371">
        <f t="shared" si="1066"/>
        <v>0</v>
      </c>
      <c r="AV746" s="1359">
        <f t="shared" ref="AV746" si="1071">AZ746-AR746-AT746-AP746</f>
        <v>0</v>
      </c>
      <c r="AW746" s="1372">
        <f t="shared" si="1067"/>
        <v>0</v>
      </c>
      <c r="AX746" s="1373">
        <f t="shared" si="1048"/>
        <v>0</v>
      </c>
      <c r="AY746" s="1374">
        <f t="shared" si="1068"/>
        <v>0</v>
      </c>
      <c r="AZ746" s="1375">
        <f t="shared" si="1050"/>
        <v>0</v>
      </c>
      <c r="BA746" s="1376">
        <f t="shared" si="1069"/>
        <v>0</v>
      </c>
      <c r="BB746" s="1391"/>
      <c r="BC746" s="1821"/>
      <c r="BD746" s="1821"/>
      <c r="BE746" s="1824"/>
      <c r="BF746" s="1827"/>
      <c r="BG746" s="1830"/>
    </row>
    <row r="747" spans="1:59" s="1315" customFormat="1" ht="25.5">
      <c r="A747" s="1277" t="str">
        <f t="shared" ref="A747:A753" si="1072">L$747</f>
        <v>SentreHEART, Inc.</v>
      </c>
      <c r="B747" s="1316" t="str">
        <f t="shared" ref="B747:B753" si="1073">N$747</f>
        <v>ABD</v>
      </c>
      <c r="C747" s="1316">
        <f t="shared" ref="C747:C753" si="1074">Z$747</f>
        <v>34</v>
      </c>
      <c r="D747" s="1317">
        <v>43101</v>
      </c>
      <c r="E747" s="1317"/>
      <c r="F747" s="1277" t="s">
        <v>72</v>
      </c>
      <c r="G747" s="1277" t="s">
        <v>72</v>
      </c>
      <c r="H747" s="1277" t="s">
        <v>72</v>
      </c>
      <c r="I747" s="1277" t="s">
        <v>4711</v>
      </c>
      <c r="J747" s="1317"/>
      <c r="K747" s="1317"/>
      <c r="L747" s="1318" t="s">
        <v>1306</v>
      </c>
      <c r="M747" s="1319"/>
      <c r="N747" s="1417" t="s">
        <v>3654</v>
      </c>
      <c r="O747" s="1418" t="s">
        <v>2473</v>
      </c>
      <c r="P747" s="1419"/>
      <c r="Q747" s="1322"/>
      <c r="R747" s="1322"/>
      <c r="S747" s="1322"/>
      <c r="T747" s="1322"/>
      <c r="U747" s="1322"/>
      <c r="V747" s="1322"/>
      <c r="W747" s="1322"/>
      <c r="X747" s="1317">
        <v>43101</v>
      </c>
      <c r="Y747" s="1317">
        <v>43466</v>
      </c>
      <c r="Z747" s="1316">
        <v>34</v>
      </c>
      <c r="AA747" s="1316" t="s">
        <v>5250</v>
      </c>
      <c r="AB747" s="1323">
        <f>SUM(AB748:AB754)</f>
        <v>0</v>
      </c>
      <c r="AC747" s="1323">
        <f>SUM(AC748:AC754)</f>
        <v>0</v>
      </c>
      <c r="AD747" s="1323">
        <f>SUM(AD748:AD754)</f>
        <v>0</v>
      </c>
      <c r="AE747" s="1324">
        <f t="shared" ref="AE747:AE760" si="1075">AD747-AB747</f>
        <v>0</v>
      </c>
      <c r="AF747" s="1325" t="str">
        <f t="shared" si="951"/>
        <v/>
      </c>
      <c r="AG747" s="1326">
        <f t="shared" ref="AG747:AG801" si="1076">AH747/12</f>
        <v>35813.050000000003</v>
      </c>
      <c r="AH747" s="1326">
        <f>SUM(AH748:AH754)</f>
        <v>429756.60000000003</v>
      </c>
      <c r="AI747" s="1339"/>
      <c r="AJ747" s="1328">
        <f>SUM(AJ748:AJ754)</f>
        <v>2876.1754000000005</v>
      </c>
      <c r="AK747" s="1328">
        <f>SUM(AK748:AK754)</f>
        <v>34514.104800000001</v>
      </c>
      <c r="AL747" s="1329"/>
      <c r="AM747" s="1330">
        <f>SUM(AM748:AM754)</f>
        <v>2115.3888000000002</v>
      </c>
      <c r="AN747" s="1331"/>
      <c r="AO747" s="1332">
        <f>SUM(AO748:AO754)</f>
        <v>17457.417600000001</v>
      </c>
      <c r="AP747" s="1333"/>
      <c r="AQ747" s="1334">
        <f>SUM(AQ748:AQ754)</f>
        <v>0</v>
      </c>
      <c r="AR747" s="1335"/>
      <c r="AS747" s="1336">
        <f>SUM(AS748:AS754)</f>
        <v>0</v>
      </c>
      <c r="AT747" s="1337"/>
      <c r="AU747" s="1338">
        <f>SUM(AU748:AU754)</f>
        <v>10576.944000000001</v>
      </c>
      <c r="AV747" s="1339"/>
      <c r="AW747" s="1340">
        <f>SUM(AW748:AW754)</f>
        <v>4364.3543999999974</v>
      </c>
      <c r="AX747" s="1306"/>
      <c r="AY747" s="1307">
        <f>SUM(AW747+AS747+AU747)</f>
        <v>14941.2984</v>
      </c>
      <c r="AZ747" s="1341"/>
      <c r="BA747" s="1309">
        <f>SUM(AY747+AQ747)</f>
        <v>14941.2984</v>
      </c>
      <c r="BB747" s="1342">
        <f>(AW747+AU747)/(AK747-AM747)</f>
        <v>0.46116946116012747</v>
      </c>
      <c r="BC747" s="1343"/>
      <c r="BD747" s="1343"/>
      <c r="BE747" s="1344"/>
      <c r="BF747" s="1420" t="s">
        <v>5251</v>
      </c>
      <c r="BG747" s="1346"/>
    </row>
    <row r="748" spans="1:59" s="1378" customFormat="1" ht="76.5">
      <c r="A748" s="1347" t="str">
        <f t="shared" si="1072"/>
        <v>SentreHEART, Inc.</v>
      </c>
      <c r="B748" s="1348" t="str">
        <f t="shared" si="1073"/>
        <v>ABD</v>
      </c>
      <c r="C748" s="1348">
        <f t="shared" si="1074"/>
        <v>34</v>
      </c>
      <c r="D748" s="1349">
        <v>43101</v>
      </c>
      <c r="E748" s="1349"/>
      <c r="F748" s="1347" t="s">
        <v>85</v>
      </c>
      <c r="G748" s="1347" t="s">
        <v>85</v>
      </c>
      <c r="H748" s="1347" t="s">
        <v>85</v>
      </c>
      <c r="I748" s="1347" t="s">
        <v>113</v>
      </c>
      <c r="J748" s="1349"/>
      <c r="K748" s="1349" t="s">
        <v>254</v>
      </c>
      <c r="L748" s="1350" t="s">
        <v>2661</v>
      </c>
      <c r="M748" s="1350" t="s">
        <v>3647</v>
      </c>
      <c r="N748" s="1351" t="s">
        <v>5252</v>
      </c>
      <c r="O748" s="1352" t="s">
        <v>5253</v>
      </c>
      <c r="P748" s="1352" t="s">
        <v>5254</v>
      </c>
      <c r="Q748" s="1353" t="s">
        <v>303</v>
      </c>
      <c r="R748" s="1353" t="s">
        <v>3658</v>
      </c>
      <c r="S748" s="1502" t="s">
        <v>307</v>
      </c>
      <c r="T748" s="1502" t="s">
        <v>113</v>
      </c>
      <c r="U748" s="1354"/>
      <c r="V748" s="1354"/>
      <c r="W748" s="1354"/>
      <c r="X748" s="1353">
        <v>43101</v>
      </c>
      <c r="Y748" s="1353">
        <v>43466</v>
      </c>
      <c r="Z748" s="1355"/>
      <c r="AA748" s="1355" t="s">
        <v>4667</v>
      </c>
      <c r="AB748" s="1356"/>
      <c r="AC748" s="1356"/>
      <c r="AD748" s="1356"/>
      <c r="AE748" s="1356"/>
      <c r="AF748" s="1357" t="str">
        <f t="shared" si="951"/>
        <v/>
      </c>
      <c r="AG748" s="1358">
        <f t="shared" si="1076"/>
        <v>35256.480000000003</v>
      </c>
      <c r="AH748" s="1358">
        <v>423077.76</v>
      </c>
      <c r="AI748" s="1359">
        <v>0.08</v>
      </c>
      <c r="AJ748" s="1360">
        <f t="shared" ref="AJ748:AJ754" si="1077">$AI748*$AG748</f>
        <v>2820.5184000000004</v>
      </c>
      <c r="AK748" s="1361">
        <f t="shared" ref="AK748" si="1078">AI748*$AH748</f>
        <v>33846.220800000003</v>
      </c>
      <c r="AL748" s="1362">
        <v>5.0000000000000001E-3</v>
      </c>
      <c r="AM748" s="1363">
        <f t="shared" ref="AM748:AM754" si="1079">AL748*$AH748</f>
        <v>2115.3888000000002</v>
      </c>
      <c r="AN748" s="1364">
        <v>0.04</v>
      </c>
      <c r="AO748" s="1365">
        <f t="shared" ref="AO748:AO754" si="1080">AN748*$AH748</f>
        <v>16923.110400000001</v>
      </c>
      <c r="AP748" s="1366">
        <v>0</v>
      </c>
      <c r="AQ748" s="1367">
        <f t="shared" ref="AQ748:AQ754" si="1081">AP748*$AH748</f>
        <v>0</v>
      </c>
      <c r="AR748" s="1368">
        <v>0</v>
      </c>
      <c r="AS748" s="1369">
        <f t="shared" ref="AS748:AS754" si="1082">AR748*$AH748</f>
        <v>0</v>
      </c>
      <c r="AT748" s="1370">
        <v>2.5000000000000001E-2</v>
      </c>
      <c r="AU748" s="1371">
        <f t="shared" ref="AU748:AU754" si="1083">AT748*$AH748</f>
        <v>10576.944000000001</v>
      </c>
      <c r="AV748" s="1359">
        <f t="shared" ref="AV748:AV754" si="1084">AZ748-AR748-AT748-AP748</f>
        <v>9.999999999999995E-3</v>
      </c>
      <c r="AW748" s="1372">
        <f t="shared" ref="AW748:AW754" si="1085">AV748*$AH748</f>
        <v>4230.7775999999976</v>
      </c>
      <c r="AX748" s="1373">
        <f t="shared" ref="AX748:AX754" si="1086">$AZ748-$AP748</f>
        <v>3.4999999999999996E-2</v>
      </c>
      <c r="AY748" s="1374">
        <f t="shared" ref="AY748:AY754" si="1087">AX748*$AH748</f>
        <v>14807.721599999999</v>
      </c>
      <c r="AZ748" s="1375">
        <f t="shared" ref="AZ748:AZ754" si="1088">$AI748-$AL748-$AN748</f>
        <v>3.4999999999999996E-2</v>
      </c>
      <c r="BA748" s="1376">
        <f t="shared" ref="BA748:BA754" si="1089">AZ748*$AH748</f>
        <v>14807.721599999999</v>
      </c>
      <c r="BB748" s="1377"/>
      <c r="BC748" s="1819" t="s">
        <v>1310</v>
      </c>
      <c r="BD748" s="1819" t="s">
        <v>1331</v>
      </c>
      <c r="BE748" s="1822" t="s">
        <v>1331</v>
      </c>
      <c r="BF748" s="1825" t="s">
        <v>1330</v>
      </c>
      <c r="BG748" s="1828">
        <v>203181818</v>
      </c>
    </row>
    <row r="749" spans="1:59" s="1378" customFormat="1" ht="38.25">
      <c r="A749" s="1347" t="str">
        <f t="shared" si="1072"/>
        <v>SentreHEART, Inc.</v>
      </c>
      <c r="B749" s="1348" t="str">
        <f t="shared" si="1073"/>
        <v>ABD</v>
      </c>
      <c r="C749" s="1348">
        <f t="shared" si="1074"/>
        <v>34</v>
      </c>
      <c r="D749" s="1349">
        <v>43101</v>
      </c>
      <c r="E749" s="1349"/>
      <c r="F749" s="1347" t="s">
        <v>72</v>
      </c>
      <c r="G749" s="1347" t="s">
        <v>85</v>
      </c>
      <c r="H749" s="1347" t="s">
        <v>72</v>
      </c>
      <c r="I749" s="1347" t="s">
        <v>72</v>
      </c>
      <c r="J749" s="1349" t="s">
        <v>4670</v>
      </c>
      <c r="K749" s="1349" t="s">
        <v>254</v>
      </c>
      <c r="L749" s="1350" t="s">
        <v>4671</v>
      </c>
      <c r="M749" s="1350" t="s">
        <v>3649</v>
      </c>
      <c r="N749" s="1379" t="s">
        <v>5255</v>
      </c>
      <c r="O749" s="1352" t="s">
        <v>5256</v>
      </c>
      <c r="P749" s="1388"/>
      <c r="Q749" s="1354"/>
      <c r="R749" s="1354"/>
      <c r="S749" s="1354"/>
      <c r="T749" s="1354"/>
      <c r="U749" s="1354"/>
      <c r="V749" s="1354"/>
      <c r="W749" s="1354"/>
      <c r="X749" s="1353">
        <v>43101</v>
      </c>
      <c r="Y749" s="1353">
        <v>43466</v>
      </c>
      <c r="Z749" s="1355"/>
      <c r="AA749" s="1355" t="s">
        <v>4674</v>
      </c>
      <c r="AB749" s="1356"/>
      <c r="AC749" s="1356"/>
      <c r="AD749" s="1356"/>
      <c r="AE749" s="1356"/>
      <c r="AF749" s="1357" t="str">
        <f t="shared" si="951"/>
        <v/>
      </c>
      <c r="AG749" s="1380"/>
      <c r="AH749" s="1380"/>
      <c r="AI749" s="1381">
        <v>0</v>
      </c>
      <c r="AJ749" s="1382">
        <f t="shared" si="1077"/>
        <v>0</v>
      </c>
      <c r="AK749" s="1383">
        <f>AI749*$AH749</f>
        <v>0</v>
      </c>
      <c r="AL749" s="1384">
        <v>0</v>
      </c>
      <c r="AM749" s="1363">
        <f t="shared" si="1079"/>
        <v>0</v>
      </c>
      <c r="AN749" s="1364">
        <v>0</v>
      </c>
      <c r="AO749" s="1365">
        <f t="shared" si="1080"/>
        <v>0</v>
      </c>
      <c r="AP749" s="1366">
        <v>0</v>
      </c>
      <c r="AQ749" s="1367">
        <f t="shared" si="1081"/>
        <v>0</v>
      </c>
      <c r="AR749" s="1368">
        <v>0</v>
      </c>
      <c r="AS749" s="1369">
        <f t="shared" si="1082"/>
        <v>0</v>
      </c>
      <c r="AT749" s="1370">
        <v>0</v>
      </c>
      <c r="AU749" s="1371">
        <f t="shared" si="1083"/>
        <v>0</v>
      </c>
      <c r="AV749" s="1359">
        <f t="shared" si="1084"/>
        <v>0</v>
      </c>
      <c r="AW749" s="1372">
        <f t="shared" si="1085"/>
        <v>0</v>
      </c>
      <c r="AX749" s="1373">
        <f t="shared" si="1086"/>
        <v>0</v>
      </c>
      <c r="AY749" s="1374">
        <f t="shared" si="1087"/>
        <v>0</v>
      </c>
      <c r="AZ749" s="1375">
        <f t="shared" si="1088"/>
        <v>0</v>
      </c>
      <c r="BA749" s="1376">
        <f t="shared" si="1089"/>
        <v>0</v>
      </c>
      <c r="BB749" s="1377"/>
      <c r="BC749" s="1820"/>
      <c r="BD749" s="1820"/>
      <c r="BE749" s="1823"/>
      <c r="BF749" s="1826"/>
      <c r="BG749" s="1829"/>
    </row>
    <row r="750" spans="1:59" s="1378" customFormat="1" ht="38.25">
      <c r="A750" s="1347" t="str">
        <f t="shared" si="1072"/>
        <v>SentreHEART, Inc.</v>
      </c>
      <c r="B750" s="1348" t="str">
        <f t="shared" si="1073"/>
        <v>ABD</v>
      </c>
      <c r="C750" s="1348">
        <f t="shared" si="1074"/>
        <v>34</v>
      </c>
      <c r="D750" s="1349">
        <v>43101</v>
      </c>
      <c r="E750" s="1349"/>
      <c r="F750" s="1347" t="s">
        <v>113</v>
      </c>
      <c r="G750" s="1347" t="s">
        <v>85</v>
      </c>
      <c r="H750" s="1347" t="s">
        <v>85</v>
      </c>
      <c r="I750" s="1347" t="s">
        <v>113</v>
      </c>
      <c r="J750" s="1349"/>
      <c r="K750" s="1349" t="s">
        <v>254</v>
      </c>
      <c r="L750" s="1350" t="s">
        <v>4675</v>
      </c>
      <c r="M750" s="1350" t="s">
        <v>3651</v>
      </c>
      <c r="N750" s="1351" t="s">
        <v>4834</v>
      </c>
      <c r="O750" s="1352" t="s">
        <v>4681</v>
      </c>
      <c r="P750" s="1388"/>
      <c r="Q750" s="1354"/>
      <c r="R750" s="1354"/>
      <c r="S750" s="1354"/>
      <c r="T750" s="1354"/>
      <c r="U750" s="1354"/>
      <c r="V750" s="1354"/>
      <c r="W750" s="1353" t="s">
        <v>2492</v>
      </c>
      <c r="X750" s="1353">
        <v>43101</v>
      </c>
      <c r="Y750" s="1353">
        <v>43466</v>
      </c>
      <c r="Z750" s="1355"/>
      <c r="AA750" s="1355" t="s">
        <v>4679</v>
      </c>
      <c r="AB750" s="1356"/>
      <c r="AC750" s="1356"/>
      <c r="AD750" s="1356"/>
      <c r="AE750" s="1356"/>
      <c r="AF750" s="1357" t="str">
        <f t="shared" si="951"/>
        <v/>
      </c>
      <c r="AG750" s="1358">
        <f t="shared" si="1076"/>
        <v>556.57000000000005</v>
      </c>
      <c r="AH750" s="1358">
        <v>6678.84</v>
      </c>
      <c r="AI750" s="1359">
        <v>0.1</v>
      </c>
      <c r="AJ750" s="1360">
        <f t="shared" si="1077"/>
        <v>55.657000000000011</v>
      </c>
      <c r="AK750" s="1361">
        <f t="shared" ref="AK750:AK754" si="1090">AI750*$AH750</f>
        <v>667.88400000000001</v>
      </c>
      <c r="AL750" s="1384">
        <v>0</v>
      </c>
      <c r="AM750" s="1363">
        <f t="shared" si="1079"/>
        <v>0</v>
      </c>
      <c r="AN750" s="1364">
        <v>0.08</v>
      </c>
      <c r="AO750" s="1365">
        <f t="shared" si="1080"/>
        <v>534.30719999999997</v>
      </c>
      <c r="AP750" s="1366">
        <v>0</v>
      </c>
      <c r="AQ750" s="1367">
        <f t="shared" si="1081"/>
        <v>0</v>
      </c>
      <c r="AR750" s="1368">
        <v>0</v>
      </c>
      <c r="AS750" s="1369">
        <f t="shared" si="1082"/>
        <v>0</v>
      </c>
      <c r="AT750" s="1370">
        <v>0</v>
      </c>
      <c r="AU750" s="1371">
        <f t="shared" si="1083"/>
        <v>0</v>
      </c>
      <c r="AV750" s="1359">
        <f t="shared" si="1084"/>
        <v>2.0000000000000004E-2</v>
      </c>
      <c r="AW750" s="1372">
        <f t="shared" si="1085"/>
        <v>133.57680000000002</v>
      </c>
      <c r="AX750" s="1373">
        <f t="shared" si="1086"/>
        <v>2.0000000000000004E-2</v>
      </c>
      <c r="AY750" s="1374">
        <f t="shared" si="1087"/>
        <v>133.57680000000002</v>
      </c>
      <c r="AZ750" s="1375">
        <f t="shared" si="1088"/>
        <v>2.0000000000000004E-2</v>
      </c>
      <c r="BA750" s="1376">
        <f t="shared" si="1089"/>
        <v>133.57680000000002</v>
      </c>
      <c r="BB750" s="1377"/>
      <c r="BC750" s="1820"/>
      <c r="BD750" s="1820"/>
      <c r="BE750" s="1823"/>
      <c r="BF750" s="1826"/>
      <c r="BG750" s="1829"/>
    </row>
    <row r="751" spans="1:59" s="1378" customFormat="1" ht="27.75" customHeight="1">
      <c r="A751" s="1347" t="str">
        <f t="shared" si="1072"/>
        <v>SentreHEART, Inc.</v>
      </c>
      <c r="B751" s="1348" t="str">
        <f t="shared" si="1073"/>
        <v>ABD</v>
      </c>
      <c r="C751" s="1348">
        <f t="shared" si="1074"/>
        <v>34</v>
      </c>
      <c r="D751" s="1349">
        <v>43101</v>
      </c>
      <c r="E751" s="1349"/>
      <c r="F751" s="1347" t="s">
        <v>72</v>
      </c>
      <c r="G751" s="1347" t="s">
        <v>85</v>
      </c>
      <c r="H751" s="1347" t="s">
        <v>72</v>
      </c>
      <c r="I751" s="1347" t="s">
        <v>72</v>
      </c>
      <c r="J751" s="1349" t="s">
        <v>4670</v>
      </c>
      <c r="K751" s="1349" t="s">
        <v>254</v>
      </c>
      <c r="L751" s="1350" t="s">
        <v>4696</v>
      </c>
      <c r="M751" s="1350" t="s">
        <v>4697</v>
      </c>
      <c r="N751" s="1389" t="s">
        <v>4698</v>
      </c>
      <c r="O751" s="1352" t="s">
        <v>4699</v>
      </c>
      <c r="P751" s="1388"/>
      <c r="Q751" s="1354"/>
      <c r="R751" s="1354"/>
      <c r="S751" s="1354"/>
      <c r="T751" s="1354"/>
      <c r="U751" s="1354"/>
      <c r="V751" s="1354"/>
      <c r="W751" s="1354"/>
      <c r="X751" s="1353">
        <v>43101</v>
      </c>
      <c r="Y751" s="1353">
        <v>43466</v>
      </c>
      <c r="Z751" s="1355"/>
      <c r="AA751" s="1355" t="s">
        <v>4674</v>
      </c>
      <c r="AB751" s="1356"/>
      <c r="AC751" s="1356"/>
      <c r="AD751" s="1356"/>
      <c r="AE751" s="1356"/>
      <c r="AF751" s="1357" t="str">
        <f t="shared" si="951"/>
        <v/>
      </c>
      <c r="AG751" s="1380"/>
      <c r="AH751" s="1380"/>
      <c r="AI751" s="1381">
        <v>0</v>
      </c>
      <c r="AJ751" s="1382">
        <f t="shared" si="1077"/>
        <v>0</v>
      </c>
      <c r="AK751" s="1383">
        <f t="shared" si="1090"/>
        <v>0</v>
      </c>
      <c r="AL751" s="1384">
        <v>0</v>
      </c>
      <c r="AM751" s="1363">
        <f t="shared" si="1079"/>
        <v>0</v>
      </c>
      <c r="AN751" s="1364">
        <v>0</v>
      </c>
      <c r="AO751" s="1365">
        <f t="shared" si="1080"/>
        <v>0</v>
      </c>
      <c r="AP751" s="1366">
        <v>0</v>
      </c>
      <c r="AQ751" s="1367">
        <f t="shared" si="1081"/>
        <v>0</v>
      </c>
      <c r="AR751" s="1368">
        <v>0</v>
      </c>
      <c r="AS751" s="1369">
        <f t="shared" si="1082"/>
        <v>0</v>
      </c>
      <c r="AT751" s="1370">
        <v>0</v>
      </c>
      <c r="AU751" s="1371">
        <f t="shared" si="1083"/>
        <v>0</v>
      </c>
      <c r="AV751" s="1359">
        <f t="shared" si="1084"/>
        <v>0</v>
      </c>
      <c r="AW751" s="1372">
        <f t="shared" si="1085"/>
        <v>0</v>
      </c>
      <c r="AX751" s="1373">
        <f t="shared" si="1086"/>
        <v>0</v>
      </c>
      <c r="AY751" s="1374">
        <f t="shared" si="1087"/>
        <v>0</v>
      </c>
      <c r="AZ751" s="1375">
        <f t="shared" si="1088"/>
        <v>0</v>
      </c>
      <c r="BA751" s="1376">
        <f t="shared" si="1089"/>
        <v>0</v>
      </c>
      <c r="BB751" s="1377"/>
      <c r="BC751" s="1820"/>
      <c r="BD751" s="1820"/>
      <c r="BE751" s="1823"/>
      <c r="BF751" s="1826"/>
      <c r="BG751" s="1829"/>
    </row>
    <row r="752" spans="1:59" s="1378" customFormat="1" ht="38.25">
      <c r="A752" s="1347" t="str">
        <f t="shared" si="1072"/>
        <v>SentreHEART, Inc.</v>
      </c>
      <c r="B752" s="1348" t="str">
        <f t="shared" si="1073"/>
        <v>ABD</v>
      </c>
      <c r="C752" s="1348">
        <f t="shared" si="1074"/>
        <v>34</v>
      </c>
      <c r="D752" s="1349">
        <v>43101</v>
      </c>
      <c r="E752" s="1349"/>
      <c r="F752" s="1347" t="s">
        <v>72</v>
      </c>
      <c r="G752" s="1347" t="s">
        <v>113</v>
      </c>
      <c r="H752" s="1347" t="s">
        <v>72</v>
      </c>
      <c r="I752" s="1347" t="s">
        <v>72</v>
      </c>
      <c r="J752" s="1349" t="s">
        <v>4670</v>
      </c>
      <c r="K752" s="1349" t="s">
        <v>254</v>
      </c>
      <c r="L752" s="1397" t="s">
        <v>1302</v>
      </c>
      <c r="M752" s="1397" t="s">
        <v>253</v>
      </c>
      <c r="N752" s="1412" t="s">
        <v>5257</v>
      </c>
      <c r="O752" s="1399" t="s">
        <v>5258</v>
      </c>
      <c r="P752" s="1424"/>
      <c r="Q752" s="1400"/>
      <c r="R752" s="1400"/>
      <c r="S752" s="1400"/>
      <c r="T752" s="1400"/>
      <c r="U752" s="1400"/>
      <c r="V752" s="1400"/>
      <c r="W752" s="1400"/>
      <c r="X752" s="1400">
        <v>43101</v>
      </c>
      <c r="Y752" s="1400">
        <v>43466</v>
      </c>
      <c r="Z752" s="1401"/>
      <c r="AA752" s="1401" t="s">
        <v>4738</v>
      </c>
      <c r="AB752" s="1369"/>
      <c r="AC752" s="1369"/>
      <c r="AD752" s="1369"/>
      <c r="AE752" s="1369"/>
      <c r="AF752" s="1403" t="str">
        <f t="shared" si="951"/>
        <v/>
      </c>
      <c r="AG752" s="1404"/>
      <c r="AH752" s="1404"/>
      <c r="AI752" s="1405">
        <v>0</v>
      </c>
      <c r="AJ752" s="1411">
        <f t="shared" si="1077"/>
        <v>0</v>
      </c>
      <c r="AK752" s="1406">
        <f t="shared" si="1090"/>
        <v>0</v>
      </c>
      <c r="AL752" s="1384">
        <v>0</v>
      </c>
      <c r="AM752" s="1363">
        <f t="shared" si="1079"/>
        <v>0</v>
      </c>
      <c r="AN752" s="1364">
        <v>0</v>
      </c>
      <c r="AO752" s="1365">
        <f t="shared" si="1080"/>
        <v>0</v>
      </c>
      <c r="AP752" s="1366">
        <v>0</v>
      </c>
      <c r="AQ752" s="1367">
        <f t="shared" si="1081"/>
        <v>0</v>
      </c>
      <c r="AR752" s="1368">
        <v>0</v>
      </c>
      <c r="AS752" s="1369">
        <f t="shared" si="1082"/>
        <v>0</v>
      </c>
      <c r="AT752" s="1370">
        <v>0</v>
      </c>
      <c r="AU752" s="1371">
        <f t="shared" si="1083"/>
        <v>0</v>
      </c>
      <c r="AV752" s="1359">
        <f t="shared" si="1084"/>
        <v>0</v>
      </c>
      <c r="AW752" s="1372">
        <f t="shared" si="1085"/>
        <v>0</v>
      </c>
      <c r="AX752" s="1373">
        <f t="shared" si="1086"/>
        <v>0</v>
      </c>
      <c r="AY752" s="1374">
        <f t="shared" si="1087"/>
        <v>0</v>
      </c>
      <c r="AZ752" s="1375">
        <f t="shared" si="1088"/>
        <v>0</v>
      </c>
      <c r="BA752" s="1376">
        <f t="shared" si="1089"/>
        <v>0</v>
      </c>
      <c r="BB752" s="1377"/>
      <c r="BC752" s="1820"/>
      <c r="BD752" s="1820"/>
      <c r="BE752" s="1823"/>
      <c r="BF752" s="1826"/>
      <c r="BG752" s="1829"/>
    </row>
    <row r="753" spans="1:59" s="1378" customFormat="1" ht="38.25">
      <c r="A753" s="1347" t="str">
        <f t="shared" si="1072"/>
        <v>SentreHEART, Inc.</v>
      </c>
      <c r="B753" s="1348" t="str">
        <f t="shared" si="1073"/>
        <v>ABD</v>
      </c>
      <c r="C753" s="1348">
        <f t="shared" si="1074"/>
        <v>34</v>
      </c>
      <c r="D753" s="1349">
        <v>43101</v>
      </c>
      <c r="E753" s="1349"/>
      <c r="F753" s="1347" t="s">
        <v>72</v>
      </c>
      <c r="G753" s="1347" t="s">
        <v>113</v>
      </c>
      <c r="H753" s="1347" t="s">
        <v>72</v>
      </c>
      <c r="I753" s="1347" t="s">
        <v>72</v>
      </c>
      <c r="J753" s="1349" t="s">
        <v>4670</v>
      </c>
      <c r="K753" s="1349" t="s">
        <v>254</v>
      </c>
      <c r="L753" s="1397" t="s">
        <v>1302</v>
      </c>
      <c r="M753" s="1397" t="s">
        <v>4705</v>
      </c>
      <c r="N753" s="1412" t="s">
        <v>5259</v>
      </c>
      <c r="O753" s="1399" t="s">
        <v>4747</v>
      </c>
      <c r="P753" s="1424"/>
      <c r="Q753" s="1400"/>
      <c r="R753" s="1400"/>
      <c r="S753" s="1400"/>
      <c r="T753" s="1400"/>
      <c r="U753" s="1400"/>
      <c r="V753" s="1400"/>
      <c r="W753" s="1400"/>
      <c r="X753" s="1400">
        <v>43101</v>
      </c>
      <c r="Y753" s="1400">
        <v>43466</v>
      </c>
      <c r="Z753" s="1401"/>
      <c r="AA753" s="1401" t="s">
        <v>4738</v>
      </c>
      <c r="AB753" s="1369"/>
      <c r="AC753" s="1369"/>
      <c r="AD753" s="1369"/>
      <c r="AE753" s="1369"/>
      <c r="AF753" s="1403" t="str">
        <f t="shared" si="951"/>
        <v/>
      </c>
      <c r="AG753" s="1404"/>
      <c r="AH753" s="1404"/>
      <c r="AI753" s="1405">
        <v>0</v>
      </c>
      <c r="AJ753" s="1411">
        <f t="shared" si="1077"/>
        <v>0</v>
      </c>
      <c r="AK753" s="1406">
        <f t="shared" si="1090"/>
        <v>0</v>
      </c>
      <c r="AL753" s="1384">
        <v>0</v>
      </c>
      <c r="AM753" s="1363">
        <f t="shared" si="1079"/>
        <v>0</v>
      </c>
      <c r="AN753" s="1364">
        <v>0</v>
      </c>
      <c r="AO753" s="1365">
        <f t="shared" si="1080"/>
        <v>0</v>
      </c>
      <c r="AP753" s="1366">
        <v>0</v>
      </c>
      <c r="AQ753" s="1367">
        <f t="shared" si="1081"/>
        <v>0</v>
      </c>
      <c r="AR753" s="1368">
        <v>0</v>
      </c>
      <c r="AS753" s="1369">
        <f t="shared" si="1082"/>
        <v>0</v>
      </c>
      <c r="AT753" s="1370">
        <v>0</v>
      </c>
      <c r="AU753" s="1371">
        <f t="shared" si="1083"/>
        <v>0</v>
      </c>
      <c r="AV753" s="1359">
        <f t="shared" si="1084"/>
        <v>0</v>
      </c>
      <c r="AW753" s="1372">
        <f t="shared" si="1085"/>
        <v>0</v>
      </c>
      <c r="AX753" s="1373">
        <f t="shared" si="1086"/>
        <v>0</v>
      </c>
      <c r="AY753" s="1374">
        <f t="shared" si="1087"/>
        <v>0</v>
      </c>
      <c r="AZ753" s="1375">
        <f t="shared" si="1088"/>
        <v>0</v>
      </c>
      <c r="BA753" s="1376">
        <f t="shared" si="1089"/>
        <v>0</v>
      </c>
      <c r="BB753" s="1391"/>
      <c r="BC753" s="1820"/>
      <c r="BD753" s="1820"/>
      <c r="BE753" s="1823"/>
      <c r="BF753" s="1826"/>
      <c r="BG753" s="1829"/>
    </row>
    <row r="754" spans="1:59" s="1378" customFormat="1" ht="25.5">
      <c r="A754" s="1347" t="str">
        <f>L747</f>
        <v>SentreHEART, Inc.</v>
      </c>
      <c r="B754" s="1348" t="str">
        <f>N747</f>
        <v>ABD</v>
      </c>
      <c r="C754" s="1348">
        <f>Z747</f>
        <v>34</v>
      </c>
      <c r="D754" s="1349">
        <v>43101</v>
      </c>
      <c r="E754" s="1349"/>
      <c r="F754" s="1347" t="s">
        <v>72</v>
      </c>
      <c r="G754" s="1347" t="s">
        <v>85</v>
      </c>
      <c r="H754" s="1347" t="s">
        <v>72</v>
      </c>
      <c r="I754" s="1347" t="s">
        <v>72</v>
      </c>
      <c r="J754" s="1349" t="s">
        <v>4670</v>
      </c>
      <c r="K754" s="1349" t="s">
        <v>254</v>
      </c>
      <c r="L754" s="1350" t="s">
        <v>3056</v>
      </c>
      <c r="M754" s="1350" t="s">
        <v>4708</v>
      </c>
      <c r="N754" s="1390" t="s">
        <v>4709</v>
      </c>
      <c r="O754" s="1352" t="s">
        <v>4710</v>
      </c>
      <c r="P754" s="1388"/>
      <c r="Q754" s="1354"/>
      <c r="R754" s="1354"/>
      <c r="S754" s="1354"/>
      <c r="T754" s="1354"/>
      <c r="U754" s="1354"/>
      <c r="V754" s="1354"/>
      <c r="W754" s="1354"/>
      <c r="X754" s="1353">
        <v>43101</v>
      </c>
      <c r="Y754" s="1353">
        <v>43466</v>
      </c>
      <c r="Z754" s="1355"/>
      <c r="AA754" s="1355" t="s">
        <v>4674</v>
      </c>
      <c r="AB754" s="1356"/>
      <c r="AC754" s="1356"/>
      <c r="AD754" s="1356"/>
      <c r="AE754" s="1356"/>
      <c r="AF754" s="1357" t="str">
        <f t="shared" si="951"/>
        <v/>
      </c>
      <c r="AG754" s="1380"/>
      <c r="AH754" s="1380"/>
      <c r="AI754" s="1381">
        <v>0</v>
      </c>
      <c r="AJ754" s="1382">
        <f t="shared" si="1077"/>
        <v>0</v>
      </c>
      <c r="AK754" s="1383">
        <f t="shared" si="1090"/>
        <v>0</v>
      </c>
      <c r="AL754" s="1384">
        <v>0</v>
      </c>
      <c r="AM754" s="1363">
        <f t="shared" si="1079"/>
        <v>0</v>
      </c>
      <c r="AN754" s="1364">
        <v>0</v>
      </c>
      <c r="AO754" s="1365">
        <f t="shared" si="1080"/>
        <v>0</v>
      </c>
      <c r="AP754" s="1366">
        <v>0</v>
      </c>
      <c r="AQ754" s="1367">
        <f t="shared" si="1081"/>
        <v>0</v>
      </c>
      <c r="AR754" s="1368">
        <v>0</v>
      </c>
      <c r="AS754" s="1369">
        <f t="shared" si="1082"/>
        <v>0</v>
      </c>
      <c r="AT754" s="1370">
        <v>0</v>
      </c>
      <c r="AU754" s="1371">
        <f t="shared" si="1083"/>
        <v>0</v>
      </c>
      <c r="AV754" s="1359">
        <f t="shared" si="1084"/>
        <v>0</v>
      </c>
      <c r="AW754" s="1372">
        <f t="shared" si="1085"/>
        <v>0</v>
      </c>
      <c r="AX754" s="1373">
        <f t="shared" si="1086"/>
        <v>0</v>
      </c>
      <c r="AY754" s="1374">
        <f t="shared" si="1087"/>
        <v>0</v>
      </c>
      <c r="AZ754" s="1375">
        <f t="shared" si="1088"/>
        <v>0</v>
      </c>
      <c r="BA754" s="1376">
        <f t="shared" si="1089"/>
        <v>0</v>
      </c>
      <c r="BB754" s="1391"/>
      <c r="BC754" s="1821"/>
      <c r="BD754" s="1821"/>
      <c r="BE754" s="1824"/>
      <c r="BF754" s="1827"/>
      <c r="BG754" s="1830"/>
    </row>
    <row r="755" spans="1:59" s="1315" customFormat="1" ht="57" customHeight="1">
      <c r="A755" s="1277" t="str">
        <f t="shared" ref="A755:A770" si="1091">L$755</f>
        <v>Sequoia Consulting Group, LLC</v>
      </c>
      <c r="B755" s="1316" t="str">
        <f>N$800</f>
        <v>HUB SD</v>
      </c>
      <c r="C755" s="1316">
        <f>Z755</f>
        <v>88</v>
      </c>
      <c r="D755" s="1317">
        <v>43132</v>
      </c>
      <c r="E755" s="1317"/>
      <c r="F755" s="1277" t="s">
        <v>72</v>
      </c>
      <c r="G755" s="1277" t="s">
        <v>72</v>
      </c>
      <c r="H755" s="1277" t="s">
        <v>72</v>
      </c>
      <c r="I755" s="1277" t="s">
        <v>4711</v>
      </c>
      <c r="J755" s="1317"/>
      <c r="K755" s="1317"/>
      <c r="L755" s="1318" t="s">
        <v>3633</v>
      </c>
      <c r="M755" s="1318" t="s">
        <v>5260</v>
      </c>
      <c r="N755" s="1320" t="s">
        <v>4661</v>
      </c>
      <c r="O755" s="1321" t="s">
        <v>2473</v>
      </c>
      <c r="P755" s="1419"/>
      <c r="Q755" s="1322"/>
      <c r="R755" s="1322"/>
      <c r="S755" s="1322"/>
      <c r="T755" s="1322"/>
      <c r="U755" s="1322"/>
      <c r="V755" s="1322"/>
      <c r="W755" s="1322"/>
      <c r="X755" s="1317">
        <v>43132</v>
      </c>
      <c r="Y755" s="1317">
        <v>43466</v>
      </c>
      <c r="Z755" s="1316">
        <v>88</v>
      </c>
      <c r="AA755" s="1316" t="s">
        <v>5261</v>
      </c>
      <c r="AB755" s="1323">
        <f>SUM(AB756:AB770)</f>
        <v>730143</v>
      </c>
      <c r="AC755" s="1323">
        <f>SUM(AC756:AC770)</f>
        <v>989905</v>
      </c>
      <c r="AD755" s="1323">
        <f>SUM(AD756:AD770)</f>
        <v>576832.37</v>
      </c>
      <c r="AE755" s="1324">
        <f t="shared" si="1075"/>
        <v>-153310.63</v>
      </c>
      <c r="AF755" s="1325">
        <f t="shared" si="951"/>
        <v>-0.20997342986236944</v>
      </c>
      <c r="AG755" s="1326">
        <f t="shared" si="1076"/>
        <v>50736.183333333327</v>
      </c>
      <c r="AH755" s="1326">
        <f>SUM(AH756:AH770)</f>
        <v>608834.19999999995</v>
      </c>
      <c r="AI755" s="1339"/>
      <c r="AJ755" s="1328">
        <f>SUM(AJ756:AJ770)</f>
        <v>4414.3757999999998</v>
      </c>
      <c r="AK755" s="1328">
        <f>SUM(AK756:AK770)</f>
        <v>52972.509600000005</v>
      </c>
      <c r="AL755" s="1329"/>
      <c r="AM755" s="1330">
        <f>SUM(AM756:AM770)</f>
        <v>2545.6896000000002</v>
      </c>
      <c r="AN755" s="1331"/>
      <c r="AO755" s="1332">
        <f>SUM(AO756:AO770)</f>
        <v>0</v>
      </c>
      <c r="AP755" s="1333"/>
      <c r="AQ755" s="1334">
        <f>SUM(AQ756:AQ770)</f>
        <v>0</v>
      </c>
      <c r="AR755" s="1335"/>
      <c r="AS755" s="1336">
        <f>SUM(AS756:AS770)</f>
        <v>29249.9584</v>
      </c>
      <c r="AT755" s="1337"/>
      <c r="AU755" s="1338">
        <f>SUM(AU756:AU770)</f>
        <v>12728.448</v>
      </c>
      <c r="AV755" s="1339"/>
      <c r="AW755" s="1340">
        <f>SUM(AW756:AW770)</f>
        <v>8448.4135999999962</v>
      </c>
      <c r="AX755" s="1306"/>
      <c r="AY755" s="1307">
        <f>SUM(AW755+AS755+AU755)</f>
        <v>50426.819999999992</v>
      </c>
      <c r="AZ755" s="1341"/>
      <c r="BA755" s="1309">
        <f>SUM(AY755+AQ755)</f>
        <v>50426.819999999992</v>
      </c>
      <c r="BB755" s="1342">
        <f>(AW755+AU755)/(AK755-AM755)</f>
        <v>0.41995235075303167</v>
      </c>
      <c r="BC755" s="1343"/>
      <c r="BD755" s="1343"/>
      <c r="BE755" s="1344"/>
      <c r="BF755" s="1345" t="s">
        <v>4939</v>
      </c>
      <c r="BG755" s="1346"/>
    </row>
    <row r="756" spans="1:59" s="1378" customFormat="1" ht="76.5">
      <c r="A756" s="1347" t="str">
        <f t="shared" si="1091"/>
        <v>Sequoia Consulting Group, LLC</v>
      </c>
      <c r="B756" s="1348" t="str">
        <f t="shared" ref="B756:B770" si="1092">N$755</f>
        <v>HUB SD</v>
      </c>
      <c r="C756" s="1348">
        <f t="shared" ref="C756:C770" si="1093">Z$755</f>
        <v>88</v>
      </c>
      <c r="D756" s="1349">
        <f t="shared" ref="D756:D770" si="1094">D$755</f>
        <v>43132</v>
      </c>
      <c r="E756" s="1349"/>
      <c r="F756" s="1347" t="s">
        <v>85</v>
      </c>
      <c r="G756" s="1347" t="s">
        <v>85</v>
      </c>
      <c r="H756" s="1347" t="s">
        <v>85</v>
      </c>
      <c r="I756" s="1347" t="s">
        <v>85</v>
      </c>
      <c r="J756" s="1349"/>
      <c r="K756" s="1349" t="s">
        <v>254</v>
      </c>
      <c r="L756" s="1350" t="s">
        <v>2661</v>
      </c>
      <c r="M756" s="1350" t="s">
        <v>3647</v>
      </c>
      <c r="N756" s="1351" t="s">
        <v>5262</v>
      </c>
      <c r="O756" s="1352" t="s">
        <v>5263</v>
      </c>
      <c r="P756" s="1352" t="s">
        <v>5264</v>
      </c>
      <c r="Q756" s="1353" t="s">
        <v>317</v>
      </c>
      <c r="R756" s="1353" t="s">
        <v>3648</v>
      </c>
      <c r="S756" s="1502" t="s">
        <v>315</v>
      </c>
      <c r="T756" s="1353" t="s">
        <v>113</v>
      </c>
      <c r="U756" s="1354"/>
      <c r="V756" s="1354"/>
      <c r="W756" s="1354"/>
      <c r="X756" s="1353">
        <f t="shared" ref="X756:Y770" si="1095">X$755</f>
        <v>43132</v>
      </c>
      <c r="Y756" s="1353">
        <f t="shared" si="1095"/>
        <v>43466</v>
      </c>
      <c r="Z756" s="1355"/>
      <c r="AA756" s="1355" t="s">
        <v>4667</v>
      </c>
      <c r="AB756" s="1422">
        <v>641856</v>
      </c>
      <c r="AC756" s="1422">
        <v>897956</v>
      </c>
      <c r="AD756" s="1422">
        <f>AH756</f>
        <v>509137.91999999998</v>
      </c>
      <c r="AE756" s="1422">
        <f t="shared" si="1075"/>
        <v>-132718.08000000002</v>
      </c>
      <c r="AF756" s="1423">
        <f t="shared" si="951"/>
        <v>-0.20677236015554892</v>
      </c>
      <c r="AG756" s="1358">
        <f t="shared" si="1076"/>
        <v>42428.159999999996</v>
      </c>
      <c r="AH756" s="1358">
        <v>509137.91999999998</v>
      </c>
      <c r="AI756" s="1359">
        <v>0.08</v>
      </c>
      <c r="AJ756" s="1360">
        <f t="shared" ref="AJ756:AJ770" si="1096">$AI756*$AG756</f>
        <v>3394.2527999999998</v>
      </c>
      <c r="AK756" s="1361">
        <f t="shared" ref="AK756" si="1097">AI756*$AH756</f>
        <v>40731.033600000002</v>
      </c>
      <c r="AL756" s="1362">
        <v>5.0000000000000001E-3</v>
      </c>
      <c r="AM756" s="1363">
        <f t="shared" ref="AM756:AM770" si="1098">AL756*$AH756</f>
        <v>2545.6896000000002</v>
      </c>
      <c r="AN756" s="1364">
        <v>0</v>
      </c>
      <c r="AO756" s="1365">
        <f t="shared" ref="AO756:AO770" si="1099">AN756*$AH756</f>
        <v>0</v>
      </c>
      <c r="AP756" s="1366">
        <v>0</v>
      </c>
      <c r="AQ756" s="1367">
        <f t="shared" ref="AQ756:AQ770" si="1100">AP756*$AH756</f>
        <v>0</v>
      </c>
      <c r="AR756" s="1368">
        <v>0.04</v>
      </c>
      <c r="AS756" s="1369">
        <f t="shared" ref="AS756:AS770" si="1101">AR756*$AH756</f>
        <v>20365.516800000001</v>
      </c>
      <c r="AT756" s="1370">
        <v>2.5000000000000001E-2</v>
      </c>
      <c r="AU756" s="1371">
        <f t="shared" ref="AU756:AU770" si="1102">AT756*$AH756</f>
        <v>12728.448</v>
      </c>
      <c r="AV756" s="1359">
        <f t="shared" ref="AV756:AV770" si="1103">AZ756-AR756-AT756-AP756</f>
        <v>9.999999999999995E-3</v>
      </c>
      <c r="AW756" s="1372">
        <f t="shared" ref="AW756:AW770" si="1104">AV756*$AH756</f>
        <v>5091.3791999999976</v>
      </c>
      <c r="AX756" s="1373">
        <f t="shared" ref="AX756:AX770" si="1105">$AZ756-$AP756</f>
        <v>7.4999999999999997E-2</v>
      </c>
      <c r="AY756" s="1374">
        <f t="shared" ref="AY756:AY770" si="1106">AX756*$AH756</f>
        <v>38185.343999999997</v>
      </c>
      <c r="AZ756" s="1375">
        <f t="shared" ref="AZ756:AZ770" si="1107">$AI756-$AL756-$AN756</f>
        <v>7.4999999999999997E-2</v>
      </c>
      <c r="BA756" s="1376">
        <f t="shared" ref="BA756:BA770" si="1108">AZ756*$AH756</f>
        <v>38185.343999999997</v>
      </c>
      <c r="BB756" s="1391"/>
      <c r="BC756" s="1819" t="s">
        <v>3635</v>
      </c>
      <c r="BD756" s="1819" t="s">
        <v>3947</v>
      </c>
      <c r="BE756" s="1822" t="s">
        <v>3634</v>
      </c>
      <c r="BF756" s="1834" t="s">
        <v>5265</v>
      </c>
      <c r="BG756" s="1828">
        <v>461798608</v>
      </c>
    </row>
    <row r="757" spans="1:59" s="1378" customFormat="1" ht="38.25">
      <c r="A757" s="1347" t="str">
        <f t="shared" si="1091"/>
        <v>Sequoia Consulting Group, LLC</v>
      </c>
      <c r="B757" s="1348" t="str">
        <f t="shared" si="1092"/>
        <v>HUB SD</v>
      </c>
      <c r="C757" s="1348">
        <f t="shared" si="1093"/>
        <v>88</v>
      </c>
      <c r="D757" s="1349">
        <f t="shared" si="1094"/>
        <v>43132</v>
      </c>
      <c r="E757" s="1349"/>
      <c r="F757" s="1347" t="s">
        <v>72</v>
      </c>
      <c r="G757" s="1347" t="s">
        <v>85</v>
      </c>
      <c r="H757" s="1347" t="s">
        <v>72</v>
      </c>
      <c r="I757" s="1347" t="s">
        <v>72</v>
      </c>
      <c r="J757" s="1349" t="s">
        <v>4670</v>
      </c>
      <c r="K757" s="1349" t="s">
        <v>254</v>
      </c>
      <c r="L757" s="1350" t="s">
        <v>4671</v>
      </c>
      <c r="M757" s="1350" t="s">
        <v>3649</v>
      </c>
      <c r="N757" s="1379" t="s">
        <v>5266</v>
      </c>
      <c r="O757" s="1352" t="s">
        <v>5267</v>
      </c>
      <c r="P757" s="1388"/>
      <c r="Q757" s="1354"/>
      <c r="R757" s="1354"/>
      <c r="S757" s="1354"/>
      <c r="T757" s="1354"/>
      <c r="U757" s="1354"/>
      <c r="V757" s="1354"/>
      <c r="W757" s="1354"/>
      <c r="X757" s="1353">
        <f t="shared" si="1095"/>
        <v>43132</v>
      </c>
      <c r="Y757" s="1353">
        <f t="shared" si="1095"/>
        <v>43466</v>
      </c>
      <c r="Z757" s="1355"/>
      <c r="AA757" s="1355" t="s">
        <v>4674</v>
      </c>
      <c r="AB757" s="1356"/>
      <c r="AC757" s="1356"/>
      <c r="AD757" s="1356"/>
      <c r="AE757" s="1356"/>
      <c r="AF757" s="1357" t="str">
        <f t="shared" si="951"/>
        <v/>
      </c>
      <c r="AG757" s="1380"/>
      <c r="AH757" s="1380"/>
      <c r="AI757" s="1381">
        <v>0</v>
      </c>
      <c r="AJ757" s="1382">
        <f t="shared" si="1096"/>
        <v>0</v>
      </c>
      <c r="AK757" s="1383">
        <f>AI757*$AH757</f>
        <v>0</v>
      </c>
      <c r="AL757" s="1384">
        <v>0</v>
      </c>
      <c r="AM757" s="1363">
        <f t="shared" si="1098"/>
        <v>0</v>
      </c>
      <c r="AN757" s="1364">
        <v>0</v>
      </c>
      <c r="AO757" s="1365">
        <f t="shared" si="1099"/>
        <v>0</v>
      </c>
      <c r="AP757" s="1366">
        <v>0</v>
      </c>
      <c r="AQ757" s="1367">
        <f t="shared" si="1100"/>
        <v>0</v>
      </c>
      <c r="AR757" s="1368">
        <v>0</v>
      </c>
      <c r="AS757" s="1369">
        <f t="shared" si="1101"/>
        <v>0</v>
      </c>
      <c r="AT757" s="1370">
        <v>0</v>
      </c>
      <c r="AU757" s="1371">
        <f t="shared" si="1102"/>
        <v>0</v>
      </c>
      <c r="AV757" s="1359">
        <f t="shared" si="1103"/>
        <v>0</v>
      </c>
      <c r="AW757" s="1372">
        <f t="shared" si="1104"/>
        <v>0</v>
      </c>
      <c r="AX757" s="1373">
        <f t="shared" si="1105"/>
        <v>0</v>
      </c>
      <c r="AY757" s="1374">
        <f t="shared" si="1106"/>
        <v>0</v>
      </c>
      <c r="AZ757" s="1375">
        <f t="shared" si="1107"/>
        <v>0</v>
      </c>
      <c r="BA757" s="1376">
        <f t="shared" si="1108"/>
        <v>0</v>
      </c>
      <c r="BB757" s="1391"/>
      <c r="BC757" s="1820"/>
      <c r="BD757" s="1820"/>
      <c r="BE757" s="1823"/>
      <c r="BF757" s="1834"/>
      <c r="BG757" s="1829"/>
    </row>
    <row r="758" spans="1:59" s="1378" customFormat="1" ht="38.25">
      <c r="A758" s="1347" t="str">
        <f t="shared" si="1091"/>
        <v>Sequoia Consulting Group, LLC</v>
      </c>
      <c r="B758" s="1348" t="str">
        <f t="shared" si="1092"/>
        <v>HUB SD</v>
      </c>
      <c r="C758" s="1348">
        <f t="shared" si="1093"/>
        <v>88</v>
      </c>
      <c r="D758" s="1349">
        <f t="shared" si="1094"/>
        <v>43132</v>
      </c>
      <c r="E758" s="1349"/>
      <c r="F758" s="1347" t="s">
        <v>113</v>
      </c>
      <c r="G758" s="1347" t="s">
        <v>85</v>
      </c>
      <c r="H758" s="1347" t="s">
        <v>85</v>
      </c>
      <c r="I758" s="1347" t="s">
        <v>85</v>
      </c>
      <c r="J758" s="1349"/>
      <c r="K758" s="1349" t="s">
        <v>254</v>
      </c>
      <c r="L758" s="1350" t="s">
        <v>4675</v>
      </c>
      <c r="M758" s="1350" t="s">
        <v>3650</v>
      </c>
      <c r="N758" s="1385" t="s">
        <v>5268</v>
      </c>
      <c r="O758" s="1352" t="s">
        <v>4677</v>
      </c>
      <c r="P758" s="1388"/>
      <c r="Q758" s="1354"/>
      <c r="R758" s="1354"/>
      <c r="S758" s="1354"/>
      <c r="T758" s="1354"/>
      <c r="U758" s="1353" t="s">
        <v>4678</v>
      </c>
      <c r="V758" s="1353" t="s">
        <v>2482</v>
      </c>
      <c r="W758" s="1354"/>
      <c r="X758" s="1353">
        <f t="shared" si="1095"/>
        <v>43132</v>
      </c>
      <c r="Y758" s="1353">
        <f t="shared" si="1095"/>
        <v>43466</v>
      </c>
      <c r="Z758" s="1355"/>
      <c r="AA758" s="1355" t="s">
        <v>4679</v>
      </c>
      <c r="AB758" s="1422">
        <f>61918</f>
        <v>61918</v>
      </c>
      <c r="AC758" s="1422">
        <f>65580</f>
        <v>65580</v>
      </c>
      <c r="AD758" s="1422">
        <f>AH758</f>
        <v>46023.96</v>
      </c>
      <c r="AE758" s="1422">
        <f t="shared" si="1075"/>
        <v>-15894.04</v>
      </c>
      <c r="AF758" s="1423">
        <f t="shared" si="951"/>
        <v>-0.25669498368810362</v>
      </c>
      <c r="AG758" s="1358">
        <f t="shared" si="1076"/>
        <v>3835.33</v>
      </c>
      <c r="AH758" s="1358">
        <v>46023.96</v>
      </c>
      <c r="AI758" s="1359">
        <v>0.1</v>
      </c>
      <c r="AJ758" s="1360">
        <f t="shared" si="1096"/>
        <v>383.53300000000002</v>
      </c>
      <c r="AK758" s="1361">
        <f t="shared" ref="AK758:AK770" si="1109">AI758*$AH758</f>
        <v>4602.3959999999997</v>
      </c>
      <c r="AL758" s="1384">
        <v>0</v>
      </c>
      <c r="AM758" s="1363">
        <f t="shared" si="1098"/>
        <v>0</v>
      </c>
      <c r="AN758" s="1364">
        <v>0</v>
      </c>
      <c r="AO758" s="1365">
        <f t="shared" si="1099"/>
        <v>0</v>
      </c>
      <c r="AP758" s="1366">
        <v>0</v>
      </c>
      <c r="AQ758" s="1367">
        <f t="shared" si="1100"/>
        <v>0</v>
      </c>
      <c r="AR758" s="1368">
        <v>0.08</v>
      </c>
      <c r="AS758" s="1369">
        <f t="shared" si="1101"/>
        <v>3681.9168</v>
      </c>
      <c r="AT758" s="1370">
        <v>0</v>
      </c>
      <c r="AU758" s="1371">
        <f t="shared" si="1102"/>
        <v>0</v>
      </c>
      <c r="AV758" s="1359">
        <f t="shared" si="1103"/>
        <v>2.0000000000000004E-2</v>
      </c>
      <c r="AW758" s="1372">
        <f t="shared" si="1104"/>
        <v>920.47920000000011</v>
      </c>
      <c r="AX758" s="1373">
        <f t="shared" si="1105"/>
        <v>0.1</v>
      </c>
      <c r="AY758" s="1374">
        <f t="shared" si="1106"/>
        <v>4602.3959999999997</v>
      </c>
      <c r="AZ758" s="1375">
        <f t="shared" si="1107"/>
        <v>0.1</v>
      </c>
      <c r="BA758" s="1376">
        <f t="shared" si="1108"/>
        <v>4602.3959999999997</v>
      </c>
      <c r="BB758" s="1391"/>
      <c r="BC758" s="1820"/>
      <c r="BD758" s="1820"/>
      <c r="BE758" s="1823"/>
      <c r="BF758" s="1834"/>
      <c r="BG758" s="1829"/>
    </row>
    <row r="759" spans="1:59" s="1378" customFormat="1" ht="38.25">
      <c r="A759" s="1347" t="str">
        <f t="shared" si="1091"/>
        <v>Sequoia Consulting Group, LLC</v>
      </c>
      <c r="B759" s="1348" t="str">
        <f t="shared" si="1092"/>
        <v>HUB SD</v>
      </c>
      <c r="C759" s="1348">
        <f t="shared" si="1093"/>
        <v>88</v>
      </c>
      <c r="D759" s="1349">
        <f t="shared" si="1094"/>
        <v>43132</v>
      </c>
      <c r="E759" s="1349"/>
      <c r="F759" s="1347" t="s">
        <v>113</v>
      </c>
      <c r="G759" s="1347" t="s">
        <v>85</v>
      </c>
      <c r="H759" s="1347" t="s">
        <v>85</v>
      </c>
      <c r="I759" s="1347" t="s">
        <v>85</v>
      </c>
      <c r="J759" s="1349"/>
      <c r="K759" s="1349" t="s">
        <v>254</v>
      </c>
      <c r="L759" s="1350" t="s">
        <v>4675</v>
      </c>
      <c r="M759" s="1350" t="s">
        <v>3651</v>
      </c>
      <c r="N759" s="1351" t="s">
        <v>5064</v>
      </c>
      <c r="O759" s="1352" t="s">
        <v>4681</v>
      </c>
      <c r="P759" s="1388"/>
      <c r="Q759" s="1354"/>
      <c r="R759" s="1354"/>
      <c r="S759" s="1354"/>
      <c r="T759" s="1354"/>
      <c r="U759" s="1354"/>
      <c r="V759" s="1354"/>
      <c r="W759" s="1353" t="s">
        <v>2482</v>
      </c>
      <c r="X759" s="1353">
        <f t="shared" si="1095"/>
        <v>43132</v>
      </c>
      <c r="Y759" s="1353">
        <f t="shared" si="1095"/>
        <v>43466</v>
      </c>
      <c r="Z759" s="1355"/>
      <c r="AA759" s="1355" t="s">
        <v>4679</v>
      </c>
      <c r="AB759" s="1422">
        <v>11990</v>
      </c>
      <c r="AC759" s="1422">
        <v>11990</v>
      </c>
      <c r="AD759" s="1422">
        <f>AH759</f>
        <v>8235.36</v>
      </c>
      <c r="AE759" s="1422">
        <f t="shared" si="1075"/>
        <v>-3754.6399999999994</v>
      </c>
      <c r="AF759" s="1423">
        <f t="shared" si="951"/>
        <v>-0.31314762301918259</v>
      </c>
      <c r="AG759" s="1358">
        <f t="shared" si="1076"/>
        <v>686.28000000000009</v>
      </c>
      <c r="AH759" s="1358">
        <v>8235.36</v>
      </c>
      <c r="AI759" s="1359">
        <v>0.1</v>
      </c>
      <c r="AJ759" s="1360">
        <f t="shared" si="1096"/>
        <v>68.628000000000014</v>
      </c>
      <c r="AK759" s="1361">
        <f t="shared" si="1109"/>
        <v>823.53600000000006</v>
      </c>
      <c r="AL759" s="1384">
        <v>0</v>
      </c>
      <c r="AM759" s="1363">
        <f t="shared" si="1098"/>
        <v>0</v>
      </c>
      <c r="AN759" s="1364">
        <v>0</v>
      </c>
      <c r="AO759" s="1365">
        <f t="shared" si="1099"/>
        <v>0</v>
      </c>
      <c r="AP759" s="1366">
        <v>0</v>
      </c>
      <c r="AQ759" s="1367">
        <f t="shared" si="1100"/>
        <v>0</v>
      </c>
      <c r="AR759" s="1368">
        <v>0.08</v>
      </c>
      <c r="AS759" s="1369">
        <f t="shared" si="1101"/>
        <v>658.82880000000011</v>
      </c>
      <c r="AT759" s="1370">
        <v>0</v>
      </c>
      <c r="AU759" s="1371">
        <f t="shared" si="1102"/>
        <v>0</v>
      </c>
      <c r="AV759" s="1359">
        <f t="shared" si="1103"/>
        <v>2.0000000000000004E-2</v>
      </c>
      <c r="AW759" s="1372">
        <f t="shared" si="1104"/>
        <v>164.70720000000006</v>
      </c>
      <c r="AX759" s="1373">
        <f t="shared" si="1105"/>
        <v>0.1</v>
      </c>
      <c r="AY759" s="1374">
        <f t="shared" si="1106"/>
        <v>823.53600000000006</v>
      </c>
      <c r="AZ759" s="1375">
        <f t="shared" si="1107"/>
        <v>0.1</v>
      </c>
      <c r="BA759" s="1376">
        <f t="shared" si="1108"/>
        <v>823.53600000000006</v>
      </c>
      <c r="BB759" s="1391"/>
      <c r="BC759" s="1820"/>
      <c r="BD759" s="1820"/>
      <c r="BE759" s="1823"/>
      <c r="BF759" s="1834"/>
      <c r="BG759" s="1829"/>
    </row>
    <row r="760" spans="1:59" s="1378" customFormat="1" ht="38.25">
      <c r="A760" s="1347" t="str">
        <f t="shared" si="1091"/>
        <v>Sequoia Consulting Group, LLC</v>
      </c>
      <c r="B760" s="1348" t="str">
        <f t="shared" si="1092"/>
        <v>HUB SD</v>
      </c>
      <c r="C760" s="1348">
        <f t="shared" si="1093"/>
        <v>88</v>
      </c>
      <c r="D760" s="1349">
        <f t="shared" si="1094"/>
        <v>43132</v>
      </c>
      <c r="E760" s="1349"/>
      <c r="F760" s="1347" t="s">
        <v>113</v>
      </c>
      <c r="G760" s="1347" t="s">
        <v>85</v>
      </c>
      <c r="H760" s="1347" t="s">
        <v>85</v>
      </c>
      <c r="I760" s="1347" t="s">
        <v>85</v>
      </c>
      <c r="J760" s="1349"/>
      <c r="K760" s="1349" t="s">
        <v>254</v>
      </c>
      <c r="L760" s="1350" t="s">
        <v>4682</v>
      </c>
      <c r="M760" s="1350" t="s">
        <v>4683</v>
      </c>
      <c r="N760" s="1386" t="s">
        <v>1249</v>
      </c>
      <c r="O760" s="1352" t="s">
        <v>4684</v>
      </c>
      <c r="P760" s="1421"/>
      <c r="Q760" s="1354"/>
      <c r="R760" s="1354"/>
      <c r="S760" s="1354"/>
      <c r="T760" s="1354"/>
      <c r="U760" s="1354"/>
      <c r="V760" s="1354"/>
      <c r="W760" s="1354"/>
      <c r="X760" s="1353">
        <f t="shared" si="1095"/>
        <v>43132</v>
      </c>
      <c r="Y760" s="1353">
        <f t="shared" si="1095"/>
        <v>43466</v>
      </c>
      <c r="Z760" s="1355"/>
      <c r="AA760" s="1355" t="s">
        <v>4685</v>
      </c>
      <c r="AB760" s="1422">
        <v>14379</v>
      </c>
      <c r="AC760" s="1422">
        <v>14379</v>
      </c>
      <c r="AD760" s="1422">
        <f>AH760</f>
        <v>13435.13</v>
      </c>
      <c r="AE760" s="1422">
        <f t="shared" si="1075"/>
        <v>-943.8700000000008</v>
      </c>
      <c r="AF760" s="1423">
        <f t="shared" si="951"/>
        <v>-6.5642256067876825E-2</v>
      </c>
      <c r="AG760" s="1358">
        <f t="shared" si="1076"/>
        <v>1119.5941666666665</v>
      </c>
      <c r="AH760" s="1358">
        <v>13435.13</v>
      </c>
      <c r="AI760" s="1359">
        <v>0.15</v>
      </c>
      <c r="AJ760" s="1360">
        <f t="shared" si="1096"/>
        <v>167.93912499999996</v>
      </c>
      <c r="AK760" s="1361">
        <f t="shared" si="1109"/>
        <v>2015.2694999999999</v>
      </c>
      <c r="AL760" s="1384">
        <v>0</v>
      </c>
      <c r="AM760" s="1363">
        <f t="shared" si="1098"/>
        <v>0</v>
      </c>
      <c r="AN760" s="1364">
        <v>0</v>
      </c>
      <c r="AO760" s="1365">
        <f t="shared" si="1099"/>
        <v>0</v>
      </c>
      <c r="AP760" s="1366">
        <v>0</v>
      </c>
      <c r="AQ760" s="1367">
        <f t="shared" si="1100"/>
        <v>0</v>
      </c>
      <c r="AR760" s="1368">
        <v>0.1</v>
      </c>
      <c r="AS760" s="1369">
        <f t="shared" si="1101"/>
        <v>1343.5129999999999</v>
      </c>
      <c r="AT760" s="1370">
        <v>0</v>
      </c>
      <c r="AU760" s="1371">
        <f t="shared" si="1102"/>
        <v>0</v>
      </c>
      <c r="AV760" s="1359">
        <f t="shared" si="1103"/>
        <v>4.9999999999999989E-2</v>
      </c>
      <c r="AW760" s="1372">
        <f t="shared" si="1104"/>
        <v>671.75649999999985</v>
      </c>
      <c r="AX760" s="1373">
        <f t="shared" si="1105"/>
        <v>0.15</v>
      </c>
      <c r="AY760" s="1374">
        <f t="shared" si="1106"/>
        <v>2015.2694999999999</v>
      </c>
      <c r="AZ760" s="1375">
        <f t="shared" si="1107"/>
        <v>0.15</v>
      </c>
      <c r="BA760" s="1376">
        <f t="shared" si="1108"/>
        <v>2015.2694999999999</v>
      </c>
      <c r="BB760" s="1391"/>
      <c r="BC760" s="1820"/>
      <c r="BD760" s="1820"/>
      <c r="BE760" s="1823"/>
      <c r="BF760" s="1834"/>
      <c r="BG760" s="1829"/>
    </row>
    <row r="761" spans="1:59" s="1378" customFormat="1" ht="38.25">
      <c r="A761" s="1347" t="str">
        <f t="shared" si="1091"/>
        <v>Sequoia Consulting Group, LLC</v>
      </c>
      <c r="B761" s="1348" t="str">
        <f t="shared" si="1092"/>
        <v>HUB SD</v>
      </c>
      <c r="C761" s="1348">
        <f t="shared" si="1093"/>
        <v>88</v>
      </c>
      <c r="D761" s="1349">
        <f t="shared" si="1094"/>
        <v>43132</v>
      </c>
      <c r="E761" s="1349"/>
      <c r="F761" s="1347" t="s">
        <v>113</v>
      </c>
      <c r="G761" s="1347" t="s">
        <v>85</v>
      </c>
      <c r="H761" s="1347" t="s">
        <v>85</v>
      </c>
      <c r="I761" s="1347" t="s">
        <v>113</v>
      </c>
      <c r="J761" s="1349"/>
      <c r="K761" s="1349" t="s">
        <v>254</v>
      </c>
      <c r="L761" s="1350" t="s">
        <v>4682</v>
      </c>
      <c r="M761" s="1350" t="s">
        <v>4686</v>
      </c>
      <c r="N761" s="1386" t="s">
        <v>60</v>
      </c>
      <c r="O761" s="1352" t="s">
        <v>4687</v>
      </c>
      <c r="P761" s="1421"/>
      <c r="Q761" s="1354"/>
      <c r="R761" s="1354"/>
      <c r="S761" s="1354"/>
      <c r="T761" s="1354"/>
      <c r="U761" s="1354"/>
      <c r="V761" s="1354"/>
      <c r="W761" s="1354"/>
      <c r="X761" s="1353">
        <f t="shared" si="1095"/>
        <v>43132</v>
      </c>
      <c r="Y761" s="1353">
        <f t="shared" si="1095"/>
        <v>43466</v>
      </c>
      <c r="Z761" s="1355"/>
      <c r="AA761" s="1355" t="s">
        <v>4685</v>
      </c>
      <c r="AB761" s="1356"/>
      <c r="AC761" s="1356"/>
      <c r="AD761" s="1356"/>
      <c r="AE761" s="1356"/>
      <c r="AF761" s="1357"/>
      <c r="AG761" s="1358">
        <f t="shared" si="1076"/>
        <v>587.53</v>
      </c>
      <c r="AH761" s="1358">
        <v>7050.36</v>
      </c>
      <c r="AI761" s="1359">
        <v>0.15</v>
      </c>
      <c r="AJ761" s="1360">
        <f t="shared" si="1096"/>
        <v>88.129499999999993</v>
      </c>
      <c r="AK761" s="1361">
        <f t="shared" si="1109"/>
        <v>1057.5539999999999</v>
      </c>
      <c r="AL761" s="1384">
        <v>0</v>
      </c>
      <c r="AM761" s="1363">
        <f t="shared" si="1098"/>
        <v>0</v>
      </c>
      <c r="AN761" s="1364">
        <v>0</v>
      </c>
      <c r="AO761" s="1365">
        <f t="shared" si="1099"/>
        <v>0</v>
      </c>
      <c r="AP761" s="1366">
        <v>0</v>
      </c>
      <c r="AQ761" s="1367">
        <f t="shared" si="1100"/>
        <v>0</v>
      </c>
      <c r="AR761" s="1368">
        <v>0.1</v>
      </c>
      <c r="AS761" s="1369">
        <f t="shared" si="1101"/>
        <v>705.03600000000006</v>
      </c>
      <c r="AT761" s="1370">
        <v>0</v>
      </c>
      <c r="AU761" s="1371">
        <f t="shared" si="1102"/>
        <v>0</v>
      </c>
      <c r="AV761" s="1359">
        <f t="shared" si="1103"/>
        <v>4.9999999999999989E-2</v>
      </c>
      <c r="AW761" s="1372">
        <f t="shared" si="1104"/>
        <v>352.51799999999992</v>
      </c>
      <c r="AX761" s="1373">
        <f t="shared" si="1105"/>
        <v>0.15</v>
      </c>
      <c r="AY761" s="1374">
        <f t="shared" si="1106"/>
        <v>1057.5539999999999</v>
      </c>
      <c r="AZ761" s="1375">
        <f t="shared" si="1107"/>
        <v>0.15</v>
      </c>
      <c r="BA761" s="1376">
        <f t="shared" si="1108"/>
        <v>1057.5539999999999</v>
      </c>
      <c r="BB761" s="1391"/>
      <c r="BC761" s="1820"/>
      <c r="BD761" s="1820"/>
      <c r="BE761" s="1823"/>
      <c r="BF761" s="1834"/>
      <c r="BG761" s="1829"/>
    </row>
    <row r="762" spans="1:59" s="1378" customFormat="1" ht="38.25">
      <c r="A762" s="1347" t="str">
        <f t="shared" si="1091"/>
        <v>Sequoia Consulting Group, LLC</v>
      </c>
      <c r="B762" s="1348" t="str">
        <f t="shared" si="1092"/>
        <v>HUB SD</v>
      </c>
      <c r="C762" s="1348">
        <f t="shared" si="1093"/>
        <v>88</v>
      </c>
      <c r="D762" s="1349">
        <f t="shared" si="1094"/>
        <v>43132</v>
      </c>
      <c r="E762" s="1349"/>
      <c r="F762" s="1347" t="s">
        <v>113</v>
      </c>
      <c r="G762" s="1347" t="s">
        <v>85</v>
      </c>
      <c r="H762" s="1347" t="s">
        <v>85</v>
      </c>
      <c r="I762" s="1347" t="s">
        <v>113</v>
      </c>
      <c r="J762" s="1349"/>
      <c r="K762" s="1349" t="s">
        <v>254</v>
      </c>
      <c r="L762" s="1350" t="s">
        <v>4682</v>
      </c>
      <c r="M762" s="1350" t="s">
        <v>62</v>
      </c>
      <c r="N762" s="1351" t="s">
        <v>266</v>
      </c>
      <c r="O762" s="1352" t="s">
        <v>4688</v>
      </c>
      <c r="P762" s="1388"/>
      <c r="Q762" s="1354"/>
      <c r="R762" s="1354"/>
      <c r="S762" s="1354"/>
      <c r="T762" s="1354"/>
      <c r="U762" s="1354"/>
      <c r="V762" s="1354"/>
      <c r="W762" s="1354"/>
      <c r="X762" s="1353">
        <f t="shared" si="1095"/>
        <v>43132</v>
      </c>
      <c r="Y762" s="1353">
        <f t="shared" si="1095"/>
        <v>43466</v>
      </c>
      <c r="Z762" s="1355"/>
      <c r="AA762" s="1355" t="s">
        <v>4685</v>
      </c>
      <c r="AB762" s="1356"/>
      <c r="AC762" s="1356"/>
      <c r="AD762" s="1356"/>
      <c r="AE762" s="1356"/>
      <c r="AF762" s="1357"/>
      <c r="AG762" s="1358">
        <f t="shared" si="1076"/>
        <v>1093.4691666666665</v>
      </c>
      <c r="AH762" s="1358">
        <v>13121.63</v>
      </c>
      <c r="AI762" s="1359">
        <v>0.15</v>
      </c>
      <c r="AJ762" s="1360">
        <f t="shared" si="1096"/>
        <v>164.02037499999997</v>
      </c>
      <c r="AK762" s="1361">
        <f t="shared" si="1109"/>
        <v>1968.2444999999998</v>
      </c>
      <c r="AL762" s="1384">
        <v>0</v>
      </c>
      <c r="AM762" s="1363">
        <f t="shared" si="1098"/>
        <v>0</v>
      </c>
      <c r="AN762" s="1364">
        <v>0</v>
      </c>
      <c r="AO762" s="1365">
        <f t="shared" si="1099"/>
        <v>0</v>
      </c>
      <c r="AP762" s="1366">
        <v>0</v>
      </c>
      <c r="AQ762" s="1367">
        <f t="shared" si="1100"/>
        <v>0</v>
      </c>
      <c r="AR762" s="1368">
        <v>0.1</v>
      </c>
      <c r="AS762" s="1369">
        <f t="shared" si="1101"/>
        <v>1312.163</v>
      </c>
      <c r="AT762" s="1370">
        <v>0</v>
      </c>
      <c r="AU762" s="1371">
        <f t="shared" si="1102"/>
        <v>0</v>
      </c>
      <c r="AV762" s="1359">
        <f t="shared" si="1103"/>
        <v>4.9999999999999989E-2</v>
      </c>
      <c r="AW762" s="1372">
        <f t="shared" si="1104"/>
        <v>656.08149999999978</v>
      </c>
      <c r="AX762" s="1373">
        <f t="shared" si="1105"/>
        <v>0.15</v>
      </c>
      <c r="AY762" s="1374">
        <f t="shared" si="1106"/>
        <v>1968.2444999999998</v>
      </c>
      <c r="AZ762" s="1375">
        <f t="shared" si="1107"/>
        <v>0.15</v>
      </c>
      <c r="BA762" s="1376">
        <f t="shared" si="1108"/>
        <v>1968.2444999999998</v>
      </c>
      <c r="BB762" s="1391"/>
      <c r="BC762" s="1820"/>
      <c r="BD762" s="1820"/>
      <c r="BE762" s="1823"/>
      <c r="BF762" s="1834"/>
      <c r="BG762" s="1829"/>
    </row>
    <row r="763" spans="1:59" s="1378" customFormat="1" ht="38.25">
      <c r="A763" s="1347" t="str">
        <f t="shared" si="1091"/>
        <v>Sequoia Consulting Group, LLC</v>
      </c>
      <c r="B763" s="1348" t="str">
        <f t="shared" si="1092"/>
        <v>HUB SD</v>
      </c>
      <c r="C763" s="1348">
        <f t="shared" si="1093"/>
        <v>88</v>
      </c>
      <c r="D763" s="1349">
        <f t="shared" si="1094"/>
        <v>43132</v>
      </c>
      <c r="E763" s="1349"/>
      <c r="F763" s="1347" t="s">
        <v>113</v>
      </c>
      <c r="G763" s="1347" t="s">
        <v>85</v>
      </c>
      <c r="H763" s="1347" t="s">
        <v>85</v>
      </c>
      <c r="I763" s="1347" t="s">
        <v>113</v>
      </c>
      <c r="J763" s="1349" t="s">
        <v>4690</v>
      </c>
      <c r="K763" s="1349" t="s">
        <v>254</v>
      </c>
      <c r="L763" s="1350" t="s">
        <v>4682</v>
      </c>
      <c r="M763" s="1350" t="s">
        <v>4691</v>
      </c>
      <c r="N763" s="1351" t="s">
        <v>94</v>
      </c>
      <c r="O763" s="1352" t="s">
        <v>4692</v>
      </c>
      <c r="P763" s="1388"/>
      <c r="Q763" s="1354"/>
      <c r="R763" s="1354"/>
      <c r="S763" s="1354"/>
      <c r="T763" s="1354"/>
      <c r="U763" s="1354"/>
      <c r="V763" s="1354"/>
      <c r="W763" s="1354"/>
      <c r="X763" s="1353">
        <f t="shared" si="1095"/>
        <v>43132</v>
      </c>
      <c r="Y763" s="1353">
        <f t="shared" si="1095"/>
        <v>43466</v>
      </c>
      <c r="Z763" s="1355">
        <v>20</v>
      </c>
      <c r="AA763" s="1355" t="s">
        <v>4685</v>
      </c>
      <c r="AB763" s="1356"/>
      <c r="AC763" s="1356"/>
      <c r="AD763" s="1356"/>
      <c r="AE763" s="1356"/>
      <c r="AF763" s="1357"/>
      <c r="AG763" s="1358">
        <v>343.72</v>
      </c>
      <c r="AH763" s="1358">
        <f t="shared" ref="AH763:AH765" si="1110">AG763*12</f>
        <v>4124.6400000000003</v>
      </c>
      <c r="AI763" s="1359">
        <v>0.15</v>
      </c>
      <c r="AJ763" s="1360">
        <f t="shared" si="1096"/>
        <v>51.558</v>
      </c>
      <c r="AK763" s="1361">
        <f t="shared" si="1109"/>
        <v>618.69600000000003</v>
      </c>
      <c r="AL763" s="1384">
        <v>0</v>
      </c>
      <c r="AM763" s="1363">
        <f t="shared" si="1098"/>
        <v>0</v>
      </c>
      <c r="AN763" s="1364">
        <v>0</v>
      </c>
      <c r="AO763" s="1365">
        <f t="shared" si="1099"/>
        <v>0</v>
      </c>
      <c r="AP763" s="1366">
        <v>0</v>
      </c>
      <c r="AQ763" s="1367">
        <f t="shared" si="1100"/>
        <v>0</v>
      </c>
      <c r="AR763" s="1368">
        <v>0.1</v>
      </c>
      <c r="AS763" s="1369">
        <f t="shared" si="1101"/>
        <v>412.46400000000006</v>
      </c>
      <c r="AT763" s="1370">
        <v>0</v>
      </c>
      <c r="AU763" s="1371">
        <f t="shared" si="1102"/>
        <v>0</v>
      </c>
      <c r="AV763" s="1359">
        <f t="shared" si="1103"/>
        <v>4.9999999999999989E-2</v>
      </c>
      <c r="AW763" s="1372">
        <f t="shared" si="1104"/>
        <v>206.23199999999997</v>
      </c>
      <c r="AX763" s="1373">
        <f t="shared" si="1105"/>
        <v>0.15</v>
      </c>
      <c r="AY763" s="1374">
        <f t="shared" si="1106"/>
        <v>618.69600000000003</v>
      </c>
      <c r="AZ763" s="1375">
        <f t="shared" si="1107"/>
        <v>0.15</v>
      </c>
      <c r="BA763" s="1376">
        <f t="shared" si="1108"/>
        <v>618.69600000000003</v>
      </c>
      <c r="BB763" s="1377"/>
      <c r="BC763" s="1820"/>
      <c r="BD763" s="1820"/>
      <c r="BE763" s="1823"/>
      <c r="BF763" s="1834"/>
      <c r="BG763" s="1829"/>
    </row>
    <row r="764" spans="1:59" s="1378" customFormat="1" ht="38.25">
      <c r="A764" s="1347" t="str">
        <f t="shared" si="1091"/>
        <v>Sequoia Consulting Group, LLC</v>
      </c>
      <c r="B764" s="1348" t="str">
        <f t="shared" si="1092"/>
        <v>HUB SD</v>
      </c>
      <c r="C764" s="1348">
        <f t="shared" si="1093"/>
        <v>88</v>
      </c>
      <c r="D764" s="1349">
        <f t="shared" si="1094"/>
        <v>43132</v>
      </c>
      <c r="E764" s="1349"/>
      <c r="F764" s="1347" t="s">
        <v>113</v>
      </c>
      <c r="G764" s="1347" t="s">
        <v>85</v>
      </c>
      <c r="H764" s="1347" t="s">
        <v>85</v>
      </c>
      <c r="I764" s="1347" t="s">
        <v>113</v>
      </c>
      <c r="J764" s="1349" t="s">
        <v>4690</v>
      </c>
      <c r="K764" s="1349" t="s">
        <v>254</v>
      </c>
      <c r="L764" s="1350" t="s">
        <v>4682</v>
      </c>
      <c r="M764" s="1350" t="s">
        <v>4691</v>
      </c>
      <c r="N764" s="1351" t="s">
        <v>98</v>
      </c>
      <c r="O764" s="1352" t="s">
        <v>4693</v>
      </c>
      <c r="P764" s="1388"/>
      <c r="Q764" s="1354"/>
      <c r="R764" s="1354"/>
      <c r="S764" s="1354"/>
      <c r="T764" s="1354"/>
      <c r="U764" s="1354"/>
      <c r="V764" s="1354"/>
      <c r="W764" s="1354"/>
      <c r="X764" s="1353">
        <f t="shared" si="1095"/>
        <v>43132</v>
      </c>
      <c r="Y764" s="1353">
        <f t="shared" si="1095"/>
        <v>43466</v>
      </c>
      <c r="Z764" s="1355">
        <v>23</v>
      </c>
      <c r="AA764" s="1355" t="s">
        <v>4685</v>
      </c>
      <c r="AB764" s="1356"/>
      <c r="AC764" s="1356"/>
      <c r="AD764" s="1356"/>
      <c r="AE764" s="1356"/>
      <c r="AF764" s="1357"/>
      <c r="AG764" s="1358">
        <v>308.27999999999997</v>
      </c>
      <c r="AH764" s="1358">
        <f t="shared" si="1110"/>
        <v>3699.3599999999997</v>
      </c>
      <c r="AI764" s="1359">
        <v>0.15</v>
      </c>
      <c r="AJ764" s="1360">
        <f t="shared" si="1096"/>
        <v>46.241999999999997</v>
      </c>
      <c r="AK764" s="1361">
        <f t="shared" si="1109"/>
        <v>554.90399999999988</v>
      </c>
      <c r="AL764" s="1384">
        <v>0</v>
      </c>
      <c r="AM764" s="1363">
        <f t="shared" si="1098"/>
        <v>0</v>
      </c>
      <c r="AN764" s="1364">
        <v>0</v>
      </c>
      <c r="AO764" s="1365">
        <f t="shared" si="1099"/>
        <v>0</v>
      </c>
      <c r="AP764" s="1366">
        <v>0</v>
      </c>
      <c r="AQ764" s="1367">
        <f t="shared" si="1100"/>
        <v>0</v>
      </c>
      <c r="AR764" s="1368">
        <v>0.1</v>
      </c>
      <c r="AS764" s="1369">
        <f t="shared" si="1101"/>
        <v>369.93599999999998</v>
      </c>
      <c r="AT764" s="1370">
        <v>0</v>
      </c>
      <c r="AU764" s="1371">
        <f t="shared" si="1102"/>
        <v>0</v>
      </c>
      <c r="AV764" s="1359">
        <f t="shared" si="1103"/>
        <v>4.9999999999999989E-2</v>
      </c>
      <c r="AW764" s="1372">
        <f t="shared" si="1104"/>
        <v>184.96799999999993</v>
      </c>
      <c r="AX764" s="1373">
        <f t="shared" si="1105"/>
        <v>0.15</v>
      </c>
      <c r="AY764" s="1374">
        <f t="shared" si="1106"/>
        <v>554.90399999999988</v>
      </c>
      <c r="AZ764" s="1375">
        <f t="shared" si="1107"/>
        <v>0.15</v>
      </c>
      <c r="BA764" s="1376">
        <f t="shared" si="1108"/>
        <v>554.90399999999988</v>
      </c>
      <c r="BB764" s="1377"/>
      <c r="BC764" s="1820"/>
      <c r="BD764" s="1820"/>
      <c r="BE764" s="1823"/>
      <c r="BF764" s="1834"/>
      <c r="BG764" s="1829"/>
    </row>
    <row r="765" spans="1:59" s="1378" customFormat="1" ht="38.25">
      <c r="A765" s="1347" t="str">
        <f t="shared" si="1091"/>
        <v>Sequoia Consulting Group, LLC</v>
      </c>
      <c r="B765" s="1348" t="str">
        <f t="shared" si="1092"/>
        <v>HUB SD</v>
      </c>
      <c r="C765" s="1348">
        <f t="shared" si="1093"/>
        <v>88</v>
      </c>
      <c r="D765" s="1349">
        <f t="shared" si="1094"/>
        <v>43132</v>
      </c>
      <c r="E765" s="1349"/>
      <c r="F765" s="1347" t="s">
        <v>113</v>
      </c>
      <c r="G765" s="1347" t="s">
        <v>85</v>
      </c>
      <c r="H765" s="1347" t="s">
        <v>85</v>
      </c>
      <c r="I765" s="1347" t="s">
        <v>113</v>
      </c>
      <c r="J765" s="1349" t="s">
        <v>4690</v>
      </c>
      <c r="K765" s="1349" t="s">
        <v>254</v>
      </c>
      <c r="L765" s="1350" t="s">
        <v>4682</v>
      </c>
      <c r="M765" s="1350" t="s">
        <v>4691</v>
      </c>
      <c r="N765" s="1351" t="s">
        <v>4694</v>
      </c>
      <c r="O765" s="1352" t="s">
        <v>4695</v>
      </c>
      <c r="P765" s="1388"/>
      <c r="Q765" s="1354"/>
      <c r="R765" s="1354"/>
      <c r="S765" s="1354"/>
      <c r="T765" s="1354"/>
      <c r="U765" s="1354"/>
      <c r="V765" s="1354"/>
      <c r="W765" s="1354"/>
      <c r="X765" s="1353">
        <f t="shared" si="1095"/>
        <v>43132</v>
      </c>
      <c r="Y765" s="1353">
        <f t="shared" si="1095"/>
        <v>43466</v>
      </c>
      <c r="Z765" s="1355">
        <v>16</v>
      </c>
      <c r="AA765" s="1355" t="s">
        <v>4685</v>
      </c>
      <c r="AB765" s="1356"/>
      <c r="AC765" s="1356"/>
      <c r="AD765" s="1356"/>
      <c r="AE765" s="1356"/>
      <c r="AF765" s="1357"/>
      <c r="AG765" s="1358">
        <v>333.82</v>
      </c>
      <c r="AH765" s="1358">
        <f t="shared" si="1110"/>
        <v>4005.84</v>
      </c>
      <c r="AI765" s="1359">
        <v>0.15</v>
      </c>
      <c r="AJ765" s="1360">
        <f t="shared" si="1096"/>
        <v>50.073</v>
      </c>
      <c r="AK765" s="1361">
        <f t="shared" si="1109"/>
        <v>600.87599999999998</v>
      </c>
      <c r="AL765" s="1384">
        <v>0</v>
      </c>
      <c r="AM765" s="1363">
        <f t="shared" si="1098"/>
        <v>0</v>
      </c>
      <c r="AN765" s="1364">
        <v>0</v>
      </c>
      <c r="AO765" s="1365">
        <f t="shared" si="1099"/>
        <v>0</v>
      </c>
      <c r="AP765" s="1366">
        <v>0</v>
      </c>
      <c r="AQ765" s="1367">
        <f t="shared" si="1100"/>
        <v>0</v>
      </c>
      <c r="AR765" s="1368">
        <v>0.1</v>
      </c>
      <c r="AS765" s="1369">
        <f t="shared" si="1101"/>
        <v>400.58400000000006</v>
      </c>
      <c r="AT765" s="1370">
        <v>0</v>
      </c>
      <c r="AU765" s="1371">
        <f t="shared" si="1102"/>
        <v>0</v>
      </c>
      <c r="AV765" s="1359">
        <f t="shared" si="1103"/>
        <v>4.9999999999999989E-2</v>
      </c>
      <c r="AW765" s="1372">
        <f t="shared" si="1104"/>
        <v>200.29199999999997</v>
      </c>
      <c r="AX765" s="1373">
        <f t="shared" si="1105"/>
        <v>0.15</v>
      </c>
      <c r="AY765" s="1374">
        <f t="shared" si="1106"/>
        <v>600.87599999999998</v>
      </c>
      <c r="AZ765" s="1375">
        <f t="shared" si="1107"/>
        <v>0.15</v>
      </c>
      <c r="BA765" s="1376">
        <f t="shared" si="1108"/>
        <v>600.87599999999998</v>
      </c>
      <c r="BB765" s="1377"/>
      <c r="BC765" s="1820"/>
      <c r="BD765" s="1820"/>
      <c r="BE765" s="1823"/>
      <c r="BF765" s="1834"/>
      <c r="BG765" s="1829"/>
    </row>
    <row r="766" spans="1:59" s="1378" customFormat="1" ht="27.75" customHeight="1">
      <c r="A766" s="1347" t="str">
        <f t="shared" si="1091"/>
        <v>Sequoia Consulting Group, LLC</v>
      </c>
      <c r="B766" s="1348" t="str">
        <f t="shared" si="1092"/>
        <v>HUB SD</v>
      </c>
      <c r="C766" s="1348">
        <f t="shared" si="1093"/>
        <v>88</v>
      </c>
      <c r="D766" s="1349">
        <f t="shared" si="1094"/>
        <v>43132</v>
      </c>
      <c r="E766" s="1349"/>
      <c r="F766" s="1347" t="s">
        <v>72</v>
      </c>
      <c r="G766" s="1347" t="s">
        <v>85</v>
      </c>
      <c r="H766" s="1347" t="s">
        <v>72</v>
      </c>
      <c r="I766" s="1347" t="s">
        <v>72</v>
      </c>
      <c r="J766" s="1349" t="s">
        <v>4670</v>
      </c>
      <c r="K766" s="1349" t="s">
        <v>254</v>
      </c>
      <c r="L766" s="1350" t="s">
        <v>4696</v>
      </c>
      <c r="M766" s="1350" t="s">
        <v>4697</v>
      </c>
      <c r="N766" s="1389" t="s">
        <v>4698</v>
      </c>
      <c r="O766" s="1352" t="s">
        <v>4699</v>
      </c>
      <c r="P766" s="1388"/>
      <c r="Q766" s="1354"/>
      <c r="R766" s="1354"/>
      <c r="S766" s="1354"/>
      <c r="T766" s="1354"/>
      <c r="U766" s="1354"/>
      <c r="V766" s="1354"/>
      <c r="W766" s="1354"/>
      <c r="X766" s="1353">
        <f t="shared" si="1095"/>
        <v>43132</v>
      </c>
      <c r="Y766" s="1353">
        <f t="shared" si="1095"/>
        <v>43466</v>
      </c>
      <c r="Z766" s="1355"/>
      <c r="AA766" s="1355" t="s">
        <v>4674</v>
      </c>
      <c r="AB766" s="1356"/>
      <c r="AC766" s="1356"/>
      <c r="AD766" s="1356"/>
      <c r="AE766" s="1356"/>
      <c r="AF766" s="1357" t="str">
        <f t="shared" si="951"/>
        <v/>
      </c>
      <c r="AG766" s="1380"/>
      <c r="AH766" s="1380"/>
      <c r="AI766" s="1381">
        <v>0</v>
      </c>
      <c r="AJ766" s="1382">
        <f t="shared" si="1096"/>
        <v>0</v>
      </c>
      <c r="AK766" s="1383">
        <f t="shared" si="1109"/>
        <v>0</v>
      </c>
      <c r="AL766" s="1384">
        <v>0</v>
      </c>
      <c r="AM766" s="1363">
        <f t="shared" si="1098"/>
        <v>0</v>
      </c>
      <c r="AN766" s="1364">
        <v>0</v>
      </c>
      <c r="AO766" s="1365">
        <f t="shared" si="1099"/>
        <v>0</v>
      </c>
      <c r="AP766" s="1366">
        <v>0</v>
      </c>
      <c r="AQ766" s="1367">
        <f t="shared" si="1100"/>
        <v>0</v>
      </c>
      <c r="AR766" s="1368">
        <v>0</v>
      </c>
      <c r="AS766" s="1369">
        <f t="shared" si="1101"/>
        <v>0</v>
      </c>
      <c r="AT766" s="1370">
        <v>0</v>
      </c>
      <c r="AU766" s="1371">
        <f t="shared" si="1102"/>
        <v>0</v>
      </c>
      <c r="AV766" s="1359">
        <f t="shared" si="1103"/>
        <v>0</v>
      </c>
      <c r="AW766" s="1372">
        <f t="shared" si="1104"/>
        <v>0</v>
      </c>
      <c r="AX766" s="1373">
        <f t="shared" si="1105"/>
        <v>0</v>
      </c>
      <c r="AY766" s="1374">
        <f t="shared" si="1106"/>
        <v>0</v>
      </c>
      <c r="AZ766" s="1375">
        <f t="shared" si="1107"/>
        <v>0</v>
      </c>
      <c r="BA766" s="1376">
        <f t="shared" si="1108"/>
        <v>0</v>
      </c>
      <c r="BB766" s="1377"/>
      <c r="BC766" s="1820"/>
      <c r="BD766" s="1820"/>
      <c r="BE766" s="1823"/>
      <c r="BF766" s="1834"/>
      <c r="BG766" s="1829"/>
    </row>
    <row r="767" spans="1:59" s="1378" customFormat="1" ht="38.25">
      <c r="A767" s="1347" t="str">
        <f t="shared" si="1091"/>
        <v>Sequoia Consulting Group, LLC</v>
      </c>
      <c r="B767" s="1348" t="str">
        <f t="shared" si="1092"/>
        <v>HUB SD</v>
      </c>
      <c r="C767" s="1348">
        <f t="shared" si="1093"/>
        <v>88</v>
      </c>
      <c r="D767" s="1349">
        <f t="shared" si="1094"/>
        <v>43132</v>
      </c>
      <c r="E767" s="1349"/>
      <c r="F767" s="1347" t="s">
        <v>72</v>
      </c>
      <c r="G767" s="1347" t="s">
        <v>4700</v>
      </c>
      <c r="H767" s="1347" t="s">
        <v>72</v>
      </c>
      <c r="I767" s="1347" t="s">
        <v>72</v>
      </c>
      <c r="J767" s="1349" t="s">
        <v>4670</v>
      </c>
      <c r="K767" s="1349" t="s">
        <v>254</v>
      </c>
      <c r="L767" s="1350" t="s">
        <v>48</v>
      </c>
      <c r="M767" s="1350" t="s">
        <v>3652</v>
      </c>
      <c r="N767" s="1390" t="s">
        <v>5066</v>
      </c>
      <c r="O767" s="1352" t="s">
        <v>4702</v>
      </c>
      <c r="P767" s="1388"/>
      <c r="Q767" s="1354"/>
      <c r="R767" s="1354"/>
      <c r="S767" s="1354"/>
      <c r="T767" s="1354"/>
      <c r="U767" s="1354"/>
      <c r="V767" s="1354"/>
      <c r="W767" s="1354"/>
      <c r="X767" s="1353">
        <f t="shared" si="1095"/>
        <v>43132</v>
      </c>
      <c r="Y767" s="1353">
        <f t="shared" si="1095"/>
        <v>43466</v>
      </c>
      <c r="Z767" s="1355"/>
      <c r="AA767" s="1355" t="s">
        <v>4674</v>
      </c>
      <c r="AB767" s="1356"/>
      <c r="AC767" s="1356"/>
      <c r="AD767" s="1356"/>
      <c r="AE767" s="1356"/>
      <c r="AF767" s="1357" t="str">
        <f t="shared" si="951"/>
        <v/>
      </c>
      <c r="AG767" s="1380"/>
      <c r="AH767" s="1380"/>
      <c r="AI767" s="1381">
        <v>0</v>
      </c>
      <c r="AJ767" s="1382">
        <f t="shared" si="1096"/>
        <v>0</v>
      </c>
      <c r="AK767" s="1383">
        <f t="shared" si="1109"/>
        <v>0</v>
      </c>
      <c r="AL767" s="1384">
        <v>0</v>
      </c>
      <c r="AM767" s="1363">
        <f t="shared" si="1098"/>
        <v>0</v>
      </c>
      <c r="AN767" s="1364">
        <v>0</v>
      </c>
      <c r="AO767" s="1365">
        <f t="shared" si="1099"/>
        <v>0</v>
      </c>
      <c r="AP767" s="1366">
        <v>0</v>
      </c>
      <c r="AQ767" s="1367">
        <f t="shared" si="1100"/>
        <v>0</v>
      </c>
      <c r="AR767" s="1368">
        <v>0</v>
      </c>
      <c r="AS767" s="1369">
        <f t="shared" si="1101"/>
        <v>0</v>
      </c>
      <c r="AT767" s="1370">
        <v>0</v>
      </c>
      <c r="AU767" s="1371">
        <f t="shared" si="1102"/>
        <v>0</v>
      </c>
      <c r="AV767" s="1359">
        <f t="shared" si="1103"/>
        <v>0</v>
      </c>
      <c r="AW767" s="1372">
        <f t="shared" si="1104"/>
        <v>0</v>
      </c>
      <c r="AX767" s="1373">
        <f t="shared" si="1105"/>
        <v>0</v>
      </c>
      <c r="AY767" s="1374">
        <f t="shared" si="1106"/>
        <v>0</v>
      </c>
      <c r="AZ767" s="1375">
        <f t="shared" si="1107"/>
        <v>0</v>
      </c>
      <c r="BA767" s="1376">
        <f t="shared" si="1108"/>
        <v>0</v>
      </c>
      <c r="BB767" s="1377"/>
      <c r="BC767" s="1820"/>
      <c r="BD767" s="1820"/>
      <c r="BE767" s="1823"/>
      <c r="BF767" s="1834"/>
      <c r="BG767" s="1829"/>
    </row>
    <row r="768" spans="1:59" s="1378" customFormat="1" ht="38.25">
      <c r="A768" s="1347" t="str">
        <f t="shared" si="1091"/>
        <v>Sequoia Consulting Group, LLC</v>
      </c>
      <c r="B768" s="1348" t="str">
        <f t="shared" si="1092"/>
        <v>HUB SD</v>
      </c>
      <c r="C768" s="1348">
        <f t="shared" si="1093"/>
        <v>88</v>
      </c>
      <c r="D768" s="1349">
        <f t="shared" si="1094"/>
        <v>43132</v>
      </c>
      <c r="E768" s="1349"/>
      <c r="F768" s="1347" t="s">
        <v>72</v>
      </c>
      <c r="G768" s="1347" t="s">
        <v>85</v>
      </c>
      <c r="H768" s="1347" t="s">
        <v>72</v>
      </c>
      <c r="I768" s="1347" t="s">
        <v>72</v>
      </c>
      <c r="J768" s="1349" t="s">
        <v>4670</v>
      </c>
      <c r="K768" s="1349" t="s">
        <v>254</v>
      </c>
      <c r="L768" s="1350" t="s">
        <v>48</v>
      </c>
      <c r="M768" s="1350" t="s">
        <v>253</v>
      </c>
      <c r="N768" s="1390" t="s">
        <v>4703</v>
      </c>
      <c r="O768" s="1352" t="s">
        <v>4704</v>
      </c>
      <c r="P768" s="1388"/>
      <c r="Q768" s="1354"/>
      <c r="R768" s="1354"/>
      <c r="S768" s="1354"/>
      <c r="T768" s="1354"/>
      <c r="U768" s="1354"/>
      <c r="V768" s="1354"/>
      <c r="W768" s="1354"/>
      <c r="X768" s="1353">
        <f t="shared" si="1095"/>
        <v>43132</v>
      </c>
      <c r="Y768" s="1353">
        <f t="shared" si="1095"/>
        <v>43466</v>
      </c>
      <c r="Z768" s="1355"/>
      <c r="AA768" s="1355" t="s">
        <v>4674</v>
      </c>
      <c r="AB768" s="1356"/>
      <c r="AC768" s="1356"/>
      <c r="AD768" s="1356"/>
      <c r="AE768" s="1356"/>
      <c r="AF768" s="1357" t="str">
        <f t="shared" si="951"/>
        <v/>
      </c>
      <c r="AG768" s="1380"/>
      <c r="AH768" s="1380"/>
      <c r="AI768" s="1381">
        <v>0</v>
      </c>
      <c r="AJ768" s="1382">
        <f t="shared" si="1096"/>
        <v>0</v>
      </c>
      <c r="AK768" s="1383">
        <f t="shared" si="1109"/>
        <v>0</v>
      </c>
      <c r="AL768" s="1384">
        <v>0</v>
      </c>
      <c r="AM768" s="1363">
        <f t="shared" si="1098"/>
        <v>0</v>
      </c>
      <c r="AN768" s="1364">
        <v>0</v>
      </c>
      <c r="AO768" s="1365">
        <f t="shared" si="1099"/>
        <v>0</v>
      </c>
      <c r="AP768" s="1366">
        <v>0</v>
      </c>
      <c r="AQ768" s="1367">
        <f t="shared" si="1100"/>
        <v>0</v>
      </c>
      <c r="AR768" s="1368">
        <v>0</v>
      </c>
      <c r="AS768" s="1369">
        <f t="shared" si="1101"/>
        <v>0</v>
      </c>
      <c r="AT768" s="1370">
        <v>0</v>
      </c>
      <c r="AU768" s="1371">
        <f t="shared" si="1102"/>
        <v>0</v>
      </c>
      <c r="AV768" s="1359">
        <f t="shared" si="1103"/>
        <v>0</v>
      </c>
      <c r="AW768" s="1372">
        <f t="shared" si="1104"/>
        <v>0</v>
      </c>
      <c r="AX768" s="1373">
        <f t="shared" si="1105"/>
        <v>0</v>
      </c>
      <c r="AY768" s="1374">
        <f t="shared" si="1106"/>
        <v>0</v>
      </c>
      <c r="AZ768" s="1375">
        <f t="shared" si="1107"/>
        <v>0</v>
      </c>
      <c r="BA768" s="1376">
        <f t="shared" si="1108"/>
        <v>0</v>
      </c>
      <c r="BB768" s="1391"/>
      <c r="BC768" s="1820"/>
      <c r="BD768" s="1820"/>
      <c r="BE768" s="1823"/>
      <c r="BF768" s="1834"/>
      <c r="BG768" s="1829"/>
    </row>
    <row r="769" spans="1:59" s="1378" customFormat="1" ht="38.25">
      <c r="A769" s="1347" t="str">
        <f t="shared" si="1091"/>
        <v>Sequoia Consulting Group, LLC</v>
      </c>
      <c r="B769" s="1348" t="str">
        <f t="shared" si="1092"/>
        <v>HUB SD</v>
      </c>
      <c r="C769" s="1348">
        <f t="shared" si="1093"/>
        <v>88</v>
      </c>
      <c r="D769" s="1349">
        <f t="shared" si="1094"/>
        <v>43132</v>
      </c>
      <c r="E769" s="1349"/>
      <c r="F769" s="1347" t="s">
        <v>72</v>
      </c>
      <c r="G769" s="1347" t="s">
        <v>85</v>
      </c>
      <c r="H769" s="1347" t="s">
        <v>72</v>
      </c>
      <c r="I769" s="1347" t="s">
        <v>72</v>
      </c>
      <c r="J769" s="1349" t="s">
        <v>4670</v>
      </c>
      <c r="K769" s="1349" t="s">
        <v>254</v>
      </c>
      <c r="L769" s="1350" t="s">
        <v>49</v>
      </c>
      <c r="M769" s="1350" t="s">
        <v>4705</v>
      </c>
      <c r="N769" s="1390" t="s">
        <v>4706</v>
      </c>
      <c r="O769" s="1352" t="s">
        <v>4707</v>
      </c>
      <c r="P769" s="1388"/>
      <c r="Q769" s="1354"/>
      <c r="R769" s="1354"/>
      <c r="S769" s="1354"/>
      <c r="T769" s="1354"/>
      <c r="U769" s="1354"/>
      <c r="V769" s="1354"/>
      <c r="W769" s="1354"/>
      <c r="X769" s="1353">
        <f t="shared" si="1095"/>
        <v>43132</v>
      </c>
      <c r="Y769" s="1353">
        <f t="shared" si="1095"/>
        <v>43466</v>
      </c>
      <c r="Z769" s="1355"/>
      <c r="AA769" s="1355" t="s">
        <v>4674</v>
      </c>
      <c r="AB769" s="1356"/>
      <c r="AC769" s="1356"/>
      <c r="AD769" s="1356"/>
      <c r="AE769" s="1356"/>
      <c r="AF769" s="1357" t="str">
        <f t="shared" si="951"/>
        <v/>
      </c>
      <c r="AG769" s="1380"/>
      <c r="AH769" s="1380"/>
      <c r="AI769" s="1381">
        <v>0</v>
      </c>
      <c r="AJ769" s="1382">
        <f t="shared" si="1096"/>
        <v>0</v>
      </c>
      <c r="AK769" s="1383">
        <f t="shared" si="1109"/>
        <v>0</v>
      </c>
      <c r="AL769" s="1384">
        <v>0</v>
      </c>
      <c r="AM769" s="1363">
        <f t="shared" si="1098"/>
        <v>0</v>
      </c>
      <c r="AN769" s="1364">
        <v>0</v>
      </c>
      <c r="AO769" s="1365">
        <f t="shared" si="1099"/>
        <v>0</v>
      </c>
      <c r="AP769" s="1366">
        <v>0</v>
      </c>
      <c r="AQ769" s="1367">
        <f t="shared" si="1100"/>
        <v>0</v>
      </c>
      <c r="AR769" s="1368">
        <v>0</v>
      </c>
      <c r="AS769" s="1369">
        <f t="shared" si="1101"/>
        <v>0</v>
      </c>
      <c r="AT769" s="1370">
        <v>0</v>
      </c>
      <c r="AU769" s="1371">
        <f t="shared" si="1102"/>
        <v>0</v>
      </c>
      <c r="AV769" s="1359">
        <f t="shared" si="1103"/>
        <v>0</v>
      </c>
      <c r="AW769" s="1372">
        <f t="shared" si="1104"/>
        <v>0</v>
      </c>
      <c r="AX769" s="1373">
        <f t="shared" si="1105"/>
        <v>0</v>
      </c>
      <c r="AY769" s="1374">
        <f t="shared" si="1106"/>
        <v>0</v>
      </c>
      <c r="AZ769" s="1375">
        <f t="shared" si="1107"/>
        <v>0</v>
      </c>
      <c r="BA769" s="1376">
        <f t="shared" si="1108"/>
        <v>0</v>
      </c>
      <c r="BB769" s="1391"/>
      <c r="BC769" s="1820"/>
      <c r="BD769" s="1820"/>
      <c r="BE769" s="1823"/>
      <c r="BF769" s="1834"/>
      <c r="BG769" s="1829"/>
    </row>
    <row r="770" spans="1:59" s="1378" customFormat="1" ht="38.25">
      <c r="A770" s="1347" t="str">
        <f t="shared" si="1091"/>
        <v>Sequoia Consulting Group, LLC</v>
      </c>
      <c r="B770" s="1348" t="str">
        <f t="shared" si="1092"/>
        <v>HUB SD</v>
      </c>
      <c r="C770" s="1348">
        <f t="shared" si="1093"/>
        <v>88</v>
      </c>
      <c r="D770" s="1349">
        <f t="shared" si="1094"/>
        <v>43132</v>
      </c>
      <c r="E770" s="1349"/>
      <c r="F770" s="1347" t="s">
        <v>72</v>
      </c>
      <c r="G770" s="1347" t="s">
        <v>85</v>
      </c>
      <c r="H770" s="1347" t="s">
        <v>72</v>
      </c>
      <c r="I770" s="1347" t="s">
        <v>72</v>
      </c>
      <c r="J770" s="1349" t="s">
        <v>4670</v>
      </c>
      <c r="K770" s="1349" t="s">
        <v>254</v>
      </c>
      <c r="L770" s="1350" t="s">
        <v>3056</v>
      </c>
      <c r="M770" s="1350" t="s">
        <v>4708</v>
      </c>
      <c r="N770" s="1390" t="s">
        <v>4709</v>
      </c>
      <c r="O770" s="1352" t="s">
        <v>4710</v>
      </c>
      <c r="P770" s="1388"/>
      <c r="Q770" s="1354"/>
      <c r="R770" s="1354"/>
      <c r="S770" s="1354"/>
      <c r="T770" s="1354"/>
      <c r="U770" s="1354"/>
      <c r="V770" s="1354"/>
      <c r="W770" s="1354"/>
      <c r="X770" s="1353">
        <f t="shared" si="1095"/>
        <v>43132</v>
      </c>
      <c r="Y770" s="1353">
        <f t="shared" si="1095"/>
        <v>43466</v>
      </c>
      <c r="Z770" s="1355"/>
      <c r="AA770" s="1355" t="s">
        <v>4674</v>
      </c>
      <c r="AB770" s="1356"/>
      <c r="AC770" s="1356"/>
      <c r="AD770" s="1356"/>
      <c r="AE770" s="1356"/>
      <c r="AF770" s="1357" t="str">
        <f t="shared" si="951"/>
        <v/>
      </c>
      <c r="AG770" s="1380"/>
      <c r="AH770" s="1380"/>
      <c r="AI770" s="1381">
        <v>0</v>
      </c>
      <c r="AJ770" s="1382">
        <f t="shared" si="1096"/>
        <v>0</v>
      </c>
      <c r="AK770" s="1383">
        <f t="shared" si="1109"/>
        <v>0</v>
      </c>
      <c r="AL770" s="1384">
        <v>0</v>
      </c>
      <c r="AM770" s="1363">
        <f t="shared" si="1098"/>
        <v>0</v>
      </c>
      <c r="AN770" s="1364">
        <v>0</v>
      </c>
      <c r="AO770" s="1365">
        <f t="shared" si="1099"/>
        <v>0</v>
      </c>
      <c r="AP770" s="1366">
        <v>0</v>
      </c>
      <c r="AQ770" s="1367">
        <f t="shared" si="1100"/>
        <v>0</v>
      </c>
      <c r="AR770" s="1368">
        <v>0</v>
      </c>
      <c r="AS770" s="1369">
        <f t="shared" si="1101"/>
        <v>0</v>
      </c>
      <c r="AT770" s="1370">
        <v>0</v>
      </c>
      <c r="AU770" s="1371">
        <f t="shared" si="1102"/>
        <v>0</v>
      </c>
      <c r="AV770" s="1359">
        <f t="shared" si="1103"/>
        <v>0</v>
      </c>
      <c r="AW770" s="1372">
        <f t="shared" si="1104"/>
        <v>0</v>
      </c>
      <c r="AX770" s="1373">
        <f t="shared" si="1105"/>
        <v>0</v>
      </c>
      <c r="AY770" s="1374">
        <f t="shared" si="1106"/>
        <v>0</v>
      </c>
      <c r="AZ770" s="1375">
        <f t="shared" si="1107"/>
        <v>0</v>
      </c>
      <c r="BA770" s="1376">
        <f t="shared" si="1108"/>
        <v>0</v>
      </c>
      <c r="BB770" s="1391"/>
      <c r="BC770" s="1821"/>
      <c r="BD770" s="1821"/>
      <c r="BE770" s="1824"/>
      <c r="BF770" s="1834"/>
      <c r="BG770" s="1830"/>
    </row>
    <row r="771" spans="1:59" s="1315" customFormat="1" ht="51">
      <c r="A771" s="1277" t="str">
        <f t="shared" ref="A771:A786" si="1111">$L$771</f>
        <v>SFJ Pharmaceuticals, Inc.</v>
      </c>
      <c r="B771" s="1277" t="s">
        <v>4835</v>
      </c>
      <c r="C771" s="1316">
        <f t="shared" ref="C771:C786" si="1112">$Z$771</f>
        <v>14</v>
      </c>
      <c r="D771" s="1317">
        <v>42705</v>
      </c>
      <c r="E771" s="1317"/>
      <c r="F771" s="1277" t="s">
        <v>72</v>
      </c>
      <c r="G771" s="1277" t="s">
        <v>72</v>
      </c>
      <c r="H771" s="1277" t="s">
        <v>72</v>
      </c>
      <c r="I771" s="1277" t="s">
        <v>4711</v>
      </c>
      <c r="J771" s="1317"/>
      <c r="K771" s="1317"/>
      <c r="L771" s="1318" t="s">
        <v>170</v>
      </c>
      <c r="M771" s="1319"/>
      <c r="N771" s="1427" t="s">
        <v>4835</v>
      </c>
      <c r="O771" s="1419" t="s">
        <v>2474</v>
      </c>
      <c r="P771" s="1419"/>
      <c r="Q771" s="1322"/>
      <c r="R771" s="1322"/>
      <c r="S771" s="1322"/>
      <c r="T771" s="1322"/>
      <c r="U771" s="1322"/>
      <c r="V771" s="1322"/>
      <c r="W771" s="1322"/>
      <c r="X771" s="1317">
        <v>43101</v>
      </c>
      <c r="Y771" s="1317">
        <v>43466</v>
      </c>
      <c r="Z771" s="1316">
        <v>14</v>
      </c>
      <c r="AA771" s="1316" t="s">
        <v>5269</v>
      </c>
      <c r="AB771" s="1323">
        <f>SUM(AB772:AB787)</f>
        <v>0</v>
      </c>
      <c r="AC771" s="1323">
        <f>SUM(AC772:AC787)</f>
        <v>0</v>
      </c>
      <c r="AD771" s="1323">
        <f>SUM(AD772:AD787)</f>
        <v>0</v>
      </c>
      <c r="AE771" s="1324">
        <f t="shared" ref="AE771:AE849" si="1113">AD771-AB771</f>
        <v>0</v>
      </c>
      <c r="AF771" s="1325" t="str">
        <f t="shared" si="951"/>
        <v/>
      </c>
      <c r="AG771" s="1326">
        <f t="shared" si="1076"/>
        <v>14567.369166666665</v>
      </c>
      <c r="AH771" s="1326">
        <f>SUM(AH772:AH787)</f>
        <v>174808.43</v>
      </c>
      <c r="AI771" s="1327"/>
      <c r="AJ771" s="1328">
        <f>SUM(AJ772:AJ787)</f>
        <v>1380.6522750000001</v>
      </c>
      <c r="AK771" s="1328">
        <f>SUM(AK772:AK787)</f>
        <v>16567.827300000001</v>
      </c>
      <c r="AL771" s="1329"/>
      <c r="AM771" s="1330">
        <f>SUM(AM772:AM787)</f>
        <v>612.25080000000003</v>
      </c>
      <c r="AN771" s="1331"/>
      <c r="AO771" s="1332">
        <f>SUM(AO772:AO787)</f>
        <v>0</v>
      </c>
      <c r="AP771" s="1333"/>
      <c r="AQ771" s="1334">
        <f>SUM(AQ772:AQ787)</f>
        <v>0</v>
      </c>
      <c r="AR771" s="1335"/>
      <c r="AS771" s="1336">
        <f>SUM(AS772:AS787)</f>
        <v>0</v>
      </c>
      <c r="AT771" s="1337"/>
      <c r="AU771" s="1338">
        <f>SUM(AU772:AU787)</f>
        <v>3061.2540000000004</v>
      </c>
      <c r="AV771" s="1339"/>
      <c r="AW771" s="1340">
        <f>SUM(AW772:AW787)</f>
        <v>12894.322499999998</v>
      </c>
      <c r="AX771" s="1306"/>
      <c r="AY771" s="1307">
        <f>SUM(AW771+AS771+AU771)</f>
        <v>15955.576499999999</v>
      </c>
      <c r="AZ771" s="1341"/>
      <c r="BA771" s="1309">
        <f>SUM(AY771+AQ771)</f>
        <v>15955.576499999999</v>
      </c>
      <c r="BB771" s="1342">
        <f>(AW771+AU771)/(AK771-AM771)</f>
        <v>0.99999999999999989</v>
      </c>
      <c r="BC771" s="1343"/>
      <c r="BD771" s="1343"/>
      <c r="BE771" s="1344"/>
      <c r="BF771" s="1428" t="s">
        <v>5270</v>
      </c>
      <c r="BG771" s="1346"/>
    </row>
    <row r="772" spans="1:59" s="1378" customFormat="1" ht="66" customHeight="1">
      <c r="A772" s="1347" t="str">
        <f t="shared" si="1111"/>
        <v>SFJ Pharmaceuticals, Inc.</v>
      </c>
      <c r="B772" s="1347" t="s">
        <v>4835</v>
      </c>
      <c r="C772" s="1348">
        <f t="shared" si="1112"/>
        <v>14</v>
      </c>
      <c r="D772" s="1349">
        <v>42705</v>
      </c>
      <c r="E772" s="1349"/>
      <c r="F772" s="1347" t="s">
        <v>85</v>
      </c>
      <c r="G772" s="1347" t="s">
        <v>85</v>
      </c>
      <c r="H772" s="1347" t="s">
        <v>85</v>
      </c>
      <c r="I772" s="1347" t="s">
        <v>113</v>
      </c>
      <c r="J772" s="1349"/>
      <c r="K772" s="1349" t="s">
        <v>254</v>
      </c>
      <c r="L772" s="1350" t="s">
        <v>2661</v>
      </c>
      <c r="M772" s="1350" t="s">
        <v>3647</v>
      </c>
      <c r="N772" s="1351" t="s">
        <v>5271</v>
      </c>
      <c r="O772" s="1352" t="s">
        <v>4751</v>
      </c>
      <c r="P772" s="1352" t="s">
        <v>4752</v>
      </c>
      <c r="Q772" s="1353" t="s">
        <v>303</v>
      </c>
      <c r="R772" s="1353" t="s">
        <v>3656</v>
      </c>
      <c r="S772" s="1353" t="s">
        <v>307</v>
      </c>
      <c r="T772" s="1353" t="s">
        <v>113</v>
      </c>
      <c r="U772" s="1354"/>
      <c r="V772" s="1354"/>
      <c r="W772" s="1354"/>
      <c r="X772" s="1353">
        <v>43101</v>
      </c>
      <c r="Y772" s="1353">
        <v>43466</v>
      </c>
      <c r="Z772" s="1355"/>
      <c r="AA772" s="1355" t="s">
        <v>4841</v>
      </c>
      <c r="AB772" s="1356"/>
      <c r="AC772" s="1356"/>
      <c r="AD772" s="1356"/>
      <c r="AE772" s="1356"/>
      <c r="AF772" s="1357" t="str">
        <f t="shared" si="951"/>
        <v/>
      </c>
      <c r="AG772" s="1358">
        <f t="shared" si="1076"/>
        <v>10204.18</v>
      </c>
      <c r="AH772" s="1358">
        <v>122450.16</v>
      </c>
      <c r="AI772" s="1359">
        <v>0.08</v>
      </c>
      <c r="AJ772" s="1360">
        <f t="shared" ref="AJ772:AJ787" si="1114">$AI772*$AG772</f>
        <v>816.33440000000007</v>
      </c>
      <c r="AK772" s="1361">
        <f t="shared" ref="AK772:AK787" si="1115">AI772*$AH772</f>
        <v>9796.0128000000004</v>
      </c>
      <c r="AL772" s="1362">
        <v>5.0000000000000001E-3</v>
      </c>
      <c r="AM772" s="1363">
        <f t="shared" ref="AM772:AM787" si="1116">AL772*$AH772</f>
        <v>612.25080000000003</v>
      </c>
      <c r="AN772" s="1364">
        <v>0</v>
      </c>
      <c r="AO772" s="1365">
        <f t="shared" ref="AO772:AO787" si="1117">AN772*$AH772</f>
        <v>0</v>
      </c>
      <c r="AP772" s="1366">
        <v>0</v>
      </c>
      <c r="AQ772" s="1367">
        <f t="shared" ref="AQ772:AQ787" si="1118">AP772*$AH772</f>
        <v>0</v>
      </c>
      <c r="AR772" s="1368">
        <v>0</v>
      </c>
      <c r="AS772" s="1369">
        <f t="shared" ref="AS772:AS787" si="1119">AR772*$AH772</f>
        <v>0</v>
      </c>
      <c r="AT772" s="1370">
        <v>2.5000000000000001E-2</v>
      </c>
      <c r="AU772" s="1371">
        <f t="shared" ref="AU772:AU787" si="1120">AT772*$AH772</f>
        <v>3061.2540000000004</v>
      </c>
      <c r="AV772" s="1359">
        <f t="shared" ref="AV772:AV787" si="1121">AZ772-AR772-AT772-AP772</f>
        <v>4.9999999999999996E-2</v>
      </c>
      <c r="AW772" s="1372">
        <f t="shared" ref="AW772:AW787" si="1122">AV772*$AH772</f>
        <v>6122.5079999999998</v>
      </c>
      <c r="AX772" s="1373">
        <f t="shared" ref="AX772:AX787" si="1123">$AZ772-$AP772</f>
        <v>7.4999999999999997E-2</v>
      </c>
      <c r="AY772" s="1374">
        <f t="shared" ref="AY772:AY787" si="1124">AX772*$AH772</f>
        <v>9183.7620000000006</v>
      </c>
      <c r="AZ772" s="1375">
        <f t="shared" ref="AZ772:AZ787" si="1125">$AI772-$AL772-$AN772</f>
        <v>7.4999999999999997E-2</v>
      </c>
      <c r="BA772" s="1376">
        <f t="shared" ref="BA772:BA787" si="1126">AZ772*$AH772</f>
        <v>9183.7620000000006</v>
      </c>
      <c r="BB772" s="1377"/>
      <c r="BC772" s="1819" t="s">
        <v>171</v>
      </c>
      <c r="BD772" s="1819" t="s">
        <v>172</v>
      </c>
      <c r="BE772" s="1822" t="s">
        <v>172</v>
      </c>
      <c r="BF772" s="1825" t="s">
        <v>4240</v>
      </c>
      <c r="BG772" s="1828">
        <v>263907550</v>
      </c>
    </row>
    <row r="773" spans="1:59" s="1378" customFormat="1" ht="38.25">
      <c r="A773" s="1347" t="str">
        <f t="shared" si="1111"/>
        <v>SFJ Pharmaceuticals, Inc.</v>
      </c>
      <c r="B773" s="1347" t="s">
        <v>4835</v>
      </c>
      <c r="C773" s="1348">
        <f t="shared" si="1112"/>
        <v>14</v>
      </c>
      <c r="D773" s="1349">
        <v>42705</v>
      </c>
      <c r="E773" s="1349"/>
      <c r="F773" s="1347" t="s">
        <v>72</v>
      </c>
      <c r="G773" s="1347" t="s">
        <v>85</v>
      </c>
      <c r="H773" s="1347" t="s">
        <v>72</v>
      </c>
      <c r="I773" s="1347" t="s">
        <v>72</v>
      </c>
      <c r="J773" s="1349" t="s">
        <v>4670</v>
      </c>
      <c r="K773" s="1349" t="s">
        <v>254</v>
      </c>
      <c r="L773" s="1350" t="s">
        <v>4671</v>
      </c>
      <c r="M773" s="1350" t="s">
        <v>3649</v>
      </c>
      <c r="N773" s="1379" t="s">
        <v>4799</v>
      </c>
      <c r="O773" s="1352" t="s">
        <v>5272</v>
      </c>
      <c r="P773" s="1352"/>
      <c r="Q773" s="1354"/>
      <c r="R773" s="1354"/>
      <c r="S773" s="1354"/>
      <c r="T773" s="1354"/>
      <c r="U773" s="1354"/>
      <c r="V773" s="1354"/>
      <c r="W773" s="1354"/>
      <c r="X773" s="1353">
        <v>43101</v>
      </c>
      <c r="Y773" s="1353">
        <v>43466</v>
      </c>
      <c r="Z773" s="1355"/>
      <c r="AA773" s="1355" t="s">
        <v>4674</v>
      </c>
      <c r="AB773" s="1356"/>
      <c r="AC773" s="1356"/>
      <c r="AD773" s="1356"/>
      <c r="AE773" s="1356"/>
      <c r="AF773" s="1357" t="str">
        <f t="shared" si="951"/>
        <v/>
      </c>
      <c r="AG773" s="1380"/>
      <c r="AH773" s="1380"/>
      <c r="AI773" s="1381">
        <v>0</v>
      </c>
      <c r="AJ773" s="1382">
        <f t="shared" si="1114"/>
        <v>0</v>
      </c>
      <c r="AK773" s="1383">
        <f t="shared" si="1115"/>
        <v>0</v>
      </c>
      <c r="AL773" s="1384">
        <v>0</v>
      </c>
      <c r="AM773" s="1363">
        <f t="shared" si="1116"/>
        <v>0</v>
      </c>
      <c r="AN773" s="1364">
        <v>0</v>
      </c>
      <c r="AO773" s="1365">
        <f t="shared" si="1117"/>
        <v>0</v>
      </c>
      <c r="AP773" s="1366">
        <v>0</v>
      </c>
      <c r="AQ773" s="1367">
        <f t="shared" si="1118"/>
        <v>0</v>
      </c>
      <c r="AR773" s="1368">
        <v>0</v>
      </c>
      <c r="AS773" s="1369">
        <f t="shared" si="1119"/>
        <v>0</v>
      </c>
      <c r="AT773" s="1370">
        <v>0</v>
      </c>
      <c r="AU773" s="1371">
        <f t="shared" si="1120"/>
        <v>0</v>
      </c>
      <c r="AV773" s="1359">
        <f t="shared" si="1121"/>
        <v>0</v>
      </c>
      <c r="AW773" s="1372">
        <f t="shared" si="1122"/>
        <v>0</v>
      </c>
      <c r="AX773" s="1373">
        <f t="shared" si="1123"/>
        <v>0</v>
      </c>
      <c r="AY773" s="1374">
        <f t="shared" si="1124"/>
        <v>0</v>
      </c>
      <c r="AZ773" s="1375">
        <f t="shared" si="1125"/>
        <v>0</v>
      </c>
      <c r="BA773" s="1376">
        <f t="shared" si="1126"/>
        <v>0</v>
      </c>
      <c r="BB773" s="1377"/>
      <c r="BC773" s="1820"/>
      <c r="BD773" s="1820"/>
      <c r="BE773" s="1823"/>
      <c r="BF773" s="1826"/>
      <c r="BG773" s="1829"/>
    </row>
    <row r="774" spans="1:59" s="1378" customFormat="1" ht="38.25">
      <c r="A774" s="1347" t="str">
        <f t="shared" si="1111"/>
        <v>SFJ Pharmaceuticals, Inc.</v>
      </c>
      <c r="B774" s="1347" t="s">
        <v>4835</v>
      </c>
      <c r="C774" s="1348">
        <f t="shared" si="1112"/>
        <v>14</v>
      </c>
      <c r="D774" s="1349">
        <v>42705</v>
      </c>
      <c r="E774" s="1349"/>
      <c r="F774" s="1347" t="s">
        <v>113</v>
      </c>
      <c r="G774" s="1347" t="s">
        <v>85</v>
      </c>
      <c r="H774" s="1347" t="s">
        <v>85</v>
      </c>
      <c r="I774" s="1347" t="s">
        <v>113</v>
      </c>
      <c r="J774" s="1349"/>
      <c r="K774" s="1349" t="s">
        <v>254</v>
      </c>
      <c r="L774" s="1350" t="s">
        <v>4675</v>
      </c>
      <c r="M774" s="1350" t="s">
        <v>3650</v>
      </c>
      <c r="N774" s="1351" t="s">
        <v>5030</v>
      </c>
      <c r="O774" s="1352" t="s">
        <v>4677</v>
      </c>
      <c r="P774" s="1352"/>
      <c r="Q774" s="1354"/>
      <c r="R774" s="1354"/>
      <c r="S774" s="1354"/>
      <c r="T774" s="1354"/>
      <c r="U774" s="1353" t="s">
        <v>4959</v>
      </c>
      <c r="V774" s="1353" t="s">
        <v>2481</v>
      </c>
      <c r="W774" s="1354"/>
      <c r="X774" s="1353">
        <v>43101</v>
      </c>
      <c r="Y774" s="1353">
        <v>43466</v>
      </c>
      <c r="Z774" s="1355"/>
      <c r="AA774" s="1355" t="s">
        <v>4846</v>
      </c>
      <c r="AB774" s="1356"/>
      <c r="AC774" s="1356"/>
      <c r="AD774" s="1356"/>
      <c r="AE774" s="1356"/>
      <c r="AF774" s="1357" t="str">
        <f t="shared" si="951"/>
        <v/>
      </c>
      <c r="AG774" s="1358">
        <f t="shared" si="1076"/>
        <v>1616.49</v>
      </c>
      <c r="AH774" s="1358">
        <v>19397.88</v>
      </c>
      <c r="AI774" s="1359">
        <v>0.1</v>
      </c>
      <c r="AJ774" s="1360">
        <f t="shared" si="1114"/>
        <v>161.649</v>
      </c>
      <c r="AK774" s="1361">
        <f t="shared" si="1115"/>
        <v>1939.7880000000002</v>
      </c>
      <c r="AL774" s="1384">
        <v>0</v>
      </c>
      <c r="AM774" s="1363">
        <f t="shared" si="1116"/>
        <v>0</v>
      </c>
      <c r="AN774" s="1364">
        <v>0</v>
      </c>
      <c r="AO774" s="1365">
        <f t="shared" si="1117"/>
        <v>0</v>
      </c>
      <c r="AP774" s="1366">
        <v>0</v>
      </c>
      <c r="AQ774" s="1367">
        <f t="shared" si="1118"/>
        <v>0</v>
      </c>
      <c r="AR774" s="1368">
        <v>0</v>
      </c>
      <c r="AS774" s="1369">
        <f t="shared" si="1119"/>
        <v>0</v>
      </c>
      <c r="AT774" s="1370">
        <v>0</v>
      </c>
      <c r="AU774" s="1371">
        <f t="shared" si="1120"/>
        <v>0</v>
      </c>
      <c r="AV774" s="1359">
        <f t="shared" si="1121"/>
        <v>0.1</v>
      </c>
      <c r="AW774" s="1372">
        <f t="shared" si="1122"/>
        <v>1939.7880000000002</v>
      </c>
      <c r="AX774" s="1373">
        <f t="shared" si="1123"/>
        <v>0.1</v>
      </c>
      <c r="AY774" s="1374">
        <f t="shared" si="1124"/>
        <v>1939.7880000000002</v>
      </c>
      <c r="AZ774" s="1375">
        <f t="shared" si="1125"/>
        <v>0.1</v>
      </c>
      <c r="BA774" s="1376">
        <f t="shared" si="1126"/>
        <v>1939.7880000000002</v>
      </c>
      <c r="BB774" s="1377"/>
      <c r="BC774" s="1820"/>
      <c r="BD774" s="1820"/>
      <c r="BE774" s="1823"/>
      <c r="BF774" s="1826"/>
      <c r="BG774" s="1829"/>
    </row>
    <row r="775" spans="1:59" s="1378" customFormat="1" ht="38.25">
      <c r="A775" s="1347" t="str">
        <f t="shared" si="1111"/>
        <v>SFJ Pharmaceuticals, Inc.</v>
      </c>
      <c r="B775" s="1347" t="s">
        <v>4835</v>
      </c>
      <c r="C775" s="1348">
        <f t="shared" si="1112"/>
        <v>14</v>
      </c>
      <c r="D775" s="1349">
        <v>42705</v>
      </c>
      <c r="E775" s="1349"/>
      <c r="F775" s="1347" t="s">
        <v>113</v>
      </c>
      <c r="G775" s="1347" t="s">
        <v>85</v>
      </c>
      <c r="H775" s="1347" t="s">
        <v>85</v>
      </c>
      <c r="I775" s="1347" t="s">
        <v>113</v>
      </c>
      <c r="J775" s="1349"/>
      <c r="K775" s="1349" t="s">
        <v>254</v>
      </c>
      <c r="L775" s="1350" t="s">
        <v>4675</v>
      </c>
      <c r="M775" s="1350" t="s">
        <v>3651</v>
      </c>
      <c r="N775" s="1351" t="s">
        <v>4875</v>
      </c>
      <c r="O775" s="1352" t="s">
        <v>4681</v>
      </c>
      <c r="P775" s="1352"/>
      <c r="Q775" s="1354"/>
      <c r="R775" s="1354"/>
      <c r="S775" s="1354"/>
      <c r="T775" s="1354"/>
      <c r="U775" s="1354"/>
      <c r="V775" s="1354"/>
      <c r="W775" s="1353" t="s">
        <v>2492</v>
      </c>
      <c r="X775" s="1353">
        <v>43101</v>
      </c>
      <c r="Y775" s="1353">
        <v>43466</v>
      </c>
      <c r="Z775" s="1355"/>
      <c r="AA775" s="1355" t="s">
        <v>4846</v>
      </c>
      <c r="AB775" s="1356"/>
      <c r="AC775" s="1356"/>
      <c r="AD775" s="1356"/>
      <c r="AE775" s="1356"/>
      <c r="AF775" s="1357" t="str">
        <f t="shared" si="951"/>
        <v/>
      </c>
      <c r="AG775" s="1358">
        <f t="shared" si="1076"/>
        <v>186.72</v>
      </c>
      <c r="AH775" s="1358">
        <v>2240.64</v>
      </c>
      <c r="AI775" s="1359">
        <v>0.1</v>
      </c>
      <c r="AJ775" s="1360">
        <f t="shared" si="1114"/>
        <v>18.672000000000001</v>
      </c>
      <c r="AK775" s="1361">
        <f t="shared" si="1115"/>
        <v>224.06399999999999</v>
      </c>
      <c r="AL775" s="1384">
        <v>0</v>
      </c>
      <c r="AM775" s="1363">
        <f t="shared" si="1116"/>
        <v>0</v>
      </c>
      <c r="AN775" s="1364">
        <v>0</v>
      </c>
      <c r="AO775" s="1365">
        <f t="shared" si="1117"/>
        <v>0</v>
      </c>
      <c r="AP775" s="1366">
        <v>0</v>
      </c>
      <c r="AQ775" s="1367">
        <f t="shared" si="1118"/>
        <v>0</v>
      </c>
      <c r="AR775" s="1368">
        <v>0</v>
      </c>
      <c r="AS775" s="1369">
        <f t="shared" si="1119"/>
        <v>0</v>
      </c>
      <c r="AT775" s="1370">
        <v>0</v>
      </c>
      <c r="AU775" s="1371">
        <f t="shared" si="1120"/>
        <v>0</v>
      </c>
      <c r="AV775" s="1359">
        <f t="shared" si="1121"/>
        <v>0.1</v>
      </c>
      <c r="AW775" s="1372">
        <f t="shared" si="1122"/>
        <v>224.06399999999999</v>
      </c>
      <c r="AX775" s="1373">
        <f t="shared" si="1123"/>
        <v>0.1</v>
      </c>
      <c r="AY775" s="1374">
        <f t="shared" si="1124"/>
        <v>224.06399999999999</v>
      </c>
      <c r="AZ775" s="1375">
        <f t="shared" si="1125"/>
        <v>0.1</v>
      </c>
      <c r="BA775" s="1376">
        <f t="shared" si="1126"/>
        <v>224.06399999999999</v>
      </c>
      <c r="BB775" s="1377"/>
      <c r="BC775" s="1820"/>
      <c r="BD775" s="1820"/>
      <c r="BE775" s="1823"/>
      <c r="BF775" s="1826"/>
      <c r="BG775" s="1829"/>
    </row>
    <row r="776" spans="1:59" s="1378" customFormat="1" ht="38.25">
      <c r="A776" s="1347" t="str">
        <f t="shared" si="1111"/>
        <v>SFJ Pharmaceuticals, Inc.</v>
      </c>
      <c r="B776" s="1347" t="s">
        <v>4835</v>
      </c>
      <c r="C776" s="1348">
        <f t="shared" si="1112"/>
        <v>14</v>
      </c>
      <c r="D776" s="1349">
        <v>42705</v>
      </c>
      <c r="E776" s="1349"/>
      <c r="F776" s="1347" t="s">
        <v>113</v>
      </c>
      <c r="G776" s="1347" t="s">
        <v>85</v>
      </c>
      <c r="H776" s="1347" t="s">
        <v>85</v>
      </c>
      <c r="I776" s="1347" t="s">
        <v>113</v>
      </c>
      <c r="J776" s="1349"/>
      <c r="K776" s="1349" t="s">
        <v>254</v>
      </c>
      <c r="L776" s="1350" t="s">
        <v>4682</v>
      </c>
      <c r="M776" s="1350" t="s">
        <v>4683</v>
      </c>
      <c r="N776" s="1386" t="s">
        <v>126</v>
      </c>
      <c r="O776" s="1352" t="s">
        <v>4684</v>
      </c>
      <c r="P776" s="1387"/>
      <c r="Q776" s="1354"/>
      <c r="R776" s="1354"/>
      <c r="S776" s="1354"/>
      <c r="T776" s="1354"/>
      <c r="U776" s="1354"/>
      <c r="V776" s="1354"/>
      <c r="W776" s="1354"/>
      <c r="X776" s="1353">
        <v>43101</v>
      </c>
      <c r="Y776" s="1353">
        <v>43466</v>
      </c>
      <c r="Z776" s="1355"/>
      <c r="AA776" s="1355" t="s">
        <v>4884</v>
      </c>
      <c r="AB776" s="1356"/>
      <c r="AC776" s="1356"/>
      <c r="AD776" s="1356"/>
      <c r="AE776" s="1356"/>
      <c r="AF776" s="1357" t="str">
        <f t="shared" si="951"/>
        <v/>
      </c>
      <c r="AG776" s="1358">
        <f t="shared" si="1076"/>
        <v>888.57999999999993</v>
      </c>
      <c r="AH776" s="1358">
        <v>10662.96</v>
      </c>
      <c r="AI776" s="1359">
        <v>0.15</v>
      </c>
      <c r="AJ776" s="1360">
        <f t="shared" si="1114"/>
        <v>133.28699999999998</v>
      </c>
      <c r="AK776" s="1361">
        <f t="shared" si="1115"/>
        <v>1599.4439999999997</v>
      </c>
      <c r="AL776" s="1384">
        <v>0</v>
      </c>
      <c r="AM776" s="1363">
        <f t="shared" si="1116"/>
        <v>0</v>
      </c>
      <c r="AN776" s="1364">
        <v>0</v>
      </c>
      <c r="AO776" s="1365">
        <f t="shared" si="1117"/>
        <v>0</v>
      </c>
      <c r="AP776" s="1366">
        <v>0</v>
      </c>
      <c r="AQ776" s="1367">
        <f t="shared" si="1118"/>
        <v>0</v>
      </c>
      <c r="AR776" s="1368">
        <v>0</v>
      </c>
      <c r="AS776" s="1369">
        <f t="shared" si="1119"/>
        <v>0</v>
      </c>
      <c r="AT776" s="1370">
        <v>0</v>
      </c>
      <c r="AU776" s="1371">
        <f t="shared" si="1120"/>
        <v>0</v>
      </c>
      <c r="AV776" s="1359">
        <f t="shared" si="1121"/>
        <v>0.15</v>
      </c>
      <c r="AW776" s="1372">
        <f t="shared" si="1122"/>
        <v>1599.4439999999997</v>
      </c>
      <c r="AX776" s="1373">
        <f t="shared" si="1123"/>
        <v>0.15</v>
      </c>
      <c r="AY776" s="1374">
        <f t="shared" si="1124"/>
        <v>1599.4439999999997</v>
      </c>
      <c r="AZ776" s="1375">
        <f t="shared" si="1125"/>
        <v>0.15</v>
      </c>
      <c r="BA776" s="1376">
        <f t="shared" si="1126"/>
        <v>1599.4439999999997</v>
      </c>
      <c r="BB776" s="1377"/>
      <c r="BC776" s="1820"/>
      <c r="BD776" s="1820"/>
      <c r="BE776" s="1823"/>
      <c r="BF776" s="1826"/>
      <c r="BG776" s="1829"/>
    </row>
    <row r="777" spans="1:59" s="1378" customFormat="1" ht="38.25">
      <c r="A777" s="1347" t="str">
        <f t="shared" si="1111"/>
        <v>SFJ Pharmaceuticals, Inc.</v>
      </c>
      <c r="B777" s="1347" t="s">
        <v>4835</v>
      </c>
      <c r="C777" s="1348">
        <f t="shared" si="1112"/>
        <v>14</v>
      </c>
      <c r="D777" s="1349">
        <v>42705</v>
      </c>
      <c r="E777" s="1349"/>
      <c r="F777" s="1347" t="s">
        <v>113</v>
      </c>
      <c r="G777" s="1347" t="s">
        <v>85</v>
      </c>
      <c r="H777" s="1347" t="s">
        <v>85</v>
      </c>
      <c r="I777" s="1347" t="s">
        <v>113</v>
      </c>
      <c r="J777" s="1349"/>
      <c r="K777" s="1349" t="s">
        <v>254</v>
      </c>
      <c r="L777" s="1350" t="s">
        <v>4682</v>
      </c>
      <c r="M777" s="1350" t="s">
        <v>4686</v>
      </c>
      <c r="N777" s="1386" t="s">
        <v>60</v>
      </c>
      <c r="O777" s="1352" t="s">
        <v>4687</v>
      </c>
      <c r="P777" s="1387"/>
      <c r="Q777" s="1354"/>
      <c r="R777" s="1354"/>
      <c r="S777" s="1354"/>
      <c r="T777" s="1354"/>
      <c r="U777" s="1354"/>
      <c r="V777" s="1354"/>
      <c r="W777" s="1354"/>
      <c r="X777" s="1353">
        <v>43101</v>
      </c>
      <c r="Y777" s="1353">
        <v>43466</v>
      </c>
      <c r="Z777" s="1355"/>
      <c r="AA777" s="1355" t="s">
        <v>4884</v>
      </c>
      <c r="AB777" s="1356"/>
      <c r="AC777" s="1356"/>
      <c r="AD777" s="1356"/>
      <c r="AE777" s="1356"/>
      <c r="AF777" s="1357" t="str">
        <f t="shared" si="951"/>
        <v/>
      </c>
      <c r="AG777" s="1358">
        <f t="shared" si="1076"/>
        <v>180.75</v>
      </c>
      <c r="AH777" s="1358">
        <v>2169</v>
      </c>
      <c r="AI777" s="1359">
        <v>0.15</v>
      </c>
      <c r="AJ777" s="1360">
        <f t="shared" si="1114"/>
        <v>27.112500000000001</v>
      </c>
      <c r="AK777" s="1361">
        <f t="shared" si="1115"/>
        <v>325.34999999999997</v>
      </c>
      <c r="AL777" s="1384">
        <v>0</v>
      </c>
      <c r="AM777" s="1363">
        <f t="shared" si="1116"/>
        <v>0</v>
      </c>
      <c r="AN777" s="1364">
        <v>0</v>
      </c>
      <c r="AO777" s="1365">
        <f t="shared" si="1117"/>
        <v>0</v>
      </c>
      <c r="AP777" s="1366">
        <v>0</v>
      </c>
      <c r="AQ777" s="1367">
        <f t="shared" si="1118"/>
        <v>0</v>
      </c>
      <c r="AR777" s="1368">
        <v>0</v>
      </c>
      <c r="AS777" s="1369">
        <f t="shared" si="1119"/>
        <v>0</v>
      </c>
      <c r="AT777" s="1370">
        <v>0</v>
      </c>
      <c r="AU777" s="1371">
        <f t="shared" si="1120"/>
        <v>0</v>
      </c>
      <c r="AV777" s="1359">
        <f t="shared" si="1121"/>
        <v>0.15</v>
      </c>
      <c r="AW777" s="1372">
        <f t="shared" si="1122"/>
        <v>325.34999999999997</v>
      </c>
      <c r="AX777" s="1373">
        <f t="shared" si="1123"/>
        <v>0.15</v>
      </c>
      <c r="AY777" s="1374">
        <f t="shared" si="1124"/>
        <v>325.34999999999997</v>
      </c>
      <c r="AZ777" s="1375">
        <f t="shared" si="1125"/>
        <v>0.15</v>
      </c>
      <c r="BA777" s="1376">
        <f t="shared" si="1126"/>
        <v>325.34999999999997</v>
      </c>
      <c r="BB777" s="1377"/>
      <c r="BC777" s="1820"/>
      <c r="BD777" s="1820"/>
      <c r="BE777" s="1823"/>
      <c r="BF777" s="1826"/>
      <c r="BG777" s="1829"/>
    </row>
    <row r="778" spans="1:59" s="1378" customFormat="1" ht="38.25">
      <c r="A778" s="1347" t="str">
        <f t="shared" si="1111"/>
        <v>SFJ Pharmaceuticals, Inc.</v>
      </c>
      <c r="B778" s="1347" t="s">
        <v>4835</v>
      </c>
      <c r="C778" s="1348">
        <f t="shared" si="1112"/>
        <v>14</v>
      </c>
      <c r="D778" s="1349">
        <v>42705</v>
      </c>
      <c r="E778" s="1349"/>
      <c r="F778" s="1347" t="s">
        <v>113</v>
      </c>
      <c r="G778" s="1347" t="s">
        <v>85</v>
      </c>
      <c r="H778" s="1347" t="s">
        <v>85</v>
      </c>
      <c r="I778" s="1347" t="s">
        <v>113</v>
      </c>
      <c r="J778" s="1349"/>
      <c r="K778" s="1349" t="s">
        <v>254</v>
      </c>
      <c r="L778" s="1350" t="s">
        <v>4682</v>
      </c>
      <c r="M778" s="1350" t="s">
        <v>62</v>
      </c>
      <c r="N778" s="1351" t="s">
        <v>256</v>
      </c>
      <c r="O778" s="1352" t="s">
        <v>4688</v>
      </c>
      <c r="P778" s="1352"/>
      <c r="Q778" s="1354"/>
      <c r="R778" s="1354"/>
      <c r="S778" s="1354"/>
      <c r="T778" s="1354"/>
      <c r="U778" s="1354"/>
      <c r="V778" s="1354"/>
      <c r="W778" s="1354"/>
      <c r="X778" s="1353">
        <v>43101</v>
      </c>
      <c r="Y778" s="1353">
        <v>43466</v>
      </c>
      <c r="Z778" s="1355"/>
      <c r="AA778" s="1355" t="s">
        <v>4884</v>
      </c>
      <c r="AB778" s="1356"/>
      <c r="AC778" s="1356"/>
      <c r="AD778" s="1356"/>
      <c r="AE778" s="1356"/>
      <c r="AF778" s="1357" t="str">
        <f t="shared" si="951"/>
        <v/>
      </c>
      <c r="AG778" s="1358">
        <f t="shared" si="1076"/>
        <v>431.10583333333335</v>
      </c>
      <c r="AH778" s="1358">
        <v>5173.2700000000004</v>
      </c>
      <c r="AI778" s="1359">
        <v>0.15</v>
      </c>
      <c r="AJ778" s="1360">
        <f t="shared" si="1114"/>
        <v>64.665875</v>
      </c>
      <c r="AK778" s="1361">
        <f t="shared" si="1115"/>
        <v>775.9905</v>
      </c>
      <c r="AL778" s="1384">
        <v>0</v>
      </c>
      <c r="AM778" s="1363">
        <f t="shared" si="1116"/>
        <v>0</v>
      </c>
      <c r="AN778" s="1364">
        <v>0</v>
      </c>
      <c r="AO778" s="1365">
        <f t="shared" si="1117"/>
        <v>0</v>
      </c>
      <c r="AP778" s="1366">
        <v>0</v>
      </c>
      <c r="AQ778" s="1367">
        <f t="shared" si="1118"/>
        <v>0</v>
      </c>
      <c r="AR778" s="1368">
        <v>0</v>
      </c>
      <c r="AS778" s="1369">
        <f t="shared" si="1119"/>
        <v>0</v>
      </c>
      <c r="AT778" s="1370">
        <v>0</v>
      </c>
      <c r="AU778" s="1371">
        <f t="shared" si="1120"/>
        <v>0</v>
      </c>
      <c r="AV778" s="1359">
        <f t="shared" si="1121"/>
        <v>0.15</v>
      </c>
      <c r="AW778" s="1372">
        <f t="shared" si="1122"/>
        <v>775.9905</v>
      </c>
      <c r="AX778" s="1373">
        <f t="shared" si="1123"/>
        <v>0.15</v>
      </c>
      <c r="AY778" s="1374">
        <f t="shared" si="1124"/>
        <v>775.9905</v>
      </c>
      <c r="AZ778" s="1375">
        <f t="shared" si="1125"/>
        <v>0.15</v>
      </c>
      <c r="BA778" s="1376">
        <f t="shared" si="1126"/>
        <v>775.9905</v>
      </c>
      <c r="BB778" s="1377"/>
      <c r="BC778" s="1820"/>
      <c r="BD778" s="1820"/>
      <c r="BE778" s="1823"/>
      <c r="BF778" s="1826"/>
      <c r="BG778" s="1829"/>
    </row>
    <row r="779" spans="1:59" s="1378" customFormat="1" ht="38.25">
      <c r="A779" s="1347" t="str">
        <f t="shared" si="1111"/>
        <v>SFJ Pharmaceuticals, Inc.</v>
      </c>
      <c r="B779" s="1347" t="s">
        <v>4835</v>
      </c>
      <c r="C779" s="1348">
        <f t="shared" si="1112"/>
        <v>14</v>
      </c>
      <c r="D779" s="1349">
        <v>42705</v>
      </c>
      <c r="E779" s="1349"/>
      <c r="F779" s="1347" t="s">
        <v>113</v>
      </c>
      <c r="G779" s="1347" t="s">
        <v>85</v>
      </c>
      <c r="H779" s="1347" t="s">
        <v>85</v>
      </c>
      <c r="I779" s="1347" t="s">
        <v>113</v>
      </c>
      <c r="J779" s="1349"/>
      <c r="K779" s="1349" t="s">
        <v>254</v>
      </c>
      <c r="L779" s="1350" t="s">
        <v>4682</v>
      </c>
      <c r="M779" s="1350" t="s">
        <v>67</v>
      </c>
      <c r="N779" s="1351" t="s">
        <v>68</v>
      </c>
      <c r="O779" s="1352" t="s">
        <v>4689</v>
      </c>
      <c r="P779" s="1352"/>
      <c r="Q779" s="1354"/>
      <c r="R779" s="1354"/>
      <c r="S779" s="1354"/>
      <c r="T779" s="1354"/>
      <c r="U779" s="1354"/>
      <c r="V779" s="1354"/>
      <c r="W779" s="1354"/>
      <c r="X779" s="1353">
        <v>43101</v>
      </c>
      <c r="Y779" s="1353">
        <v>43466</v>
      </c>
      <c r="Z779" s="1355"/>
      <c r="AA779" s="1355" t="s">
        <v>4884</v>
      </c>
      <c r="AB779" s="1356"/>
      <c r="AC779" s="1356"/>
      <c r="AD779" s="1356"/>
      <c r="AE779" s="1356"/>
      <c r="AF779" s="1357" t="str">
        <f t="shared" si="951"/>
        <v/>
      </c>
      <c r="AG779" s="1358">
        <f t="shared" si="1076"/>
        <v>813.76333333333332</v>
      </c>
      <c r="AH779" s="1358">
        <v>9765.16</v>
      </c>
      <c r="AI779" s="1359">
        <v>0.15</v>
      </c>
      <c r="AJ779" s="1360">
        <f t="shared" si="1114"/>
        <v>122.0645</v>
      </c>
      <c r="AK779" s="1361">
        <f t="shared" si="1115"/>
        <v>1464.7739999999999</v>
      </c>
      <c r="AL779" s="1384">
        <v>0</v>
      </c>
      <c r="AM779" s="1363">
        <f t="shared" si="1116"/>
        <v>0</v>
      </c>
      <c r="AN779" s="1364">
        <v>0</v>
      </c>
      <c r="AO779" s="1365">
        <f t="shared" si="1117"/>
        <v>0</v>
      </c>
      <c r="AP779" s="1366">
        <v>0</v>
      </c>
      <c r="AQ779" s="1367">
        <f t="shared" si="1118"/>
        <v>0</v>
      </c>
      <c r="AR779" s="1368">
        <v>0</v>
      </c>
      <c r="AS779" s="1369">
        <f t="shared" si="1119"/>
        <v>0</v>
      </c>
      <c r="AT779" s="1370">
        <v>0</v>
      </c>
      <c r="AU779" s="1371">
        <f t="shared" si="1120"/>
        <v>0</v>
      </c>
      <c r="AV779" s="1359">
        <f t="shared" si="1121"/>
        <v>0.15</v>
      </c>
      <c r="AW779" s="1372">
        <f t="shared" si="1122"/>
        <v>1464.7739999999999</v>
      </c>
      <c r="AX779" s="1373">
        <f t="shared" si="1123"/>
        <v>0.15</v>
      </c>
      <c r="AY779" s="1374">
        <f t="shared" si="1124"/>
        <v>1464.7739999999999</v>
      </c>
      <c r="AZ779" s="1375">
        <f t="shared" si="1125"/>
        <v>0.15</v>
      </c>
      <c r="BA779" s="1376">
        <f t="shared" si="1126"/>
        <v>1464.7739999999999</v>
      </c>
      <c r="BB779" s="1377"/>
      <c r="BC779" s="1820"/>
      <c r="BD779" s="1820"/>
      <c r="BE779" s="1823"/>
      <c r="BF779" s="1826"/>
      <c r="BG779" s="1829"/>
    </row>
    <row r="780" spans="1:59" s="1378" customFormat="1" ht="27.75" customHeight="1">
      <c r="A780" s="1347" t="str">
        <f t="shared" si="1111"/>
        <v>SFJ Pharmaceuticals, Inc.</v>
      </c>
      <c r="B780" s="1347" t="s">
        <v>4835</v>
      </c>
      <c r="C780" s="1348">
        <f t="shared" si="1112"/>
        <v>14</v>
      </c>
      <c r="D780" s="1349">
        <v>42705</v>
      </c>
      <c r="E780" s="1349"/>
      <c r="F780" s="1347" t="s">
        <v>113</v>
      </c>
      <c r="G780" s="1347" t="s">
        <v>85</v>
      </c>
      <c r="H780" s="1347" t="s">
        <v>85</v>
      </c>
      <c r="I780" s="1347" t="s">
        <v>113</v>
      </c>
      <c r="J780" s="1349" t="s">
        <v>4690</v>
      </c>
      <c r="K780" s="1349" t="s">
        <v>254</v>
      </c>
      <c r="L780" s="1350" t="s">
        <v>4682</v>
      </c>
      <c r="M780" s="1350" t="s">
        <v>4691</v>
      </c>
      <c r="N780" s="1351" t="s">
        <v>94</v>
      </c>
      <c r="O780" s="1352" t="s">
        <v>4692</v>
      </c>
      <c r="P780" s="1352"/>
      <c r="Q780" s="1354"/>
      <c r="R780" s="1354"/>
      <c r="S780" s="1354"/>
      <c r="T780" s="1354"/>
      <c r="U780" s="1354"/>
      <c r="V780" s="1354"/>
      <c r="W780" s="1354"/>
      <c r="X780" s="1353">
        <v>43101</v>
      </c>
      <c r="Y780" s="1353">
        <v>43466</v>
      </c>
      <c r="Z780" s="1355">
        <v>3</v>
      </c>
      <c r="AA780" s="1355" t="s">
        <v>4884</v>
      </c>
      <c r="AB780" s="1356"/>
      <c r="AC780" s="1356"/>
      <c r="AD780" s="1356"/>
      <c r="AE780" s="1356"/>
      <c r="AF780" s="1357"/>
      <c r="AG780" s="1358">
        <v>39.299999999999997</v>
      </c>
      <c r="AH780" s="1358">
        <f t="shared" ref="AH780:AH782" si="1127">AG780*12</f>
        <v>471.59999999999997</v>
      </c>
      <c r="AI780" s="1359">
        <v>0.15</v>
      </c>
      <c r="AJ780" s="1360">
        <f t="shared" si="1114"/>
        <v>5.8949999999999996</v>
      </c>
      <c r="AK780" s="1361">
        <f t="shared" si="1115"/>
        <v>70.739999999999995</v>
      </c>
      <c r="AL780" s="1384">
        <v>0</v>
      </c>
      <c r="AM780" s="1363">
        <f t="shared" si="1116"/>
        <v>0</v>
      </c>
      <c r="AN780" s="1364">
        <v>0</v>
      </c>
      <c r="AO780" s="1365">
        <f t="shared" si="1117"/>
        <v>0</v>
      </c>
      <c r="AP780" s="1366">
        <v>0</v>
      </c>
      <c r="AQ780" s="1367">
        <f t="shared" si="1118"/>
        <v>0</v>
      </c>
      <c r="AR780" s="1368">
        <v>0</v>
      </c>
      <c r="AS780" s="1369">
        <f t="shared" si="1119"/>
        <v>0</v>
      </c>
      <c r="AT780" s="1370">
        <v>0</v>
      </c>
      <c r="AU780" s="1371">
        <f t="shared" si="1120"/>
        <v>0</v>
      </c>
      <c r="AV780" s="1359">
        <f t="shared" si="1121"/>
        <v>0.15</v>
      </c>
      <c r="AW780" s="1372">
        <f t="shared" si="1122"/>
        <v>70.739999999999995</v>
      </c>
      <c r="AX780" s="1373">
        <f t="shared" si="1123"/>
        <v>0.15</v>
      </c>
      <c r="AY780" s="1374">
        <f t="shared" si="1124"/>
        <v>70.739999999999995</v>
      </c>
      <c r="AZ780" s="1375">
        <f t="shared" si="1125"/>
        <v>0.15</v>
      </c>
      <c r="BA780" s="1376">
        <f t="shared" si="1126"/>
        <v>70.739999999999995</v>
      </c>
      <c r="BB780" s="1377"/>
      <c r="BC780" s="1820"/>
      <c r="BD780" s="1820"/>
      <c r="BE780" s="1823"/>
      <c r="BF780" s="1826"/>
      <c r="BG780" s="1829"/>
    </row>
    <row r="781" spans="1:59" s="1378" customFormat="1" ht="27.75" customHeight="1">
      <c r="A781" s="1347" t="str">
        <f t="shared" si="1111"/>
        <v>SFJ Pharmaceuticals, Inc.</v>
      </c>
      <c r="B781" s="1347" t="s">
        <v>4835</v>
      </c>
      <c r="C781" s="1348">
        <f t="shared" si="1112"/>
        <v>14</v>
      </c>
      <c r="D781" s="1349">
        <v>42705</v>
      </c>
      <c r="E781" s="1349"/>
      <c r="F781" s="1347" t="s">
        <v>113</v>
      </c>
      <c r="G781" s="1347" t="s">
        <v>85</v>
      </c>
      <c r="H781" s="1347" t="s">
        <v>85</v>
      </c>
      <c r="I781" s="1347" t="s">
        <v>113</v>
      </c>
      <c r="J781" s="1349" t="s">
        <v>4690</v>
      </c>
      <c r="K781" s="1349" t="s">
        <v>254</v>
      </c>
      <c r="L781" s="1350" t="s">
        <v>4682</v>
      </c>
      <c r="M781" s="1350" t="s">
        <v>4691</v>
      </c>
      <c r="N781" s="1351" t="s">
        <v>98</v>
      </c>
      <c r="O781" s="1352" t="s">
        <v>4693</v>
      </c>
      <c r="P781" s="1352"/>
      <c r="Q781" s="1354"/>
      <c r="R781" s="1354"/>
      <c r="S781" s="1354"/>
      <c r="T781" s="1354"/>
      <c r="U781" s="1354"/>
      <c r="V781" s="1354"/>
      <c r="W781" s="1354"/>
      <c r="X781" s="1353">
        <v>43101</v>
      </c>
      <c r="Y781" s="1353">
        <v>43466</v>
      </c>
      <c r="Z781" s="1355">
        <v>4</v>
      </c>
      <c r="AA781" s="1355" t="s">
        <v>4884</v>
      </c>
      <c r="AB781" s="1356"/>
      <c r="AC781" s="1356"/>
      <c r="AD781" s="1356"/>
      <c r="AE781" s="1356"/>
      <c r="AF781" s="1357"/>
      <c r="AG781" s="1358">
        <v>131.63999999999999</v>
      </c>
      <c r="AH781" s="1358">
        <f t="shared" si="1127"/>
        <v>1579.6799999999998</v>
      </c>
      <c r="AI781" s="1359">
        <v>0.15</v>
      </c>
      <c r="AJ781" s="1360">
        <f t="shared" si="1114"/>
        <v>19.745999999999999</v>
      </c>
      <c r="AK781" s="1361">
        <f t="shared" si="1115"/>
        <v>236.95199999999997</v>
      </c>
      <c r="AL781" s="1384">
        <v>0</v>
      </c>
      <c r="AM781" s="1363">
        <f t="shared" si="1116"/>
        <v>0</v>
      </c>
      <c r="AN781" s="1364">
        <v>0</v>
      </c>
      <c r="AO781" s="1365">
        <f t="shared" si="1117"/>
        <v>0</v>
      </c>
      <c r="AP781" s="1366">
        <v>0</v>
      </c>
      <c r="AQ781" s="1367">
        <f t="shared" si="1118"/>
        <v>0</v>
      </c>
      <c r="AR781" s="1368">
        <v>0</v>
      </c>
      <c r="AS781" s="1369">
        <f t="shared" si="1119"/>
        <v>0</v>
      </c>
      <c r="AT781" s="1370">
        <v>0</v>
      </c>
      <c r="AU781" s="1371">
        <f t="shared" si="1120"/>
        <v>0</v>
      </c>
      <c r="AV781" s="1359">
        <f t="shared" si="1121"/>
        <v>0.15</v>
      </c>
      <c r="AW781" s="1372">
        <f t="shared" si="1122"/>
        <v>236.95199999999997</v>
      </c>
      <c r="AX781" s="1373">
        <f t="shared" si="1123"/>
        <v>0.15</v>
      </c>
      <c r="AY781" s="1374">
        <f t="shared" si="1124"/>
        <v>236.95199999999997</v>
      </c>
      <c r="AZ781" s="1375">
        <f t="shared" si="1125"/>
        <v>0.15</v>
      </c>
      <c r="BA781" s="1376">
        <f t="shared" si="1126"/>
        <v>236.95199999999997</v>
      </c>
      <c r="BB781" s="1377"/>
      <c r="BC781" s="1820"/>
      <c r="BD781" s="1820"/>
      <c r="BE781" s="1823"/>
      <c r="BF781" s="1826"/>
      <c r="BG781" s="1829"/>
    </row>
    <row r="782" spans="1:59" s="1378" customFormat="1" ht="27.75" customHeight="1">
      <c r="A782" s="1347" t="str">
        <f t="shared" si="1111"/>
        <v>SFJ Pharmaceuticals, Inc.</v>
      </c>
      <c r="B782" s="1347" t="s">
        <v>4835</v>
      </c>
      <c r="C782" s="1348">
        <f t="shared" si="1112"/>
        <v>14</v>
      </c>
      <c r="D782" s="1349">
        <v>42705</v>
      </c>
      <c r="E782" s="1349"/>
      <c r="F782" s="1347" t="s">
        <v>113</v>
      </c>
      <c r="G782" s="1347" t="s">
        <v>85</v>
      </c>
      <c r="H782" s="1347" t="s">
        <v>85</v>
      </c>
      <c r="I782" s="1347" t="s">
        <v>113</v>
      </c>
      <c r="J782" s="1349" t="s">
        <v>4690</v>
      </c>
      <c r="K782" s="1349" t="s">
        <v>254</v>
      </c>
      <c r="L782" s="1350" t="s">
        <v>4682</v>
      </c>
      <c r="M782" s="1350" t="s">
        <v>4691</v>
      </c>
      <c r="N782" s="1351" t="s">
        <v>4694</v>
      </c>
      <c r="O782" s="1352" t="s">
        <v>4695</v>
      </c>
      <c r="P782" s="1352"/>
      <c r="Q782" s="1354"/>
      <c r="R782" s="1354"/>
      <c r="S782" s="1354"/>
      <c r="T782" s="1354"/>
      <c r="U782" s="1354"/>
      <c r="V782" s="1354"/>
      <c r="W782" s="1354"/>
      <c r="X782" s="1353">
        <v>43101</v>
      </c>
      <c r="Y782" s="1353">
        <v>43466</v>
      </c>
      <c r="Z782" s="1355">
        <v>3</v>
      </c>
      <c r="AA782" s="1355" t="s">
        <v>4884</v>
      </c>
      <c r="AB782" s="1356"/>
      <c r="AC782" s="1356"/>
      <c r="AD782" s="1356"/>
      <c r="AE782" s="1356"/>
      <c r="AF782" s="1357"/>
      <c r="AG782" s="1358">
        <v>74.84</v>
      </c>
      <c r="AH782" s="1358">
        <f t="shared" si="1127"/>
        <v>898.08</v>
      </c>
      <c r="AI782" s="1359">
        <v>0.15</v>
      </c>
      <c r="AJ782" s="1360">
        <f t="shared" si="1114"/>
        <v>11.226000000000001</v>
      </c>
      <c r="AK782" s="1361">
        <f t="shared" si="1115"/>
        <v>134.71199999999999</v>
      </c>
      <c r="AL782" s="1384">
        <v>0</v>
      </c>
      <c r="AM782" s="1363">
        <f t="shared" si="1116"/>
        <v>0</v>
      </c>
      <c r="AN782" s="1364">
        <v>0</v>
      </c>
      <c r="AO782" s="1365">
        <f t="shared" si="1117"/>
        <v>0</v>
      </c>
      <c r="AP782" s="1366">
        <v>0</v>
      </c>
      <c r="AQ782" s="1367">
        <f t="shared" si="1118"/>
        <v>0</v>
      </c>
      <c r="AR782" s="1368">
        <v>0</v>
      </c>
      <c r="AS782" s="1369">
        <f t="shared" si="1119"/>
        <v>0</v>
      </c>
      <c r="AT782" s="1370">
        <v>0</v>
      </c>
      <c r="AU782" s="1371">
        <f t="shared" si="1120"/>
        <v>0</v>
      </c>
      <c r="AV782" s="1359">
        <f t="shared" si="1121"/>
        <v>0.15</v>
      </c>
      <c r="AW782" s="1372">
        <f t="shared" si="1122"/>
        <v>134.71199999999999</v>
      </c>
      <c r="AX782" s="1373">
        <f t="shared" si="1123"/>
        <v>0.15</v>
      </c>
      <c r="AY782" s="1374">
        <f t="shared" si="1124"/>
        <v>134.71199999999999</v>
      </c>
      <c r="AZ782" s="1375">
        <f t="shared" si="1125"/>
        <v>0.15</v>
      </c>
      <c r="BA782" s="1376">
        <f t="shared" si="1126"/>
        <v>134.71199999999999</v>
      </c>
      <c r="BB782" s="1377"/>
      <c r="BC782" s="1820"/>
      <c r="BD782" s="1820"/>
      <c r="BE782" s="1823"/>
      <c r="BF782" s="1826"/>
      <c r="BG782" s="1829"/>
    </row>
    <row r="783" spans="1:59" s="1378" customFormat="1" ht="27.75" customHeight="1">
      <c r="A783" s="1347" t="s">
        <v>170</v>
      </c>
      <c r="B783" s="1348" t="s">
        <v>4835</v>
      </c>
      <c r="C783" s="1348">
        <v>13</v>
      </c>
      <c r="D783" s="1349">
        <v>42705</v>
      </c>
      <c r="E783" s="1349"/>
      <c r="F783" s="1347" t="s">
        <v>72</v>
      </c>
      <c r="G783" s="1347" t="s">
        <v>85</v>
      </c>
      <c r="H783" s="1347" t="s">
        <v>72</v>
      </c>
      <c r="I783" s="1347" t="s">
        <v>72</v>
      </c>
      <c r="J783" s="1349" t="s">
        <v>4670</v>
      </c>
      <c r="K783" s="1349" t="s">
        <v>254</v>
      </c>
      <c r="L783" s="1350" t="s">
        <v>4696</v>
      </c>
      <c r="M783" s="1350" t="s">
        <v>4697</v>
      </c>
      <c r="N783" s="1389" t="s">
        <v>4698</v>
      </c>
      <c r="O783" s="1352" t="s">
        <v>4699</v>
      </c>
      <c r="P783" s="1388"/>
      <c r="Q783" s="1354"/>
      <c r="R783" s="1354"/>
      <c r="S783" s="1354"/>
      <c r="T783" s="1354"/>
      <c r="U783" s="1354"/>
      <c r="V783" s="1354"/>
      <c r="W783" s="1354"/>
      <c r="X783" s="1353">
        <v>43101</v>
      </c>
      <c r="Y783" s="1353">
        <v>43466</v>
      </c>
      <c r="Z783" s="1355"/>
      <c r="AA783" s="1355" t="s">
        <v>4674</v>
      </c>
      <c r="AB783" s="1356"/>
      <c r="AC783" s="1356"/>
      <c r="AD783" s="1356"/>
      <c r="AE783" s="1356"/>
      <c r="AF783" s="1357" t="str">
        <f t="shared" ref="AF783" si="1128">IFERROR((AE783/AB783),"")</f>
        <v/>
      </c>
      <c r="AG783" s="1380"/>
      <c r="AH783" s="1380"/>
      <c r="AI783" s="1381">
        <v>0</v>
      </c>
      <c r="AJ783" s="1382">
        <f t="shared" si="1114"/>
        <v>0</v>
      </c>
      <c r="AK783" s="1383">
        <f t="shared" si="1115"/>
        <v>0</v>
      </c>
      <c r="AL783" s="1384">
        <v>0</v>
      </c>
      <c r="AM783" s="1363">
        <f t="shared" si="1116"/>
        <v>0</v>
      </c>
      <c r="AN783" s="1364">
        <v>0</v>
      </c>
      <c r="AO783" s="1365">
        <f t="shared" si="1117"/>
        <v>0</v>
      </c>
      <c r="AP783" s="1366">
        <v>0</v>
      </c>
      <c r="AQ783" s="1367">
        <f t="shared" si="1118"/>
        <v>0</v>
      </c>
      <c r="AR783" s="1368">
        <v>0</v>
      </c>
      <c r="AS783" s="1369">
        <f t="shared" si="1119"/>
        <v>0</v>
      </c>
      <c r="AT783" s="1370">
        <v>0</v>
      </c>
      <c r="AU783" s="1371">
        <f t="shared" si="1120"/>
        <v>0</v>
      </c>
      <c r="AV783" s="1359">
        <f t="shared" si="1121"/>
        <v>0</v>
      </c>
      <c r="AW783" s="1372">
        <f t="shared" si="1122"/>
        <v>0</v>
      </c>
      <c r="AX783" s="1373">
        <f t="shared" si="1123"/>
        <v>0</v>
      </c>
      <c r="AY783" s="1374">
        <f t="shared" si="1124"/>
        <v>0</v>
      </c>
      <c r="AZ783" s="1375">
        <f t="shared" si="1125"/>
        <v>0</v>
      </c>
      <c r="BA783" s="1376">
        <f t="shared" si="1126"/>
        <v>0</v>
      </c>
      <c r="BB783" s="1377"/>
      <c r="BC783" s="1820"/>
      <c r="BD783" s="1820"/>
      <c r="BE783" s="1823"/>
      <c r="BF783" s="1826"/>
      <c r="BG783" s="1829"/>
    </row>
    <row r="784" spans="1:59" s="1378" customFormat="1" ht="38.25">
      <c r="A784" s="1347" t="str">
        <f t="shared" si="1111"/>
        <v>SFJ Pharmaceuticals, Inc.</v>
      </c>
      <c r="B784" s="1347" t="s">
        <v>4835</v>
      </c>
      <c r="C784" s="1348">
        <f t="shared" si="1112"/>
        <v>14</v>
      </c>
      <c r="D784" s="1349">
        <v>42705</v>
      </c>
      <c r="E784" s="1349"/>
      <c r="F784" s="1347" t="s">
        <v>72</v>
      </c>
      <c r="G784" s="1347" t="s">
        <v>4700</v>
      </c>
      <c r="H784" s="1347" t="s">
        <v>72</v>
      </c>
      <c r="I784" s="1347" t="s">
        <v>72</v>
      </c>
      <c r="J784" s="1349" t="s">
        <v>4670</v>
      </c>
      <c r="K784" s="1349" t="s">
        <v>254</v>
      </c>
      <c r="L784" s="1350" t="s">
        <v>48</v>
      </c>
      <c r="M784" s="1350" t="s">
        <v>3652</v>
      </c>
      <c r="N784" s="1390" t="s">
        <v>5144</v>
      </c>
      <c r="O784" s="1352" t="s">
        <v>4702</v>
      </c>
      <c r="P784" s="1352"/>
      <c r="Q784" s="1354"/>
      <c r="R784" s="1354"/>
      <c r="S784" s="1354"/>
      <c r="T784" s="1354"/>
      <c r="U784" s="1354"/>
      <c r="V784" s="1354"/>
      <c r="W784" s="1354"/>
      <c r="X784" s="1353">
        <v>43101</v>
      </c>
      <c r="Y784" s="1353">
        <v>43466</v>
      </c>
      <c r="Z784" s="1355"/>
      <c r="AA784" s="1355" t="s">
        <v>4674</v>
      </c>
      <c r="AB784" s="1356"/>
      <c r="AC784" s="1356"/>
      <c r="AD784" s="1356"/>
      <c r="AE784" s="1356"/>
      <c r="AF784" s="1357" t="str">
        <f t="shared" si="951"/>
        <v/>
      </c>
      <c r="AG784" s="1380"/>
      <c r="AH784" s="1380"/>
      <c r="AI784" s="1381">
        <v>0</v>
      </c>
      <c r="AJ784" s="1382">
        <f t="shared" si="1114"/>
        <v>0</v>
      </c>
      <c r="AK784" s="1383">
        <f t="shared" si="1115"/>
        <v>0</v>
      </c>
      <c r="AL784" s="1384">
        <v>0</v>
      </c>
      <c r="AM784" s="1363">
        <f t="shared" si="1116"/>
        <v>0</v>
      </c>
      <c r="AN784" s="1364">
        <v>0</v>
      </c>
      <c r="AO784" s="1365">
        <f t="shared" si="1117"/>
        <v>0</v>
      </c>
      <c r="AP784" s="1366">
        <v>0</v>
      </c>
      <c r="AQ784" s="1367">
        <f t="shared" si="1118"/>
        <v>0</v>
      </c>
      <c r="AR784" s="1368">
        <v>0</v>
      </c>
      <c r="AS784" s="1369">
        <f t="shared" si="1119"/>
        <v>0</v>
      </c>
      <c r="AT784" s="1370">
        <v>0</v>
      </c>
      <c r="AU784" s="1371">
        <f t="shared" si="1120"/>
        <v>0</v>
      </c>
      <c r="AV784" s="1359">
        <f t="shared" si="1121"/>
        <v>0</v>
      </c>
      <c r="AW784" s="1372">
        <f t="shared" si="1122"/>
        <v>0</v>
      </c>
      <c r="AX784" s="1373">
        <f t="shared" si="1123"/>
        <v>0</v>
      </c>
      <c r="AY784" s="1374">
        <f t="shared" si="1124"/>
        <v>0</v>
      </c>
      <c r="AZ784" s="1375">
        <f t="shared" si="1125"/>
        <v>0</v>
      </c>
      <c r="BA784" s="1376">
        <f t="shared" si="1126"/>
        <v>0</v>
      </c>
      <c r="BB784" s="1377"/>
      <c r="BC784" s="1820"/>
      <c r="BD784" s="1820"/>
      <c r="BE784" s="1823"/>
      <c r="BF784" s="1826"/>
      <c r="BG784" s="1829"/>
    </row>
    <row r="785" spans="1:59" s="1378" customFormat="1" ht="38.25">
      <c r="A785" s="1347" t="str">
        <f t="shared" si="1111"/>
        <v>SFJ Pharmaceuticals, Inc.</v>
      </c>
      <c r="B785" s="1347" t="s">
        <v>4835</v>
      </c>
      <c r="C785" s="1348">
        <f t="shared" si="1112"/>
        <v>14</v>
      </c>
      <c r="D785" s="1349">
        <v>42705</v>
      </c>
      <c r="E785" s="1349"/>
      <c r="F785" s="1347" t="s">
        <v>72</v>
      </c>
      <c r="G785" s="1347" t="s">
        <v>85</v>
      </c>
      <c r="H785" s="1347" t="s">
        <v>72</v>
      </c>
      <c r="I785" s="1347" t="s">
        <v>72</v>
      </c>
      <c r="J785" s="1349" t="s">
        <v>4670</v>
      </c>
      <c r="K785" s="1349" t="s">
        <v>254</v>
      </c>
      <c r="L785" s="1350" t="s">
        <v>48</v>
      </c>
      <c r="M785" s="1350" t="s">
        <v>253</v>
      </c>
      <c r="N785" s="1390" t="s">
        <v>4703</v>
      </c>
      <c r="O785" s="1352" t="s">
        <v>4704</v>
      </c>
      <c r="P785" s="1352"/>
      <c r="Q785" s="1354"/>
      <c r="R785" s="1354"/>
      <c r="S785" s="1354"/>
      <c r="T785" s="1354"/>
      <c r="U785" s="1354"/>
      <c r="V785" s="1354"/>
      <c r="W785" s="1354"/>
      <c r="X785" s="1353">
        <v>43101</v>
      </c>
      <c r="Y785" s="1353">
        <v>43466</v>
      </c>
      <c r="Z785" s="1355"/>
      <c r="AA785" s="1355" t="s">
        <v>4674</v>
      </c>
      <c r="AB785" s="1356"/>
      <c r="AC785" s="1356"/>
      <c r="AD785" s="1356"/>
      <c r="AE785" s="1356"/>
      <c r="AF785" s="1357" t="str">
        <f t="shared" si="951"/>
        <v/>
      </c>
      <c r="AG785" s="1380"/>
      <c r="AH785" s="1380"/>
      <c r="AI785" s="1381">
        <v>0</v>
      </c>
      <c r="AJ785" s="1382">
        <f t="shared" si="1114"/>
        <v>0</v>
      </c>
      <c r="AK785" s="1383">
        <f t="shared" si="1115"/>
        <v>0</v>
      </c>
      <c r="AL785" s="1384">
        <v>0</v>
      </c>
      <c r="AM785" s="1363">
        <f t="shared" si="1116"/>
        <v>0</v>
      </c>
      <c r="AN785" s="1364">
        <v>0</v>
      </c>
      <c r="AO785" s="1365">
        <f t="shared" si="1117"/>
        <v>0</v>
      </c>
      <c r="AP785" s="1366">
        <v>0</v>
      </c>
      <c r="AQ785" s="1367">
        <f t="shared" si="1118"/>
        <v>0</v>
      </c>
      <c r="AR785" s="1368">
        <v>0</v>
      </c>
      <c r="AS785" s="1369">
        <f t="shared" si="1119"/>
        <v>0</v>
      </c>
      <c r="AT785" s="1370">
        <v>0</v>
      </c>
      <c r="AU785" s="1371">
        <f t="shared" si="1120"/>
        <v>0</v>
      </c>
      <c r="AV785" s="1359">
        <f t="shared" si="1121"/>
        <v>0</v>
      </c>
      <c r="AW785" s="1372">
        <f t="shared" si="1122"/>
        <v>0</v>
      </c>
      <c r="AX785" s="1373">
        <f t="shared" si="1123"/>
        <v>0</v>
      </c>
      <c r="AY785" s="1374">
        <f t="shared" si="1124"/>
        <v>0</v>
      </c>
      <c r="AZ785" s="1375">
        <f t="shared" si="1125"/>
        <v>0</v>
      </c>
      <c r="BA785" s="1376">
        <f t="shared" si="1126"/>
        <v>0</v>
      </c>
      <c r="BB785" s="1377"/>
      <c r="BC785" s="1820"/>
      <c r="BD785" s="1820"/>
      <c r="BE785" s="1823"/>
      <c r="BF785" s="1826"/>
      <c r="BG785" s="1829"/>
    </row>
    <row r="786" spans="1:59" s="1378" customFormat="1" ht="38.25">
      <c r="A786" s="1347" t="str">
        <f t="shared" si="1111"/>
        <v>SFJ Pharmaceuticals, Inc.</v>
      </c>
      <c r="B786" s="1347" t="s">
        <v>4835</v>
      </c>
      <c r="C786" s="1348">
        <f t="shared" si="1112"/>
        <v>14</v>
      </c>
      <c r="D786" s="1349">
        <v>42705</v>
      </c>
      <c r="E786" s="1349"/>
      <c r="F786" s="1347" t="s">
        <v>72</v>
      </c>
      <c r="G786" s="1347" t="s">
        <v>85</v>
      </c>
      <c r="H786" s="1347" t="s">
        <v>72</v>
      </c>
      <c r="I786" s="1347" t="s">
        <v>72</v>
      </c>
      <c r="J786" s="1349" t="s">
        <v>4670</v>
      </c>
      <c r="K786" s="1349" t="s">
        <v>254</v>
      </c>
      <c r="L786" s="1350" t="s">
        <v>49</v>
      </c>
      <c r="M786" s="1350" t="s">
        <v>4705</v>
      </c>
      <c r="N786" s="1390" t="s">
        <v>5273</v>
      </c>
      <c r="O786" s="1352" t="s">
        <v>4707</v>
      </c>
      <c r="P786" s="1352"/>
      <c r="Q786" s="1354"/>
      <c r="R786" s="1354"/>
      <c r="S786" s="1354"/>
      <c r="T786" s="1354"/>
      <c r="U786" s="1354"/>
      <c r="V786" s="1354"/>
      <c r="W786" s="1354"/>
      <c r="X786" s="1353">
        <v>43101</v>
      </c>
      <c r="Y786" s="1353">
        <v>43466</v>
      </c>
      <c r="Z786" s="1355"/>
      <c r="AA786" s="1355" t="s">
        <v>4674</v>
      </c>
      <c r="AB786" s="1356"/>
      <c r="AC786" s="1356"/>
      <c r="AD786" s="1356"/>
      <c r="AE786" s="1356"/>
      <c r="AF786" s="1357" t="str">
        <f t="shared" si="951"/>
        <v/>
      </c>
      <c r="AG786" s="1380"/>
      <c r="AH786" s="1380"/>
      <c r="AI786" s="1381">
        <v>0</v>
      </c>
      <c r="AJ786" s="1382">
        <f t="shared" si="1114"/>
        <v>0</v>
      </c>
      <c r="AK786" s="1383">
        <f t="shared" si="1115"/>
        <v>0</v>
      </c>
      <c r="AL786" s="1384">
        <v>0</v>
      </c>
      <c r="AM786" s="1363">
        <f t="shared" si="1116"/>
        <v>0</v>
      </c>
      <c r="AN786" s="1364">
        <v>0</v>
      </c>
      <c r="AO786" s="1365">
        <f t="shared" si="1117"/>
        <v>0</v>
      </c>
      <c r="AP786" s="1366">
        <v>0</v>
      </c>
      <c r="AQ786" s="1367">
        <f t="shared" si="1118"/>
        <v>0</v>
      </c>
      <c r="AR786" s="1368">
        <v>0</v>
      </c>
      <c r="AS786" s="1369">
        <f t="shared" si="1119"/>
        <v>0</v>
      </c>
      <c r="AT786" s="1370">
        <v>0</v>
      </c>
      <c r="AU786" s="1371">
        <f t="shared" si="1120"/>
        <v>0</v>
      </c>
      <c r="AV786" s="1359">
        <f t="shared" si="1121"/>
        <v>0</v>
      </c>
      <c r="AW786" s="1372">
        <f t="shared" si="1122"/>
        <v>0</v>
      </c>
      <c r="AX786" s="1373">
        <f t="shared" si="1123"/>
        <v>0</v>
      </c>
      <c r="AY786" s="1374">
        <f t="shared" si="1124"/>
        <v>0</v>
      </c>
      <c r="AZ786" s="1375">
        <f t="shared" si="1125"/>
        <v>0</v>
      </c>
      <c r="BA786" s="1376">
        <f t="shared" si="1126"/>
        <v>0</v>
      </c>
      <c r="BB786" s="1377"/>
      <c r="BC786" s="1820"/>
      <c r="BD786" s="1820"/>
      <c r="BE786" s="1823"/>
      <c r="BF786" s="1826"/>
      <c r="BG786" s="1829"/>
    </row>
    <row r="787" spans="1:59" s="1378" customFormat="1" ht="21.75" customHeight="1">
      <c r="A787" s="1347" t="str">
        <f>A786</f>
        <v>SFJ Pharmaceuticals, Inc.</v>
      </c>
      <c r="B787" s="1348" t="str">
        <f>B786</f>
        <v>Duenas</v>
      </c>
      <c r="C787" s="1348">
        <f>C786</f>
        <v>14</v>
      </c>
      <c r="D787" s="1349">
        <v>42705</v>
      </c>
      <c r="E787" s="1349"/>
      <c r="F787" s="1347" t="s">
        <v>72</v>
      </c>
      <c r="G787" s="1347" t="s">
        <v>85</v>
      </c>
      <c r="H787" s="1347" t="s">
        <v>72</v>
      </c>
      <c r="I787" s="1347" t="s">
        <v>72</v>
      </c>
      <c r="J787" s="1349" t="s">
        <v>4670</v>
      </c>
      <c r="K787" s="1349" t="s">
        <v>254</v>
      </c>
      <c r="L787" s="1350" t="s">
        <v>3056</v>
      </c>
      <c r="M787" s="1350" t="s">
        <v>4708</v>
      </c>
      <c r="N787" s="1390" t="s">
        <v>4709</v>
      </c>
      <c r="O787" s="1352" t="s">
        <v>4710</v>
      </c>
      <c r="P787" s="1352"/>
      <c r="Q787" s="1354"/>
      <c r="R787" s="1354"/>
      <c r="S787" s="1354"/>
      <c r="T787" s="1354"/>
      <c r="U787" s="1354"/>
      <c r="V787" s="1354"/>
      <c r="W787" s="1354"/>
      <c r="X787" s="1353">
        <v>43101</v>
      </c>
      <c r="Y787" s="1353">
        <v>43466</v>
      </c>
      <c r="Z787" s="1355"/>
      <c r="AA787" s="1355" t="s">
        <v>4674</v>
      </c>
      <c r="AB787" s="1356"/>
      <c r="AC787" s="1356"/>
      <c r="AD787" s="1356"/>
      <c r="AE787" s="1356"/>
      <c r="AF787" s="1357" t="str">
        <f t="shared" si="951"/>
        <v/>
      </c>
      <c r="AG787" s="1380"/>
      <c r="AH787" s="1380"/>
      <c r="AI787" s="1381">
        <v>0</v>
      </c>
      <c r="AJ787" s="1382">
        <f t="shared" si="1114"/>
        <v>0</v>
      </c>
      <c r="AK787" s="1383">
        <f t="shared" si="1115"/>
        <v>0</v>
      </c>
      <c r="AL787" s="1384">
        <v>0</v>
      </c>
      <c r="AM787" s="1363">
        <f t="shared" si="1116"/>
        <v>0</v>
      </c>
      <c r="AN787" s="1364">
        <v>0</v>
      </c>
      <c r="AO787" s="1365">
        <f t="shared" si="1117"/>
        <v>0</v>
      </c>
      <c r="AP787" s="1366">
        <v>0</v>
      </c>
      <c r="AQ787" s="1367">
        <f t="shared" si="1118"/>
        <v>0</v>
      </c>
      <c r="AR787" s="1368">
        <v>0</v>
      </c>
      <c r="AS787" s="1369">
        <f t="shared" si="1119"/>
        <v>0</v>
      </c>
      <c r="AT787" s="1370">
        <v>0</v>
      </c>
      <c r="AU787" s="1371">
        <f t="shared" si="1120"/>
        <v>0</v>
      </c>
      <c r="AV787" s="1359">
        <f t="shared" si="1121"/>
        <v>0</v>
      </c>
      <c r="AW787" s="1372">
        <f t="shared" si="1122"/>
        <v>0</v>
      </c>
      <c r="AX787" s="1373">
        <f t="shared" si="1123"/>
        <v>0</v>
      </c>
      <c r="AY787" s="1374">
        <f t="shared" si="1124"/>
        <v>0</v>
      </c>
      <c r="AZ787" s="1375">
        <f t="shared" si="1125"/>
        <v>0</v>
      </c>
      <c r="BA787" s="1376">
        <f t="shared" si="1126"/>
        <v>0</v>
      </c>
      <c r="BB787" s="1391"/>
      <c r="BC787" s="1821"/>
      <c r="BD787" s="1821"/>
      <c r="BE787" s="1824"/>
      <c r="BF787" s="1827"/>
      <c r="BG787" s="1830"/>
    </row>
    <row r="788" spans="1:59" s="1315" customFormat="1" ht="39.75" customHeight="1">
      <c r="A788" s="1277" t="str">
        <f t="shared" ref="A788:A798" si="1129">$L$788</f>
        <v>Sirenas LLC</v>
      </c>
      <c r="B788" s="1277" t="s">
        <v>4660</v>
      </c>
      <c r="C788" s="1316">
        <f t="shared" ref="C788:C798" si="1130">$Z$788</f>
        <v>14</v>
      </c>
      <c r="D788" s="1317">
        <v>42339</v>
      </c>
      <c r="E788" s="1317"/>
      <c r="F788" s="1277" t="s">
        <v>72</v>
      </c>
      <c r="G788" s="1277" t="s">
        <v>72</v>
      </c>
      <c r="H788" s="1277" t="s">
        <v>72</v>
      </c>
      <c r="I788" s="1277" t="s">
        <v>113</v>
      </c>
      <c r="J788" s="1317"/>
      <c r="K788" s="1317" t="s">
        <v>5274</v>
      </c>
      <c r="L788" s="1318" t="s">
        <v>174</v>
      </c>
      <c r="M788" s="1319"/>
      <c r="N788" s="1320" t="s">
        <v>4661</v>
      </c>
      <c r="O788" s="1321" t="s">
        <v>2474</v>
      </c>
      <c r="P788" s="1321"/>
      <c r="Q788" s="1322"/>
      <c r="R788" s="1322"/>
      <c r="S788" s="1322"/>
      <c r="T788" s="1322"/>
      <c r="U788" s="1322"/>
      <c r="V788" s="1322"/>
      <c r="W788" s="1322"/>
      <c r="X788" s="1317">
        <v>43101</v>
      </c>
      <c r="Y788" s="1317">
        <v>43466</v>
      </c>
      <c r="Z788" s="1316">
        <v>14</v>
      </c>
      <c r="AA788" s="1316" t="s">
        <v>5275</v>
      </c>
      <c r="AB788" s="1454">
        <f>SUM(AB789:AB799)</f>
        <v>0</v>
      </c>
      <c r="AC788" s="1454">
        <f>SUM(AC789:AC799)</f>
        <v>0</v>
      </c>
      <c r="AD788" s="1454">
        <f>SUM(AD789:AD799)</f>
        <v>0</v>
      </c>
      <c r="AE788" s="1324">
        <f t="shared" si="1113"/>
        <v>0</v>
      </c>
      <c r="AF788" s="1325" t="str">
        <f t="shared" si="951"/>
        <v/>
      </c>
      <c r="AG788" s="1455">
        <f t="shared" si="1076"/>
        <v>15578.229166666666</v>
      </c>
      <c r="AH788" s="1455">
        <f>SUM(AH789:AH799)</f>
        <v>186938.75</v>
      </c>
      <c r="AI788" s="1327"/>
      <c r="AJ788" s="1328">
        <f>SUM(AJ789:AJ799)</f>
        <v>1113.0236250000003</v>
      </c>
      <c r="AK788" s="1328">
        <f>SUM(AK789:AK799)</f>
        <v>13356.283500000001</v>
      </c>
      <c r="AL788" s="1329"/>
      <c r="AM788" s="1330">
        <f>SUM(AM789:AM799)</f>
        <v>802.71300000000008</v>
      </c>
      <c r="AN788" s="1296"/>
      <c r="AO788" s="1297">
        <f>SUM(AO789:AO799)</f>
        <v>0</v>
      </c>
      <c r="AP788" s="1333"/>
      <c r="AQ788" s="1334">
        <f>SUM(AQ789:AQ799)</f>
        <v>0</v>
      </c>
      <c r="AR788" s="1335"/>
      <c r="AS788" s="1336">
        <f>SUM(AS789:AS799)</f>
        <v>8645.9558000000015</v>
      </c>
      <c r="AT788" s="1337"/>
      <c r="AU788" s="1338">
        <f>SUM(AU789:AU799)</f>
        <v>1605.4260000000002</v>
      </c>
      <c r="AV788" s="1339"/>
      <c r="AW788" s="1340">
        <f>SUM(AW789:AW799)</f>
        <v>2302.1887000000006</v>
      </c>
      <c r="AX788" s="1306"/>
      <c r="AY788" s="1307">
        <f>SUM(AW788+AS788+AU788)</f>
        <v>12553.570500000002</v>
      </c>
      <c r="AZ788" s="1308"/>
      <c r="BA788" s="1309">
        <f>SUM(AY788+AQ788)</f>
        <v>12553.570500000002</v>
      </c>
      <c r="BB788" s="1342">
        <f>(AW788+AU788)/(AK788-AM788)</f>
        <v>0.31127516271167638</v>
      </c>
      <c r="BC788" s="1343"/>
      <c r="BD788" s="1343"/>
      <c r="BE788" s="1344"/>
      <c r="BF788" s="1345" t="s">
        <v>5149</v>
      </c>
      <c r="BG788" s="1346"/>
    </row>
    <row r="789" spans="1:59" s="1396" customFormat="1" ht="39.75" customHeight="1">
      <c r="A789" s="1347" t="str">
        <f t="shared" si="1129"/>
        <v>Sirenas LLC</v>
      </c>
      <c r="B789" s="1347" t="s">
        <v>4660</v>
      </c>
      <c r="C789" s="1348">
        <f t="shared" si="1130"/>
        <v>14</v>
      </c>
      <c r="D789" s="1349">
        <v>42339</v>
      </c>
      <c r="E789" s="1349"/>
      <c r="F789" s="1347" t="s">
        <v>85</v>
      </c>
      <c r="G789" s="1347" t="s">
        <v>479</v>
      </c>
      <c r="H789" s="1347" t="s">
        <v>479</v>
      </c>
      <c r="I789" s="1347" t="s">
        <v>113</v>
      </c>
      <c r="J789" s="1447"/>
      <c r="K789" s="1349" t="s">
        <v>254</v>
      </c>
      <c r="L789" s="1350" t="s">
        <v>4729</v>
      </c>
      <c r="M789" s="1350" t="s">
        <v>3647</v>
      </c>
      <c r="N789" s="1389" t="s">
        <v>5276</v>
      </c>
      <c r="O789" s="1352" t="s">
        <v>5277</v>
      </c>
      <c r="P789" s="1449"/>
      <c r="Q789" s="1445"/>
      <c r="R789" s="1445"/>
      <c r="S789" s="1445"/>
      <c r="T789" s="1445"/>
      <c r="U789" s="1445"/>
      <c r="V789" s="1445"/>
      <c r="W789" s="1445"/>
      <c r="X789" s="1353">
        <v>43101</v>
      </c>
      <c r="Y789" s="1353">
        <v>43466</v>
      </c>
      <c r="Z789" s="1425"/>
      <c r="AA789" s="1355" t="s">
        <v>5278</v>
      </c>
      <c r="AB789" s="1394"/>
      <c r="AC789" s="1394"/>
      <c r="AD789" s="1356"/>
      <c r="AE789" s="1356"/>
      <c r="AF789" s="1395" t="str">
        <f t="shared" si="951"/>
        <v/>
      </c>
      <c r="AG789" s="1358">
        <f t="shared" si="1076"/>
        <v>13378.550000000001</v>
      </c>
      <c r="AH789" s="1358">
        <v>160542.6</v>
      </c>
      <c r="AI789" s="1359">
        <v>6.5000000000000002E-2</v>
      </c>
      <c r="AJ789" s="1360">
        <f t="shared" ref="AJ789:AJ795" si="1131">$AI789*$AG789</f>
        <v>869.60575000000006</v>
      </c>
      <c r="AK789" s="1361">
        <f t="shared" ref="AK789:AK799" si="1132">AI789*$AH789</f>
        <v>10435.269</v>
      </c>
      <c r="AL789" s="1362">
        <v>5.0000000000000001E-3</v>
      </c>
      <c r="AM789" s="1363">
        <f t="shared" ref="AM789:AM799" si="1133">AL789*$AH789</f>
        <v>802.71300000000008</v>
      </c>
      <c r="AN789" s="1364">
        <v>0</v>
      </c>
      <c r="AO789" s="1365">
        <f t="shared" ref="AO789:AO799" si="1134">AN789*$AH789</f>
        <v>0</v>
      </c>
      <c r="AP789" s="1366">
        <v>0</v>
      </c>
      <c r="AQ789" s="1367">
        <f t="shared" ref="AQ789:AQ799" si="1135">AP789*$AH789</f>
        <v>0</v>
      </c>
      <c r="AR789" s="1368">
        <v>0.04</v>
      </c>
      <c r="AS789" s="1369">
        <f t="shared" ref="AS789:AS799" si="1136">AR789*$AH789</f>
        <v>6421.7040000000006</v>
      </c>
      <c r="AT789" s="1370">
        <v>0.01</v>
      </c>
      <c r="AU789" s="1371">
        <f t="shared" ref="AU789:AU799" si="1137">AT789*$AH789</f>
        <v>1605.4260000000002</v>
      </c>
      <c r="AV789" s="1359">
        <f t="shared" ref="AV789:AV799" si="1138">AZ789-AR789-AT789-AP789</f>
        <v>1.0000000000000004E-2</v>
      </c>
      <c r="AW789" s="1372">
        <f t="shared" ref="AW789:AW799" si="1139">AV789*$AH789</f>
        <v>1605.4260000000006</v>
      </c>
      <c r="AX789" s="1373">
        <f t="shared" ref="AX789:AX799" si="1140">$AZ789-$AP789</f>
        <v>6.0000000000000005E-2</v>
      </c>
      <c r="AY789" s="1374">
        <f t="shared" ref="AY789:AY799" si="1141">AX789*$AH789</f>
        <v>9632.5560000000005</v>
      </c>
      <c r="AZ789" s="1375">
        <f t="shared" ref="AZ789:AZ799" si="1142">$AI789-$AL789-$AN789</f>
        <v>6.0000000000000005E-2</v>
      </c>
      <c r="BA789" s="1376">
        <f t="shared" ref="BA789:BA799" si="1143">AZ789*$AH789</f>
        <v>9632.5560000000005</v>
      </c>
      <c r="BB789" s="1377"/>
      <c r="BC789" s="1819" t="s">
        <v>175</v>
      </c>
      <c r="BD789" s="1819" t="s">
        <v>176</v>
      </c>
      <c r="BE789" s="1822" t="s">
        <v>176</v>
      </c>
      <c r="BF789" s="1825" t="s">
        <v>3591</v>
      </c>
      <c r="BG789" s="1828">
        <v>452432371</v>
      </c>
    </row>
    <row r="790" spans="1:59" s="1396" customFormat="1" ht="38.25">
      <c r="A790" s="1347" t="str">
        <f t="shared" si="1129"/>
        <v>Sirenas LLC</v>
      </c>
      <c r="B790" s="1347" t="s">
        <v>4660</v>
      </c>
      <c r="C790" s="1348">
        <f t="shared" si="1130"/>
        <v>14</v>
      </c>
      <c r="D790" s="1349">
        <v>42339</v>
      </c>
      <c r="E790" s="1349"/>
      <c r="F790" s="1347" t="s">
        <v>113</v>
      </c>
      <c r="G790" s="1347" t="s">
        <v>85</v>
      </c>
      <c r="H790" s="1347" t="s">
        <v>85</v>
      </c>
      <c r="I790" s="1347" t="s">
        <v>113</v>
      </c>
      <c r="J790" s="1447"/>
      <c r="K790" s="1349" t="s">
        <v>254</v>
      </c>
      <c r="L790" s="1350" t="s">
        <v>4675</v>
      </c>
      <c r="M790" s="1350" t="s">
        <v>3650</v>
      </c>
      <c r="N790" s="1389" t="s">
        <v>5279</v>
      </c>
      <c r="O790" s="1352" t="s">
        <v>4677</v>
      </c>
      <c r="P790" s="1449"/>
      <c r="Q790" s="1445"/>
      <c r="R790" s="1445"/>
      <c r="S790" s="1445"/>
      <c r="T790" s="1445"/>
      <c r="U790" s="1353" t="s">
        <v>4678</v>
      </c>
      <c r="V790" s="1353" t="s">
        <v>2481</v>
      </c>
      <c r="W790" s="1445"/>
      <c r="X790" s="1353">
        <v>43101</v>
      </c>
      <c r="Y790" s="1353">
        <v>43466</v>
      </c>
      <c r="Z790" s="1425"/>
      <c r="AA790" s="1355" t="s">
        <v>4679</v>
      </c>
      <c r="AB790" s="1394"/>
      <c r="AC790" s="1394"/>
      <c r="AD790" s="1356"/>
      <c r="AE790" s="1356"/>
      <c r="AF790" s="1395" t="str">
        <f t="shared" si="951"/>
        <v/>
      </c>
      <c r="AG790" s="1358">
        <f t="shared" si="1076"/>
        <v>1493.78</v>
      </c>
      <c r="AH790" s="1358">
        <v>17925.36</v>
      </c>
      <c r="AI790" s="1359">
        <v>0.1</v>
      </c>
      <c r="AJ790" s="1360">
        <f t="shared" si="1131"/>
        <v>149.37800000000001</v>
      </c>
      <c r="AK790" s="1361">
        <f t="shared" si="1132"/>
        <v>1792.5360000000001</v>
      </c>
      <c r="AL790" s="1384">
        <v>0</v>
      </c>
      <c r="AM790" s="1363">
        <f t="shared" si="1133"/>
        <v>0</v>
      </c>
      <c r="AN790" s="1364">
        <v>0</v>
      </c>
      <c r="AO790" s="1365">
        <f t="shared" si="1134"/>
        <v>0</v>
      </c>
      <c r="AP790" s="1366">
        <v>0</v>
      </c>
      <c r="AQ790" s="1367">
        <f t="shared" si="1135"/>
        <v>0</v>
      </c>
      <c r="AR790" s="1368">
        <v>0.08</v>
      </c>
      <c r="AS790" s="1369">
        <f t="shared" si="1136"/>
        <v>1434.0288</v>
      </c>
      <c r="AT790" s="1370">
        <v>0</v>
      </c>
      <c r="AU790" s="1371">
        <f t="shared" si="1137"/>
        <v>0</v>
      </c>
      <c r="AV790" s="1359">
        <f t="shared" si="1138"/>
        <v>2.0000000000000004E-2</v>
      </c>
      <c r="AW790" s="1372">
        <f t="shared" si="1139"/>
        <v>358.50720000000007</v>
      </c>
      <c r="AX790" s="1373">
        <f t="shared" si="1140"/>
        <v>0.1</v>
      </c>
      <c r="AY790" s="1374">
        <f t="shared" si="1141"/>
        <v>1792.5360000000001</v>
      </c>
      <c r="AZ790" s="1375">
        <f t="shared" si="1142"/>
        <v>0.1</v>
      </c>
      <c r="BA790" s="1376">
        <f t="shared" si="1143"/>
        <v>1792.5360000000001</v>
      </c>
      <c r="BB790" s="1377"/>
      <c r="BC790" s="1820"/>
      <c r="BD790" s="1820"/>
      <c r="BE790" s="1823"/>
      <c r="BF790" s="1826"/>
      <c r="BG790" s="1829"/>
    </row>
    <row r="791" spans="1:59" s="1396" customFormat="1" ht="38.25">
      <c r="A791" s="1347" t="str">
        <f t="shared" si="1129"/>
        <v>Sirenas LLC</v>
      </c>
      <c r="B791" s="1347" t="s">
        <v>4660</v>
      </c>
      <c r="C791" s="1348">
        <f t="shared" si="1130"/>
        <v>14</v>
      </c>
      <c r="D791" s="1349">
        <v>42339</v>
      </c>
      <c r="E791" s="1349"/>
      <c r="F791" s="1347" t="s">
        <v>113</v>
      </c>
      <c r="G791" s="1347" t="s">
        <v>85</v>
      </c>
      <c r="H791" s="1347" t="s">
        <v>85</v>
      </c>
      <c r="I791" s="1347" t="s">
        <v>113</v>
      </c>
      <c r="J791" s="1447"/>
      <c r="K791" s="1349" t="s">
        <v>254</v>
      </c>
      <c r="L791" s="1350" t="s">
        <v>4675</v>
      </c>
      <c r="M791" s="1350" t="s">
        <v>3651</v>
      </c>
      <c r="N791" s="1351" t="s">
        <v>4908</v>
      </c>
      <c r="O791" s="1352" t="s">
        <v>4681</v>
      </c>
      <c r="P791" s="1449"/>
      <c r="Q791" s="1445"/>
      <c r="R791" s="1445"/>
      <c r="S791" s="1445"/>
      <c r="T791" s="1445"/>
      <c r="U791" s="1445"/>
      <c r="V791" s="1445"/>
      <c r="W791" s="1353" t="s">
        <v>2492</v>
      </c>
      <c r="X791" s="1353">
        <v>43101</v>
      </c>
      <c r="Y791" s="1353">
        <v>43466</v>
      </c>
      <c r="Z791" s="1425"/>
      <c r="AA791" s="1355" t="s">
        <v>4679</v>
      </c>
      <c r="AB791" s="1394"/>
      <c r="AC791" s="1394"/>
      <c r="AD791" s="1356"/>
      <c r="AE791" s="1356"/>
      <c r="AF791" s="1395" t="str">
        <f t="shared" si="951"/>
        <v/>
      </c>
      <c r="AG791" s="1358">
        <f t="shared" si="1076"/>
        <v>236.9</v>
      </c>
      <c r="AH791" s="1358">
        <v>2842.8</v>
      </c>
      <c r="AI791" s="1359">
        <v>0.1</v>
      </c>
      <c r="AJ791" s="1360">
        <f t="shared" si="1131"/>
        <v>23.69</v>
      </c>
      <c r="AK791" s="1361">
        <f t="shared" si="1132"/>
        <v>284.28000000000003</v>
      </c>
      <c r="AL791" s="1384">
        <v>0</v>
      </c>
      <c r="AM791" s="1363">
        <f t="shared" si="1133"/>
        <v>0</v>
      </c>
      <c r="AN791" s="1364">
        <v>0</v>
      </c>
      <c r="AO791" s="1365">
        <f t="shared" si="1134"/>
        <v>0</v>
      </c>
      <c r="AP791" s="1366">
        <v>0</v>
      </c>
      <c r="AQ791" s="1367">
        <f t="shared" si="1135"/>
        <v>0</v>
      </c>
      <c r="AR791" s="1368">
        <v>0.08</v>
      </c>
      <c r="AS791" s="1369">
        <f t="shared" si="1136"/>
        <v>227.42400000000001</v>
      </c>
      <c r="AT791" s="1370">
        <v>0</v>
      </c>
      <c r="AU791" s="1371">
        <f t="shared" si="1137"/>
        <v>0</v>
      </c>
      <c r="AV791" s="1359">
        <f t="shared" si="1138"/>
        <v>2.0000000000000004E-2</v>
      </c>
      <c r="AW791" s="1372">
        <f t="shared" si="1139"/>
        <v>56.856000000000016</v>
      </c>
      <c r="AX791" s="1373">
        <f t="shared" si="1140"/>
        <v>0.1</v>
      </c>
      <c r="AY791" s="1374">
        <f t="shared" si="1141"/>
        <v>284.28000000000003</v>
      </c>
      <c r="AZ791" s="1375">
        <f t="shared" si="1142"/>
        <v>0.1</v>
      </c>
      <c r="BA791" s="1376">
        <f t="shared" si="1143"/>
        <v>284.28000000000003</v>
      </c>
      <c r="BB791" s="1377"/>
      <c r="BC791" s="1820"/>
      <c r="BD791" s="1820"/>
      <c r="BE791" s="1823"/>
      <c r="BF791" s="1826"/>
      <c r="BG791" s="1829"/>
    </row>
    <row r="792" spans="1:59" s="1396" customFormat="1" ht="25.5" customHeight="1">
      <c r="A792" s="1347" t="str">
        <f t="shared" si="1129"/>
        <v>Sirenas LLC</v>
      </c>
      <c r="B792" s="1347" t="s">
        <v>4660</v>
      </c>
      <c r="C792" s="1348">
        <f t="shared" si="1130"/>
        <v>14</v>
      </c>
      <c r="D792" s="1349">
        <v>42339</v>
      </c>
      <c r="E792" s="1349"/>
      <c r="F792" s="1347" t="s">
        <v>113</v>
      </c>
      <c r="G792" s="1347" t="s">
        <v>85</v>
      </c>
      <c r="H792" s="1347" t="s">
        <v>85</v>
      </c>
      <c r="I792" s="1347" t="s">
        <v>113</v>
      </c>
      <c r="J792" s="1447"/>
      <c r="K792" s="1349" t="s">
        <v>254</v>
      </c>
      <c r="L792" s="1350" t="s">
        <v>4682</v>
      </c>
      <c r="M792" s="1350" t="s">
        <v>4683</v>
      </c>
      <c r="N792" s="1386" t="s">
        <v>1249</v>
      </c>
      <c r="O792" s="1352" t="s">
        <v>4684</v>
      </c>
      <c r="P792" s="1446"/>
      <c r="Q792" s="1445"/>
      <c r="R792" s="1445"/>
      <c r="S792" s="1445"/>
      <c r="T792" s="1445"/>
      <c r="U792" s="1445"/>
      <c r="V792" s="1445"/>
      <c r="W792" s="1445"/>
      <c r="X792" s="1353">
        <v>43101</v>
      </c>
      <c r="Y792" s="1353">
        <v>43466</v>
      </c>
      <c r="Z792" s="1425"/>
      <c r="AA792" s="1355" t="s">
        <v>4685</v>
      </c>
      <c r="AB792" s="1394"/>
      <c r="AC792" s="1394"/>
      <c r="AD792" s="1356"/>
      <c r="AE792" s="1356"/>
      <c r="AF792" s="1395" t="str">
        <f t="shared" si="951"/>
        <v/>
      </c>
      <c r="AG792" s="1358">
        <f t="shared" si="1076"/>
        <v>161.65166666666667</v>
      </c>
      <c r="AH792" s="1358">
        <v>1939.82</v>
      </c>
      <c r="AI792" s="1359">
        <v>0.15</v>
      </c>
      <c r="AJ792" s="1360">
        <f t="shared" si="1131"/>
        <v>24.24775</v>
      </c>
      <c r="AK792" s="1361">
        <f t="shared" si="1132"/>
        <v>290.97299999999996</v>
      </c>
      <c r="AL792" s="1384">
        <v>0</v>
      </c>
      <c r="AM792" s="1363">
        <f t="shared" si="1133"/>
        <v>0</v>
      </c>
      <c r="AN792" s="1364">
        <v>0</v>
      </c>
      <c r="AO792" s="1365">
        <f t="shared" si="1134"/>
        <v>0</v>
      </c>
      <c r="AP792" s="1366">
        <v>0</v>
      </c>
      <c r="AQ792" s="1367">
        <f t="shared" si="1135"/>
        <v>0</v>
      </c>
      <c r="AR792" s="1368">
        <v>0.1</v>
      </c>
      <c r="AS792" s="1369">
        <f t="shared" si="1136"/>
        <v>193.982</v>
      </c>
      <c r="AT792" s="1370">
        <v>0</v>
      </c>
      <c r="AU792" s="1371">
        <f t="shared" si="1137"/>
        <v>0</v>
      </c>
      <c r="AV792" s="1359">
        <f t="shared" si="1138"/>
        <v>4.9999999999999989E-2</v>
      </c>
      <c r="AW792" s="1372">
        <f t="shared" si="1139"/>
        <v>96.990999999999971</v>
      </c>
      <c r="AX792" s="1373">
        <f t="shared" si="1140"/>
        <v>0.15</v>
      </c>
      <c r="AY792" s="1374">
        <f t="shared" si="1141"/>
        <v>290.97299999999996</v>
      </c>
      <c r="AZ792" s="1375">
        <f t="shared" si="1142"/>
        <v>0.15</v>
      </c>
      <c r="BA792" s="1376">
        <f t="shared" si="1143"/>
        <v>290.97299999999996</v>
      </c>
      <c r="BB792" s="1377"/>
      <c r="BC792" s="1820"/>
      <c r="BD792" s="1820"/>
      <c r="BE792" s="1823"/>
      <c r="BF792" s="1826"/>
      <c r="BG792" s="1829"/>
    </row>
    <row r="793" spans="1:59" s="1396" customFormat="1" ht="38.25">
      <c r="A793" s="1347" t="str">
        <f t="shared" si="1129"/>
        <v>Sirenas LLC</v>
      </c>
      <c r="B793" s="1347" t="s">
        <v>4660</v>
      </c>
      <c r="C793" s="1348">
        <f t="shared" si="1130"/>
        <v>14</v>
      </c>
      <c r="D793" s="1349">
        <v>42339</v>
      </c>
      <c r="E793" s="1349"/>
      <c r="F793" s="1347" t="s">
        <v>113</v>
      </c>
      <c r="G793" s="1347" t="s">
        <v>85</v>
      </c>
      <c r="H793" s="1347" t="s">
        <v>85</v>
      </c>
      <c r="I793" s="1347" t="s">
        <v>113</v>
      </c>
      <c r="J793" s="1447"/>
      <c r="K793" s="1349" t="s">
        <v>254</v>
      </c>
      <c r="L793" s="1350" t="s">
        <v>4682</v>
      </c>
      <c r="M793" s="1350" t="s">
        <v>4686</v>
      </c>
      <c r="N793" s="1386" t="s">
        <v>60</v>
      </c>
      <c r="O793" s="1352" t="s">
        <v>4687</v>
      </c>
      <c r="P793" s="1446"/>
      <c r="Q793" s="1445"/>
      <c r="R793" s="1445"/>
      <c r="S793" s="1445"/>
      <c r="T793" s="1445"/>
      <c r="U793" s="1445"/>
      <c r="V793" s="1445"/>
      <c r="W793" s="1445"/>
      <c r="X793" s="1353">
        <v>43101</v>
      </c>
      <c r="Y793" s="1353">
        <v>43466</v>
      </c>
      <c r="Z793" s="1425"/>
      <c r="AA793" s="1355" t="s">
        <v>4685</v>
      </c>
      <c r="AB793" s="1394"/>
      <c r="AC793" s="1394"/>
      <c r="AD793" s="1356"/>
      <c r="AE793" s="1356"/>
      <c r="AF793" s="1395" t="str">
        <f t="shared" si="951"/>
        <v/>
      </c>
      <c r="AG793" s="1358">
        <f t="shared" si="1076"/>
        <v>16.95</v>
      </c>
      <c r="AH793" s="1358">
        <v>203.4</v>
      </c>
      <c r="AI793" s="1359">
        <v>0.15</v>
      </c>
      <c r="AJ793" s="1360">
        <f t="shared" si="1131"/>
        <v>2.5425</v>
      </c>
      <c r="AK793" s="1361">
        <f t="shared" si="1132"/>
        <v>30.509999999999998</v>
      </c>
      <c r="AL793" s="1384">
        <v>0</v>
      </c>
      <c r="AM793" s="1363">
        <f t="shared" si="1133"/>
        <v>0</v>
      </c>
      <c r="AN793" s="1364">
        <v>0</v>
      </c>
      <c r="AO793" s="1365">
        <f t="shared" si="1134"/>
        <v>0</v>
      </c>
      <c r="AP793" s="1366">
        <v>0</v>
      </c>
      <c r="AQ793" s="1367">
        <f t="shared" si="1135"/>
        <v>0</v>
      </c>
      <c r="AR793" s="1368">
        <v>0.1</v>
      </c>
      <c r="AS793" s="1369">
        <f t="shared" si="1136"/>
        <v>20.340000000000003</v>
      </c>
      <c r="AT793" s="1370">
        <v>0</v>
      </c>
      <c r="AU793" s="1371">
        <f t="shared" si="1137"/>
        <v>0</v>
      </c>
      <c r="AV793" s="1359">
        <f t="shared" si="1138"/>
        <v>4.9999999999999989E-2</v>
      </c>
      <c r="AW793" s="1372">
        <f t="shared" si="1139"/>
        <v>10.169999999999998</v>
      </c>
      <c r="AX793" s="1373">
        <f t="shared" si="1140"/>
        <v>0.15</v>
      </c>
      <c r="AY793" s="1374">
        <f t="shared" si="1141"/>
        <v>30.509999999999998</v>
      </c>
      <c r="AZ793" s="1375">
        <f t="shared" si="1142"/>
        <v>0.15</v>
      </c>
      <c r="BA793" s="1376">
        <f t="shared" si="1143"/>
        <v>30.509999999999998</v>
      </c>
      <c r="BB793" s="1377"/>
      <c r="BC793" s="1820"/>
      <c r="BD793" s="1820"/>
      <c r="BE793" s="1823"/>
      <c r="BF793" s="1826"/>
      <c r="BG793" s="1829"/>
    </row>
    <row r="794" spans="1:59" s="1396" customFormat="1" ht="26.25" customHeight="1">
      <c r="A794" s="1347" t="str">
        <f t="shared" si="1129"/>
        <v>Sirenas LLC</v>
      </c>
      <c r="B794" s="1347" t="s">
        <v>4660</v>
      </c>
      <c r="C794" s="1348">
        <f t="shared" si="1130"/>
        <v>14</v>
      </c>
      <c r="D794" s="1349">
        <v>42339</v>
      </c>
      <c r="E794" s="1349"/>
      <c r="F794" s="1347" t="s">
        <v>113</v>
      </c>
      <c r="G794" s="1347" t="s">
        <v>85</v>
      </c>
      <c r="H794" s="1347" t="s">
        <v>85</v>
      </c>
      <c r="I794" s="1347" t="s">
        <v>113</v>
      </c>
      <c r="J794" s="1447"/>
      <c r="K794" s="1349" t="s">
        <v>254</v>
      </c>
      <c r="L794" s="1350" t="s">
        <v>4682</v>
      </c>
      <c r="M794" s="1350" t="s">
        <v>67</v>
      </c>
      <c r="N794" s="1390" t="s">
        <v>82</v>
      </c>
      <c r="O794" s="1352" t="s">
        <v>4689</v>
      </c>
      <c r="P794" s="1449"/>
      <c r="Q794" s="1445"/>
      <c r="R794" s="1445"/>
      <c r="S794" s="1445"/>
      <c r="T794" s="1445"/>
      <c r="U794" s="1445"/>
      <c r="V794" s="1445"/>
      <c r="W794" s="1445"/>
      <c r="X794" s="1353">
        <v>43101</v>
      </c>
      <c r="Y794" s="1353">
        <v>43466</v>
      </c>
      <c r="Z794" s="1425"/>
      <c r="AA794" s="1355" t="s">
        <v>4685</v>
      </c>
      <c r="AB794" s="1394"/>
      <c r="AC794" s="1394"/>
      <c r="AD794" s="1356"/>
      <c r="AE794" s="1356"/>
      <c r="AF794" s="1395" t="str">
        <f t="shared" si="951"/>
        <v/>
      </c>
      <c r="AG794" s="1358">
        <f t="shared" si="1076"/>
        <v>290.39749999999998</v>
      </c>
      <c r="AH794" s="1358">
        <v>3484.77</v>
      </c>
      <c r="AI794" s="1359">
        <v>0.15</v>
      </c>
      <c r="AJ794" s="1360">
        <f t="shared" si="1131"/>
        <v>43.559624999999997</v>
      </c>
      <c r="AK794" s="1361">
        <f>AI794*$AH794</f>
        <v>522.71550000000002</v>
      </c>
      <c r="AL794" s="1384">
        <v>0</v>
      </c>
      <c r="AM794" s="1363">
        <f>AL794*$AH794</f>
        <v>0</v>
      </c>
      <c r="AN794" s="1364">
        <v>0</v>
      </c>
      <c r="AO794" s="1365">
        <f>AN794*$AH794</f>
        <v>0</v>
      </c>
      <c r="AP794" s="1366">
        <v>0</v>
      </c>
      <c r="AQ794" s="1367">
        <f>AP794*$AH794</f>
        <v>0</v>
      </c>
      <c r="AR794" s="1368">
        <v>0.1</v>
      </c>
      <c r="AS794" s="1369">
        <f t="shared" si="1136"/>
        <v>348.47700000000003</v>
      </c>
      <c r="AT794" s="1370">
        <v>0</v>
      </c>
      <c r="AU794" s="1371">
        <f t="shared" si="1137"/>
        <v>0</v>
      </c>
      <c r="AV794" s="1359">
        <f>AZ794-AR794-AT794-AP794</f>
        <v>4.9999999999999989E-2</v>
      </c>
      <c r="AW794" s="1372">
        <f>AV794*$AH794</f>
        <v>174.23849999999996</v>
      </c>
      <c r="AX794" s="1373">
        <f t="shared" si="1140"/>
        <v>0.15</v>
      </c>
      <c r="AY794" s="1374">
        <f>AX794*$AH794</f>
        <v>522.71550000000002</v>
      </c>
      <c r="AZ794" s="1375">
        <f t="shared" si="1142"/>
        <v>0.15</v>
      </c>
      <c r="BA794" s="1376">
        <f>AZ794*$AH794</f>
        <v>522.71550000000002</v>
      </c>
      <c r="BB794" s="1377"/>
      <c r="BC794" s="1820"/>
      <c r="BD794" s="1820"/>
      <c r="BE794" s="1823"/>
      <c r="BF794" s="1826"/>
      <c r="BG794" s="1829"/>
    </row>
    <row r="795" spans="1:59" s="1378" customFormat="1" ht="27.75" customHeight="1">
      <c r="A795" s="1347" t="s">
        <v>174</v>
      </c>
      <c r="B795" s="1348" t="s">
        <v>4660</v>
      </c>
      <c r="C795" s="1348">
        <v>21</v>
      </c>
      <c r="D795" s="1349">
        <v>42339</v>
      </c>
      <c r="E795" s="1349"/>
      <c r="F795" s="1347" t="s">
        <v>72</v>
      </c>
      <c r="G795" s="1347" t="s">
        <v>85</v>
      </c>
      <c r="H795" s="1347" t="s">
        <v>72</v>
      </c>
      <c r="I795" s="1347" t="s">
        <v>72</v>
      </c>
      <c r="J795" s="1349" t="s">
        <v>4670</v>
      </c>
      <c r="K795" s="1349" t="s">
        <v>254</v>
      </c>
      <c r="L795" s="1350" t="s">
        <v>4696</v>
      </c>
      <c r="M795" s="1350" t="s">
        <v>4697</v>
      </c>
      <c r="N795" s="1389" t="s">
        <v>4698</v>
      </c>
      <c r="O795" s="1352" t="s">
        <v>4699</v>
      </c>
      <c r="P795" s="1449"/>
      <c r="Q795" s="1445"/>
      <c r="R795" s="1445"/>
      <c r="S795" s="1445"/>
      <c r="T795" s="1445"/>
      <c r="U795" s="1445"/>
      <c r="V795" s="1445"/>
      <c r="W795" s="1445"/>
      <c r="X795" s="1353">
        <v>43101</v>
      </c>
      <c r="Y795" s="1353">
        <v>43466</v>
      </c>
      <c r="Z795" s="1355"/>
      <c r="AA795" s="1355" t="s">
        <v>4674</v>
      </c>
      <c r="AB795" s="1356"/>
      <c r="AC795" s="1356"/>
      <c r="AD795" s="1356"/>
      <c r="AE795" s="1356"/>
      <c r="AF795" s="1357" t="str">
        <f t="shared" si="951"/>
        <v/>
      </c>
      <c r="AG795" s="1380"/>
      <c r="AH795" s="1380"/>
      <c r="AI795" s="1381">
        <v>0</v>
      </c>
      <c r="AJ795" s="1382">
        <f t="shared" si="1131"/>
        <v>0</v>
      </c>
      <c r="AK795" s="1383">
        <f t="shared" ref="AK795" si="1144">AI795*$AH795</f>
        <v>0</v>
      </c>
      <c r="AL795" s="1384">
        <v>0</v>
      </c>
      <c r="AM795" s="1363">
        <f t="shared" ref="AM795" si="1145">AL795*$AH795</f>
        <v>0</v>
      </c>
      <c r="AN795" s="1364">
        <v>0</v>
      </c>
      <c r="AO795" s="1365">
        <f t="shared" ref="AO795" si="1146">AN795*$AH795</f>
        <v>0</v>
      </c>
      <c r="AP795" s="1366">
        <v>0</v>
      </c>
      <c r="AQ795" s="1367">
        <f t="shared" ref="AQ795" si="1147">AP795*$AH795</f>
        <v>0</v>
      </c>
      <c r="AR795" s="1368">
        <v>0</v>
      </c>
      <c r="AS795" s="1369">
        <f t="shared" si="1136"/>
        <v>0</v>
      </c>
      <c r="AT795" s="1370">
        <v>0</v>
      </c>
      <c r="AU795" s="1371">
        <f t="shared" si="1137"/>
        <v>0</v>
      </c>
      <c r="AV795" s="1359">
        <f t="shared" ref="AV795" si="1148">AZ795-AR795-AT795-AP795</f>
        <v>0</v>
      </c>
      <c r="AW795" s="1372">
        <f t="shared" ref="AW795" si="1149">AV795*$AH795</f>
        <v>0</v>
      </c>
      <c r="AX795" s="1373">
        <f t="shared" si="1140"/>
        <v>0</v>
      </c>
      <c r="AY795" s="1374">
        <f t="shared" ref="AY795" si="1150">AX795*$AH795</f>
        <v>0</v>
      </c>
      <c r="AZ795" s="1375">
        <f t="shared" si="1142"/>
        <v>0</v>
      </c>
      <c r="BA795" s="1376">
        <f t="shared" ref="BA795" si="1151">AZ795*$AH795</f>
        <v>0</v>
      </c>
      <c r="BB795" s="1377"/>
      <c r="BC795" s="1820"/>
      <c r="BD795" s="1820"/>
      <c r="BE795" s="1823"/>
      <c r="BF795" s="1826"/>
      <c r="BG795" s="1829"/>
    </row>
    <row r="796" spans="1:59" s="1396" customFormat="1" ht="35.25" customHeight="1">
      <c r="A796" s="1347" t="str">
        <f t="shared" si="1129"/>
        <v>Sirenas LLC</v>
      </c>
      <c r="B796" s="1347" t="s">
        <v>4660</v>
      </c>
      <c r="C796" s="1348">
        <f t="shared" si="1130"/>
        <v>14</v>
      </c>
      <c r="D796" s="1349">
        <v>42339</v>
      </c>
      <c r="E796" s="1349"/>
      <c r="F796" s="1347" t="s">
        <v>72</v>
      </c>
      <c r="G796" s="1347" t="s">
        <v>113</v>
      </c>
      <c r="H796" s="1347" t="s">
        <v>72</v>
      </c>
      <c r="I796" s="1347" t="s">
        <v>113</v>
      </c>
      <c r="J796" s="1349" t="s">
        <v>4670</v>
      </c>
      <c r="K796" s="1349" t="s">
        <v>254</v>
      </c>
      <c r="L796" s="1397" t="s">
        <v>5280</v>
      </c>
      <c r="M796" s="1397" t="s">
        <v>3652</v>
      </c>
      <c r="N796" s="1412" t="s">
        <v>5144</v>
      </c>
      <c r="O796" s="1399"/>
      <c r="P796" s="1399"/>
      <c r="Q796" s="1400"/>
      <c r="R796" s="1400"/>
      <c r="S796" s="1400"/>
      <c r="T796" s="1400"/>
      <c r="U796" s="1400"/>
      <c r="V796" s="1400"/>
      <c r="W796" s="1400"/>
      <c r="X796" s="1400">
        <v>43101</v>
      </c>
      <c r="Y796" s="1400">
        <v>43466</v>
      </c>
      <c r="Z796" s="1460"/>
      <c r="AA796" s="1401" t="s">
        <v>4738</v>
      </c>
      <c r="AB796" s="1402"/>
      <c r="AC796" s="1402"/>
      <c r="AD796" s="1369"/>
      <c r="AE796" s="1369"/>
      <c r="AF796" s="1448" t="str">
        <f t="shared" si="951"/>
        <v/>
      </c>
      <c r="AG796" s="1404"/>
      <c r="AH796" s="1404"/>
      <c r="AI796" s="1405">
        <v>0</v>
      </c>
      <c r="AJ796" s="1406">
        <v>0</v>
      </c>
      <c r="AK796" s="1406">
        <v>0</v>
      </c>
      <c r="AL796" s="1384">
        <v>0</v>
      </c>
      <c r="AM796" s="1363">
        <f t="shared" si="1133"/>
        <v>0</v>
      </c>
      <c r="AN796" s="1364">
        <v>0</v>
      </c>
      <c r="AO796" s="1365">
        <f t="shared" si="1134"/>
        <v>0</v>
      </c>
      <c r="AP796" s="1366">
        <v>0</v>
      </c>
      <c r="AQ796" s="1367">
        <f t="shared" si="1135"/>
        <v>0</v>
      </c>
      <c r="AR796" s="1368">
        <v>0</v>
      </c>
      <c r="AS796" s="1369">
        <f t="shared" si="1136"/>
        <v>0</v>
      </c>
      <c r="AT796" s="1370">
        <v>0</v>
      </c>
      <c r="AU796" s="1371">
        <f t="shared" si="1137"/>
        <v>0</v>
      </c>
      <c r="AV796" s="1359">
        <f t="shared" si="1138"/>
        <v>0</v>
      </c>
      <c r="AW796" s="1372">
        <f t="shared" si="1139"/>
        <v>0</v>
      </c>
      <c r="AX796" s="1373">
        <f t="shared" si="1140"/>
        <v>0</v>
      </c>
      <c r="AY796" s="1374">
        <f t="shared" si="1141"/>
        <v>0</v>
      </c>
      <c r="AZ796" s="1375">
        <f t="shared" si="1142"/>
        <v>0</v>
      </c>
      <c r="BA796" s="1376">
        <f t="shared" si="1143"/>
        <v>0</v>
      </c>
      <c r="BB796" s="1377"/>
      <c r="BC796" s="1820"/>
      <c r="BD796" s="1820"/>
      <c r="BE796" s="1823"/>
      <c r="BF796" s="1826"/>
      <c r="BG796" s="1829"/>
    </row>
    <row r="797" spans="1:59" s="1396" customFormat="1" ht="25.5">
      <c r="A797" s="1347" t="str">
        <f t="shared" si="1129"/>
        <v>Sirenas LLC</v>
      </c>
      <c r="B797" s="1347" t="s">
        <v>4660</v>
      </c>
      <c r="C797" s="1348">
        <f t="shared" si="1130"/>
        <v>14</v>
      </c>
      <c r="D797" s="1349">
        <v>42339</v>
      </c>
      <c r="E797" s="1349"/>
      <c r="F797" s="1347" t="s">
        <v>72</v>
      </c>
      <c r="G797" s="1347" t="s">
        <v>85</v>
      </c>
      <c r="H797" s="1347" t="s">
        <v>72</v>
      </c>
      <c r="I797" s="1347" t="s">
        <v>72</v>
      </c>
      <c r="J797" s="1349" t="s">
        <v>4670</v>
      </c>
      <c r="K797" s="1349" t="s">
        <v>254</v>
      </c>
      <c r="L797" s="1350" t="s">
        <v>48</v>
      </c>
      <c r="M797" s="1350" t="s">
        <v>253</v>
      </c>
      <c r="N797" s="1390" t="s">
        <v>4703</v>
      </c>
      <c r="O797" s="1352"/>
      <c r="P797" s="1449"/>
      <c r="Q797" s="1445"/>
      <c r="R797" s="1445"/>
      <c r="S797" s="1445"/>
      <c r="T797" s="1445"/>
      <c r="U797" s="1445"/>
      <c r="V797" s="1445"/>
      <c r="W797" s="1445"/>
      <c r="X797" s="1353">
        <v>43101</v>
      </c>
      <c r="Y797" s="1353">
        <v>43466</v>
      </c>
      <c r="Z797" s="1425"/>
      <c r="AA797" s="1355" t="s">
        <v>4674</v>
      </c>
      <c r="AB797" s="1394"/>
      <c r="AC797" s="1394"/>
      <c r="AD797" s="1356"/>
      <c r="AE797" s="1356"/>
      <c r="AF797" s="1395" t="str">
        <f t="shared" si="951"/>
        <v/>
      </c>
      <c r="AG797" s="1380"/>
      <c r="AH797" s="1380"/>
      <c r="AI797" s="1381">
        <v>0</v>
      </c>
      <c r="AJ797" s="1382">
        <f>$AI797*$AG797</f>
        <v>0</v>
      </c>
      <c r="AK797" s="1383">
        <f t="shared" si="1132"/>
        <v>0</v>
      </c>
      <c r="AL797" s="1384">
        <v>0</v>
      </c>
      <c r="AM797" s="1363">
        <f t="shared" si="1133"/>
        <v>0</v>
      </c>
      <c r="AN797" s="1364">
        <v>0</v>
      </c>
      <c r="AO797" s="1365">
        <f t="shared" si="1134"/>
        <v>0</v>
      </c>
      <c r="AP797" s="1366">
        <v>0</v>
      </c>
      <c r="AQ797" s="1367">
        <f t="shared" si="1135"/>
        <v>0</v>
      </c>
      <c r="AR797" s="1368">
        <v>0</v>
      </c>
      <c r="AS797" s="1369">
        <f t="shared" si="1136"/>
        <v>0</v>
      </c>
      <c r="AT797" s="1370">
        <v>0</v>
      </c>
      <c r="AU797" s="1371">
        <f t="shared" si="1137"/>
        <v>0</v>
      </c>
      <c r="AV797" s="1359">
        <f t="shared" si="1138"/>
        <v>0</v>
      </c>
      <c r="AW797" s="1372">
        <f t="shared" si="1139"/>
        <v>0</v>
      </c>
      <c r="AX797" s="1373">
        <f t="shared" si="1140"/>
        <v>0</v>
      </c>
      <c r="AY797" s="1374">
        <f t="shared" si="1141"/>
        <v>0</v>
      </c>
      <c r="AZ797" s="1375">
        <f t="shared" si="1142"/>
        <v>0</v>
      </c>
      <c r="BA797" s="1376">
        <f t="shared" si="1143"/>
        <v>0</v>
      </c>
      <c r="BB797" s="1377"/>
      <c r="BC797" s="1820"/>
      <c r="BD797" s="1820"/>
      <c r="BE797" s="1823"/>
      <c r="BF797" s="1826"/>
      <c r="BG797" s="1829"/>
    </row>
    <row r="798" spans="1:59" s="1396" customFormat="1" ht="25.5">
      <c r="A798" s="1347" t="str">
        <f t="shared" si="1129"/>
        <v>Sirenas LLC</v>
      </c>
      <c r="B798" s="1347" t="s">
        <v>4660</v>
      </c>
      <c r="C798" s="1348">
        <f t="shared" si="1130"/>
        <v>14</v>
      </c>
      <c r="D798" s="1349">
        <v>42339</v>
      </c>
      <c r="E798" s="1349"/>
      <c r="F798" s="1347" t="s">
        <v>72</v>
      </c>
      <c r="G798" s="1347" t="s">
        <v>85</v>
      </c>
      <c r="H798" s="1347" t="s">
        <v>72</v>
      </c>
      <c r="I798" s="1347" t="s">
        <v>113</v>
      </c>
      <c r="J798" s="1349" t="s">
        <v>4670</v>
      </c>
      <c r="K798" s="1349" t="s">
        <v>254</v>
      </c>
      <c r="L798" s="1350" t="s">
        <v>49</v>
      </c>
      <c r="M798" s="1350" t="s">
        <v>4705</v>
      </c>
      <c r="N798" s="1390" t="s">
        <v>5273</v>
      </c>
      <c r="O798" s="1352" t="s">
        <v>4707</v>
      </c>
      <c r="P798" s="1388"/>
      <c r="Q798" s="1503"/>
      <c r="R798" s="1503"/>
      <c r="S798" s="1503"/>
      <c r="T798" s="1503"/>
      <c r="U798" s="1503"/>
      <c r="V798" s="1503"/>
      <c r="W798" s="1503"/>
      <c r="X798" s="1353">
        <v>43101</v>
      </c>
      <c r="Y798" s="1353">
        <v>43466</v>
      </c>
      <c r="Z798" s="1355"/>
      <c r="AA798" s="1355" t="s">
        <v>4674</v>
      </c>
      <c r="AB798" s="1356"/>
      <c r="AC798" s="1356"/>
      <c r="AD798" s="1356"/>
      <c r="AE798" s="1356"/>
      <c r="AF798" s="1357" t="str">
        <f t="shared" si="951"/>
        <v/>
      </c>
      <c r="AG798" s="1380"/>
      <c r="AH798" s="1380"/>
      <c r="AI798" s="1381">
        <v>0</v>
      </c>
      <c r="AJ798" s="1382">
        <f>$AI798*$AG798</f>
        <v>0</v>
      </c>
      <c r="AK798" s="1383">
        <f t="shared" si="1132"/>
        <v>0</v>
      </c>
      <c r="AL798" s="1384">
        <v>0</v>
      </c>
      <c r="AM798" s="1363">
        <f t="shared" si="1133"/>
        <v>0</v>
      </c>
      <c r="AN798" s="1364">
        <v>0</v>
      </c>
      <c r="AO798" s="1365">
        <f t="shared" si="1134"/>
        <v>0</v>
      </c>
      <c r="AP798" s="1366">
        <v>0</v>
      </c>
      <c r="AQ798" s="1367">
        <f t="shared" si="1135"/>
        <v>0</v>
      </c>
      <c r="AR798" s="1368">
        <v>0</v>
      </c>
      <c r="AS798" s="1369">
        <f t="shared" si="1136"/>
        <v>0</v>
      </c>
      <c r="AT798" s="1370">
        <v>0</v>
      </c>
      <c r="AU798" s="1371">
        <f t="shared" si="1137"/>
        <v>0</v>
      </c>
      <c r="AV798" s="1359">
        <f t="shared" si="1138"/>
        <v>0</v>
      </c>
      <c r="AW798" s="1372">
        <f t="shared" si="1139"/>
        <v>0</v>
      </c>
      <c r="AX798" s="1373">
        <f t="shared" si="1140"/>
        <v>0</v>
      </c>
      <c r="AY798" s="1374">
        <f t="shared" si="1141"/>
        <v>0</v>
      </c>
      <c r="AZ798" s="1375">
        <f t="shared" si="1142"/>
        <v>0</v>
      </c>
      <c r="BA798" s="1376">
        <f t="shared" si="1143"/>
        <v>0</v>
      </c>
      <c r="BB798" s="1377"/>
      <c r="BC798" s="1820"/>
      <c r="BD798" s="1820"/>
      <c r="BE798" s="1823"/>
      <c r="BF798" s="1826"/>
      <c r="BG798" s="1829"/>
    </row>
    <row r="799" spans="1:59" s="1378" customFormat="1" ht="21.75" customHeight="1">
      <c r="A799" s="1347" t="str">
        <f>A798</f>
        <v>Sirenas LLC</v>
      </c>
      <c r="B799" s="1348" t="str">
        <f>B798</f>
        <v xml:space="preserve">HUB SD </v>
      </c>
      <c r="C799" s="1348">
        <f>C798</f>
        <v>14</v>
      </c>
      <c r="D799" s="1349">
        <v>42339</v>
      </c>
      <c r="E799" s="1349"/>
      <c r="F799" s="1347" t="s">
        <v>72</v>
      </c>
      <c r="G799" s="1347" t="s">
        <v>85</v>
      </c>
      <c r="H799" s="1347" t="s">
        <v>72</v>
      </c>
      <c r="I799" s="1347" t="s">
        <v>72</v>
      </c>
      <c r="J799" s="1349" t="s">
        <v>4670</v>
      </c>
      <c r="K799" s="1349" t="s">
        <v>254</v>
      </c>
      <c r="L799" s="1350" t="s">
        <v>3056</v>
      </c>
      <c r="M799" s="1350" t="s">
        <v>4708</v>
      </c>
      <c r="N799" s="1390" t="s">
        <v>4709</v>
      </c>
      <c r="O799" s="1352" t="s">
        <v>4710</v>
      </c>
      <c r="P799" s="1352"/>
      <c r="Q799" s="1354"/>
      <c r="R799" s="1354"/>
      <c r="S799" s="1354"/>
      <c r="T799" s="1354"/>
      <c r="U799" s="1354"/>
      <c r="V799" s="1354"/>
      <c r="W799" s="1354"/>
      <c r="X799" s="1353">
        <v>43101</v>
      </c>
      <c r="Y799" s="1353">
        <v>43466</v>
      </c>
      <c r="Z799" s="1355"/>
      <c r="AA799" s="1355" t="s">
        <v>4674</v>
      </c>
      <c r="AB799" s="1356"/>
      <c r="AC799" s="1356"/>
      <c r="AD799" s="1356"/>
      <c r="AE799" s="1356"/>
      <c r="AF799" s="1357" t="str">
        <f t="shared" si="951"/>
        <v/>
      </c>
      <c r="AG799" s="1380"/>
      <c r="AH799" s="1380"/>
      <c r="AI799" s="1381">
        <v>0</v>
      </c>
      <c r="AJ799" s="1382">
        <f>$AI799*$AG799</f>
        <v>0</v>
      </c>
      <c r="AK799" s="1383">
        <f t="shared" si="1132"/>
        <v>0</v>
      </c>
      <c r="AL799" s="1384">
        <v>0</v>
      </c>
      <c r="AM799" s="1363">
        <f t="shared" si="1133"/>
        <v>0</v>
      </c>
      <c r="AN799" s="1364">
        <v>0</v>
      </c>
      <c r="AO799" s="1365">
        <f t="shared" si="1134"/>
        <v>0</v>
      </c>
      <c r="AP799" s="1366">
        <v>0</v>
      </c>
      <c r="AQ799" s="1367">
        <f t="shared" si="1135"/>
        <v>0</v>
      </c>
      <c r="AR799" s="1368">
        <v>0</v>
      </c>
      <c r="AS799" s="1369">
        <f t="shared" si="1136"/>
        <v>0</v>
      </c>
      <c r="AT799" s="1370">
        <v>0</v>
      </c>
      <c r="AU799" s="1371">
        <f t="shared" si="1137"/>
        <v>0</v>
      </c>
      <c r="AV799" s="1359">
        <f t="shared" si="1138"/>
        <v>0</v>
      </c>
      <c r="AW799" s="1372">
        <f t="shared" si="1139"/>
        <v>0</v>
      </c>
      <c r="AX799" s="1373">
        <f t="shared" si="1140"/>
        <v>0</v>
      </c>
      <c r="AY799" s="1374">
        <f t="shared" si="1141"/>
        <v>0</v>
      </c>
      <c r="AZ799" s="1375">
        <f t="shared" si="1142"/>
        <v>0</v>
      </c>
      <c r="BA799" s="1376">
        <f t="shared" si="1143"/>
        <v>0</v>
      </c>
      <c r="BB799" s="1391"/>
      <c r="BC799" s="1821"/>
      <c r="BD799" s="1821"/>
      <c r="BE799" s="1824"/>
      <c r="BF799" s="1827"/>
      <c r="BG799" s="1830"/>
    </row>
    <row r="800" spans="1:59" s="1315" customFormat="1" ht="57" customHeight="1">
      <c r="A800" s="1277" t="str">
        <f t="shared" ref="A800:A806" si="1152">L$800</f>
        <v>Somatek Technologies</v>
      </c>
      <c r="B800" s="1316" t="str">
        <f t="shared" ref="B800:B806" si="1153">N$800</f>
        <v>HUB SD</v>
      </c>
      <c r="C800" s="1316">
        <f>Z800</f>
        <v>2</v>
      </c>
      <c r="D800" s="1317">
        <v>43132</v>
      </c>
      <c r="E800" s="1317"/>
      <c r="F800" s="1277" t="s">
        <v>72</v>
      </c>
      <c r="G800" s="1277" t="s">
        <v>72</v>
      </c>
      <c r="H800" s="1277" t="s">
        <v>72</v>
      </c>
      <c r="I800" s="1277" t="s">
        <v>4711</v>
      </c>
      <c r="J800" s="1317"/>
      <c r="K800" s="1317"/>
      <c r="L800" s="1318" t="s">
        <v>5511</v>
      </c>
      <c r="M800" s="1318" t="s">
        <v>5281</v>
      </c>
      <c r="N800" s="1320" t="s">
        <v>4661</v>
      </c>
      <c r="O800" s="1321" t="s">
        <v>2473</v>
      </c>
      <c r="P800" s="1419"/>
      <c r="Q800" s="1322"/>
      <c r="R800" s="1322"/>
      <c r="S800" s="1322"/>
      <c r="T800" s="1322"/>
      <c r="U800" s="1322"/>
      <c r="V800" s="1322"/>
      <c r="W800" s="1322"/>
      <c r="X800" s="1317">
        <v>43132</v>
      </c>
      <c r="Y800" s="1317">
        <v>43466</v>
      </c>
      <c r="Z800" s="1316">
        <v>2</v>
      </c>
      <c r="AA800" s="1316" t="s">
        <v>5282</v>
      </c>
      <c r="AB800" s="1323">
        <f>SUM(AB801:AB806)</f>
        <v>0</v>
      </c>
      <c r="AC800" s="1323">
        <f>SUM(AC801:AC806)</f>
        <v>0</v>
      </c>
      <c r="AD800" s="1323">
        <f>SUM(AD801:AD806)</f>
        <v>0</v>
      </c>
      <c r="AE800" s="1324">
        <f t="shared" ref="AE800:AE811" si="1154">AD800-AB800</f>
        <v>0</v>
      </c>
      <c r="AF800" s="1325" t="str">
        <f t="shared" si="951"/>
        <v/>
      </c>
      <c r="AG800" s="1326">
        <f t="shared" si="1076"/>
        <v>993.86</v>
      </c>
      <c r="AH800" s="1326">
        <f>SUM(AH801:AH806)</f>
        <v>11926.32</v>
      </c>
      <c r="AI800" s="1339" t="s">
        <v>4984</v>
      </c>
      <c r="AJ800" s="1328">
        <f>SUM(AJ801:AJ806)</f>
        <v>79.508800000000008</v>
      </c>
      <c r="AK800" s="1328">
        <f>SUM(AK801:AK806)</f>
        <v>954.10559999999998</v>
      </c>
      <c r="AL800" s="1329"/>
      <c r="AM800" s="1330">
        <f>SUM(AM801:AM806)</f>
        <v>59.631599999999999</v>
      </c>
      <c r="AN800" s="1331"/>
      <c r="AO800" s="1332">
        <f>SUM(AO801:AO806)</f>
        <v>0</v>
      </c>
      <c r="AP800" s="1333"/>
      <c r="AQ800" s="1334">
        <f>SUM(AQ801:AQ806)</f>
        <v>0</v>
      </c>
      <c r="AR800" s="1335"/>
      <c r="AS800" s="1336">
        <f>SUM(AS801:AS806)</f>
        <v>0</v>
      </c>
      <c r="AT800" s="1337"/>
      <c r="AU800" s="1338">
        <f>SUM(AU801:AU806)</f>
        <v>894.47399999999993</v>
      </c>
      <c r="AV800" s="1339"/>
      <c r="AW800" s="1340">
        <f>SUM(AW801:AW806)</f>
        <v>0</v>
      </c>
      <c r="AX800" s="1306"/>
      <c r="AY800" s="1307">
        <f>SUM(AW800+AS800+AU800)</f>
        <v>894.47399999999993</v>
      </c>
      <c r="AZ800" s="1341"/>
      <c r="BA800" s="1309">
        <f>SUM(AY800+AQ800)</f>
        <v>894.47399999999993</v>
      </c>
      <c r="BB800" s="1342">
        <f>(AW800+AU800)/(AK800-AM800)</f>
        <v>1</v>
      </c>
      <c r="BC800" s="1343"/>
      <c r="BD800" s="1343"/>
      <c r="BE800" s="1344"/>
      <c r="BF800" s="1345" t="s">
        <v>5283</v>
      </c>
      <c r="BG800" s="1346"/>
    </row>
    <row r="801" spans="1:59" s="1378" customFormat="1" ht="51">
      <c r="A801" s="1347" t="str">
        <f t="shared" si="1152"/>
        <v>Somatek Technologies</v>
      </c>
      <c r="B801" s="1348" t="str">
        <f t="shared" si="1153"/>
        <v>HUB SD</v>
      </c>
      <c r="C801" s="1348">
        <f t="shared" ref="C801:C806" si="1155">Z$800</f>
        <v>2</v>
      </c>
      <c r="D801" s="1349">
        <f t="shared" ref="D801:D806" si="1156">D$800</f>
        <v>43132</v>
      </c>
      <c r="E801" s="1349"/>
      <c r="F801" s="1347" t="s">
        <v>85</v>
      </c>
      <c r="G801" s="1347" t="s">
        <v>85</v>
      </c>
      <c r="H801" s="1347" t="s">
        <v>85</v>
      </c>
      <c r="I801" s="1347" t="s">
        <v>113</v>
      </c>
      <c r="J801" s="1349"/>
      <c r="K801" s="1349" t="s">
        <v>254</v>
      </c>
      <c r="L801" s="1350" t="s">
        <v>2661</v>
      </c>
      <c r="M801" s="1350" t="s">
        <v>3647</v>
      </c>
      <c r="N801" s="1351" t="s">
        <v>5284</v>
      </c>
      <c r="O801" s="1352" t="s">
        <v>5285</v>
      </c>
      <c r="P801" s="1352" t="s">
        <v>5013</v>
      </c>
      <c r="Q801" s="1353" t="s">
        <v>317</v>
      </c>
      <c r="R801" s="1353" t="s">
        <v>3658</v>
      </c>
      <c r="S801" s="1353" t="s">
        <v>307</v>
      </c>
      <c r="T801" s="1353" t="s">
        <v>113</v>
      </c>
      <c r="U801" s="1354"/>
      <c r="V801" s="1354"/>
      <c r="W801" s="1354"/>
      <c r="X801" s="1353">
        <f t="shared" ref="X801:Y806" si="1157">X$800</f>
        <v>43132</v>
      </c>
      <c r="Y801" s="1353">
        <f t="shared" si="1157"/>
        <v>43466</v>
      </c>
      <c r="Z801" s="1355"/>
      <c r="AA801" s="1355" t="s">
        <v>4988</v>
      </c>
      <c r="AB801" s="1356"/>
      <c r="AC801" s="1356"/>
      <c r="AD801" s="1356"/>
      <c r="AE801" s="1356"/>
      <c r="AF801" s="1357" t="str">
        <f t="shared" si="951"/>
        <v/>
      </c>
      <c r="AG801" s="1358">
        <f t="shared" si="1076"/>
        <v>993.86</v>
      </c>
      <c r="AH801" s="1358">
        <v>11926.32</v>
      </c>
      <c r="AI801" s="1359">
        <v>0.08</v>
      </c>
      <c r="AJ801" s="1360">
        <f t="shared" ref="AJ801:AJ806" si="1158">$AI801*$AG801</f>
        <v>79.508800000000008</v>
      </c>
      <c r="AK801" s="1361">
        <f t="shared" ref="AK801" si="1159">AI801*$AH801</f>
        <v>954.10559999999998</v>
      </c>
      <c r="AL801" s="1362">
        <v>5.0000000000000001E-3</v>
      </c>
      <c r="AM801" s="1363">
        <f t="shared" ref="AM801:AM806" si="1160">AL801*$AH801</f>
        <v>59.631599999999999</v>
      </c>
      <c r="AN801" s="1364">
        <v>0</v>
      </c>
      <c r="AO801" s="1365">
        <f t="shared" ref="AO801:AO806" si="1161">AN801*$AH801</f>
        <v>0</v>
      </c>
      <c r="AP801" s="1366">
        <v>0</v>
      </c>
      <c r="AQ801" s="1367">
        <f t="shared" ref="AQ801:AQ806" si="1162">AP801*$AH801</f>
        <v>0</v>
      </c>
      <c r="AR801" s="1368">
        <v>0</v>
      </c>
      <c r="AS801" s="1369">
        <f t="shared" ref="AS801:AS806" si="1163">AR801*$AH801</f>
        <v>0</v>
      </c>
      <c r="AT801" s="1370">
        <v>7.4999999999999997E-2</v>
      </c>
      <c r="AU801" s="1371">
        <f t="shared" ref="AU801:AU806" si="1164">AT801*$AH801</f>
        <v>894.47399999999993</v>
      </c>
      <c r="AV801" s="1359">
        <f t="shared" ref="AV801:AV806" si="1165">AZ801-AR801-AT801-AP801</f>
        <v>0</v>
      </c>
      <c r="AW801" s="1372">
        <f t="shared" ref="AW801:AW806" si="1166">AV801*$AH801</f>
        <v>0</v>
      </c>
      <c r="AX801" s="1373">
        <f t="shared" ref="AX801:AX806" si="1167">$AZ801-$AP801</f>
        <v>7.4999999999999997E-2</v>
      </c>
      <c r="AY801" s="1374">
        <f t="shared" ref="AY801:AY806" si="1168">AX801*$AH801</f>
        <v>894.47399999999993</v>
      </c>
      <c r="AZ801" s="1375">
        <f t="shared" ref="AZ801:AZ806" si="1169">$AI801-$AL801-$AN801</f>
        <v>7.4999999999999997E-2</v>
      </c>
      <c r="BA801" s="1376">
        <f t="shared" ref="BA801:BA806" si="1170">AZ801*$AH801</f>
        <v>894.47399999999993</v>
      </c>
      <c r="BB801" s="1391"/>
      <c r="BC801" s="1819" t="s">
        <v>4142</v>
      </c>
      <c r="BD801" s="1819" t="s">
        <v>4318</v>
      </c>
      <c r="BE801" s="1822" t="s">
        <v>4318</v>
      </c>
      <c r="BF801" s="1834" t="s">
        <v>5286</v>
      </c>
      <c r="BG801" s="1828">
        <v>200016211</v>
      </c>
    </row>
    <row r="802" spans="1:59" s="1378" customFormat="1" ht="38.25">
      <c r="A802" s="1347" t="str">
        <f t="shared" si="1152"/>
        <v>Somatek Technologies</v>
      </c>
      <c r="B802" s="1348" t="str">
        <f t="shared" si="1153"/>
        <v>HUB SD</v>
      </c>
      <c r="C802" s="1348">
        <f t="shared" si="1155"/>
        <v>2</v>
      </c>
      <c r="D802" s="1349">
        <f t="shared" si="1156"/>
        <v>43132</v>
      </c>
      <c r="E802" s="1349"/>
      <c r="F802" s="1347" t="s">
        <v>72</v>
      </c>
      <c r="G802" s="1347" t="s">
        <v>85</v>
      </c>
      <c r="H802" s="1347" t="s">
        <v>72</v>
      </c>
      <c r="I802" s="1347" t="s">
        <v>72</v>
      </c>
      <c r="J802" s="1349" t="s">
        <v>4670</v>
      </c>
      <c r="K802" s="1349" t="s">
        <v>254</v>
      </c>
      <c r="L802" s="1350" t="s">
        <v>4671</v>
      </c>
      <c r="M802" s="1350" t="s">
        <v>3649</v>
      </c>
      <c r="N802" s="1379" t="s">
        <v>5287</v>
      </c>
      <c r="O802" s="1352" t="s">
        <v>5288</v>
      </c>
      <c r="P802" s="1388"/>
      <c r="Q802" s="1354"/>
      <c r="R802" s="1354"/>
      <c r="S802" s="1354"/>
      <c r="T802" s="1354"/>
      <c r="U802" s="1354"/>
      <c r="V802" s="1354"/>
      <c r="W802" s="1354"/>
      <c r="X802" s="1353">
        <f t="shared" si="1157"/>
        <v>43132</v>
      </c>
      <c r="Y802" s="1353">
        <f t="shared" si="1157"/>
        <v>43466</v>
      </c>
      <c r="Z802" s="1355"/>
      <c r="AA802" s="1355" t="s">
        <v>4674</v>
      </c>
      <c r="AB802" s="1356"/>
      <c r="AC802" s="1356"/>
      <c r="AD802" s="1356"/>
      <c r="AE802" s="1356"/>
      <c r="AF802" s="1357" t="str">
        <f t="shared" si="951"/>
        <v/>
      </c>
      <c r="AG802" s="1380"/>
      <c r="AH802" s="1380"/>
      <c r="AI802" s="1381">
        <v>0</v>
      </c>
      <c r="AJ802" s="1382">
        <f t="shared" si="1158"/>
        <v>0</v>
      </c>
      <c r="AK802" s="1383">
        <f>AI802*$AH802</f>
        <v>0</v>
      </c>
      <c r="AL802" s="1384">
        <v>0</v>
      </c>
      <c r="AM802" s="1363">
        <f t="shared" si="1160"/>
        <v>0</v>
      </c>
      <c r="AN802" s="1364">
        <v>0</v>
      </c>
      <c r="AO802" s="1365">
        <f t="shared" si="1161"/>
        <v>0</v>
      </c>
      <c r="AP802" s="1366">
        <v>0</v>
      </c>
      <c r="AQ802" s="1367">
        <f t="shared" si="1162"/>
        <v>0</v>
      </c>
      <c r="AR802" s="1368">
        <v>0</v>
      </c>
      <c r="AS802" s="1369">
        <f t="shared" si="1163"/>
        <v>0</v>
      </c>
      <c r="AT802" s="1370">
        <v>0</v>
      </c>
      <c r="AU802" s="1371">
        <f t="shared" si="1164"/>
        <v>0</v>
      </c>
      <c r="AV802" s="1359">
        <f t="shared" si="1165"/>
        <v>0</v>
      </c>
      <c r="AW802" s="1372">
        <f t="shared" si="1166"/>
        <v>0</v>
      </c>
      <c r="AX802" s="1373">
        <f t="shared" si="1167"/>
        <v>0</v>
      </c>
      <c r="AY802" s="1374">
        <f t="shared" si="1168"/>
        <v>0</v>
      </c>
      <c r="AZ802" s="1375">
        <f t="shared" si="1169"/>
        <v>0</v>
      </c>
      <c r="BA802" s="1376">
        <f t="shared" si="1170"/>
        <v>0</v>
      </c>
      <c r="BB802" s="1391"/>
      <c r="BC802" s="1820"/>
      <c r="BD802" s="1820"/>
      <c r="BE802" s="1823"/>
      <c r="BF802" s="1834"/>
      <c r="BG802" s="1829"/>
    </row>
    <row r="803" spans="1:59" s="1378" customFormat="1" ht="27.75" customHeight="1">
      <c r="A803" s="1347" t="str">
        <f t="shared" si="1152"/>
        <v>Somatek Technologies</v>
      </c>
      <c r="B803" s="1348" t="str">
        <f t="shared" si="1153"/>
        <v>HUB SD</v>
      </c>
      <c r="C803" s="1348">
        <f t="shared" si="1155"/>
        <v>2</v>
      </c>
      <c r="D803" s="1349">
        <f t="shared" si="1156"/>
        <v>43132</v>
      </c>
      <c r="E803" s="1349"/>
      <c r="F803" s="1347" t="s">
        <v>72</v>
      </c>
      <c r="G803" s="1347" t="s">
        <v>85</v>
      </c>
      <c r="H803" s="1347" t="s">
        <v>72</v>
      </c>
      <c r="I803" s="1347" t="s">
        <v>72</v>
      </c>
      <c r="J803" s="1349" t="s">
        <v>4670</v>
      </c>
      <c r="K803" s="1349" t="s">
        <v>254</v>
      </c>
      <c r="L803" s="1350" t="s">
        <v>4696</v>
      </c>
      <c r="M803" s="1350" t="s">
        <v>4697</v>
      </c>
      <c r="N803" s="1389" t="s">
        <v>4698</v>
      </c>
      <c r="O803" s="1352" t="s">
        <v>4699</v>
      </c>
      <c r="P803" s="1388"/>
      <c r="Q803" s="1354"/>
      <c r="R803" s="1354"/>
      <c r="S803" s="1354"/>
      <c r="T803" s="1354"/>
      <c r="U803" s="1354"/>
      <c r="V803" s="1354"/>
      <c r="W803" s="1354"/>
      <c r="X803" s="1353">
        <f t="shared" si="1157"/>
        <v>43132</v>
      </c>
      <c r="Y803" s="1353">
        <f t="shared" si="1157"/>
        <v>43466</v>
      </c>
      <c r="Z803" s="1355"/>
      <c r="AA803" s="1355" t="s">
        <v>4674</v>
      </c>
      <c r="AB803" s="1356"/>
      <c r="AC803" s="1356"/>
      <c r="AD803" s="1356"/>
      <c r="AE803" s="1356"/>
      <c r="AF803" s="1357" t="str">
        <f t="shared" si="951"/>
        <v/>
      </c>
      <c r="AG803" s="1380"/>
      <c r="AH803" s="1380"/>
      <c r="AI803" s="1381">
        <v>0</v>
      </c>
      <c r="AJ803" s="1382">
        <f t="shared" si="1158"/>
        <v>0</v>
      </c>
      <c r="AK803" s="1383">
        <f t="shared" ref="AK803:AK806" si="1171">AI803*$AH803</f>
        <v>0</v>
      </c>
      <c r="AL803" s="1384">
        <v>0</v>
      </c>
      <c r="AM803" s="1363">
        <f t="shared" si="1160"/>
        <v>0</v>
      </c>
      <c r="AN803" s="1364">
        <v>0</v>
      </c>
      <c r="AO803" s="1365">
        <f t="shared" si="1161"/>
        <v>0</v>
      </c>
      <c r="AP803" s="1366">
        <v>0</v>
      </c>
      <c r="AQ803" s="1367">
        <f t="shared" si="1162"/>
        <v>0</v>
      </c>
      <c r="AR803" s="1368">
        <v>0</v>
      </c>
      <c r="AS803" s="1369">
        <f t="shared" si="1163"/>
        <v>0</v>
      </c>
      <c r="AT803" s="1370">
        <v>0</v>
      </c>
      <c r="AU803" s="1371">
        <f t="shared" si="1164"/>
        <v>0</v>
      </c>
      <c r="AV803" s="1359">
        <f t="shared" si="1165"/>
        <v>0</v>
      </c>
      <c r="AW803" s="1372">
        <f t="shared" si="1166"/>
        <v>0</v>
      </c>
      <c r="AX803" s="1373">
        <f t="shared" si="1167"/>
        <v>0</v>
      </c>
      <c r="AY803" s="1374">
        <f t="shared" si="1168"/>
        <v>0</v>
      </c>
      <c r="AZ803" s="1375">
        <f t="shared" si="1169"/>
        <v>0</v>
      </c>
      <c r="BA803" s="1376">
        <f t="shared" si="1170"/>
        <v>0</v>
      </c>
      <c r="BB803" s="1377"/>
      <c r="BC803" s="1820"/>
      <c r="BD803" s="1820"/>
      <c r="BE803" s="1823"/>
      <c r="BF803" s="1834"/>
      <c r="BG803" s="1829"/>
    </row>
    <row r="804" spans="1:59" s="1378" customFormat="1" ht="38.25">
      <c r="A804" s="1347" t="str">
        <f t="shared" si="1152"/>
        <v>Somatek Technologies</v>
      </c>
      <c r="B804" s="1348" t="str">
        <f t="shared" si="1153"/>
        <v>HUB SD</v>
      </c>
      <c r="C804" s="1348">
        <f t="shared" si="1155"/>
        <v>2</v>
      </c>
      <c r="D804" s="1349">
        <f t="shared" si="1156"/>
        <v>43132</v>
      </c>
      <c r="E804" s="1349"/>
      <c r="F804" s="1347" t="s">
        <v>72</v>
      </c>
      <c r="G804" s="1347" t="s">
        <v>85</v>
      </c>
      <c r="H804" s="1347" t="s">
        <v>72</v>
      </c>
      <c r="I804" s="1347" t="s">
        <v>72</v>
      </c>
      <c r="J804" s="1349" t="s">
        <v>4670</v>
      </c>
      <c r="K804" s="1349" t="s">
        <v>254</v>
      </c>
      <c r="L804" s="1350" t="s">
        <v>48</v>
      </c>
      <c r="M804" s="1350" t="s">
        <v>253</v>
      </c>
      <c r="N804" s="1390" t="s">
        <v>4703</v>
      </c>
      <c r="O804" s="1352" t="s">
        <v>4704</v>
      </c>
      <c r="P804" s="1388"/>
      <c r="Q804" s="1354"/>
      <c r="R804" s="1354"/>
      <c r="S804" s="1354"/>
      <c r="T804" s="1354"/>
      <c r="U804" s="1354"/>
      <c r="V804" s="1354"/>
      <c r="W804" s="1354"/>
      <c r="X804" s="1353">
        <f t="shared" si="1157"/>
        <v>43132</v>
      </c>
      <c r="Y804" s="1353">
        <f t="shared" si="1157"/>
        <v>43466</v>
      </c>
      <c r="Z804" s="1355"/>
      <c r="AA804" s="1355" t="s">
        <v>4674</v>
      </c>
      <c r="AB804" s="1356"/>
      <c r="AC804" s="1356"/>
      <c r="AD804" s="1356"/>
      <c r="AE804" s="1356"/>
      <c r="AF804" s="1357" t="str">
        <f t="shared" si="951"/>
        <v/>
      </c>
      <c r="AG804" s="1380"/>
      <c r="AH804" s="1380"/>
      <c r="AI804" s="1381">
        <v>0</v>
      </c>
      <c r="AJ804" s="1382">
        <f t="shared" si="1158"/>
        <v>0</v>
      </c>
      <c r="AK804" s="1383">
        <f t="shared" si="1171"/>
        <v>0</v>
      </c>
      <c r="AL804" s="1384">
        <v>0</v>
      </c>
      <c r="AM804" s="1363">
        <f t="shared" si="1160"/>
        <v>0</v>
      </c>
      <c r="AN804" s="1364">
        <v>0</v>
      </c>
      <c r="AO804" s="1365">
        <f t="shared" si="1161"/>
        <v>0</v>
      </c>
      <c r="AP804" s="1366">
        <v>0</v>
      </c>
      <c r="AQ804" s="1367">
        <f t="shared" si="1162"/>
        <v>0</v>
      </c>
      <c r="AR804" s="1368">
        <v>0</v>
      </c>
      <c r="AS804" s="1369">
        <f t="shared" si="1163"/>
        <v>0</v>
      </c>
      <c r="AT804" s="1370">
        <v>0</v>
      </c>
      <c r="AU804" s="1371">
        <f t="shared" si="1164"/>
        <v>0</v>
      </c>
      <c r="AV804" s="1359">
        <f t="shared" si="1165"/>
        <v>0</v>
      </c>
      <c r="AW804" s="1372">
        <f t="shared" si="1166"/>
        <v>0</v>
      </c>
      <c r="AX804" s="1373">
        <f t="shared" si="1167"/>
        <v>0</v>
      </c>
      <c r="AY804" s="1374">
        <f t="shared" si="1168"/>
        <v>0</v>
      </c>
      <c r="AZ804" s="1375">
        <f t="shared" si="1169"/>
        <v>0</v>
      </c>
      <c r="BA804" s="1376">
        <f t="shared" si="1170"/>
        <v>0</v>
      </c>
      <c r="BB804" s="1391"/>
      <c r="BC804" s="1820"/>
      <c r="BD804" s="1820"/>
      <c r="BE804" s="1823"/>
      <c r="BF804" s="1834"/>
      <c r="BG804" s="1829"/>
    </row>
    <row r="805" spans="1:59" s="1378" customFormat="1" ht="38.25">
      <c r="A805" s="1347" t="str">
        <f t="shared" si="1152"/>
        <v>Somatek Technologies</v>
      </c>
      <c r="B805" s="1348" t="str">
        <f t="shared" si="1153"/>
        <v>HUB SD</v>
      </c>
      <c r="C805" s="1348">
        <f t="shared" si="1155"/>
        <v>2</v>
      </c>
      <c r="D805" s="1349">
        <f t="shared" si="1156"/>
        <v>43132</v>
      </c>
      <c r="E805" s="1349"/>
      <c r="F805" s="1347" t="s">
        <v>72</v>
      </c>
      <c r="G805" s="1347" t="s">
        <v>85</v>
      </c>
      <c r="H805" s="1347" t="s">
        <v>72</v>
      </c>
      <c r="I805" s="1347" t="s">
        <v>72</v>
      </c>
      <c r="J805" s="1349" t="s">
        <v>4670</v>
      </c>
      <c r="K805" s="1349" t="s">
        <v>254</v>
      </c>
      <c r="L805" s="1350" t="s">
        <v>49</v>
      </c>
      <c r="M805" s="1350" t="s">
        <v>4705</v>
      </c>
      <c r="N805" s="1390" t="s">
        <v>4706</v>
      </c>
      <c r="O805" s="1352" t="s">
        <v>4707</v>
      </c>
      <c r="P805" s="1388"/>
      <c r="Q805" s="1354"/>
      <c r="R805" s="1354"/>
      <c r="S805" s="1354"/>
      <c r="T805" s="1354"/>
      <c r="U805" s="1354"/>
      <c r="V805" s="1354"/>
      <c r="W805" s="1354"/>
      <c r="X805" s="1353">
        <f t="shared" si="1157"/>
        <v>43132</v>
      </c>
      <c r="Y805" s="1353">
        <f t="shared" si="1157"/>
        <v>43466</v>
      </c>
      <c r="Z805" s="1355"/>
      <c r="AA805" s="1355" t="s">
        <v>4674</v>
      </c>
      <c r="AB805" s="1356"/>
      <c r="AC805" s="1356"/>
      <c r="AD805" s="1356"/>
      <c r="AE805" s="1356"/>
      <c r="AF805" s="1357" t="str">
        <f t="shared" si="951"/>
        <v/>
      </c>
      <c r="AG805" s="1380"/>
      <c r="AH805" s="1380"/>
      <c r="AI805" s="1381">
        <v>0</v>
      </c>
      <c r="AJ805" s="1382">
        <f t="shared" si="1158"/>
        <v>0</v>
      </c>
      <c r="AK805" s="1383">
        <f t="shared" si="1171"/>
        <v>0</v>
      </c>
      <c r="AL805" s="1384">
        <v>0</v>
      </c>
      <c r="AM805" s="1363">
        <f t="shared" si="1160"/>
        <v>0</v>
      </c>
      <c r="AN805" s="1364">
        <v>0</v>
      </c>
      <c r="AO805" s="1365">
        <f t="shared" si="1161"/>
        <v>0</v>
      </c>
      <c r="AP805" s="1366">
        <v>0</v>
      </c>
      <c r="AQ805" s="1367">
        <f t="shared" si="1162"/>
        <v>0</v>
      </c>
      <c r="AR805" s="1368">
        <v>0</v>
      </c>
      <c r="AS805" s="1369">
        <f t="shared" si="1163"/>
        <v>0</v>
      </c>
      <c r="AT805" s="1370">
        <v>0</v>
      </c>
      <c r="AU805" s="1371">
        <f t="shared" si="1164"/>
        <v>0</v>
      </c>
      <c r="AV805" s="1359">
        <f t="shared" si="1165"/>
        <v>0</v>
      </c>
      <c r="AW805" s="1372">
        <f t="shared" si="1166"/>
        <v>0</v>
      </c>
      <c r="AX805" s="1373">
        <f t="shared" si="1167"/>
        <v>0</v>
      </c>
      <c r="AY805" s="1374">
        <f t="shared" si="1168"/>
        <v>0</v>
      </c>
      <c r="AZ805" s="1375">
        <f t="shared" si="1169"/>
        <v>0</v>
      </c>
      <c r="BA805" s="1376">
        <f t="shared" si="1170"/>
        <v>0</v>
      </c>
      <c r="BB805" s="1391"/>
      <c r="BC805" s="1820"/>
      <c r="BD805" s="1820"/>
      <c r="BE805" s="1823"/>
      <c r="BF805" s="1834"/>
      <c r="BG805" s="1829"/>
    </row>
    <row r="806" spans="1:59" s="1378" customFormat="1" ht="38.25">
      <c r="A806" s="1347" t="str">
        <f t="shared" si="1152"/>
        <v>Somatek Technologies</v>
      </c>
      <c r="B806" s="1348" t="str">
        <f t="shared" si="1153"/>
        <v>HUB SD</v>
      </c>
      <c r="C806" s="1348">
        <f t="shared" si="1155"/>
        <v>2</v>
      </c>
      <c r="D806" s="1349">
        <f t="shared" si="1156"/>
        <v>43132</v>
      </c>
      <c r="E806" s="1349"/>
      <c r="F806" s="1347" t="s">
        <v>72</v>
      </c>
      <c r="G806" s="1347" t="s">
        <v>85</v>
      </c>
      <c r="H806" s="1347" t="s">
        <v>72</v>
      </c>
      <c r="I806" s="1347" t="s">
        <v>72</v>
      </c>
      <c r="J806" s="1349" t="s">
        <v>4670</v>
      </c>
      <c r="K806" s="1349" t="s">
        <v>254</v>
      </c>
      <c r="L806" s="1350" t="s">
        <v>3056</v>
      </c>
      <c r="M806" s="1350" t="s">
        <v>4708</v>
      </c>
      <c r="N806" s="1390" t="s">
        <v>4709</v>
      </c>
      <c r="O806" s="1352" t="s">
        <v>4710</v>
      </c>
      <c r="P806" s="1388"/>
      <c r="Q806" s="1354"/>
      <c r="R806" s="1354"/>
      <c r="S806" s="1354"/>
      <c r="T806" s="1354"/>
      <c r="U806" s="1354"/>
      <c r="V806" s="1354"/>
      <c r="W806" s="1354"/>
      <c r="X806" s="1353">
        <f t="shared" si="1157"/>
        <v>43132</v>
      </c>
      <c r="Y806" s="1353">
        <f t="shared" si="1157"/>
        <v>43466</v>
      </c>
      <c r="Z806" s="1355"/>
      <c r="AA806" s="1355" t="s">
        <v>4674</v>
      </c>
      <c r="AB806" s="1356"/>
      <c r="AC806" s="1356"/>
      <c r="AD806" s="1356"/>
      <c r="AE806" s="1356"/>
      <c r="AF806" s="1357" t="str">
        <f t="shared" si="951"/>
        <v/>
      </c>
      <c r="AG806" s="1380"/>
      <c r="AH806" s="1380"/>
      <c r="AI806" s="1381">
        <v>0</v>
      </c>
      <c r="AJ806" s="1382">
        <f t="shared" si="1158"/>
        <v>0</v>
      </c>
      <c r="AK806" s="1383">
        <f t="shared" si="1171"/>
        <v>0</v>
      </c>
      <c r="AL806" s="1384">
        <v>0</v>
      </c>
      <c r="AM806" s="1363">
        <f t="shared" si="1160"/>
        <v>0</v>
      </c>
      <c r="AN806" s="1364">
        <v>0</v>
      </c>
      <c r="AO806" s="1365">
        <f t="shared" si="1161"/>
        <v>0</v>
      </c>
      <c r="AP806" s="1366">
        <v>0</v>
      </c>
      <c r="AQ806" s="1367">
        <f t="shared" si="1162"/>
        <v>0</v>
      </c>
      <c r="AR806" s="1368">
        <v>0</v>
      </c>
      <c r="AS806" s="1369">
        <f t="shared" si="1163"/>
        <v>0</v>
      </c>
      <c r="AT806" s="1370">
        <v>0</v>
      </c>
      <c r="AU806" s="1371">
        <f t="shared" si="1164"/>
        <v>0</v>
      </c>
      <c r="AV806" s="1359">
        <f t="shared" si="1165"/>
        <v>0</v>
      </c>
      <c r="AW806" s="1372">
        <f t="shared" si="1166"/>
        <v>0</v>
      </c>
      <c r="AX806" s="1373">
        <f t="shared" si="1167"/>
        <v>0</v>
      </c>
      <c r="AY806" s="1374">
        <f t="shared" si="1168"/>
        <v>0</v>
      </c>
      <c r="AZ806" s="1375">
        <f t="shared" si="1169"/>
        <v>0</v>
      </c>
      <c r="BA806" s="1376">
        <f t="shared" si="1170"/>
        <v>0</v>
      </c>
      <c r="BB806" s="1391"/>
      <c r="BC806" s="1821"/>
      <c r="BD806" s="1821"/>
      <c r="BE806" s="1824"/>
      <c r="BF806" s="1834"/>
      <c r="BG806" s="1830"/>
    </row>
    <row r="807" spans="1:59" s="1315" customFormat="1" ht="57" customHeight="1">
      <c r="A807" s="1277" t="str">
        <f t="shared" ref="A807:A821" si="1172">L$807</f>
        <v>Sotera Wireless, Inc.</v>
      </c>
      <c r="B807" s="1316" t="str">
        <f t="shared" ref="B807:B821" si="1173">N$807</f>
        <v>HUB SD</v>
      </c>
      <c r="C807" s="1316">
        <f>Z807</f>
        <v>54</v>
      </c>
      <c r="D807" s="1317">
        <v>43191</v>
      </c>
      <c r="E807" s="1317"/>
      <c r="F807" s="1277" t="s">
        <v>72</v>
      </c>
      <c r="G807" s="1277" t="s">
        <v>72</v>
      </c>
      <c r="H807" s="1277" t="s">
        <v>72</v>
      </c>
      <c r="I807" s="1277" t="s">
        <v>4711</v>
      </c>
      <c r="J807" s="1317"/>
      <c r="K807" s="1317"/>
      <c r="L807" s="1318" t="s">
        <v>4201</v>
      </c>
      <c r="M807" s="1318"/>
      <c r="N807" s="1320" t="s">
        <v>4661</v>
      </c>
      <c r="O807" s="1321" t="s">
        <v>2473</v>
      </c>
      <c r="P807" s="1419"/>
      <c r="Q807" s="1322"/>
      <c r="R807" s="1322"/>
      <c r="S807" s="1322"/>
      <c r="T807" s="1322"/>
      <c r="U807" s="1322"/>
      <c r="V807" s="1322"/>
      <c r="W807" s="1322"/>
      <c r="X807" s="1317">
        <v>43191</v>
      </c>
      <c r="Y807" s="1317">
        <v>43466</v>
      </c>
      <c r="Z807" s="1316">
        <v>54</v>
      </c>
      <c r="AA807" s="1316" t="s">
        <v>5289</v>
      </c>
      <c r="AB807" s="1323">
        <f>SUM(AB808:AB821)</f>
        <v>630398.16</v>
      </c>
      <c r="AC807" s="1323">
        <f>SUM(AC808:AC821)</f>
        <v>0</v>
      </c>
      <c r="AD807" s="1323">
        <f>SUM(AD808:AD821)</f>
        <v>534300.6</v>
      </c>
      <c r="AE807" s="1324">
        <f t="shared" si="1154"/>
        <v>-96097.560000000056</v>
      </c>
      <c r="AF807" s="1325">
        <f t="shared" si="951"/>
        <v>-0.15243946778017253</v>
      </c>
      <c r="AG807" s="1326">
        <f t="shared" ref="AG807:AG862" si="1174">AH807/12</f>
        <v>47349.920000000006</v>
      </c>
      <c r="AH807" s="1326">
        <f>SUM(AH808:AH821)</f>
        <v>568199.04</v>
      </c>
      <c r="AI807" s="1339"/>
      <c r="AJ807" s="1328">
        <f>SUM(AJ808:AJ821)</f>
        <v>4096.9349000000002</v>
      </c>
      <c r="AK807" s="1328">
        <f>SUM(AK808:AK821)</f>
        <v>49163.218800000002</v>
      </c>
      <c r="AL807" s="1329"/>
      <c r="AM807" s="1330">
        <f>SUM(AM808:AM821)</f>
        <v>2337.9018000000001</v>
      </c>
      <c r="AN807" s="1331"/>
      <c r="AO807" s="1332">
        <f>SUM(AO808:AO821)</f>
        <v>0</v>
      </c>
      <c r="AP807" s="1333"/>
      <c r="AQ807" s="1334">
        <f>SUM(AQ808:AQ821)</f>
        <v>0</v>
      </c>
      <c r="AR807" s="1335"/>
      <c r="AS807" s="1336">
        <f>SUM(AS808:AS821)</f>
        <v>27430.677599999999</v>
      </c>
      <c r="AT807" s="1337"/>
      <c r="AU807" s="1338">
        <f>SUM(AU808:AU821)</f>
        <v>11689.509</v>
      </c>
      <c r="AV807" s="1339"/>
      <c r="AW807" s="1340">
        <f>SUM(AW808:AW821)</f>
        <v>7705.1303999999982</v>
      </c>
      <c r="AX807" s="1306"/>
      <c r="AY807" s="1307">
        <f>SUM(AW807+AS807+AU807)</f>
        <v>46825.316999999995</v>
      </c>
      <c r="AZ807" s="1341"/>
      <c r="BA807" s="1309">
        <f>SUM(AY807+AQ807)</f>
        <v>46825.316999999995</v>
      </c>
      <c r="BB807" s="1342">
        <f>(AW807+AU807)/(AK807-AM807)</f>
        <v>0.41419131022647426</v>
      </c>
      <c r="BC807" s="1343"/>
      <c r="BD807" s="1343"/>
      <c r="BE807" s="1344"/>
      <c r="BF807" s="1345" t="s">
        <v>5290</v>
      </c>
      <c r="BG807" s="1346"/>
    </row>
    <row r="808" spans="1:59" s="1378" customFormat="1" ht="76.5">
      <c r="A808" s="1347" t="str">
        <f t="shared" si="1172"/>
        <v>Sotera Wireless, Inc.</v>
      </c>
      <c r="B808" s="1348" t="str">
        <f t="shared" si="1173"/>
        <v>HUB SD</v>
      </c>
      <c r="C808" s="1348">
        <f t="shared" ref="C808:C821" si="1175">Z$807</f>
        <v>54</v>
      </c>
      <c r="D808" s="1349">
        <f t="shared" ref="D808:D821" si="1176">D$807</f>
        <v>43191</v>
      </c>
      <c r="E808" s="1349"/>
      <c r="F808" s="1347" t="s">
        <v>85</v>
      </c>
      <c r="G808" s="1347" t="s">
        <v>85</v>
      </c>
      <c r="H808" s="1347" t="s">
        <v>85</v>
      </c>
      <c r="I808" s="1347" t="s">
        <v>85</v>
      </c>
      <c r="J808" s="1349"/>
      <c r="K808" s="1349" t="s">
        <v>254</v>
      </c>
      <c r="L808" s="1350" t="s">
        <v>2661</v>
      </c>
      <c r="M808" s="1350" t="s">
        <v>3647</v>
      </c>
      <c r="N808" s="1351" t="s">
        <v>5291</v>
      </c>
      <c r="O808" s="1352" t="s">
        <v>5292</v>
      </c>
      <c r="P808" s="1352" t="s">
        <v>5293</v>
      </c>
      <c r="Q808" s="1353" t="s">
        <v>317</v>
      </c>
      <c r="R808" s="1353" t="s">
        <v>3648</v>
      </c>
      <c r="S808" s="1353" t="s">
        <v>307</v>
      </c>
      <c r="T808" s="1353" t="s">
        <v>113</v>
      </c>
      <c r="U808" s="1354"/>
      <c r="V808" s="1354"/>
      <c r="W808" s="1354"/>
      <c r="X808" s="1353">
        <f t="shared" ref="X808:Y821" si="1177">X$807</f>
        <v>43191</v>
      </c>
      <c r="Y808" s="1353">
        <f t="shared" si="1177"/>
        <v>43466</v>
      </c>
      <c r="Z808" s="1355">
        <v>42</v>
      </c>
      <c r="AA808" s="1355" t="s">
        <v>4667</v>
      </c>
      <c r="AB808" s="1422">
        <v>578640</v>
      </c>
      <c r="AC808" s="1356"/>
      <c r="AD808" s="1422">
        <f>AH808</f>
        <v>467580.36</v>
      </c>
      <c r="AE808" s="1422">
        <f t="shared" si="1154"/>
        <v>-111059.64000000001</v>
      </c>
      <c r="AF808" s="1423">
        <f t="shared" si="951"/>
        <v>-0.19193218581501453</v>
      </c>
      <c r="AG808" s="1358">
        <v>38965.03</v>
      </c>
      <c r="AH808" s="1358">
        <f t="shared" ref="AH808" si="1178">AG808*12</f>
        <v>467580.36</v>
      </c>
      <c r="AI808" s="1359">
        <v>0.08</v>
      </c>
      <c r="AJ808" s="1360">
        <f>$AI808*$AG808</f>
        <v>3117.2024000000001</v>
      </c>
      <c r="AK808" s="1361">
        <f t="shared" ref="AK808" si="1179">AI808*$AH808</f>
        <v>37406.428800000002</v>
      </c>
      <c r="AL808" s="1362">
        <v>5.0000000000000001E-3</v>
      </c>
      <c r="AM808" s="1363">
        <f t="shared" ref="AM808:AM821" si="1180">AL808*$AH808</f>
        <v>2337.9018000000001</v>
      </c>
      <c r="AN808" s="1364">
        <v>0</v>
      </c>
      <c r="AO808" s="1365">
        <f t="shared" ref="AO808:AO821" si="1181">AN808*$AH808</f>
        <v>0</v>
      </c>
      <c r="AP808" s="1366">
        <v>0</v>
      </c>
      <c r="AQ808" s="1367">
        <f t="shared" ref="AQ808:AQ821" si="1182">AP808*$AH808</f>
        <v>0</v>
      </c>
      <c r="AR808" s="1368">
        <v>0.04</v>
      </c>
      <c r="AS808" s="1369">
        <f t="shared" ref="AS808:AS821" si="1183">AR808*$AH808</f>
        <v>18703.214400000001</v>
      </c>
      <c r="AT808" s="1370">
        <v>2.5000000000000001E-2</v>
      </c>
      <c r="AU808" s="1371">
        <f t="shared" ref="AU808:AU821" si="1184">AT808*$AH808</f>
        <v>11689.509</v>
      </c>
      <c r="AV808" s="1359">
        <f t="shared" ref="AV808:AV821" si="1185">AZ808-AR808-AT808-AP808</f>
        <v>9.999999999999995E-3</v>
      </c>
      <c r="AW808" s="1372">
        <f t="shared" ref="AW808:AW821" si="1186">AV808*$AH808</f>
        <v>4675.8035999999975</v>
      </c>
      <c r="AX808" s="1373">
        <f t="shared" ref="AX808:AX821" si="1187">$AZ808-$AP808</f>
        <v>7.4999999999999997E-2</v>
      </c>
      <c r="AY808" s="1374">
        <f t="shared" ref="AY808:AY821" si="1188">AX808*$AH808</f>
        <v>35068.526999999995</v>
      </c>
      <c r="AZ808" s="1375">
        <f t="shared" ref="AZ808:AZ821" si="1189">$AI808-$AL808-$AN808</f>
        <v>7.4999999999999997E-2</v>
      </c>
      <c r="BA808" s="1376">
        <f t="shared" ref="BA808:BA821" si="1190">AZ808*$AH808</f>
        <v>35068.526999999995</v>
      </c>
      <c r="BB808" s="1391"/>
      <c r="BC808" s="1819" t="s">
        <v>4200</v>
      </c>
      <c r="BD808" s="1819" t="s">
        <v>4288</v>
      </c>
      <c r="BE808" s="1819" t="s">
        <v>4288</v>
      </c>
      <c r="BF808" s="1834" t="s">
        <v>5294</v>
      </c>
      <c r="BG808" s="1828">
        <v>30424831</v>
      </c>
    </row>
    <row r="809" spans="1:59" s="1378" customFormat="1" ht="38.25">
      <c r="A809" s="1347" t="str">
        <f t="shared" si="1172"/>
        <v>Sotera Wireless, Inc.</v>
      </c>
      <c r="B809" s="1348" t="str">
        <f t="shared" si="1173"/>
        <v>HUB SD</v>
      </c>
      <c r="C809" s="1348">
        <f t="shared" si="1175"/>
        <v>54</v>
      </c>
      <c r="D809" s="1349">
        <f t="shared" si="1176"/>
        <v>43191</v>
      </c>
      <c r="E809" s="1349"/>
      <c r="F809" s="1347" t="s">
        <v>113</v>
      </c>
      <c r="G809" s="1347" t="s">
        <v>113</v>
      </c>
      <c r="H809" s="1347" t="s">
        <v>113</v>
      </c>
      <c r="I809" s="1347" t="s">
        <v>113</v>
      </c>
      <c r="J809" s="1349"/>
      <c r="K809" s="1349" t="s">
        <v>254</v>
      </c>
      <c r="L809" s="1397" t="s">
        <v>4767</v>
      </c>
      <c r="M809" s="1397" t="s">
        <v>3647</v>
      </c>
      <c r="N809" s="1398" t="s">
        <v>5295</v>
      </c>
      <c r="O809" s="1424" t="s">
        <v>3025</v>
      </c>
      <c r="P809" s="1424"/>
      <c r="Q809" s="1400"/>
      <c r="R809" s="1400"/>
      <c r="S809" s="1400"/>
      <c r="T809" s="1400"/>
      <c r="U809" s="1480"/>
      <c r="V809" s="1400"/>
      <c r="W809" s="1400"/>
      <c r="X809" s="1400">
        <f t="shared" si="1177"/>
        <v>43191</v>
      </c>
      <c r="Y809" s="1400">
        <f t="shared" si="1177"/>
        <v>43466</v>
      </c>
      <c r="Z809" s="1401"/>
      <c r="AA809" s="1401" t="s">
        <v>5296</v>
      </c>
      <c r="AB809" s="1369"/>
      <c r="AC809" s="1369"/>
      <c r="AD809" s="1369"/>
      <c r="AE809" s="1369"/>
      <c r="AF809" s="1403" t="str">
        <f t="shared" si="951"/>
        <v/>
      </c>
      <c r="AG809" s="1404"/>
      <c r="AH809" s="1404"/>
      <c r="AI809" s="1504">
        <v>0.06</v>
      </c>
      <c r="AJ809" s="1406">
        <v>0</v>
      </c>
      <c r="AK809" s="1406">
        <v>0</v>
      </c>
      <c r="AL809" s="1384">
        <v>0</v>
      </c>
      <c r="AM809" s="1363">
        <f t="shared" si="1180"/>
        <v>0</v>
      </c>
      <c r="AN809" s="1364">
        <v>0</v>
      </c>
      <c r="AO809" s="1365">
        <f t="shared" si="1181"/>
        <v>0</v>
      </c>
      <c r="AP809" s="1366">
        <v>0</v>
      </c>
      <c r="AQ809" s="1367">
        <f t="shared" si="1182"/>
        <v>0</v>
      </c>
      <c r="AR809" s="1368">
        <v>0.06</v>
      </c>
      <c r="AS809" s="1369">
        <f t="shared" si="1183"/>
        <v>0</v>
      </c>
      <c r="AT809" s="1370">
        <v>0</v>
      </c>
      <c r="AU809" s="1371">
        <f t="shared" si="1184"/>
        <v>0</v>
      </c>
      <c r="AV809" s="1359">
        <f t="shared" si="1185"/>
        <v>0</v>
      </c>
      <c r="AW809" s="1372">
        <f t="shared" si="1186"/>
        <v>0</v>
      </c>
      <c r="AX809" s="1373">
        <f t="shared" si="1187"/>
        <v>0.06</v>
      </c>
      <c r="AY809" s="1374">
        <f t="shared" si="1188"/>
        <v>0</v>
      </c>
      <c r="AZ809" s="1375">
        <f t="shared" si="1189"/>
        <v>0.06</v>
      </c>
      <c r="BA809" s="1376">
        <f t="shared" si="1190"/>
        <v>0</v>
      </c>
      <c r="BB809" s="1377"/>
      <c r="BC809" s="1820"/>
      <c r="BD809" s="1820"/>
      <c r="BE809" s="1820"/>
      <c r="BF809" s="1834"/>
      <c r="BG809" s="1829"/>
    </row>
    <row r="810" spans="1:59" s="1378" customFormat="1" ht="38.25">
      <c r="A810" s="1347" t="str">
        <f t="shared" si="1172"/>
        <v>Sotera Wireless, Inc.</v>
      </c>
      <c r="B810" s="1348" t="str">
        <f t="shared" si="1173"/>
        <v>HUB SD</v>
      </c>
      <c r="C810" s="1348">
        <f t="shared" si="1175"/>
        <v>54</v>
      </c>
      <c r="D810" s="1349">
        <f t="shared" si="1176"/>
        <v>43191</v>
      </c>
      <c r="E810" s="1349"/>
      <c r="F810" s="1347" t="s">
        <v>113</v>
      </c>
      <c r="G810" s="1347" t="s">
        <v>85</v>
      </c>
      <c r="H810" s="1347" t="s">
        <v>85</v>
      </c>
      <c r="I810" s="1347" t="s">
        <v>85</v>
      </c>
      <c r="J810" s="1349"/>
      <c r="K810" s="1349" t="s">
        <v>254</v>
      </c>
      <c r="L810" s="1350" t="s">
        <v>4675</v>
      </c>
      <c r="M810" s="1350" t="s">
        <v>3650</v>
      </c>
      <c r="N810" s="1385" t="s">
        <v>5297</v>
      </c>
      <c r="O810" s="1352" t="s">
        <v>4677</v>
      </c>
      <c r="P810" s="1388"/>
      <c r="Q810" s="1354"/>
      <c r="R810" s="1354"/>
      <c r="S810" s="1354"/>
      <c r="T810" s="1354"/>
      <c r="U810" s="1353" t="s">
        <v>4802</v>
      </c>
      <c r="V810" s="1353" t="s">
        <v>2482</v>
      </c>
      <c r="W810" s="1354"/>
      <c r="X810" s="1353">
        <f t="shared" si="1177"/>
        <v>43191</v>
      </c>
      <c r="Y810" s="1353">
        <f t="shared" si="1177"/>
        <v>43466</v>
      </c>
      <c r="Z810" s="1355">
        <v>51</v>
      </c>
      <c r="AA810" s="1355" t="s">
        <v>4679</v>
      </c>
      <c r="AB810" s="1422">
        <v>43286.16</v>
      </c>
      <c r="AC810" s="1356"/>
      <c r="AD810" s="1422">
        <f>AH810</f>
        <v>57657.240000000005</v>
      </c>
      <c r="AE810" s="1422">
        <f t="shared" si="1154"/>
        <v>14371.080000000002</v>
      </c>
      <c r="AF810" s="1423">
        <f t="shared" si="951"/>
        <v>0.33200172988317744</v>
      </c>
      <c r="AG810" s="1358">
        <v>4804.7700000000004</v>
      </c>
      <c r="AH810" s="1358">
        <f t="shared" ref="AH810:AH816" si="1191">AG810*12</f>
        <v>57657.240000000005</v>
      </c>
      <c r="AI810" s="1359">
        <v>0.1</v>
      </c>
      <c r="AJ810" s="1360">
        <f t="shared" ref="AJ810:AJ821" si="1192">$AI810*$AG810</f>
        <v>480.47700000000009</v>
      </c>
      <c r="AK810" s="1361">
        <f t="shared" ref="AK810:AK821" si="1193">AI810*$AH810</f>
        <v>5765.7240000000011</v>
      </c>
      <c r="AL810" s="1384">
        <v>0</v>
      </c>
      <c r="AM810" s="1363">
        <f t="shared" si="1180"/>
        <v>0</v>
      </c>
      <c r="AN810" s="1364">
        <v>0</v>
      </c>
      <c r="AO810" s="1365">
        <f t="shared" si="1181"/>
        <v>0</v>
      </c>
      <c r="AP810" s="1366">
        <v>0</v>
      </c>
      <c r="AQ810" s="1367">
        <f t="shared" si="1182"/>
        <v>0</v>
      </c>
      <c r="AR810" s="1368">
        <v>0.08</v>
      </c>
      <c r="AS810" s="1369">
        <f t="shared" si="1183"/>
        <v>4612.5792000000001</v>
      </c>
      <c r="AT810" s="1370">
        <v>0</v>
      </c>
      <c r="AU810" s="1371">
        <f t="shared" si="1184"/>
        <v>0</v>
      </c>
      <c r="AV810" s="1359">
        <f t="shared" si="1185"/>
        <v>2.0000000000000004E-2</v>
      </c>
      <c r="AW810" s="1372">
        <f t="shared" si="1186"/>
        <v>1153.1448000000003</v>
      </c>
      <c r="AX810" s="1373">
        <f t="shared" si="1187"/>
        <v>0.1</v>
      </c>
      <c r="AY810" s="1374">
        <f t="shared" si="1188"/>
        <v>5765.7240000000011</v>
      </c>
      <c r="AZ810" s="1375">
        <f t="shared" si="1189"/>
        <v>0.1</v>
      </c>
      <c r="BA810" s="1376">
        <f t="shared" si="1190"/>
        <v>5765.7240000000011</v>
      </c>
      <c r="BB810" s="1391"/>
      <c r="BC810" s="1820"/>
      <c r="BD810" s="1820"/>
      <c r="BE810" s="1820"/>
      <c r="BF810" s="1834"/>
      <c r="BG810" s="1829"/>
    </row>
    <row r="811" spans="1:59" s="1378" customFormat="1" ht="38.25">
      <c r="A811" s="1347" t="str">
        <f t="shared" si="1172"/>
        <v>Sotera Wireless, Inc.</v>
      </c>
      <c r="B811" s="1348" t="str">
        <f t="shared" si="1173"/>
        <v>HUB SD</v>
      </c>
      <c r="C811" s="1348">
        <f t="shared" si="1175"/>
        <v>54</v>
      </c>
      <c r="D811" s="1349">
        <f t="shared" si="1176"/>
        <v>43191</v>
      </c>
      <c r="E811" s="1349"/>
      <c r="F811" s="1347" t="s">
        <v>113</v>
      </c>
      <c r="G811" s="1347" t="s">
        <v>85</v>
      </c>
      <c r="H811" s="1347" t="s">
        <v>85</v>
      </c>
      <c r="I811" s="1347" t="s">
        <v>85</v>
      </c>
      <c r="J811" s="1349"/>
      <c r="K811" s="1349" t="s">
        <v>254</v>
      </c>
      <c r="L811" s="1350" t="s">
        <v>4675</v>
      </c>
      <c r="M811" s="1350" t="s">
        <v>3651</v>
      </c>
      <c r="N811" s="1351" t="s">
        <v>5298</v>
      </c>
      <c r="O811" s="1352" t="s">
        <v>4677</v>
      </c>
      <c r="P811" s="1388"/>
      <c r="Q811" s="1354"/>
      <c r="R811" s="1354"/>
      <c r="S811" s="1354"/>
      <c r="T811" s="1354"/>
      <c r="U811" s="1354"/>
      <c r="V811" s="1354"/>
      <c r="W811" s="1353" t="s">
        <v>2482</v>
      </c>
      <c r="X811" s="1353">
        <f t="shared" si="1177"/>
        <v>43191</v>
      </c>
      <c r="Y811" s="1353">
        <f t="shared" si="1177"/>
        <v>43466</v>
      </c>
      <c r="Z811" s="1355">
        <v>51</v>
      </c>
      <c r="AA811" s="1355" t="s">
        <v>4679</v>
      </c>
      <c r="AB811" s="1422">
        <v>8472</v>
      </c>
      <c r="AC811" s="1356"/>
      <c r="AD811" s="1422">
        <f>AH811</f>
        <v>9063</v>
      </c>
      <c r="AE811" s="1422">
        <f t="shared" si="1154"/>
        <v>591</v>
      </c>
      <c r="AF811" s="1423">
        <f t="shared" si="951"/>
        <v>6.9759206798866852E-2</v>
      </c>
      <c r="AG811" s="1358">
        <v>755.25</v>
      </c>
      <c r="AH811" s="1358">
        <f t="shared" si="1191"/>
        <v>9063</v>
      </c>
      <c r="AI811" s="1359">
        <v>0.1</v>
      </c>
      <c r="AJ811" s="1360">
        <f t="shared" si="1192"/>
        <v>75.525000000000006</v>
      </c>
      <c r="AK811" s="1361">
        <f t="shared" si="1193"/>
        <v>906.30000000000007</v>
      </c>
      <c r="AL811" s="1384">
        <v>0</v>
      </c>
      <c r="AM811" s="1363">
        <f t="shared" si="1180"/>
        <v>0</v>
      </c>
      <c r="AN811" s="1364">
        <v>0</v>
      </c>
      <c r="AO811" s="1365">
        <f t="shared" si="1181"/>
        <v>0</v>
      </c>
      <c r="AP811" s="1366">
        <v>0</v>
      </c>
      <c r="AQ811" s="1367">
        <f t="shared" si="1182"/>
        <v>0</v>
      </c>
      <c r="AR811" s="1368">
        <v>0.08</v>
      </c>
      <c r="AS811" s="1369">
        <f t="shared" si="1183"/>
        <v>725.04</v>
      </c>
      <c r="AT811" s="1370">
        <v>0</v>
      </c>
      <c r="AU811" s="1371">
        <f t="shared" si="1184"/>
        <v>0</v>
      </c>
      <c r="AV811" s="1359">
        <f t="shared" si="1185"/>
        <v>2.0000000000000004E-2</v>
      </c>
      <c r="AW811" s="1372">
        <f t="shared" si="1186"/>
        <v>181.26000000000005</v>
      </c>
      <c r="AX811" s="1373">
        <f t="shared" si="1187"/>
        <v>0.1</v>
      </c>
      <c r="AY811" s="1374">
        <f t="shared" si="1188"/>
        <v>906.30000000000007</v>
      </c>
      <c r="AZ811" s="1375">
        <f t="shared" si="1189"/>
        <v>0.1</v>
      </c>
      <c r="BA811" s="1376">
        <f t="shared" si="1190"/>
        <v>906.30000000000007</v>
      </c>
      <c r="BB811" s="1391"/>
      <c r="BC811" s="1820"/>
      <c r="BD811" s="1820"/>
      <c r="BE811" s="1820"/>
      <c r="BF811" s="1834"/>
      <c r="BG811" s="1829"/>
    </row>
    <row r="812" spans="1:59" s="1378" customFormat="1" ht="38.25">
      <c r="A812" s="1347" t="str">
        <f t="shared" si="1172"/>
        <v>Sotera Wireless, Inc.</v>
      </c>
      <c r="B812" s="1348" t="str">
        <f t="shared" si="1173"/>
        <v>HUB SD</v>
      </c>
      <c r="C812" s="1348">
        <f t="shared" si="1175"/>
        <v>54</v>
      </c>
      <c r="D812" s="1349">
        <f t="shared" si="1176"/>
        <v>43191</v>
      </c>
      <c r="E812" s="1349"/>
      <c r="F812" s="1347" t="s">
        <v>113</v>
      </c>
      <c r="G812" s="1347" t="s">
        <v>85</v>
      </c>
      <c r="H812" s="1347" t="s">
        <v>85</v>
      </c>
      <c r="I812" s="1347" t="s">
        <v>113</v>
      </c>
      <c r="J812" s="1349"/>
      <c r="K812" s="1349" t="s">
        <v>254</v>
      </c>
      <c r="L812" s="1350" t="s">
        <v>4682</v>
      </c>
      <c r="M812" s="1350" t="s">
        <v>4683</v>
      </c>
      <c r="N812" s="1386" t="s">
        <v>1249</v>
      </c>
      <c r="O812" s="1352" t="s">
        <v>4684</v>
      </c>
      <c r="P812" s="1421"/>
      <c r="Q812" s="1354"/>
      <c r="R812" s="1354"/>
      <c r="S812" s="1354"/>
      <c r="T812" s="1354"/>
      <c r="U812" s="1354"/>
      <c r="V812" s="1354"/>
      <c r="W812" s="1354"/>
      <c r="X812" s="1353">
        <f t="shared" si="1177"/>
        <v>43191</v>
      </c>
      <c r="Y812" s="1353">
        <f t="shared" si="1177"/>
        <v>43466</v>
      </c>
      <c r="Z812" s="1355">
        <v>53</v>
      </c>
      <c r="AA812" s="1355" t="s">
        <v>4685</v>
      </c>
      <c r="AB812" s="1356"/>
      <c r="AC812" s="1356"/>
      <c r="AD812" s="1356"/>
      <c r="AE812" s="1356"/>
      <c r="AF812" s="1357"/>
      <c r="AG812" s="1358">
        <v>664.05</v>
      </c>
      <c r="AH812" s="1358">
        <f t="shared" si="1191"/>
        <v>7968.5999999999995</v>
      </c>
      <c r="AI812" s="1359">
        <v>0.15</v>
      </c>
      <c r="AJ812" s="1360">
        <f t="shared" si="1192"/>
        <v>99.607499999999987</v>
      </c>
      <c r="AK812" s="1361">
        <f t="shared" si="1193"/>
        <v>1195.29</v>
      </c>
      <c r="AL812" s="1384">
        <v>0</v>
      </c>
      <c r="AM812" s="1363">
        <f t="shared" si="1180"/>
        <v>0</v>
      </c>
      <c r="AN812" s="1364">
        <v>0</v>
      </c>
      <c r="AO812" s="1365">
        <f t="shared" si="1181"/>
        <v>0</v>
      </c>
      <c r="AP812" s="1366">
        <v>0</v>
      </c>
      <c r="AQ812" s="1367">
        <f t="shared" si="1182"/>
        <v>0</v>
      </c>
      <c r="AR812" s="1368">
        <v>0.1</v>
      </c>
      <c r="AS812" s="1369">
        <f t="shared" si="1183"/>
        <v>796.86</v>
      </c>
      <c r="AT812" s="1370">
        <v>0</v>
      </c>
      <c r="AU812" s="1371">
        <f t="shared" si="1184"/>
        <v>0</v>
      </c>
      <c r="AV812" s="1359">
        <f t="shared" si="1185"/>
        <v>4.9999999999999989E-2</v>
      </c>
      <c r="AW812" s="1372">
        <f t="shared" si="1186"/>
        <v>398.42999999999989</v>
      </c>
      <c r="AX812" s="1373">
        <f t="shared" si="1187"/>
        <v>0.15</v>
      </c>
      <c r="AY812" s="1374">
        <f t="shared" si="1188"/>
        <v>1195.29</v>
      </c>
      <c r="AZ812" s="1375">
        <f t="shared" si="1189"/>
        <v>0.15</v>
      </c>
      <c r="BA812" s="1376">
        <f t="shared" si="1190"/>
        <v>1195.29</v>
      </c>
      <c r="BB812" s="1391"/>
      <c r="BC812" s="1820"/>
      <c r="BD812" s="1820"/>
      <c r="BE812" s="1820"/>
      <c r="BF812" s="1834"/>
      <c r="BG812" s="1829"/>
    </row>
    <row r="813" spans="1:59" s="1378" customFormat="1" ht="38.25">
      <c r="A813" s="1347" t="str">
        <f t="shared" si="1172"/>
        <v>Sotera Wireless, Inc.</v>
      </c>
      <c r="B813" s="1348" t="str">
        <f t="shared" si="1173"/>
        <v>HUB SD</v>
      </c>
      <c r="C813" s="1348">
        <f t="shared" si="1175"/>
        <v>54</v>
      </c>
      <c r="D813" s="1349">
        <f t="shared" si="1176"/>
        <v>43191</v>
      </c>
      <c r="E813" s="1349"/>
      <c r="F813" s="1347" t="s">
        <v>113</v>
      </c>
      <c r="G813" s="1347" t="s">
        <v>85</v>
      </c>
      <c r="H813" s="1347" t="s">
        <v>85</v>
      </c>
      <c r="I813" s="1347" t="s">
        <v>113</v>
      </c>
      <c r="J813" s="1349"/>
      <c r="K813" s="1349" t="s">
        <v>254</v>
      </c>
      <c r="L813" s="1350" t="s">
        <v>4682</v>
      </c>
      <c r="M813" s="1350" t="s">
        <v>4686</v>
      </c>
      <c r="N813" s="1386" t="s">
        <v>60</v>
      </c>
      <c r="O813" s="1352" t="s">
        <v>4687</v>
      </c>
      <c r="P813" s="1421"/>
      <c r="Q813" s="1354"/>
      <c r="R813" s="1354"/>
      <c r="S813" s="1354"/>
      <c r="T813" s="1354"/>
      <c r="U813" s="1354"/>
      <c r="V813" s="1354"/>
      <c r="W813" s="1354"/>
      <c r="X813" s="1353">
        <f t="shared" si="1177"/>
        <v>43191</v>
      </c>
      <c r="Y813" s="1353">
        <f t="shared" si="1177"/>
        <v>43466</v>
      </c>
      <c r="Z813" s="1355">
        <v>21</v>
      </c>
      <c r="AA813" s="1355" t="s">
        <v>4685</v>
      </c>
      <c r="AB813" s="1356"/>
      <c r="AC813" s="1356"/>
      <c r="AD813" s="1356"/>
      <c r="AE813" s="1356"/>
      <c r="AF813" s="1357"/>
      <c r="AG813" s="1358">
        <v>361.68</v>
      </c>
      <c r="AH813" s="1358">
        <f t="shared" si="1191"/>
        <v>4340.16</v>
      </c>
      <c r="AI813" s="1359">
        <v>0.15</v>
      </c>
      <c r="AJ813" s="1360">
        <f t="shared" si="1192"/>
        <v>54.252000000000002</v>
      </c>
      <c r="AK813" s="1361">
        <f t="shared" si="1193"/>
        <v>651.024</v>
      </c>
      <c r="AL813" s="1384">
        <v>0</v>
      </c>
      <c r="AM813" s="1363">
        <f t="shared" si="1180"/>
        <v>0</v>
      </c>
      <c r="AN813" s="1364">
        <v>0</v>
      </c>
      <c r="AO813" s="1365">
        <f t="shared" si="1181"/>
        <v>0</v>
      </c>
      <c r="AP813" s="1366">
        <v>0</v>
      </c>
      <c r="AQ813" s="1367">
        <f t="shared" si="1182"/>
        <v>0</v>
      </c>
      <c r="AR813" s="1368">
        <v>0.1</v>
      </c>
      <c r="AS813" s="1369">
        <f t="shared" si="1183"/>
        <v>434.01600000000002</v>
      </c>
      <c r="AT813" s="1370">
        <v>0</v>
      </c>
      <c r="AU813" s="1371">
        <f t="shared" si="1184"/>
        <v>0</v>
      </c>
      <c r="AV813" s="1359">
        <f t="shared" si="1185"/>
        <v>4.9999999999999989E-2</v>
      </c>
      <c r="AW813" s="1372">
        <f t="shared" si="1186"/>
        <v>217.00799999999995</v>
      </c>
      <c r="AX813" s="1373">
        <f t="shared" si="1187"/>
        <v>0.15</v>
      </c>
      <c r="AY813" s="1374">
        <f t="shared" si="1188"/>
        <v>651.024</v>
      </c>
      <c r="AZ813" s="1375">
        <f t="shared" si="1189"/>
        <v>0.15</v>
      </c>
      <c r="BA813" s="1376">
        <f t="shared" si="1190"/>
        <v>651.024</v>
      </c>
      <c r="BB813" s="1391"/>
      <c r="BC813" s="1820"/>
      <c r="BD813" s="1820"/>
      <c r="BE813" s="1820"/>
      <c r="BF813" s="1834"/>
      <c r="BG813" s="1829"/>
    </row>
    <row r="814" spans="1:59" s="1378" customFormat="1" ht="38.25">
      <c r="A814" s="1347" t="str">
        <f t="shared" si="1172"/>
        <v>Sotera Wireless, Inc.</v>
      </c>
      <c r="B814" s="1348" t="str">
        <f t="shared" si="1173"/>
        <v>HUB SD</v>
      </c>
      <c r="C814" s="1348">
        <f t="shared" si="1175"/>
        <v>54</v>
      </c>
      <c r="D814" s="1349">
        <f t="shared" si="1176"/>
        <v>43191</v>
      </c>
      <c r="E814" s="1349"/>
      <c r="F814" s="1347" t="s">
        <v>113</v>
      </c>
      <c r="G814" s="1347" t="s">
        <v>85</v>
      </c>
      <c r="H814" s="1347" t="s">
        <v>85</v>
      </c>
      <c r="I814" s="1347" t="s">
        <v>113</v>
      </c>
      <c r="J814" s="1349"/>
      <c r="K814" s="1349" t="s">
        <v>254</v>
      </c>
      <c r="L814" s="1350" t="s">
        <v>4682</v>
      </c>
      <c r="M814" s="1350" t="s">
        <v>62</v>
      </c>
      <c r="N814" s="1351" t="s">
        <v>101</v>
      </c>
      <c r="O814" s="1352" t="s">
        <v>4688</v>
      </c>
      <c r="P814" s="1388"/>
      <c r="Q814" s="1354"/>
      <c r="R814" s="1354"/>
      <c r="S814" s="1354"/>
      <c r="T814" s="1354"/>
      <c r="U814" s="1354"/>
      <c r="V814" s="1354"/>
      <c r="W814" s="1354"/>
      <c r="X814" s="1353">
        <f t="shared" si="1177"/>
        <v>43191</v>
      </c>
      <c r="Y814" s="1353">
        <f t="shared" si="1177"/>
        <v>43466</v>
      </c>
      <c r="Z814" s="1355">
        <v>53</v>
      </c>
      <c r="AA814" s="1355" t="s">
        <v>4685</v>
      </c>
      <c r="AB814" s="1356"/>
      <c r="AC814" s="1356"/>
      <c r="AD814" s="1356"/>
      <c r="AE814" s="1356"/>
      <c r="AF814" s="1357"/>
      <c r="AG814" s="1358">
        <v>641.16999999999996</v>
      </c>
      <c r="AH814" s="1358">
        <f t="shared" si="1191"/>
        <v>7694.0399999999991</v>
      </c>
      <c r="AI814" s="1359">
        <v>0.15</v>
      </c>
      <c r="AJ814" s="1360">
        <f t="shared" si="1192"/>
        <v>96.175499999999985</v>
      </c>
      <c r="AK814" s="1361">
        <f t="shared" si="1193"/>
        <v>1154.1059999999998</v>
      </c>
      <c r="AL814" s="1384">
        <v>0</v>
      </c>
      <c r="AM814" s="1363">
        <f t="shared" si="1180"/>
        <v>0</v>
      </c>
      <c r="AN814" s="1364">
        <v>0</v>
      </c>
      <c r="AO814" s="1365">
        <f t="shared" si="1181"/>
        <v>0</v>
      </c>
      <c r="AP814" s="1366">
        <v>0</v>
      </c>
      <c r="AQ814" s="1367">
        <f t="shared" si="1182"/>
        <v>0</v>
      </c>
      <c r="AR814" s="1368">
        <v>0.1</v>
      </c>
      <c r="AS814" s="1369">
        <f t="shared" si="1183"/>
        <v>769.404</v>
      </c>
      <c r="AT814" s="1370">
        <v>0</v>
      </c>
      <c r="AU814" s="1371">
        <f t="shared" si="1184"/>
        <v>0</v>
      </c>
      <c r="AV814" s="1359">
        <f t="shared" si="1185"/>
        <v>4.9999999999999989E-2</v>
      </c>
      <c r="AW814" s="1372">
        <f t="shared" si="1186"/>
        <v>384.70199999999988</v>
      </c>
      <c r="AX814" s="1373">
        <f t="shared" si="1187"/>
        <v>0.15</v>
      </c>
      <c r="AY814" s="1374">
        <f t="shared" si="1188"/>
        <v>1154.1059999999998</v>
      </c>
      <c r="AZ814" s="1375">
        <f t="shared" si="1189"/>
        <v>0.15</v>
      </c>
      <c r="BA814" s="1376">
        <f t="shared" si="1190"/>
        <v>1154.1059999999998</v>
      </c>
      <c r="BB814" s="1391"/>
      <c r="BC814" s="1820"/>
      <c r="BD814" s="1820"/>
      <c r="BE814" s="1820"/>
      <c r="BF814" s="1834"/>
      <c r="BG814" s="1829"/>
    </row>
    <row r="815" spans="1:59" s="1378" customFormat="1" ht="38.25">
      <c r="A815" s="1347" t="str">
        <f t="shared" si="1172"/>
        <v>Sotera Wireless, Inc.</v>
      </c>
      <c r="B815" s="1348" t="str">
        <f t="shared" si="1173"/>
        <v>HUB SD</v>
      </c>
      <c r="C815" s="1348">
        <f t="shared" si="1175"/>
        <v>54</v>
      </c>
      <c r="D815" s="1349">
        <f t="shared" si="1176"/>
        <v>43191</v>
      </c>
      <c r="E815" s="1349"/>
      <c r="F815" s="1347" t="s">
        <v>113</v>
      </c>
      <c r="G815" s="1347" t="s">
        <v>85</v>
      </c>
      <c r="H815" s="1347" t="s">
        <v>85</v>
      </c>
      <c r="I815" s="1347" t="s">
        <v>113</v>
      </c>
      <c r="J815" s="1349"/>
      <c r="K815" s="1349" t="s">
        <v>254</v>
      </c>
      <c r="L815" s="1350" t="s">
        <v>4682</v>
      </c>
      <c r="M815" s="1350" t="s">
        <v>5243</v>
      </c>
      <c r="N815" s="1351" t="s">
        <v>3660</v>
      </c>
      <c r="O815" s="1352" t="s">
        <v>5299</v>
      </c>
      <c r="P815" s="1388"/>
      <c r="Q815" s="1354"/>
      <c r="R815" s="1354"/>
      <c r="S815" s="1354"/>
      <c r="T815" s="1354"/>
      <c r="U815" s="1354"/>
      <c r="V815" s="1354"/>
      <c r="W815" s="1354"/>
      <c r="X815" s="1353">
        <f t="shared" si="1177"/>
        <v>43191</v>
      </c>
      <c r="Y815" s="1353">
        <f t="shared" si="1177"/>
        <v>43466</v>
      </c>
      <c r="Z815" s="1355"/>
      <c r="AA815" s="1355" t="s">
        <v>4685</v>
      </c>
      <c r="AB815" s="1356"/>
      <c r="AC815" s="1356"/>
      <c r="AD815" s="1356"/>
      <c r="AE815" s="1356"/>
      <c r="AF815" s="1357"/>
      <c r="AG815" s="1358">
        <v>0</v>
      </c>
      <c r="AH815" s="1426">
        <f t="shared" si="1191"/>
        <v>0</v>
      </c>
      <c r="AI815" s="1359">
        <v>0.15</v>
      </c>
      <c r="AJ815" s="1360">
        <f t="shared" si="1192"/>
        <v>0</v>
      </c>
      <c r="AK815" s="1361">
        <f t="shared" si="1193"/>
        <v>0</v>
      </c>
      <c r="AL815" s="1384">
        <v>0</v>
      </c>
      <c r="AM815" s="1363">
        <f t="shared" si="1180"/>
        <v>0</v>
      </c>
      <c r="AN815" s="1364">
        <v>0</v>
      </c>
      <c r="AO815" s="1365">
        <f t="shared" si="1181"/>
        <v>0</v>
      </c>
      <c r="AP815" s="1366">
        <v>0</v>
      </c>
      <c r="AQ815" s="1367">
        <f t="shared" si="1182"/>
        <v>0</v>
      </c>
      <c r="AR815" s="1368">
        <v>0.1</v>
      </c>
      <c r="AS815" s="1369">
        <f t="shared" si="1183"/>
        <v>0</v>
      </c>
      <c r="AT815" s="1370">
        <v>0</v>
      </c>
      <c r="AU815" s="1371">
        <f t="shared" si="1184"/>
        <v>0</v>
      </c>
      <c r="AV815" s="1359">
        <f t="shared" si="1185"/>
        <v>4.9999999999999989E-2</v>
      </c>
      <c r="AW815" s="1372">
        <f t="shared" si="1186"/>
        <v>0</v>
      </c>
      <c r="AX815" s="1373">
        <f t="shared" si="1187"/>
        <v>0.15</v>
      </c>
      <c r="AY815" s="1374">
        <f t="shared" si="1188"/>
        <v>0</v>
      </c>
      <c r="AZ815" s="1375">
        <f t="shared" si="1189"/>
        <v>0.15</v>
      </c>
      <c r="BA815" s="1376">
        <f t="shared" si="1190"/>
        <v>0</v>
      </c>
      <c r="BB815" s="1391"/>
      <c r="BC815" s="1820"/>
      <c r="BD815" s="1820"/>
      <c r="BE815" s="1820"/>
      <c r="BF815" s="1834"/>
      <c r="BG815" s="1829"/>
    </row>
    <row r="816" spans="1:59" s="1378" customFormat="1" ht="38.25">
      <c r="A816" s="1347" t="str">
        <f t="shared" si="1172"/>
        <v>Sotera Wireless, Inc.</v>
      </c>
      <c r="B816" s="1348" t="str">
        <f t="shared" si="1173"/>
        <v>HUB SD</v>
      </c>
      <c r="C816" s="1348">
        <f t="shared" si="1175"/>
        <v>54</v>
      </c>
      <c r="D816" s="1349">
        <f t="shared" si="1176"/>
        <v>43191</v>
      </c>
      <c r="E816" s="1349"/>
      <c r="F816" s="1347" t="s">
        <v>113</v>
      </c>
      <c r="G816" s="1347" t="s">
        <v>85</v>
      </c>
      <c r="H816" s="1347" t="s">
        <v>85</v>
      </c>
      <c r="I816" s="1347" t="s">
        <v>113</v>
      </c>
      <c r="J816" s="1349"/>
      <c r="K816" s="1349" t="s">
        <v>254</v>
      </c>
      <c r="L816" s="1350" t="s">
        <v>4682</v>
      </c>
      <c r="M816" s="1350" t="s">
        <v>67</v>
      </c>
      <c r="N816" s="1351" t="s">
        <v>82</v>
      </c>
      <c r="O816" s="1352" t="s">
        <v>4689</v>
      </c>
      <c r="P816" s="1388"/>
      <c r="Q816" s="1354"/>
      <c r="R816" s="1354"/>
      <c r="S816" s="1354"/>
      <c r="T816" s="1354"/>
      <c r="U816" s="1354"/>
      <c r="V816" s="1354"/>
      <c r="W816" s="1354"/>
      <c r="X816" s="1353">
        <f t="shared" si="1177"/>
        <v>43191</v>
      </c>
      <c r="Y816" s="1353">
        <f t="shared" si="1177"/>
        <v>43466</v>
      </c>
      <c r="Z816" s="1355">
        <v>53</v>
      </c>
      <c r="AA816" s="1355" t="s">
        <v>4685</v>
      </c>
      <c r="AB816" s="1356"/>
      <c r="AC816" s="1356"/>
      <c r="AD816" s="1356"/>
      <c r="AE816" s="1356"/>
      <c r="AF816" s="1357"/>
      <c r="AG816" s="1358">
        <v>1157.97</v>
      </c>
      <c r="AH816" s="1358">
        <f t="shared" si="1191"/>
        <v>13895.64</v>
      </c>
      <c r="AI816" s="1359">
        <v>0.15</v>
      </c>
      <c r="AJ816" s="1360">
        <f t="shared" si="1192"/>
        <v>173.69550000000001</v>
      </c>
      <c r="AK816" s="1361">
        <f t="shared" si="1193"/>
        <v>2084.346</v>
      </c>
      <c r="AL816" s="1384">
        <v>0</v>
      </c>
      <c r="AM816" s="1363">
        <f t="shared" si="1180"/>
        <v>0</v>
      </c>
      <c r="AN816" s="1364">
        <v>0</v>
      </c>
      <c r="AO816" s="1365">
        <f t="shared" si="1181"/>
        <v>0</v>
      </c>
      <c r="AP816" s="1366">
        <v>0</v>
      </c>
      <c r="AQ816" s="1367">
        <f t="shared" si="1182"/>
        <v>0</v>
      </c>
      <c r="AR816" s="1368">
        <v>0.1</v>
      </c>
      <c r="AS816" s="1369">
        <f t="shared" si="1183"/>
        <v>1389.5640000000001</v>
      </c>
      <c r="AT816" s="1370">
        <v>0</v>
      </c>
      <c r="AU816" s="1371">
        <f t="shared" si="1184"/>
        <v>0</v>
      </c>
      <c r="AV816" s="1359">
        <f t="shared" si="1185"/>
        <v>4.9999999999999989E-2</v>
      </c>
      <c r="AW816" s="1372">
        <f t="shared" si="1186"/>
        <v>694.78199999999981</v>
      </c>
      <c r="AX816" s="1373">
        <f t="shared" si="1187"/>
        <v>0.15</v>
      </c>
      <c r="AY816" s="1374">
        <f t="shared" si="1188"/>
        <v>2084.346</v>
      </c>
      <c r="AZ816" s="1375">
        <f t="shared" si="1189"/>
        <v>0.15</v>
      </c>
      <c r="BA816" s="1376">
        <f t="shared" si="1190"/>
        <v>2084.346</v>
      </c>
      <c r="BB816" s="1391"/>
      <c r="BC816" s="1820"/>
      <c r="BD816" s="1820"/>
      <c r="BE816" s="1820"/>
      <c r="BF816" s="1834"/>
      <c r="BG816" s="1829"/>
    </row>
    <row r="817" spans="1:59" s="1378" customFormat="1" ht="27.75" customHeight="1">
      <c r="A817" s="1347" t="str">
        <f t="shared" si="1172"/>
        <v>Sotera Wireless, Inc.</v>
      </c>
      <c r="B817" s="1348" t="str">
        <f t="shared" si="1173"/>
        <v>HUB SD</v>
      </c>
      <c r="C817" s="1348">
        <f t="shared" si="1175"/>
        <v>54</v>
      </c>
      <c r="D817" s="1349">
        <f t="shared" si="1176"/>
        <v>43191</v>
      </c>
      <c r="E817" s="1349"/>
      <c r="F817" s="1347" t="s">
        <v>72</v>
      </c>
      <c r="G817" s="1347" t="s">
        <v>85</v>
      </c>
      <c r="H817" s="1347" t="s">
        <v>72</v>
      </c>
      <c r="I817" s="1347" t="s">
        <v>72</v>
      </c>
      <c r="J817" s="1349" t="s">
        <v>4670</v>
      </c>
      <c r="K817" s="1349" t="s">
        <v>254</v>
      </c>
      <c r="L817" s="1350" t="s">
        <v>4696</v>
      </c>
      <c r="M817" s="1350" t="s">
        <v>4697</v>
      </c>
      <c r="N817" s="1389" t="s">
        <v>4698</v>
      </c>
      <c r="O817" s="1352" t="s">
        <v>4699</v>
      </c>
      <c r="P817" s="1388"/>
      <c r="Q817" s="1354"/>
      <c r="R817" s="1354"/>
      <c r="S817" s="1354"/>
      <c r="T817" s="1354"/>
      <c r="U817" s="1354"/>
      <c r="V817" s="1354"/>
      <c r="W817" s="1354"/>
      <c r="X817" s="1353">
        <f t="shared" si="1177"/>
        <v>43191</v>
      </c>
      <c r="Y817" s="1353">
        <f t="shared" si="1177"/>
        <v>43466</v>
      </c>
      <c r="Z817" s="1355"/>
      <c r="AA817" s="1355" t="s">
        <v>4674</v>
      </c>
      <c r="AB817" s="1356"/>
      <c r="AC817" s="1356"/>
      <c r="AD817" s="1356"/>
      <c r="AE817" s="1356"/>
      <c r="AF817" s="1357" t="str">
        <f t="shared" si="951"/>
        <v/>
      </c>
      <c r="AG817" s="1380"/>
      <c r="AH817" s="1380"/>
      <c r="AI817" s="1381">
        <v>0</v>
      </c>
      <c r="AJ817" s="1382">
        <f t="shared" si="1192"/>
        <v>0</v>
      </c>
      <c r="AK817" s="1383">
        <f t="shared" si="1193"/>
        <v>0</v>
      </c>
      <c r="AL817" s="1384">
        <v>0</v>
      </c>
      <c r="AM817" s="1363">
        <f t="shared" si="1180"/>
        <v>0</v>
      </c>
      <c r="AN817" s="1364">
        <v>0</v>
      </c>
      <c r="AO817" s="1365">
        <f t="shared" si="1181"/>
        <v>0</v>
      </c>
      <c r="AP817" s="1366">
        <v>0</v>
      </c>
      <c r="AQ817" s="1367">
        <f t="shared" si="1182"/>
        <v>0</v>
      </c>
      <c r="AR817" s="1368">
        <v>0</v>
      </c>
      <c r="AS817" s="1369">
        <f t="shared" si="1183"/>
        <v>0</v>
      </c>
      <c r="AT817" s="1370">
        <v>0</v>
      </c>
      <c r="AU817" s="1371">
        <f t="shared" si="1184"/>
        <v>0</v>
      </c>
      <c r="AV817" s="1359">
        <f t="shared" si="1185"/>
        <v>0</v>
      </c>
      <c r="AW817" s="1372">
        <f t="shared" si="1186"/>
        <v>0</v>
      </c>
      <c r="AX817" s="1373">
        <f t="shared" si="1187"/>
        <v>0</v>
      </c>
      <c r="AY817" s="1374">
        <f t="shared" si="1188"/>
        <v>0</v>
      </c>
      <c r="AZ817" s="1375">
        <f t="shared" si="1189"/>
        <v>0</v>
      </c>
      <c r="BA817" s="1376">
        <f t="shared" si="1190"/>
        <v>0</v>
      </c>
      <c r="BB817" s="1377"/>
      <c r="BC817" s="1820"/>
      <c r="BD817" s="1820"/>
      <c r="BE817" s="1820"/>
      <c r="BF817" s="1834"/>
      <c r="BG817" s="1829"/>
    </row>
    <row r="818" spans="1:59" s="1378" customFormat="1" ht="38.25">
      <c r="A818" s="1347" t="str">
        <f t="shared" si="1172"/>
        <v>Sotera Wireless, Inc.</v>
      </c>
      <c r="B818" s="1348" t="str">
        <f t="shared" si="1173"/>
        <v>HUB SD</v>
      </c>
      <c r="C818" s="1348">
        <f t="shared" si="1175"/>
        <v>54</v>
      </c>
      <c r="D818" s="1349">
        <f t="shared" si="1176"/>
        <v>43191</v>
      </c>
      <c r="E818" s="1349"/>
      <c r="F818" s="1347" t="s">
        <v>72</v>
      </c>
      <c r="G818" s="1347" t="s">
        <v>85</v>
      </c>
      <c r="H818" s="1347" t="s">
        <v>72</v>
      </c>
      <c r="I818" s="1347" t="s">
        <v>72</v>
      </c>
      <c r="J818" s="1349" t="s">
        <v>4670</v>
      </c>
      <c r="K818" s="1349" t="s">
        <v>254</v>
      </c>
      <c r="L818" s="1350" t="s">
        <v>48</v>
      </c>
      <c r="M818" s="1350" t="s">
        <v>3652</v>
      </c>
      <c r="N818" s="1390" t="s">
        <v>5300</v>
      </c>
      <c r="O818" s="1352" t="s">
        <v>4702</v>
      </c>
      <c r="P818" s="1388"/>
      <c r="Q818" s="1354"/>
      <c r="R818" s="1354"/>
      <c r="S818" s="1354"/>
      <c r="T818" s="1354"/>
      <c r="U818" s="1354"/>
      <c r="V818" s="1354"/>
      <c r="W818" s="1354"/>
      <c r="X818" s="1353">
        <f t="shared" si="1177"/>
        <v>43191</v>
      </c>
      <c r="Y818" s="1353">
        <f t="shared" si="1177"/>
        <v>43466</v>
      </c>
      <c r="Z818" s="1355"/>
      <c r="AA818" s="1355" t="s">
        <v>4674</v>
      </c>
      <c r="AB818" s="1356"/>
      <c r="AC818" s="1356"/>
      <c r="AD818" s="1356"/>
      <c r="AE818" s="1356"/>
      <c r="AF818" s="1357" t="str">
        <f t="shared" si="951"/>
        <v/>
      </c>
      <c r="AG818" s="1380"/>
      <c r="AH818" s="1380"/>
      <c r="AI818" s="1381">
        <v>0</v>
      </c>
      <c r="AJ818" s="1382">
        <f t="shared" si="1192"/>
        <v>0</v>
      </c>
      <c r="AK818" s="1383">
        <f t="shared" si="1193"/>
        <v>0</v>
      </c>
      <c r="AL818" s="1384">
        <v>0</v>
      </c>
      <c r="AM818" s="1363">
        <f t="shared" si="1180"/>
        <v>0</v>
      </c>
      <c r="AN818" s="1364">
        <v>0</v>
      </c>
      <c r="AO818" s="1365">
        <f t="shared" si="1181"/>
        <v>0</v>
      </c>
      <c r="AP818" s="1366">
        <v>0</v>
      </c>
      <c r="AQ818" s="1367">
        <f t="shared" si="1182"/>
        <v>0</v>
      </c>
      <c r="AR818" s="1368">
        <v>0</v>
      </c>
      <c r="AS818" s="1369">
        <f t="shared" si="1183"/>
        <v>0</v>
      </c>
      <c r="AT818" s="1370">
        <v>0</v>
      </c>
      <c r="AU818" s="1371">
        <f t="shared" si="1184"/>
        <v>0</v>
      </c>
      <c r="AV818" s="1359">
        <f t="shared" si="1185"/>
        <v>0</v>
      </c>
      <c r="AW818" s="1372">
        <f t="shared" si="1186"/>
        <v>0</v>
      </c>
      <c r="AX818" s="1373">
        <f t="shared" si="1187"/>
        <v>0</v>
      </c>
      <c r="AY818" s="1374">
        <f t="shared" si="1188"/>
        <v>0</v>
      </c>
      <c r="AZ818" s="1375">
        <f t="shared" si="1189"/>
        <v>0</v>
      </c>
      <c r="BA818" s="1376">
        <f t="shared" si="1190"/>
        <v>0</v>
      </c>
      <c r="BB818" s="1377"/>
      <c r="BC818" s="1820"/>
      <c r="BD818" s="1820"/>
      <c r="BE818" s="1820"/>
      <c r="BF818" s="1834"/>
      <c r="BG818" s="1829"/>
    </row>
    <row r="819" spans="1:59" s="1378" customFormat="1" ht="38.25">
      <c r="A819" s="1347" t="str">
        <f t="shared" si="1172"/>
        <v>Sotera Wireless, Inc.</v>
      </c>
      <c r="B819" s="1348" t="str">
        <f t="shared" si="1173"/>
        <v>HUB SD</v>
      </c>
      <c r="C819" s="1348">
        <f t="shared" si="1175"/>
        <v>54</v>
      </c>
      <c r="D819" s="1349">
        <f t="shared" si="1176"/>
        <v>43191</v>
      </c>
      <c r="E819" s="1349"/>
      <c r="F819" s="1347" t="s">
        <v>72</v>
      </c>
      <c r="G819" s="1347" t="s">
        <v>85</v>
      </c>
      <c r="H819" s="1347" t="s">
        <v>72</v>
      </c>
      <c r="I819" s="1347" t="s">
        <v>72</v>
      </c>
      <c r="J819" s="1349" t="s">
        <v>4670</v>
      </c>
      <c r="K819" s="1349" t="s">
        <v>254</v>
      </c>
      <c r="L819" s="1350" t="s">
        <v>48</v>
      </c>
      <c r="M819" s="1350" t="s">
        <v>253</v>
      </c>
      <c r="N819" s="1390" t="s">
        <v>4703</v>
      </c>
      <c r="O819" s="1352" t="s">
        <v>4704</v>
      </c>
      <c r="P819" s="1388"/>
      <c r="Q819" s="1354"/>
      <c r="R819" s="1354"/>
      <c r="S819" s="1354"/>
      <c r="T819" s="1354"/>
      <c r="U819" s="1354"/>
      <c r="V819" s="1354"/>
      <c r="W819" s="1354"/>
      <c r="X819" s="1353">
        <f t="shared" si="1177"/>
        <v>43191</v>
      </c>
      <c r="Y819" s="1353">
        <f t="shared" si="1177"/>
        <v>43466</v>
      </c>
      <c r="Z819" s="1355"/>
      <c r="AA819" s="1355" t="s">
        <v>4674</v>
      </c>
      <c r="AB819" s="1356"/>
      <c r="AC819" s="1356"/>
      <c r="AD819" s="1356"/>
      <c r="AE819" s="1356"/>
      <c r="AF819" s="1357" t="str">
        <f t="shared" si="951"/>
        <v/>
      </c>
      <c r="AG819" s="1380"/>
      <c r="AH819" s="1380"/>
      <c r="AI819" s="1381">
        <v>0</v>
      </c>
      <c r="AJ819" s="1382">
        <f t="shared" si="1192"/>
        <v>0</v>
      </c>
      <c r="AK819" s="1383">
        <f t="shared" si="1193"/>
        <v>0</v>
      </c>
      <c r="AL819" s="1384">
        <v>0</v>
      </c>
      <c r="AM819" s="1363">
        <f t="shared" si="1180"/>
        <v>0</v>
      </c>
      <c r="AN819" s="1364">
        <v>0</v>
      </c>
      <c r="AO819" s="1365">
        <f t="shared" si="1181"/>
        <v>0</v>
      </c>
      <c r="AP819" s="1366">
        <v>0</v>
      </c>
      <c r="AQ819" s="1367">
        <f t="shared" si="1182"/>
        <v>0</v>
      </c>
      <c r="AR819" s="1368">
        <v>0</v>
      </c>
      <c r="AS819" s="1369">
        <f t="shared" si="1183"/>
        <v>0</v>
      </c>
      <c r="AT819" s="1370">
        <v>0</v>
      </c>
      <c r="AU819" s="1371">
        <f t="shared" si="1184"/>
        <v>0</v>
      </c>
      <c r="AV819" s="1359">
        <f t="shared" si="1185"/>
        <v>0</v>
      </c>
      <c r="AW819" s="1372">
        <f t="shared" si="1186"/>
        <v>0</v>
      </c>
      <c r="AX819" s="1373">
        <f t="shared" si="1187"/>
        <v>0</v>
      </c>
      <c r="AY819" s="1374">
        <f t="shared" si="1188"/>
        <v>0</v>
      </c>
      <c r="AZ819" s="1375">
        <f t="shared" si="1189"/>
        <v>0</v>
      </c>
      <c r="BA819" s="1376">
        <f t="shared" si="1190"/>
        <v>0</v>
      </c>
      <c r="BB819" s="1391"/>
      <c r="BC819" s="1820"/>
      <c r="BD819" s="1820"/>
      <c r="BE819" s="1820"/>
      <c r="BF819" s="1834"/>
      <c r="BG819" s="1829"/>
    </row>
    <row r="820" spans="1:59" s="1378" customFormat="1" ht="38.25">
      <c r="A820" s="1347" t="str">
        <f t="shared" si="1172"/>
        <v>Sotera Wireless, Inc.</v>
      </c>
      <c r="B820" s="1348" t="str">
        <f t="shared" si="1173"/>
        <v>HUB SD</v>
      </c>
      <c r="C820" s="1348">
        <f t="shared" si="1175"/>
        <v>54</v>
      </c>
      <c r="D820" s="1349">
        <f t="shared" si="1176"/>
        <v>43191</v>
      </c>
      <c r="E820" s="1349"/>
      <c r="F820" s="1347" t="s">
        <v>72</v>
      </c>
      <c r="G820" s="1347" t="s">
        <v>85</v>
      </c>
      <c r="H820" s="1347" t="s">
        <v>72</v>
      </c>
      <c r="I820" s="1347" t="s">
        <v>72</v>
      </c>
      <c r="J820" s="1349" t="s">
        <v>4670</v>
      </c>
      <c r="K820" s="1349" t="s">
        <v>254</v>
      </c>
      <c r="L820" s="1350" t="s">
        <v>49</v>
      </c>
      <c r="M820" s="1350" t="s">
        <v>4705</v>
      </c>
      <c r="N820" s="1390" t="s">
        <v>4706</v>
      </c>
      <c r="O820" s="1352" t="s">
        <v>4707</v>
      </c>
      <c r="P820" s="1388"/>
      <c r="Q820" s="1354"/>
      <c r="R820" s="1354"/>
      <c r="S820" s="1354"/>
      <c r="T820" s="1354"/>
      <c r="U820" s="1354"/>
      <c r="V820" s="1354"/>
      <c r="W820" s="1354"/>
      <c r="X820" s="1353">
        <f t="shared" si="1177"/>
        <v>43191</v>
      </c>
      <c r="Y820" s="1353">
        <f t="shared" si="1177"/>
        <v>43466</v>
      </c>
      <c r="Z820" s="1355"/>
      <c r="AA820" s="1355" t="s">
        <v>4674</v>
      </c>
      <c r="AB820" s="1356"/>
      <c r="AC820" s="1356"/>
      <c r="AD820" s="1356"/>
      <c r="AE820" s="1356"/>
      <c r="AF820" s="1357" t="str">
        <f t="shared" si="951"/>
        <v/>
      </c>
      <c r="AG820" s="1380"/>
      <c r="AH820" s="1380"/>
      <c r="AI820" s="1381">
        <v>0</v>
      </c>
      <c r="AJ820" s="1382">
        <f t="shared" si="1192"/>
        <v>0</v>
      </c>
      <c r="AK820" s="1383">
        <f t="shared" si="1193"/>
        <v>0</v>
      </c>
      <c r="AL820" s="1384">
        <v>0</v>
      </c>
      <c r="AM820" s="1363">
        <f t="shared" si="1180"/>
        <v>0</v>
      </c>
      <c r="AN820" s="1364">
        <v>0</v>
      </c>
      <c r="AO820" s="1365">
        <f t="shared" si="1181"/>
        <v>0</v>
      </c>
      <c r="AP820" s="1366">
        <v>0</v>
      </c>
      <c r="AQ820" s="1367">
        <f t="shared" si="1182"/>
        <v>0</v>
      </c>
      <c r="AR820" s="1368">
        <v>0</v>
      </c>
      <c r="AS820" s="1369">
        <f t="shared" si="1183"/>
        <v>0</v>
      </c>
      <c r="AT820" s="1370">
        <v>0</v>
      </c>
      <c r="AU820" s="1371">
        <f t="shared" si="1184"/>
        <v>0</v>
      </c>
      <c r="AV820" s="1359">
        <f t="shared" si="1185"/>
        <v>0</v>
      </c>
      <c r="AW820" s="1372">
        <f t="shared" si="1186"/>
        <v>0</v>
      </c>
      <c r="AX820" s="1373">
        <f t="shared" si="1187"/>
        <v>0</v>
      </c>
      <c r="AY820" s="1374">
        <f t="shared" si="1188"/>
        <v>0</v>
      </c>
      <c r="AZ820" s="1375">
        <f t="shared" si="1189"/>
        <v>0</v>
      </c>
      <c r="BA820" s="1376">
        <f t="shared" si="1190"/>
        <v>0</v>
      </c>
      <c r="BB820" s="1391"/>
      <c r="BC820" s="1820"/>
      <c r="BD820" s="1820"/>
      <c r="BE820" s="1820"/>
      <c r="BF820" s="1834"/>
      <c r="BG820" s="1829"/>
    </row>
    <row r="821" spans="1:59" s="1378" customFormat="1" ht="38.25">
      <c r="A821" s="1347" t="str">
        <f t="shared" si="1172"/>
        <v>Sotera Wireless, Inc.</v>
      </c>
      <c r="B821" s="1348" t="str">
        <f t="shared" si="1173"/>
        <v>HUB SD</v>
      </c>
      <c r="C821" s="1348">
        <f t="shared" si="1175"/>
        <v>54</v>
      </c>
      <c r="D821" s="1349">
        <f t="shared" si="1176"/>
        <v>43191</v>
      </c>
      <c r="E821" s="1349"/>
      <c r="F821" s="1347" t="s">
        <v>72</v>
      </c>
      <c r="G821" s="1347" t="s">
        <v>85</v>
      </c>
      <c r="H821" s="1347" t="s">
        <v>72</v>
      </c>
      <c r="I821" s="1347" t="s">
        <v>72</v>
      </c>
      <c r="J821" s="1349" t="s">
        <v>4670</v>
      </c>
      <c r="K821" s="1349" t="s">
        <v>254</v>
      </c>
      <c r="L821" s="1350" t="s">
        <v>3056</v>
      </c>
      <c r="M821" s="1350" t="s">
        <v>4708</v>
      </c>
      <c r="N821" s="1390" t="s">
        <v>4709</v>
      </c>
      <c r="O821" s="1352" t="s">
        <v>4710</v>
      </c>
      <c r="P821" s="1388"/>
      <c r="Q821" s="1354"/>
      <c r="R821" s="1354"/>
      <c r="S821" s="1354"/>
      <c r="T821" s="1354"/>
      <c r="U821" s="1354"/>
      <c r="V821" s="1354"/>
      <c r="W821" s="1354"/>
      <c r="X821" s="1353">
        <f t="shared" si="1177"/>
        <v>43191</v>
      </c>
      <c r="Y821" s="1353">
        <f t="shared" si="1177"/>
        <v>43466</v>
      </c>
      <c r="Z821" s="1355"/>
      <c r="AA821" s="1355" t="s">
        <v>4674</v>
      </c>
      <c r="AB821" s="1356"/>
      <c r="AC821" s="1356"/>
      <c r="AD821" s="1356"/>
      <c r="AE821" s="1356"/>
      <c r="AF821" s="1357" t="str">
        <f t="shared" si="951"/>
        <v/>
      </c>
      <c r="AG821" s="1380"/>
      <c r="AH821" s="1380"/>
      <c r="AI821" s="1381">
        <v>0</v>
      </c>
      <c r="AJ821" s="1382">
        <f t="shared" si="1192"/>
        <v>0</v>
      </c>
      <c r="AK821" s="1383">
        <f t="shared" si="1193"/>
        <v>0</v>
      </c>
      <c r="AL821" s="1384">
        <v>0</v>
      </c>
      <c r="AM821" s="1363">
        <f t="shared" si="1180"/>
        <v>0</v>
      </c>
      <c r="AN821" s="1364">
        <v>0</v>
      </c>
      <c r="AO821" s="1365">
        <f t="shared" si="1181"/>
        <v>0</v>
      </c>
      <c r="AP821" s="1366">
        <v>0</v>
      </c>
      <c r="AQ821" s="1367">
        <f t="shared" si="1182"/>
        <v>0</v>
      </c>
      <c r="AR821" s="1368">
        <v>0</v>
      </c>
      <c r="AS821" s="1369">
        <f t="shared" si="1183"/>
        <v>0</v>
      </c>
      <c r="AT821" s="1370">
        <v>0</v>
      </c>
      <c r="AU821" s="1371">
        <f t="shared" si="1184"/>
        <v>0</v>
      </c>
      <c r="AV821" s="1359">
        <f t="shared" si="1185"/>
        <v>0</v>
      </c>
      <c r="AW821" s="1372">
        <f t="shared" si="1186"/>
        <v>0</v>
      </c>
      <c r="AX821" s="1373">
        <f t="shared" si="1187"/>
        <v>0</v>
      </c>
      <c r="AY821" s="1374">
        <f t="shared" si="1188"/>
        <v>0</v>
      </c>
      <c r="AZ821" s="1375">
        <f t="shared" si="1189"/>
        <v>0</v>
      </c>
      <c r="BA821" s="1376">
        <f t="shared" si="1190"/>
        <v>0</v>
      </c>
      <c r="BB821" s="1391"/>
      <c r="BC821" s="1821"/>
      <c r="BD821" s="1821"/>
      <c r="BE821" s="1821"/>
      <c r="BF821" s="1834"/>
      <c r="BG821" s="1830"/>
    </row>
    <row r="822" spans="1:59" s="1315" customFormat="1" ht="51">
      <c r="A822" s="1277" t="str">
        <f t="shared" ref="A822:A833" si="1194">$L$822</f>
        <v>Stroma Medical Corporation</v>
      </c>
      <c r="B822" s="1277" t="s">
        <v>4835</v>
      </c>
      <c r="C822" s="1316">
        <f t="shared" ref="C822:C833" si="1195">$Z$822</f>
        <v>4</v>
      </c>
      <c r="D822" s="1317">
        <v>42795</v>
      </c>
      <c r="E822" s="1317"/>
      <c r="F822" s="1277" t="s">
        <v>72</v>
      </c>
      <c r="G822" s="1277" t="s">
        <v>72</v>
      </c>
      <c r="H822" s="1277" t="s">
        <v>72</v>
      </c>
      <c r="I822" s="1277" t="s">
        <v>4711</v>
      </c>
      <c r="J822" s="1317"/>
      <c r="K822" s="1317"/>
      <c r="L822" s="1318" t="s">
        <v>178</v>
      </c>
      <c r="M822" s="1319"/>
      <c r="N822" s="1427" t="s">
        <v>4835</v>
      </c>
      <c r="O822" s="1419" t="s">
        <v>2474</v>
      </c>
      <c r="P822" s="1419"/>
      <c r="Q822" s="1322"/>
      <c r="R822" s="1322"/>
      <c r="S822" s="1322"/>
      <c r="T822" s="1322"/>
      <c r="U822" s="1322"/>
      <c r="V822" s="1322"/>
      <c r="W822" s="1322"/>
      <c r="X822" s="1317">
        <v>43101</v>
      </c>
      <c r="Y822" s="1317">
        <v>43466</v>
      </c>
      <c r="Z822" s="1316">
        <v>4</v>
      </c>
      <c r="AA822" s="1316" t="s">
        <v>5067</v>
      </c>
      <c r="AB822" s="1323">
        <f>SUM(AB823:AB834)</f>
        <v>0</v>
      </c>
      <c r="AC822" s="1323">
        <f>SUM(AC823:AC834)</f>
        <v>0</v>
      </c>
      <c r="AD822" s="1323">
        <f>SUM(AD823:AD834)</f>
        <v>0</v>
      </c>
      <c r="AE822" s="1324">
        <f t="shared" si="1113"/>
        <v>0</v>
      </c>
      <c r="AF822" s="1325" t="str">
        <f t="shared" si="951"/>
        <v/>
      </c>
      <c r="AG822" s="1326">
        <f t="shared" si="1174"/>
        <v>4496.3516666666665</v>
      </c>
      <c r="AH822" s="1326">
        <f>SUM(AH823:AH834)</f>
        <v>53956.22</v>
      </c>
      <c r="AI822" s="1339" t="s">
        <v>4984</v>
      </c>
      <c r="AJ822" s="1328">
        <f>SUM(AJ823:AJ834)</f>
        <v>395.85945000000004</v>
      </c>
      <c r="AK822" s="1328">
        <f>SUM(AK823:AK834)</f>
        <v>4750.3133999999991</v>
      </c>
      <c r="AL822" s="1329"/>
      <c r="AM822" s="1330">
        <f>SUM(AM823:AM834)</f>
        <v>210.37740000000002</v>
      </c>
      <c r="AN822" s="1331"/>
      <c r="AO822" s="1332">
        <f>SUM(AO823:AO834)</f>
        <v>0</v>
      </c>
      <c r="AP822" s="1333"/>
      <c r="AQ822" s="1334">
        <f>SUM(AQ823:AQ834)</f>
        <v>0</v>
      </c>
      <c r="AR822" s="1335"/>
      <c r="AS822" s="1336">
        <f>SUM(AS823:AS834)</f>
        <v>0</v>
      </c>
      <c r="AT822" s="1337"/>
      <c r="AU822" s="1338">
        <f>SUM(AU823:AU834)</f>
        <v>4539.9359999999997</v>
      </c>
      <c r="AV822" s="1339"/>
      <c r="AW822" s="1340">
        <f>SUM(AW823:AW834)</f>
        <v>0</v>
      </c>
      <c r="AX822" s="1306"/>
      <c r="AY822" s="1307">
        <f>SUM(AW822+AS822+AU822)</f>
        <v>4539.9359999999997</v>
      </c>
      <c r="AZ822" s="1341"/>
      <c r="BA822" s="1309">
        <f>SUM(AY822+AQ822)</f>
        <v>4539.9359999999997</v>
      </c>
      <c r="BB822" s="1342">
        <f>(AW822+AU822)/(AK822-AM822)</f>
        <v>1.0000000000000002</v>
      </c>
      <c r="BC822" s="1343"/>
      <c r="BD822" s="1343"/>
      <c r="BE822" s="1344"/>
      <c r="BF822" s="1428" t="s">
        <v>5087</v>
      </c>
      <c r="BG822" s="1346"/>
    </row>
    <row r="823" spans="1:59" s="1396" customFormat="1" ht="52.5" customHeight="1">
      <c r="A823" s="1347" t="str">
        <f t="shared" si="1194"/>
        <v>Stroma Medical Corporation</v>
      </c>
      <c r="B823" s="1347" t="s">
        <v>4835</v>
      </c>
      <c r="C823" s="1348">
        <f t="shared" si="1195"/>
        <v>4</v>
      </c>
      <c r="D823" s="1349">
        <v>42795</v>
      </c>
      <c r="E823" s="1349"/>
      <c r="F823" s="1347" t="s">
        <v>85</v>
      </c>
      <c r="G823" s="1347" t="s">
        <v>85</v>
      </c>
      <c r="H823" s="1347" t="s">
        <v>85</v>
      </c>
      <c r="I823" s="1347" t="s">
        <v>113</v>
      </c>
      <c r="J823" s="1349"/>
      <c r="K823" s="1349" t="s">
        <v>254</v>
      </c>
      <c r="L823" s="1350" t="s">
        <v>2661</v>
      </c>
      <c r="M823" s="1350" t="s">
        <v>3647</v>
      </c>
      <c r="N823" s="1351" t="s">
        <v>5301</v>
      </c>
      <c r="O823" s="1352" t="s">
        <v>5302</v>
      </c>
      <c r="P823" s="1352" t="s">
        <v>5303</v>
      </c>
      <c r="Q823" s="1353" t="s">
        <v>317</v>
      </c>
      <c r="R823" s="1353" t="s">
        <v>3656</v>
      </c>
      <c r="S823" s="1353" t="s">
        <v>315</v>
      </c>
      <c r="T823" s="1353" t="s">
        <v>113</v>
      </c>
      <c r="U823" s="1445"/>
      <c r="V823" s="1445"/>
      <c r="W823" s="1445"/>
      <c r="X823" s="1353">
        <v>43101</v>
      </c>
      <c r="Y823" s="1353">
        <v>43466</v>
      </c>
      <c r="Z823" s="1425"/>
      <c r="AA823" s="1355" t="s">
        <v>5097</v>
      </c>
      <c r="AB823" s="1394"/>
      <c r="AC823" s="1394"/>
      <c r="AD823" s="1356"/>
      <c r="AE823" s="1356"/>
      <c r="AF823" s="1395" t="str">
        <f t="shared" si="951"/>
        <v/>
      </c>
      <c r="AG823" s="1358">
        <f t="shared" si="1174"/>
        <v>3506.2900000000004</v>
      </c>
      <c r="AH823" s="1358">
        <v>42075.48</v>
      </c>
      <c r="AI823" s="1359">
        <v>0.08</v>
      </c>
      <c r="AJ823" s="1360">
        <f t="shared" ref="AJ823:AJ834" si="1196">$AI823*$AG823</f>
        <v>280.50320000000005</v>
      </c>
      <c r="AK823" s="1361">
        <f t="shared" ref="AK823:AK834" si="1197">AI823*$AH823</f>
        <v>3366.0384000000004</v>
      </c>
      <c r="AL823" s="1362">
        <v>5.0000000000000001E-3</v>
      </c>
      <c r="AM823" s="1363">
        <f t="shared" ref="AM823:AM834" si="1198">AL823*$AH823</f>
        <v>210.37740000000002</v>
      </c>
      <c r="AN823" s="1364">
        <v>0</v>
      </c>
      <c r="AO823" s="1365">
        <f t="shared" ref="AO823:AO834" si="1199">AN823*$AH823</f>
        <v>0</v>
      </c>
      <c r="AP823" s="1366">
        <v>0</v>
      </c>
      <c r="AQ823" s="1367">
        <f t="shared" ref="AQ823:AQ834" si="1200">AP823*$AH823</f>
        <v>0</v>
      </c>
      <c r="AR823" s="1368">
        <v>0</v>
      </c>
      <c r="AS823" s="1369">
        <f t="shared" ref="AS823:AS834" si="1201">AR823*$AH823</f>
        <v>0</v>
      </c>
      <c r="AT823" s="1370">
        <v>7.4999999999999997E-2</v>
      </c>
      <c r="AU823" s="1371">
        <f t="shared" ref="AU823:AU834" si="1202">AT823*$AH823</f>
        <v>3155.6610000000001</v>
      </c>
      <c r="AV823" s="1359">
        <f t="shared" ref="AV823:AV834" si="1203">AZ823-AR823-AT823-AP823</f>
        <v>0</v>
      </c>
      <c r="AW823" s="1372">
        <f t="shared" ref="AW823:AW834" si="1204">AV823*$AH823</f>
        <v>0</v>
      </c>
      <c r="AX823" s="1373">
        <f t="shared" ref="AX823:AX834" si="1205">$AZ823-$AP823</f>
        <v>7.4999999999999997E-2</v>
      </c>
      <c r="AY823" s="1374">
        <f t="shared" ref="AY823:AY834" si="1206">AX823*$AH823</f>
        <v>3155.6610000000001</v>
      </c>
      <c r="AZ823" s="1375">
        <f t="shared" ref="AZ823:AZ834" si="1207">$AI823-$AL823-$AN823</f>
        <v>7.4999999999999997E-2</v>
      </c>
      <c r="BA823" s="1376">
        <f t="shared" ref="BA823:BA834" si="1208">AZ823*$AH823</f>
        <v>3155.6610000000001</v>
      </c>
      <c r="BB823" s="1391"/>
      <c r="BC823" s="1819" t="s">
        <v>179</v>
      </c>
      <c r="BD823" s="1819" t="s">
        <v>1317</v>
      </c>
      <c r="BE823" s="1822" t="s">
        <v>1317</v>
      </c>
      <c r="BF823" s="1825" t="s">
        <v>5304</v>
      </c>
      <c r="BG823" s="1828">
        <v>264608755</v>
      </c>
    </row>
    <row r="824" spans="1:59" s="1396" customFormat="1" ht="39.75" customHeight="1">
      <c r="A824" s="1347" t="str">
        <f t="shared" si="1194"/>
        <v>Stroma Medical Corporation</v>
      </c>
      <c r="B824" s="1347" t="s">
        <v>4835</v>
      </c>
      <c r="C824" s="1348">
        <f t="shared" si="1195"/>
        <v>4</v>
      </c>
      <c r="D824" s="1349">
        <v>42795</v>
      </c>
      <c r="E824" s="1349"/>
      <c r="F824" s="1347" t="s">
        <v>72</v>
      </c>
      <c r="G824" s="1347" t="s">
        <v>85</v>
      </c>
      <c r="H824" s="1347" t="s">
        <v>72</v>
      </c>
      <c r="I824" s="1347" t="s">
        <v>72</v>
      </c>
      <c r="J824" s="1349" t="s">
        <v>4670</v>
      </c>
      <c r="K824" s="1349" t="s">
        <v>254</v>
      </c>
      <c r="L824" s="1350" t="s">
        <v>4671</v>
      </c>
      <c r="M824" s="1350" t="s">
        <v>3649</v>
      </c>
      <c r="N824" s="1379" t="s">
        <v>5305</v>
      </c>
      <c r="O824" s="1352" t="s">
        <v>5306</v>
      </c>
      <c r="P824" s="1449"/>
      <c r="Q824" s="1445"/>
      <c r="R824" s="1445"/>
      <c r="S824" s="1445"/>
      <c r="T824" s="1445"/>
      <c r="U824" s="1445"/>
      <c r="V824" s="1445"/>
      <c r="W824" s="1445"/>
      <c r="X824" s="1353">
        <v>43101</v>
      </c>
      <c r="Y824" s="1353">
        <v>43466</v>
      </c>
      <c r="Z824" s="1425"/>
      <c r="AA824" s="1355" t="s">
        <v>4674</v>
      </c>
      <c r="AB824" s="1394"/>
      <c r="AC824" s="1394"/>
      <c r="AD824" s="1356"/>
      <c r="AE824" s="1356"/>
      <c r="AF824" s="1395" t="str">
        <f t="shared" si="951"/>
        <v/>
      </c>
      <c r="AG824" s="1380"/>
      <c r="AH824" s="1380"/>
      <c r="AI824" s="1381">
        <v>0</v>
      </c>
      <c r="AJ824" s="1382">
        <f t="shared" si="1196"/>
        <v>0</v>
      </c>
      <c r="AK824" s="1383">
        <f t="shared" si="1197"/>
        <v>0</v>
      </c>
      <c r="AL824" s="1384">
        <v>0</v>
      </c>
      <c r="AM824" s="1363">
        <f t="shared" si="1198"/>
        <v>0</v>
      </c>
      <c r="AN824" s="1364">
        <v>0</v>
      </c>
      <c r="AO824" s="1365">
        <f t="shared" si="1199"/>
        <v>0</v>
      </c>
      <c r="AP824" s="1366">
        <v>0</v>
      </c>
      <c r="AQ824" s="1367">
        <f t="shared" si="1200"/>
        <v>0</v>
      </c>
      <c r="AR824" s="1368">
        <v>0</v>
      </c>
      <c r="AS824" s="1369">
        <f t="shared" si="1201"/>
        <v>0</v>
      </c>
      <c r="AT824" s="1370">
        <v>0</v>
      </c>
      <c r="AU824" s="1371">
        <f t="shared" si="1202"/>
        <v>0</v>
      </c>
      <c r="AV824" s="1359">
        <f t="shared" si="1203"/>
        <v>0</v>
      </c>
      <c r="AW824" s="1372">
        <f t="shared" si="1204"/>
        <v>0</v>
      </c>
      <c r="AX824" s="1373">
        <f t="shared" si="1205"/>
        <v>0</v>
      </c>
      <c r="AY824" s="1374">
        <f t="shared" si="1206"/>
        <v>0</v>
      </c>
      <c r="AZ824" s="1375">
        <f t="shared" si="1207"/>
        <v>0</v>
      </c>
      <c r="BA824" s="1376">
        <f t="shared" si="1208"/>
        <v>0</v>
      </c>
      <c r="BB824" s="1391"/>
      <c r="BC824" s="1820"/>
      <c r="BD824" s="1820"/>
      <c r="BE824" s="1823"/>
      <c r="BF824" s="1826"/>
      <c r="BG824" s="1829"/>
    </row>
    <row r="825" spans="1:59" s="1396" customFormat="1" ht="32.25" customHeight="1">
      <c r="A825" s="1347" t="str">
        <f t="shared" si="1194"/>
        <v>Stroma Medical Corporation</v>
      </c>
      <c r="B825" s="1347" t="s">
        <v>4835</v>
      </c>
      <c r="C825" s="1348">
        <f t="shared" si="1195"/>
        <v>4</v>
      </c>
      <c r="D825" s="1349">
        <v>42795</v>
      </c>
      <c r="E825" s="1349"/>
      <c r="F825" s="1347" t="s">
        <v>113</v>
      </c>
      <c r="G825" s="1347" t="s">
        <v>85</v>
      </c>
      <c r="H825" s="1347" t="s">
        <v>85</v>
      </c>
      <c r="I825" s="1347" t="s">
        <v>113</v>
      </c>
      <c r="J825" s="1349"/>
      <c r="K825" s="1349" t="s">
        <v>254</v>
      </c>
      <c r="L825" s="1350" t="s">
        <v>4675</v>
      </c>
      <c r="M825" s="1350" t="s">
        <v>3650</v>
      </c>
      <c r="N825" s="1385" t="s">
        <v>5213</v>
      </c>
      <c r="O825" s="1352" t="s">
        <v>4677</v>
      </c>
      <c r="P825" s="1449"/>
      <c r="Q825" s="1445"/>
      <c r="R825" s="1445"/>
      <c r="S825" s="1445"/>
      <c r="T825" s="1445"/>
      <c r="U825" s="1353" t="s">
        <v>4723</v>
      </c>
      <c r="V825" s="1353" t="s">
        <v>2495</v>
      </c>
      <c r="W825" s="1445"/>
      <c r="X825" s="1353">
        <v>43101</v>
      </c>
      <c r="Y825" s="1353">
        <v>43466</v>
      </c>
      <c r="Z825" s="1425"/>
      <c r="AA825" s="1355" t="s">
        <v>4991</v>
      </c>
      <c r="AB825" s="1394"/>
      <c r="AC825" s="1394"/>
      <c r="AD825" s="1356"/>
      <c r="AE825" s="1356"/>
      <c r="AF825" s="1395" t="str">
        <f t="shared" si="951"/>
        <v/>
      </c>
      <c r="AG825" s="1358">
        <f t="shared" si="1174"/>
        <v>599.42999999999995</v>
      </c>
      <c r="AH825" s="1358">
        <v>7193.16</v>
      </c>
      <c r="AI825" s="1359">
        <v>0.1</v>
      </c>
      <c r="AJ825" s="1360">
        <f t="shared" si="1196"/>
        <v>59.942999999999998</v>
      </c>
      <c r="AK825" s="1361">
        <f t="shared" si="1197"/>
        <v>719.31600000000003</v>
      </c>
      <c r="AL825" s="1384">
        <v>0</v>
      </c>
      <c r="AM825" s="1363">
        <f t="shared" si="1198"/>
        <v>0</v>
      </c>
      <c r="AN825" s="1364">
        <v>0</v>
      </c>
      <c r="AO825" s="1365">
        <f t="shared" si="1199"/>
        <v>0</v>
      </c>
      <c r="AP825" s="1366">
        <v>0</v>
      </c>
      <c r="AQ825" s="1367">
        <f t="shared" si="1200"/>
        <v>0</v>
      </c>
      <c r="AR825" s="1368">
        <v>0</v>
      </c>
      <c r="AS825" s="1369">
        <f t="shared" si="1201"/>
        <v>0</v>
      </c>
      <c r="AT825" s="1370">
        <v>0.1</v>
      </c>
      <c r="AU825" s="1371">
        <f t="shared" si="1202"/>
        <v>719.31600000000003</v>
      </c>
      <c r="AV825" s="1359">
        <f t="shared" si="1203"/>
        <v>0</v>
      </c>
      <c r="AW825" s="1372">
        <f t="shared" si="1204"/>
        <v>0</v>
      </c>
      <c r="AX825" s="1373">
        <f t="shared" si="1205"/>
        <v>0.1</v>
      </c>
      <c r="AY825" s="1374">
        <f t="shared" si="1206"/>
        <v>719.31600000000003</v>
      </c>
      <c r="AZ825" s="1375">
        <f t="shared" si="1207"/>
        <v>0.1</v>
      </c>
      <c r="BA825" s="1376">
        <f t="shared" si="1208"/>
        <v>719.31600000000003</v>
      </c>
      <c r="BB825" s="1391"/>
      <c r="BC825" s="1820"/>
      <c r="BD825" s="1820"/>
      <c r="BE825" s="1823"/>
      <c r="BF825" s="1826"/>
      <c r="BG825" s="1829"/>
    </row>
    <row r="826" spans="1:59" s="1396" customFormat="1" ht="32.25" customHeight="1">
      <c r="A826" s="1347" t="str">
        <f t="shared" si="1194"/>
        <v>Stroma Medical Corporation</v>
      </c>
      <c r="B826" s="1347" t="s">
        <v>4835</v>
      </c>
      <c r="C826" s="1348">
        <f t="shared" si="1195"/>
        <v>4</v>
      </c>
      <c r="D826" s="1349">
        <v>42795</v>
      </c>
      <c r="E826" s="1349"/>
      <c r="F826" s="1347" t="s">
        <v>113</v>
      </c>
      <c r="G826" s="1347" t="s">
        <v>85</v>
      </c>
      <c r="H826" s="1347" t="s">
        <v>85</v>
      </c>
      <c r="I826" s="1347" t="s">
        <v>113</v>
      </c>
      <c r="J826" s="1349"/>
      <c r="K826" s="1349" t="s">
        <v>254</v>
      </c>
      <c r="L826" s="1350" t="s">
        <v>4675</v>
      </c>
      <c r="M826" s="1350" t="s">
        <v>3651</v>
      </c>
      <c r="N826" s="1351" t="s">
        <v>4875</v>
      </c>
      <c r="O826" s="1352" t="s">
        <v>4681</v>
      </c>
      <c r="P826" s="1449"/>
      <c r="Q826" s="1445"/>
      <c r="R826" s="1445"/>
      <c r="S826" s="1445"/>
      <c r="T826" s="1445"/>
      <c r="U826" s="1445"/>
      <c r="V826" s="1445"/>
      <c r="W826" s="1353" t="s">
        <v>2492</v>
      </c>
      <c r="X826" s="1353">
        <v>43101</v>
      </c>
      <c r="Y826" s="1353">
        <v>43466</v>
      </c>
      <c r="Z826" s="1425"/>
      <c r="AA826" s="1355" t="s">
        <v>4991</v>
      </c>
      <c r="AB826" s="1394"/>
      <c r="AC826" s="1394"/>
      <c r="AD826" s="1356"/>
      <c r="AE826" s="1356"/>
      <c r="AF826" s="1395" t="str">
        <f t="shared" si="951"/>
        <v/>
      </c>
      <c r="AG826" s="1358">
        <f t="shared" si="1174"/>
        <v>63.629999999999995</v>
      </c>
      <c r="AH826" s="1358">
        <v>763.56</v>
      </c>
      <c r="AI826" s="1359">
        <v>0.1</v>
      </c>
      <c r="AJ826" s="1360">
        <f t="shared" si="1196"/>
        <v>6.3629999999999995</v>
      </c>
      <c r="AK826" s="1361">
        <f t="shared" si="1197"/>
        <v>76.355999999999995</v>
      </c>
      <c r="AL826" s="1384">
        <v>0</v>
      </c>
      <c r="AM826" s="1363">
        <f t="shared" si="1198"/>
        <v>0</v>
      </c>
      <c r="AN826" s="1364">
        <v>0</v>
      </c>
      <c r="AO826" s="1365">
        <f t="shared" si="1199"/>
        <v>0</v>
      </c>
      <c r="AP826" s="1366">
        <v>0</v>
      </c>
      <c r="AQ826" s="1367">
        <f t="shared" si="1200"/>
        <v>0</v>
      </c>
      <c r="AR826" s="1368">
        <v>0</v>
      </c>
      <c r="AS826" s="1369">
        <f t="shared" si="1201"/>
        <v>0</v>
      </c>
      <c r="AT826" s="1370">
        <v>0.1</v>
      </c>
      <c r="AU826" s="1371">
        <f t="shared" si="1202"/>
        <v>76.355999999999995</v>
      </c>
      <c r="AV826" s="1359">
        <f t="shared" si="1203"/>
        <v>0</v>
      </c>
      <c r="AW826" s="1372">
        <f t="shared" si="1204"/>
        <v>0</v>
      </c>
      <c r="AX826" s="1373">
        <f t="shared" si="1205"/>
        <v>0.1</v>
      </c>
      <c r="AY826" s="1374">
        <f t="shared" si="1206"/>
        <v>76.355999999999995</v>
      </c>
      <c r="AZ826" s="1375">
        <f t="shared" si="1207"/>
        <v>0.1</v>
      </c>
      <c r="BA826" s="1376">
        <f t="shared" si="1208"/>
        <v>76.355999999999995</v>
      </c>
      <c r="BB826" s="1391"/>
      <c r="BC826" s="1820"/>
      <c r="BD826" s="1820"/>
      <c r="BE826" s="1823"/>
      <c r="BF826" s="1826"/>
      <c r="BG826" s="1829"/>
    </row>
    <row r="827" spans="1:59" s="1396" customFormat="1" ht="34.5" customHeight="1">
      <c r="A827" s="1347" t="str">
        <f t="shared" si="1194"/>
        <v>Stroma Medical Corporation</v>
      </c>
      <c r="B827" s="1347" t="s">
        <v>4835</v>
      </c>
      <c r="C827" s="1348">
        <f t="shared" si="1195"/>
        <v>4</v>
      </c>
      <c r="D827" s="1349">
        <v>42795</v>
      </c>
      <c r="E827" s="1349"/>
      <c r="F827" s="1347" t="s">
        <v>113</v>
      </c>
      <c r="G827" s="1347" t="s">
        <v>85</v>
      </c>
      <c r="H827" s="1347" t="s">
        <v>85</v>
      </c>
      <c r="I827" s="1347" t="s">
        <v>113</v>
      </c>
      <c r="J827" s="1349"/>
      <c r="K827" s="1349" t="s">
        <v>254</v>
      </c>
      <c r="L827" s="1350" t="s">
        <v>4682</v>
      </c>
      <c r="M827" s="1350" t="s">
        <v>4683</v>
      </c>
      <c r="N827" s="1386" t="s">
        <v>57</v>
      </c>
      <c r="O827" s="1352" t="s">
        <v>4684</v>
      </c>
      <c r="P827" s="1446"/>
      <c r="Q827" s="1445"/>
      <c r="R827" s="1445"/>
      <c r="S827" s="1445"/>
      <c r="T827" s="1445"/>
      <c r="U827" s="1445"/>
      <c r="V827" s="1445"/>
      <c r="W827" s="1445"/>
      <c r="X827" s="1353">
        <v>43101</v>
      </c>
      <c r="Y827" s="1353">
        <v>43466</v>
      </c>
      <c r="Z827" s="1425"/>
      <c r="AA827" s="1355" t="s">
        <v>4992</v>
      </c>
      <c r="AB827" s="1394"/>
      <c r="AC827" s="1394"/>
      <c r="AD827" s="1356"/>
      <c r="AE827" s="1356"/>
      <c r="AF827" s="1395" t="str">
        <f t="shared" si="951"/>
        <v/>
      </c>
      <c r="AG827" s="1358">
        <f t="shared" si="1174"/>
        <v>146.29833333333332</v>
      </c>
      <c r="AH827" s="1358">
        <v>1755.58</v>
      </c>
      <c r="AI827" s="1359">
        <v>0.15</v>
      </c>
      <c r="AJ827" s="1360">
        <f t="shared" si="1196"/>
        <v>21.944749999999996</v>
      </c>
      <c r="AK827" s="1361">
        <f t="shared" si="1197"/>
        <v>263.33699999999999</v>
      </c>
      <c r="AL827" s="1384">
        <v>0</v>
      </c>
      <c r="AM827" s="1363">
        <f t="shared" si="1198"/>
        <v>0</v>
      </c>
      <c r="AN827" s="1364">
        <v>0</v>
      </c>
      <c r="AO827" s="1365">
        <f t="shared" si="1199"/>
        <v>0</v>
      </c>
      <c r="AP827" s="1366">
        <v>0</v>
      </c>
      <c r="AQ827" s="1367">
        <f t="shared" si="1200"/>
        <v>0</v>
      </c>
      <c r="AR827" s="1368">
        <v>0</v>
      </c>
      <c r="AS827" s="1369">
        <f t="shared" si="1201"/>
        <v>0</v>
      </c>
      <c r="AT827" s="1370">
        <v>0.15</v>
      </c>
      <c r="AU827" s="1371">
        <f t="shared" si="1202"/>
        <v>263.33699999999999</v>
      </c>
      <c r="AV827" s="1359">
        <f t="shared" si="1203"/>
        <v>0</v>
      </c>
      <c r="AW827" s="1372">
        <f t="shared" si="1204"/>
        <v>0</v>
      </c>
      <c r="AX827" s="1373">
        <f t="shared" si="1205"/>
        <v>0.15</v>
      </c>
      <c r="AY827" s="1374">
        <f t="shared" si="1206"/>
        <v>263.33699999999999</v>
      </c>
      <c r="AZ827" s="1375">
        <f t="shared" si="1207"/>
        <v>0.15</v>
      </c>
      <c r="BA827" s="1376">
        <f t="shared" si="1208"/>
        <v>263.33699999999999</v>
      </c>
      <c r="BB827" s="1391"/>
      <c r="BC827" s="1820"/>
      <c r="BD827" s="1820"/>
      <c r="BE827" s="1823"/>
      <c r="BF827" s="1826"/>
      <c r="BG827" s="1829"/>
    </row>
    <row r="828" spans="1:59" s="1396" customFormat="1" ht="36.75" customHeight="1">
      <c r="A828" s="1347" t="str">
        <f t="shared" si="1194"/>
        <v>Stroma Medical Corporation</v>
      </c>
      <c r="B828" s="1347" t="s">
        <v>4835</v>
      </c>
      <c r="C828" s="1348">
        <f t="shared" si="1195"/>
        <v>4</v>
      </c>
      <c r="D828" s="1349">
        <v>42795</v>
      </c>
      <c r="E828" s="1349"/>
      <c r="F828" s="1347" t="s">
        <v>113</v>
      </c>
      <c r="G828" s="1347" t="s">
        <v>85</v>
      </c>
      <c r="H828" s="1347" t="s">
        <v>85</v>
      </c>
      <c r="I828" s="1347" t="s">
        <v>113</v>
      </c>
      <c r="J828" s="1349"/>
      <c r="K828" s="1349" t="s">
        <v>254</v>
      </c>
      <c r="L828" s="1350" t="s">
        <v>4682</v>
      </c>
      <c r="M828" s="1350" t="s">
        <v>4686</v>
      </c>
      <c r="N828" s="1386" t="s">
        <v>60</v>
      </c>
      <c r="O828" s="1352" t="s">
        <v>4687</v>
      </c>
      <c r="P828" s="1446"/>
      <c r="Q828" s="1445"/>
      <c r="R828" s="1445"/>
      <c r="S828" s="1445"/>
      <c r="T828" s="1445"/>
      <c r="U828" s="1445"/>
      <c r="V828" s="1445"/>
      <c r="W828" s="1445"/>
      <c r="X828" s="1353">
        <v>43101</v>
      </c>
      <c r="Y828" s="1353">
        <v>43466</v>
      </c>
      <c r="Z828" s="1425"/>
      <c r="AA828" s="1355" t="s">
        <v>4992</v>
      </c>
      <c r="AB828" s="1394"/>
      <c r="AC828" s="1394"/>
      <c r="AD828" s="1356"/>
      <c r="AE828" s="1356"/>
      <c r="AF828" s="1395"/>
      <c r="AG828" s="1358">
        <v>0</v>
      </c>
      <c r="AH828" s="1426">
        <f t="shared" ref="AH828" si="1209">AG828*12</f>
        <v>0</v>
      </c>
      <c r="AI828" s="1359">
        <v>0.15</v>
      </c>
      <c r="AJ828" s="1360">
        <f t="shared" si="1196"/>
        <v>0</v>
      </c>
      <c r="AK828" s="1361">
        <f t="shared" si="1197"/>
        <v>0</v>
      </c>
      <c r="AL828" s="1384">
        <v>0</v>
      </c>
      <c r="AM828" s="1363">
        <f t="shared" si="1198"/>
        <v>0</v>
      </c>
      <c r="AN828" s="1364">
        <v>0</v>
      </c>
      <c r="AO828" s="1365">
        <f t="shared" si="1199"/>
        <v>0</v>
      </c>
      <c r="AP828" s="1366">
        <v>0</v>
      </c>
      <c r="AQ828" s="1367">
        <f t="shared" si="1200"/>
        <v>0</v>
      </c>
      <c r="AR828" s="1368">
        <v>0</v>
      </c>
      <c r="AS828" s="1369">
        <f t="shared" si="1201"/>
        <v>0</v>
      </c>
      <c r="AT828" s="1370">
        <v>0.15</v>
      </c>
      <c r="AU828" s="1371">
        <f t="shared" si="1202"/>
        <v>0</v>
      </c>
      <c r="AV828" s="1359">
        <f t="shared" si="1203"/>
        <v>0</v>
      </c>
      <c r="AW828" s="1372">
        <f t="shared" si="1204"/>
        <v>0</v>
      </c>
      <c r="AX828" s="1373">
        <f t="shared" si="1205"/>
        <v>0.15</v>
      </c>
      <c r="AY828" s="1374">
        <f t="shared" si="1206"/>
        <v>0</v>
      </c>
      <c r="AZ828" s="1375">
        <f t="shared" si="1207"/>
        <v>0.15</v>
      </c>
      <c r="BA828" s="1376">
        <f t="shared" si="1208"/>
        <v>0</v>
      </c>
      <c r="BB828" s="1391"/>
      <c r="BC828" s="1820"/>
      <c r="BD828" s="1820"/>
      <c r="BE828" s="1823"/>
      <c r="BF828" s="1826"/>
      <c r="BG828" s="1829"/>
    </row>
    <row r="829" spans="1:59" s="1396" customFormat="1" ht="22.5" customHeight="1">
      <c r="A829" s="1347" t="str">
        <f t="shared" si="1194"/>
        <v>Stroma Medical Corporation</v>
      </c>
      <c r="B829" s="1347" t="s">
        <v>4835</v>
      </c>
      <c r="C829" s="1348">
        <f t="shared" si="1195"/>
        <v>4</v>
      </c>
      <c r="D829" s="1349">
        <v>42795</v>
      </c>
      <c r="E829" s="1349"/>
      <c r="F829" s="1347" t="s">
        <v>113</v>
      </c>
      <c r="G829" s="1347" t="s">
        <v>85</v>
      </c>
      <c r="H829" s="1347" t="s">
        <v>85</v>
      </c>
      <c r="I829" s="1347" t="s">
        <v>113</v>
      </c>
      <c r="J829" s="1349"/>
      <c r="K829" s="1349" t="s">
        <v>254</v>
      </c>
      <c r="L829" s="1350" t="s">
        <v>4682</v>
      </c>
      <c r="M829" s="1350" t="s">
        <v>62</v>
      </c>
      <c r="N829" s="1351" t="s">
        <v>81</v>
      </c>
      <c r="O829" s="1352" t="s">
        <v>4688</v>
      </c>
      <c r="P829" s="1449"/>
      <c r="Q829" s="1445"/>
      <c r="R829" s="1445"/>
      <c r="S829" s="1445"/>
      <c r="T829" s="1445"/>
      <c r="U829" s="1445"/>
      <c r="V829" s="1445"/>
      <c r="W829" s="1445"/>
      <c r="X829" s="1353">
        <v>43101</v>
      </c>
      <c r="Y829" s="1353">
        <v>43466</v>
      </c>
      <c r="Z829" s="1425"/>
      <c r="AA829" s="1355" t="s">
        <v>4992</v>
      </c>
      <c r="AB829" s="1394"/>
      <c r="AC829" s="1394"/>
      <c r="AD829" s="1356"/>
      <c r="AE829" s="1356"/>
      <c r="AF829" s="1395" t="str">
        <f t="shared" si="951"/>
        <v/>
      </c>
      <c r="AG829" s="1358">
        <f t="shared" si="1174"/>
        <v>64.245000000000005</v>
      </c>
      <c r="AH829" s="1358">
        <v>770.94</v>
      </c>
      <c r="AI829" s="1359">
        <v>0.15</v>
      </c>
      <c r="AJ829" s="1360">
        <f t="shared" si="1196"/>
        <v>9.636750000000001</v>
      </c>
      <c r="AK829" s="1361">
        <f t="shared" si="1197"/>
        <v>115.64100000000001</v>
      </c>
      <c r="AL829" s="1384">
        <v>0</v>
      </c>
      <c r="AM829" s="1363">
        <f t="shared" si="1198"/>
        <v>0</v>
      </c>
      <c r="AN829" s="1364">
        <v>0</v>
      </c>
      <c r="AO829" s="1365">
        <f t="shared" si="1199"/>
        <v>0</v>
      </c>
      <c r="AP829" s="1366">
        <v>0</v>
      </c>
      <c r="AQ829" s="1367">
        <f t="shared" si="1200"/>
        <v>0</v>
      </c>
      <c r="AR829" s="1368">
        <v>0</v>
      </c>
      <c r="AS829" s="1369">
        <f t="shared" si="1201"/>
        <v>0</v>
      </c>
      <c r="AT829" s="1370">
        <v>0.15</v>
      </c>
      <c r="AU829" s="1371">
        <f t="shared" si="1202"/>
        <v>115.64100000000001</v>
      </c>
      <c r="AV829" s="1359">
        <f t="shared" si="1203"/>
        <v>0</v>
      </c>
      <c r="AW829" s="1372">
        <f t="shared" si="1204"/>
        <v>0</v>
      </c>
      <c r="AX829" s="1373">
        <f t="shared" si="1205"/>
        <v>0.15</v>
      </c>
      <c r="AY829" s="1374">
        <f t="shared" si="1206"/>
        <v>115.64100000000001</v>
      </c>
      <c r="AZ829" s="1375">
        <f t="shared" si="1207"/>
        <v>0.15</v>
      </c>
      <c r="BA829" s="1376">
        <f t="shared" si="1208"/>
        <v>115.64100000000001</v>
      </c>
      <c r="BB829" s="1391"/>
      <c r="BC829" s="1820"/>
      <c r="BD829" s="1820"/>
      <c r="BE829" s="1823"/>
      <c r="BF829" s="1826"/>
      <c r="BG829" s="1829"/>
    </row>
    <row r="830" spans="1:59" s="1396" customFormat="1" ht="22.5" customHeight="1">
      <c r="A830" s="1347" t="str">
        <f t="shared" si="1194"/>
        <v>Stroma Medical Corporation</v>
      </c>
      <c r="B830" s="1347" t="s">
        <v>4835</v>
      </c>
      <c r="C830" s="1348">
        <f t="shared" si="1195"/>
        <v>4</v>
      </c>
      <c r="D830" s="1349">
        <v>42795</v>
      </c>
      <c r="E830" s="1349"/>
      <c r="F830" s="1347" t="s">
        <v>113</v>
      </c>
      <c r="G830" s="1347" t="s">
        <v>85</v>
      </c>
      <c r="H830" s="1347" t="s">
        <v>85</v>
      </c>
      <c r="I830" s="1347" t="s">
        <v>113</v>
      </c>
      <c r="J830" s="1349"/>
      <c r="K830" s="1349" t="s">
        <v>254</v>
      </c>
      <c r="L830" s="1350" t="s">
        <v>4682</v>
      </c>
      <c r="M830" s="1350" t="s">
        <v>67</v>
      </c>
      <c r="N830" s="1351" t="s">
        <v>82</v>
      </c>
      <c r="O830" s="1352" t="s">
        <v>4689</v>
      </c>
      <c r="P830" s="1449"/>
      <c r="Q830" s="1445"/>
      <c r="R830" s="1445"/>
      <c r="S830" s="1445"/>
      <c r="T830" s="1445"/>
      <c r="U830" s="1445"/>
      <c r="V830" s="1445"/>
      <c r="W830" s="1445"/>
      <c r="X830" s="1353">
        <v>43101</v>
      </c>
      <c r="Y830" s="1353">
        <v>43466</v>
      </c>
      <c r="Z830" s="1425"/>
      <c r="AA830" s="1355" t="s">
        <v>4992</v>
      </c>
      <c r="AB830" s="1394"/>
      <c r="AC830" s="1394"/>
      <c r="AD830" s="1356"/>
      <c r="AE830" s="1356"/>
      <c r="AF830" s="1395" t="str">
        <f t="shared" si="951"/>
        <v/>
      </c>
      <c r="AG830" s="1358">
        <f t="shared" si="1174"/>
        <v>116.45833333333333</v>
      </c>
      <c r="AH830" s="1358">
        <v>1397.5</v>
      </c>
      <c r="AI830" s="1359">
        <v>0.15</v>
      </c>
      <c r="AJ830" s="1360">
        <f t="shared" si="1196"/>
        <v>17.46875</v>
      </c>
      <c r="AK830" s="1361">
        <f t="shared" si="1197"/>
        <v>209.625</v>
      </c>
      <c r="AL830" s="1384">
        <v>0</v>
      </c>
      <c r="AM830" s="1363">
        <f t="shared" si="1198"/>
        <v>0</v>
      </c>
      <c r="AN830" s="1364">
        <v>0</v>
      </c>
      <c r="AO830" s="1365">
        <f t="shared" si="1199"/>
        <v>0</v>
      </c>
      <c r="AP830" s="1366">
        <v>0</v>
      </c>
      <c r="AQ830" s="1367">
        <f t="shared" si="1200"/>
        <v>0</v>
      </c>
      <c r="AR830" s="1368">
        <v>0</v>
      </c>
      <c r="AS830" s="1369">
        <f t="shared" si="1201"/>
        <v>0</v>
      </c>
      <c r="AT830" s="1370">
        <v>0.15</v>
      </c>
      <c r="AU830" s="1371">
        <f t="shared" si="1202"/>
        <v>209.625</v>
      </c>
      <c r="AV830" s="1359">
        <f t="shared" si="1203"/>
        <v>0</v>
      </c>
      <c r="AW830" s="1372">
        <f t="shared" si="1204"/>
        <v>0</v>
      </c>
      <c r="AX830" s="1373">
        <f t="shared" si="1205"/>
        <v>0.15</v>
      </c>
      <c r="AY830" s="1374">
        <f t="shared" si="1206"/>
        <v>209.625</v>
      </c>
      <c r="AZ830" s="1375">
        <f t="shared" si="1207"/>
        <v>0.15</v>
      </c>
      <c r="BA830" s="1376">
        <f t="shared" si="1208"/>
        <v>209.625</v>
      </c>
      <c r="BB830" s="1391"/>
      <c r="BC830" s="1820"/>
      <c r="BD830" s="1820"/>
      <c r="BE830" s="1823"/>
      <c r="BF830" s="1826"/>
      <c r="BG830" s="1829"/>
    </row>
    <row r="831" spans="1:59" s="1378" customFormat="1" ht="27.75" customHeight="1">
      <c r="A831" s="1347" t="s">
        <v>178</v>
      </c>
      <c r="B831" s="1348" t="s">
        <v>4835</v>
      </c>
      <c r="C831" s="1348">
        <v>5</v>
      </c>
      <c r="D831" s="1349">
        <v>42795</v>
      </c>
      <c r="E831" s="1349"/>
      <c r="F831" s="1347" t="s">
        <v>72</v>
      </c>
      <c r="G831" s="1347" t="s">
        <v>85</v>
      </c>
      <c r="H831" s="1347" t="s">
        <v>72</v>
      </c>
      <c r="I831" s="1347" t="s">
        <v>72</v>
      </c>
      <c r="J831" s="1349" t="s">
        <v>4670</v>
      </c>
      <c r="K831" s="1349" t="s">
        <v>254</v>
      </c>
      <c r="L831" s="1350" t="s">
        <v>4696</v>
      </c>
      <c r="M831" s="1350" t="s">
        <v>4697</v>
      </c>
      <c r="N831" s="1389" t="s">
        <v>4698</v>
      </c>
      <c r="O831" s="1352" t="s">
        <v>4699</v>
      </c>
      <c r="P831" s="1388"/>
      <c r="Q831" s="1354"/>
      <c r="R831" s="1354"/>
      <c r="S831" s="1354"/>
      <c r="T831" s="1354"/>
      <c r="U831" s="1354"/>
      <c r="V831" s="1354"/>
      <c r="W831" s="1354"/>
      <c r="X831" s="1353">
        <v>43101</v>
      </c>
      <c r="Y831" s="1353">
        <v>43466</v>
      </c>
      <c r="Z831" s="1355"/>
      <c r="AA831" s="1355" t="s">
        <v>4674</v>
      </c>
      <c r="AB831" s="1356"/>
      <c r="AC831" s="1356"/>
      <c r="AD831" s="1356"/>
      <c r="AE831" s="1356"/>
      <c r="AF831" s="1357" t="str">
        <f t="shared" si="951"/>
        <v/>
      </c>
      <c r="AG831" s="1380"/>
      <c r="AH831" s="1380"/>
      <c r="AI831" s="1381">
        <v>0</v>
      </c>
      <c r="AJ831" s="1382">
        <f t="shared" si="1196"/>
        <v>0</v>
      </c>
      <c r="AK831" s="1383">
        <f t="shared" si="1197"/>
        <v>0</v>
      </c>
      <c r="AL831" s="1384">
        <v>0</v>
      </c>
      <c r="AM831" s="1363">
        <f t="shared" si="1198"/>
        <v>0</v>
      </c>
      <c r="AN831" s="1364">
        <v>0</v>
      </c>
      <c r="AO831" s="1365">
        <f t="shared" si="1199"/>
        <v>0</v>
      </c>
      <c r="AP831" s="1366">
        <v>0</v>
      </c>
      <c r="AQ831" s="1367">
        <f t="shared" si="1200"/>
        <v>0</v>
      </c>
      <c r="AR831" s="1368">
        <v>0</v>
      </c>
      <c r="AS831" s="1369">
        <f t="shared" si="1201"/>
        <v>0</v>
      </c>
      <c r="AT831" s="1370">
        <v>0</v>
      </c>
      <c r="AU831" s="1371">
        <f t="shared" si="1202"/>
        <v>0</v>
      </c>
      <c r="AV831" s="1359">
        <f t="shared" si="1203"/>
        <v>0</v>
      </c>
      <c r="AW831" s="1372">
        <f t="shared" si="1204"/>
        <v>0</v>
      </c>
      <c r="AX831" s="1373">
        <f t="shared" si="1205"/>
        <v>0</v>
      </c>
      <c r="AY831" s="1374">
        <f t="shared" si="1206"/>
        <v>0</v>
      </c>
      <c r="AZ831" s="1375">
        <f t="shared" si="1207"/>
        <v>0</v>
      </c>
      <c r="BA831" s="1376">
        <f t="shared" si="1208"/>
        <v>0</v>
      </c>
      <c r="BB831" s="1377"/>
      <c r="BC831" s="1820"/>
      <c r="BD831" s="1820"/>
      <c r="BE831" s="1823"/>
      <c r="BF831" s="1826"/>
      <c r="BG831" s="1829"/>
    </row>
    <row r="832" spans="1:59" s="1396" customFormat="1" ht="22.5" customHeight="1">
      <c r="A832" s="1347" t="str">
        <f t="shared" si="1194"/>
        <v>Stroma Medical Corporation</v>
      </c>
      <c r="B832" s="1347" t="s">
        <v>4835</v>
      </c>
      <c r="C832" s="1348">
        <f t="shared" si="1195"/>
        <v>4</v>
      </c>
      <c r="D832" s="1349">
        <v>42795</v>
      </c>
      <c r="E832" s="1349"/>
      <c r="F832" s="1347" t="s">
        <v>72</v>
      </c>
      <c r="G832" s="1347" t="s">
        <v>85</v>
      </c>
      <c r="H832" s="1347" t="s">
        <v>72</v>
      </c>
      <c r="I832" s="1347" t="s">
        <v>72</v>
      </c>
      <c r="J832" s="1349" t="s">
        <v>4670</v>
      </c>
      <c r="K832" s="1349" t="s">
        <v>254</v>
      </c>
      <c r="L832" s="1350" t="s">
        <v>48</v>
      </c>
      <c r="M832" s="1350" t="s">
        <v>253</v>
      </c>
      <c r="N832" s="1390" t="s">
        <v>4703</v>
      </c>
      <c r="O832" s="1352" t="s">
        <v>5307</v>
      </c>
      <c r="P832" s="1449"/>
      <c r="Q832" s="1445"/>
      <c r="R832" s="1445"/>
      <c r="S832" s="1445"/>
      <c r="T832" s="1445"/>
      <c r="U832" s="1445"/>
      <c r="V832" s="1445"/>
      <c r="W832" s="1445"/>
      <c r="X832" s="1353">
        <v>43101</v>
      </c>
      <c r="Y832" s="1353">
        <v>43466</v>
      </c>
      <c r="Z832" s="1425"/>
      <c r="AA832" s="1355" t="s">
        <v>4674</v>
      </c>
      <c r="AB832" s="1394"/>
      <c r="AC832" s="1394"/>
      <c r="AD832" s="1356"/>
      <c r="AE832" s="1356"/>
      <c r="AF832" s="1395" t="str">
        <f t="shared" si="951"/>
        <v/>
      </c>
      <c r="AG832" s="1380"/>
      <c r="AH832" s="1380"/>
      <c r="AI832" s="1381">
        <v>0</v>
      </c>
      <c r="AJ832" s="1382">
        <f t="shared" si="1196"/>
        <v>0</v>
      </c>
      <c r="AK832" s="1383">
        <f t="shared" si="1197"/>
        <v>0</v>
      </c>
      <c r="AL832" s="1384">
        <v>0</v>
      </c>
      <c r="AM832" s="1363">
        <f t="shared" si="1198"/>
        <v>0</v>
      </c>
      <c r="AN832" s="1364">
        <v>0</v>
      </c>
      <c r="AO832" s="1365">
        <f t="shared" si="1199"/>
        <v>0</v>
      </c>
      <c r="AP832" s="1366">
        <v>0</v>
      </c>
      <c r="AQ832" s="1367">
        <f t="shared" si="1200"/>
        <v>0</v>
      </c>
      <c r="AR832" s="1368">
        <v>0</v>
      </c>
      <c r="AS832" s="1369">
        <f t="shared" si="1201"/>
        <v>0</v>
      </c>
      <c r="AT832" s="1370">
        <v>0</v>
      </c>
      <c r="AU832" s="1371">
        <f t="shared" si="1202"/>
        <v>0</v>
      </c>
      <c r="AV832" s="1359">
        <f t="shared" si="1203"/>
        <v>0</v>
      </c>
      <c r="AW832" s="1372">
        <f t="shared" si="1204"/>
        <v>0</v>
      </c>
      <c r="AX832" s="1373">
        <f t="shared" si="1205"/>
        <v>0</v>
      </c>
      <c r="AY832" s="1374">
        <f t="shared" si="1206"/>
        <v>0</v>
      </c>
      <c r="AZ832" s="1375">
        <f t="shared" si="1207"/>
        <v>0</v>
      </c>
      <c r="BA832" s="1376">
        <f t="shared" si="1208"/>
        <v>0</v>
      </c>
      <c r="BB832" s="1391"/>
      <c r="BC832" s="1820"/>
      <c r="BD832" s="1820"/>
      <c r="BE832" s="1823"/>
      <c r="BF832" s="1826"/>
      <c r="BG832" s="1829"/>
    </row>
    <row r="833" spans="1:59" s="1396" customFormat="1" ht="22.5" customHeight="1">
      <c r="A833" s="1347" t="str">
        <f t="shared" si="1194"/>
        <v>Stroma Medical Corporation</v>
      </c>
      <c r="B833" s="1347" t="s">
        <v>4835</v>
      </c>
      <c r="C833" s="1348">
        <f t="shared" si="1195"/>
        <v>4</v>
      </c>
      <c r="D833" s="1349">
        <v>42795</v>
      </c>
      <c r="E833" s="1349"/>
      <c r="F833" s="1347" t="s">
        <v>72</v>
      </c>
      <c r="G833" s="1347" t="s">
        <v>85</v>
      </c>
      <c r="H833" s="1347" t="s">
        <v>72</v>
      </c>
      <c r="I833" s="1347" t="s">
        <v>72</v>
      </c>
      <c r="J833" s="1349" t="s">
        <v>4670</v>
      </c>
      <c r="K833" s="1349" t="s">
        <v>254</v>
      </c>
      <c r="L833" s="1350" t="s">
        <v>49</v>
      </c>
      <c r="M833" s="1350" t="s">
        <v>4705</v>
      </c>
      <c r="N833" s="1390" t="s">
        <v>5273</v>
      </c>
      <c r="O833" s="1352" t="s">
        <v>4707</v>
      </c>
      <c r="P833" s="1449"/>
      <c r="Q833" s="1445"/>
      <c r="R833" s="1445"/>
      <c r="S833" s="1445"/>
      <c r="T833" s="1445"/>
      <c r="U833" s="1445"/>
      <c r="V833" s="1445"/>
      <c r="W833" s="1445"/>
      <c r="X833" s="1353">
        <v>43101</v>
      </c>
      <c r="Y833" s="1353">
        <v>43466</v>
      </c>
      <c r="Z833" s="1425"/>
      <c r="AA833" s="1355" t="s">
        <v>4674</v>
      </c>
      <c r="AB833" s="1394"/>
      <c r="AC833" s="1394"/>
      <c r="AD833" s="1356"/>
      <c r="AE833" s="1356"/>
      <c r="AF833" s="1395" t="str">
        <f t="shared" si="951"/>
        <v/>
      </c>
      <c r="AG833" s="1380"/>
      <c r="AH833" s="1380"/>
      <c r="AI833" s="1381">
        <v>0</v>
      </c>
      <c r="AJ833" s="1382">
        <f t="shared" si="1196"/>
        <v>0</v>
      </c>
      <c r="AK833" s="1383">
        <f t="shared" si="1197"/>
        <v>0</v>
      </c>
      <c r="AL833" s="1384">
        <v>0</v>
      </c>
      <c r="AM833" s="1363">
        <f t="shared" si="1198"/>
        <v>0</v>
      </c>
      <c r="AN833" s="1364">
        <v>0</v>
      </c>
      <c r="AO833" s="1365">
        <f t="shared" si="1199"/>
        <v>0</v>
      </c>
      <c r="AP833" s="1366">
        <v>0</v>
      </c>
      <c r="AQ833" s="1367">
        <f t="shared" si="1200"/>
        <v>0</v>
      </c>
      <c r="AR833" s="1368">
        <v>0</v>
      </c>
      <c r="AS833" s="1369">
        <f t="shared" si="1201"/>
        <v>0</v>
      </c>
      <c r="AT833" s="1370">
        <v>0</v>
      </c>
      <c r="AU833" s="1371">
        <f t="shared" si="1202"/>
        <v>0</v>
      </c>
      <c r="AV833" s="1359">
        <f t="shared" si="1203"/>
        <v>0</v>
      </c>
      <c r="AW833" s="1372">
        <f t="shared" si="1204"/>
        <v>0</v>
      </c>
      <c r="AX833" s="1373">
        <f t="shared" si="1205"/>
        <v>0</v>
      </c>
      <c r="AY833" s="1374">
        <f t="shared" si="1206"/>
        <v>0</v>
      </c>
      <c r="AZ833" s="1375">
        <f t="shared" si="1207"/>
        <v>0</v>
      </c>
      <c r="BA833" s="1376">
        <f t="shared" si="1208"/>
        <v>0</v>
      </c>
      <c r="BB833" s="1391"/>
      <c r="BC833" s="1820"/>
      <c r="BD833" s="1820"/>
      <c r="BE833" s="1823"/>
      <c r="BF833" s="1826"/>
      <c r="BG833" s="1829"/>
    </row>
    <row r="834" spans="1:59" s="1378" customFormat="1" ht="21.75" customHeight="1">
      <c r="A834" s="1347" t="str">
        <f>A833</f>
        <v>Stroma Medical Corporation</v>
      </c>
      <c r="B834" s="1348" t="str">
        <f>B833</f>
        <v>Duenas</v>
      </c>
      <c r="C834" s="1348">
        <f>C833</f>
        <v>4</v>
      </c>
      <c r="D834" s="1349">
        <v>42795</v>
      </c>
      <c r="E834" s="1349"/>
      <c r="F834" s="1347" t="s">
        <v>72</v>
      </c>
      <c r="G834" s="1347" t="s">
        <v>85</v>
      </c>
      <c r="H834" s="1347" t="s">
        <v>72</v>
      </c>
      <c r="I834" s="1347" t="s">
        <v>72</v>
      </c>
      <c r="J834" s="1349" t="s">
        <v>4670</v>
      </c>
      <c r="K834" s="1349" t="s">
        <v>254</v>
      </c>
      <c r="L834" s="1350" t="s">
        <v>3056</v>
      </c>
      <c r="M834" s="1350" t="s">
        <v>4708</v>
      </c>
      <c r="N834" s="1390" t="s">
        <v>4709</v>
      </c>
      <c r="O834" s="1352" t="s">
        <v>4710</v>
      </c>
      <c r="P834" s="1449"/>
      <c r="Q834" s="1445"/>
      <c r="R834" s="1445"/>
      <c r="S834" s="1445"/>
      <c r="T834" s="1445"/>
      <c r="U834" s="1445"/>
      <c r="V834" s="1445"/>
      <c r="W834" s="1445"/>
      <c r="X834" s="1353">
        <v>43101</v>
      </c>
      <c r="Y834" s="1353">
        <v>43466</v>
      </c>
      <c r="Z834" s="1355"/>
      <c r="AA834" s="1355" t="s">
        <v>4674</v>
      </c>
      <c r="AB834" s="1356"/>
      <c r="AC834" s="1356"/>
      <c r="AD834" s="1356"/>
      <c r="AE834" s="1356"/>
      <c r="AF834" s="1357" t="str">
        <f t="shared" si="951"/>
        <v/>
      </c>
      <c r="AG834" s="1380"/>
      <c r="AH834" s="1380"/>
      <c r="AI834" s="1381">
        <v>0</v>
      </c>
      <c r="AJ834" s="1382">
        <f t="shared" si="1196"/>
        <v>0</v>
      </c>
      <c r="AK834" s="1383">
        <f t="shared" si="1197"/>
        <v>0</v>
      </c>
      <c r="AL834" s="1384">
        <v>0</v>
      </c>
      <c r="AM834" s="1363">
        <f t="shared" si="1198"/>
        <v>0</v>
      </c>
      <c r="AN834" s="1364">
        <v>0</v>
      </c>
      <c r="AO834" s="1365">
        <f t="shared" si="1199"/>
        <v>0</v>
      </c>
      <c r="AP834" s="1366">
        <v>0</v>
      </c>
      <c r="AQ834" s="1367">
        <f t="shared" si="1200"/>
        <v>0</v>
      </c>
      <c r="AR834" s="1368">
        <v>0</v>
      </c>
      <c r="AS834" s="1369">
        <f t="shared" si="1201"/>
        <v>0</v>
      </c>
      <c r="AT834" s="1370">
        <v>0</v>
      </c>
      <c r="AU834" s="1371">
        <f t="shared" si="1202"/>
        <v>0</v>
      </c>
      <c r="AV834" s="1359">
        <f t="shared" si="1203"/>
        <v>0</v>
      </c>
      <c r="AW834" s="1372">
        <f t="shared" si="1204"/>
        <v>0</v>
      </c>
      <c r="AX834" s="1373">
        <f t="shared" si="1205"/>
        <v>0</v>
      </c>
      <c r="AY834" s="1374">
        <f t="shared" si="1206"/>
        <v>0</v>
      </c>
      <c r="AZ834" s="1375">
        <f t="shared" si="1207"/>
        <v>0</v>
      </c>
      <c r="BA834" s="1376">
        <f t="shared" si="1208"/>
        <v>0</v>
      </c>
      <c r="BB834" s="1391"/>
      <c r="BC834" s="1821"/>
      <c r="BD834" s="1821"/>
      <c r="BE834" s="1824"/>
      <c r="BF834" s="1827"/>
      <c r="BG834" s="1830"/>
    </row>
    <row r="835" spans="1:59" s="1315" customFormat="1" ht="25.5">
      <c r="A835" s="1277" t="str">
        <f t="shared" ref="A835:A847" si="1210">L$835</f>
        <v>SutroVax, Inc.</v>
      </c>
      <c r="B835" s="1316" t="str">
        <f t="shared" ref="B835:B847" si="1211">N$835</f>
        <v>ABD</v>
      </c>
      <c r="C835" s="1316">
        <f t="shared" ref="C835:C847" si="1212">Z$835</f>
        <v>27</v>
      </c>
      <c r="D835" s="1317">
        <v>43101</v>
      </c>
      <c r="E835" s="1317"/>
      <c r="F835" s="1277" t="s">
        <v>72</v>
      </c>
      <c r="G835" s="1277" t="s">
        <v>72</v>
      </c>
      <c r="H835" s="1277" t="s">
        <v>72</v>
      </c>
      <c r="I835" s="1277" t="s">
        <v>4711</v>
      </c>
      <c r="J835" s="1317"/>
      <c r="K835" s="1317"/>
      <c r="L835" s="1318" t="s">
        <v>1326</v>
      </c>
      <c r="M835" s="1319"/>
      <c r="N835" s="1417" t="s">
        <v>3654</v>
      </c>
      <c r="O835" s="1418" t="s">
        <v>2473</v>
      </c>
      <c r="P835" s="1419"/>
      <c r="Q835" s="1322"/>
      <c r="R835" s="1322"/>
      <c r="S835" s="1322"/>
      <c r="T835" s="1322"/>
      <c r="U835" s="1322"/>
      <c r="V835" s="1322"/>
      <c r="W835" s="1322"/>
      <c r="X835" s="1317">
        <v>43101</v>
      </c>
      <c r="Y835" s="1317">
        <v>43466</v>
      </c>
      <c r="Z835" s="1316">
        <v>27</v>
      </c>
      <c r="AA835" s="1316" t="s">
        <v>5308</v>
      </c>
      <c r="AB835" s="1323">
        <f>SUM(AB836:AB848)</f>
        <v>0</v>
      </c>
      <c r="AC835" s="1323">
        <f>SUM(AC836:AC848)</f>
        <v>0</v>
      </c>
      <c r="AD835" s="1323">
        <f>SUM(AD836:AD848)</f>
        <v>0</v>
      </c>
      <c r="AE835" s="1324">
        <f t="shared" ref="AE835" si="1213">AD835-AB835</f>
        <v>0</v>
      </c>
      <c r="AF835" s="1325" t="str">
        <f t="shared" si="951"/>
        <v/>
      </c>
      <c r="AG835" s="1326">
        <f t="shared" si="1174"/>
        <v>45378.832499999997</v>
      </c>
      <c r="AH835" s="1326">
        <f>SUM(AH836:AH848)</f>
        <v>544545.99</v>
      </c>
      <c r="AI835" s="1339"/>
      <c r="AJ835" s="1328">
        <f>SUM(AJ836:AJ848)</f>
        <v>3880.8362749999997</v>
      </c>
      <c r="AK835" s="1328">
        <f>SUM(AK836:AK848)</f>
        <v>46570.035300000003</v>
      </c>
      <c r="AL835" s="1329"/>
      <c r="AM835" s="1330">
        <f>SUM(AM836:AM848)</f>
        <v>2312.2428</v>
      </c>
      <c r="AN835" s="1331"/>
      <c r="AO835" s="1332">
        <f>SUM(AO836:AO848)</f>
        <v>25611.499799999998</v>
      </c>
      <c r="AP835" s="1333"/>
      <c r="AQ835" s="1334">
        <f>SUM(AQ836:AQ848)</f>
        <v>0</v>
      </c>
      <c r="AR835" s="1335"/>
      <c r="AS835" s="1336">
        <f>SUM(AS836:AS848)</f>
        <v>0</v>
      </c>
      <c r="AT835" s="1337"/>
      <c r="AU835" s="1338">
        <f>SUM(AU836:AU848)</f>
        <v>11561.214</v>
      </c>
      <c r="AV835" s="1339"/>
      <c r="AW835" s="1340">
        <f>SUM(AW836:AW848)</f>
        <v>7085.0786999999973</v>
      </c>
      <c r="AX835" s="1306"/>
      <c r="AY835" s="1307">
        <f>SUM(AW835+AS835+AU835)</f>
        <v>18646.292699999998</v>
      </c>
      <c r="AZ835" s="1341"/>
      <c r="BA835" s="1309">
        <f>SUM(AY835+AQ835)</f>
        <v>18646.292699999998</v>
      </c>
      <c r="BB835" s="1342">
        <f>(AW835+AU835)/(AK835-AM835)</f>
        <v>0.4213109521899448</v>
      </c>
      <c r="BC835" s="1343"/>
      <c r="BD835" s="1343"/>
      <c r="BE835" s="1344"/>
      <c r="BF835" s="1420" t="s">
        <v>5309</v>
      </c>
      <c r="BG835" s="1346"/>
    </row>
    <row r="836" spans="1:59" s="1378" customFormat="1" ht="76.5">
      <c r="A836" s="1347" t="str">
        <f t="shared" si="1210"/>
        <v>SutroVax, Inc.</v>
      </c>
      <c r="B836" s="1348" t="str">
        <f t="shared" si="1211"/>
        <v>ABD</v>
      </c>
      <c r="C836" s="1348">
        <f t="shared" si="1212"/>
        <v>27</v>
      </c>
      <c r="D836" s="1349">
        <v>43101</v>
      </c>
      <c r="E836" s="1349"/>
      <c r="F836" s="1347" t="s">
        <v>85</v>
      </c>
      <c r="G836" s="1347" t="s">
        <v>85</v>
      </c>
      <c r="H836" s="1347" t="s">
        <v>85</v>
      </c>
      <c r="I836" s="1347" t="s">
        <v>113</v>
      </c>
      <c r="J836" s="1349"/>
      <c r="K836" s="1349" t="s">
        <v>254</v>
      </c>
      <c r="L836" s="1350" t="s">
        <v>2661</v>
      </c>
      <c r="M836" s="1350" t="s">
        <v>3647</v>
      </c>
      <c r="N836" s="1351" t="s">
        <v>4750</v>
      </c>
      <c r="O836" s="1352" t="s">
        <v>4751</v>
      </c>
      <c r="P836" s="1352" t="s">
        <v>4752</v>
      </c>
      <c r="Q836" s="1353" t="s">
        <v>303</v>
      </c>
      <c r="R836" s="1353" t="s">
        <v>3656</v>
      </c>
      <c r="S836" s="1353" t="s">
        <v>307</v>
      </c>
      <c r="T836" s="1353" t="s">
        <v>113</v>
      </c>
      <c r="U836" s="1354"/>
      <c r="V836" s="1354"/>
      <c r="W836" s="1354"/>
      <c r="X836" s="1353">
        <v>43101</v>
      </c>
      <c r="Y836" s="1353">
        <v>43466</v>
      </c>
      <c r="Z836" s="1355"/>
      <c r="AA836" s="1355" t="s">
        <v>4667</v>
      </c>
      <c r="AB836" s="1356"/>
      <c r="AC836" s="1356"/>
      <c r="AD836" s="1356"/>
      <c r="AE836" s="1356"/>
      <c r="AF836" s="1357" t="str">
        <f t="shared" si="951"/>
        <v/>
      </c>
      <c r="AG836" s="1358">
        <f t="shared" si="1174"/>
        <v>38537.379999999997</v>
      </c>
      <c r="AH836" s="1358">
        <v>462448.56</v>
      </c>
      <c r="AI836" s="1359">
        <v>0.08</v>
      </c>
      <c r="AJ836" s="1360">
        <f t="shared" ref="AJ836:AJ848" si="1214">$AI836*$AG836</f>
        <v>3082.9903999999997</v>
      </c>
      <c r="AK836" s="1361">
        <f t="shared" ref="AK836" si="1215">AI836*$AH836</f>
        <v>36995.8848</v>
      </c>
      <c r="AL836" s="1362">
        <v>5.0000000000000001E-3</v>
      </c>
      <c r="AM836" s="1363">
        <f t="shared" ref="AM836:AM848" si="1216">AL836*$AH836</f>
        <v>2312.2428</v>
      </c>
      <c r="AN836" s="1364">
        <v>0.04</v>
      </c>
      <c r="AO836" s="1365">
        <f t="shared" ref="AO836:AO848" si="1217">AN836*$AH836</f>
        <v>18497.9424</v>
      </c>
      <c r="AP836" s="1366">
        <v>0</v>
      </c>
      <c r="AQ836" s="1367">
        <f t="shared" ref="AQ836:AQ848" si="1218">AP836*$AH836</f>
        <v>0</v>
      </c>
      <c r="AR836" s="1368">
        <v>0</v>
      </c>
      <c r="AS836" s="1369">
        <f t="shared" ref="AS836:AS848" si="1219">AR836*$AH836</f>
        <v>0</v>
      </c>
      <c r="AT836" s="1370">
        <v>2.5000000000000001E-2</v>
      </c>
      <c r="AU836" s="1371">
        <f t="shared" ref="AU836:AU848" si="1220">AT836*$AH836</f>
        <v>11561.214</v>
      </c>
      <c r="AV836" s="1359">
        <f t="shared" ref="AV836:AV848" si="1221">AZ836-AR836-AT836-AP836</f>
        <v>9.999999999999995E-3</v>
      </c>
      <c r="AW836" s="1372">
        <f t="shared" ref="AW836:AW848" si="1222">AV836*$AH836</f>
        <v>4624.4855999999972</v>
      </c>
      <c r="AX836" s="1373">
        <f t="shared" ref="AX836:AX848" si="1223">$AZ836-$AP836</f>
        <v>3.4999999999999996E-2</v>
      </c>
      <c r="AY836" s="1374">
        <f t="shared" ref="AY836:AY848" si="1224">AX836*$AH836</f>
        <v>16185.699599999998</v>
      </c>
      <c r="AZ836" s="1375">
        <f t="shared" ref="AZ836:AZ848" si="1225">$AI836-$AL836-$AN836</f>
        <v>3.4999999999999996E-2</v>
      </c>
      <c r="BA836" s="1376">
        <f t="shared" ref="BA836:BA848" si="1226">AZ836*$AH836</f>
        <v>16185.699599999998</v>
      </c>
      <c r="BB836" s="1377"/>
      <c r="BC836" s="1819" t="s">
        <v>1327</v>
      </c>
      <c r="BD836" s="1819" t="s">
        <v>3566</v>
      </c>
      <c r="BE836" s="1822" t="s">
        <v>5310</v>
      </c>
      <c r="BF836" s="1825" t="s">
        <v>5311</v>
      </c>
      <c r="BG836" s="1828">
        <v>464233385</v>
      </c>
    </row>
    <row r="837" spans="1:59" s="1378" customFormat="1" ht="38.25">
      <c r="A837" s="1347" t="str">
        <f t="shared" si="1210"/>
        <v>SutroVax, Inc.</v>
      </c>
      <c r="B837" s="1348" t="str">
        <f t="shared" si="1211"/>
        <v>ABD</v>
      </c>
      <c r="C837" s="1348">
        <f t="shared" si="1212"/>
        <v>27</v>
      </c>
      <c r="D837" s="1349">
        <v>43101</v>
      </c>
      <c r="E837" s="1349"/>
      <c r="F837" s="1347" t="s">
        <v>72</v>
      </c>
      <c r="G837" s="1347" t="s">
        <v>85</v>
      </c>
      <c r="H837" s="1347" t="s">
        <v>72</v>
      </c>
      <c r="I837" s="1347" t="s">
        <v>72</v>
      </c>
      <c r="J837" s="1349" t="s">
        <v>4670</v>
      </c>
      <c r="K837" s="1349" t="s">
        <v>254</v>
      </c>
      <c r="L837" s="1350" t="s">
        <v>4671</v>
      </c>
      <c r="M837" s="1350" t="s">
        <v>3649</v>
      </c>
      <c r="N837" s="1379" t="s">
        <v>4755</v>
      </c>
      <c r="O837" s="1352" t="s">
        <v>5312</v>
      </c>
      <c r="P837" s="1388"/>
      <c r="Q837" s="1354"/>
      <c r="R837" s="1354"/>
      <c r="S837" s="1354"/>
      <c r="T837" s="1354"/>
      <c r="U837" s="1354"/>
      <c r="V837" s="1354"/>
      <c r="W837" s="1354"/>
      <c r="X837" s="1353">
        <v>43101</v>
      </c>
      <c r="Y837" s="1353">
        <v>43466</v>
      </c>
      <c r="Z837" s="1355"/>
      <c r="AA837" s="1355" t="s">
        <v>4674</v>
      </c>
      <c r="AB837" s="1356"/>
      <c r="AC837" s="1356"/>
      <c r="AD837" s="1356"/>
      <c r="AE837" s="1356"/>
      <c r="AF837" s="1357" t="str">
        <f t="shared" si="951"/>
        <v/>
      </c>
      <c r="AG837" s="1380"/>
      <c r="AH837" s="1380"/>
      <c r="AI837" s="1381">
        <v>0</v>
      </c>
      <c r="AJ837" s="1382">
        <f t="shared" si="1214"/>
        <v>0</v>
      </c>
      <c r="AK837" s="1383">
        <f>AI837*$AH837</f>
        <v>0</v>
      </c>
      <c r="AL837" s="1384">
        <v>0</v>
      </c>
      <c r="AM837" s="1363">
        <f t="shared" si="1216"/>
        <v>0</v>
      </c>
      <c r="AN837" s="1364">
        <v>0</v>
      </c>
      <c r="AO837" s="1365">
        <f t="shared" si="1217"/>
        <v>0</v>
      </c>
      <c r="AP837" s="1366">
        <v>0</v>
      </c>
      <c r="AQ837" s="1367">
        <f t="shared" si="1218"/>
        <v>0</v>
      </c>
      <c r="AR837" s="1368">
        <v>0</v>
      </c>
      <c r="AS837" s="1369">
        <f t="shared" si="1219"/>
        <v>0</v>
      </c>
      <c r="AT837" s="1370">
        <v>0</v>
      </c>
      <c r="AU837" s="1371">
        <f t="shared" si="1220"/>
        <v>0</v>
      </c>
      <c r="AV837" s="1359">
        <f t="shared" si="1221"/>
        <v>0</v>
      </c>
      <c r="AW837" s="1372">
        <f t="shared" si="1222"/>
        <v>0</v>
      </c>
      <c r="AX837" s="1373">
        <f t="shared" si="1223"/>
        <v>0</v>
      </c>
      <c r="AY837" s="1374">
        <f t="shared" si="1224"/>
        <v>0</v>
      </c>
      <c r="AZ837" s="1375">
        <f t="shared" si="1225"/>
        <v>0</v>
      </c>
      <c r="BA837" s="1376">
        <f t="shared" si="1226"/>
        <v>0</v>
      </c>
      <c r="BB837" s="1377"/>
      <c r="BC837" s="1820"/>
      <c r="BD837" s="1820"/>
      <c r="BE837" s="1823"/>
      <c r="BF837" s="1826"/>
      <c r="BG837" s="1829"/>
    </row>
    <row r="838" spans="1:59" s="1378" customFormat="1" ht="38.25">
      <c r="A838" s="1347" t="str">
        <f t="shared" si="1210"/>
        <v>SutroVax, Inc.</v>
      </c>
      <c r="B838" s="1348" t="str">
        <f t="shared" si="1211"/>
        <v>ABD</v>
      </c>
      <c r="C838" s="1348">
        <f t="shared" si="1212"/>
        <v>27</v>
      </c>
      <c r="D838" s="1349">
        <v>43101</v>
      </c>
      <c r="E838" s="1349"/>
      <c r="F838" s="1347" t="s">
        <v>113</v>
      </c>
      <c r="G838" s="1347" t="s">
        <v>85</v>
      </c>
      <c r="H838" s="1347" t="s">
        <v>85</v>
      </c>
      <c r="I838" s="1347" t="s">
        <v>113</v>
      </c>
      <c r="J838" s="1349"/>
      <c r="K838" s="1349" t="s">
        <v>254</v>
      </c>
      <c r="L838" s="1350" t="s">
        <v>4675</v>
      </c>
      <c r="M838" s="1350" t="s">
        <v>3650</v>
      </c>
      <c r="N838" s="1385" t="s">
        <v>5313</v>
      </c>
      <c r="O838" s="1352" t="s">
        <v>4677</v>
      </c>
      <c r="P838" s="1388"/>
      <c r="Q838" s="1354"/>
      <c r="R838" s="1354"/>
      <c r="S838" s="1354"/>
      <c r="T838" s="1354"/>
      <c r="U838" s="1353" t="s">
        <v>4959</v>
      </c>
      <c r="V838" s="1353" t="s">
        <v>2497</v>
      </c>
      <c r="W838" s="1354"/>
      <c r="X838" s="1353">
        <v>43101</v>
      </c>
      <c r="Y838" s="1353">
        <v>43466</v>
      </c>
      <c r="Z838" s="1355"/>
      <c r="AA838" s="1355" t="s">
        <v>4679</v>
      </c>
      <c r="AB838" s="1356"/>
      <c r="AC838" s="1356"/>
      <c r="AD838" s="1356"/>
      <c r="AE838" s="1356"/>
      <c r="AF838" s="1357" t="str">
        <f t="shared" si="951"/>
        <v/>
      </c>
      <c r="AG838" s="1358">
        <f t="shared" si="1174"/>
        <v>4085.09</v>
      </c>
      <c r="AH838" s="1358">
        <v>49021.08</v>
      </c>
      <c r="AI838" s="1359">
        <v>0.1</v>
      </c>
      <c r="AJ838" s="1360">
        <f t="shared" si="1214"/>
        <v>408.50900000000001</v>
      </c>
      <c r="AK838" s="1361">
        <f t="shared" ref="AK838:AK848" si="1227">AI838*$AH838</f>
        <v>4902.1080000000002</v>
      </c>
      <c r="AL838" s="1384">
        <v>0</v>
      </c>
      <c r="AM838" s="1363">
        <f t="shared" si="1216"/>
        <v>0</v>
      </c>
      <c r="AN838" s="1364">
        <v>0.08</v>
      </c>
      <c r="AO838" s="1365">
        <f t="shared" si="1217"/>
        <v>3921.6864</v>
      </c>
      <c r="AP838" s="1366">
        <v>0</v>
      </c>
      <c r="AQ838" s="1367">
        <f t="shared" si="1218"/>
        <v>0</v>
      </c>
      <c r="AR838" s="1368">
        <v>0</v>
      </c>
      <c r="AS838" s="1369">
        <f t="shared" si="1219"/>
        <v>0</v>
      </c>
      <c r="AT838" s="1370">
        <v>0</v>
      </c>
      <c r="AU838" s="1371">
        <f t="shared" si="1220"/>
        <v>0</v>
      </c>
      <c r="AV838" s="1359">
        <f t="shared" si="1221"/>
        <v>2.0000000000000004E-2</v>
      </c>
      <c r="AW838" s="1372">
        <f t="shared" si="1222"/>
        <v>980.42160000000024</v>
      </c>
      <c r="AX838" s="1373">
        <f t="shared" si="1223"/>
        <v>2.0000000000000004E-2</v>
      </c>
      <c r="AY838" s="1374">
        <f t="shared" si="1224"/>
        <v>980.42160000000024</v>
      </c>
      <c r="AZ838" s="1375">
        <f t="shared" si="1225"/>
        <v>2.0000000000000004E-2</v>
      </c>
      <c r="BA838" s="1376">
        <f t="shared" si="1226"/>
        <v>980.42160000000024</v>
      </c>
      <c r="BB838" s="1377"/>
      <c r="BC838" s="1820"/>
      <c r="BD838" s="1820"/>
      <c r="BE838" s="1823"/>
      <c r="BF838" s="1826"/>
      <c r="BG838" s="1829"/>
    </row>
    <row r="839" spans="1:59" s="1378" customFormat="1" ht="38.25">
      <c r="A839" s="1347" t="str">
        <f t="shared" si="1210"/>
        <v>SutroVax, Inc.</v>
      </c>
      <c r="B839" s="1348" t="str">
        <f t="shared" si="1211"/>
        <v>ABD</v>
      </c>
      <c r="C839" s="1348">
        <f t="shared" si="1212"/>
        <v>27</v>
      </c>
      <c r="D839" s="1349">
        <v>43101</v>
      </c>
      <c r="E839" s="1349"/>
      <c r="F839" s="1347" t="s">
        <v>113</v>
      </c>
      <c r="G839" s="1347" t="s">
        <v>85</v>
      </c>
      <c r="H839" s="1347" t="s">
        <v>85</v>
      </c>
      <c r="I839" s="1347" t="s">
        <v>113</v>
      </c>
      <c r="J839" s="1349"/>
      <c r="K839" s="1349" t="s">
        <v>254</v>
      </c>
      <c r="L839" s="1350" t="s">
        <v>4675</v>
      </c>
      <c r="M839" s="1350" t="s">
        <v>3651</v>
      </c>
      <c r="N839" s="1351" t="s">
        <v>4856</v>
      </c>
      <c r="O839" s="1352" t="s">
        <v>4681</v>
      </c>
      <c r="P839" s="1388"/>
      <c r="Q839" s="1354"/>
      <c r="R839" s="1354"/>
      <c r="S839" s="1354"/>
      <c r="T839" s="1354"/>
      <c r="U839" s="1354"/>
      <c r="V839" s="1354"/>
      <c r="W839" s="1353" t="s">
        <v>2492</v>
      </c>
      <c r="X839" s="1353">
        <v>43101</v>
      </c>
      <c r="Y839" s="1353">
        <v>43466</v>
      </c>
      <c r="Z839" s="1355"/>
      <c r="AA839" s="1355" t="s">
        <v>4679</v>
      </c>
      <c r="AB839" s="1356"/>
      <c r="AC839" s="1356"/>
      <c r="AD839" s="1356"/>
      <c r="AE839" s="1356"/>
      <c r="AF839" s="1357" t="str">
        <f t="shared" si="951"/>
        <v/>
      </c>
      <c r="AG839" s="1358">
        <f t="shared" si="1174"/>
        <v>482.34999999999997</v>
      </c>
      <c r="AH839" s="1358">
        <v>5788.2</v>
      </c>
      <c r="AI839" s="1359">
        <v>0.1</v>
      </c>
      <c r="AJ839" s="1360">
        <f t="shared" si="1214"/>
        <v>48.234999999999999</v>
      </c>
      <c r="AK839" s="1361">
        <f t="shared" si="1227"/>
        <v>578.82000000000005</v>
      </c>
      <c r="AL839" s="1384">
        <v>0</v>
      </c>
      <c r="AM839" s="1363">
        <f t="shared" si="1216"/>
        <v>0</v>
      </c>
      <c r="AN839" s="1364">
        <v>0.08</v>
      </c>
      <c r="AO839" s="1365">
        <f t="shared" si="1217"/>
        <v>463.05599999999998</v>
      </c>
      <c r="AP839" s="1366">
        <v>0</v>
      </c>
      <c r="AQ839" s="1367">
        <f t="shared" si="1218"/>
        <v>0</v>
      </c>
      <c r="AR839" s="1368">
        <v>0</v>
      </c>
      <c r="AS839" s="1369">
        <f t="shared" si="1219"/>
        <v>0</v>
      </c>
      <c r="AT839" s="1370">
        <v>0</v>
      </c>
      <c r="AU839" s="1371">
        <f t="shared" si="1220"/>
        <v>0</v>
      </c>
      <c r="AV839" s="1359">
        <f t="shared" si="1221"/>
        <v>2.0000000000000004E-2</v>
      </c>
      <c r="AW839" s="1372">
        <f t="shared" si="1222"/>
        <v>115.76400000000002</v>
      </c>
      <c r="AX839" s="1373">
        <f t="shared" si="1223"/>
        <v>2.0000000000000004E-2</v>
      </c>
      <c r="AY839" s="1374">
        <f t="shared" si="1224"/>
        <v>115.76400000000002</v>
      </c>
      <c r="AZ839" s="1375">
        <f t="shared" si="1225"/>
        <v>2.0000000000000004E-2</v>
      </c>
      <c r="BA839" s="1376">
        <f t="shared" si="1226"/>
        <v>115.76400000000002</v>
      </c>
      <c r="BB839" s="1377"/>
      <c r="BC839" s="1820"/>
      <c r="BD839" s="1820"/>
      <c r="BE839" s="1823"/>
      <c r="BF839" s="1826"/>
      <c r="BG839" s="1829"/>
    </row>
    <row r="840" spans="1:59" s="1378" customFormat="1" ht="38.25">
      <c r="A840" s="1347" t="str">
        <f t="shared" si="1210"/>
        <v>SutroVax, Inc.</v>
      </c>
      <c r="B840" s="1348" t="str">
        <f t="shared" si="1211"/>
        <v>ABD</v>
      </c>
      <c r="C840" s="1348">
        <f t="shared" si="1212"/>
        <v>27</v>
      </c>
      <c r="D840" s="1349">
        <v>43101</v>
      </c>
      <c r="E840" s="1349"/>
      <c r="F840" s="1347" t="s">
        <v>113</v>
      </c>
      <c r="G840" s="1347" t="s">
        <v>85</v>
      </c>
      <c r="H840" s="1347" t="s">
        <v>85</v>
      </c>
      <c r="I840" s="1347" t="s">
        <v>113</v>
      </c>
      <c r="J840" s="1349"/>
      <c r="K840" s="1349" t="s">
        <v>254</v>
      </c>
      <c r="L840" s="1350" t="s">
        <v>4682</v>
      </c>
      <c r="M840" s="1350" t="s">
        <v>4683</v>
      </c>
      <c r="N840" s="1386" t="s">
        <v>57</v>
      </c>
      <c r="O840" s="1352" t="s">
        <v>4684</v>
      </c>
      <c r="P840" s="1421"/>
      <c r="Q840" s="1354"/>
      <c r="R840" s="1354"/>
      <c r="S840" s="1354"/>
      <c r="T840" s="1354"/>
      <c r="U840" s="1354"/>
      <c r="V840" s="1354"/>
      <c r="W840" s="1354"/>
      <c r="X840" s="1353">
        <v>43101</v>
      </c>
      <c r="Y840" s="1353">
        <v>43466</v>
      </c>
      <c r="Z840" s="1355"/>
      <c r="AA840" s="1355" t="s">
        <v>4685</v>
      </c>
      <c r="AB840" s="1356"/>
      <c r="AC840" s="1356"/>
      <c r="AD840" s="1356"/>
      <c r="AE840" s="1356"/>
      <c r="AF840" s="1357" t="str">
        <f t="shared" si="951"/>
        <v/>
      </c>
      <c r="AG840" s="1358">
        <f t="shared" si="1174"/>
        <v>947.60666666666668</v>
      </c>
      <c r="AH840" s="1358">
        <v>11371.28</v>
      </c>
      <c r="AI840" s="1359">
        <v>0.15</v>
      </c>
      <c r="AJ840" s="1360">
        <f t="shared" si="1214"/>
        <v>142.14099999999999</v>
      </c>
      <c r="AK840" s="1361">
        <f t="shared" si="1227"/>
        <v>1705.692</v>
      </c>
      <c r="AL840" s="1384">
        <v>0</v>
      </c>
      <c r="AM840" s="1363">
        <f t="shared" si="1216"/>
        <v>0</v>
      </c>
      <c r="AN840" s="1364">
        <v>0.1</v>
      </c>
      <c r="AO840" s="1365">
        <f t="shared" si="1217"/>
        <v>1137.1280000000002</v>
      </c>
      <c r="AP840" s="1366">
        <v>0</v>
      </c>
      <c r="AQ840" s="1367">
        <f t="shared" si="1218"/>
        <v>0</v>
      </c>
      <c r="AR840" s="1368">
        <v>0</v>
      </c>
      <c r="AS840" s="1369">
        <f t="shared" si="1219"/>
        <v>0</v>
      </c>
      <c r="AT840" s="1370">
        <v>0</v>
      </c>
      <c r="AU840" s="1371">
        <f t="shared" si="1220"/>
        <v>0</v>
      </c>
      <c r="AV840" s="1359">
        <f t="shared" si="1221"/>
        <v>4.9999999999999989E-2</v>
      </c>
      <c r="AW840" s="1372">
        <f t="shared" si="1222"/>
        <v>568.56399999999985</v>
      </c>
      <c r="AX840" s="1373">
        <f t="shared" si="1223"/>
        <v>4.9999999999999989E-2</v>
      </c>
      <c r="AY840" s="1374">
        <f t="shared" si="1224"/>
        <v>568.56399999999985</v>
      </c>
      <c r="AZ840" s="1375">
        <f t="shared" si="1225"/>
        <v>4.9999999999999989E-2</v>
      </c>
      <c r="BA840" s="1376">
        <f t="shared" si="1226"/>
        <v>568.56399999999985</v>
      </c>
      <c r="BB840" s="1377"/>
      <c r="BC840" s="1820"/>
      <c r="BD840" s="1820"/>
      <c r="BE840" s="1823"/>
      <c r="BF840" s="1826"/>
      <c r="BG840" s="1829"/>
    </row>
    <row r="841" spans="1:59" s="1378" customFormat="1" ht="38.25">
      <c r="A841" s="1347" t="str">
        <f t="shared" si="1210"/>
        <v>SutroVax, Inc.</v>
      </c>
      <c r="B841" s="1348" t="str">
        <f t="shared" si="1211"/>
        <v>ABD</v>
      </c>
      <c r="C841" s="1348">
        <f t="shared" si="1212"/>
        <v>27</v>
      </c>
      <c r="D841" s="1349">
        <v>43101</v>
      </c>
      <c r="E841" s="1349"/>
      <c r="F841" s="1347" t="s">
        <v>113</v>
      </c>
      <c r="G841" s="1347" t="s">
        <v>85</v>
      </c>
      <c r="H841" s="1347" t="s">
        <v>85</v>
      </c>
      <c r="I841" s="1347" t="s">
        <v>113</v>
      </c>
      <c r="J841" s="1349"/>
      <c r="K841" s="1349" t="s">
        <v>254</v>
      </c>
      <c r="L841" s="1350" t="s">
        <v>4682</v>
      </c>
      <c r="M841" s="1350" t="s">
        <v>62</v>
      </c>
      <c r="N841" s="1351" t="s">
        <v>81</v>
      </c>
      <c r="O841" s="1352" t="s">
        <v>4688</v>
      </c>
      <c r="P841" s="1388"/>
      <c r="Q841" s="1354"/>
      <c r="R841" s="1354"/>
      <c r="S841" s="1354"/>
      <c r="T841" s="1354"/>
      <c r="U841" s="1354"/>
      <c r="V841" s="1354"/>
      <c r="W841" s="1354"/>
      <c r="X841" s="1353">
        <v>43101</v>
      </c>
      <c r="Y841" s="1353">
        <v>43466</v>
      </c>
      <c r="Z841" s="1355"/>
      <c r="AA841" s="1355" t="s">
        <v>4685</v>
      </c>
      <c r="AB841" s="1356"/>
      <c r="AC841" s="1356"/>
      <c r="AD841" s="1356"/>
      <c r="AE841" s="1356"/>
      <c r="AF841" s="1357" t="str">
        <f t="shared" si="951"/>
        <v/>
      </c>
      <c r="AG841" s="1358">
        <f t="shared" si="1174"/>
        <v>433.9975</v>
      </c>
      <c r="AH841" s="1358">
        <v>5207.97</v>
      </c>
      <c r="AI841" s="1359">
        <v>0.15</v>
      </c>
      <c r="AJ841" s="1360">
        <f t="shared" si="1214"/>
        <v>65.099625000000003</v>
      </c>
      <c r="AK841" s="1361">
        <f t="shared" si="1227"/>
        <v>781.19550000000004</v>
      </c>
      <c r="AL841" s="1384">
        <v>0</v>
      </c>
      <c r="AM841" s="1363">
        <f t="shared" si="1216"/>
        <v>0</v>
      </c>
      <c r="AN841" s="1364">
        <v>0.1</v>
      </c>
      <c r="AO841" s="1365">
        <f t="shared" si="1217"/>
        <v>520.79700000000003</v>
      </c>
      <c r="AP841" s="1366">
        <v>0</v>
      </c>
      <c r="AQ841" s="1367">
        <f t="shared" si="1218"/>
        <v>0</v>
      </c>
      <c r="AR841" s="1368">
        <v>0</v>
      </c>
      <c r="AS841" s="1369">
        <f t="shared" si="1219"/>
        <v>0</v>
      </c>
      <c r="AT841" s="1370">
        <v>0</v>
      </c>
      <c r="AU841" s="1371">
        <f t="shared" si="1220"/>
        <v>0</v>
      </c>
      <c r="AV841" s="1359">
        <f t="shared" si="1221"/>
        <v>4.9999999999999989E-2</v>
      </c>
      <c r="AW841" s="1372">
        <f t="shared" si="1222"/>
        <v>260.39849999999996</v>
      </c>
      <c r="AX841" s="1373">
        <f t="shared" si="1223"/>
        <v>4.9999999999999989E-2</v>
      </c>
      <c r="AY841" s="1374">
        <f t="shared" si="1224"/>
        <v>260.39849999999996</v>
      </c>
      <c r="AZ841" s="1375">
        <f t="shared" si="1225"/>
        <v>4.9999999999999989E-2</v>
      </c>
      <c r="BA841" s="1376">
        <f t="shared" si="1226"/>
        <v>260.39849999999996</v>
      </c>
      <c r="BB841" s="1377"/>
      <c r="BC841" s="1820"/>
      <c r="BD841" s="1820"/>
      <c r="BE841" s="1823"/>
      <c r="BF841" s="1826"/>
      <c r="BG841" s="1829"/>
    </row>
    <row r="842" spans="1:59" s="1378" customFormat="1" ht="38.25">
      <c r="A842" s="1347" t="str">
        <f t="shared" si="1210"/>
        <v>SutroVax, Inc.</v>
      </c>
      <c r="B842" s="1348" t="str">
        <f t="shared" si="1211"/>
        <v>ABD</v>
      </c>
      <c r="C842" s="1348">
        <f t="shared" si="1212"/>
        <v>27</v>
      </c>
      <c r="D842" s="1349">
        <v>43101</v>
      </c>
      <c r="E842" s="1349"/>
      <c r="F842" s="1347" t="s">
        <v>113</v>
      </c>
      <c r="G842" s="1347" t="s">
        <v>85</v>
      </c>
      <c r="H842" s="1347" t="s">
        <v>85</v>
      </c>
      <c r="I842" s="1347" t="s">
        <v>113</v>
      </c>
      <c r="J842" s="1349"/>
      <c r="K842" s="1349" t="s">
        <v>254</v>
      </c>
      <c r="L842" s="1350" t="s">
        <v>4682</v>
      </c>
      <c r="M842" s="1350" t="s">
        <v>67</v>
      </c>
      <c r="N842" s="1351" t="s">
        <v>82</v>
      </c>
      <c r="O842" s="1352" t="s">
        <v>4689</v>
      </c>
      <c r="P842" s="1388"/>
      <c r="Q842" s="1354"/>
      <c r="R842" s="1354"/>
      <c r="S842" s="1354"/>
      <c r="T842" s="1354"/>
      <c r="U842" s="1354"/>
      <c r="V842" s="1354"/>
      <c r="W842" s="1354"/>
      <c r="X842" s="1353">
        <v>43101</v>
      </c>
      <c r="Y842" s="1353">
        <v>43466</v>
      </c>
      <c r="Z842" s="1355"/>
      <c r="AA842" s="1355" t="s">
        <v>4685</v>
      </c>
      <c r="AB842" s="1356"/>
      <c r="AC842" s="1356"/>
      <c r="AD842" s="1356"/>
      <c r="AE842" s="1356"/>
      <c r="AF842" s="1357" t="str">
        <f t="shared" si="951"/>
        <v/>
      </c>
      <c r="AG842" s="1358">
        <f t="shared" si="1174"/>
        <v>892.4083333333333</v>
      </c>
      <c r="AH842" s="1358">
        <v>10708.9</v>
      </c>
      <c r="AI842" s="1359">
        <v>0.15</v>
      </c>
      <c r="AJ842" s="1360">
        <f t="shared" si="1214"/>
        <v>133.86124999999998</v>
      </c>
      <c r="AK842" s="1361">
        <f t="shared" si="1227"/>
        <v>1606.3349999999998</v>
      </c>
      <c r="AL842" s="1384">
        <v>0</v>
      </c>
      <c r="AM842" s="1363">
        <f t="shared" si="1216"/>
        <v>0</v>
      </c>
      <c r="AN842" s="1364">
        <v>0.1</v>
      </c>
      <c r="AO842" s="1365">
        <f t="shared" si="1217"/>
        <v>1070.8900000000001</v>
      </c>
      <c r="AP842" s="1366">
        <v>0</v>
      </c>
      <c r="AQ842" s="1367">
        <f t="shared" si="1218"/>
        <v>0</v>
      </c>
      <c r="AR842" s="1368">
        <v>0</v>
      </c>
      <c r="AS842" s="1369">
        <f t="shared" si="1219"/>
        <v>0</v>
      </c>
      <c r="AT842" s="1370">
        <v>0</v>
      </c>
      <c r="AU842" s="1371">
        <f t="shared" si="1220"/>
        <v>0</v>
      </c>
      <c r="AV842" s="1359">
        <f t="shared" si="1221"/>
        <v>4.9999999999999989E-2</v>
      </c>
      <c r="AW842" s="1372">
        <f t="shared" si="1222"/>
        <v>535.44499999999982</v>
      </c>
      <c r="AX842" s="1373">
        <f t="shared" si="1223"/>
        <v>4.9999999999999989E-2</v>
      </c>
      <c r="AY842" s="1374">
        <f t="shared" si="1224"/>
        <v>535.44499999999982</v>
      </c>
      <c r="AZ842" s="1375">
        <f t="shared" si="1225"/>
        <v>4.9999999999999989E-2</v>
      </c>
      <c r="BA842" s="1376">
        <f t="shared" si="1226"/>
        <v>535.44499999999982</v>
      </c>
      <c r="BB842" s="1377"/>
      <c r="BC842" s="1820"/>
      <c r="BD842" s="1820"/>
      <c r="BE842" s="1823"/>
      <c r="BF842" s="1826"/>
      <c r="BG842" s="1829"/>
    </row>
    <row r="843" spans="1:59" s="1378" customFormat="1" ht="27.75" customHeight="1">
      <c r="A843" s="1347" t="str">
        <f t="shared" si="1210"/>
        <v>SutroVax, Inc.</v>
      </c>
      <c r="B843" s="1348" t="str">
        <f t="shared" si="1211"/>
        <v>ABD</v>
      </c>
      <c r="C843" s="1348">
        <f t="shared" si="1212"/>
        <v>27</v>
      </c>
      <c r="D843" s="1349">
        <v>43101</v>
      </c>
      <c r="E843" s="1349"/>
      <c r="F843" s="1347" t="s">
        <v>72</v>
      </c>
      <c r="G843" s="1347" t="s">
        <v>85</v>
      </c>
      <c r="H843" s="1347" t="s">
        <v>72</v>
      </c>
      <c r="I843" s="1347" t="s">
        <v>72</v>
      </c>
      <c r="J843" s="1349" t="s">
        <v>4670</v>
      </c>
      <c r="K843" s="1349" t="s">
        <v>254</v>
      </c>
      <c r="L843" s="1350" t="s">
        <v>4696</v>
      </c>
      <c r="M843" s="1350" t="s">
        <v>4697</v>
      </c>
      <c r="N843" s="1389" t="s">
        <v>4698</v>
      </c>
      <c r="O843" s="1352" t="s">
        <v>4699</v>
      </c>
      <c r="P843" s="1388"/>
      <c r="Q843" s="1354"/>
      <c r="R843" s="1354"/>
      <c r="S843" s="1354"/>
      <c r="T843" s="1354"/>
      <c r="U843" s="1354"/>
      <c r="V843" s="1354"/>
      <c r="W843" s="1354"/>
      <c r="X843" s="1353">
        <v>43101</v>
      </c>
      <c r="Y843" s="1353">
        <v>43466</v>
      </c>
      <c r="Z843" s="1355"/>
      <c r="AA843" s="1355" t="s">
        <v>4674</v>
      </c>
      <c r="AB843" s="1356"/>
      <c r="AC843" s="1356"/>
      <c r="AD843" s="1356"/>
      <c r="AE843" s="1356"/>
      <c r="AF843" s="1357" t="str">
        <f t="shared" si="951"/>
        <v/>
      </c>
      <c r="AG843" s="1380"/>
      <c r="AH843" s="1380"/>
      <c r="AI843" s="1381">
        <v>0</v>
      </c>
      <c r="AJ843" s="1382">
        <f t="shared" si="1214"/>
        <v>0</v>
      </c>
      <c r="AK843" s="1383">
        <f t="shared" si="1227"/>
        <v>0</v>
      </c>
      <c r="AL843" s="1384">
        <v>0</v>
      </c>
      <c r="AM843" s="1363">
        <f t="shared" si="1216"/>
        <v>0</v>
      </c>
      <c r="AN843" s="1364">
        <v>0</v>
      </c>
      <c r="AO843" s="1365">
        <f t="shared" si="1217"/>
        <v>0</v>
      </c>
      <c r="AP843" s="1366">
        <v>0</v>
      </c>
      <c r="AQ843" s="1367">
        <f t="shared" si="1218"/>
        <v>0</v>
      </c>
      <c r="AR843" s="1368">
        <v>0</v>
      </c>
      <c r="AS843" s="1369">
        <f t="shared" si="1219"/>
        <v>0</v>
      </c>
      <c r="AT843" s="1370">
        <v>0</v>
      </c>
      <c r="AU843" s="1371">
        <f t="shared" si="1220"/>
        <v>0</v>
      </c>
      <c r="AV843" s="1359">
        <f t="shared" si="1221"/>
        <v>0</v>
      </c>
      <c r="AW843" s="1372">
        <f t="shared" si="1222"/>
        <v>0</v>
      </c>
      <c r="AX843" s="1373">
        <f t="shared" si="1223"/>
        <v>0</v>
      </c>
      <c r="AY843" s="1374">
        <f t="shared" si="1224"/>
        <v>0</v>
      </c>
      <c r="AZ843" s="1375">
        <f t="shared" si="1225"/>
        <v>0</v>
      </c>
      <c r="BA843" s="1376">
        <f t="shared" si="1226"/>
        <v>0</v>
      </c>
      <c r="BB843" s="1377"/>
      <c r="BC843" s="1820"/>
      <c r="BD843" s="1820"/>
      <c r="BE843" s="1823"/>
      <c r="BF843" s="1826"/>
      <c r="BG843" s="1829"/>
    </row>
    <row r="844" spans="1:59" s="1378" customFormat="1" ht="25.5">
      <c r="A844" s="1347" t="str">
        <f t="shared" si="1210"/>
        <v>SutroVax, Inc.</v>
      </c>
      <c r="B844" s="1348" t="str">
        <f t="shared" si="1211"/>
        <v>ABD</v>
      </c>
      <c r="C844" s="1348">
        <f t="shared" si="1212"/>
        <v>27</v>
      </c>
      <c r="D844" s="1349">
        <v>43101</v>
      </c>
      <c r="E844" s="1349"/>
      <c r="F844" s="1347" t="s">
        <v>72</v>
      </c>
      <c r="G844" s="1347" t="s">
        <v>4700</v>
      </c>
      <c r="H844" s="1347" t="s">
        <v>72</v>
      </c>
      <c r="I844" s="1347" t="s">
        <v>72</v>
      </c>
      <c r="J844" s="1349" t="s">
        <v>4670</v>
      </c>
      <c r="K844" s="1349" t="s">
        <v>254</v>
      </c>
      <c r="L844" s="1350" t="s">
        <v>48</v>
      </c>
      <c r="M844" s="1350" t="s">
        <v>3652</v>
      </c>
      <c r="N844" s="1390" t="s">
        <v>5023</v>
      </c>
      <c r="O844" s="1352" t="s">
        <v>4702</v>
      </c>
      <c r="P844" s="1388"/>
      <c r="Q844" s="1354"/>
      <c r="R844" s="1354"/>
      <c r="S844" s="1354"/>
      <c r="T844" s="1354"/>
      <c r="U844" s="1354"/>
      <c r="V844" s="1354"/>
      <c r="W844" s="1354"/>
      <c r="X844" s="1353">
        <v>43101</v>
      </c>
      <c r="Y844" s="1353">
        <v>43466</v>
      </c>
      <c r="Z844" s="1355"/>
      <c r="AA844" s="1355" t="s">
        <v>4674</v>
      </c>
      <c r="AB844" s="1356"/>
      <c r="AC844" s="1356"/>
      <c r="AD844" s="1356"/>
      <c r="AE844" s="1356"/>
      <c r="AF844" s="1357" t="str">
        <f t="shared" si="951"/>
        <v/>
      </c>
      <c r="AG844" s="1380"/>
      <c r="AH844" s="1380"/>
      <c r="AI844" s="1381">
        <v>0</v>
      </c>
      <c r="AJ844" s="1382">
        <f t="shared" si="1214"/>
        <v>0</v>
      </c>
      <c r="AK844" s="1383">
        <f t="shared" si="1227"/>
        <v>0</v>
      </c>
      <c r="AL844" s="1384">
        <v>0</v>
      </c>
      <c r="AM844" s="1363">
        <f t="shared" si="1216"/>
        <v>0</v>
      </c>
      <c r="AN844" s="1364">
        <v>0</v>
      </c>
      <c r="AO844" s="1365">
        <f t="shared" si="1217"/>
        <v>0</v>
      </c>
      <c r="AP844" s="1366">
        <v>0</v>
      </c>
      <c r="AQ844" s="1367">
        <f t="shared" si="1218"/>
        <v>0</v>
      </c>
      <c r="AR844" s="1368">
        <v>0</v>
      </c>
      <c r="AS844" s="1369">
        <f t="shared" si="1219"/>
        <v>0</v>
      </c>
      <c r="AT844" s="1370">
        <v>0</v>
      </c>
      <c r="AU844" s="1371">
        <f t="shared" si="1220"/>
        <v>0</v>
      </c>
      <c r="AV844" s="1359">
        <f t="shared" si="1221"/>
        <v>0</v>
      </c>
      <c r="AW844" s="1372">
        <f t="shared" si="1222"/>
        <v>0</v>
      </c>
      <c r="AX844" s="1373">
        <f t="shared" si="1223"/>
        <v>0</v>
      </c>
      <c r="AY844" s="1374">
        <f t="shared" si="1224"/>
        <v>0</v>
      </c>
      <c r="AZ844" s="1375">
        <f t="shared" si="1225"/>
        <v>0</v>
      </c>
      <c r="BA844" s="1376">
        <f t="shared" si="1226"/>
        <v>0</v>
      </c>
      <c r="BB844" s="1377"/>
      <c r="BC844" s="1820"/>
      <c r="BD844" s="1820"/>
      <c r="BE844" s="1823"/>
      <c r="BF844" s="1826"/>
      <c r="BG844" s="1829"/>
    </row>
    <row r="845" spans="1:59" s="1378" customFormat="1" ht="25.5">
      <c r="A845" s="1347" t="str">
        <f t="shared" si="1210"/>
        <v>SutroVax, Inc.</v>
      </c>
      <c r="B845" s="1348" t="str">
        <f t="shared" si="1211"/>
        <v>ABD</v>
      </c>
      <c r="C845" s="1348">
        <f t="shared" si="1212"/>
        <v>27</v>
      </c>
      <c r="D845" s="1349">
        <v>43101</v>
      </c>
      <c r="E845" s="1349"/>
      <c r="F845" s="1347" t="s">
        <v>72</v>
      </c>
      <c r="G845" s="1347" t="s">
        <v>4700</v>
      </c>
      <c r="H845" s="1347" t="s">
        <v>72</v>
      </c>
      <c r="I845" s="1347" t="s">
        <v>72</v>
      </c>
      <c r="J845" s="1349" t="s">
        <v>4670</v>
      </c>
      <c r="K845" s="1349" t="s">
        <v>254</v>
      </c>
      <c r="L845" s="1350" t="s">
        <v>48</v>
      </c>
      <c r="M845" s="1350" t="s">
        <v>5033</v>
      </c>
      <c r="N845" s="1389" t="s">
        <v>5034</v>
      </c>
      <c r="O845" s="1352" t="s">
        <v>5035</v>
      </c>
      <c r="P845" s="1388"/>
      <c r="Q845" s="1354"/>
      <c r="R845" s="1354"/>
      <c r="S845" s="1354"/>
      <c r="T845" s="1354"/>
      <c r="U845" s="1354"/>
      <c r="V845" s="1354"/>
      <c r="W845" s="1354"/>
      <c r="X845" s="1353">
        <v>43101</v>
      </c>
      <c r="Y845" s="1353">
        <v>43466</v>
      </c>
      <c r="Z845" s="1355"/>
      <c r="AA845" s="1355" t="s">
        <v>4674</v>
      </c>
      <c r="AB845" s="1356"/>
      <c r="AC845" s="1356"/>
      <c r="AD845" s="1356"/>
      <c r="AE845" s="1356"/>
      <c r="AF845" s="1357" t="str">
        <f t="shared" si="951"/>
        <v/>
      </c>
      <c r="AG845" s="1380"/>
      <c r="AH845" s="1380"/>
      <c r="AI845" s="1381">
        <v>0</v>
      </c>
      <c r="AJ845" s="1382">
        <f t="shared" si="1214"/>
        <v>0</v>
      </c>
      <c r="AK845" s="1383">
        <f t="shared" si="1227"/>
        <v>0</v>
      </c>
      <c r="AL845" s="1384">
        <v>0</v>
      </c>
      <c r="AM845" s="1363">
        <f t="shared" si="1216"/>
        <v>0</v>
      </c>
      <c r="AN845" s="1364">
        <v>0</v>
      </c>
      <c r="AO845" s="1365">
        <f t="shared" si="1217"/>
        <v>0</v>
      </c>
      <c r="AP845" s="1366">
        <v>0</v>
      </c>
      <c r="AQ845" s="1367">
        <f t="shared" si="1218"/>
        <v>0</v>
      </c>
      <c r="AR845" s="1368">
        <v>0</v>
      </c>
      <c r="AS845" s="1369">
        <f t="shared" si="1219"/>
        <v>0</v>
      </c>
      <c r="AT845" s="1370">
        <v>0</v>
      </c>
      <c r="AU845" s="1371">
        <f t="shared" si="1220"/>
        <v>0</v>
      </c>
      <c r="AV845" s="1359">
        <f t="shared" si="1221"/>
        <v>0</v>
      </c>
      <c r="AW845" s="1372">
        <f t="shared" si="1222"/>
        <v>0</v>
      </c>
      <c r="AX845" s="1373">
        <f t="shared" si="1223"/>
        <v>0</v>
      </c>
      <c r="AY845" s="1374">
        <f t="shared" si="1224"/>
        <v>0</v>
      </c>
      <c r="AZ845" s="1375">
        <f t="shared" si="1225"/>
        <v>0</v>
      </c>
      <c r="BA845" s="1376">
        <f t="shared" si="1226"/>
        <v>0</v>
      </c>
      <c r="BB845" s="1377"/>
      <c r="BC845" s="1820"/>
      <c r="BD845" s="1820"/>
      <c r="BE845" s="1823"/>
      <c r="BF845" s="1826"/>
      <c r="BG845" s="1829"/>
    </row>
    <row r="846" spans="1:59" s="1378" customFormat="1" ht="25.5">
      <c r="A846" s="1347" t="str">
        <f t="shared" si="1210"/>
        <v>SutroVax, Inc.</v>
      </c>
      <c r="B846" s="1348" t="str">
        <f t="shared" si="1211"/>
        <v>ABD</v>
      </c>
      <c r="C846" s="1348">
        <f t="shared" si="1212"/>
        <v>27</v>
      </c>
      <c r="D846" s="1349">
        <v>43101</v>
      </c>
      <c r="E846" s="1349"/>
      <c r="F846" s="1347" t="s">
        <v>72</v>
      </c>
      <c r="G846" s="1347" t="s">
        <v>85</v>
      </c>
      <c r="H846" s="1347" t="s">
        <v>72</v>
      </c>
      <c r="I846" s="1347" t="s">
        <v>72</v>
      </c>
      <c r="J846" s="1349" t="s">
        <v>4670</v>
      </c>
      <c r="K846" s="1349" t="s">
        <v>254</v>
      </c>
      <c r="L846" s="1350" t="s">
        <v>48</v>
      </c>
      <c r="M846" s="1350" t="s">
        <v>253</v>
      </c>
      <c r="N846" s="1390" t="s">
        <v>4703</v>
      </c>
      <c r="O846" s="1352" t="s">
        <v>4704</v>
      </c>
      <c r="P846" s="1388"/>
      <c r="Q846" s="1354"/>
      <c r="R846" s="1354"/>
      <c r="S846" s="1354"/>
      <c r="T846" s="1354"/>
      <c r="U846" s="1354"/>
      <c r="V846" s="1354"/>
      <c r="W846" s="1354"/>
      <c r="X846" s="1353">
        <v>43101</v>
      </c>
      <c r="Y846" s="1353">
        <v>43466</v>
      </c>
      <c r="Z846" s="1355"/>
      <c r="AA846" s="1355" t="s">
        <v>4674</v>
      </c>
      <c r="AB846" s="1356"/>
      <c r="AC846" s="1356"/>
      <c r="AD846" s="1356"/>
      <c r="AE846" s="1356"/>
      <c r="AF846" s="1357" t="str">
        <f t="shared" si="951"/>
        <v/>
      </c>
      <c r="AG846" s="1380"/>
      <c r="AH846" s="1380"/>
      <c r="AI846" s="1381">
        <v>0</v>
      </c>
      <c r="AJ846" s="1382">
        <f t="shared" si="1214"/>
        <v>0</v>
      </c>
      <c r="AK846" s="1383">
        <f t="shared" si="1227"/>
        <v>0</v>
      </c>
      <c r="AL846" s="1384">
        <v>0</v>
      </c>
      <c r="AM846" s="1363">
        <f t="shared" si="1216"/>
        <v>0</v>
      </c>
      <c r="AN846" s="1364">
        <v>0</v>
      </c>
      <c r="AO846" s="1365">
        <f t="shared" si="1217"/>
        <v>0</v>
      </c>
      <c r="AP846" s="1366">
        <v>0</v>
      </c>
      <c r="AQ846" s="1367">
        <f t="shared" si="1218"/>
        <v>0</v>
      </c>
      <c r="AR846" s="1368">
        <v>0</v>
      </c>
      <c r="AS846" s="1369">
        <f t="shared" si="1219"/>
        <v>0</v>
      </c>
      <c r="AT846" s="1370">
        <v>0</v>
      </c>
      <c r="AU846" s="1371">
        <f t="shared" si="1220"/>
        <v>0</v>
      </c>
      <c r="AV846" s="1359">
        <f t="shared" si="1221"/>
        <v>0</v>
      </c>
      <c r="AW846" s="1372">
        <f t="shared" si="1222"/>
        <v>0</v>
      </c>
      <c r="AX846" s="1373">
        <f t="shared" si="1223"/>
        <v>0</v>
      </c>
      <c r="AY846" s="1374">
        <f t="shared" si="1224"/>
        <v>0</v>
      </c>
      <c r="AZ846" s="1375">
        <f t="shared" si="1225"/>
        <v>0</v>
      </c>
      <c r="BA846" s="1376">
        <f t="shared" si="1226"/>
        <v>0</v>
      </c>
      <c r="BB846" s="1377"/>
      <c r="BC846" s="1820"/>
      <c r="BD846" s="1820"/>
      <c r="BE846" s="1823"/>
      <c r="BF846" s="1826"/>
      <c r="BG846" s="1829"/>
    </row>
    <row r="847" spans="1:59" s="1378" customFormat="1" ht="25.5">
      <c r="A847" s="1347" t="str">
        <f t="shared" si="1210"/>
        <v>SutroVax, Inc.</v>
      </c>
      <c r="B847" s="1348" t="str">
        <f t="shared" si="1211"/>
        <v>ABD</v>
      </c>
      <c r="C847" s="1348">
        <f t="shared" si="1212"/>
        <v>27</v>
      </c>
      <c r="D847" s="1349">
        <v>43101</v>
      </c>
      <c r="E847" s="1349"/>
      <c r="F847" s="1347" t="s">
        <v>72</v>
      </c>
      <c r="G847" s="1347" t="s">
        <v>85</v>
      </c>
      <c r="H847" s="1347" t="s">
        <v>72</v>
      </c>
      <c r="I847" s="1347" t="s">
        <v>72</v>
      </c>
      <c r="J847" s="1349" t="s">
        <v>4670</v>
      </c>
      <c r="K847" s="1349" t="s">
        <v>254</v>
      </c>
      <c r="L847" s="1350" t="s">
        <v>49</v>
      </c>
      <c r="M847" s="1350" t="s">
        <v>4705</v>
      </c>
      <c r="N847" s="1390" t="s">
        <v>4706</v>
      </c>
      <c r="O847" s="1352" t="s">
        <v>4707</v>
      </c>
      <c r="P847" s="1388"/>
      <c r="Q847" s="1354"/>
      <c r="R847" s="1354"/>
      <c r="S847" s="1354"/>
      <c r="T847" s="1354"/>
      <c r="U847" s="1354"/>
      <c r="V847" s="1354"/>
      <c r="W847" s="1354"/>
      <c r="X847" s="1353">
        <v>43101</v>
      </c>
      <c r="Y847" s="1353">
        <v>43466</v>
      </c>
      <c r="Z847" s="1355"/>
      <c r="AA847" s="1355" t="s">
        <v>4674</v>
      </c>
      <c r="AB847" s="1356"/>
      <c r="AC847" s="1356"/>
      <c r="AD847" s="1356"/>
      <c r="AE847" s="1356"/>
      <c r="AF847" s="1357" t="str">
        <f t="shared" si="951"/>
        <v/>
      </c>
      <c r="AG847" s="1380"/>
      <c r="AH847" s="1380"/>
      <c r="AI847" s="1381">
        <v>0</v>
      </c>
      <c r="AJ847" s="1382">
        <f t="shared" si="1214"/>
        <v>0</v>
      </c>
      <c r="AK847" s="1383">
        <f t="shared" si="1227"/>
        <v>0</v>
      </c>
      <c r="AL847" s="1384">
        <v>0</v>
      </c>
      <c r="AM847" s="1363">
        <f t="shared" si="1216"/>
        <v>0</v>
      </c>
      <c r="AN847" s="1364">
        <v>0</v>
      </c>
      <c r="AO847" s="1365">
        <f t="shared" si="1217"/>
        <v>0</v>
      </c>
      <c r="AP847" s="1366">
        <v>0</v>
      </c>
      <c r="AQ847" s="1367">
        <f t="shared" si="1218"/>
        <v>0</v>
      </c>
      <c r="AR847" s="1368">
        <v>0</v>
      </c>
      <c r="AS847" s="1369">
        <f t="shared" si="1219"/>
        <v>0</v>
      </c>
      <c r="AT847" s="1370">
        <v>0</v>
      </c>
      <c r="AU847" s="1371">
        <f t="shared" si="1220"/>
        <v>0</v>
      </c>
      <c r="AV847" s="1359">
        <f t="shared" si="1221"/>
        <v>0</v>
      </c>
      <c r="AW847" s="1372">
        <f t="shared" si="1222"/>
        <v>0</v>
      </c>
      <c r="AX847" s="1373">
        <f t="shared" si="1223"/>
        <v>0</v>
      </c>
      <c r="AY847" s="1374">
        <f t="shared" si="1224"/>
        <v>0</v>
      </c>
      <c r="AZ847" s="1375">
        <f t="shared" si="1225"/>
        <v>0</v>
      </c>
      <c r="BA847" s="1376">
        <f t="shared" si="1226"/>
        <v>0</v>
      </c>
      <c r="BB847" s="1391"/>
      <c r="BC847" s="1820"/>
      <c r="BD847" s="1820"/>
      <c r="BE847" s="1823"/>
      <c r="BF847" s="1826"/>
      <c r="BG847" s="1829"/>
    </row>
    <row r="848" spans="1:59" s="1378" customFormat="1" ht="25.5">
      <c r="A848" s="1347" t="str">
        <f>L835</f>
        <v>SutroVax, Inc.</v>
      </c>
      <c r="B848" s="1348" t="str">
        <f>N835</f>
        <v>ABD</v>
      </c>
      <c r="C848" s="1348">
        <f>Z835</f>
        <v>27</v>
      </c>
      <c r="D848" s="1349">
        <v>43101</v>
      </c>
      <c r="E848" s="1349"/>
      <c r="F848" s="1347" t="s">
        <v>72</v>
      </c>
      <c r="G848" s="1347" t="s">
        <v>85</v>
      </c>
      <c r="H848" s="1347" t="s">
        <v>72</v>
      </c>
      <c r="I848" s="1347" t="s">
        <v>72</v>
      </c>
      <c r="J848" s="1349" t="s">
        <v>4670</v>
      </c>
      <c r="K848" s="1349" t="s">
        <v>254</v>
      </c>
      <c r="L848" s="1350" t="s">
        <v>3056</v>
      </c>
      <c r="M848" s="1350" t="s">
        <v>4708</v>
      </c>
      <c r="N848" s="1390" t="s">
        <v>4709</v>
      </c>
      <c r="O848" s="1352" t="s">
        <v>4710</v>
      </c>
      <c r="P848" s="1388"/>
      <c r="Q848" s="1354"/>
      <c r="R848" s="1354"/>
      <c r="S848" s="1354"/>
      <c r="T848" s="1354"/>
      <c r="U848" s="1354"/>
      <c r="V848" s="1354"/>
      <c r="W848" s="1354"/>
      <c r="X848" s="1353">
        <v>43101</v>
      </c>
      <c r="Y848" s="1353">
        <v>43466</v>
      </c>
      <c r="Z848" s="1355"/>
      <c r="AA848" s="1355" t="s">
        <v>4674</v>
      </c>
      <c r="AB848" s="1356"/>
      <c r="AC848" s="1356"/>
      <c r="AD848" s="1356"/>
      <c r="AE848" s="1356"/>
      <c r="AF848" s="1357" t="str">
        <f t="shared" si="951"/>
        <v/>
      </c>
      <c r="AG848" s="1380"/>
      <c r="AH848" s="1380"/>
      <c r="AI848" s="1381">
        <v>0</v>
      </c>
      <c r="AJ848" s="1382">
        <f t="shared" si="1214"/>
        <v>0</v>
      </c>
      <c r="AK848" s="1383">
        <f t="shared" si="1227"/>
        <v>0</v>
      </c>
      <c r="AL848" s="1384">
        <v>0</v>
      </c>
      <c r="AM848" s="1363">
        <f t="shared" si="1216"/>
        <v>0</v>
      </c>
      <c r="AN848" s="1364">
        <v>0</v>
      </c>
      <c r="AO848" s="1365">
        <f t="shared" si="1217"/>
        <v>0</v>
      </c>
      <c r="AP848" s="1366">
        <v>0</v>
      </c>
      <c r="AQ848" s="1367">
        <f t="shared" si="1218"/>
        <v>0</v>
      </c>
      <c r="AR848" s="1368">
        <v>0</v>
      </c>
      <c r="AS848" s="1369">
        <f t="shared" si="1219"/>
        <v>0</v>
      </c>
      <c r="AT848" s="1370">
        <v>0</v>
      </c>
      <c r="AU848" s="1371">
        <f t="shared" si="1220"/>
        <v>0</v>
      </c>
      <c r="AV848" s="1359">
        <f t="shared" si="1221"/>
        <v>0</v>
      </c>
      <c r="AW848" s="1372">
        <f t="shared" si="1222"/>
        <v>0</v>
      </c>
      <c r="AX848" s="1373">
        <f t="shared" si="1223"/>
        <v>0</v>
      </c>
      <c r="AY848" s="1374">
        <f t="shared" si="1224"/>
        <v>0</v>
      </c>
      <c r="AZ848" s="1375">
        <f t="shared" si="1225"/>
        <v>0</v>
      </c>
      <c r="BA848" s="1376">
        <f t="shared" si="1226"/>
        <v>0</v>
      </c>
      <c r="BB848" s="1391"/>
      <c r="BC848" s="1821"/>
      <c r="BD848" s="1821"/>
      <c r="BE848" s="1824"/>
      <c r="BF848" s="1827"/>
      <c r="BG848" s="1830"/>
    </row>
    <row r="849" spans="1:59" s="1315" customFormat="1" ht="45.75" customHeight="1">
      <c r="A849" s="1277" t="str">
        <f>$L$849</f>
        <v>SyntheX, Inc.</v>
      </c>
      <c r="B849" s="1277" t="s">
        <v>4835</v>
      </c>
      <c r="C849" s="1316">
        <f>$Z$849</f>
        <v>3</v>
      </c>
      <c r="D849" s="1317">
        <v>42826</v>
      </c>
      <c r="E849" s="1317"/>
      <c r="F849" s="1277" t="s">
        <v>72</v>
      </c>
      <c r="G849" s="1277" t="s">
        <v>72</v>
      </c>
      <c r="H849" s="1277" t="s">
        <v>72</v>
      </c>
      <c r="I849" s="1277" t="s">
        <v>4711</v>
      </c>
      <c r="J849" s="1317"/>
      <c r="K849" s="1317"/>
      <c r="L849" s="1318" t="s">
        <v>180</v>
      </c>
      <c r="M849" s="1319"/>
      <c r="N849" s="1427" t="s">
        <v>4835</v>
      </c>
      <c r="O849" s="1419" t="s">
        <v>2473</v>
      </c>
      <c r="P849" s="1419"/>
      <c r="Q849" s="1322"/>
      <c r="R849" s="1322"/>
      <c r="S849" s="1322"/>
      <c r="T849" s="1322"/>
      <c r="U849" s="1322"/>
      <c r="V849" s="1322"/>
      <c r="W849" s="1322"/>
      <c r="X849" s="1317">
        <v>43101</v>
      </c>
      <c r="Y849" s="1317">
        <v>43466</v>
      </c>
      <c r="Z849" s="1316">
        <v>3</v>
      </c>
      <c r="AA849" s="1316" t="s">
        <v>5314</v>
      </c>
      <c r="AB849" s="1323">
        <f>SUM(AB850:AB855)</f>
        <v>0</v>
      </c>
      <c r="AC849" s="1323">
        <f>SUM(AC850:AC855)</f>
        <v>0</v>
      </c>
      <c r="AD849" s="1323">
        <f>SUM(AD850:AD855)</f>
        <v>0</v>
      </c>
      <c r="AE849" s="1324">
        <f t="shared" si="1113"/>
        <v>0</v>
      </c>
      <c r="AF849" s="1325" t="str">
        <f t="shared" si="951"/>
        <v/>
      </c>
      <c r="AG849" s="1326">
        <f t="shared" si="1174"/>
        <v>1233.21</v>
      </c>
      <c r="AH849" s="1326">
        <f>SUM(AH850:AH855)</f>
        <v>14798.52</v>
      </c>
      <c r="AI849" s="1339" t="s">
        <v>4984</v>
      </c>
      <c r="AJ849" s="1328">
        <f>SUM(AJ850:AJ855)</f>
        <v>98.656800000000004</v>
      </c>
      <c r="AK849" s="1328">
        <f>SUM(AK850:AK855)</f>
        <v>1183.8816000000002</v>
      </c>
      <c r="AL849" s="1329"/>
      <c r="AM849" s="1330">
        <f>SUM(AM850:AM855)</f>
        <v>73.99260000000001</v>
      </c>
      <c r="AN849" s="1331"/>
      <c r="AO849" s="1332">
        <f>SUM(AO850:AO855)</f>
        <v>0</v>
      </c>
      <c r="AP849" s="1333"/>
      <c r="AQ849" s="1334">
        <f>SUM(AQ850:AQ855)</f>
        <v>0</v>
      </c>
      <c r="AR849" s="1335"/>
      <c r="AS849" s="1336">
        <f>SUM(AS850:AS855)</f>
        <v>0</v>
      </c>
      <c r="AT849" s="1337"/>
      <c r="AU849" s="1338">
        <f>SUM(AU850:AU855)</f>
        <v>1109.8889999999999</v>
      </c>
      <c r="AV849" s="1339"/>
      <c r="AW849" s="1340">
        <f>SUM(AW850:AW855)</f>
        <v>0</v>
      </c>
      <c r="AX849" s="1306"/>
      <c r="AY849" s="1307">
        <f>SUM(AW849+AS849+AU849)</f>
        <v>1109.8889999999999</v>
      </c>
      <c r="AZ849" s="1341"/>
      <c r="BA849" s="1309">
        <f>SUM(AY849+AQ849)</f>
        <v>1109.8889999999999</v>
      </c>
      <c r="BB849" s="1342">
        <f>(AW849+AU849)/(AK849-AM849)</f>
        <v>0.99999999999999978</v>
      </c>
      <c r="BC849" s="1343"/>
      <c r="BD849" s="1343"/>
      <c r="BE849" s="1344"/>
      <c r="BF849" s="1428" t="s">
        <v>5087</v>
      </c>
      <c r="BG849" s="1346"/>
    </row>
    <row r="850" spans="1:59" s="1396" customFormat="1" ht="69.75" customHeight="1">
      <c r="A850" s="1347" t="str">
        <f>$L$849</f>
        <v>SyntheX, Inc.</v>
      </c>
      <c r="B850" s="1347" t="s">
        <v>4835</v>
      </c>
      <c r="C850" s="1348">
        <f>$Z$849</f>
        <v>3</v>
      </c>
      <c r="D850" s="1349">
        <v>42826</v>
      </c>
      <c r="E850" s="1349"/>
      <c r="F850" s="1347" t="s">
        <v>85</v>
      </c>
      <c r="G850" s="1347" t="s">
        <v>85</v>
      </c>
      <c r="H850" s="1347" t="s">
        <v>85</v>
      </c>
      <c r="I850" s="1347" t="s">
        <v>113</v>
      </c>
      <c r="J850" s="1349"/>
      <c r="K850" s="1349" t="s">
        <v>254</v>
      </c>
      <c r="L850" s="1350" t="s">
        <v>2661</v>
      </c>
      <c r="M850" s="1350" t="s">
        <v>3647</v>
      </c>
      <c r="N850" s="1351" t="s">
        <v>5315</v>
      </c>
      <c r="O850" s="1352" t="s">
        <v>5316</v>
      </c>
      <c r="P850" s="1352" t="s">
        <v>5317</v>
      </c>
      <c r="Q850" s="1353" t="s">
        <v>303</v>
      </c>
      <c r="R850" s="1353" t="s">
        <v>3655</v>
      </c>
      <c r="S850" s="1353" t="s">
        <v>307</v>
      </c>
      <c r="T850" s="1353" t="s">
        <v>113</v>
      </c>
      <c r="U850" s="1445"/>
      <c r="V850" s="1445"/>
      <c r="W850" s="1445"/>
      <c r="X850" s="1353">
        <v>43101</v>
      </c>
      <c r="Y850" s="1353">
        <v>43466</v>
      </c>
      <c r="Z850" s="1425"/>
      <c r="AA850" s="1355" t="s">
        <v>5097</v>
      </c>
      <c r="AB850" s="1356"/>
      <c r="AC850" s="1356"/>
      <c r="AD850" s="1356"/>
      <c r="AE850" s="1356"/>
      <c r="AF850" s="1357"/>
      <c r="AG850" s="1358">
        <f t="shared" si="1174"/>
        <v>1233.21</v>
      </c>
      <c r="AH850" s="1358">
        <v>14798.52</v>
      </c>
      <c r="AI850" s="1359">
        <v>0.08</v>
      </c>
      <c r="AJ850" s="1360">
        <f t="shared" ref="AJ850:AJ855" si="1228">$AI850*$AG850</f>
        <v>98.656800000000004</v>
      </c>
      <c r="AK850" s="1361">
        <f>AI850*$AH850</f>
        <v>1183.8816000000002</v>
      </c>
      <c r="AL850" s="1362">
        <v>5.0000000000000001E-3</v>
      </c>
      <c r="AM850" s="1363">
        <f>AL850*$AH850</f>
        <v>73.99260000000001</v>
      </c>
      <c r="AN850" s="1364">
        <v>0</v>
      </c>
      <c r="AO850" s="1365">
        <f>AN850*$AH850</f>
        <v>0</v>
      </c>
      <c r="AP850" s="1366">
        <v>0</v>
      </c>
      <c r="AQ850" s="1367">
        <f>AP850*$AH850</f>
        <v>0</v>
      </c>
      <c r="AR850" s="1368">
        <v>0</v>
      </c>
      <c r="AS850" s="1369">
        <f>AR850*$AH850</f>
        <v>0</v>
      </c>
      <c r="AT850" s="1370">
        <v>7.4999999999999997E-2</v>
      </c>
      <c r="AU850" s="1371">
        <f>AT850*$AH850</f>
        <v>1109.8889999999999</v>
      </c>
      <c r="AV850" s="1359">
        <f>AZ850-AR850-AT850-AP850</f>
        <v>0</v>
      </c>
      <c r="AW850" s="1372">
        <f>AV850*$AH850</f>
        <v>0</v>
      </c>
      <c r="AX850" s="1373">
        <f>$AZ850-$AP850</f>
        <v>7.4999999999999997E-2</v>
      </c>
      <c r="AY850" s="1374">
        <f>AX850*$AH850</f>
        <v>1109.8889999999999</v>
      </c>
      <c r="AZ850" s="1375">
        <f>$AI850-$AL850-$AN850</f>
        <v>7.4999999999999997E-2</v>
      </c>
      <c r="BA850" s="1376">
        <f>AZ850*$AH850</f>
        <v>1109.8889999999999</v>
      </c>
      <c r="BB850" s="1377"/>
      <c r="BC850" s="1819" t="s">
        <v>181</v>
      </c>
      <c r="BD850" s="1819" t="s">
        <v>242</v>
      </c>
      <c r="BE850" s="1822" t="s">
        <v>4203</v>
      </c>
      <c r="BF850" s="1825" t="s">
        <v>4337</v>
      </c>
      <c r="BG850" s="1828">
        <v>611780047</v>
      </c>
    </row>
    <row r="851" spans="1:59" s="1396" customFormat="1" ht="42" customHeight="1">
      <c r="A851" s="1347" t="str">
        <f>$L$849</f>
        <v>SyntheX, Inc.</v>
      </c>
      <c r="B851" s="1347" t="s">
        <v>4835</v>
      </c>
      <c r="C851" s="1348">
        <f>$Z$849</f>
        <v>3</v>
      </c>
      <c r="D851" s="1349">
        <v>42826</v>
      </c>
      <c r="E851" s="1349"/>
      <c r="F851" s="1347" t="s">
        <v>72</v>
      </c>
      <c r="G851" s="1347" t="s">
        <v>85</v>
      </c>
      <c r="H851" s="1347" t="s">
        <v>72</v>
      </c>
      <c r="I851" s="1347" t="s">
        <v>113</v>
      </c>
      <c r="J851" s="1349" t="s">
        <v>4670</v>
      </c>
      <c r="K851" s="1349" t="s">
        <v>254</v>
      </c>
      <c r="L851" s="1350" t="s">
        <v>4671</v>
      </c>
      <c r="M851" s="1350" t="s">
        <v>3649</v>
      </c>
      <c r="N851" s="1379" t="s">
        <v>4820</v>
      </c>
      <c r="O851" s="1352" t="s">
        <v>5318</v>
      </c>
      <c r="P851" s="1352"/>
      <c r="Q851" s="1445"/>
      <c r="R851" s="1445"/>
      <c r="S851" s="1445"/>
      <c r="T851" s="1445"/>
      <c r="U851" s="1445"/>
      <c r="V851" s="1445"/>
      <c r="W851" s="1445"/>
      <c r="X851" s="1353">
        <v>43101</v>
      </c>
      <c r="Y851" s="1353">
        <v>43466</v>
      </c>
      <c r="Z851" s="1425"/>
      <c r="AA851" s="1355" t="s">
        <v>4674</v>
      </c>
      <c r="AB851" s="1356"/>
      <c r="AC851" s="1356"/>
      <c r="AD851" s="1356"/>
      <c r="AE851" s="1356"/>
      <c r="AF851" s="1357" t="str">
        <f t="shared" si="951"/>
        <v/>
      </c>
      <c r="AG851" s="1380"/>
      <c r="AH851" s="1380"/>
      <c r="AI851" s="1381">
        <v>0</v>
      </c>
      <c r="AJ851" s="1382">
        <f t="shared" si="1228"/>
        <v>0</v>
      </c>
      <c r="AK851" s="1383">
        <f>AI851*$AH851</f>
        <v>0</v>
      </c>
      <c r="AL851" s="1384">
        <v>0</v>
      </c>
      <c r="AM851" s="1363">
        <f>AL851*$AH851</f>
        <v>0</v>
      </c>
      <c r="AN851" s="1364">
        <v>0</v>
      </c>
      <c r="AO851" s="1365">
        <f>AN851*$AH851</f>
        <v>0</v>
      </c>
      <c r="AP851" s="1366">
        <v>0</v>
      </c>
      <c r="AQ851" s="1367">
        <f>AP851*$AH851</f>
        <v>0</v>
      </c>
      <c r="AR851" s="1368">
        <v>0</v>
      </c>
      <c r="AS851" s="1369">
        <f>AR851*$AH851</f>
        <v>0</v>
      </c>
      <c r="AT851" s="1370">
        <v>0</v>
      </c>
      <c r="AU851" s="1371">
        <f>AT851*$AH851</f>
        <v>0</v>
      </c>
      <c r="AV851" s="1359">
        <f>AZ851-AR851-AT851-AP851</f>
        <v>0</v>
      </c>
      <c r="AW851" s="1372">
        <f>AV851*$AH851</f>
        <v>0</v>
      </c>
      <c r="AX851" s="1373">
        <f>$AZ851-$AP851</f>
        <v>0</v>
      </c>
      <c r="AY851" s="1374">
        <f>AX851*$AH851</f>
        <v>0</v>
      </c>
      <c r="AZ851" s="1375">
        <f>$AI851-$AL851-$AN851</f>
        <v>0</v>
      </c>
      <c r="BA851" s="1376">
        <f>AZ851*$AH851</f>
        <v>0</v>
      </c>
      <c r="BB851" s="1377"/>
      <c r="BC851" s="1820"/>
      <c r="BD851" s="1820"/>
      <c r="BE851" s="1823"/>
      <c r="BF851" s="1826"/>
      <c r="BG851" s="1829"/>
    </row>
    <row r="852" spans="1:59" s="1378" customFormat="1" ht="27.75" customHeight="1">
      <c r="A852" s="1347" t="s">
        <v>180</v>
      </c>
      <c r="B852" s="1348" t="s">
        <v>4835</v>
      </c>
      <c r="C852" s="1348">
        <f>Z849</f>
        <v>3</v>
      </c>
      <c r="D852" s="1349">
        <v>42826</v>
      </c>
      <c r="E852" s="1349"/>
      <c r="F852" s="1347" t="s">
        <v>72</v>
      </c>
      <c r="G852" s="1347" t="s">
        <v>85</v>
      </c>
      <c r="H852" s="1347" t="s">
        <v>72</v>
      </c>
      <c r="I852" s="1347" t="s">
        <v>72</v>
      </c>
      <c r="J852" s="1349" t="s">
        <v>4670</v>
      </c>
      <c r="K852" s="1349" t="s">
        <v>254</v>
      </c>
      <c r="L852" s="1350" t="s">
        <v>4696</v>
      </c>
      <c r="M852" s="1350" t="s">
        <v>4697</v>
      </c>
      <c r="N852" s="1389" t="s">
        <v>4698</v>
      </c>
      <c r="O852" s="1352" t="s">
        <v>4699</v>
      </c>
      <c r="P852" s="1352"/>
      <c r="Q852" s="1354"/>
      <c r="R852" s="1354"/>
      <c r="S852" s="1354"/>
      <c r="T852" s="1354"/>
      <c r="U852" s="1354"/>
      <c r="V852" s="1354"/>
      <c r="W852" s="1354"/>
      <c r="X852" s="1353">
        <v>43101</v>
      </c>
      <c r="Y852" s="1353">
        <v>43466</v>
      </c>
      <c r="Z852" s="1355"/>
      <c r="AA852" s="1355" t="s">
        <v>4674</v>
      </c>
      <c r="AB852" s="1356"/>
      <c r="AC852" s="1356"/>
      <c r="AD852" s="1356"/>
      <c r="AE852" s="1356"/>
      <c r="AF852" s="1357" t="str">
        <f t="shared" si="951"/>
        <v/>
      </c>
      <c r="AG852" s="1380"/>
      <c r="AH852" s="1380"/>
      <c r="AI852" s="1381">
        <v>0</v>
      </c>
      <c r="AJ852" s="1382">
        <f t="shared" si="1228"/>
        <v>0</v>
      </c>
      <c r="AK852" s="1383">
        <f t="shared" ref="AK852" si="1229">AI852*$AH852</f>
        <v>0</v>
      </c>
      <c r="AL852" s="1384">
        <v>0</v>
      </c>
      <c r="AM852" s="1363">
        <f t="shared" ref="AM852" si="1230">AL852*$AH852</f>
        <v>0</v>
      </c>
      <c r="AN852" s="1364">
        <v>0</v>
      </c>
      <c r="AO852" s="1365">
        <f t="shared" ref="AO852" si="1231">AN852*$AH852</f>
        <v>0</v>
      </c>
      <c r="AP852" s="1366">
        <v>0</v>
      </c>
      <c r="AQ852" s="1367">
        <f t="shared" ref="AQ852" si="1232">AP852*$AH852</f>
        <v>0</v>
      </c>
      <c r="AR852" s="1368">
        <v>0</v>
      </c>
      <c r="AS852" s="1369">
        <f t="shared" ref="AS852" si="1233">AR852*$AH852</f>
        <v>0</v>
      </c>
      <c r="AT852" s="1370">
        <v>0</v>
      </c>
      <c r="AU852" s="1371">
        <f t="shared" ref="AU852" si="1234">AT852*$AH852</f>
        <v>0</v>
      </c>
      <c r="AV852" s="1359">
        <f t="shared" ref="AV852" si="1235">AZ852-AR852-AT852-AP852</f>
        <v>0</v>
      </c>
      <c r="AW852" s="1372">
        <f t="shared" ref="AW852" si="1236">AV852*$AH852</f>
        <v>0</v>
      </c>
      <c r="AX852" s="1373">
        <f t="shared" ref="AX852" si="1237">$AZ852-$AP852</f>
        <v>0</v>
      </c>
      <c r="AY852" s="1374">
        <f t="shared" ref="AY852" si="1238">AX852*$AH852</f>
        <v>0</v>
      </c>
      <c r="AZ852" s="1375">
        <f t="shared" ref="AZ852" si="1239">$AI852-$AL852-$AN852</f>
        <v>0</v>
      </c>
      <c r="BA852" s="1376">
        <f t="shared" ref="BA852" si="1240">AZ852*$AH852</f>
        <v>0</v>
      </c>
      <c r="BB852" s="1377"/>
      <c r="BC852" s="1820"/>
      <c r="BD852" s="1820"/>
      <c r="BE852" s="1823"/>
      <c r="BF852" s="1826"/>
      <c r="BG852" s="1829"/>
    </row>
    <row r="853" spans="1:59" s="1396" customFormat="1" ht="25.5">
      <c r="A853" s="1347" t="str">
        <f>$L$849</f>
        <v>SyntheX, Inc.</v>
      </c>
      <c r="B853" s="1347" t="s">
        <v>4835</v>
      </c>
      <c r="C853" s="1348">
        <f>$Z$849</f>
        <v>3</v>
      </c>
      <c r="D853" s="1349">
        <v>42826</v>
      </c>
      <c r="E853" s="1349"/>
      <c r="F853" s="1347" t="s">
        <v>72</v>
      </c>
      <c r="G853" s="1347" t="s">
        <v>85</v>
      </c>
      <c r="H853" s="1347" t="s">
        <v>72</v>
      </c>
      <c r="I853" s="1347" t="s">
        <v>72</v>
      </c>
      <c r="J853" s="1349" t="s">
        <v>4670</v>
      </c>
      <c r="K853" s="1349" t="s">
        <v>254</v>
      </c>
      <c r="L853" s="1350" t="s">
        <v>48</v>
      </c>
      <c r="M853" s="1350" t="s">
        <v>253</v>
      </c>
      <c r="N853" s="1390" t="s">
        <v>4703</v>
      </c>
      <c r="O853" s="1352" t="s">
        <v>5319</v>
      </c>
      <c r="P853" s="1352"/>
      <c r="Q853" s="1445"/>
      <c r="R853" s="1445"/>
      <c r="S853" s="1445"/>
      <c r="T853" s="1445"/>
      <c r="U853" s="1445"/>
      <c r="V853" s="1445"/>
      <c r="W853" s="1445"/>
      <c r="X853" s="1353">
        <v>43101</v>
      </c>
      <c r="Y853" s="1353">
        <v>43466</v>
      </c>
      <c r="Z853" s="1425"/>
      <c r="AA853" s="1355" t="s">
        <v>4674</v>
      </c>
      <c r="AB853" s="1356"/>
      <c r="AC853" s="1356"/>
      <c r="AD853" s="1356"/>
      <c r="AE853" s="1356"/>
      <c r="AF853" s="1357" t="str">
        <f t="shared" si="951"/>
        <v/>
      </c>
      <c r="AG853" s="1380"/>
      <c r="AH853" s="1380"/>
      <c r="AI853" s="1381">
        <v>0</v>
      </c>
      <c r="AJ853" s="1382">
        <f t="shared" si="1228"/>
        <v>0</v>
      </c>
      <c r="AK853" s="1383">
        <f>AI853*$AH853</f>
        <v>0</v>
      </c>
      <c r="AL853" s="1384">
        <v>0</v>
      </c>
      <c r="AM853" s="1363">
        <f>AL853*$AH853</f>
        <v>0</v>
      </c>
      <c r="AN853" s="1364">
        <v>0</v>
      </c>
      <c r="AO853" s="1365">
        <f>AN853*$AH853</f>
        <v>0</v>
      </c>
      <c r="AP853" s="1366">
        <v>0</v>
      </c>
      <c r="AQ853" s="1367">
        <f>AP853*$AH853</f>
        <v>0</v>
      </c>
      <c r="AR853" s="1368">
        <v>0</v>
      </c>
      <c r="AS853" s="1369">
        <f>AR853*$AH853</f>
        <v>0</v>
      </c>
      <c r="AT853" s="1370">
        <v>0</v>
      </c>
      <c r="AU853" s="1371">
        <f>AT853*$AH853</f>
        <v>0</v>
      </c>
      <c r="AV853" s="1359">
        <f>AZ853-AR853-AT853-AP853</f>
        <v>0</v>
      </c>
      <c r="AW853" s="1372">
        <f>AV853*$AH853</f>
        <v>0</v>
      </c>
      <c r="AX853" s="1373">
        <f>$AZ853-$AP853</f>
        <v>0</v>
      </c>
      <c r="AY853" s="1374">
        <f>AX853*$AH853</f>
        <v>0</v>
      </c>
      <c r="AZ853" s="1375">
        <f>$AI853-$AL853-$AN853</f>
        <v>0</v>
      </c>
      <c r="BA853" s="1376">
        <f>AZ853*$AH853</f>
        <v>0</v>
      </c>
      <c r="BB853" s="1377"/>
      <c r="BC853" s="1820"/>
      <c r="BD853" s="1820"/>
      <c r="BE853" s="1823"/>
      <c r="BF853" s="1826"/>
      <c r="BG853" s="1829"/>
    </row>
    <row r="854" spans="1:59" s="1396" customFormat="1" ht="22.5" customHeight="1">
      <c r="A854" s="1347" t="str">
        <f>$L$849</f>
        <v>SyntheX, Inc.</v>
      </c>
      <c r="B854" s="1347" t="s">
        <v>4835</v>
      </c>
      <c r="C854" s="1348">
        <f>$Z$849</f>
        <v>3</v>
      </c>
      <c r="D854" s="1349">
        <v>42826</v>
      </c>
      <c r="E854" s="1349"/>
      <c r="F854" s="1347" t="s">
        <v>72</v>
      </c>
      <c r="G854" s="1347" t="s">
        <v>85</v>
      </c>
      <c r="H854" s="1347" t="s">
        <v>72</v>
      </c>
      <c r="I854" s="1347" t="s">
        <v>72</v>
      </c>
      <c r="J854" s="1349" t="s">
        <v>4670</v>
      </c>
      <c r="K854" s="1349" t="s">
        <v>254</v>
      </c>
      <c r="L854" s="1350" t="s">
        <v>49</v>
      </c>
      <c r="M854" s="1350" t="s">
        <v>4705</v>
      </c>
      <c r="N854" s="1390" t="s">
        <v>5273</v>
      </c>
      <c r="O854" s="1352" t="s">
        <v>4707</v>
      </c>
      <c r="P854" s="1352"/>
      <c r="Q854" s="1445"/>
      <c r="R854" s="1445"/>
      <c r="S854" s="1445"/>
      <c r="T854" s="1445"/>
      <c r="U854" s="1445"/>
      <c r="V854" s="1445"/>
      <c r="W854" s="1445"/>
      <c r="X854" s="1353">
        <v>43101</v>
      </c>
      <c r="Y854" s="1353">
        <v>43466</v>
      </c>
      <c r="Z854" s="1425"/>
      <c r="AA854" s="1355" t="s">
        <v>4674</v>
      </c>
      <c r="AB854" s="1356"/>
      <c r="AC854" s="1356"/>
      <c r="AD854" s="1356"/>
      <c r="AE854" s="1356"/>
      <c r="AF854" s="1357" t="str">
        <f t="shared" si="951"/>
        <v/>
      </c>
      <c r="AG854" s="1380"/>
      <c r="AH854" s="1380"/>
      <c r="AI854" s="1381">
        <v>0</v>
      </c>
      <c r="AJ854" s="1382">
        <f t="shared" si="1228"/>
        <v>0</v>
      </c>
      <c r="AK854" s="1383">
        <f>AI854*$AH854</f>
        <v>0</v>
      </c>
      <c r="AL854" s="1384">
        <v>0</v>
      </c>
      <c r="AM854" s="1363">
        <f>AL854*$AH854</f>
        <v>0</v>
      </c>
      <c r="AN854" s="1364">
        <v>0</v>
      </c>
      <c r="AO854" s="1365">
        <f>AN854*$AH854</f>
        <v>0</v>
      </c>
      <c r="AP854" s="1366">
        <v>0</v>
      </c>
      <c r="AQ854" s="1367">
        <f>AP854*$AH854</f>
        <v>0</v>
      </c>
      <c r="AR854" s="1368">
        <v>0</v>
      </c>
      <c r="AS854" s="1369">
        <f>AR854*$AH854</f>
        <v>0</v>
      </c>
      <c r="AT854" s="1370">
        <v>0</v>
      </c>
      <c r="AU854" s="1371">
        <f>AT854*$AH854</f>
        <v>0</v>
      </c>
      <c r="AV854" s="1359">
        <f>AZ854-AR854-AT854-AP854</f>
        <v>0</v>
      </c>
      <c r="AW854" s="1372">
        <f>AV854*$AH854</f>
        <v>0</v>
      </c>
      <c r="AX854" s="1373">
        <f>$AZ854-$AP854</f>
        <v>0</v>
      </c>
      <c r="AY854" s="1374">
        <f>AX854*$AH854</f>
        <v>0</v>
      </c>
      <c r="AZ854" s="1375">
        <f>$AI854-$AL854-$AN854</f>
        <v>0</v>
      </c>
      <c r="BA854" s="1376">
        <f>AZ854*$AH854</f>
        <v>0</v>
      </c>
      <c r="BB854" s="1377"/>
      <c r="BC854" s="1820"/>
      <c r="BD854" s="1820"/>
      <c r="BE854" s="1823"/>
      <c r="BF854" s="1826"/>
      <c r="BG854" s="1829"/>
    </row>
    <row r="855" spans="1:59" s="1378" customFormat="1" ht="21.75" customHeight="1">
      <c r="A855" s="1347" t="str">
        <f>A854</f>
        <v>SyntheX, Inc.</v>
      </c>
      <c r="B855" s="1348" t="str">
        <f>B854</f>
        <v>Duenas</v>
      </c>
      <c r="C855" s="1348">
        <f>C854</f>
        <v>3</v>
      </c>
      <c r="D855" s="1349">
        <v>42826</v>
      </c>
      <c r="E855" s="1349"/>
      <c r="F855" s="1347" t="s">
        <v>72</v>
      </c>
      <c r="G855" s="1347" t="s">
        <v>85</v>
      </c>
      <c r="H855" s="1347" t="s">
        <v>72</v>
      </c>
      <c r="I855" s="1347" t="s">
        <v>72</v>
      </c>
      <c r="J855" s="1349" t="s">
        <v>4670</v>
      </c>
      <c r="K855" s="1349" t="s">
        <v>254</v>
      </c>
      <c r="L855" s="1350" t="s">
        <v>3056</v>
      </c>
      <c r="M855" s="1350" t="s">
        <v>4708</v>
      </c>
      <c r="N855" s="1390" t="s">
        <v>4709</v>
      </c>
      <c r="O855" s="1352" t="s">
        <v>4710</v>
      </c>
      <c r="P855" s="1352"/>
      <c r="Q855" s="1354"/>
      <c r="R855" s="1354"/>
      <c r="S855" s="1354"/>
      <c r="T855" s="1354"/>
      <c r="U855" s="1354"/>
      <c r="V855" s="1354"/>
      <c r="W855" s="1354"/>
      <c r="X855" s="1353">
        <v>43101</v>
      </c>
      <c r="Y855" s="1353">
        <v>43466</v>
      </c>
      <c r="Z855" s="1355"/>
      <c r="AA855" s="1355" t="s">
        <v>4674</v>
      </c>
      <c r="AB855" s="1356"/>
      <c r="AC855" s="1356"/>
      <c r="AD855" s="1356"/>
      <c r="AE855" s="1356"/>
      <c r="AF855" s="1357" t="str">
        <f t="shared" si="951"/>
        <v/>
      </c>
      <c r="AG855" s="1380"/>
      <c r="AH855" s="1380"/>
      <c r="AI855" s="1381">
        <v>0</v>
      </c>
      <c r="AJ855" s="1382">
        <f t="shared" si="1228"/>
        <v>0</v>
      </c>
      <c r="AK855" s="1383">
        <f t="shared" ref="AK855" si="1241">AI855*$AH855</f>
        <v>0</v>
      </c>
      <c r="AL855" s="1384">
        <v>0</v>
      </c>
      <c r="AM855" s="1363">
        <f t="shared" ref="AM855" si="1242">AL855*$AH855</f>
        <v>0</v>
      </c>
      <c r="AN855" s="1364">
        <v>0</v>
      </c>
      <c r="AO855" s="1365">
        <f t="shared" ref="AO855" si="1243">AN855*$AH855</f>
        <v>0</v>
      </c>
      <c r="AP855" s="1366">
        <v>0</v>
      </c>
      <c r="AQ855" s="1367">
        <f t="shared" ref="AQ855" si="1244">AP855*$AH855</f>
        <v>0</v>
      </c>
      <c r="AR855" s="1368">
        <v>0</v>
      </c>
      <c r="AS855" s="1369">
        <f t="shared" ref="AS855" si="1245">AR855*$AH855</f>
        <v>0</v>
      </c>
      <c r="AT855" s="1370">
        <v>0</v>
      </c>
      <c r="AU855" s="1371">
        <f t="shared" ref="AU855" si="1246">AT855*$AH855</f>
        <v>0</v>
      </c>
      <c r="AV855" s="1359">
        <f t="shared" ref="AV855" si="1247">AZ855-AR855-AT855-AP855</f>
        <v>0</v>
      </c>
      <c r="AW855" s="1372">
        <f t="shared" ref="AW855" si="1248">AV855*$AH855</f>
        <v>0</v>
      </c>
      <c r="AX855" s="1373">
        <f t="shared" ref="AX855" si="1249">$AZ855-$AP855</f>
        <v>0</v>
      </c>
      <c r="AY855" s="1374">
        <f t="shared" ref="AY855" si="1250">AX855*$AH855</f>
        <v>0</v>
      </c>
      <c r="AZ855" s="1375">
        <f t="shared" ref="AZ855" si="1251">$AI855-$AL855-$AN855</f>
        <v>0</v>
      </c>
      <c r="BA855" s="1376">
        <f t="shared" ref="BA855" si="1252">AZ855*$AH855</f>
        <v>0</v>
      </c>
      <c r="BB855" s="1391"/>
      <c r="BC855" s="1821"/>
      <c r="BD855" s="1821"/>
      <c r="BE855" s="1824"/>
      <c r="BF855" s="1827"/>
      <c r="BG855" s="1830"/>
    </row>
    <row r="856" spans="1:59" s="1315" customFormat="1" ht="57" customHeight="1">
      <c r="A856" s="1277" t="str">
        <f>L856</f>
        <v>Tocagen, Inc.</v>
      </c>
      <c r="B856" s="1316" t="str">
        <f>N856</f>
        <v>HUB SD</v>
      </c>
      <c r="C856" s="1316">
        <f>Z856</f>
        <v>67</v>
      </c>
      <c r="D856" s="1317">
        <v>43101</v>
      </c>
      <c r="E856" s="1317"/>
      <c r="F856" s="1277" t="s">
        <v>72</v>
      </c>
      <c r="G856" s="1277" t="s">
        <v>72</v>
      </c>
      <c r="H856" s="1277" t="s">
        <v>72</v>
      </c>
      <c r="I856" s="1277" t="s">
        <v>4711</v>
      </c>
      <c r="J856" s="1317"/>
      <c r="K856" s="1317"/>
      <c r="L856" s="1318" t="s">
        <v>3715</v>
      </c>
      <c r="M856" s="1318"/>
      <c r="N856" s="1320" t="s">
        <v>4661</v>
      </c>
      <c r="O856" s="1321" t="s">
        <v>2473</v>
      </c>
      <c r="P856" s="1321"/>
      <c r="Q856" s="1322"/>
      <c r="R856" s="1322"/>
      <c r="S856" s="1322"/>
      <c r="T856" s="1322"/>
      <c r="U856" s="1322"/>
      <c r="V856" s="1322"/>
      <c r="W856" s="1322"/>
      <c r="X856" s="1317">
        <v>43101</v>
      </c>
      <c r="Y856" s="1317">
        <v>43466</v>
      </c>
      <c r="Z856" s="1316">
        <v>67</v>
      </c>
      <c r="AA856" s="1316" t="s">
        <v>5320</v>
      </c>
      <c r="AB856" s="1323">
        <f>SUM(AB857:AB866)</f>
        <v>715726.67999999993</v>
      </c>
      <c r="AC856" s="1323">
        <f>SUM(AC857:AC866)</f>
        <v>795485.05499999993</v>
      </c>
      <c r="AD856" s="1323">
        <f>SUM(AD857:AD866)</f>
        <v>655269</v>
      </c>
      <c r="AE856" s="1324">
        <f t="shared" ref="AE856:AE937" si="1253">AD856-AB856</f>
        <v>-60457.679999999935</v>
      </c>
      <c r="AF856" s="1325">
        <f t="shared" si="951"/>
        <v>-8.447034557940461E-2</v>
      </c>
      <c r="AG856" s="1326">
        <f t="shared" si="1174"/>
        <v>58743.002500000002</v>
      </c>
      <c r="AH856" s="1326">
        <f>SUM(AH857:AH866)</f>
        <v>704916.03</v>
      </c>
      <c r="AI856" s="1339"/>
      <c r="AJ856" s="1328">
        <f>SUM(AJ857:AJ866)</f>
        <v>5073.884575000001</v>
      </c>
      <c r="AK856" s="1328">
        <f>SUM(AK857:AK866)</f>
        <v>60886.614900000008</v>
      </c>
      <c r="AL856" s="1329"/>
      <c r="AM856" s="1330">
        <f>SUM(AM857:AM866)</f>
        <v>2905.5984000000003</v>
      </c>
      <c r="AN856" s="1331"/>
      <c r="AO856" s="1332">
        <f>SUM(AO857:AO866)</f>
        <v>0</v>
      </c>
      <c r="AP856" s="1333"/>
      <c r="AQ856" s="1334">
        <f>SUM(AQ857:AQ866)</f>
        <v>0</v>
      </c>
      <c r="AR856" s="1335"/>
      <c r="AS856" s="1336">
        <f>SUM(AS857:AS866)</f>
        <v>33955.457400000007</v>
      </c>
      <c r="AT856" s="1337"/>
      <c r="AU856" s="1338">
        <f>SUM(AU857:AU866)</f>
        <v>14527.992000000002</v>
      </c>
      <c r="AV856" s="1339"/>
      <c r="AW856" s="1340">
        <f>SUM(AW857:AW866)</f>
        <v>9497.5670999999984</v>
      </c>
      <c r="AX856" s="1306"/>
      <c r="AY856" s="1307">
        <f>SUM(AW856+AS856+AU856)</f>
        <v>57981.016500000012</v>
      </c>
      <c r="AZ856" s="1341"/>
      <c r="BA856" s="1309">
        <f>SUM(AY856+AQ856)</f>
        <v>57981.016500000012</v>
      </c>
      <c r="BB856" s="1342">
        <f>(AW856+AU856)/(AK856-AM856)</f>
        <v>0.41436940140571693</v>
      </c>
      <c r="BC856" s="1343"/>
      <c r="BD856" s="1343"/>
      <c r="BE856" s="1344"/>
      <c r="BF856" s="1345" t="s">
        <v>4826</v>
      </c>
      <c r="BG856" s="1346"/>
    </row>
    <row r="857" spans="1:59" s="1378" customFormat="1" ht="76.5">
      <c r="A857" s="1347" t="str">
        <f>L856</f>
        <v>Tocagen, Inc.</v>
      </c>
      <c r="B857" s="1348" t="str">
        <f>N856</f>
        <v>HUB SD</v>
      </c>
      <c r="C857" s="1348">
        <f>Z856</f>
        <v>67</v>
      </c>
      <c r="D857" s="1349">
        <v>43101</v>
      </c>
      <c r="E857" s="1349"/>
      <c r="F857" s="1347" t="s">
        <v>85</v>
      </c>
      <c r="G857" s="1347" t="s">
        <v>85</v>
      </c>
      <c r="H857" s="1347" t="s">
        <v>85</v>
      </c>
      <c r="I857" s="1347" t="s">
        <v>85</v>
      </c>
      <c r="J857" s="1349"/>
      <c r="K857" s="1349" t="s">
        <v>254</v>
      </c>
      <c r="L857" s="1350" t="s">
        <v>2661</v>
      </c>
      <c r="M857" s="1350" t="s">
        <v>3647</v>
      </c>
      <c r="N857" s="1351" t="s">
        <v>4827</v>
      </c>
      <c r="O857" s="1352" t="s">
        <v>4828</v>
      </c>
      <c r="P857" s="1352" t="s">
        <v>4829</v>
      </c>
      <c r="Q857" s="1353" t="s">
        <v>317</v>
      </c>
      <c r="R857" s="1353" t="s">
        <v>3656</v>
      </c>
      <c r="S857" s="1353" t="s">
        <v>307</v>
      </c>
      <c r="T857" s="1353" t="s">
        <v>113</v>
      </c>
      <c r="U857" s="1354"/>
      <c r="V857" s="1354"/>
      <c r="W857" s="1354"/>
      <c r="X857" s="1353">
        <v>43101</v>
      </c>
      <c r="Y857" s="1353">
        <v>43466</v>
      </c>
      <c r="Z857" s="1355"/>
      <c r="AA857" s="1355" t="s">
        <v>4667</v>
      </c>
      <c r="AB857" s="1422">
        <v>638067</v>
      </c>
      <c r="AC857" s="1422">
        <v>717825.375</v>
      </c>
      <c r="AD857" s="1422">
        <f>AH857</f>
        <v>581119.68000000005</v>
      </c>
      <c r="AE857" s="1422">
        <f t="shared" si="1253"/>
        <v>-56947.319999999949</v>
      </c>
      <c r="AF857" s="1423">
        <f t="shared" si="951"/>
        <v>-8.9249749634442696E-2</v>
      </c>
      <c r="AG857" s="1358">
        <f t="shared" si="1174"/>
        <v>48426.640000000007</v>
      </c>
      <c r="AH857" s="1358">
        <v>581119.68000000005</v>
      </c>
      <c r="AI857" s="1359">
        <v>0.08</v>
      </c>
      <c r="AJ857" s="1360">
        <f t="shared" ref="AJ857:AJ866" si="1254">$AI857*$AG857</f>
        <v>3874.1312000000007</v>
      </c>
      <c r="AK857" s="1361">
        <f t="shared" ref="AK857:AK866" si="1255">AI857*$AH857</f>
        <v>46489.574400000005</v>
      </c>
      <c r="AL857" s="1362">
        <v>5.0000000000000001E-3</v>
      </c>
      <c r="AM857" s="1363">
        <f t="shared" ref="AM857:AM866" si="1256">AL857*$AH857</f>
        <v>2905.5984000000003</v>
      </c>
      <c r="AN857" s="1364">
        <v>0</v>
      </c>
      <c r="AO857" s="1365">
        <f t="shared" ref="AO857:AO866" si="1257">AN857*$AH857</f>
        <v>0</v>
      </c>
      <c r="AP857" s="1366">
        <v>0</v>
      </c>
      <c r="AQ857" s="1367">
        <f t="shared" ref="AQ857:AQ866" si="1258">AP857*$AH857</f>
        <v>0</v>
      </c>
      <c r="AR857" s="1368">
        <v>0.04</v>
      </c>
      <c r="AS857" s="1369">
        <f t="shared" ref="AS857:AS866" si="1259">AR857*$AH857</f>
        <v>23244.787200000002</v>
      </c>
      <c r="AT857" s="1370">
        <v>2.5000000000000001E-2</v>
      </c>
      <c r="AU857" s="1371">
        <f t="shared" ref="AU857:AU866" si="1260">AT857*$AH857</f>
        <v>14527.992000000002</v>
      </c>
      <c r="AV857" s="1359">
        <f t="shared" ref="AV857:AV866" si="1261">AZ857-AR857-AT857-AP857</f>
        <v>9.999999999999995E-3</v>
      </c>
      <c r="AW857" s="1372">
        <f t="shared" ref="AW857:AW866" si="1262">AV857*$AH857</f>
        <v>5811.1967999999979</v>
      </c>
      <c r="AX857" s="1373">
        <f t="shared" ref="AX857:AX866" si="1263">$AZ857-$AP857</f>
        <v>7.4999999999999997E-2</v>
      </c>
      <c r="AY857" s="1374">
        <f t="shared" ref="AY857:AY866" si="1264">AX857*$AH857</f>
        <v>43583.976000000002</v>
      </c>
      <c r="AZ857" s="1375">
        <f t="shared" ref="AZ857:AZ866" si="1265">$AI857-$AL857-$AN857</f>
        <v>7.4999999999999997E-2</v>
      </c>
      <c r="BA857" s="1376">
        <f t="shared" ref="BA857:BA866" si="1266">AZ857*$AH857</f>
        <v>43583.976000000002</v>
      </c>
      <c r="BB857" s="1391"/>
      <c r="BC857" s="1819" t="s">
        <v>1246</v>
      </c>
      <c r="BD857" s="1819" t="s">
        <v>5321</v>
      </c>
      <c r="BE857" s="1822" t="s">
        <v>1313</v>
      </c>
      <c r="BF857" s="1834" t="s">
        <v>4242</v>
      </c>
      <c r="BG857" s="1828">
        <v>261243872</v>
      </c>
    </row>
    <row r="858" spans="1:59" s="1378" customFormat="1" ht="38.25">
      <c r="A858" s="1347" t="str">
        <f>L856</f>
        <v>Tocagen, Inc.</v>
      </c>
      <c r="B858" s="1348" t="str">
        <f>N856</f>
        <v>HUB SD</v>
      </c>
      <c r="C858" s="1348">
        <f>Z856</f>
        <v>67</v>
      </c>
      <c r="D858" s="1349">
        <v>43101</v>
      </c>
      <c r="E858" s="1349"/>
      <c r="F858" s="1347" t="s">
        <v>72</v>
      </c>
      <c r="G858" s="1347" t="s">
        <v>113</v>
      </c>
      <c r="H858" s="1347" t="s">
        <v>72</v>
      </c>
      <c r="I858" s="1347" t="s">
        <v>72</v>
      </c>
      <c r="J858" s="1349" t="s">
        <v>4670</v>
      </c>
      <c r="K858" s="1349"/>
      <c r="L858" s="1397" t="s">
        <v>5322</v>
      </c>
      <c r="M858" s="1397" t="s">
        <v>3649</v>
      </c>
      <c r="N858" s="1410" t="s">
        <v>5323</v>
      </c>
      <c r="O858" s="1399" t="s">
        <v>5324</v>
      </c>
      <c r="P858" s="1399"/>
      <c r="Q858" s="1400"/>
      <c r="R858" s="1400"/>
      <c r="S858" s="1400"/>
      <c r="T858" s="1400"/>
      <c r="U858" s="1400"/>
      <c r="V858" s="1400"/>
      <c r="W858" s="1400"/>
      <c r="X858" s="1400">
        <v>43101</v>
      </c>
      <c r="Y858" s="1400">
        <v>43466</v>
      </c>
      <c r="Z858" s="1401"/>
      <c r="AA858" s="1401" t="s">
        <v>4738</v>
      </c>
      <c r="AB858" s="1369"/>
      <c r="AC858" s="1369"/>
      <c r="AD858" s="1369"/>
      <c r="AE858" s="1369"/>
      <c r="AF858" s="1403" t="str">
        <f t="shared" si="951"/>
        <v/>
      </c>
      <c r="AG858" s="1404"/>
      <c r="AH858" s="1404"/>
      <c r="AI858" s="1405">
        <v>0</v>
      </c>
      <c r="AJ858" s="1411">
        <f t="shared" si="1254"/>
        <v>0</v>
      </c>
      <c r="AK858" s="1406">
        <f t="shared" si="1255"/>
        <v>0</v>
      </c>
      <c r="AL858" s="1384">
        <v>0</v>
      </c>
      <c r="AM858" s="1363">
        <f t="shared" si="1256"/>
        <v>0</v>
      </c>
      <c r="AN858" s="1364">
        <v>0</v>
      </c>
      <c r="AO858" s="1365">
        <f t="shared" si="1257"/>
        <v>0</v>
      </c>
      <c r="AP858" s="1366">
        <v>0</v>
      </c>
      <c r="AQ858" s="1367">
        <f t="shared" si="1258"/>
        <v>0</v>
      </c>
      <c r="AR858" s="1368">
        <v>0</v>
      </c>
      <c r="AS858" s="1369">
        <f t="shared" si="1259"/>
        <v>0</v>
      </c>
      <c r="AT858" s="1370">
        <v>0</v>
      </c>
      <c r="AU858" s="1371">
        <f t="shared" si="1260"/>
        <v>0</v>
      </c>
      <c r="AV858" s="1359">
        <f t="shared" si="1261"/>
        <v>0</v>
      </c>
      <c r="AW858" s="1372">
        <f t="shared" si="1262"/>
        <v>0</v>
      </c>
      <c r="AX858" s="1373">
        <f t="shared" si="1263"/>
        <v>0</v>
      </c>
      <c r="AY858" s="1374">
        <f t="shared" si="1264"/>
        <v>0</v>
      </c>
      <c r="AZ858" s="1375">
        <f t="shared" si="1265"/>
        <v>0</v>
      </c>
      <c r="BA858" s="1376">
        <f t="shared" si="1266"/>
        <v>0</v>
      </c>
      <c r="BB858" s="1391"/>
      <c r="BC858" s="1820"/>
      <c r="BD858" s="1820"/>
      <c r="BE858" s="1839"/>
      <c r="BF858" s="1834"/>
      <c r="BG858" s="1829"/>
    </row>
    <row r="859" spans="1:59" s="1378" customFormat="1" ht="38.25">
      <c r="A859" s="1347" t="str">
        <f>L856</f>
        <v>Tocagen, Inc.</v>
      </c>
      <c r="B859" s="1348" t="str">
        <f>N856</f>
        <v>HUB SD</v>
      </c>
      <c r="C859" s="1348">
        <f>Z856</f>
        <v>67</v>
      </c>
      <c r="D859" s="1349">
        <v>43101</v>
      </c>
      <c r="E859" s="1349"/>
      <c r="F859" s="1347" t="s">
        <v>113</v>
      </c>
      <c r="G859" s="1347" t="s">
        <v>85</v>
      </c>
      <c r="H859" s="1347" t="s">
        <v>85</v>
      </c>
      <c r="I859" s="1347" t="s">
        <v>85</v>
      </c>
      <c r="J859" s="1349"/>
      <c r="K859" s="1349" t="s">
        <v>254</v>
      </c>
      <c r="L859" s="1350" t="s">
        <v>4675</v>
      </c>
      <c r="M859" s="1350" t="s">
        <v>3650</v>
      </c>
      <c r="N859" s="1385" t="s">
        <v>4822</v>
      </c>
      <c r="O859" s="1352" t="s">
        <v>4677</v>
      </c>
      <c r="P859" s="1352"/>
      <c r="Q859" s="1354"/>
      <c r="R859" s="1354"/>
      <c r="S859" s="1354"/>
      <c r="T859" s="1354"/>
      <c r="U859" s="1353" t="s">
        <v>4802</v>
      </c>
      <c r="V859" s="1353" t="s">
        <v>2482</v>
      </c>
      <c r="W859" s="1354"/>
      <c r="X859" s="1353">
        <v>43101</v>
      </c>
      <c r="Y859" s="1353">
        <v>43466</v>
      </c>
      <c r="Z859" s="1355"/>
      <c r="AA859" s="1355" t="s">
        <v>4679</v>
      </c>
      <c r="AB859" s="1422">
        <v>77659.679999999993</v>
      </c>
      <c r="AC859" s="1422">
        <v>77659.679999999993</v>
      </c>
      <c r="AD859" s="1422">
        <f>AH859</f>
        <v>74149.320000000007</v>
      </c>
      <c r="AE859" s="1422">
        <f t="shared" si="1253"/>
        <v>-3510.359999999986</v>
      </c>
      <c r="AF859" s="1423">
        <f t="shared" si="951"/>
        <v>-4.5201834465452166E-2</v>
      </c>
      <c r="AG859" s="1358">
        <f t="shared" si="1174"/>
        <v>6179.1100000000006</v>
      </c>
      <c r="AH859" s="1358">
        <v>74149.320000000007</v>
      </c>
      <c r="AI859" s="1359">
        <v>0.1</v>
      </c>
      <c r="AJ859" s="1360">
        <f t="shared" si="1254"/>
        <v>617.91100000000006</v>
      </c>
      <c r="AK859" s="1361">
        <f t="shared" si="1255"/>
        <v>7414.9320000000007</v>
      </c>
      <c r="AL859" s="1384">
        <v>0</v>
      </c>
      <c r="AM859" s="1363">
        <f t="shared" si="1256"/>
        <v>0</v>
      </c>
      <c r="AN859" s="1364">
        <v>0</v>
      </c>
      <c r="AO859" s="1365">
        <f t="shared" si="1257"/>
        <v>0</v>
      </c>
      <c r="AP859" s="1366">
        <v>0</v>
      </c>
      <c r="AQ859" s="1367">
        <f t="shared" si="1258"/>
        <v>0</v>
      </c>
      <c r="AR859" s="1368">
        <v>0.08</v>
      </c>
      <c r="AS859" s="1369">
        <f t="shared" si="1259"/>
        <v>5931.9456000000009</v>
      </c>
      <c r="AT859" s="1370">
        <v>0</v>
      </c>
      <c r="AU859" s="1371">
        <f t="shared" si="1260"/>
        <v>0</v>
      </c>
      <c r="AV859" s="1359">
        <f t="shared" si="1261"/>
        <v>2.0000000000000004E-2</v>
      </c>
      <c r="AW859" s="1372">
        <f t="shared" si="1262"/>
        <v>1482.9864000000005</v>
      </c>
      <c r="AX859" s="1373">
        <f t="shared" si="1263"/>
        <v>0.1</v>
      </c>
      <c r="AY859" s="1374">
        <f t="shared" si="1264"/>
        <v>7414.9320000000007</v>
      </c>
      <c r="AZ859" s="1375">
        <f t="shared" si="1265"/>
        <v>0.1</v>
      </c>
      <c r="BA859" s="1376">
        <f t="shared" si="1266"/>
        <v>7414.9320000000007</v>
      </c>
      <c r="BB859" s="1391"/>
      <c r="BC859" s="1820"/>
      <c r="BD859" s="1820"/>
      <c r="BE859" s="1839"/>
      <c r="BF859" s="1834"/>
      <c r="BG859" s="1829"/>
    </row>
    <row r="860" spans="1:59" s="1378" customFormat="1" ht="38.25">
      <c r="A860" s="1347" t="str">
        <f>L856</f>
        <v>Tocagen, Inc.</v>
      </c>
      <c r="B860" s="1348" t="str">
        <f>N856</f>
        <v>HUB SD</v>
      </c>
      <c r="C860" s="1348">
        <f>Z856</f>
        <v>67</v>
      </c>
      <c r="D860" s="1349">
        <v>43101</v>
      </c>
      <c r="E860" s="1349"/>
      <c r="F860" s="1347" t="s">
        <v>113</v>
      </c>
      <c r="G860" s="1347" t="s">
        <v>85</v>
      </c>
      <c r="H860" s="1347" t="s">
        <v>85</v>
      </c>
      <c r="I860" s="1347" t="s">
        <v>113</v>
      </c>
      <c r="J860" s="1349"/>
      <c r="K860" s="1349" t="s">
        <v>254</v>
      </c>
      <c r="L860" s="1350" t="s">
        <v>4675</v>
      </c>
      <c r="M860" s="1350" t="s">
        <v>3651</v>
      </c>
      <c r="N860" s="1351" t="s">
        <v>4897</v>
      </c>
      <c r="O860" s="1352" t="s">
        <v>4681</v>
      </c>
      <c r="P860" s="1352"/>
      <c r="Q860" s="1354"/>
      <c r="R860" s="1354"/>
      <c r="S860" s="1354"/>
      <c r="T860" s="1354"/>
      <c r="U860" s="1354"/>
      <c r="V860" s="1354"/>
      <c r="W860" s="1353" t="s">
        <v>2482</v>
      </c>
      <c r="X860" s="1353">
        <v>43101</v>
      </c>
      <c r="Y860" s="1353">
        <v>43466</v>
      </c>
      <c r="Z860" s="1355"/>
      <c r="AA860" s="1355" t="s">
        <v>4679</v>
      </c>
      <c r="AB860" s="1356"/>
      <c r="AC860" s="1356"/>
      <c r="AD860" s="1356"/>
      <c r="AE860" s="1356"/>
      <c r="AF860" s="1357" t="str">
        <f t="shared" si="951"/>
        <v/>
      </c>
      <c r="AG860" s="1358">
        <f t="shared" si="1174"/>
        <v>774.91</v>
      </c>
      <c r="AH860" s="1358">
        <v>9298.92</v>
      </c>
      <c r="AI860" s="1359">
        <v>0.1</v>
      </c>
      <c r="AJ860" s="1360">
        <f t="shared" si="1254"/>
        <v>77.491</v>
      </c>
      <c r="AK860" s="1361">
        <f t="shared" si="1255"/>
        <v>929.89200000000005</v>
      </c>
      <c r="AL860" s="1384">
        <v>0</v>
      </c>
      <c r="AM860" s="1363">
        <f t="shared" si="1256"/>
        <v>0</v>
      </c>
      <c r="AN860" s="1364">
        <v>0</v>
      </c>
      <c r="AO860" s="1365">
        <f t="shared" si="1257"/>
        <v>0</v>
      </c>
      <c r="AP860" s="1366">
        <v>0</v>
      </c>
      <c r="AQ860" s="1367">
        <f t="shared" si="1258"/>
        <v>0</v>
      </c>
      <c r="AR860" s="1368">
        <v>0.08</v>
      </c>
      <c r="AS860" s="1369">
        <f t="shared" si="1259"/>
        <v>743.91359999999997</v>
      </c>
      <c r="AT860" s="1370">
        <v>0</v>
      </c>
      <c r="AU860" s="1371">
        <f t="shared" si="1260"/>
        <v>0</v>
      </c>
      <c r="AV860" s="1359">
        <f t="shared" si="1261"/>
        <v>2.0000000000000004E-2</v>
      </c>
      <c r="AW860" s="1372">
        <f t="shared" si="1262"/>
        <v>185.97840000000005</v>
      </c>
      <c r="AX860" s="1373">
        <f t="shared" si="1263"/>
        <v>0.1</v>
      </c>
      <c r="AY860" s="1374">
        <f t="shared" si="1264"/>
        <v>929.89200000000005</v>
      </c>
      <c r="AZ860" s="1375">
        <f t="shared" si="1265"/>
        <v>0.1</v>
      </c>
      <c r="BA860" s="1376">
        <f t="shared" si="1266"/>
        <v>929.89200000000005</v>
      </c>
      <c r="BB860" s="1391"/>
      <c r="BC860" s="1820"/>
      <c r="BD860" s="1820"/>
      <c r="BE860" s="1839"/>
      <c r="BF860" s="1834"/>
      <c r="BG860" s="1829"/>
    </row>
    <row r="861" spans="1:59" s="1378" customFormat="1" ht="38.25">
      <c r="A861" s="1347" t="str">
        <f>L856</f>
        <v>Tocagen, Inc.</v>
      </c>
      <c r="B861" s="1348" t="str">
        <f>N856</f>
        <v>HUB SD</v>
      </c>
      <c r="C861" s="1348">
        <f>Z856</f>
        <v>67</v>
      </c>
      <c r="D861" s="1349">
        <v>43101</v>
      </c>
      <c r="E861" s="1349"/>
      <c r="F861" s="1347" t="s">
        <v>113</v>
      </c>
      <c r="G861" s="1347" t="s">
        <v>85</v>
      </c>
      <c r="H861" s="1347" t="s">
        <v>85</v>
      </c>
      <c r="I861" s="1347" t="s">
        <v>113</v>
      </c>
      <c r="J861" s="1349"/>
      <c r="K861" s="1349" t="s">
        <v>254</v>
      </c>
      <c r="L861" s="1350" t="s">
        <v>4682</v>
      </c>
      <c r="M861" s="1350" t="s">
        <v>4683</v>
      </c>
      <c r="N861" s="1386" t="s">
        <v>1249</v>
      </c>
      <c r="O861" s="1352" t="s">
        <v>4684</v>
      </c>
      <c r="P861" s="1387"/>
      <c r="Q861" s="1354"/>
      <c r="R861" s="1354"/>
      <c r="S861" s="1354"/>
      <c r="T861" s="1354"/>
      <c r="U861" s="1354"/>
      <c r="V861" s="1354"/>
      <c r="W861" s="1354"/>
      <c r="X861" s="1353">
        <v>43101</v>
      </c>
      <c r="Y861" s="1353">
        <v>43466</v>
      </c>
      <c r="Z861" s="1355"/>
      <c r="AA861" s="1355" t="s">
        <v>4685</v>
      </c>
      <c r="AB861" s="1356"/>
      <c r="AC861" s="1356"/>
      <c r="AD861" s="1356"/>
      <c r="AE861" s="1356"/>
      <c r="AF861" s="1357"/>
      <c r="AG861" s="1358">
        <f t="shared" si="1174"/>
        <v>1009.4699999999999</v>
      </c>
      <c r="AH861" s="1358">
        <v>12113.64</v>
      </c>
      <c r="AI861" s="1359">
        <v>0.15</v>
      </c>
      <c r="AJ861" s="1360">
        <f t="shared" si="1254"/>
        <v>151.42049999999998</v>
      </c>
      <c r="AK861" s="1361">
        <f t="shared" si="1255"/>
        <v>1817.0459999999998</v>
      </c>
      <c r="AL861" s="1384">
        <v>0</v>
      </c>
      <c r="AM861" s="1363">
        <f t="shared" si="1256"/>
        <v>0</v>
      </c>
      <c r="AN861" s="1364">
        <v>0</v>
      </c>
      <c r="AO861" s="1365">
        <f t="shared" si="1257"/>
        <v>0</v>
      </c>
      <c r="AP861" s="1366">
        <v>0</v>
      </c>
      <c r="AQ861" s="1367">
        <f t="shared" si="1258"/>
        <v>0</v>
      </c>
      <c r="AR861" s="1368">
        <v>0.1</v>
      </c>
      <c r="AS861" s="1369">
        <f t="shared" si="1259"/>
        <v>1211.364</v>
      </c>
      <c r="AT861" s="1370">
        <v>0</v>
      </c>
      <c r="AU861" s="1371">
        <f t="shared" si="1260"/>
        <v>0</v>
      </c>
      <c r="AV861" s="1359">
        <f t="shared" si="1261"/>
        <v>4.9999999999999989E-2</v>
      </c>
      <c r="AW861" s="1372">
        <f t="shared" si="1262"/>
        <v>605.68199999999979</v>
      </c>
      <c r="AX861" s="1373">
        <f t="shared" si="1263"/>
        <v>0.15</v>
      </c>
      <c r="AY861" s="1374">
        <f t="shared" si="1264"/>
        <v>1817.0459999999998</v>
      </c>
      <c r="AZ861" s="1375">
        <f t="shared" si="1265"/>
        <v>0.15</v>
      </c>
      <c r="BA861" s="1376">
        <f t="shared" si="1266"/>
        <v>1817.0459999999998</v>
      </c>
      <c r="BB861" s="1391"/>
      <c r="BC861" s="1820"/>
      <c r="BD861" s="1820"/>
      <c r="BE861" s="1839"/>
      <c r="BF861" s="1834"/>
      <c r="BG861" s="1829"/>
    </row>
    <row r="862" spans="1:59" s="1378" customFormat="1" ht="38.25">
      <c r="A862" s="1347" t="str">
        <f>L856</f>
        <v>Tocagen, Inc.</v>
      </c>
      <c r="B862" s="1348" t="str">
        <f>N856</f>
        <v>HUB SD</v>
      </c>
      <c r="C862" s="1348">
        <f>Z856</f>
        <v>67</v>
      </c>
      <c r="D862" s="1349">
        <v>43101</v>
      </c>
      <c r="E862" s="1349"/>
      <c r="F862" s="1347" t="s">
        <v>113</v>
      </c>
      <c r="G862" s="1347" t="s">
        <v>85</v>
      </c>
      <c r="H862" s="1347" t="s">
        <v>85</v>
      </c>
      <c r="I862" s="1347" t="s">
        <v>113</v>
      </c>
      <c r="J862" s="1349"/>
      <c r="K862" s="1349" t="s">
        <v>254</v>
      </c>
      <c r="L862" s="1350" t="s">
        <v>4682</v>
      </c>
      <c r="M862" s="1350" t="s">
        <v>67</v>
      </c>
      <c r="N862" s="1351" t="s">
        <v>440</v>
      </c>
      <c r="O862" s="1352" t="s">
        <v>4689</v>
      </c>
      <c r="P862" s="1352"/>
      <c r="Q862" s="1354"/>
      <c r="R862" s="1354"/>
      <c r="S862" s="1354"/>
      <c r="T862" s="1354"/>
      <c r="U862" s="1354"/>
      <c r="V862" s="1354"/>
      <c r="W862" s="1354"/>
      <c r="X862" s="1353">
        <v>43101</v>
      </c>
      <c r="Y862" s="1353">
        <v>43466</v>
      </c>
      <c r="Z862" s="1355"/>
      <c r="AA862" s="1355" t="s">
        <v>4685</v>
      </c>
      <c r="AB862" s="1356"/>
      <c r="AC862" s="1356"/>
      <c r="AD862" s="1356"/>
      <c r="AE862" s="1356"/>
      <c r="AF862" s="1357"/>
      <c r="AG862" s="1358">
        <f t="shared" si="1174"/>
        <v>2352.8724999999999</v>
      </c>
      <c r="AH862" s="1358">
        <v>28234.47</v>
      </c>
      <c r="AI862" s="1359">
        <v>0.15</v>
      </c>
      <c r="AJ862" s="1360">
        <f t="shared" si="1254"/>
        <v>352.93087499999996</v>
      </c>
      <c r="AK862" s="1361">
        <f t="shared" si="1255"/>
        <v>4235.1705000000002</v>
      </c>
      <c r="AL862" s="1384">
        <v>0</v>
      </c>
      <c r="AM862" s="1363">
        <f t="shared" si="1256"/>
        <v>0</v>
      </c>
      <c r="AN862" s="1364">
        <v>0</v>
      </c>
      <c r="AO862" s="1365">
        <f t="shared" si="1257"/>
        <v>0</v>
      </c>
      <c r="AP862" s="1366">
        <v>0</v>
      </c>
      <c r="AQ862" s="1367">
        <f t="shared" si="1258"/>
        <v>0</v>
      </c>
      <c r="AR862" s="1368">
        <v>0.1</v>
      </c>
      <c r="AS862" s="1369">
        <f t="shared" si="1259"/>
        <v>2823.4470000000001</v>
      </c>
      <c r="AT862" s="1370">
        <v>0</v>
      </c>
      <c r="AU862" s="1371">
        <f t="shared" si="1260"/>
        <v>0</v>
      </c>
      <c r="AV862" s="1359">
        <f t="shared" si="1261"/>
        <v>4.9999999999999989E-2</v>
      </c>
      <c r="AW862" s="1372">
        <f t="shared" si="1262"/>
        <v>1411.7234999999998</v>
      </c>
      <c r="AX862" s="1373">
        <f t="shared" si="1263"/>
        <v>0.15</v>
      </c>
      <c r="AY862" s="1374">
        <f t="shared" si="1264"/>
        <v>4235.1705000000002</v>
      </c>
      <c r="AZ862" s="1375">
        <f t="shared" si="1265"/>
        <v>0.15</v>
      </c>
      <c r="BA862" s="1376">
        <f t="shared" si="1266"/>
        <v>4235.1705000000002</v>
      </c>
      <c r="BB862" s="1391"/>
      <c r="BC862" s="1820"/>
      <c r="BD862" s="1820"/>
      <c r="BE862" s="1839"/>
      <c r="BF862" s="1834"/>
      <c r="BG862" s="1829"/>
    </row>
    <row r="863" spans="1:59" s="1378" customFormat="1" ht="27.75" customHeight="1">
      <c r="A863" s="1347" t="s">
        <v>1244</v>
      </c>
      <c r="B863" s="1348" t="s">
        <v>4661</v>
      </c>
      <c r="C863" s="1348">
        <v>65</v>
      </c>
      <c r="D863" s="1349">
        <v>43101</v>
      </c>
      <c r="E863" s="1349"/>
      <c r="F863" s="1347" t="s">
        <v>72</v>
      </c>
      <c r="G863" s="1347" t="s">
        <v>85</v>
      </c>
      <c r="H863" s="1347" t="s">
        <v>72</v>
      </c>
      <c r="I863" s="1347" t="s">
        <v>72</v>
      </c>
      <c r="J863" s="1349" t="s">
        <v>4670</v>
      </c>
      <c r="K863" s="1349" t="s">
        <v>254</v>
      </c>
      <c r="L863" s="1350" t="s">
        <v>4696</v>
      </c>
      <c r="M863" s="1350" t="s">
        <v>4697</v>
      </c>
      <c r="N863" s="1389" t="s">
        <v>4698</v>
      </c>
      <c r="O863" s="1352" t="s">
        <v>4699</v>
      </c>
      <c r="P863" s="1388"/>
      <c r="Q863" s="1354"/>
      <c r="R863" s="1354"/>
      <c r="S863" s="1354"/>
      <c r="T863" s="1354"/>
      <c r="U863" s="1354"/>
      <c r="V863" s="1354"/>
      <c r="W863" s="1354"/>
      <c r="X863" s="1353">
        <v>43101</v>
      </c>
      <c r="Y863" s="1353">
        <v>43466</v>
      </c>
      <c r="Z863" s="1355"/>
      <c r="AA863" s="1355" t="s">
        <v>4674</v>
      </c>
      <c r="AB863" s="1356"/>
      <c r="AC863" s="1356"/>
      <c r="AD863" s="1356"/>
      <c r="AE863" s="1356"/>
      <c r="AF863" s="1357" t="str">
        <f t="shared" si="951"/>
        <v/>
      </c>
      <c r="AG863" s="1380"/>
      <c r="AH863" s="1380"/>
      <c r="AI863" s="1381">
        <v>0</v>
      </c>
      <c r="AJ863" s="1382">
        <f t="shared" si="1254"/>
        <v>0</v>
      </c>
      <c r="AK863" s="1383">
        <f t="shared" si="1255"/>
        <v>0</v>
      </c>
      <c r="AL863" s="1384">
        <v>0</v>
      </c>
      <c r="AM863" s="1363">
        <f t="shared" si="1256"/>
        <v>0</v>
      </c>
      <c r="AN863" s="1364">
        <v>0</v>
      </c>
      <c r="AO863" s="1365">
        <f t="shared" si="1257"/>
        <v>0</v>
      </c>
      <c r="AP863" s="1366">
        <v>0</v>
      </c>
      <c r="AQ863" s="1367">
        <f t="shared" si="1258"/>
        <v>0</v>
      </c>
      <c r="AR863" s="1368">
        <v>0</v>
      </c>
      <c r="AS863" s="1369">
        <f t="shared" si="1259"/>
        <v>0</v>
      </c>
      <c r="AT863" s="1370">
        <v>0</v>
      </c>
      <c r="AU863" s="1371">
        <f t="shared" si="1260"/>
        <v>0</v>
      </c>
      <c r="AV863" s="1359">
        <f t="shared" si="1261"/>
        <v>0</v>
      </c>
      <c r="AW863" s="1372">
        <f t="shared" si="1262"/>
        <v>0</v>
      </c>
      <c r="AX863" s="1373">
        <f t="shared" si="1263"/>
        <v>0</v>
      </c>
      <c r="AY863" s="1374">
        <f t="shared" si="1264"/>
        <v>0</v>
      </c>
      <c r="AZ863" s="1375">
        <f t="shared" si="1265"/>
        <v>0</v>
      </c>
      <c r="BA863" s="1376">
        <f t="shared" si="1266"/>
        <v>0</v>
      </c>
      <c r="BB863" s="1377"/>
      <c r="BC863" s="1820"/>
      <c r="BD863" s="1820"/>
      <c r="BE863" s="1839"/>
      <c r="BF863" s="1834"/>
      <c r="BG863" s="1829"/>
    </row>
    <row r="864" spans="1:59" s="1378" customFormat="1" ht="25.5">
      <c r="A864" s="1347" t="str">
        <f>L856</f>
        <v>Tocagen, Inc.</v>
      </c>
      <c r="B864" s="1348" t="str">
        <f>N856</f>
        <v>HUB SD</v>
      </c>
      <c r="C864" s="1348">
        <f>Z856</f>
        <v>67</v>
      </c>
      <c r="D864" s="1349">
        <v>43101</v>
      </c>
      <c r="E864" s="1349"/>
      <c r="F864" s="1347" t="s">
        <v>72</v>
      </c>
      <c r="G864" s="1347" t="s">
        <v>85</v>
      </c>
      <c r="H864" s="1347" t="s">
        <v>72</v>
      </c>
      <c r="I864" s="1347" t="s">
        <v>72</v>
      </c>
      <c r="J864" s="1349" t="s">
        <v>4670</v>
      </c>
      <c r="K864" s="1349" t="s">
        <v>254</v>
      </c>
      <c r="L864" s="1350" t="s">
        <v>48</v>
      </c>
      <c r="M864" s="1350" t="s">
        <v>253</v>
      </c>
      <c r="N864" s="1390" t="s">
        <v>4703</v>
      </c>
      <c r="O864" s="1352" t="s">
        <v>4704</v>
      </c>
      <c r="P864" s="1352"/>
      <c r="Q864" s="1354"/>
      <c r="R864" s="1354"/>
      <c r="S864" s="1354"/>
      <c r="T864" s="1354"/>
      <c r="U864" s="1354"/>
      <c r="V864" s="1354"/>
      <c r="W864" s="1354"/>
      <c r="X864" s="1353">
        <v>43101</v>
      </c>
      <c r="Y864" s="1353">
        <v>43466</v>
      </c>
      <c r="Z864" s="1355"/>
      <c r="AA864" s="1355" t="s">
        <v>4674</v>
      </c>
      <c r="AB864" s="1356"/>
      <c r="AC864" s="1356"/>
      <c r="AD864" s="1356"/>
      <c r="AE864" s="1356"/>
      <c r="AF864" s="1357" t="str">
        <f t="shared" si="951"/>
        <v/>
      </c>
      <c r="AG864" s="1380"/>
      <c r="AH864" s="1380"/>
      <c r="AI864" s="1381">
        <v>0</v>
      </c>
      <c r="AJ864" s="1382">
        <f t="shared" si="1254"/>
        <v>0</v>
      </c>
      <c r="AK864" s="1383">
        <f t="shared" si="1255"/>
        <v>0</v>
      </c>
      <c r="AL864" s="1384">
        <v>0</v>
      </c>
      <c r="AM864" s="1363">
        <f t="shared" si="1256"/>
        <v>0</v>
      </c>
      <c r="AN864" s="1364">
        <v>0</v>
      </c>
      <c r="AO864" s="1365">
        <f t="shared" si="1257"/>
        <v>0</v>
      </c>
      <c r="AP864" s="1366">
        <v>0</v>
      </c>
      <c r="AQ864" s="1367">
        <f t="shared" si="1258"/>
        <v>0</v>
      </c>
      <c r="AR864" s="1368">
        <v>0</v>
      </c>
      <c r="AS864" s="1369">
        <f t="shared" si="1259"/>
        <v>0</v>
      </c>
      <c r="AT864" s="1370">
        <v>0</v>
      </c>
      <c r="AU864" s="1371">
        <f t="shared" si="1260"/>
        <v>0</v>
      </c>
      <c r="AV864" s="1359">
        <f t="shared" si="1261"/>
        <v>0</v>
      </c>
      <c r="AW864" s="1372">
        <f t="shared" si="1262"/>
        <v>0</v>
      </c>
      <c r="AX864" s="1373">
        <f t="shared" si="1263"/>
        <v>0</v>
      </c>
      <c r="AY864" s="1374">
        <f t="shared" si="1264"/>
        <v>0</v>
      </c>
      <c r="AZ864" s="1375">
        <f t="shared" si="1265"/>
        <v>0</v>
      </c>
      <c r="BA864" s="1376">
        <f t="shared" si="1266"/>
        <v>0</v>
      </c>
      <c r="BB864" s="1391"/>
      <c r="BC864" s="1820"/>
      <c r="BD864" s="1820"/>
      <c r="BE864" s="1839"/>
      <c r="BF864" s="1834"/>
      <c r="BG864" s="1829"/>
    </row>
    <row r="865" spans="1:59" s="1378" customFormat="1" ht="25.5">
      <c r="A865" s="1347" t="str">
        <f>L856</f>
        <v>Tocagen, Inc.</v>
      </c>
      <c r="B865" s="1348" t="str">
        <f>N856</f>
        <v>HUB SD</v>
      </c>
      <c r="C865" s="1348">
        <f>Z856</f>
        <v>67</v>
      </c>
      <c r="D865" s="1349">
        <v>43101</v>
      </c>
      <c r="E865" s="1349"/>
      <c r="F865" s="1347" t="s">
        <v>72</v>
      </c>
      <c r="G865" s="1347" t="s">
        <v>85</v>
      </c>
      <c r="H865" s="1347" t="s">
        <v>72</v>
      </c>
      <c r="I865" s="1347" t="s">
        <v>72</v>
      </c>
      <c r="J865" s="1349" t="s">
        <v>4670</v>
      </c>
      <c r="K865" s="1349" t="s">
        <v>254</v>
      </c>
      <c r="L865" s="1350" t="s">
        <v>49</v>
      </c>
      <c r="M865" s="1350" t="s">
        <v>4705</v>
      </c>
      <c r="N865" s="1390" t="s">
        <v>4706</v>
      </c>
      <c r="O865" s="1352" t="s">
        <v>4707</v>
      </c>
      <c r="P865" s="1352"/>
      <c r="Q865" s="1354"/>
      <c r="R865" s="1354"/>
      <c r="S865" s="1354"/>
      <c r="T865" s="1354"/>
      <c r="U865" s="1354"/>
      <c r="V865" s="1354"/>
      <c r="W865" s="1354"/>
      <c r="X865" s="1353">
        <v>43101</v>
      </c>
      <c r="Y865" s="1353">
        <v>43466</v>
      </c>
      <c r="Z865" s="1355"/>
      <c r="AA865" s="1355" t="s">
        <v>4674</v>
      </c>
      <c r="AB865" s="1356"/>
      <c r="AC865" s="1356"/>
      <c r="AD865" s="1356"/>
      <c r="AE865" s="1356"/>
      <c r="AF865" s="1357" t="str">
        <f t="shared" si="951"/>
        <v/>
      </c>
      <c r="AG865" s="1380"/>
      <c r="AH865" s="1380"/>
      <c r="AI865" s="1381">
        <v>0</v>
      </c>
      <c r="AJ865" s="1382">
        <f t="shared" si="1254"/>
        <v>0</v>
      </c>
      <c r="AK865" s="1383">
        <f t="shared" si="1255"/>
        <v>0</v>
      </c>
      <c r="AL865" s="1384">
        <v>0</v>
      </c>
      <c r="AM865" s="1363">
        <f t="shared" si="1256"/>
        <v>0</v>
      </c>
      <c r="AN865" s="1364">
        <v>0</v>
      </c>
      <c r="AO865" s="1365">
        <f t="shared" si="1257"/>
        <v>0</v>
      </c>
      <c r="AP865" s="1366">
        <v>0</v>
      </c>
      <c r="AQ865" s="1367">
        <f t="shared" si="1258"/>
        <v>0</v>
      </c>
      <c r="AR865" s="1368">
        <v>0</v>
      </c>
      <c r="AS865" s="1369">
        <f t="shared" si="1259"/>
        <v>0</v>
      </c>
      <c r="AT865" s="1370">
        <v>0</v>
      </c>
      <c r="AU865" s="1371">
        <f t="shared" si="1260"/>
        <v>0</v>
      </c>
      <c r="AV865" s="1359">
        <f t="shared" si="1261"/>
        <v>0</v>
      </c>
      <c r="AW865" s="1372">
        <f t="shared" si="1262"/>
        <v>0</v>
      </c>
      <c r="AX865" s="1373">
        <f t="shared" si="1263"/>
        <v>0</v>
      </c>
      <c r="AY865" s="1374">
        <f t="shared" si="1264"/>
        <v>0</v>
      </c>
      <c r="AZ865" s="1375">
        <f t="shared" si="1265"/>
        <v>0</v>
      </c>
      <c r="BA865" s="1376">
        <f t="shared" si="1266"/>
        <v>0</v>
      </c>
      <c r="BB865" s="1391"/>
      <c r="BC865" s="1820"/>
      <c r="BD865" s="1820"/>
      <c r="BE865" s="1839"/>
      <c r="BF865" s="1834"/>
      <c r="BG865" s="1829"/>
    </row>
    <row r="866" spans="1:59" s="1378" customFormat="1" ht="25.5">
      <c r="A866" s="1347" t="str">
        <f>L856</f>
        <v>Tocagen, Inc.</v>
      </c>
      <c r="B866" s="1348" t="str">
        <f>N856</f>
        <v>HUB SD</v>
      </c>
      <c r="C866" s="1348">
        <f>Z856</f>
        <v>67</v>
      </c>
      <c r="D866" s="1349">
        <v>43101</v>
      </c>
      <c r="E866" s="1349"/>
      <c r="F866" s="1347" t="s">
        <v>72</v>
      </c>
      <c r="G866" s="1347" t="s">
        <v>85</v>
      </c>
      <c r="H866" s="1347" t="s">
        <v>72</v>
      </c>
      <c r="I866" s="1347" t="s">
        <v>72</v>
      </c>
      <c r="J866" s="1349" t="s">
        <v>4670</v>
      </c>
      <c r="K866" s="1349" t="s">
        <v>254</v>
      </c>
      <c r="L866" s="1350" t="s">
        <v>3056</v>
      </c>
      <c r="M866" s="1350" t="s">
        <v>4708</v>
      </c>
      <c r="N866" s="1390" t="s">
        <v>4709</v>
      </c>
      <c r="O866" s="1352" t="s">
        <v>4710</v>
      </c>
      <c r="P866" s="1352"/>
      <c r="Q866" s="1354"/>
      <c r="R866" s="1354"/>
      <c r="S866" s="1354"/>
      <c r="T866" s="1354"/>
      <c r="U866" s="1354"/>
      <c r="V866" s="1354"/>
      <c r="W866" s="1354"/>
      <c r="X866" s="1353">
        <v>43101</v>
      </c>
      <c r="Y866" s="1353">
        <v>43466</v>
      </c>
      <c r="Z866" s="1355"/>
      <c r="AA866" s="1355" t="s">
        <v>4674</v>
      </c>
      <c r="AB866" s="1356"/>
      <c r="AC866" s="1356"/>
      <c r="AD866" s="1356"/>
      <c r="AE866" s="1356"/>
      <c r="AF866" s="1357" t="str">
        <f t="shared" si="951"/>
        <v/>
      </c>
      <c r="AG866" s="1380"/>
      <c r="AH866" s="1380"/>
      <c r="AI866" s="1381">
        <v>0</v>
      </c>
      <c r="AJ866" s="1382">
        <f t="shared" si="1254"/>
        <v>0</v>
      </c>
      <c r="AK866" s="1383">
        <f t="shared" si="1255"/>
        <v>0</v>
      </c>
      <c r="AL866" s="1384">
        <v>0</v>
      </c>
      <c r="AM866" s="1363">
        <f t="shared" si="1256"/>
        <v>0</v>
      </c>
      <c r="AN866" s="1364">
        <v>0</v>
      </c>
      <c r="AO866" s="1365">
        <f t="shared" si="1257"/>
        <v>0</v>
      </c>
      <c r="AP866" s="1366">
        <v>0</v>
      </c>
      <c r="AQ866" s="1367">
        <f t="shared" si="1258"/>
        <v>0</v>
      </c>
      <c r="AR866" s="1368">
        <v>0</v>
      </c>
      <c r="AS866" s="1369">
        <f t="shared" si="1259"/>
        <v>0</v>
      </c>
      <c r="AT866" s="1370">
        <v>0</v>
      </c>
      <c r="AU866" s="1371">
        <f t="shared" si="1260"/>
        <v>0</v>
      </c>
      <c r="AV866" s="1359">
        <f t="shared" si="1261"/>
        <v>0</v>
      </c>
      <c r="AW866" s="1372">
        <f t="shared" si="1262"/>
        <v>0</v>
      </c>
      <c r="AX866" s="1373">
        <f t="shared" si="1263"/>
        <v>0</v>
      </c>
      <c r="AY866" s="1374">
        <f t="shared" si="1264"/>
        <v>0</v>
      </c>
      <c r="AZ866" s="1375">
        <f t="shared" si="1265"/>
        <v>0</v>
      </c>
      <c r="BA866" s="1376">
        <f t="shared" si="1266"/>
        <v>0</v>
      </c>
      <c r="BB866" s="1391"/>
      <c r="BC866" s="1821"/>
      <c r="BD866" s="1821"/>
      <c r="BE866" s="1840"/>
      <c r="BF866" s="1834"/>
      <c r="BG866" s="1830"/>
    </row>
    <row r="867" spans="1:59" s="1315" customFormat="1" ht="51">
      <c r="A867" s="1277" t="str">
        <f>L867</f>
        <v>Triple Ring Technologies, Inc.</v>
      </c>
      <c r="B867" s="1316" t="str">
        <f>N867</f>
        <v>ABD</v>
      </c>
      <c r="C867" s="1316">
        <f>Z867</f>
        <v>73</v>
      </c>
      <c r="D867" s="1317">
        <v>43070</v>
      </c>
      <c r="E867" s="1317"/>
      <c r="F867" s="1277" t="s">
        <v>72</v>
      </c>
      <c r="G867" s="1277" t="s">
        <v>72</v>
      </c>
      <c r="H867" s="1277" t="s">
        <v>72</v>
      </c>
      <c r="I867" s="1277" t="s">
        <v>4711</v>
      </c>
      <c r="J867" s="1317"/>
      <c r="K867" s="1317"/>
      <c r="L867" s="1318" t="s">
        <v>1248</v>
      </c>
      <c r="M867" s="1319"/>
      <c r="N867" s="1417" t="s">
        <v>3654</v>
      </c>
      <c r="O867" s="1418" t="s">
        <v>2473</v>
      </c>
      <c r="P867" s="1418"/>
      <c r="Q867" s="1322"/>
      <c r="R867" s="1322"/>
      <c r="S867" s="1322"/>
      <c r="T867" s="1322"/>
      <c r="U867" s="1322"/>
      <c r="V867" s="1322"/>
      <c r="W867" s="1322"/>
      <c r="X867" s="1317">
        <v>43070</v>
      </c>
      <c r="Y867" s="1317">
        <v>43466</v>
      </c>
      <c r="Z867" s="1316">
        <v>73</v>
      </c>
      <c r="AA867" s="1316" t="s">
        <v>5325</v>
      </c>
      <c r="AB867" s="1323">
        <f>SUM(AB868:AB874)</f>
        <v>0</v>
      </c>
      <c r="AC867" s="1323">
        <f>SUM(AC868:AC874)</f>
        <v>0</v>
      </c>
      <c r="AD867" s="1323">
        <f>SUM(AD868:AD874)</f>
        <v>0</v>
      </c>
      <c r="AE867" s="1324">
        <f>AD867-AB867</f>
        <v>0</v>
      </c>
      <c r="AF867" s="1325" t="str">
        <f t="shared" si="951"/>
        <v/>
      </c>
      <c r="AG867" s="1326">
        <f t="shared" ref="AG867:AG945" si="1267">AH867/12</f>
        <v>52604.29</v>
      </c>
      <c r="AH867" s="1326">
        <f>SUM(AH868:AH874)</f>
        <v>631251.48</v>
      </c>
      <c r="AI867" s="1339"/>
      <c r="AJ867" s="1328">
        <f>SUM(AJ868:AJ874)</f>
        <v>4208.3432000000003</v>
      </c>
      <c r="AK867" s="1328">
        <f>SUM(AK868:AK874)</f>
        <v>50500.118399999999</v>
      </c>
      <c r="AL867" s="1329"/>
      <c r="AM867" s="1330">
        <f>SUM(AM868:AM874)</f>
        <v>3156.2574</v>
      </c>
      <c r="AN867" s="1331"/>
      <c r="AO867" s="1332">
        <f>SUM(AO868:AO874)</f>
        <v>25250.0592</v>
      </c>
      <c r="AP867" s="1333"/>
      <c r="AQ867" s="1334">
        <f>SUM(AQ868:AQ874)</f>
        <v>0</v>
      </c>
      <c r="AR867" s="1335"/>
      <c r="AS867" s="1336">
        <f>SUM(AS868:AS874)</f>
        <v>0</v>
      </c>
      <c r="AT867" s="1337"/>
      <c r="AU867" s="1338">
        <f>SUM(AU868:AU874)</f>
        <v>15781.287</v>
      </c>
      <c r="AV867" s="1339"/>
      <c r="AW867" s="1340">
        <f>SUM(AW868:AW874)</f>
        <v>6312.5147999999963</v>
      </c>
      <c r="AX867" s="1306"/>
      <c r="AY867" s="1307">
        <f>SUM(AW867+AS867+AU867)</f>
        <v>22093.801799999997</v>
      </c>
      <c r="AZ867" s="1341"/>
      <c r="BA867" s="1309">
        <f>SUM(AY867+AQ867)</f>
        <v>22093.801799999997</v>
      </c>
      <c r="BB867" s="1342">
        <f>(AW867+AU867)/(AK867-AM867)</f>
        <v>0.46666666666666662</v>
      </c>
      <c r="BC867" s="1343"/>
      <c r="BD867" s="1343"/>
      <c r="BE867" s="1344"/>
      <c r="BF867" s="1420" t="s">
        <v>5326</v>
      </c>
      <c r="BG867" s="1346"/>
    </row>
    <row r="868" spans="1:59" s="1378" customFormat="1" ht="76.5">
      <c r="A868" s="1347" t="str">
        <f>L867</f>
        <v>Triple Ring Technologies, Inc.</v>
      </c>
      <c r="B868" s="1348" t="str">
        <f>N867</f>
        <v>ABD</v>
      </c>
      <c r="C868" s="1348">
        <f>Z867</f>
        <v>73</v>
      </c>
      <c r="D868" s="1349">
        <v>43070</v>
      </c>
      <c r="E868" s="1349"/>
      <c r="F868" s="1347" t="s">
        <v>85</v>
      </c>
      <c r="G868" s="1347" t="s">
        <v>85</v>
      </c>
      <c r="H868" s="1347" t="s">
        <v>85</v>
      </c>
      <c r="I868" s="1347" t="s">
        <v>113</v>
      </c>
      <c r="J868" s="1349"/>
      <c r="K868" s="1349" t="s">
        <v>254</v>
      </c>
      <c r="L868" s="1350" t="s">
        <v>2661</v>
      </c>
      <c r="M868" s="1350" t="s">
        <v>3647</v>
      </c>
      <c r="N868" s="1351" t="s">
        <v>5327</v>
      </c>
      <c r="O868" s="1352" t="s">
        <v>5328</v>
      </c>
      <c r="P868" s="1352" t="s">
        <v>5162</v>
      </c>
      <c r="Q868" s="1353" t="s">
        <v>303</v>
      </c>
      <c r="R868" s="1353" t="s">
        <v>3656</v>
      </c>
      <c r="S868" s="1353" t="s">
        <v>307</v>
      </c>
      <c r="T868" s="1353" t="s">
        <v>113</v>
      </c>
      <c r="U868" s="1354"/>
      <c r="V868" s="1354"/>
      <c r="W868" s="1354"/>
      <c r="X868" s="1353">
        <v>43070</v>
      </c>
      <c r="Y868" s="1353">
        <v>43466</v>
      </c>
      <c r="Z868" s="1355"/>
      <c r="AA868" s="1355" t="s">
        <v>4667</v>
      </c>
      <c r="AB868" s="1356"/>
      <c r="AC868" s="1356"/>
      <c r="AD868" s="1356"/>
      <c r="AE868" s="1356"/>
      <c r="AF868" s="1357"/>
      <c r="AG868" s="1358">
        <f t="shared" si="1267"/>
        <v>52604.29</v>
      </c>
      <c r="AH868" s="1358">
        <v>631251.48</v>
      </c>
      <c r="AI868" s="1359">
        <v>0.08</v>
      </c>
      <c r="AJ868" s="1360">
        <f>$AI868*$AG868</f>
        <v>4208.3432000000003</v>
      </c>
      <c r="AK868" s="1361">
        <f>AI868*$AH868</f>
        <v>50500.118399999999</v>
      </c>
      <c r="AL868" s="1362">
        <v>5.0000000000000001E-3</v>
      </c>
      <c r="AM868" s="1363">
        <f t="shared" ref="AM868:AM874" si="1268">AL868*$AH868</f>
        <v>3156.2574</v>
      </c>
      <c r="AN868" s="1364">
        <v>0.04</v>
      </c>
      <c r="AO868" s="1365">
        <f t="shared" ref="AO868:AO874" si="1269">AN868*$AH868</f>
        <v>25250.0592</v>
      </c>
      <c r="AP868" s="1366">
        <v>0</v>
      </c>
      <c r="AQ868" s="1367">
        <f t="shared" ref="AQ868:AQ874" si="1270">AP868*$AH868</f>
        <v>0</v>
      </c>
      <c r="AR868" s="1368">
        <v>0</v>
      </c>
      <c r="AS868" s="1369">
        <f t="shared" ref="AS868:AS874" si="1271">AR868*$AH868</f>
        <v>0</v>
      </c>
      <c r="AT868" s="1370">
        <v>2.5000000000000001E-2</v>
      </c>
      <c r="AU868" s="1371">
        <f t="shared" ref="AU868:AU874" si="1272">AT868*$AH868</f>
        <v>15781.287</v>
      </c>
      <c r="AV868" s="1359">
        <f t="shared" ref="AV868:AV874" si="1273">AZ868-AR868-AT868-AP868</f>
        <v>9.999999999999995E-3</v>
      </c>
      <c r="AW868" s="1372">
        <f t="shared" ref="AW868:AW874" si="1274">AV868*$AH868</f>
        <v>6312.5147999999963</v>
      </c>
      <c r="AX868" s="1373">
        <f t="shared" ref="AX868:AX874" si="1275">$AZ868-$AP868</f>
        <v>3.4999999999999996E-2</v>
      </c>
      <c r="AY868" s="1374">
        <f t="shared" ref="AY868:AY874" si="1276">AX868*$AH868</f>
        <v>22093.801799999997</v>
      </c>
      <c r="AZ868" s="1375">
        <f t="shared" ref="AZ868:AZ874" si="1277">$AI868-$AL868-$AN868</f>
        <v>3.4999999999999996E-2</v>
      </c>
      <c r="BA868" s="1376">
        <f t="shared" ref="BA868:BA874" si="1278">AZ868*$AH868</f>
        <v>22093.801799999997</v>
      </c>
      <c r="BB868" s="1377"/>
      <c r="BC868" s="1847" t="s">
        <v>5329</v>
      </c>
      <c r="BD868" s="1819" t="s">
        <v>1267</v>
      </c>
      <c r="BE868" s="1822" t="s">
        <v>1267</v>
      </c>
      <c r="BF868" s="1825" t="s">
        <v>1268</v>
      </c>
      <c r="BG868" s="1828">
        <v>202232203</v>
      </c>
    </row>
    <row r="869" spans="1:59" s="1378" customFormat="1" ht="63.75">
      <c r="A869" s="1347" t="str">
        <f>L867</f>
        <v>Triple Ring Technologies, Inc.</v>
      </c>
      <c r="B869" s="1348" t="str">
        <f>N867</f>
        <v>ABD</v>
      </c>
      <c r="C869" s="1348">
        <f>Z867</f>
        <v>73</v>
      </c>
      <c r="D869" s="1349">
        <v>43070</v>
      </c>
      <c r="E869" s="1349"/>
      <c r="F869" s="1347" t="s">
        <v>72</v>
      </c>
      <c r="G869" s="1347" t="s">
        <v>113</v>
      </c>
      <c r="H869" s="1347" t="s">
        <v>72</v>
      </c>
      <c r="I869" s="1347" t="s">
        <v>113</v>
      </c>
      <c r="J869" s="1349" t="s">
        <v>4766</v>
      </c>
      <c r="K869" s="1349" t="s">
        <v>254</v>
      </c>
      <c r="L869" s="1397" t="s">
        <v>1270</v>
      </c>
      <c r="M869" s="1397" t="s">
        <v>3649</v>
      </c>
      <c r="N869" s="1410" t="s">
        <v>5330</v>
      </c>
      <c r="O869" s="1399" t="s">
        <v>5331</v>
      </c>
      <c r="P869" s="1399"/>
      <c r="Q869" s="1400"/>
      <c r="R869" s="1400"/>
      <c r="S869" s="1400"/>
      <c r="T869" s="1400"/>
      <c r="U869" s="1400"/>
      <c r="V869" s="1400"/>
      <c r="W869" s="1400"/>
      <c r="X869" s="1400">
        <v>43070</v>
      </c>
      <c r="Y869" s="1400">
        <v>43466</v>
      </c>
      <c r="Z869" s="1401"/>
      <c r="AA869" s="1401" t="s">
        <v>4738</v>
      </c>
      <c r="AB869" s="1369"/>
      <c r="AC869" s="1369"/>
      <c r="AD869" s="1369"/>
      <c r="AE869" s="1369"/>
      <c r="AF869" s="1403" t="str">
        <f>IFERROR((AE869/AB869),"")</f>
        <v/>
      </c>
      <c r="AG869" s="1404"/>
      <c r="AH869" s="1404"/>
      <c r="AI869" s="1405">
        <v>0</v>
      </c>
      <c r="AJ869" s="1411">
        <f>$AI869*$AG869</f>
        <v>0</v>
      </c>
      <c r="AK869" s="1406">
        <f>AI869*$AH869</f>
        <v>0</v>
      </c>
      <c r="AL869" s="1384">
        <v>0</v>
      </c>
      <c r="AM869" s="1363">
        <f t="shared" si="1268"/>
        <v>0</v>
      </c>
      <c r="AN869" s="1364">
        <v>0</v>
      </c>
      <c r="AO869" s="1365">
        <f t="shared" si="1269"/>
        <v>0</v>
      </c>
      <c r="AP869" s="1366">
        <v>0</v>
      </c>
      <c r="AQ869" s="1367">
        <f t="shared" si="1270"/>
        <v>0</v>
      </c>
      <c r="AR869" s="1368">
        <v>0</v>
      </c>
      <c r="AS869" s="1369">
        <f t="shared" si="1271"/>
        <v>0</v>
      </c>
      <c r="AT869" s="1370">
        <v>0</v>
      </c>
      <c r="AU869" s="1371">
        <f t="shared" si="1272"/>
        <v>0</v>
      </c>
      <c r="AV869" s="1359">
        <f t="shared" si="1273"/>
        <v>0</v>
      </c>
      <c r="AW869" s="1372">
        <f t="shared" si="1274"/>
        <v>0</v>
      </c>
      <c r="AX869" s="1373">
        <f t="shared" si="1275"/>
        <v>0</v>
      </c>
      <c r="AY869" s="1374">
        <f t="shared" si="1276"/>
        <v>0</v>
      </c>
      <c r="AZ869" s="1375">
        <f t="shared" si="1277"/>
        <v>0</v>
      </c>
      <c r="BA869" s="1376">
        <f t="shared" si="1278"/>
        <v>0</v>
      </c>
      <c r="BB869" s="1377"/>
      <c r="BC869" s="1848"/>
      <c r="BD869" s="1820"/>
      <c r="BE869" s="1823"/>
      <c r="BF869" s="1826"/>
      <c r="BG869" s="1829"/>
    </row>
    <row r="870" spans="1:59" s="1378" customFormat="1" ht="63.75">
      <c r="A870" s="1347" t="str">
        <f>L867</f>
        <v>Triple Ring Technologies, Inc.</v>
      </c>
      <c r="B870" s="1348" t="str">
        <f>N867</f>
        <v>ABD</v>
      </c>
      <c r="C870" s="1348">
        <f>Z867</f>
        <v>73</v>
      </c>
      <c r="D870" s="1349">
        <v>43070</v>
      </c>
      <c r="E870" s="1349"/>
      <c r="F870" s="1347" t="s">
        <v>113</v>
      </c>
      <c r="G870" s="1347" t="s">
        <v>113</v>
      </c>
      <c r="H870" s="1347" t="s">
        <v>113</v>
      </c>
      <c r="I870" s="1347" t="s">
        <v>113</v>
      </c>
      <c r="J870" s="1349" t="s">
        <v>4766</v>
      </c>
      <c r="K870" s="1349" t="s">
        <v>254</v>
      </c>
      <c r="L870" s="1397" t="s">
        <v>4767</v>
      </c>
      <c r="M870" s="1397" t="s">
        <v>3647</v>
      </c>
      <c r="N870" s="1398" t="s">
        <v>5332</v>
      </c>
      <c r="O870" s="1399" t="s">
        <v>4886</v>
      </c>
      <c r="P870" s="1399"/>
      <c r="Q870" s="1400"/>
      <c r="R870" s="1400"/>
      <c r="S870" s="1400"/>
      <c r="T870" s="1400"/>
      <c r="U870" s="1400"/>
      <c r="V870" s="1400"/>
      <c r="W870" s="1400"/>
      <c r="X870" s="1400">
        <v>43070</v>
      </c>
      <c r="Y870" s="1400">
        <v>43466</v>
      </c>
      <c r="Z870" s="1401"/>
      <c r="AA870" s="1401" t="s">
        <v>4738</v>
      </c>
      <c r="AB870" s="1369"/>
      <c r="AC870" s="1369"/>
      <c r="AD870" s="1369"/>
      <c r="AE870" s="1369"/>
      <c r="AF870" s="1403" t="str">
        <f t="shared" ref="AF870:AF871" si="1279">IFERROR((AE870/AB870),"")</f>
        <v/>
      </c>
      <c r="AG870" s="1404"/>
      <c r="AH870" s="1404"/>
      <c r="AI870" s="1405">
        <v>6.5000000000000002E-2</v>
      </c>
      <c r="AJ870" s="1406">
        <v>0</v>
      </c>
      <c r="AK870" s="1406">
        <v>0</v>
      </c>
      <c r="AL870" s="1362">
        <v>0</v>
      </c>
      <c r="AM870" s="1363">
        <f t="shared" si="1268"/>
        <v>0</v>
      </c>
      <c r="AN870" s="1364">
        <f>AI870</f>
        <v>6.5000000000000002E-2</v>
      </c>
      <c r="AO870" s="1365">
        <f t="shared" si="1269"/>
        <v>0</v>
      </c>
      <c r="AP870" s="1366">
        <v>0</v>
      </c>
      <c r="AQ870" s="1367">
        <f t="shared" si="1270"/>
        <v>0</v>
      </c>
      <c r="AR870" s="1368">
        <v>0</v>
      </c>
      <c r="AS870" s="1369">
        <f t="shared" si="1271"/>
        <v>0</v>
      </c>
      <c r="AT870" s="1370">
        <v>0</v>
      </c>
      <c r="AU870" s="1371">
        <f t="shared" si="1272"/>
        <v>0</v>
      </c>
      <c r="AV870" s="1359">
        <v>0</v>
      </c>
      <c r="AW870" s="1372">
        <f t="shared" si="1274"/>
        <v>0</v>
      </c>
      <c r="AX870" s="1373">
        <f t="shared" si="1275"/>
        <v>0</v>
      </c>
      <c r="AY870" s="1374">
        <f t="shared" si="1276"/>
        <v>0</v>
      </c>
      <c r="AZ870" s="1375">
        <f t="shared" si="1277"/>
        <v>0</v>
      </c>
      <c r="BA870" s="1376">
        <f t="shared" si="1278"/>
        <v>0</v>
      </c>
      <c r="BB870" s="1377"/>
      <c r="BC870" s="1848"/>
      <c r="BD870" s="1820"/>
      <c r="BE870" s="1823"/>
      <c r="BF870" s="1826"/>
      <c r="BG870" s="1829"/>
    </row>
    <row r="871" spans="1:59" s="1378" customFormat="1" ht="39.75" customHeight="1">
      <c r="A871" s="1347" t="s">
        <v>1248</v>
      </c>
      <c r="B871" s="1348" t="s">
        <v>3654</v>
      </c>
      <c r="C871" s="1348">
        <v>73</v>
      </c>
      <c r="D871" s="1349">
        <v>43070</v>
      </c>
      <c r="E871" s="1349"/>
      <c r="F871" s="1347" t="s">
        <v>72</v>
      </c>
      <c r="G871" s="1347" t="s">
        <v>85</v>
      </c>
      <c r="H871" s="1347" t="s">
        <v>72</v>
      </c>
      <c r="I871" s="1347" t="s">
        <v>72</v>
      </c>
      <c r="J871" s="1349" t="s">
        <v>4670</v>
      </c>
      <c r="K871" s="1349" t="s">
        <v>254</v>
      </c>
      <c r="L871" s="1350" t="s">
        <v>4696</v>
      </c>
      <c r="M871" s="1350" t="s">
        <v>4697</v>
      </c>
      <c r="N871" s="1389" t="s">
        <v>4698</v>
      </c>
      <c r="O871" s="1352" t="s">
        <v>4699</v>
      </c>
      <c r="P871" s="1388"/>
      <c r="Q871" s="1354"/>
      <c r="R871" s="1354"/>
      <c r="S871" s="1354"/>
      <c r="T871" s="1354"/>
      <c r="U871" s="1354"/>
      <c r="V871" s="1354"/>
      <c r="W871" s="1354"/>
      <c r="X871" s="1353">
        <v>43101</v>
      </c>
      <c r="Y871" s="1353">
        <v>43466</v>
      </c>
      <c r="Z871" s="1355"/>
      <c r="AA871" s="1355" t="s">
        <v>4674</v>
      </c>
      <c r="AB871" s="1356"/>
      <c r="AC871" s="1356"/>
      <c r="AD871" s="1356"/>
      <c r="AE871" s="1356"/>
      <c r="AF871" s="1357" t="str">
        <f t="shared" si="1279"/>
        <v/>
      </c>
      <c r="AG871" s="1380"/>
      <c r="AH871" s="1380"/>
      <c r="AI871" s="1381">
        <v>0</v>
      </c>
      <c r="AJ871" s="1382">
        <f>$AI871*$AG871</f>
        <v>0</v>
      </c>
      <c r="AK871" s="1383">
        <f>AI871*$AH871</f>
        <v>0</v>
      </c>
      <c r="AL871" s="1384">
        <v>0</v>
      </c>
      <c r="AM871" s="1363">
        <f t="shared" si="1268"/>
        <v>0</v>
      </c>
      <c r="AN871" s="1364">
        <v>0</v>
      </c>
      <c r="AO871" s="1365">
        <f t="shared" si="1269"/>
        <v>0</v>
      </c>
      <c r="AP871" s="1366">
        <v>0</v>
      </c>
      <c r="AQ871" s="1367">
        <f t="shared" si="1270"/>
        <v>0</v>
      </c>
      <c r="AR871" s="1368">
        <v>0</v>
      </c>
      <c r="AS871" s="1369">
        <f t="shared" si="1271"/>
        <v>0</v>
      </c>
      <c r="AT871" s="1370">
        <v>0</v>
      </c>
      <c r="AU871" s="1371">
        <f t="shared" si="1272"/>
        <v>0</v>
      </c>
      <c r="AV871" s="1359">
        <f t="shared" ref="AV871" si="1280">AZ871-AR871-AT871-AP871</f>
        <v>0</v>
      </c>
      <c r="AW871" s="1372">
        <f t="shared" si="1274"/>
        <v>0</v>
      </c>
      <c r="AX871" s="1373">
        <f t="shared" si="1275"/>
        <v>0</v>
      </c>
      <c r="AY871" s="1374">
        <f t="shared" si="1276"/>
        <v>0</v>
      </c>
      <c r="AZ871" s="1375">
        <f t="shared" si="1277"/>
        <v>0</v>
      </c>
      <c r="BA871" s="1376">
        <f t="shared" si="1278"/>
        <v>0</v>
      </c>
      <c r="BB871" s="1377"/>
      <c r="BC871" s="1848"/>
      <c r="BD871" s="1820"/>
      <c r="BE871" s="1823"/>
      <c r="BF871" s="1826"/>
      <c r="BG871" s="1829"/>
    </row>
    <row r="872" spans="1:59" s="1378" customFormat="1" ht="63.75">
      <c r="A872" s="1347" t="str">
        <f>L867</f>
        <v>Triple Ring Technologies, Inc.</v>
      </c>
      <c r="B872" s="1348" t="str">
        <f>N867</f>
        <v>ABD</v>
      </c>
      <c r="C872" s="1348">
        <f>Z867</f>
        <v>73</v>
      </c>
      <c r="D872" s="1349">
        <v>43070</v>
      </c>
      <c r="E872" s="1349"/>
      <c r="F872" s="1347" t="s">
        <v>72</v>
      </c>
      <c r="G872" s="1347" t="s">
        <v>113</v>
      </c>
      <c r="H872" s="1347" t="s">
        <v>72</v>
      </c>
      <c r="I872" s="1347" t="s">
        <v>113</v>
      </c>
      <c r="J872" s="1349" t="s">
        <v>4766</v>
      </c>
      <c r="K872" s="1349" t="s">
        <v>254</v>
      </c>
      <c r="L872" s="1397" t="s">
        <v>246</v>
      </c>
      <c r="M872" s="1397" t="s">
        <v>253</v>
      </c>
      <c r="N872" s="1412" t="s">
        <v>4771</v>
      </c>
      <c r="O872" s="1399" t="s">
        <v>5333</v>
      </c>
      <c r="P872" s="1399"/>
      <c r="Q872" s="1400"/>
      <c r="R872" s="1400"/>
      <c r="S872" s="1400"/>
      <c r="T872" s="1400"/>
      <c r="U872" s="1400"/>
      <c r="V872" s="1400"/>
      <c r="W872" s="1400"/>
      <c r="X872" s="1400">
        <v>43070</v>
      </c>
      <c r="Y872" s="1400">
        <v>43466</v>
      </c>
      <c r="Z872" s="1401"/>
      <c r="AA872" s="1401" t="s">
        <v>4738</v>
      </c>
      <c r="AB872" s="1369"/>
      <c r="AC872" s="1369"/>
      <c r="AD872" s="1369"/>
      <c r="AE872" s="1369"/>
      <c r="AF872" s="1403" t="str">
        <f>IFERROR((AE872/AB872),"")</f>
        <v/>
      </c>
      <c r="AG872" s="1404"/>
      <c r="AH872" s="1404"/>
      <c r="AI872" s="1405">
        <v>0</v>
      </c>
      <c r="AJ872" s="1406">
        <v>0</v>
      </c>
      <c r="AK872" s="1406">
        <v>0</v>
      </c>
      <c r="AL872" s="1384">
        <v>0</v>
      </c>
      <c r="AM872" s="1363">
        <f t="shared" si="1268"/>
        <v>0</v>
      </c>
      <c r="AN872" s="1364">
        <v>0</v>
      </c>
      <c r="AO872" s="1365">
        <f t="shared" si="1269"/>
        <v>0</v>
      </c>
      <c r="AP872" s="1366">
        <v>0</v>
      </c>
      <c r="AQ872" s="1367">
        <f t="shared" si="1270"/>
        <v>0</v>
      </c>
      <c r="AR872" s="1368">
        <v>0</v>
      </c>
      <c r="AS872" s="1369">
        <f t="shared" si="1271"/>
        <v>0</v>
      </c>
      <c r="AT872" s="1370">
        <v>0</v>
      </c>
      <c r="AU872" s="1371">
        <f t="shared" si="1272"/>
        <v>0</v>
      </c>
      <c r="AV872" s="1359">
        <f t="shared" si="1273"/>
        <v>0</v>
      </c>
      <c r="AW872" s="1372">
        <f t="shared" si="1274"/>
        <v>0</v>
      </c>
      <c r="AX872" s="1373">
        <f t="shared" si="1275"/>
        <v>0</v>
      </c>
      <c r="AY872" s="1374">
        <f t="shared" si="1276"/>
        <v>0</v>
      </c>
      <c r="AZ872" s="1375">
        <f t="shared" si="1277"/>
        <v>0</v>
      </c>
      <c r="BA872" s="1376">
        <f t="shared" si="1278"/>
        <v>0</v>
      </c>
      <c r="BB872" s="1377"/>
      <c r="BC872" s="1848"/>
      <c r="BD872" s="1820"/>
      <c r="BE872" s="1823"/>
      <c r="BF872" s="1826"/>
      <c r="BG872" s="1829"/>
    </row>
    <row r="873" spans="1:59" s="1378" customFormat="1" ht="63.75">
      <c r="A873" s="1347" t="str">
        <f>L867</f>
        <v>Triple Ring Technologies, Inc.</v>
      </c>
      <c r="B873" s="1348" t="str">
        <f>N867</f>
        <v>ABD</v>
      </c>
      <c r="C873" s="1348">
        <f>Z867</f>
        <v>73</v>
      </c>
      <c r="D873" s="1349">
        <v>43070</v>
      </c>
      <c r="E873" s="1349"/>
      <c r="F873" s="1347" t="s">
        <v>72</v>
      </c>
      <c r="G873" s="1347" t="s">
        <v>113</v>
      </c>
      <c r="H873" s="1347" t="s">
        <v>72</v>
      </c>
      <c r="I873" s="1347" t="s">
        <v>113</v>
      </c>
      <c r="J873" s="1349" t="s">
        <v>4766</v>
      </c>
      <c r="K873" s="1349" t="s">
        <v>254</v>
      </c>
      <c r="L873" s="1397" t="s">
        <v>1302</v>
      </c>
      <c r="M873" s="1397" t="s">
        <v>4705</v>
      </c>
      <c r="N873" s="1412" t="s">
        <v>5334</v>
      </c>
      <c r="O873" s="1399" t="s">
        <v>4747</v>
      </c>
      <c r="P873" s="1424"/>
      <c r="Q873" s="1400"/>
      <c r="R873" s="1400"/>
      <c r="S873" s="1400"/>
      <c r="T873" s="1400"/>
      <c r="U873" s="1400"/>
      <c r="V873" s="1400"/>
      <c r="W873" s="1400"/>
      <c r="X873" s="1400">
        <v>43070</v>
      </c>
      <c r="Y873" s="1400">
        <v>43466</v>
      </c>
      <c r="Z873" s="1401"/>
      <c r="AA873" s="1401" t="s">
        <v>4738</v>
      </c>
      <c r="AB873" s="1369"/>
      <c r="AC873" s="1369"/>
      <c r="AD873" s="1369"/>
      <c r="AE873" s="1369"/>
      <c r="AF873" s="1403" t="str">
        <f>IFERROR((AE873/AB873),"")</f>
        <v/>
      </c>
      <c r="AG873" s="1404"/>
      <c r="AH873" s="1404"/>
      <c r="AI873" s="1405">
        <v>0</v>
      </c>
      <c r="AJ873" s="1411">
        <f>$AI873*$AG873</f>
        <v>0</v>
      </c>
      <c r="AK873" s="1406">
        <f>AI873*$AH873</f>
        <v>0</v>
      </c>
      <c r="AL873" s="1384">
        <v>0</v>
      </c>
      <c r="AM873" s="1363">
        <f t="shared" si="1268"/>
        <v>0</v>
      </c>
      <c r="AN873" s="1364">
        <v>0</v>
      </c>
      <c r="AO873" s="1365">
        <f t="shared" si="1269"/>
        <v>0</v>
      </c>
      <c r="AP873" s="1366">
        <v>0</v>
      </c>
      <c r="AQ873" s="1367">
        <f t="shared" si="1270"/>
        <v>0</v>
      </c>
      <c r="AR873" s="1368">
        <v>0</v>
      </c>
      <c r="AS873" s="1369">
        <f t="shared" si="1271"/>
        <v>0</v>
      </c>
      <c r="AT873" s="1370">
        <v>0</v>
      </c>
      <c r="AU873" s="1371">
        <f t="shared" si="1272"/>
        <v>0</v>
      </c>
      <c r="AV873" s="1359">
        <f t="shared" si="1273"/>
        <v>0</v>
      </c>
      <c r="AW873" s="1372">
        <f t="shared" si="1274"/>
        <v>0</v>
      </c>
      <c r="AX873" s="1373">
        <f t="shared" si="1275"/>
        <v>0</v>
      </c>
      <c r="AY873" s="1374">
        <f t="shared" si="1276"/>
        <v>0</v>
      </c>
      <c r="AZ873" s="1375">
        <f t="shared" si="1277"/>
        <v>0</v>
      </c>
      <c r="BA873" s="1376">
        <f t="shared" si="1278"/>
        <v>0</v>
      </c>
      <c r="BB873" s="1391"/>
      <c r="BC873" s="1848"/>
      <c r="BD873" s="1820"/>
      <c r="BE873" s="1823"/>
      <c r="BF873" s="1826"/>
      <c r="BG873" s="1829"/>
    </row>
    <row r="874" spans="1:59" s="1378" customFormat="1" ht="38.25">
      <c r="A874" s="1347" t="str">
        <f>L867</f>
        <v>Triple Ring Technologies, Inc.</v>
      </c>
      <c r="B874" s="1348" t="str">
        <f>N867</f>
        <v>ABD</v>
      </c>
      <c r="C874" s="1348">
        <f>Z867</f>
        <v>73</v>
      </c>
      <c r="D874" s="1349">
        <v>43070</v>
      </c>
      <c r="E874" s="1349"/>
      <c r="F874" s="1347" t="s">
        <v>72</v>
      </c>
      <c r="G874" s="1347" t="s">
        <v>85</v>
      </c>
      <c r="H874" s="1347" t="s">
        <v>72</v>
      </c>
      <c r="I874" s="1347" t="s">
        <v>72</v>
      </c>
      <c r="J874" s="1349" t="s">
        <v>4670</v>
      </c>
      <c r="K874" s="1349" t="s">
        <v>254</v>
      </c>
      <c r="L874" s="1350" t="s">
        <v>3056</v>
      </c>
      <c r="M874" s="1350" t="s">
        <v>4708</v>
      </c>
      <c r="N874" s="1390" t="s">
        <v>4709</v>
      </c>
      <c r="O874" s="1352" t="s">
        <v>4710</v>
      </c>
      <c r="P874" s="1352"/>
      <c r="Q874" s="1354"/>
      <c r="R874" s="1354"/>
      <c r="S874" s="1354"/>
      <c r="T874" s="1354"/>
      <c r="U874" s="1354"/>
      <c r="V874" s="1354"/>
      <c r="W874" s="1354"/>
      <c r="X874" s="1353">
        <v>43070</v>
      </c>
      <c r="Y874" s="1353">
        <v>43466</v>
      </c>
      <c r="Z874" s="1355"/>
      <c r="AA874" s="1355" t="s">
        <v>4674</v>
      </c>
      <c r="AB874" s="1356"/>
      <c r="AC874" s="1356"/>
      <c r="AD874" s="1356"/>
      <c r="AE874" s="1356"/>
      <c r="AF874" s="1357" t="str">
        <f>IFERROR((AE874/AB874),"")</f>
        <v/>
      </c>
      <c r="AG874" s="1380"/>
      <c r="AH874" s="1380"/>
      <c r="AI874" s="1381">
        <v>0</v>
      </c>
      <c r="AJ874" s="1382">
        <f>$AI874*$AG874</f>
        <v>0</v>
      </c>
      <c r="AK874" s="1383">
        <f>AI874*$AH874</f>
        <v>0</v>
      </c>
      <c r="AL874" s="1384">
        <v>0</v>
      </c>
      <c r="AM874" s="1363">
        <f t="shared" si="1268"/>
        <v>0</v>
      </c>
      <c r="AN874" s="1364">
        <v>0</v>
      </c>
      <c r="AO874" s="1365">
        <f t="shared" si="1269"/>
        <v>0</v>
      </c>
      <c r="AP874" s="1366">
        <v>0</v>
      </c>
      <c r="AQ874" s="1367">
        <f t="shared" si="1270"/>
        <v>0</v>
      </c>
      <c r="AR874" s="1368">
        <v>0</v>
      </c>
      <c r="AS874" s="1369">
        <f t="shared" si="1271"/>
        <v>0</v>
      </c>
      <c r="AT874" s="1370">
        <v>0</v>
      </c>
      <c r="AU874" s="1371">
        <f t="shared" si="1272"/>
        <v>0</v>
      </c>
      <c r="AV874" s="1359">
        <f t="shared" si="1273"/>
        <v>0</v>
      </c>
      <c r="AW874" s="1372">
        <f t="shared" si="1274"/>
        <v>0</v>
      </c>
      <c r="AX874" s="1373">
        <f t="shared" si="1275"/>
        <v>0</v>
      </c>
      <c r="AY874" s="1374">
        <f t="shared" si="1276"/>
        <v>0</v>
      </c>
      <c r="AZ874" s="1375">
        <f t="shared" si="1277"/>
        <v>0</v>
      </c>
      <c r="BA874" s="1376">
        <f t="shared" si="1278"/>
        <v>0</v>
      </c>
      <c r="BB874" s="1391"/>
      <c r="BC874" s="1849"/>
      <c r="BD874" s="1821"/>
      <c r="BE874" s="1824"/>
      <c r="BF874" s="1827"/>
      <c r="BG874" s="1830"/>
    </row>
    <row r="875" spans="1:59" s="1315" customFormat="1" ht="38.25">
      <c r="A875" s="1277" t="str">
        <f>L875</f>
        <v>TriReme Medical, Inc.</v>
      </c>
      <c r="B875" s="1316" t="str">
        <f>N875</f>
        <v>ABD</v>
      </c>
      <c r="C875" s="1316">
        <f>Z875</f>
        <v>38</v>
      </c>
      <c r="D875" s="1317">
        <v>43070</v>
      </c>
      <c r="E875" s="1317"/>
      <c r="F875" s="1277" t="s">
        <v>72</v>
      </c>
      <c r="G875" s="1277" t="s">
        <v>72</v>
      </c>
      <c r="H875" s="1277" t="s">
        <v>72</v>
      </c>
      <c r="I875" s="1277" t="s">
        <v>4711</v>
      </c>
      <c r="J875" s="1317"/>
      <c r="K875" s="1317"/>
      <c r="L875" s="1318" t="s">
        <v>414</v>
      </c>
      <c r="M875" s="1319"/>
      <c r="N875" s="1417" t="s">
        <v>3654</v>
      </c>
      <c r="O875" s="1418" t="s">
        <v>2473</v>
      </c>
      <c r="P875" s="1418"/>
      <c r="Q875" s="1322"/>
      <c r="R875" s="1322"/>
      <c r="S875" s="1322"/>
      <c r="T875" s="1322"/>
      <c r="U875" s="1322"/>
      <c r="V875" s="1322"/>
      <c r="W875" s="1322"/>
      <c r="X875" s="1317">
        <v>43070</v>
      </c>
      <c r="Y875" s="1317">
        <v>43466</v>
      </c>
      <c r="Z875" s="1316">
        <v>38</v>
      </c>
      <c r="AA875" s="1316" t="s">
        <v>5335</v>
      </c>
      <c r="AB875" s="1323">
        <f>SUM(AB876:AB886)</f>
        <v>513112.44</v>
      </c>
      <c r="AC875" s="1323">
        <f>SUM(AC876:AC886)</f>
        <v>0</v>
      </c>
      <c r="AD875" s="1323">
        <f>SUM(AD876:AD886)</f>
        <v>416361.96</v>
      </c>
      <c r="AE875" s="1324">
        <f t="shared" si="1253"/>
        <v>-96750.479999999981</v>
      </c>
      <c r="AF875" s="1325">
        <f t="shared" si="951"/>
        <v>-0.18855609893223399</v>
      </c>
      <c r="AG875" s="1326">
        <f t="shared" si="1267"/>
        <v>36058.301666666674</v>
      </c>
      <c r="AH875" s="1326">
        <f>SUM(AH876:AH886)</f>
        <v>432699.62000000005</v>
      </c>
      <c r="AI875" s="1339"/>
      <c r="AJ875" s="1328">
        <f>SUM(AJ876:AJ886)</f>
        <v>3094.4563499999999</v>
      </c>
      <c r="AK875" s="1328">
        <f>SUM(AK876:AK886)</f>
        <v>37133.476199999997</v>
      </c>
      <c r="AL875" s="1329"/>
      <c r="AM875" s="1330">
        <f>SUM(AM876:AM886)</f>
        <v>1738.3422</v>
      </c>
      <c r="AN875" s="1331"/>
      <c r="AO875" s="1332">
        <f>SUM(AO876:AO886)</f>
        <v>21035.985199999999</v>
      </c>
      <c r="AP875" s="1333"/>
      <c r="AQ875" s="1334">
        <f>SUM(AQ876:AQ886)</f>
        <v>0</v>
      </c>
      <c r="AR875" s="1335"/>
      <c r="AS875" s="1336">
        <f>SUM(AS876:AS886)</f>
        <v>0</v>
      </c>
      <c r="AT875" s="1337"/>
      <c r="AU875" s="1338">
        <f>SUM(AU876:AU886)</f>
        <v>8691.7110000000011</v>
      </c>
      <c r="AV875" s="1339"/>
      <c r="AW875" s="1340">
        <f>SUM(AW876:AW886)</f>
        <v>5667.4377999999979</v>
      </c>
      <c r="AX875" s="1306"/>
      <c r="AY875" s="1307">
        <f>SUM(AW875+AS875+AU875)</f>
        <v>14359.148799999999</v>
      </c>
      <c r="AZ875" s="1341"/>
      <c r="BA875" s="1309">
        <f>SUM(AY875+AQ875)</f>
        <v>14359.148799999999</v>
      </c>
      <c r="BB875" s="1342">
        <f>(AW875+AU875)/(AK875-AM875)</f>
        <v>0.40568143632398734</v>
      </c>
      <c r="BC875" s="1343"/>
      <c r="BD875" s="1343"/>
      <c r="BE875" s="1344"/>
      <c r="BF875" s="1420" t="s">
        <v>4749</v>
      </c>
      <c r="BG875" s="1346"/>
    </row>
    <row r="876" spans="1:59" s="1378" customFormat="1" ht="76.5">
      <c r="A876" s="1347" t="str">
        <f>A875</f>
        <v>TriReme Medical, Inc.</v>
      </c>
      <c r="B876" s="1348" t="str">
        <f>B875</f>
        <v>ABD</v>
      </c>
      <c r="C876" s="1348">
        <f>C875</f>
        <v>38</v>
      </c>
      <c r="D876" s="1349">
        <v>43070</v>
      </c>
      <c r="E876" s="1349"/>
      <c r="F876" s="1347" t="s">
        <v>85</v>
      </c>
      <c r="G876" s="1347" t="s">
        <v>85</v>
      </c>
      <c r="H876" s="1347" t="s">
        <v>85</v>
      </c>
      <c r="I876" s="1347" t="s">
        <v>85</v>
      </c>
      <c r="J876" s="1349"/>
      <c r="K876" s="1349" t="s">
        <v>254</v>
      </c>
      <c r="L876" s="1350" t="s">
        <v>2661</v>
      </c>
      <c r="M876" s="1350" t="s">
        <v>3647</v>
      </c>
      <c r="N876" s="1351" t="s">
        <v>5106</v>
      </c>
      <c r="O876" s="1352" t="s">
        <v>5336</v>
      </c>
      <c r="P876" s="1352" t="s">
        <v>5108</v>
      </c>
      <c r="Q876" s="1353" t="s">
        <v>303</v>
      </c>
      <c r="R876" s="1353" t="s">
        <v>3656</v>
      </c>
      <c r="S876" s="1353" t="s">
        <v>307</v>
      </c>
      <c r="T876" s="1353" t="s">
        <v>113</v>
      </c>
      <c r="U876" s="1354"/>
      <c r="V876" s="1354"/>
      <c r="W876" s="1354"/>
      <c r="X876" s="1353">
        <v>43070</v>
      </c>
      <c r="Y876" s="1353">
        <v>43466</v>
      </c>
      <c r="Z876" s="1355"/>
      <c r="AA876" s="1355" t="s">
        <v>4667</v>
      </c>
      <c r="AB876" s="1422">
        <v>433487.4</v>
      </c>
      <c r="AC876" s="1356"/>
      <c r="AD876" s="1422">
        <f t="shared" ref="AD876" si="1281">AH876</f>
        <v>347668.44</v>
      </c>
      <c r="AE876" s="1422">
        <f t="shared" si="1253"/>
        <v>-85818.960000000021</v>
      </c>
      <c r="AF876" s="1423">
        <f t="shared" si="951"/>
        <v>-0.19797336669993179</v>
      </c>
      <c r="AG876" s="1358">
        <f t="shared" si="1267"/>
        <v>28972.37</v>
      </c>
      <c r="AH876" s="1358">
        <v>347668.44</v>
      </c>
      <c r="AI876" s="1359">
        <v>0.08</v>
      </c>
      <c r="AJ876" s="1360">
        <f>$AI876*$AG876</f>
        <v>2317.7896000000001</v>
      </c>
      <c r="AK876" s="1361">
        <f t="shared" ref="AK876:AK883" si="1282">AI876*$AH876</f>
        <v>27813.475200000001</v>
      </c>
      <c r="AL876" s="1362">
        <v>5.0000000000000001E-3</v>
      </c>
      <c r="AM876" s="1363">
        <f t="shared" ref="AM876:AM886" si="1283">AL876*$AH876</f>
        <v>1738.3422</v>
      </c>
      <c r="AN876" s="1364">
        <v>0.04</v>
      </c>
      <c r="AO876" s="1365">
        <f t="shared" ref="AO876:AO886" si="1284">AN876*$AH876</f>
        <v>13906.7376</v>
      </c>
      <c r="AP876" s="1366">
        <v>0</v>
      </c>
      <c r="AQ876" s="1367">
        <f t="shared" ref="AQ876:AQ886" si="1285">AP876*$AH876</f>
        <v>0</v>
      </c>
      <c r="AR876" s="1368">
        <v>0</v>
      </c>
      <c r="AS876" s="1369">
        <f t="shared" ref="AS876:AS886" si="1286">AR876*$AH876</f>
        <v>0</v>
      </c>
      <c r="AT876" s="1370">
        <v>2.5000000000000001E-2</v>
      </c>
      <c r="AU876" s="1371">
        <f t="shared" ref="AU876:AU886" si="1287">AT876*$AH876</f>
        <v>8691.7110000000011</v>
      </c>
      <c r="AV876" s="1359">
        <f t="shared" ref="AV876:AV886" si="1288">AZ876-AR876-AT876-AP876</f>
        <v>9.999999999999995E-3</v>
      </c>
      <c r="AW876" s="1372">
        <f t="shared" ref="AW876:AW886" si="1289">AV876*$AH876</f>
        <v>3476.6843999999983</v>
      </c>
      <c r="AX876" s="1373">
        <f t="shared" ref="AX876:AX886" si="1290">$AZ876-$AP876</f>
        <v>3.4999999999999996E-2</v>
      </c>
      <c r="AY876" s="1374">
        <f t="shared" ref="AY876:AY886" si="1291">AX876*$AH876</f>
        <v>12168.395399999999</v>
      </c>
      <c r="AZ876" s="1375">
        <f t="shared" ref="AZ876:AZ886" si="1292">$AI876-$AL876-$AN876</f>
        <v>3.4999999999999996E-2</v>
      </c>
      <c r="BA876" s="1376">
        <f t="shared" ref="BA876:BA886" si="1293">AZ876*$AH876</f>
        <v>12168.395399999999</v>
      </c>
      <c r="BB876" s="1377"/>
      <c r="BC876" s="1847" t="s">
        <v>5337</v>
      </c>
      <c r="BD876" s="1819" t="s">
        <v>431</v>
      </c>
      <c r="BE876" s="1822" t="s">
        <v>431</v>
      </c>
      <c r="BF876" s="1825" t="s">
        <v>432</v>
      </c>
      <c r="BG876" s="1850">
        <v>203062604</v>
      </c>
    </row>
    <row r="877" spans="1:59" s="1378" customFormat="1" ht="63.75">
      <c r="A877" s="1347" t="str">
        <f>L875</f>
        <v>TriReme Medical, Inc.</v>
      </c>
      <c r="B877" s="1348" t="str">
        <f>N875</f>
        <v>ABD</v>
      </c>
      <c r="C877" s="1348">
        <f>Z875</f>
        <v>38</v>
      </c>
      <c r="D877" s="1349">
        <v>43070</v>
      </c>
      <c r="E877" s="1349"/>
      <c r="F877" s="1347" t="s">
        <v>72</v>
      </c>
      <c r="G877" s="1347" t="s">
        <v>113</v>
      </c>
      <c r="H877" s="1347" t="s">
        <v>72</v>
      </c>
      <c r="I877" s="1347" t="s">
        <v>113</v>
      </c>
      <c r="J877" s="1349" t="s">
        <v>4766</v>
      </c>
      <c r="K877" s="1349" t="s">
        <v>254</v>
      </c>
      <c r="L877" s="1397" t="s">
        <v>1265</v>
      </c>
      <c r="M877" s="1397" t="s">
        <v>3649</v>
      </c>
      <c r="N877" s="1410" t="s">
        <v>5330</v>
      </c>
      <c r="O877" s="1399" t="s">
        <v>5338</v>
      </c>
      <c r="P877" s="1399"/>
      <c r="Q877" s="1400"/>
      <c r="R877" s="1400"/>
      <c r="S877" s="1400"/>
      <c r="T877" s="1400"/>
      <c r="U877" s="1400"/>
      <c r="V877" s="1400"/>
      <c r="W877" s="1400"/>
      <c r="X877" s="1400">
        <v>43070</v>
      </c>
      <c r="Y877" s="1400">
        <v>43466</v>
      </c>
      <c r="Z877" s="1401"/>
      <c r="AA877" s="1401" t="s">
        <v>4738</v>
      </c>
      <c r="AB877" s="1369"/>
      <c r="AC877" s="1369"/>
      <c r="AD877" s="1369"/>
      <c r="AE877" s="1369"/>
      <c r="AF877" s="1403" t="str">
        <f t="shared" si="951"/>
        <v/>
      </c>
      <c r="AG877" s="1404"/>
      <c r="AH877" s="1404"/>
      <c r="AI877" s="1405">
        <v>0</v>
      </c>
      <c r="AJ877" s="1411">
        <f>$AI877*$AG877</f>
        <v>0</v>
      </c>
      <c r="AK877" s="1406">
        <f t="shared" si="1282"/>
        <v>0</v>
      </c>
      <c r="AL877" s="1384">
        <v>0</v>
      </c>
      <c r="AM877" s="1363">
        <f t="shared" si="1283"/>
        <v>0</v>
      </c>
      <c r="AN877" s="1364">
        <v>0</v>
      </c>
      <c r="AO877" s="1365">
        <f t="shared" si="1284"/>
        <v>0</v>
      </c>
      <c r="AP877" s="1366">
        <v>0</v>
      </c>
      <c r="AQ877" s="1367">
        <f t="shared" si="1285"/>
        <v>0</v>
      </c>
      <c r="AR877" s="1368">
        <v>0</v>
      </c>
      <c r="AS877" s="1369">
        <f t="shared" si="1286"/>
        <v>0</v>
      </c>
      <c r="AT877" s="1370">
        <v>0</v>
      </c>
      <c r="AU877" s="1371">
        <f t="shared" si="1287"/>
        <v>0</v>
      </c>
      <c r="AV877" s="1359">
        <f t="shared" si="1288"/>
        <v>0</v>
      </c>
      <c r="AW877" s="1372">
        <f t="shared" si="1289"/>
        <v>0</v>
      </c>
      <c r="AX877" s="1373">
        <f t="shared" si="1290"/>
        <v>0</v>
      </c>
      <c r="AY877" s="1374">
        <f t="shared" si="1291"/>
        <v>0</v>
      </c>
      <c r="AZ877" s="1375">
        <f t="shared" si="1292"/>
        <v>0</v>
      </c>
      <c r="BA877" s="1376">
        <f t="shared" si="1293"/>
        <v>0</v>
      </c>
      <c r="BB877" s="1377"/>
      <c r="BC877" s="1848"/>
      <c r="BD877" s="1820"/>
      <c r="BE877" s="1823"/>
      <c r="BF877" s="1826"/>
      <c r="BG877" s="1851"/>
    </row>
    <row r="878" spans="1:59" s="1378" customFormat="1" ht="60" customHeight="1">
      <c r="A878" s="1347" t="str">
        <f>A875</f>
        <v>TriReme Medical, Inc.</v>
      </c>
      <c r="B878" s="1348" t="str">
        <f>B875</f>
        <v>ABD</v>
      </c>
      <c r="C878" s="1348">
        <f>C875</f>
        <v>38</v>
      </c>
      <c r="D878" s="1349">
        <v>43070</v>
      </c>
      <c r="E878" s="1349"/>
      <c r="F878" s="1347" t="s">
        <v>113</v>
      </c>
      <c r="G878" s="1347" t="s">
        <v>113</v>
      </c>
      <c r="H878" s="1347" t="s">
        <v>113</v>
      </c>
      <c r="I878" s="1347" t="s">
        <v>113</v>
      </c>
      <c r="J878" s="1349" t="s">
        <v>4766</v>
      </c>
      <c r="K878" s="1349" t="s">
        <v>254</v>
      </c>
      <c r="L878" s="1397" t="s">
        <v>4767</v>
      </c>
      <c r="M878" s="1397" t="s">
        <v>3647</v>
      </c>
      <c r="N878" s="1398" t="s">
        <v>5339</v>
      </c>
      <c r="O878" s="1399">
        <v>701999</v>
      </c>
      <c r="P878" s="1399"/>
      <c r="Q878" s="1400"/>
      <c r="R878" s="1400"/>
      <c r="S878" s="1400"/>
      <c r="T878" s="1400"/>
      <c r="U878" s="1400"/>
      <c r="V878" s="1400"/>
      <c r="W878" s="1400"/>
      <c r="X878" s="1400">
        <v>43070</v>
      </c>
      <c r="Y878" s="1400">
        <v>43466</v>
      </c>
      <c r="Z878" s="1401"/>
      <c r="AA878" s="1401" t="s">
        <v>4738</v>
      </c>
      <c r="AB878" s="1369"/>
      <c r="AC878" s="1369"/>
      <c r="AD878" s="1369"/>
      <c r="AE878" s="1369"/>
      <c r="AF878" s="1403" t="str">
        <f t="shared" si="951"/>
        <v/>
      </c>
      <c r="AG878" s="1404"/>
      <c r="AH878" s="1404"/>
      <c r="AI878" s="1405">
        <v>0</v>
      </c>
      <c r="AJ878" s="1406">
        <v>0</v>
      </c>
      <c r="AK878" s="1406">
        <v>0</v>
      </c>
      <c r="AL878" s="1362">
        <v>0</v>
      </c>
      <c r="AM878" s="1363">
        <f t="shared" si="1283"/>
        <v>0</v>
      </c>
      <c r="AN878" s="1364">
        <f>AI878</f>
        <v>0</v>
      </c>
      <c r="AO878" s="1365">
        <f t="shared" si="1284"/>
        <v>0</v>
      </c>
      <c r="AP878" s="1366">
        <v>0</v>
      </c>
      <c r="AQ878" s="1367">
        <f t="shared" si="1285"/>
        <v>0</v>
      </c>
      <c r="AR878" s="1368">
        <v>0</v>
      </c>
      <c r="AS878" s="1369">
        <f t="shared" si="1286"/>
        <v>0</v>
      </c>
      <c r="AT878" s="1370">
        <v>0</v>
      </c>
      <c r="AU878" s="1371">
        <f t="shared" si="1287"/>
        <v>0</v>
      </c>
      <c r="AV878" s="1359">
        <v>0</v>
      </c>
      <c r="AW878" s="1372">
        <f t="shared" si="1289"/>
        <v>0</v>
      </c>
      <c r="AX878" s="1373">
        <f t="shared" si="1290"/>
        <v>0</v>
      </c>
      <c r="AY878" s="1374">
        <f t="shared" si="1291"/>
        <v>0</v>
      </c>
      <c r="AZ878" s="1375">
        <f t="shared" si="1292"/>
        <v>0</v>
      </c>
      <c r="BA878" s="1376">
        <f t="shared" si="1293"/>
        <v>0</v>
      </c>
      <c r="BB878" s="1377"/>
      <c r="BC878" s="1848"/>
      <c r="BD878" s="1820"/>
      <c r="BE878" s="1823"/>
      <c r="BF878" s="1826"/>
      <c r="BG878" s="1851"/>
    </row>
    <row r="879" spans="1:59" s="1378" customFormat="1" ht="38.25">
      <c r="A879" s="1347" t="str">
        <f>L875</f>
        <v>TriReme Medical, Inc.</v>
      </c>
      <c r="B879" s="1348" t="str">
        <f>N875</f>
        <v>ABD</v>
      </c>
      <c r="C879" s="1348">
        <f>Z875</f>
        <v>38</v>
      </c>
      <c r="D879" s="1349">
        <v>43070</v>
      </c>
      <c r="E879" s="1349"/>
      <c r="F879" s="1347" t="s">
        <v>113</v>
      </c>
      <c r="G879" s="1347" t="s">
        <v>85</v>
      </c>
      <c r="H879" s="1347" t="s">
        <v>85</v>
      </c>
      <c r="I879" s="1347" t="s">
        <v>85</v>
      </c>
      <c r="J879" s="1349"/>
      <c r="K879" s="1349" t="s">
        <v>254</v>
      </c>
      <c r="L879" s="1350" t="s">
        <v>4675</v>
      </c>
      <c r="M879" s="1350" t="s">
        <v>3650</v>
      </c>
      <c r="N879" s="1385" t="s">
        <v>5340</v>
      </c>
      <c r="O879" s="1352" t="s">
        <v>4677</v>
      </c>
      <c r="P879" s="1352"/>
      <c r="Q879" s="1354"/>
      <c r="R879" s="1354"/>
      <c r="S879" s="1354"/>
      <c r="T879" s="1354"/>
      <c r="U879" s="1353" t="s">
        <v>4959</v>
      </c>
      <c r="V879" s="1353" t="s">
        <v>2481</v>
      </c>
      <c r="W879" s="1354"/>
      <c r="X879" s="1353">
        <v>43070</v>
      </c>
      <c r="Y879" s="1353">
        <v>43466</v>
      </c>
      <c r="Z879" s="1355"/>
      <c r="AA879" s="1355" t="s">
        <v>4679</v>
      </c>
      <c r="AB879" s="1422">
        <v>70831.44</v>
      </c>
      <c r="AC879" s="1356"/>
      <c r="AD879" s="1422">
        <f t="shared" ref="AD879:AD880" si="1294">AH879</f>
        <v>60727.199999999997</v>
      </c>
      <c r="AE879" s="1422">
        <f t="shared" si="1253"/>
        <v>-10104.240000000005</v>
      </c>
      <c r="AF879" s="1423">
        <f t="shared" si="951"/>
        <v>-0.14265190711921155</v>
      </c>
      <c r="AG879" s="1358">
        <f t="shared" si="1267"/>
        <v>5060.5999999999995</v>
      </c>
      <c r="AH879" s="1358">
        <v>60727.199999999997</v>
      </c>
      <c r="AI879" s="1359">
        <v>0.1</v>
      </c>
      <c r="AJ879" s="1360">
        <f>$AI879*$AG879</f>
        <v>506.05999999999995</v>
      </c>
      <c r="AK879" s="1361">
        <f t="shared" si="1282"/>
        <v>6072.72</v>
      </c>
      <c r="AL879" s="1384">
        <v>0</v>
      </c>
      <c r="AM879" s="1363">
        <f t="shared" si="1283"/>
        <v>0</v>
      </c>
      <c r="AN879" s="1364">
        <v>0.08</v>
      </c>
      <c r="AO879" s="1365">
        <f t="shared" si="1284"/>
        <v>4858.1759999999995</v>
      </c>
      <c r="AP879" s="1366">
        <v>0</v>
      </c>
      <c r="AQ879" s="1367">
        <f t="shared" si="1285"/>
        <v>0</v>
      </c>
      <c r="AR879" s="1368">
        <v>0</v>
      </c>
      <c r="AS879" s="1369">
        <f t="shared" si="1286"/>
        <v>0</v>
      </c>
      <c r="AT879" s="1370">
        <v>0</v>
      </c>
      <c r="AU879" s="1371">
        <f t="shared" si="1287"/>
        <v>0</v>
      </c>
      <c r="AV879" s="1359">
        <f t="shared" si="1288"/>
        <v>2.0000000000000004E-2</v>
      </c>
      <c r="AW879" s="1372">
        <f t="shared" si="1289"/>
        <v>1214.5440000000001</v>
      </c>
      <c r="AX879" s="1373">
        <f t="shared" si="1290"/>
        <v>2.0000000000000004E-2</v>
      </c>
      <c r="AY879" s="1374">
        <f t="shared" si="1291"/>
        <v>1214.5440000000001</v>
      </c>
      <c r="AZ879" s="1375">
        <f t="shared" si="1292"/>
        <v>2.0000000000000004E-2</v>
      </c>
      <c r="BA879" s="1376">
        <f t="shared" si="1293"/>
        <v>1214.5440000000001</v>
      </c>
      <c r="BB879" s="1377"/>
      <c r="BC879" s="1848"/>
      <c r="BD879" s="1820"/>
      <c r="BE879" s="1823"/>
      <c r="BF879" s="1826"/>
      <c r="BG879" s="1851"/>
    </row>
    <row r="880" spans="1:59" s="1378" customFormat="1" ht="38.25">
      <c r="A880" s="1347" t="str">
        <f>L875</f>
        <v>TriReme Medical, Inc.</v>
      </c>
      <c r="B880" s="1348" t="str">
        <f>N875</f>
        <v>ABD</v>
      </c>
      <c r="C880" s="1348">
        <f>Z875</f>
        <v>38</v>
      </c>
      <c r="D880" s="1349">
        <v>43070</v>
      </c>
      <c r="E880" s="1349"/>
      <c r="F880" s="1347" t="s">
        <v>113</v>
      </c>
      <c r="G880" s="1347" t="s">
        <v>85</v>
      </c>
      <c r="H880" s="1347" t="s">
        <v>85</v>
      </c>
      <c r="I880" s="1347" t="s">
        <v>85</v>
      </c>
      <c r="J880" s="1349"/>
      <c r="K880" s="1349" t="s">
        <v>254</v>
      </c>
      <c r="L880" s="1350" t="s">
        <v>4675</v>
      </c>
      <c r="M880" s="1350" t="s">
        <v>3651</v>
      </c>
      <c r="N880" s="1351" t="s">
        <v>4758</v>
      </c>
      <c r="O880" s="1352" t="s">
        <v>4681</v>
      </c>
      <c r="P880" s="1352"/>
      <c r="Q880" s="1354"/>
      <c r="R880" s="1354"/>
      <c r="S880" s="1354"/>
      <c r="T880" s="1354"/>
      <c r="U880" s="1354"/>
      <c r="V880" s="1354"/>
      <c r="W880" s="1353" t="s">
        <v>2492</v>
      </c>
      <c r="X880" s="1353">
        <v>43070</v>
      </c>
      <c r="Y880" s="1353">
        <v>43466</v>
      </c>
      <c r="Z880" s="1355"/>
      <c r="AA880" s="1355" t="s">
        <v>4679</v>
      </c>
      <c r="AB880" s="1422">
        <v>8793.6</v>
      </c>
      <c r="AC880" s="1356"/>
      <c r="AD880" s="1422">
        <f t="shared" si="1294"/>
        <v>7966.32</v>
      </c>
      <c r="AE880" s="1422">
        <f t="shared" si="1253"/>
        <v>-827.28000000000065</v>
      </c>
      <c r="AF880" s="1423">
        <f t="shared" si="951"/>
        <v>-9.4077510917030635E-2</v>
      </c>
      <c r="AG880" s="1358">
        <f t="shared" si="1267"/>
        <v>663.86</v>
      </c>
      <c r="AH880" s="1358">
        <v>7966.32</v>
      </c>
      <c r="AI880" s="1359">
        <v>0.1</v>
      </c>
      <c r="AJ880" s="1360">
        <f>$AI880*$AG880</f>
        <v>66.38600000000001</v>
      </c>
      <c r="AK880" s="1361">
        <f t="shared" si="1282"/>
        <v>796.63200000000006</v>
      </c>
      <c r="AL880" s="1384">
        <v>0</v>
      </c>
      <c r="AM880" s="1363">
        <f t="shared" si="1283"/>
        <v>0</v>
      </c>
      <c r="AN880" s="1364">
        <v>0.08</v>
      </c>
      <c r="AO880" s="1365">
        <f t="shared" si="1284"/>
        <v>637.30560000000003</v>
      </c>
      <c r="AP880" s="1366">
        <v>0</v>
      </c>
      <c r="AQ880" s="1367">
        <f t="shared" si="1285"/>
        <v>0</v>
      </c>
      <c r="AR880" s="1368">
        <v>0</v>
      </c>
      <c r="AS880" s="1369">
        <f t="shared" si="1286"/>
        <v>0</v>
      </c>
      <c r="AT880" s="1370">
        <v>0</v>
      </c>
      <c r="AU880" s="1371">
        <f t="shared" si="1287"/>
        <v>0</v>
      </c>
      <c r="AV880" s="1359">
        <f t="shared" si="1288"/>
        <v>2.0000000000000004E-2</v>
      </c>
      <c r="AW880" s="1372">
        <f t="shared" si="1289"/>
        <v>159.32640000000004</v>
      </c>
      <c r="AX880" s="1373">
        <f t="shared" si="1290"/>
        <v>2.0000000000000004E-2</v>
      </c>
      <c r="AY880" s="1374">
        <f t="shared" si="1291"/>
        <v>159.32640000000004</v>
      </c>
      <c r="AZ880" s="1375">
        <f t="shared" si="1292"/>
        <v>2.0000000000000004E-2</v>
      </c>
      <c r="BA880" s="1376">
        <f t="shared" si="1293"/>
        <v>159.32640000000004</v>
      </c>
      <c r="BB880" s="1377"/>
      <c r="BC880" s="1848"/>
      <c r="BD880" s="1820"/>
      <c r="BE880" s="1823"/>
      <c r="BF880" s="1826"/>
      <c r="BG880" s="1851"/>
    </row>
    <row r="881" spans="1:59" s="1378" customFormat="1" ht="38.25">
      <c r="A881" s="1347" t="str">
        <f>L875</f>
        <v>TriReme Medical, Inc.</v>
      </c>
      <c r="B881" s="1348" t="str">
        <f>N875</f>
        <v>ABD</v>
      </c>
      <c r="C881" s="1348">
        <f>Z875</f>
        <v>38</v>
      </c>
      <c r="D881" s="1349">
        <v>43070</v>
      </c>
      <c r="E881" s="1349"/>
      <c r="F881" s="1347" t="s">
        <v>113</v>
      </c>
      <c r="G881" s="1347" t="s">
        <v>85</v>
      </c>
      <c r="H881" s="1347" t="s">
        <v>85</v>
      </c>
      <c r="I881" s="1347" t="s">
        <v>113</v>
      </c>
      <c r="J881" s="1349"/>
      <c r="K881" s="1349" t="s">
        <v>254</v>
      </c>
      <c r="L881" s="1350" t="s">
        <v>4682</v>
      </c>
      <c r="M881" s="1350" t="s">
        <v>4683</v>
      </c>
      <c r="N881" s="1386" t="s">
        <v>1249</v>
      </c>
      <c r="O881" s="1352" t="s">
        <v>4684</v>
      </c>
      <c r="P881" s="1387"/>
      <c r="Q881" s="1354"/>
      <c r="R881" s="1354"/>
      <c r="S881" s="1354"/>
      <c r="T881" s="1354"/>
      <c r="U881" s="1354"/>
      <c r="V881" s="1354"/>
      <c r="W881" s="1354"/>
      <c r="X881" s="1353">
        <v>43070</v>
      </c>
      <c r="Y881" s="1353">
        <v>43466</v>
      </c>
      <c r="Z881" s="1355"/>
      <c r="AA881" s="1355" t="s">
        <v>4685</v>
      </c>
      <c r="AB881" s="1356"/>
      <c r="AC881" s="1356"/>
      <c r="AD881" s="1356"/>
      <c r="AE881" s="1356"/>
      <c r="AF881" s="1357"/>
      <c r="AG881" s="1358">
        <f t="shared" si="1267"/>
        <v>520.45416666666665</v>
      </c>
      <c r="AH881" s="1358">
        <v>6245.45</v>
      </c>
      <c r="AI881" s="1359">
        <v>0.15</v>
      </c>
      <c r="AJ881" s="1360">
        <f>$AI881*$AG881</f>
        <v>78.068124999999995</v>
      </c>
      <c r="AK881" s="1361">
        <f t="shared" si="1282"/>
        <v>936.81749999999988</v>
      </c>
      <c r="AL881" s="1384">
        <v>0</v>
      </c>
      <c r="AM881" s="1363">
        <f t="shared" si="1283"/>
        <v>0</v>
      </c>
      <c r="AN881" s="1364">
        <v>0.1</v>
      </c>
      <c r="AO881" s="1365">
        <f t="shared" si="1284"/>
        <v>624.54500000000007</v>
      </c>
      <c r="AP881" s="1366">
        <v>0</v>
      </c>
      <c r="AQ881" s="1367">
        <f t="shared" si="1285"/>
        <v>0</v>
      </c>
      <c r="AR881" s="1368">
        <v>0</v>
      </c>
      <c r="AS881" s="1369">
        <f t="shared" si="1286"/>
        <v>0</v>
      </c>
      <c r="AT881" s="1370">
        <v>0</v>
      </c>
      <c r="AU881" s="1371">
        <f t="shared" si="1287"/>
        <v>0</v>
      </c>
      <c r="AV881" s="1359">
        <f t="shared" si="1288"/>
        <v>4.9999999999999989E-2</v>
      </c>
      <c r="AW881" s="1372">
        <f t="shared" si="1289"/>
        <v>312.27249999999992</v>
      </c>
      <c r="AX881" s="1373">
        <f t="shared" si="1290"/>
        <v>4.9999999999999989E-2</v>
      </c>
      <c r="AY881" s="1374">
        <f t="shared" si="1291"/>
        <v>312.27249999999992</v>
      </c>
      <c r="AZ881" s="1375">
        <f t="shared" si="1292"/>
        <v>4.9999999999999989E-2</v>
      </c>
      <c r="BA881" s="1376">
        <f t="shared" si="1293"/>
        <v>312.27249999999992</v>
      </c>
      <c r="BB881" s="1377"/>
      <c r="BC881" s="1848"/>
      <c r="BD881" s="1820"/>
      <c r="BE881" s="1823"/>
      <c r="BF881" s="1826"/>
      <c r="BG881" s="1851"/>
    </row>
    <row r="882" spans="1:59" s="1378" customFormat="1" ht="38.25">
      <c r="A882" s="1347" t="str">
        <f>L875</f>
        <v>TriReme Medical, Inc.</v>
      </c>
      <c r="B882" s="1348" t="str">
        <f>N875</f>
        <v>ABD</v>
      </c>
      <c r="C882" s="1348">
        <f>Z875</f>
        <v>38</v>
      </c>
      <c r="D882" s="1349">
        <v>43070</v>
      </c>
      <c r="E882" s="1349"/>
      <c r="F882" s="1347" t="s">
        <v>113</v>
      </c>
      <c r="G882" s="1347" t="s">
        <v>85</v>
      </c>
      <c r="H882" s="1347" t="s">
        <v>85</v>
      </c>
      <c r="I882" s="1347" t="s">
        <v>113</v>
      </c>
      <c r="J882" s="1349"/>
      <c r="K882" s="1349" t="s">
        <v>254</v>
      </c>
      <c r="L882" s="1350" t="s">
        <v>4682</v>
      </c>
      <c r="M882" s="1350" t="s">
        <v>67</v>
      </c>
      <c r="N882" s="1351" t="s">
        <v>82</v>
      </c>
      <c r="O882" s="1352" t="s">
        <v>4689</v>
      </c>
      <c r="P882" s="1352"/>
      <c r="Q882" s="1354"/>
      <c r="R882" s="1354"/>
      <c r="S882" s="1354"/>
      <c r="T882" s="1354"/>
      <c r="U882" s="1354"/>
      <c r="V882" s="1354"/>
      <c r="W882" s="1354"/>
      <c r="X882" s="1353">
        <v>43070</v>
      </c>
      <c r="Y882" s="1353">
        <v>43466</v>
      </c>
      <c r="Z882" s="1355"/>
      <c r="AA882" s="1355" t="s">
        <v>4685</v>
      </c>
      <c r="AB882" s="1356"/>
      <c r="AC882" s="1356"/>
      <c r="AD882" s="1356"/>
      <c r="AE882" s="1356"/>
      <c r="AF882" s="1357"/>
      <c r="AG882" s="1358">
        <f t="shared" si="1267"/>
        <v>841.01749999999993</v>
      </c>
      <c r="AH882" s="1358">
        <v>10092.209999999999</v>
      </c>
      <c r="AI882" s="1359">
        <v>0.15</v>
      </c>
      <c r="AJ882" s="1360">
        <f>$AI882*$AG882</f>
        <v>126.15262499999999</v>
      </c>
      <c r="AK882" s="1361">
        <f t="shared" si="1282"/>
        <v>1513.8314999999998</v>
      </c>
      <c r="AL882" s="1384">
        <v>0</v>
      </c>
      <c r="AM882" s="1363">
        <f t="shared" si="1283"/>
        <v>0</v>
      </c>
      <c r="AN882" s="1364">
        <v>0.1</v>
      </c>
      <c r="AO882" s="1365">
        <f t="shared" si="1284"/>
        <v>1009.221</v>
      </c>
      <c r="AP882" s="1366">
        <v>0</v>
      </c>
      <c r="AQ882" s="1367">
        <f t="shared" si="1285"/>
        <v>0</v>
      </c>
      <c r="AR882" s="1368">
        <v>0</v>
      </c>
      <c r="AS882" s="1369">
        <f t="shared" si="1286"/>
        <v>0</v>
      </c>
      <c r="AT882" s="1370">
        <v>0</v>
      </c>
      <c r="AU882" s="1371">
        <f t="shared" si="1287"/>
        <v>0</v>
      </c>
      <c r="AV882" s="1359">
        <f t="shared" si="1288"/>
        <v>4.9999999999999989E-2</v>
      </c>
      <c r="AW882" s="1372">
        <f t="shared" si="1289"/>
        <v>504.61049999999983</v>
      </c>
      <c r="AX882" s="1373">
        <f t="shared" si="1290"/>
        <v>4.9999999999999989E-2</v>
      </c>
      <c r="AY882" s="1374">
        <f t="shared" si="1291"/>
        <v>504.61049999999983</v>
      </c>
      <c r="AZ882" s="1375">
        <f t="shared" si="1292"/>
        <v>4.9999999999999989E-2</v>
      </c>
      <c r="BA882" s="1376">
        <f t="shared" si="1293"/>
        <v>504.61049999999983</v>
      </c>
      <c r="BB882" s="1377"/>
      <c r="BC882" s="1848"/>
      <c r="BD882" s="1820"/>
      <c r="BE882" s="1823"/>
      <c r="BF882" s="1826"/>
      <c r="BG882" s="1851"/>
    </row>
    <row r="883" spans="1:59" s="1378" customFormat="1" ht="53.25" customHeight="1">
      <c r="A883" s="1347" t="s">
        <v>414</v>
      </c>
      <c r="B883" s="1348" t="s">
        <v>3654</v>
      </c>
      <c r="C883" s="1348">
        <v>40</v>
      </c>
      <c r="D883" s="1349">
        <v>43070</v>
      </c>
      <c r="E883" s="1349"/>
      <c r="F883" s="1347" t="s">
        <v>72</v>
      </c>
      <c r="G883" s="1347" t="s">
        <v>85</v>
      </c>
      <c r="H883" s="1347" t="s">
        <v>72</v>
      </c>
      <c r="I883" s="1347" t="s">
        <v>72</v>
      </c>
      <c r="J883" s="1349" t="s">
        <v>4670</v>
      </c>
      <c r="K883" s="1349" t="s">
        <v>254</v>
      </c>
      <c r="L883" s="1350" t="s">
        <v>4696</v>
      </c>
      <c r="M883" s="1350" t="s">
        <v>4697</v>
      </c>
      <c r="N883" s="1389" t="s">
        <v>4698</v>
      </c>
      <c r="O883" s="1352" t="s">
        <v>4699</v>
      </c>
      <c r="P883" s="1388"/>
      <c r="Q883" s="1354"/>
      <c r="R883" s="1354"/>
      <c r="S883" s="1354"/>
      <c r="T883" s="1354"/>
      <c r="U883" s="1354"/>
      <c r="V883" s="1354"/>
      <c r="W883" s="1354"/>
      <c r="X883" s="1353">
        <v>43070</v>
      </c>
      <c r="Y883" s="1353">
        <v>43466</v>
      </c>
      <c r="Z883" s="1355"/>
      <c r="AA883" s="1355" t="s">
        <v>4674</v>
      </c>
      <c r="AB883" s="1356"/>
      <c r="AC883" s="1356"/>
      <c r="AD883" s="1356"/>
      <c r="AE883" s="1356"/>
      <c r="AF883" s="1357" t="str">
        <f t="shared" ref="AF883:AF946" si="1295">IFERROR((AE883/AB883),"")</f>
        <v/>
      </c>
      <c r="AG883" s="1380"/>
      <c r="AH883" s="1380"/>
      <c r="AI883" s="1381">
        <v>0</v>
      </c>
      <c r="AJ883" s="1382">
        <f>$AI883*$AG883</f>
        <v>0</v>
      </c>
      <c r="AK883" s="1383">
        <f t="shared" si="1282"/>
        <v>0</v>
      </c>
      <c r="AL883" s="1384">
        <v>0</v>
      </c>
      <c r="AM883" s="1363">
        <f t="shared" si="1283"/>
        <v>0</v>
      </c>
      <c r="AN883" s="1364">
        <v>0</v>
      </c>
      <c r="AO883" s="1365">
        <f t="shared" si="1284"/>
        <v>0</v>
      </c>
      <c r="AP883" s="1366">
        <v>0</v>
      </c>
      <c r="AQ883" s="1367">
        <f t="shared" si="1285"/>
        <v>0</v>
      </c>
      <c r="AR883" s="1368">
        <v>0</v>
      </c>
      <c r="AS883" s="1369">
        <f t="shared" si="1286"/>
        <v>0</v>
      </c>
      <c r="AT883" s="1370">
        <v>0</v>
      </c>
      <c r="AU883" s="1371">
        <f t="shared" si="1287"/>
        <v>0</v>
      </c>
      <c r="AV883" s="1359">
        <f t="shared" si="1288"/>
        <v>0</v>
      </c>
      <c r="AW883" s="1372">
        <f t="shared" si="1289"/>
        <v>0</v>
      </c>
      <c r="AX883" s="1373">
        <f t="shared" si="1290"/>
        <v>0</v>
      </c>
      <c r="AY883" s="1374">
        <f t="shared" si="1291"/>
        <v>0</v>
      </c>
      <c r="AZ883" s="1375">
        <f t="shared" si="1292"/>
        <v>0</v>
      </c>
      <c r="BA883" s="1376">
        <f t="shared" si="1293"/>
        <v>0</v>
      </c>
      <c r="BB883" s="1377"/>
      <c r="BC883" s="1848"/>
      <c r="BD883" s="1820"/>
      <c r="BE883" s="1823"/>
      <c r="BF883" s="1826"/>
      <c r="BG883" s="1851"/>
    </row>
    <row r="884" spans="1:59" s="1378" customFormat="1" ht="38.25">
      <c r="A884" s="1347" t="str">
        <f>L875</f>
        <v>TriReme Medical, Inc.</v>
      </c>
      <c r="B884" s="1348" t="str">
        <f>N875</f>
        <v>ABD</v>
      </c>
      <c r="C884" s="1348">
        <f>Z875</f>
        <v>38</v>
      </c>
      <c r="D884" s="1349">
        <v>43070</v>
      </c>
      <c r="E884" s="1349"/>
      <c r="F884" s="1347" t="s">
        <v>72</v>
      </c>
      <c r="G884" s="1347" t="s">
        <v>85</v>
      </c>
      <c r="H884" s="1347" t="s">
        <v>72</v>
      </c>
      <c r="I884" s="1347" t="s">
        <v>72</v>
      </c>
      <c r="J884" s="1349" t="s">
        <v>4670</v>
      </c>
      <c r="K884" s="1349" t="s">
        <v>254</v>
      </c>
      <c r="L884" s="1350" t="s">
        <v>48</v>
      </c>
      <c r="M884" s="1350" t="s">
        <v>253</v>
      </c>
      <c r="N884" s="1390" t="s">
        <v>4703</v>
      </c>
      <c r="O884" s="1352" t="s">
        <v>4704</v>
      </c>
      <c r="P884" s="1352"/>
      <c r="Q884" s="1354"/>
      <c r="R884" s="1354"/>
      <c r="S884" s="1354"/>
      <c r="T884" s="1354"/>
      <c r="U884" s="1354"/>
      <c r="V884" s="1354"/>
      <c r="W884" s="1354"/>
      <c r="X884" s="1353">
        <v>43070</v>
      </c>
      <c r="Y884" s="1353">
        <v>43466</v>
      </c>
      <c r="Z884" s="1355"/>
      <c r="AA884" s="1355" t="s">
        <v>4674</v>
      </c>
      <c r="AB884" s="1356"/>
      <c r="AC884" s="1356"/>
      <c r="AD884" s="1356"/>
      <c r="AE884" s="1356"/>
      <c r="AF884" s="1357" t="str">
        <f t="shared" si="1295"/>
        <v/>
      </c>
      <c r="AG884" s="1380"/>
      <c r="AH884" s="1380"/>
      <c r="AI884" s="1381">
        <v>0</v>
      </c>
      <c r="AJ884" s="1383">
        <v>0</v>
      </c>
      <c r="AK884" s="1383">
        <v>0</v>
      </c>
      <c r="AL884" s="1384">
        <v>0</v>
      </c>
      <c r="AM884" s="1363">
        <f t="shared" si="1283"/>
        <v>0</v>
      </c>
      <c r="AN884" s="1364">
        <v>0</v>
      </c>
      <c r="AO884" s="1365">
        <f t="shared" si="1284"/>
        <v>0</v>
      </c>
      <c r="AP884" s="1366">
        <v>0</v>
      </c>
      <c r="AQ884" s="1367">
        <f t="shared" si="1285"/>
        <v>0</v>
      </c>
      <c r="AR884" s="1368">
        <v>0</v>
      </c>
      <c r="AS884" s="1369">
        <f t="shared" si="1286"/>
        <v>0</v>
      </c>
      <c r="AT884" s="1370">
        <v>0</v>
      </c>
      <c r="AU884" s="1371">
        <f t="shared" si="1287"/>
        <v>0</v>
      </c>
      <c r="AV884" s="1359">
        <f t="shared" si="1288"/>
        <v>0</v>
      </c>
      <c r="AW884" s="1372">
        <f t="shared" si="1289"/>
        <v>0</v>
      </c>
      <c r="AX884" s="1373">
        <f t="shared" si="1290"/>
        <v>0</v>
      </c>
      <c r="AY884" s="1374">
        <f t="shared" si="1291"/>
        <v>0</v>
      </c>
      <c r="AZ884" s="1375">
        <f t="shared" si="1292"/>
        <v>0</v>
      </c>
      <c r="BA884" s="1376">
        <f t="shared" si="1293"/>
        <v>0</v>
      </c>
      <c r="BB884" s="1377"/>
      <c r="BC884" s="1848"/>
      <c r="BD884" s="1820"/>
      <c r="BE884" s="1823"/>
      <c r="BF884" s="1826"/>
      <c r="BG884" s="1851"/>
    </row>
    <row r="885" spans="1:59" s="1378" customFormat="1" ht="38.25">
      <c r="A885" s="1347" t="str">
        <f>L875</f>
        <v>TriReme Medical, Inc.</v>
      </c>
      <c r="B885" s="1348" t="str">
        <f>N875</f>
        <v>ABD</v>
      </c>
      <c r="C885" s="1348">
        <f>Z875</f>
        <v>38</v>
      </c>
      <c r="D885" s="1349">
        <v>43070</v>
      </c>
      <c r="E885" s="1349"/>
      <c r="F885" s="1347" t="s">
        <v>72</v>
      </c>
      <c r="G885" s="1347" t="s">
        <v>85</v>
      </c>
      <c r="H885" s="1347" t="s">
        <v>72</v>
      </c>
      <c r="I885" s="1347" t="s">
        <v>72</v>
      </c>
      <c r="J885" s="1349" t="s">
        <v>4670</v>
      </c>
      <c r="K885" s="1349" t="s">
        <v>254</v>
      </c>
      <c r="L885" s="1350" t="s">
        <v>49</v>
      </c>
      <c r="M885" s="1350" t="s">
        <v>4705</v>
      </c>
      <c r="N885" s="1390" t="s">
        <v>4706</v>
      </c>
      <c r="O885" s="1352" t="s">
        <v>4707</v>
      </c>
      <c r="P885" s="1352"/>
      <c r="Q885" s="1354"/>
      <c r="R885" s="1354"/>
      <c r="S885" s="1354"/>
      <c r="T885" s="1354"/>
      <c r="U885" s="1354"/>
      <c r="V885" s="1354"/>
      <c r="W885" s="1354"/>
      <c r="X885" s="1353">
        <v>43070</v>
      </c>
      <c r="Y885" s="1353">
        <v>43466</v>
      </c>
      <c r="Z885" s="1355"/>
      <c r="AA885" s="1355" t="s">
        <v>4674</v>
      </c>
      <c r="AB885" s="1356"/>
      <c r="AC885" s="1356"/>
      <c r="AD885" s="1356"/>
      <c r="AE885" s="1356"/>
      <c r="AF885" s="1357" t="str">
        <f t="shared" si="1295"/>
        <v/>
      </c>
      <c r="AG885" s="1380"/>
      <c r="AH885" s="1380"/>
      <c r="AI885" s="1381">
        <v>0</v>
      </c>
      <c r="AJ885" s="1382">
        <f>$AI885*$AG885</f>
        <v>0</v>
      </c>
      <c r="AK885" s="1383">
        <f t="shared" ref="AK885:AK886" si="1296">AI885*$AH885</f>
        <v>0</v>
      </c>
      <c r="AL885" s="1384">
        <v>0</v>
      </c>
      <c r="AM885" s="1363">
        <f t="shared" si="1283"/>
        <v>0</v>
      </c>
      <c r="AN885" s="1364">
        <v>0</v>
      </c>
      <c r="AO885" s="1365">
        <f t="shared" si="1284"/>
        <v>0</v>
      </c>
      <c r="AP885" s="1366">
        <v>0</v>
      </c>
      <c r="AQ885" s="1367">
        <f t="shared" si="1285"/>
        <v>0</v>
      </c>
      <c r="AR885" s="1368">
        <v>0</v>
      </c>
      <c r="AS885" s="1369">
        <f t="shared" si="1286"/>
        <v>0</v>
      </c>
      <c r="AT885" s="1370">
        <v>0</v>
      </c>
      <c r="AU885" s="1371">
        <f t="shared" si="1287"/>
        <v>0</v>
      </c>
      <c r="AV885" s="1359">
        <f t="shared" si="1288"/>
        <v>0</v>
      </c>
      <c r="AW885" s="1372">
        <f t="shared" si="1289"/>
        <v>0</v>
      </c>
      <c r="AX885" s="1373">
        <f t="shared" si="1290"/>
        <v>0</v>
      </c>
      <c r="AY885" s="1374">
        <f t="shared" si="1291"/>
        <v>0</v>
      </c>
      <c r="AZ885" s="1375">
        <f t="shared" si="1292"/>
        <v>0</v>
      </c>
      <c r="BA885" s="1376">
        <f t="shared" si="1293"/>
        <v>0</v>
      </c>
      <c r="BB885" s="1391"/>
      <c r="BC885" s="1848"/>
      <c r="BD885" s="1820"/>
      <c r="BE885" s="1823"/>
      <c r="BF885" s="1826"/>
      <c r="BG885" s="1851"/>
    </row>
    <row r="886" spans="1:59" s="1378" customFormat="1" ht="38.25">
      <c r="A886" s="1347" t="str">
        <f>L875</f>
        <v>TriReme Medical, Inc.</v>
      </c>
      <c r="B886" s="1348" t="str">
        <f>N875</f>
        <v>ABD</v>
      </c>
      <c r="C886" s="1348">
        <f>Z875</f>
        <v>38</v>
      </c>
      <c r="D886" s="1349">
        <v>43070</v>
      </c>
      <c r="E886" s="1349"/>
      <c r="F886" s="1347" t="s">
        <v>72</v>
      </c>
      <c r="G886" s="1347" t="s">
        <v>85</v>
      </c>
      <c r="H886" s="1347" t="s">
        <v>72</v>
      </c>
      <c r="I886" s="1347" t="s">
        <v>72</v>
      </c>
      <c r="J886" s="1349" t="s">
        <v>4670</v>
      </c>
      <c r="K886" s="1349" t="s">
        <v>254</v>
      </c>
      <c r="L886" s="1350" t="s">
        <v>3056</v>
      </c>
      <c r="M886" s="1350" t="s">
        <v>4708</v>
      </c>
      <c r="N886" s="1390" t="s">
        <v>4709</v>
      </c>
      <c r="O886" s="1352" t="s">
        <v>4710</v>
      </c>
      <c r="P886" s="1352"/>
      <c r="Q886" s="1354"/>
      <c r="R886" s="1354"/>
      <c r="S886" s="1354"/>
      <c r="T886" s="1354"/>
      <c r="U886" s="1354"/>
      <c r="V886" s="1354"/>
      <c r="W886" s="1354"/>
      <c r="X886" s="1353">
        <v>43070</v>
      </c>
      <c r="Y886" s="1353">
        <v>43466</v>
      </c>
      <c r="Z886" s="1355"/>
      <c r="AA886" s="1355" t="s">
        <v>4674</v>
      </c>
      <c r="AB886" s="1356"/>
      <c r="AC886" s="1356"/>
      <c r="AD886" s="1356"/>
      <c r="AE886" s="1356"/>
      <c r="AF886" s="1357" t="str">
        <f t="shared" si="1295"/>
        <v/>
      </c>
      <c r="AG886" s="1380"/>
      <c r="AH886" s="1380"/>
      <c r="AI886" s="1381">
        <v>0</v>
      </c>
      <c r="AJ886" s="1382">
        <f>$AI886*$AG886</f>
        <v>0</v>
      </c>
      <c r="AK886" s="1383">
        <f t="shared" si="1296"/>
        <v>0</v>
      </c>
      <c r="AL886" s="1384">
        <v>0</v>
      </c>
      <c r="AM886" s="1363">
        <f t="shared" si="1283"/>
        <v>0</v>
      </c>
      <c r="AN886" s="1364">
        <v>0</v>
      </c>
      <c r="AO886" s="1365">
        <f t="shared" si="1284"/>
        <v>0</v>
      </c>
      <c r="AP886" s="1366">
        <v>0</v>
      </c>
      <c r="AQ886" s="1367">
        <f t="shared" si="1285"/>
        <v>0</v>
      </c>
      <c r="AR886" s="1368">
        <v>0</v>
      </c>
      <c r="AS886" s="1369">
        <f t="shared" si="1286"/>
        <v>0</v>
      </c>
      <c r="AT886" s="1370">
        <v>0</v>
      </c>
      <c r="AU886" s="1371">
        <f t="shared" si="1287"/>
        <v>0</v>
      </c>
      <c r="AV886" s="1359">
        <f t="shared" si="1288"/>
        <v>0</v>
      </c>
      <c r="AW886" s="1372">
        <f t="shared" si="1289"/>
        <v>0</v>
      </c>
      <c r="AX886" s="1373">
        <f t="shared" si="1290"/>
        <v>0</v>
      </c>
      <c r="AY886" s="1374">
        <f t="shared" si="1291"/>
        <v>0</v>
      </c>
      <c r="AZ886" s="1375">
        <f t="shared" si="1292"/>
        <v>0</v>
      </c>
      <c r="BA886" s="1376">
        <f t="shared" si="1293"/>
        <v>0</v>
      </c>
      <c r="BB886" s="1391"/>
      <c r="BC886" s="1848"/>
      <c r="BD886" s="1820"/>
      <c r="BE886" s="1823"/>
      <c r="BF886" s="1826"/>
      <c r="BG886" s="1851"/>
    </row>
    <row r="887" spans="1:59" s="1315" customFormat="1" ht="57" customHeight="1">
      <c r="A887" s="1277" t="str">
        <f t="shared" ref="A887:A904" si="1297">L$887</f>
        <v>Toolbox Genomics, Inc.</v>
      </c>
      <c r="B887" s="1316" t="str">
        <f t="shared" ref="B887:B904" si="1298">N$887</f>
        <v>HUB SD</v>
      </c>
      <c r="C887" s="1316">
        <f>Z887</f>
        <v>4</v>
      </c>
      <c r="D887" s="1317">
        <v>43221</v>
      </c>
      <c r="E887" s="1317"/>
      <c r="F887" s="1277" t="s">
        <v>72</v>
      </c>
      <c r="G887" s="1277" t="s">
        <v>72</v>
      </c>
      <c r="H887" s="1277" t="s">
        <v>72</v>
      </c>
      <c r="I887" s="1277" t="s">
        <v>4711</v>
      </c>
      <c r="J887" s="1317"/>
      <c r="K887" s="1317"/>
      <c r="L887" s="1318" t="s">
        <v>4314</v>
      </c>
      <c r="M887" s="1318"/>
      <c r="N887" s="1320" t="s">
        <v>4661</v>
      </c>
      <c r="O887" s="1321" t="s">
        <v>2473</v>
      </c>
      <c r="P887" s="1419"/>
      <c r="Q887" s="1322"/>
      <c r="R887" s="1322"/>
      <c r="S887" s="1322"/>
      <c r="T887" s="1322"/>
      <c r="U887" s="1322"/>
      <c r="V887" s="1322"/>
      <c r="W887" s="1322"/>
      <c r="X887" s="1317">
        <v>43221</v>
      </c>
      <c r="Y887" s="1317">
        <v>43466</v>
      </c>
      <c r="Z887" s="1316">
        <v>4</v>
      </c>
      <c r="AA887" s="1316" t="s">
        <v>5341</v>
      </c>
      <c r="AB887" s="1323">
        <f>SUM(AB888:AB904)</f>
        <v>75779</v>
      </c>
      <c r="AC887" s="1323">
        <f>SUM(AC888:AC904)</f>
        <v>0</v>
      </c>
      <c r="AD887" s="1323">
        <f>SUM(AD888:AD904)</f>
        <v>56505.840000000004</v>
      </c>
      <c r="AE887" s="1324">
        <f t="shared" si="1253"/>
        <v>-19273.159999999996</v>
      </c>
      <c r="AF887" s="1325">
        <f t="shared" si="1295"/>
        <v>-0.25433378640520454</v>
      </c>
      <c r="AG887" s="1326"/>
      <c r="AH887" s="1326">
        <f>SUM(AH888:AH904)</f>
        <v>59403.24</v>
      </c>
      <c r="AI887" s="1339"/>
      <c r="AJ887" s="1328">
        <f>SUM(AJ888:AJ904)</f>
        <v>425.54110000000003</v>
      </c>
      <c r="AK887" s="1328">
        <f>SUM(AK888:AK904)</f>
        <v>5106.4932000000008</v>
      </c>
      <c r="AL887" s="1329"/>
      <c r="AM887" s="1330">
        <f>SUM(AM888:AM904)</f>
        <v>244.67520000000002</v>
      </c>
      <c r="AN887" s="1331"/>
      <c r="AO887" s="1332">
        <f>SUM(AO888:AO904)</f>
        <v>0</v>
      </c>
      <c r="AP887" s="1333"/>
      <c r="AQ887" s="1334">
        <f>SUM(AQ888:AQ904)</f>
        <v>0</v>
      </c>
      <c r="AR887" s="1335"/>
      <c r="AS887" s="1336">
        <f>SUM(AS888:AS904)</f>
        <v>2852.8055999999997</v>
      </c>
      <c r="AT887" s="1337"/>
      <c r="AU887" s="1338">
        <f>SUM(AU888:AU904)</f>
        <v>1223.376</v>
      </c>
      <c r="AV887" s="1339"/>
      <c r="AW887" s="1340">
        <f>SUM(AW888:AW904)</f>
        <v>785.63639999999975</v>
      </c>
      <c r="AX887" s="1306"/>
      <c r="AY887" s="1307">
        <f>SUM(AW887+AS887+AU887)</f>
        <v>4861.8179999999993</v>
      </c>
      <c r="AZ887" s="1341"/>
      <c r="BA887" s="1309">
        <f>SUM(AY887+AQ887)</f>
        <v>4861.8179999999993</v>
      </c>
      <c r="BB887" s="1342">
        <f>(AW887+AU887)/(AK887-AM887)</f>
        <v>0.41322246122746659</v>
      </c>
      <c r="BC887" s="1343"/>
      <c r="BD887" s="1343"/>
      <c r="BE887" s="1344"/>
      <c r="BF887" s="1345" t="s">
        <v>5205</v>
      </c>
      <c r="BG887" s="1346"/>
    </row>
    <row r="888" spans="1:59" s="1378" customFormat="1" ht="76.5">
      <c r="A888" s="1347" t="str">
        <f t="shared" si="1297"/>
        <v>Toolbox Genomics, Inc.</v>
      </c>
      <c r="B888" s="1348" t="str">
        <f t="shared" si="1298"/>
        <v>HUB SD</v>
      </c>
      <c r="C888" s="1348">
        <f t="shared" ref="C888:C904" si="1299">Z$887</f>
        <v>4</v>
      </c>
      <c r="D888" s="1349">
        <f t="shared" ref="D888:D904" si="1300">D$887</f>
        <v>43221</v>
      </c>
      <c r="E888" s="1349"/>
      <c r="F888" s="1347" t="s">
        <v>85</v>
      </c>
      <c r="G888" s="1347" t="s">
        <v>85</v>
      </c>
      <c r="H888" s="1347" t="s">
        <v>85</v>
      </c>
      <c r="I888" s="1347" t="s">
        <v>85</v>
      </c>
      <c r="J888" s="1349"/>
      <c r="K888" s="1349" t="s">
        <v>254</v>
      </c>
      <c r="L888" s="1350" t="s">
        <v>2661</v>
      </c>
      <c r="M888" s="1350" t="s">
        <v>3647</v>
      </c>
      <c r="N888" s="1351" t="s">
        <v>5342</v>
      </c>
      <c r="O888" s="1352" t="s">
        <v>5343</v>
      </c>
      <c r="P888" s="1352" t="s">
        <v>4788</v>
      </c>
      <c r="Q888" s="1353" t="s">
        <v>303</v>
      </c>
      <c r="R888" s="1353" t="s">
        <v>3648</v>
      </c>
      <c r="S888" s="1353" t="s">
        <v>307</v>
      </c>
      <c r="T888" s="1353" t="s">
        <v>113</v>
      </c>
      <c r="U888" s="1354"/>
      <c r="V888" s="1354"/>
      <c r="W888" s="1354"/>
      <c r="X888" s="1353">
        <f t="shared" ref="X888:Y904" si="1301">X$887</f>
        <v>43221</v>
      </c>
      <c r="Y888" s="1353">
        <f t="shared" si="1301"/>
        <v>43466</v>
      </c>
      <c r="Z888" s="1355"/>
      <c r="AA888" s="1355" t="s">
        <v>4667</v>
      </c>
      <c r="AB888" s="1422">
        <v>64450</v>
      </c>
      <c r="AC888" s="1356"/>
      <c r="AD888" s="1422">
        <f>AH888</f>
        <v>48935.040000000001</v>
      </c>
      <c r="AE888" s="1422">
        <f t="shared" si="1253"/>
        <v>-15514.96</v>
      </c>
      <c r="AF888" s="1423">
        <f t="shared" si="1295"/>
        <v>-0.24072862684251356</v>
      </c>
      <c r="AG888" s="1358">
        <v>4077.92</v>
      </c>
      <c r="AH888" s="1358">
        <f t="shared" ref="AH888" si="1302">AG888*12</f>
        <v>48935.040000000001</v>
      </c>
      <c r="AI888" s="1359">
        <v>0.08</v>
      </c>
      <c r="AJ888" s="1360">
        <f t="shared" ref="AJ888:AJ902" si="1303">$AI888*$AG888</f>
        <v>326.23360000000002</v>
      </c>
      <c r="AK888" s="1361">
        <f t="shared" ref="AK888" si="1304">AI888*$AH888</f>
        <v>3914.8032000000003</v>
      </c>
      <c r="AL888" s="1362">
        <v>5.0000000000000001E-3</v>
      </c>
      <c r="AM888" s="1363">
        <f t="shared" ref="AM888:AM904" si="1305">AL888*$AH888</f>
        <v>244.67520000000002</v>
      </c>
      <c r="AN888" s="1364">
        <v>0</v>
      </c>
      <c r="AO888" s="1365">
        <f t="shared" ref="AO888:AO904" si="1306">AN888*$AH888</f>
        <v>0</v>
      </c>
      <c r="AP888" s="1366">
        <v>0</v>
      </c>
      <c r="AQ888" s="1367">
        <f t="shared" ref="AQ888:AQ904" si="1307">AP888*$AH888</f>
        <v>0</v>
      </c>
      <c r="AR888" s="1368">
        <v>0.04</v>
      </c>
      <c r="AS888" s="1369">
        <f t="shared" ref="AS888:AS904" si="1308">AR888*$AH888</f>
        <v>1957.4016000000001</v>
      </c>
      <c r="AT888" s="1370">
        <v>2.5000000000000001E-2</v>
      </c>
      <c r="AU888" s="1371">
        <f t="shared" ref="AU888:AU904" si="1309">AT888*$AH888</f>
        <v>1223.376</v>
      </c>
      <c r="AV888" s="1359">
        <f t="shared" ref="AV888:AV904" si="1310">AZ888-AR888-AT888-AP888</f>
        <v>9.999999999999995E-3</v>
      </c>
      <c r="AW888" s="1372">
        <f t="shared" ref="AW888:AW904" si="1311">AV888*$AH888</f>
        <v>489.35039999999975</v>
      </c>
      <c r="AX888" s="1373">
        <f t="shared" ref="AX888:AX904" si="1312">$AZ888-$AP888</f>
        <v>7.4999999999999997E-2</v>
      </c>
      <c r="AY888" s="1374">
        <f t="shared" ref="AY888:AY904" si="1313">AX888*$AH888</f>
        <v>3670.1280000000002</v>
      </c>
      <c r="AZ888" s="1375">
        <f t="shared" ref="AZ888:AZ904" si="1314">$AI888-$AL888-$AN888</f>
        <v>7.4999999999999997E-2</v>
      </c>
      <c r="BA888" s="1376">
        <f t="shared" ref="BA888:BA904" si="1315">AZ888*$AH888</f>
        <v>3670.1280000000002</v>
      </c>
      <c r="BB888" s="1391"/>
      <c r="BC888" s="1819" t="s">
        <v>4315</v>
      </c>
      <c r="BD888" s="1819" t="s">
        <v>5344</v>
      </c>
      <c r="BE888" s="1838" t="s">
        <v>5345</v>
      </c>
      <c r="BF888" s="1834" t="s">
        <v>4339</v>
      </c>
      <c r="BG888" s="1828">
        <v>811640884</v>
      </c>
    </row>
    <row r="889" spans="1:59" s="1378" customFormat="1" ht="38.25">
      <c r="A889" s="1347" t="str">
        <f t="shared" si="1297"/>
        <v>Toolbox Genomics, Inc.</v>
      </c>
      <c r="B889" s="1348" t="str">
        <f t="shared" si="1298"/>
        <v>HUB SD</v>
      </c>
      <c r="C889" s="1348">
        <f t="shared" si="1299"/>
        <v>4</v>
      </c>
      <c r="D889" s="1349">
        <f t="shared" si="1300"/>
        <v>43221</v>
      </c>
      <c r="E889" s="1349"/>
      <c r="F889" s="1347" t="s">
        <v>72</v>
      </c>
      <c r="G889" s="1347" t="s">
        <v>85</v>
      </c>
      <c r="H889" s="1347" t="s">
        <v>72</v>
      </c>
      <c r="I889" s="1347" t="s">
        <v>72</v>
      </c>
      <c r="J889" s="1349" t="s">
        <v>4670</v>
      </c>
      <c r="K889" s="1349" t="s">
        <v>254</v>
      </c>
      <c r="L889" s="1350" t="s">
        <v>4671</v>
      </c>
      <c r="M889" s="1350" t="s">
        <v>3649</v>
      </c>
      <c r="N889" s="1379" t="s">
        <v>4820</v>
      </c>
      <c r="O889" s="1352" t="s">
        <v>5346</v>
      </c>
      <c r="P889" s="1388"/>
      <c r="Q889" s="1354"/>
      <c r="R889" s="1354"/>
      <c r="S889" s="1354"/>
      <c r="T889" s="1354"/>
      <c r="U889" s="1354"/>
      <c r="V889" s="1354"/>
      <c r="W889" s="1354"/>
      <c r="X889" s="1353">
        <f t="shared" si="1301"/>
        <v>43221</v>
      </c>
      <c r="Y889" s="1353">
        <f t="shared" si="1301"/>
        <v>43466</v>
      </c>
      <c r="Z889" s="1355"/>
      <c r="AA889" s="1355" t="s">
        <v>4674</v>
      </c>
      <c r="AB889" s="1356"/>
      <c r="AC889" s="1356"/>
      <c r="AD889" s="1356"/>
      <c r="AE889" s="1356"/>
      <c r="AF889" s="1357" t="str">
        <f t="shared" si="1295"/>
        <v/>
      </c>
      <c r="AG889" s="1380"/>
      <c r="AH889" s="1380"/>
      <c r="AI889" s="1381">
        <v>0</v>
      </c>
      <c r="AJ889" s="1382">
        <f t="shared" si="1303"/>
        <v>0</v>
      </c>
      <c r="AK889" s="1383">
        <f>AI889*$AH889</f>
        <v>0</v>
      </c>
      <c r="AL889" s="1384">
        <v>0</v>
      </c>
      <c r="AM889" s="1363">
        <f t="shared" si="1305"/>
        <v>0</v>
      </c>
      <c r="AN889" s="1364">
        <v>0</v>
      </c>
      <c r="AO889" s="1365">
        <f t="shared" si="1306"/>
        <v>0</v>
      </c>
      <c r="AP889" s="1366">
        <v>0</v>
      </c>
      <c r="AQ889" s="1367">
        <f t="shared" si="1307"/>
        <v>0</v>
      </c>
      <c r="AR889" s="1368">
        <v>0</v>
      </c>
      <c r="AS889" s="1369">
        <f t="shared" si="1308"/>
        <v>0</v>
      </c>
      <c r="AT889" s="1370">
        <v>0</v>
      </c>
      <c r="AU889" s="1371">
        <f t="shared" si="1309"/>
        <v>0</v>
      </c>
      <c r="AV889" s="1359">
        <f t="shared" si="1310"/>
        <v>0</v>
      </c>
      <c r="AW889" s="1372">
        <f t="shared" si="1311"/>
        <v>0</v>
      </c>
      <c r="AX889" s="1373">
        <f t="shared" si="1312"/>
        <v>0</v>
      </c>
      <c r="AY889" s="1374">
        <f t="shared" si="1313"/>
        <v>0</v>
      </c>
      <c r="AZ889" s="1375">
        <f t="shared" si="1314"/>
        <v>0</v>
      </c>
      <c r="BA889" s="1376">
        <f t="shared" si="1315"/>
        <v>0</v>
      </c>
      <c r="BB889" s="1391"/>
      <c r="BC889" s="1820"/>
      <c r="BD889" s="1820"/>
      <c r="BE889" s="1839"/>
      <c r="BF889" s="1834"/>
      <c r="BG889" s="1829"/>
    </row>
    <row r="890" spans="1:59" s="1378" customFormat="1" ht="38.25">
      <c r="A890" s="1347" t="str">
        <f t="shared" si="1297"/>
        <v>Toolbox Genomics, Inc.</v>
      </c>
      <c r="B890" s="1348" t="str">
        <f t="shared" si="1298"/>
        <v>HUB SD</v>
      </c>
      <c r="C890" s="1348">
        <f t="shared" si="1299"/>
        <v>4</v>
      </c>
      <c r="D890" s="1349">
        <f t="shared" si="1300"/>
        <v>43221</v>
      </c>
      <c r="E890" s="1349"/>
      <c r="F890" s="1347" t="s">
        <v>113</v>
      </c>
      <c r="G890" s="1347" t="s">
        <v>85</v>
      </c>
      <c r="H890" s="1347" t="s">
        <v>85</v>
      </c>
      <c r="I890" s="1347" t="s">
        <v>85</v>
      </c>
      <c r="J890" s="1349"/>
      <c r="K890" s="1349" t="s">
        <v>254</v>
      </c>
      <c r="L890" s="1350" t="s">
        <v>4675</v>
      </c>
      <c r="M890" s="1350" t="s">
        <v>3650</v>
      </c>
      <c r="N890" s="1385" t="s">
        <v>5208</v>
      </c>
      <c r="O890" s="1352" t="s">
        <v>4677</v>
      </c>
      <c r="P890" s="1388"/>
      <c r="Q890" s="1354"/>
      <c r="R890" s="1354"/>
      <c r="S890" s="1354"/>
      <c r="T890" s="1354"/>
      <c r="U890" s="1353" t="s">
        <v>4959</v>
      </c>
      <c r="V890" s="1353" t="s">
        <v>2495</v>
      </c>
      <c r="W890" s="1354"/>
      <c r="X890" s="1353">
        <f t="shared" si="1301"/>
        <v>43221</v>
      </c>
      <c r="Y890" s="1353">
        <f t="shared" si="1301"/>
        <v>43466</v>
      </c>
      <c r="Z890" s="1355"/>
      <c r="AA890" s="1355" t="s">
        <v>4679</v>
      </c>
      <c r="AB890" s="1422">
        <v>9187</v>
      </c>
      <c r="AC890" s="1356"/>
      <c r="AD890" s="1422">
        <f>AH890</f>
        <v>6774.48</v>
      </c>
      <c r="AE890" s="1422">
        <f t="shared" si="1253"/>
        <v>-2412.5200000000004</v>
      </c>
      <c r="AF890" s="1423">
        <f t="shared" si="1295"/>
        <v>-0.26260150212256456</v>
      </c>
      <c r="AG890" s="1358">
        <v>564.54</v>
      </c>
      <c r="AH890" s="1358">
        <f t="shared" ref="AH890:AH898" si="1316">AG890*12</f>
        <v>6774.48</v>
      </c>
      <c r="AI890" s="1359">
        <v>0.1</v>
      </c>
      <c r="AJ890" s="1360">
        <f t="shared" si="1303"/>
        <v>56.454000000000001</v>
      </c>
      <c r="AK890" s="1361">
        <f t="shared" ref="AK890:AK904" si="1317">AI890*$AH890</f>
        <v>677.44799999999998</v>
      </c>
      <c r="AL890" s="1384">
        <v>0</v>
      </c>
      <c r="AM890" s="1363">
        <f t="shared" si="1305"/>
        <v>0</v>
      </c>
      <c r="AN890" s="1364">
        <v>0</v>
      </c>
      <c r="AO890" s="1365">
        <f t="shared" si="1306"/>
        <v>0</v>
      </c>
      <c r="AP890" s="1366">
        <v>0</v>
      </c>
      <c r="AQ890" s="1367">
        <f t="shared" si="1307"/>
        <v>0</v>
      </c>
      <c r="AR890" s="1368">
        <v>0.08</v>
      </c>
      <c r="AS890" s="1369">
        <f t="shared" si="1308"/>
        <v>541.95839999999998</v>
      </c>
      <c r="AT890" s="1370">
        <v>0</v>
      </c>
      <c r="AU890" s="1371">
        <f t="shared" si="1309"/>
        <v>0</v>
      </c>
      <c r="AV890" s="1359">
        <f t="shared" si="1310"/>
        <v>2.0000000000000004E-2</v>
      </c>
      <c r="AW890" s="1372">
        <f t="shared" si="1311"/>
        <v>135.48960000000002</v>
      </c>
      <c r="AX890" s="1373">
        <f t="shared" si="1312"/>
        <v>0.1</v>
      </c>
      <c r="AY890" s="1374">
        <f t="shared" si="1313"/>
        <v>677.44799999999998</v>
      </c>
      <c r="AZ890" s="1375">
        <f t="shared" si="1314"/>
        <v>0.1</v>
      </c>
      <c r="BA890" s="1376">
        <f t="shared" si="1315"/>
        <v>677.44799999999998</v>
      </c>
      <c r="BB890" s="1391"/>
      <c r="BC890" s="1820"/>
      <c r="BD890" s="1820"/>
      <c r="BE890" s="1839"/>
      <c r="BF890" s="1834"/>
      <c r="BG890" s="1829"/>
    </row>
    <row r="891" spans="1:59" s="1378" customFormat="1" ht="38.25">
      <c r="A891" s="1347" t="str">
        <f t="shared" si="1297"/>
        <v>Toolbox Genomics, Inc.</v>
      </c>
      <c r="B891" s="1348" t="str">
        <f t="shared" si="1298"/>
        <v>HUB SD</v>
      </c>
      <c r="C891" s="1348">
        <f t="shared" si="1299"/>
        <v>4</v>
      </c>
      <c r="D891" s="1349">
        <f t="shared" si="1300"/>
        <v>43221</v>
      </c>
      <c r="E891" s="1349"/>
      <c r="F891" s="1347" t="s">
        <v>113</v>
      </c>
      <c r="G891" s="1347" t="s">
        <v>85</v>
      </c>
      <c r="H891" s="1347" t="s">
        <v>85</v>
      </c>
      <c r="I891" s="1347" t="s">
        <v>85</v>
      </c>
      <c r="J891" s="1349"/>
      <c r="K891" s="1349" t="s">
        <v>254</v>
      </c>
      <c r="L891" s="1350" t="s">
        <v>4675</v>
      </c>
      <c r="M891" s="1350" t="s">
        <v>3651</v>
      </c>
      <c r="N891" s="1351" t="s">
        <v>4856</v>
      </c>
      <c r="O891" s="1352" t="s">
        <v>4681</v>
      </c>
      <c r="P891" s="1388"/>
      <c r="Q891" s="1354"/>
      <c r="R891" s="1354"/>
      <c r="S891" s="1354"/>
      <c r="T891" s="1354"/>
      <c r="U891" s="1354"/>
      <c r="V891" s="1354"/>
      <c r="W891" s="1353" t="s">
        <v>2492</v>
      </c>
      <c r="X891" s="1353">
        <f t="shared" si="1301"/>
        <v>43221</v>
      </c>
      <c r="Y891" s="1353">
        <f t="shared" si="1301"/>
        <v>43466</v>
      </c>
      <c r="Z891" s="1355"/>
      <c r="AA891" s="1355" t="s">
        <v>4679</v>
      </c>
      <c r="AB891" s="1422">
        <v>2142</v>
      </c>
      <c r="AC891" s="1356"/>
      <c r="AD891" s="1422">
        <f>AH891</f>
        <v>796.31999999999994</v>
      </c>
      <c r="AE891" s="1422">
        <f t="shared" si="1253"/>
        <v>-1345.68</v>
      </c>
      <c r="AF891" s="1423">
        <f t="shared" si="1295"/>
        <v>-0.62823529411764711</v>
      </c>
      <c r="AG891" s="1358">
        <v>66.36</v>
      </c>
      <c r="AH891" s="1358">
        <f t="shared" si="1316"/>
        <v>796.31999999999994</v>
      </c>
      <c r="AI891" s="1359">
        <v>0.1</v>
      </c>
      <c r="AJ891" s="1360">
        <f t="shared" si="1303"/>
        <v>6.6360000000000001</v>
      </c>
      <c r="AK891" s="1361">
        <f t="shared" si="1317"/>
        <v>79.632000000000005</v>
      </c>
      <c r="AL891" s="1384">
        <v>0</v>
      </c>
      <c r="AM891" s="1363">
        <f t="shared" si="1305"/>
        <v>0</v>
      </c>
      <c r="AN891" s="1364">
        <v>0</v>
      </c>
      <c r="AO891" s="1365">
        <f t="shared" si="1306"/>
        <v>0</v>
      </c>
      <c r="AP891" s="1366">
        <v>0</v>
      </c>
      <c r="AQ891" s="1367">
        <f t="shared" si="1307"/>
        <v>0</v>
      </c>
      <c r="AR891" s="1368">
        <v>0.08</v>
      </c>
      <c r="AS891" s="1369">
        <f t="shared" si="1308"/>
        <v>63.705599999999997</v>
      </c>
      <c r="AT891" s="1370">
        <v>0</v>
      </c>
      <c r="AU891" s="1371">
        <f t="shared" si="1309"/>
        <v>0</v>
      </c>
      <c r="AV891" s="1359">
        <f t="shared" si="1310"/>
        <v>2.0000000000000004E-2</v>
      </c>
      <c r="AW891" s="1372">
        <f t="shared" si="1311"/>
        <v>15.926400000000001</v>
      </c>
      <c r="AX891" s="1373">
        <f t="shared" si="1312"/>
        <v>0.1</v>
      </c>
      <c r="AY891" s="1374">
        <f t="shared" si="1313"/>
        <v>79.632000000000005</v>
      </c>
      <c r="AZ891" s="1375">
        <f t="shared" si="1314"/>
        <v>0.1</v>
      </c>
      <c r="BA891" s="1376">
        <f t="shared" si="1315"/>
        <v>79.632000000000005</v>
      </c>
      <c r="BB891" s="1391"/>
      <c r="BC891" s="1820"/>
      <c r="BD891" s="1820"/>
      <c r="BE891" s="1839"/>
      <c r="BF891" s="1834"/>
      <c r="BG891" s="1829"/>
    </row>
    <row r="892" spans="1:59" s="1378" customFormat="1" ht="38.25">
      <c r="A892" s="1347" t="str">
        <f t="shared" si="1297"/>
        <v>Toolbox Genomics, Inc.</v>
      </c>
      <c r="B892" s="1348" t="str">
        <f t="shared" si="1298"/>
        <v>HUB SD</v>
      </c>
      <c r="C892" s="1348">
        <f t="shared" si="1299"/>
        <v>4</v>
      </c>
      <c r="D892" s="1349">
        <f t="shared" si="1300"/>
        <v>43221</v>
      </c>
      <c r="E892" s="1349"/>
      <c r="F892" s="1347" t="s">
        <v>113</v>
      </c>
      <c r="G892" s="1347" t="s">
        <v>85</v>
      </c>
      <c r="H892" s="1347" t="s">
        <v>85</v>
      </c>
      <c r="I892" s="1347" t="s">
        <v>113</v>
      </c>
      <c r="J892" s="1349"/>
      <c r="K892" s="1349" t="s">
        <v>254</v>
      </c>
      <c r="L892" s="1350" t="s">
        <v>4682</v>
      </c>
      <c r="M892" s="1350" t="s">
        <v>4683</v>
      </c>
      <c r="N892" s="1386" t="s">
        <v>1249</v>
      </c>
      <c r="O892" s="1352" t="s">
        <v>4684</v>
      </c>
      <c r="P892" s="1421"/>
      <c r="Q892" s="1354"/>
      <c r="R892" s="1354"/>
      <c r="S892" s="1354"/>
      <c r="T892" s="1354"/>
      <c r="U892" s="1354"/>
      <c r="V892" s="1354"/>
      <c r="W892" s="1354"/>
      <c r="X892" s="1353">
        <f t="shared" si="1301"/>
        <v>43221</v>
      </c>
      <c r="Y892" s="1353">
        <f t="shared" si="1301"/>
        <v>43466</v>
      </c>
      <c r="Z892" s="1355"/>
      <c r="AA892" s="1355" t="s">
        <v>4685</v>
      </c>
      <c r="AB892" s="1356"/>
      <c r="AC892" s="1356"/>
      <c r="AD892" s="1356"/>
      <c r="AE892" s="1356"/>
      <c r="AF892" s="1357"/>
      <c r="AG892" s="1358">
        <v>72.62</v>
      </c>
      <c r="AH892" s="1358">
        <f t="shared" si="1316"/>
        <v>871.44</v>
      </c>
      <c r="AI892" s="1359">
        <v>0.15</v>
      </c>
      <c r="AJ892" s="1360">
        <f t="shared" si="1303"/>
        <v>10.893000000000001</v>
      </c>
      <c r="AK892" s="1361">
        <f t="shared" si="1317"/>
        <v>130.71600000000001</v>
      </c>
      <c r="AL892" s="1384">
        <v>0</v>
      </c>
      <c r="AM892" s="1363">
        <f t="shared" si="1305"/>
        <v>0</v>
      </c>
      <c r="AN892" s="1364">
        <v>0</v>
      </c>
      <c r="AO892" s="1365">
        <f t="shared" si="1306"/>
        <v>0</v>
      </c>
      <c r="AP892" s="1366">
        <v>0</v>
      </c>
      <c r="AQ892" s="1367">
        <f t="shared" si="1307"/>
        <v>0</v>
      </c>
      <c r="AR892" s="1368">
        <v>0.1</v>
      </c>
      <c r="AS892" s="1369">
        <f t="shared" si="1308"/>
        <v>87.144000000000005</v>
      </c>
      <c r="AT892" s="1370">
        <v>0</v>
      </c>
      <c r="AU892" s="1371">
        <f t="shared" si="1309"/>
        <v>0</v>
      </c>
      <c r="AV892" s="1359">
        <f t="shared" si="1310"/>
        <v>4.9999999999999989E-2</v>
      </c>
      <c r="AW892" s="1372">
        <f t="shared" si="1311"/>
        <v>43.571999999999996</v>
      </c>
      <c r="AX892" s="1373">
        <f t="shared" si="1312"/>
        <v>0.15</v>
      </c>
      <c r="AY892" s="1374">
        <f t="shared" si="1313"/>
        <v>130.71600000000001</v>
      </c>
      <c r="AZ892" s="1375">
        <f t="shared" si="1314"/>
        <v>0.15</v>
      </c>
      <c r="BA892" s="1376">
        <f t="shared" si="1315"/>
        <v>130.71600000000001</v>
      </c>
      <c r="BB892" s="1391"/>
      <c r="BC892" s="1820"/>
      <c r="BD892" s="1820"/>
      <c r="BE892" s="1839"/>
      <c r="BF892" s="1834"/>
      <c r="BG892" s="1829"/>
    </row>
    <row r="893" spans="1:59" s="1378" customFormat="1" ht="38.25">
      <c r="A893" s="1347" t="str">
        <f t="shared" si="1297"/>
        <v>Toolbox Genomics, Inc.</v>
      </c>
      <c r="B893" s="1348" t="str">
        <f t="shared" si="1298"/>
        <v>HUB SD</v>
      </c>
      <c r="C893" s="1348">
        <f t="shared" si="1299"/>
        <v>4</v>
      </c>
      <c r="D893" s="1349">
        <f t="shared" si="1300"/>
        <v>43221</v>
      </c>
      <c r="E893" s="1349"/>
      <c r="F893" s="1347" t="s">
        <v>113</v>
      </c>
      <c r="G893" s="1347" t="s">
        <v>85</v>
      </c>
      <c r="H893" s="1347" t="s">
        <v>85</v>
      </c>
      <c r="I893" s="1347" t="s">
        <v>113</v>
      </c>
      <c r="J893" s="1349"/>
      <c r="K893" s="1349" t="s">
        <v>254</v>
      </c>
      <c r="L893" s="1350" t="s">
        <v>4682</v>
      </c>
      <c r="M893" s="1350" t="s">
        <v>4686</v>
      </c>
      <c r="N893" s="1386" t="s">
        <v>60</v>
      </c>
      <c r="O893" s="1352" t="s">
        <v>4687</v>
      </c>
      <c r="P893" s="1421"/>
      <c r="Q893" s="1354"/>
      <c r="R893" s="1354"/>
      <c r="S893" s="1354"/>
      <c r="T893" s="1354"/>
      <c r="U893" s="1354"/>
      <c r="V893" s="1354"/>
      <c r="W893" s="1354"/>
      <c r="X893" s="1353">
        <f t="shared" si="1301"/>
        <v>43221</v>
      </c>
      <c r="Y893" s="1353">
        <f t="shared" si="1301"/>
        <v>43466</v>
      </c>
      <c r="Z893" s="1355"/>
      <c r="AA893" s="1355" t="s">
        <v>4685</v>
      </c>
      <c r="AB893" s="1356"/>
      <c r="AC893" s="1356"/>
      <c r="AD893" s="1356"/>
      <c r="AE893" s="1356"/>
      <c r="AF893" s="1357"/>
      <c r="AG893" s="1358">
        <v>31.96</v>
      </c>
      <c r="AH893" s="1358">
        <f t="shared" si="1316"/>
        <v>383.52</v>
      </c>
      <c r="AI893" s="1359">
        <v>0.15</v>
      </c>
      <c r="AJ893" s="1360">
        <f t="shared" si="1303"/>
        <v>4.7939999999999996</v>
      </c>
      <c r="AK893" s="1361">
        <f t="shared" si="1317"/>
        <v>57.527999999999999</v>
      </c>
      <c r="AL893" s="1384">
        <v>0</v>
      </c>
      <c r="AM893" s="1363">
        <f t="shared" si="1305"/>
        <v>0</v>
      </c>
      <c r="AN893" s="1364">
        <v>0</v>
      </c>
      <c r="AO893" s="1365">
        <f t="shared" si="1306"/>
        <v>0</v>
      </c>
      <c r="AP893" s="1366">
        <v>0</v>
      </c>
      <c r="AQ893" s="1367">
        <f t="shared" si="1307"/>
        <v>0</v>
      </c>
      <c r="AR893" s="1368">
        <v>0.1</v>
      </c>
      <c r="AS893" s="1369">
        <f t="shared" si="1308"/>
        <v>38.351999999999997</v>
      </c>
      <c r="AT893" s="1370">
        <v>0</v>
      </c>
      <c r="AU893" s="1371">
        <f t="shared" si="1309"/>
        <v>0</v>
      </c>
      <c r="AV893" s="1359">
        <f t="shared" si="1310"/>
        <v>4.9999999999999989E-2</v>
      </c>
      <c r="AW893" s="1372">
        <f t="shared" si="1311"/>
        <v>19.175999999999995</v>
      </c>
      <c r="AX893" s="1373">
        <f t="shared" si="1312"/>
        <v>0.15</v>
      </c>
      <c r="AY893" s="1374">
        <f t="shared" si="1313"/>
        <v>57.527999999999999</v>
      </c>
      <c r="AZ893" s="1375">
        <f t="shared" si="1314"/>
        <v>0.15</v>
      </c>
      <c r="BA893" s="1376">
        <f t="shared" si="1315"/>
        <v>57.527999999999999</v>
      </c>
      <c r="BB893" s="1391"/>
      <c r="BC893" s="1820"/>
      <c r="BD893" s="1820"/>
      <c r="BE893" s="1839"/>
      <c r="BF893" s="1834"/>
      <c r="BG893" s="1829"/>
    </row>
    <row r="894" spans="1:59" s="1378" customFormat="1" ht="38.25">
      <c r="A894" s="1347" t="str">
        <f t="shared" si="1297"/>
        <v>Toolbox Genomics, Inc.</v>
      </c>
      <c r="B894" s="1348" t="str">
        <f t="shared" si="1298"/>
        <v>HUB SD</v>
      </c>
      <c r="C894" s="1348">
        <f t="shared" si="1299"/>
        <v>4</v>
      </c>
      <c r="D894" s="1349">
        <f t="shared" si="1300"/>
        <v>43221</v>
      </c>
      <c r="E894" s="1349"/>
      <c r="F894" s="1347" t="s">
        <v>113</v>
      </c>
      <c r="G894" s="1347" t="s">
        <v>85</v>
      </c>
      <c r="H894" s="1347" t="s">
        <v>85</v>
      </c>
      <c r="I894" s="1347" t="s">
        <v>113</v>
      </c>
      <c r="J894" s="1349"/>
      <c r="K894" s="1349" t="s">
        <v>254</v>
      </c>
      <c r="L894" s="1350" t="s">
        <v>4682</v>
      </c>
      <c r="M894" s="1350" t="s">
        <v>62</v>
      </c>
      <c r="N894" s="1351" t="s">
        <v>81</v>
      </c>
      <c r="O894" s="1352" t="s">
        <v>4688</v>
      </c>
      <c r="P894" s="1388"/>
      <c r="Q894" s="1354"/>
      <c r="R894" s="1354"/>
      <c r="S894" s="1354"/>
      <c r="T894" s="1354"/>
      <c r="U894" s="1354"/>
      <c r="V894" s="1354"/>
      <c r="W894" s="1354"/>
      <c r="X894" s="1353">
        <f t="shared" si="1301"/>
        <v>43221</v>
      </c>
      <c r="Y894" s="1353">
        <f t="shared" si="1301"/>
        <v>43466</v>
      </c>
      <c r="Z894" s="1355"/>
      <c r="AA894" s="1355" t="s">
        <v>4685</v>
      </c>
      <c r="AB894" s="1356"/>
      <c r="AC894" s="1356"/>
      <c r="AD894" s="1356"/>
      <c r="AE894" s="1356"/>
      <c r="AF894" s="1357"/>
      <c r="AG894" s="1358">
        <v>1.32</v>
      </c>
      <c r="AH894" s="1358">
        <f t="shared" si="1316"/>
        <v>15.84</v>
      </c>
      <c r="AI894" s="1359">
        <v>0.15</v>
      </c>
      <c r="AJ894" s="1360">
        <f t="shared" si="1303"/>
        <v>0.19800000000000001</v>
      </c>
      <c r="AK894" s="1361">
        <f t="shared" si="1317"/>
        <v>2.3759999999999999</v>
      </c>
      <c r="AL894" s="1384">
        <v>0</v>
      </c>
      <c r="AM894" s="1363">
        <f t="shared" si="1305"/>
        <v>0</v>
      </c>
      <c r="AN894" s="1364">
        <v>0</v>
      </c>
      <c r="AO894" s="1365">
        <f t="shared" si="1306"/>
        <v>0</v>
      </c>
      <c r="AP894" s="1366">
        <v>0</v>
      </c>
      <c r="AQ894" s="1367">
        <f t="shared" si="1307"/>
        <v>0</v>
      </c>
      <c r="AR894" s="1368">
        <v>0.1</v>
      </c>
      <c r="AS894" s="1369">
        <f t="shared" si="1308"/>
        <v>1.5840000000000001</v>
      </c>
      <c r="AT894" s="1370">
        <v>0</v>
      </c>
      <c r="AU894" s="1371">
        <f t="shared" si="1309"/>
        <v>0</v>
      </c>
      <c r="AV894" s="1359">
        <f t="shared" si="1310"/>
        <v>4.9999999999999989E-2</v>
      </c>
      <c r="AW894" s="1372">
        <f t="shared" si="1311"/>
        <v>0.79199999999999982</v>
      </c>
      <c r="AX894" s="1373">
        <f t="shared" si="1312"/>
        <v>0.15</v>
      </c>
      <c r="AY894" s="1374">
        <f t="shared" si="1313"/>
        <v>2.3759999999999999</v>
      </c>
      <c r="AZ894" s="1375">
        <f t="shared" si="1314"/>
        <v>0.15</v>
      </c>
      <c r="BA894" s="1376">
        <f t="shared" si="1315"/>
        <v>2.3759999999999999</v>
      </c>
      <c r="BB894" s="1391"/>
      <c r="BC894" s="1820"/>
      <c r="BD894" s="1820"/>
      <c r="BE894" s="1839"/>
      <c r="BF894" s="1834"/>
      <c r="BG894" s="1829"/>
    </row>
    <row r="895" spans="1:59" s="1378" customFormat="1" ht="38.25">
      <c r="A895" s="1347" t="str">
        <f t="shared" si="1297"/>
        <v>Toolbox Genomics, Inc.</v>
      </c>
      <c r="B895" s="1348" t="str">
        <f t="shared" si="1298"/>
        <v>HUB SD</v>
      </c>
      <c r="C895" s="1348">
        <f t="shared" si="1299"/>
        <v>4</v>
      </c>
      <c r="D895" s="1349">
        <f t="shared" si="1300"/>
        <v>43221</v>
      </c>
      <c r="E895" s="1349"/>
      <c r="F895" s="1347" t="s">
        <v>113</v>
      </c>
      <c r="G895" s="1347" t="s">
        <v>85</v>
      </c>
      <c r="H895" s="1347" t="s">
        <v>85</v>
      </c>
      <c r="I895" s="1347" t="s">
        <v>113</v>
      </c>
      <c r="J895" s="1349"/>
      <c r="K895" s="1349" t="s">
        <v>254</v>
      </c>
      <c r="L895" s="1350" t="s">
        <v>4682</v>
      </c>
      <c r="M895" s="1350" t="s">
        <v>67</v>
      </c>
      <c r="N895" s="1351" t="s">
        <v>82</v>
      </c>
      <c r="O895" s="1352" t="s">
        <v>4689</v>
      </c>
      <c r="P895" s="1388"/>
      <c r="Q895" s="1354"/>
      <c r="R895" s="1354"/>
      <c r="S895" s="1354"/>
      <c r="T895" s="1354"/>
      <c r="U895" s="1354"/>
      <c r="V895" s="1354"/>
      <c r="W895" s="1354"/>
      <c r="X895" s="1353">
        <f t="shared" si="1301"/>
        <v>43221</v>
      </c>
      <c r="Y895" s="1353">
        <f t="shared" si="1301"/>
        <v>43466</v>
      </c>
      <c r="Z895" s="1355"/>
      <c r="AA895" s="1355" t="s">
        <v>4685</v>
      </c>
      <c r="AB895" s="1356"/>
      <c r="AC895" s="1356"/>
      <c r="AD895" s="1356"/>
      <c r="AE895" s="1356"/>
      <c r="AF895" s="1357"/>
      <c r="AG895" s="1358">
        <v>132.71</v>
      </c>
      <c r="AH895" s="1358">
        <f t="shared" si="1316"/>
        <v>1592.52</v>
      </c>
      <c r="AI895" s="1359">
        <v>0.15</v>
      </c>
      <c r="AJ895" s="1360">
        <f t="shared" si="1303"/>
        <v>19.906500000000001</v>
      </c>
      <c r="AK895" s="1361">
        <f t="shared" si="1317"/>
        <v>238.87799999999999</v>
      </c>
      <c r="AL895" s="1384">
        <v>0</v>
      </c>
      <c r="AM895" s="1363">
        <f t="shared" si="1305"/>
        <v>0</v>
      </c>
      <c r="AN895" s="1364">
        <v>0</v>
      </c>
      <c r="AO895" s="1365">
        <f t="shared" si="1306"/>
        <v>0</v>
      </c>
      <c r="AP895" s="1366">
        <v>0</v>
      </c>
      <c r="AQ895" s="1367">
        <f t="shared" si="1307"/>
        <v>0</v>
      </c>
      <c r="AR895" s="1368">
        <v>0.1</v>
      </c>
      <c r="AS895" s="1369">
        <f t="shared" si="1308"/>
        <v>159.25200000000001</v>
      </c>
      <c r="AT895" s="1370">
        <v>0</v>
      </c>
      <c r="AU895" s="1371">
        <f t="shared" si="1309"/>
        <v>0</v>
      </c>
      <c r="AV895" s="1359">
        <f t="shared" si="1310"/>
        <v>4.9999999999999989E-2</v>
      </c>
      <c r="AW895" s="1372">
        <f t="shared" si="1311"/>
        <v>79.625999999999976</v>
      </c>
      <c r="AX895" s="1373">
        <f t="shared" si="1312"/>
        <v>0.15</v>
      </c>
      <c r="AY895" s="1374">
        <f t="shared" si="1313"/>
        <v>238.87799999999999</v>
      </c>
      <c r="AZ895" s="1375">
        <f t="shared" si="1314"/>
        <v>0.15</v>
      </c>
      <c r="BA895" s="1376">
        <f t="shared" si="1315"/>
        <v>238.87799999999999</v>
      </c>
      <c r="BB895" s="1391"/>
      <c r="BC895" s="1820"/>
      <c r="BD895" s="1820"/>
      <c r="BE895" s="1839"/>
      <c r="BF895" s="1834"/>
      <c r="BG895" s="1829"/>
    </row>
    <row r="896" spans="1:59" s="1378" customFormat="1" ht="38.25">
      <c r="A896" s="1347" t="str">
        <f t="shared" si="1297"/>
        <v>Toolbox Genomics, Inc.</v>
      </c>
      <c r="B896" s="1348" t="str">
        <f t="shared" si="1298"/>
        <v>HUB SD</v>
      </c>
      <c r="C896" s="1348">
        <f t="shared" si="1299"/>
        <v>4</v>
      </c>
      <c r="D896" s="1349">
        <f t="shared" si="1300"/>
        <v>43221</v>
      </c>
      <c r="E896" s="1349"/>
      <c r="F896" s="1347" t="s">
        <v>113</v>
      </c>
      <c r="G896" s="1347" t="s">
        <v>85</v>
      </c>
      <c r="H896" s="1347" t="s">
        <v>85</v>
      </c>
      <c r="I896" s="1347" t="s">
        <v>113</v>
      </c>
      <c r="J896" s="1349" t="s">
        <v>4690</v>
      </c>
      <c r="K896" s="1349" t="s">
        <v>254</v>
      </c>
      <c r="L896" s="1350" t="s">
        <v>4682</v>
      </c>
      <c r="M896" s="1350" t="s">
        <v>4691</v>
      </c>
      <c r="N896" s="1351" t="s">
        <v>94</v>
      </c>
      <c r="O896" s="1352" t="s">
        <v>4692</v>
      </c>
      <c r="P896" s="1388"/>
      <c r="Q896" s="1354"/>
      <c r="R896" s="1354"/>
      <c r="S896" s="1354"/>
      <c r="T896" s="1354"/>
      <c r="U896" s="1354"/>
      <c r="V896" s="1354"/>
      <c r="W896" s="1354"/>
      <c r="X896" s="1353">
        <f t="shared" si="1301"/>
        <v>43221</v>
      </c>
      <c r="Y896" s="1353">
        <f t="shared" si="1301"/>
        <v>43466</v>
      </c>
      <c r="Z896" s="1355"/>
      <c r="AA896" s="1355" t="s">
        <v>4685</v>
      </c>
      <c r="AB896" s="1356"/>
      <c r="AC896" s="1356"/>
      <c r="AD896" s="1356"/>
      <c r="AE896" s="1356"/>
      <c r="AF896" s="1357"/>
      <c r="AG896" s="1358">
        <v>0</v>
      </c>
      <c r="AH896" s="1426">
        <f t="shared" si="1316"/>
        <v>0</v>
      </c>
      <c r="AI896" s="1359">
        <v>0.15</v>
      </c>
      <c r="AJ896" s="1360">
        <f t="shared" si="1303"/>
        <v>0</v>
      </c>
      <c r="AK896" s="1361">
        <f t="shared" si="1317"/>
        <v>0</v>
      </c>
      <c r="AL896" s="1384">
        <v>0</v>
      </c>
      <c r="AM896" s="1363">
        <f t="shared" si="1305"/>
        <v>0</v>
      </c>
      <c r="AN896" s="1364">
        <v>0</v>
      </c>
      <c r="AO896" s="1365">
        <f t="shared" si="1306"/>
        <v>0</v>
      </c>
      <c r="AP896" s="1366">
        <v>0</v>
      </c>
      <c r="AQ896" s="1367">
        <f t="shared" si="1307"/>
        <v>0</v>
      </c>
      <c r="AR896" s="1368">
        <v>0.1</v>
      </c>
      <c r="AS896" s="1369">
        <f t="shared" si="1308"/>
        <v>0</v>
      </c>
      <c r="AT896" s="1370">
        <v>0</v>
      </c>
      <c r="AU896" s="1371">
        <f t="shared" si="1309"/>
        <v>0</v>
      </c>
      <c r="AV896" s="1359">
        <f t="shared" si="1310"/>
        <v>4.9999999999999989E-2</v>
      </c>
      <c r="AW896" s="1372">
        <f t="shared" si="1311"/>
        <v>0</v>
      </c>
      <c r="AX896" s="1373">
        <f t="shared" si="1312"/>
        <v>0.15</v>
      </c>
      <c r="AY896" s="1374">
        <f t="shared" si="1313"/>
        <v>0</v>
      </c>
      <c r="AZ896" s="1375">
        <f t="shared" si="1314"/>
        <v>0.15</v>
      </c>
      <c r="BA896" s="1376">
        <f t="shared" si="1315"/>
        <v>0</v>
      </c>
      <c r="BB896" s="1377"/>
      <c r="BC896" s="1820"/>
      <c r="BD896" s="1820"/>
      <c r="BE896" s="1839"/>
      <c r="BF896" s="1834"/>
      <c r="BG896" s="1829"/>
    </row>
    <row r="897" spans="1:59" s="1378" customFormat="1" ht="38.25">
      <c r="A897" s="1347" t="str">
        <f t="shared" si="1297"/>
        <v>Toolbox Genomics, Inc.</v>
      </c>
      <c r="B897" s="1348" t="str">
        <f t="shared" si="1298"/>
        <v>HUB SD</v>
      </c>
      <c r="C897" s="1348">
        <f t="shared" si="1299"/>
        <v>4</v>
      </c>
      <c r="D897" s="1349">
        <f t="shared" si="1300"/>
        <v>43221</v>
      </c>
      <c r="E897" s="1349"/>
      <c r="F897" s="1347" t="s">
        <v>113</v>
      </c>
      <c r="G897" s="1347" t="s">
        <v>85</v>
      </c>
      <c r="H897" s="1347" t="s">
        <v>85</v>
      </c>
      <c r="I897" s="1347" t="s">
        <v>113</v>
      </c>
      <c r="J897" s="1349" t="s">
        <v>4690</v>
      </c>
      <c r="K897" s="1349" t="s">
        <v>254</v>
      </c>
      <c r="L897" s="1350" t="s">
        <v>4682</v>
      </c>
      <c r="M897" s="1350" t="s">
        <v>4691</v>
      </c>
      <c r="N897" s="1351" t="s">
        <v>98</v>
      </c>
      <c r="O897" s="1352" t="s">
        <v>4693</v>
      </c>
      <c r="P897" s="1388"/>
      <c r="Q897" s="1354"/>
      <c r="R897" s="1354"/>
      <c r="S897" s="1354"/>
      <c r="T897" s="1354"/>
      <c r="U897" s="1354"/>
      <c r="V897" s="1354"/>
      <c r="W897" s="1354"/>
      <c r="X897" s="1353">
        <f t="shared" si="1301"/>
        <v>43221</v>
      </c>
      <c r="Y897" s="1353">
        <f t="shared" si="1301"/>
        <v>43466</v>
      </c>
      <c r="Z897" s="1355"/>
      <c r="AA897" s="1355" t="s">
        <v>4685</v>
      </c>
      <c r="AB897" s="1356"/>
      <c r="AC897" s="1356"/>
      <c r="AD897" s="1356"/>
      <c r="AE897" s="1356"/>
      <c r="AF897" s="1357"/>
      <c r="AG897" s="1358">
        <v>2.84</v>
      </c>
      <c r="AH897" s="1358">
        <f t="shared" si="1316"/>
        <v>34.08</v>
      </c>
      <c r="AI897" s="1359">
        <v>0.15</v>
      </c>
      <c r="AJ897" s="1360">
        <f t="shared" si="1303"/>
        <v>0.42599999999999999</v>
      </c>
      <c r="AK897" s="1361">
        <f t="shared" si="1317"/>
        <v>5.1119999999999992</v>
      </c>
      <c r="AL897" s="1384">
        <v>0</v>
      </c>
      <c r="AM897" s="1363">
        <f t="shared" si="1305"/>
        <v>0</v>
      </c>
      <c r="AN897" s="1364">
        <v>0</v>
      </c>
      <c r="AO897" s="1365">
        <f t="shared" si="1306"/>
        <v>0</v>
      </c>
      <c r="AP897" s="1366">
        <v>0</v>
      </c>
      <c r="AQ897" s="1367">
        <f t="shared" si="1307"/>
        <v>0</v>
      </c>
      <c r="AR897" s="1368">
        <v>0.1</v>
      </c>
      <c r="AS897" s="1369">
        <f t="shared" si="1308"/>
        <v>3.4079999999999999</v>
      </c>
      <c r="AT897" s="1370">
        <v>0</v>
      </c>
      <c r="AU897" s="1371">
        <f t="shared" si="1309"/>
        <v>0</v>
      </c>
      <c r="AV897" s="1359">
        <f t="shared" si="1310"/>
        <v>4.9999999999999989E-2</v>
      </c>
      <c r="AW897" s="1372">
        <f t="shared" si="1311"/>
        <v>1.7039999999999995</v>
      </c>
      <c r="AX897" s="1373">
        <f t="shared" si="1312"/>
        <v>0.15</v>
      </c>
      <c r="AY897" s="1374">
        <f t="shared" si="1313"/>
        <v>5.1119999999999992</v>
      </c>
      <c r="AZ897" s="1375">
        <f t="shared" si="1314"/>
        <v>0.15</v>
      </c>
      <c r="BA897" s="1376">
        <f t="shared" si="1315"/>
        <v>5.1119999999999992</v>
      </c>
      <c r="BB897" s="1377"/>
      <c r="BC897" s="1820"/>
      <c r="BD897" s="1820"/>
      <c r="BE897" s="1839"/>
      <c r="BF897" s="1834"/>
      <c r="BG897" s="1829"/>
    </row>
    <row r="898" spans="1:59" s="1378" customFormat="1" ht="38.25">
      <c r="A898" s="1347" t="str">
        <f t="shared" si="1297"/>
        <v>Toolbox Genomics, Inc.</v>
      </c>
      <c r="B898" s="1348" t="str">
        <f t="shared" si="1298"/>
        <v>HUB SD</v>
      </c>
      <c r="C898" s="1348">
        <f t="shared" si="1299"/>
        <v>4</v>
      </c>
      <c r="D898" s="1349">
        <f t="shared" si="1300"/>
        <v>43221</v>
      </c>
      <c r="E898" s="1349"/>
      <c r="F898" s="1347" t="s">
        <v>113</v>
      </c>
      <c r="G898" s="1347" t="s">
        <v>85</v>
      </c>
      <c r="H898" s="1347" t="s">
        <v>85</v>
      </c>
      <c r="I898" s="1347" t="s">
        <v>113</v>
      </c>
      <c r="J898" s="1349" t="s">
        <v>4690</v>
      </c>
      <c r="K898" s="1349" t="s">
        <v>254</v>
      </c>
      <c r="L898" s="1350" t="s">
        <v>4682</v>
      </c>
      <c r="M898" s="1350" t="s">
        <v>4691</v>
      </c>
      <c r="N898" s="1351" t="s">
        <v>4694</v>
      </c>
      <c r="O898" s="1352" t="s">
        <v>4695</v>
      </c>
      <c r="P898" s="1388"/>
      <c r="Q898" s="1354"/>
      <c r="R898" s="1354"/>
      <c r="S898" s="1354"/>
      <c r="T898" s="1354"/>
      <c r="U898" s="1354"/>
      <c r="V898" s="1354"/>
      <c r="W898" s="1354"/>
      <c r="X898" s="1353">
        <f t="shared" si="1301"/>
        <v>43221</v>
      </c>
      <c r="Y898" s="1353">
        <f t="shared" si="1301"/>
        <v>43466</v>
      </c>
      <c r="Z898" s="1355"/>
      <c r="AA898" s="1355" t="s">
        <v>4685</v>
      </c>
      <c r="AB898" s="1356"/>
      <c r="AC898" s="1356"/>
      <c r="AD898" s="1356"/>
      <c r="AE898" s="1356"/>
      <c r="AF898" s="1357"/>
      <c r="AG898" s="1358">
        <v>0</v>
      </c>
      <c r="AH898" s="1426">
        <f t="shared" si="1316"/>
        <v>0</v>
      </c>
      <c r="AI898" s="1359">
        <v>0.15</v>
      </c>
      <c r="AJ898" s="1360">
        <f t="shared" si="1303"/>
        <v>0</v>
      </c>
      <c r="AK898" s="1361">
        <f t="shared" si="1317"/>
        <v>0</v>
      </c>
      <c r="AL898" s="1384">
        <v>0</v>
      </c>
      <c r="AM898" s="1363">
        <f t="shared" si="1305"/>
        <v>0</v>
      </c>
      <c r="AN898" s="1364">
        <v>0</v>
      </c>
      <c r="AO898" s="1365">
        <f t="shared" si="1306"/>
        <v>0</v>
      </c>
      <c r="AP898" s="1366">
        <v>0</v>
      </c>
      <c r="AQ898" s="1367">
        <f t="shared" si="1307"/>
        <v>0</v>
      </c>
      <c r="AR898" s="1368">
        <v>0.1</v>
      </c>
      <c r="AS898" s="1369">
        <f t="shared" si="1308"/>
        <v>0</v>
      </c>
      <c r="AT898" s="1370">
        <v>0</v>
      </c>
      <c r="AU898" s="1371">
        <f t="shared" si="1309"/>
        <v>0</v>
      </c>
      <c r="AV898" s="1359">
        <f t="shared" si="1310"/>
        <v>4.9999999999999989E-2</v>
      </c>
      <c r="AW898" s="1372">
        <f t="shared" si="1311"/>
        <v>0</v>
      </c>
      <c r="AX898" s="1373">
        <f t="shared" si="1312"/>
        <v>0.15</v>
      </c>
      <c r="AY898" s="1374">
        <f t="shared" si="1313"/>
        <v>0</v>
      </c>
      <c r="AZ898" s="1375">
        <f t="shared" si="1314"/>
        <v>0.15</v>
      </c>
      <c r="BA898" s="1376">
        <f t="shared" si="1315"/>
        <v>0</v>
      </c>
      <c r="BB898" s="1377"/>
      <c r="BC898" s="1820"/>
      <c r="BD898" s="1820"/>
      <c r="BE898" s="1839"/>
      <c r="BF898" s="1834"/>
      <c r="BG898" s="1829"/>
    </row>
    <row r="899" spans="1:59" s="1378" customFormat="1" ht="27.75" customHeight="1">
      <c r="A899" s="1347" t="str">
        <f t="shared" si="1297"/>
        <v>Toolbox Genomics, Inc.</v>
      </c>
      <c r="B899" s="1348" t="str">
        <f t="shared" si="1298"/>
        <v>HUB SD</v>
      </c>
      <c r="C899" s="1348">
        <f t="shared" si="1299"/>
        <v>4</v>
      </c>
      <c r="D899" s="1349">
        <f t="shared" si="1300"/>
        <v>43221</v>
      </c>
      <c r="E899" s="1349"/>
      <c r="F899" s="1347" t="s">
        <v>72</v>
      </c>
      <c r="G899" s="1347" t="s">
        <v>85</v>
      </c>
      <c r="H899" s="1347" t="s">
        <v>72</v>
      </c>
      <c r="I899" s="1347" t="s">
        <v>72</v>
      </c>
      <c r="J899" s="1349" t="s">
        <v>4670</v>
      </c>
      <c r="K899" s="1349" t="s">
        <v>254</v>
      </c>
      <c r="L899" s="1350" t="s">
        <v>4696</v>
      </c>
      <c r="M899" s="1350" t="s">
        <v>4697</v>
      </c>
      <c r="N899" s="1389" t="s">
        <v>4698</v>
      </c>
      <c r="O899" s="1352" t="s">
        <v>4699</v>
      </c>
      <c r="P899" s="1388"/>
      <c r="Q899" s="1354"/>
      <c r="R899" s="1354"/>
      <c r="S899" s="1354"/>
      <c r="T899" s="1354"/>
      <c r="U899" s="1354"/>
      <c r="V899" s="1354"/>
      <c r="W899" s="1354"/>
      <c r="X899" s="1353">
        <f t="shared" si="1301"/>
        <v>43221</v>
      </c>
      <c r="Y899" s="1353">
        <f t="shared" si="1301"/>
        <v>43466</v>
      </c>
      <c r="Z899" s="1355"/>
      <c r="AA899" s="1355" t="s">
        <v>4674</v>
      </c>
      <c r="AB899" s="1356"/>
      <c r="AC899" s="1356"/>
      <c r="AD899" s="1356"/>
      <c r="AE899" s="1356"/>
      <c r="AF899" s="1357" t="str">
        <f t="shared" si="1295"/>
        <v/>
      </c>
      <c r="AG899" s="1380"/>
      <c r="AH899" s="1380"/>
      <c r="AI899" s="1381">
        <v>0</v>
      </c>
      <c r="AJ899" s="1382">
        <f t="shared" si="1303"/>
        <v>0</v>
      </c>
      <c r="AK899" s="1383">
        <f t="shared" si="1317"/>
        <v>0</v>
      </c>
      <c r="AL899" s="1384">
        <v>0</v>
      </c>
      <c r="AM899" s="1363">
        <f t="shared" si="1305"/>
        <v>0</v>
      </c>
      <c r="AN899" s="1364">
        <v>0</v>
      </c>
      <c r="AO899" s="1365">
        <f t="shared" si="1306"/>
        <v>0</v>
      </c>
      <c r="AP899" s="1366">
        <v>0</v>
      </c>
      <c r="AQ899" s="1367">
        <f t="shared" si="1307"/>
        <v>0</v>
      </c>
      <c r="AR899" s="1368">
        <v>0</v>
      </c>
      <c r="AS899" s="1369">
        <f t="shared" si="1308"/>
        <v>0</v>
      </c>
      <c r="AT899" s="1370">
        <v>0</v>
      </c>
      <c r="AU899" s="1371">
        <f t="shared" si="1309"/>
        <v>0</v>
      </c>
      <c r="AV899" s="1359">
        <f t="shared" si="1310"/>
        <v>0</v>
      </c>
      <c r="AW899" s="1372">
        <f t="shared" si="1311"/>
        <v>0</v>
      </c>
      <c r="AX899" s="1373">
        <f t="shared" si="1312"/>
        <v>0</v>
      </c>
      <c r="AY899" s="1374">
        <f t="shared" si="1313"/>
        <v>0</v>
      </c>
      <c r="AZ899" s="1375">
        <f t="shared" si="1314"/>
        <v>0</v>
      </c>
      <c r="BA899" s="1376">
        <f t="shared" si="1315"/>
        <v>0</v>
      </c>
      <c r="BB899" s="1377"/>
      <c r="BC899" s="1820"/>
      <c r="BD899" s="1820"/>
      <c r="BE899" s="1839"/>
      <c r="BF899" s="1834"/>
      <c r="BG899" s="1829"/>
    </row>
    <row r="900" spans="1:59" s="1378" customFormat="1" ht="38.25">
      <c r="A900" s="1347" t="str">
        <f t="shared" si="1297"/>
        <v>Toolbox Genomics, Inc.</v>
      </c>
      <c r="B900" s="1348" t="str">
        <f t="shared" si="1298"/>
        <v>HUB SD</v>
      </c>
      <c r="C900" s="1348">
        <f t="shared" si="1299"/>
        <v>4</v>
      </c>
      <c r="D900" s="1349">
        <f t="shared" si="1300"/>
        <v>43221</v>
      </c>
      <c r="E900" s="1349"/>
      <c r="F900" s="1347" t="s">
        <v>72</v>
      </c>
      <c r="G900" s="1347" t="s">
        <v>85</v>
      </c>
      <c r="H900" s="1347" t="s">
        <v>72</v>
      </c>
      <c r="I900" s="1347" t="s">
        <v>72</v>
      </c>
      <c r="J900" s="1349" t="s">
        <v>4670</v>
      </c>
      <c r="K900" s="1349" t="s">
        <v>254</v>
      </c>
      <c r="L900" s="1350" t="s">
        <v>48</v>
      </c>
      <c r="M900" s="1350" t="s">
        <v>3652</v>
      </c>
      <c r="N900" s="1390" t="s">
        <v>5347</v>
      </c>
      <c r="O900" s="1352" t="s">
        <v>4702</v>
      </c>
      <c r="P900" s="1388"/>
      <c r="Q900" s="1354"/>
      <c r="R900" s="1354"/>
      <c r="S900" s="1354"/>
      <c r="T900" s="1354"/>
      <c r="U900" s="1354"/>
      <c r="V900" s="1354"/>
      <c r="W900" s="1354"/>
      <c r="X900" s="1353">
        <f t="shared" si="1301"/>
        <v>43221</v>
      </c>
      <c r="Y900" s="1353">
        <f t="shared" si="1301"/>
        <v>43466</v>
      </c>
      <c r="Z900" s="1355"/>
      <c r="AA900" s="1355" t="s">
        <v>4674</v>
      </c>
      <c r="AB900" s="1356"/>
      <c r="AC900" s="1356"/>
      <c r="AD900" s="1356"/>
      <c r="AE900" s="1356"/>
      <c r="AF900" s="1357" t="str">
        <f t="shared" si="1295"/>
        <v/>
      </c>
      <c r="AG900" s="1380"/>
      <c r="AH900" s="1380"/>
      <c r="AI900" s="1381">
        <v>0</v>
      </c>
      <c r="AJ900" s="1382">
        <f t="shared" si="1303"/>
        <v>0</v>
      </c>
      <c r="AK900" s="1383">
        <f t="shared" si="1317"/>
        <v>0</v>
      </c>
      <c r="AL900" s="1384">
        <v>0</v>
      </c>
      <c r="AM900" s="1363">
        <f t="shared" si="1305"/>
        <v>0</v>
      </c>
      <c r="AN900" s="1364">
        <v>0</v>
      </c>
      <c r="AO900" s="1365">
        <f t="shared" si="1306"/>
        <v>0</v>
      </c>
      <c r="AP900" s="1366">
        <v>0</v>
      </c>
      <c r="AQ900" s="1367">
        <f t="shared" si="1307"/>
        <v>0</v>
      </c>
      <c r="AR900" s="1368">
        <v>0</v>
      </c>
      <c r="AS900" s="1369">
        <f t="shared" si="1308"/>
        <v>0</v>
      </c>
      <c r="AT900" s="1370">
        <v>0</v>
      </c>
      <c r="AU900" s="1371">
        <f t="shared" si="1309"/>
        <v>0</v>
      </c>
      <c r="AV900" s="1359">
        <f t="shared" si="1310"/>
        <v>0</v>
      </c>
      <c r="AW900" s="1372">
        <f t="shared" si="1311"/>
        <v>0</v>
      </c>
      <c r="AX900" s="1373">
        <f t="shared" si="1312"/>
        <v>0</v>
      </c>
      <c r="AY900" s="1374">
        <f t="shared" si="1313"/>
        <v>0</v>
      </c>
      <c r="AZ900" s="1375">
        <f t="shared" si="1314"/>
        <v>0</v>
      </c>
      <c r="BA900" s="1376">
        <f t="shared" si="1315"/>
        <v>0</v>
      </c>
      <c r="BB900" s="1377"/>
      <c r="BC900" s="1820"/>
      <c r="BD900" s="1820"/>
      <c r="BE900" s="1839"/>
      <c r="BF900" s="1834"/>
      <c r="BG900" s="1829"/>
    </row>
    <row r="901" spans="1:59" s="1378" customFormat="1" ht="38.25">
      <c r="A901" s="1347" t="str">
        <f t="shared" si="1297"/>
        <v>Toolbox Genomics, Inc.</v>
      </c>
      <c r="B901" s="1348" t="str">
        <f t="shared" si="1298"/>
        <v>HUB SD</v>
      </c>
      <c r="C901" s="1348">
        <f t="shared" si="1299"/>
        <v>4</v>
      </c>
      <c r="D901" s="1349">
        <f t="shared" si="1300"/>
        <v>43221</v>
      </c>
      <c r="E901" s="1349"/>
      <c r="F901" s="1347" t="s">
        <v>72</v>
      </c>
      <c r="G901" s="1347" t="s">
        <v>85</v>
      </c>
      <c r="H901" s="1347" t="s">
        <v>72</v>
      </c>
      <c r="I901" s="1347" t="s">
        <v>72</v>
      </c>
      <c r="J901" s="1349" t="s">
        <v>4670</v>
      </c>
      <c r="K901" s="1349" t="s">
        <v>254</v>
      </c>
      <c r="L901" s="1350" t="s">
        <v>48</v>
      </c>
      <c r="M901" s="1350" t="s">
        <v>5033</v>
      </c>
      <c r="N901" s="1389" t="s">
        <v>5348</v>
      </c>
      <c r="O901" s="1352" t="s">
        <v>5035</v>
      </c>
      <c r="P901" s="1388"/>
      <c r="Q901" s="1354"/>
      <c r="R901" s="1354"/>
      <c r="S901" s="1354"/>
      <c r="T901" s="1354"/>
      <c r="U901" s="1354"/>
      <c r="V901" s="1354"/>
      <c r="W901" s="1354"/>
      <c r="X901" s="1353">
        <f t="shared" si="1301"/>
        <v>43221</v>
      </c>
      <c r="Y901" s="1353">
        <f t="shared" si="1301"/>
        <v>43466</v>
      </c>
      <c r="Z901" s="1355"/>
      <c r="AA901" s="1355" t="s">
        <v>4674</v>
      </c>
      <c r="AB901" s="1356"/>
      <c r="AC901" s="1356"/>
      <c r="AD901" s="1356"/>
      <c r="AE901" s="1356"/>
      <c r="AF901" s="1357" t="str">
        <f t="shared" si="1295"/>
        <v/>
      </c>
      <c r="AG901" s="1380"/>
      <c r="AH901" s="1380"/>
      <c r="AI901" s="1381">
        <v>0</v>
      </c>
      <c r="AJ901" s="1382">
        <f t="shared" si="1303"/>
        <v>0</v>
      </c>
      <c r="AK901" s="1383">
        <f t="shared" si="1317"/>
        <v>0</v>
      </c>
      <c r="AL901" s="1384">
        <v>0</v>
      </c>
      <c r="AM901" s="1363">
        <f t="shared" si="1305"/>
        <v>0</v>
      </c>
      <c r="AN901" s="1364">
        <v>0</v>
      </c>
      <c r="AO901" s="1365">
        <f t="shared" si="1306"/>
        <v>0</v>
      </c>
      <c r="AP901" s="1366">
        <v>0</v>
      </c>
      <c r="AQ901" s="1367">
        <f t="shared" si="1307"/>
        <v>0</v>
      </c>
      <c r="AR901" s="1368">
        <v>0</v>
      </c>
      <c r="AS901" s="1369">
        <f t="shared" si="1308"/>
        <v>0</v>
      </c>
      <c r="AT901" s="1370">
        <v>0</v>
      </c>
      <c r="AU901" s="1371">
        <f t="shared" si="1309"/>
        <v>0</v>
      </c>
      <c r="AV901" s="1359">
        <f t="shared" si="1310"/>
        <v>0</v>
      </c>
      <c r="AW901" s="1372">
        <f t="shared" si="1311"/>
        <v>0</v>
      </c>
      <c r="AX901" s="1373">
        <f t="shared" si="1312"/>
        <v>0</v>
      </c>
      <c r="AY901" s="1374">
        <f t="shared" si="1313"/>
        <v>0</v>
      </c>
      <c r="AZ901" s="1375">
        <f t="shared" si="1314"/>
        <v>0</v>
      </c>
      <c r="BA901" s="1376">
        <f t="shared" si="1315"/>
        <v>0</v>
      </c>
      <c r="BB901" s="1377"/>
      <c r="BC901" s="1820"/>
      <c r="BD901" s="1820"/>
      <c r="BE901" s="1839"/>
      <c r="BF901" s="1834"/>
      <c r="BG901" s="1829"/>
    </row>
    <row r="902" spans="1:59" s="1378" customFormat="1" ht="38.25">
      <c r="A902" s="1347" t="str">
        <f t="shared" si="1297"/>
        <v>Toolbox Genomics, Inc.</v>
      </c>
      <c r="B902" s="1348" t="str">
        <f t="shared" si="1298"/>
        <v>HUB SD</v>
      </c>
      <c r="C902" s="1348">
        <f t="shared" si="1299"/>
        <v>4</v>
      </c>
      <c r="D902" s="1349">
        <f t="shared" si="1300"/>
        <v>43221</v>
      </c>
      <c r="E902" s="1349"/>
      <c r="F902" s="1347" t="s">
        <v>72</v>
      </c>
      <c r="G902" s="1347" t="s">
        <v>85</v>
      </c>
      <c r="H902" s="1347" t="s">
        <v>72</v>
      </c>
      <c r="I902" s="1347" t="s">
        <v>72</v>
      </c>
      <c r="J902" s="1349" t="s">
        <v>4670</v>
      </c>
      <c r="K902" s="1349" t="s">
        <v>254</v>
      </c>
      <c r="L902" s="1350" t="s">
        <v>48</v>
      </c>
      <c r="M902" s="1350" t="s">
        <v>253</v>
      </c>
      <c r="N902" s="1390" t="s">
        <v>4703</v>
      </c>
      <c r="O902" s="1352" t="s">
        <v>4704</v>
      </c>
      <c r="P902" s="1388"/>
      <c r="Q902" s="1354"/>
      <c r="R902" s="1354"/>
      <c r="S902" s="1354"/>
      <c r="T902" s="1354"/>
      <c r="U902" s="1354"/>
      <c r="V902" s="1354"/>
      <c r="W902" s="1354"/>
      <c r="X902" s="1353">
        <f t="shared" si="1301"/>
        <v>43221</v>
      </c>
      <c r="Y902" s="1353">
        <f t="shared" si="1301"/>
        <v>43466</v>
      </c>
      <c r="Z902" s="1355"/>
      <c r="AA902" s="1355" t="s">
        <v>4674</v>
      </c>
      <c r="AB902" s="1356"/>
      <c r="AC902" s="1356"/>
      <c r="AD902" s="1356"/>
      <c r="AE902" s="1356"/>
      <c r="AF902" s="1357" t="str">
        <f t="shared" si="1295"/>
        <v/>
      </c>
      <c r="AG902" s="1380"/>
      <c r="AH902" s="1380"/>
      <c r="AI902" s="1381">
        <v>0</v>
      </c>
      <c r="AJ902" s="1382">
        <f t="shared" si="1303"/>
        <v>0</v>
      </c>
      <c r="AK902" s="1383">
        <f t="shared" si="1317"/>
        <v>0</v>
      </c>
      <c r="AL902" s="1384">
        <v>0</v>
      </c>
      <c r="AM902" s="1363">
        <f t="shared" si="1305"/>
        <v>0</v>
      </c>
      <c r="AN902" s="1364">
        <v>0</v>
      </c>
      <c r="AO902" s="1365">
        <f t="shared" si="1306"/>
        <v>0</v>
      </c>
      <c r="AP902" s="1366">
        <v>0</v>
      </c>
      <c r="AQ902" s="1367">
        <f t="shared" si="1307"/>
        <v>0</v>
      </c>
      <c r="AR902" s="1368">
        <v>0</v>
      </c>
      <c r="AS902" s="1369">
        <f t="shared" si="1308"/>
        <v>0</v>
      </c>
      <c r="AT902" s="1370">
        <v>0</v>
      </c>
      <c r="AU902" s="1371">
        <f t="shared" si="1309"/>
        <v>0</v>
      </c>
      <c r="AV902" s="1359">
        <f t="shared" si="1310"/>
        <v>0</v>
      </c>
      <c r="AW902" s="1372">
        <f t="shared" si="1311"/>
        <v>0</v>
      </c>
      <c r="AX902" s="1373">
        <f t="shared" si="1312"/>
        <v>0</v>
      </c>
      <c r="AY902" s="1374">
        <f t="shared" si="1313"/>
        <v>0</v>
      </c>
      <c r="AZ902" s="1375">
        <f t="shared" si="1314"/>
        <v>0</v>
      </c>
      <c r="BA902" s="1376">
        <f t="shared" si="1315"/>
        <v>0</v>
      </c>
      <c r="BB902" s="1391"/>
      <c r="BC902" s="1820"/>
      <c r="BD902" s="1820"/>
      <c r="BE902" s="1839"/>
      <c r="BF902" s="1834"/>
      <c r="BG902" s="1829"/>
    </row>
    <row r="903" spans="1:59" s="1378" customFormat="1" ht="38.25">
      <c r="A903" s="1347" t="str">
        <f t="shared" si="1297"/>
        <v>Toolbox Genomics, Inc.</v>
      </c>
      <c r="B903" s="1348" t="str">
        <f t="shared" si="1298"/>
        <v>HUB SD</v>
      </c>
      <c r="C903" s="1348">
        <f t="shared" si="1299"/>
        <v>4</v>
      </c>
      <c r="D903" s="1349">
        <f t="shared" si="1300"/>
        <v>43221</v>
      </c>
      <c r="E903" s="1349"/>
      <c r="F903" s="1347" t="s">
        <v>72</v>
      </c>
      <c r="G903" s="1347" t="s">
        <v>113</v>
      </c>
      <c r="H903" s="1347" t="s">
        <v>72</v>
      </c>
      <c r="I903" s="1347" t="s">
        <v>72</v>
      </c>
      <c r="J903" s="1349" t="s">
        <v>4670</v>
      </c>
      <c r="K903" s="1349" t="s">
        <v>254</v>
      </c>
      <c r="L903" s="1397" t="s">
        <v>3056</v>
      </c>
      <c r="M903" s="1397" t="s">
        <v>4705</v>
      </c>
      <c r="N903" s="1412" t="s">
        <v>5259</v>
      </c>
      <c r="O903" s="1399" t="s">
        <v>5111</v>
      </c>
      <c r="P903" s="1424"/>
      <c r="Q903" s="1354"/>
      <c r="R903" s="1354"/>
      <c r="S903" s="1354"/>
      <c r="T903" s="1354"/>
      <c r="U903" s="1354"/>
      <c r="V903" s="1354"/>
      <c r="W903" s="1354"/>
      <c r="X903" s="1400">
        <f t="shared" si="1301"/>
        <v>43221</v>
      </c>
      <c r="Y903" s="1400">
        <f t="shared" si="1301"/>
        <v>43466</v>
      </c>
      <c r="Z903" s="1401"/>
      <c r="AA903" s="1401" t="s">
        <v>4674</v>
      </c>
      <c r="AB903" s="1369"/>
      <c r="AC903" s="1369"/>
      <c r="AD903" s="1369"/>
      <c r="AE903" s="1369"/>
      <c r="AF903" s="1403" t="str">
        <f t="shared" si="1295"/>
        <v/>
      </c>
      <c r="AG903" s="1404"/>
      <c r="AH903" s="1404"/>
      <c r="AI903" s="1405">
        <v>0</v>
      </c>
      <c r="AJ903" s="1406">
        <v>0</v>
      </c>
      <c r="AK903" s="1406">
        <v>0</v>
      </c>
      <c r="AL903" s="1384">
        <v>0</v>
      </c>
      <c r="AM903" s="1363">
        <f t="shared" si="1305"/>
        <v>0</v>
      </c>
      <c r="AN903" s="1364">
        <v>0</v>
      </c>
      <c r="AO903" s="1365">
        <f t="shared" si="1306"/>
        <v>0</v>
      </c>
      <c r="AP903" s="1366">
        <v>0</v>
      </c>
      <c r="AQ903" s="1367">
        <f t="shared" si="1307"/>
        <v>0</v>
      </c>
      <c r="AR903" s="1368">
        <v>0</v>
      </c>
      <c r="AS903" s="1369">
        <f t="shared" si="1308"/>
        <v>0</v>
      </c>
      <c r="AT903" s="1370">
        <v>0</v>
      </c>
      <c r="AU903" s="1371">
        <f t="shared" si="1309"/>
        <v>0</v>
      </c>
      <c r="AV903" s="1359">
        <f t="shared" si="1310"/>
        <v>0</v>
      </c>
      <c r="AW903" s="1372">
        <f t="shared" si="1311"/>
        <v>0</v>
      </c>
      <c r="AX903" s="1373">
        <f t="shared" si="1312"/>
        <v>0</v>
      </c>
      <c r="AY903" s="1374">
        <f t="shared" si="1313"/>
        <v>0</v>
      </c>
      <c r="AZ903" s="1375">
        <f t="shared" si="1314"/>
        <v>0</v>
      </c>
      <c r="BA903" s="1376">
        <f t="shared" si="1315"/>
        <v>0</v>
      </c>
      <c r="BB903" s="1391"/>
      <c r="BC903" s="1820"/>
      <c r="BD903" s="1820"/>
      <c r="BE903" s="1839"/>
      <c r="BF903" s="1834"/>
      <c r="BG903" s="1829"/>
    </row>
    <row r="904" spans="1:59" s="1378" customFormat="1" ht="38.25">
      <c r="A904" s="1347" t="str">
        <f t="shared" si="1297"/>
        <v>Toolbox Genomics, Inc.</v>
      </c>
      <c r="B904" s="1348" t="str">
        <f t="shared" si="1298"/>
        <v>HUB SD</v>
      </c>
      <c r="C904" s="1348">
        <f t="shared" si="1299"/>
        <v>4</v>
      </c>
      <c r="D904" s="1349">
        <f t="shared" si="1300"/>
        <v>43221</v>
      </c>
      <c r="E904" s="1349"/>
      <c r="F904" s="1347" t="s">
        <v>72</v>
      </c>
      <c r="G904" s="1347" t="s">
        <v>85</v>
      </c>
      <c r="H904" s="1347" t="s">
        <v>72</v>
      </c>
      <c r="I904" s="1347" t="s">
        <v>72</v>
      </c>
      <c r="J904" s="1349" t="s">
        <v>4670</v>
      </c>
      <c r="K904" s="1349" t="s">
        <v>254</v>
      </c>
      <c r="L904" s="1350" t="s">
        <v>3056</v>
      </c>
      <c r="M904" s="1350" t="s">
        <v>4708</v>
      </c>
      <c r="N904" s="1390" t="s">
        <v>4709</v>
      </c>
      <c r="O904" s="1352" t="s">
        <v>4710</v>
      </c>
      <c r="P904" s="1388"/>
      <c r="Q904" s="1354"/>
      <c r="R904" s="1354"/>
      <c r="S904" s="1354"/>
      <c r="T904" s="1354"/>
      <c r="U904" s="1354"/>
      <c r="V904" s="1354"/>
      <c r="W904" s="1354"/>
      <c r="X904" s="1353">
        <f t="shared" si="1301"/>
        <v>43221</v>
      </c>
      <c r="Y904" s="1353">
        <f t="shared" si="1301"/>
        <v>43466</v>
      </c>
      <c r="Z904" s="1355"/>
      <c r="AA904" s="1355" t="s">
        <v>4674</v>
      </c>
      <c r="AB904" s="1356"/>
      <c r="AC904" s="1356"/>
      <c r="AD904" s="1356"/>
      <c r="AE904" s="1356"/>
      <c r="AF904" s="1357" t="str">
        <f t="shared" si="1295"/>
        <v/>
      </c>
      <c r="AG904" s="1380"/>
      <c r="AH904" s="1380"/>
      <c r="AI904" s="1381">
        <v>0</v>
      </c>
      <c r="AJ904" s="1382">
        <f>$AI904*$AG904</f>
        <v>0</v>
      </c>
      <c r="AK904" s="1383">
        <f t="shared" si="1317"/>
        <v>0</v>
      </c>
      <c r="AL904" s="1384">
        <v>0</v>
      </c>
      <c r="AM904" s="1363">
        <f t="shared" si="1305"/>
        <v>0</v>
      </c>
      <c r="AN904" s="1364">
        <v>0</v>
      </c>
      <c r="AO904" s="1365">
        <f t="shared" si="1306"/>
        <v>0</v>
      </c>
      <c r="AP904" s="1366">
        <v>0</v>
      </c>
      <c r="AQ904" s="1367">
        <f t="shared" si="1307"/>
        <v>0</v>
      </c>
      <c r="AR904" s="1368">
        <v>0</v>
      </c>
      <c r="AS904" s="1369">
        <f t="shared" si="1308"/>
        <v>0</v>
      </c>
      <c r="AT904" s="1370">
        <v>0</v>
      </c>
      <c r="AU904" s="1371">
        <f t="shared" si="1309"/>
        <v>0</v>
      </c>
      <c r="AV904" s="1359">
        <f t="shared" si="1310"/>
        <v>0</v>
      </c>
      <c r="AW904" s="1372">
        <f t="shared" si="1311"/>
        <v>0</v>
      </c>
      <c r="AX904" s="1373">
        <f t="shared" si="1312"/>
        <v>0</v>
      </c>
      <c r="AY904" s="1374">
        <f t="shared" si="1313"/>
        <v>0</v>
      </c>
      <c r="AZ904" s="1375">
        <f t="shared" si="1314"/>
        <v>0</v>
      </c>
      <c r="BA904" s="1376">
        <f t="shared" si="1315"/>
        <v>0</v>
      </c>
      <c r="BB904" s="1391"/>
      <c r="BC904" s="1821"/>
      <c r="BD904" s="1821"/>
      <c r="BE904" s="1840"/>
      <c r="BF904" s="1834"/>
      <c r="BG904" s="1830"/>
    </row>
    <row r="905" spans="1:59" s="1315" customFormat="1" ht="51">
      <c r="A905" s="1277" t="str">
        <f>L905</f>
        <v>Trucode Gene Repair, Inc.</v>
      </c>
      <c r="B905" s="1316" t="str">
        <f>N905</f>
        <v>Duenas</v>
      </c>
      <c r="C905" s="1316">
        <f>Z905</f>
        <v>17</v>
      </c>
      <c r="D905" s="1317">
        <v>43101</v>
      </c>
      <c r="E905" s="1317"/>
      <c r="F905" s="1277" t="s">
        <v>72</v>
      </c>
      <c r="G905" s="1277" t="s">
        <v>72</v>
      </c>
      <c r="H905" s="1277" t="s">
        <v>72</v>
      </c>
      <c r="I905" s="1277" t="s">
        <v>4711</v>
      </c>
      <c r="J905" s="1317"/>
      <c r="K905" s="1317"/>
      <c r="L905" s="1318" t="s">
        <v>416</v>
      </c>
      <c r="M905" s="1319"/>
      <c r="N905" s="1427" t="s">
        <v>4835</v>
      </c>
      <c r="O905" s="1419" t="s">
        <v>2473</v>
      </c>
      <c r="P905" s="1419"/>
      <c r="Q905" s="1322"/>
      <c r="R905" s="1322"/>
      <c r="S905" s="1322"/>
      <c r="T905" s="1322"/>
      <c r="U905" s="1322"/>
      <c r="V905" s="1322"/>
      <c r="W905" s="1322"/>
      <c r="X905" s="1317">
        <v>43101</v>
      </c>
      <c r="Y905" s="1317">
        <v>43466</v>
      </c>
      <c r="Z905" s="1316">
        <v>17</v>
      </c>
      <c r="AA905" s="1316" t="s">
        <v>5105</v>
      </c>
      <c r="AB905" s="1323">
        <f>SUM(AB906:AB919)</f>
        <v>223092</v>
      </c>
      <c r="AC905" s="1323">
        <f>SUM(AC906:AC919)</f>
        <v>0</v>
      </c>
      <c r="AD905" s="1323">
        <f>SUM(AD906:AD919)</f>
        <v>141211.92000000001</v>
      </c>
      <c r="AE905" s="1324">
        <f t="shared" si="1253"/>
        <v>-81880.079999999987</v>
      </c>
      <c r="AF905" s="1325">
        <f t="shared" si="1295"/>
        <v>-0.36702382873433376</v>
      </c>
      <c r="AG905" s="1326">
        <f t="shared" si="1267"/>
        <v>15090.471666666666</v>
      </c>
      <c r="AH905" s="1326">
        <f>SUM(AH906:AH919)</f>
        <v>181085.66</v>
      </c>
      <c r="AI905" s="1339"/>
      <c r="AJ905" s="1328">
        <f>SUM(AJ906:AJ919)</f>
        <v>1334.8880500000002</v>
      </c>
      <c r="AK905" s="1328">
        <f>SUM(AK906:AK919)</f>
        <v>16018.6566</v>
      </c>
      <c r="AL905" s="1329"/>
      <c r="AM905" s="1330">
        <f>SUM(AM906:AM919)</f>
        <v>706.05960000000005</v>
      </c>
      <c r="AN905" s="1331"/>
      <c r="AO905" s="1332">
        <f>SUM(AO906:AO919)</f>
        <v>0</v>
      </c>
      <c r="AP905" s="1333"/>
      <c r="AQ905" s="1334">
        <f>SUM(AQ906:AQ919)</f>
        <v>0</v>
      </c>
      <c r="AR905" s="1335"/>
      <c r="AS905" s="1336">
        <f>SUM(AS906:AS919)</f>
        <v>0</v>
      </c>
      <c r="AT905" s="1337"/>
      <c r="AU905" s="1338">
        <f>SUM(AU906:AU919)</f>
        <v>3530.2980000000007</v>
      </c>
      <c r="AV905" s="1339"/>
      <c r="AW905" s="1340">
        <f>SUM(AW906:AW919)</f>
        <v>11782.299000000001</v>
      </c>
      <c r="AX905" s="1306"/>
      <c r="AY905" s="1307">
        <f>SUM(AW905+AS905+AU905)</f>
        <v>15312.597000000002</v>
      </c>
      <c r="AZ905" s="1341"/>
      <c r="BA905" s="1309">
        <f>SUM(AY905+AQ905)</f>
        <v>15312.597000000002</v>
      </c>
      <c r="BB905" s="1342">
        <f>(AW905+AU905)/(AK905-AM905)</f>
        <v>1.0000000000000002</v>
      </c>
      <c r="BC905" s="1343"/>
      <c r="BD905" s="1343"/>
      <c r="BE905" s="1344"/>
      <c r="BF905" s="1428" t="s">
        <v>5349</v>
      </c>
      <c r="BG905" s="1346"/>
    </row>
    <row r="906" spans="1:59" s="1378" customFormat="1" ht="63.75">
      <c r="A906" s="1347" t="str">
        <f>A905</f>
        <v>Trucode Gene Repair, Inc.</v>
      </c>
      <c r="B906" s="1348" t="str">
        <f>B905</f>
        <v>Duenas</v>
      </c>
      <c r="C906" s="1348">
        <f>C905</f>
        <v>17</v>
      </c>
      <c r="D906" s="1349">
        <v>43101</v>
      </c>
      <c r="E906" s="1349"/>
      <c r="F906" s="1347" t="s">
        <v>85</v>
      </c>
      <c r="G906" s="1347" t="s">
        <v>85</v>
      </c>
      <c r="H906" s="1347" t="s">
        <v>85</v>
      </c>
      <c r="I906" s="1347" t="s">
        <v>85</v>
      </c>
      <c r="J906" s="1349"/>
      <c r="K906" s="1349" t="s">
        <v>254</v>
      </c>
      <c r="L906" s="1350" t="s">
        <v>2661</v>
      </c>
      <c r="M906" s="1350" t="s">
        <v>3647</v>
      </c>
      <c r="N906" s="1351" t="s">
        <v>5350</v>
      </c>
      <c r="O906" s="1352" t="s">
        <v>5351</v>
      </c>
      <c r="P906" s="1352" t="s">
        <v>5352</v>
      </c>
      <c r="Q906" s="1353" t="s">
        <v>303</v>
      </c>
      <c r="R906" s="1353" t="s">
        <v>3656</v>
      </c>
      <c r="S906" s="1353" t="s">
        <v>307</v>
      </c>
      <c r="T906" s="1353" t="s">
        <v>113</v>
      </c>
      <c r="U906" s="1354"/>
      <c r="V906" s="1354"/>
      <c r="W906" s="1354"/>
      <c r="X906" s="1353">
        <v>43101</v>
      </c>
      <c r="Y906" s="1353">
        <v>43466</v>
      </c>
      <c r="Z906" s="1355"/>
      <c r="AA906" s="1355" t="s">
        <v>4841</v>
      </c>
      <c r="AB906" s="1422">
        <v>223092</v>
      </c>
      <c r="AC906" s="1356"/>
      <c r="AD906" s="1422">
        <f t="shared" ref="AD906" si="1318">AH906</f>
        <v>141211.92000000001</v>
      </c>
      <c r="AE906" s="1422">
        <f t="shared" si="1253"/>
        <v>-81880.079999999987</v>
      </c>
      <c r="AF906" s="1423">
        <f t="shared" si="1295"/>
        <v>-0.36702382873433376</v>
      </c>
      <c r="AG906" s="1358">
        <f t="shared" si="1267"/>
        <v>11767.660000000002</v>
      </c>
      <c r="AH906" s="1358">
        <v>141211.92000000001</v>
      </c>
      <c r="AI906" s="1359">
        <v>0.08</v>
      </c>
      <c r="AJ906" s="1360">
        <f>$AI906*$AG906</f>
        <v>941.41280000000017</v>
      </c>
      <c r="AK906" s="1361">
        <f t="shared" ref="AK906:AK919" si="1319">AI906*$AH906</f>
        <v>11296.953600000001</v>
      </c>
      <c r="AL906" s="1362">
        <v>5.0000000000000001E-3</v>
      </c>
      <c r="AM906" s="1363">
        <f t="shared" ref="AM906:AM919" si="1320">AL906*$AH906</f>
        <v>706.05960000000005</v>
      </c>
      <c r="AN906" s="1364">
        <v>0</v>
      </c>
      <c r="AO906" s="1365">
        <f t="shared" ref="AO906:AO919" si="1321">AN906*$AH906</f>
        <v>0</v>
      </c>
      <c r="AP906" s="1366">
        <v>0</v>
      </c>
      <c r="AQ906" s="1367">
        <f t="shared" ref="AQ906:AQ919" si="1322">AP906*$AH906</f>
        <v>0</v>
      </c>
      <c r="AR906" s="1368">
        <v>0</v>
      </c>
      <c r="AS906" s="1369">
        <f t="shared" ref="AS906:AS919" si="1323">AR906*$AH906</f>
        <v>0</v>
      </c>
      <c r="AT906" s="1370">
        <v>2.5000000000000001E-2</v>
      </c>
      <c r="AU906" s="1371">
        <f t="shared" ref="AU906:AU919" si="1324">AT906*$AH906</f>
        <v>3530.2980000000007</v>
      </c>
      <c r="AV906" s="1359">
        <f t="shared" ref="AV906:AV919" si="1325">AZ906-AR906-AT906-AP906</f>
        <v>4.9999999999999996E-2</v>
      </c>
      <c r="AW906" s="1372">
        <f t="shared" ref="AW906:AW919" si="1326">AV906*$AH906</f>
        <v>7060.5960000000005</v>
      </c>
      <c r="AX906" s="1373">
        <f t="shared" ref="AX906:AX919" si="1327">$AZ906-$AP906</f>
        <v>7.4999999999999997E-2</v>
      </c>
      <c r="AY906" s="1374">
        <f t="shared" ref="AY906:AY919" si="1328">AX906*$AH906</f>
        <v>10590.894</v>
      </c>
      <c r="AZ906" s="1375">
        <f t="shared" ref="AZ906:AZ919" si="1329">$AI906-$AL906-$AN906</f>
        <v>7.4999999999999997E-2</v>
      </c>
      <c r="BA906" s="1376">
        <f t="shared" ref="BA906:BA919" si="1330">AZ906*$AH906</f>
        <v>10590.894</v>
      </c>
      <c r="BB906" s="1391"/>
      <c r="BC906" s="1819" t="s">
        <v>417</v>
      </c>
      <c r="BD906" s="1819" t="s">
        <v>418</v>
      </c>
      <c r="BE906" s="1822" t="s">
        <v>419</v>
      </c>
      <c r="BF906" s="1825" t="s">
        <v>5353</v>
      </c>
      <c r="BG906" s="1828">
        <v>812744449</v>
      </c>
    </row>
    <row r="907" spans="1:59" s="1378" customFormat="1" ht="38.25">
      <c r="A907" s="1347" t="str">
        <f>L905</f>
        <v>Trucode Gene Repair, Inc.</v>
      </c>
      <c r="B907" s="1348" t="str">
        <f>N905</f>
        <v>Duenas</v>
      </c>
      <c r="C907" s="1348">
        <f>Z905</f>
        <v>17</v>
      </c>
      <c r="D907" s="1349">
        <v>43101</v>
      </c>
      <c r="E907" s="1349"/>
      <c r="F907" s="1347" t="s">
        <v>72</v>
      </c>
      <c r="G907" s="1347" t="s">
        <v>85</v>
      </c>
      <c r="H907" s="1347" t="s">
        <v>72</v>
      </c>
      <c r="I907" s="1347" t="s">
        <v>72</v>
      </c>
      <c r="J907" s="1349" t="s">
        <v>4670</v>
      </c>
      <c r="K907" s="1349" t="s">
        <v>254</v>
      </c>
      <c r="L907" s="1350" t="s">
        <v>4671</v>
      </c>
      <c r="M907" s="1350" t="s">
        <v>3649</v>
      </c>
      <c r="N907" s="1379" t="s">
        <v>5354</v>
      </c>
      <c r="O907" s="1352" t="s">
        <v>5355</v>
      </c>
      <c r="P907" s="1352"/>
      <c r="Q907" s="1354"/>
      <c r="R907" s="1354"/>
      <c r="S907" s="1354"/>
      <c r="T907" s="1354"/>
      <c r="U907" s="1354"/>
      <c r="V907" s="1354"/>
      <c r="W907" s="1354"/>
      <c r="X907" s="1353">
        <v>43101</v>
      </c>
      <c r="Y907" s="1353">
        <v>43466</v>
      </c>
      <c r="Z907" s="1355"/>
      <c r="AA907" s="1355" t="s">
        <v>4674</v>
      </c>
      <c r="AB907" s="1356"/>
      <c r="AC907" s="1356"/>
      <c r="AD907" s="1356"/>
      <c r="AE907" s="1356"/>
      <c r="AF907" s="1357" t="str">
        <f t="shared" si="1295"/>
        <v/>
      </c>
      <c r="AG907" s="1380"/>
      <c r="AH907" s="1380"/>
      <c r="AI907" s="1381">
        <v>0</v>
      </c>
      <c r="AJ907" s="1382">
        <f>$AI907*$AG907</f>
        <v>0</v>
      </c>
      <c r="AK907" s="1383">
        <f t="shared" si="1319"/>
        <v>0</v>
      </c>
      <c r="AL907" s="1384">
        <v>0</v>
      </c>
      <c r="AM907" s="1363">
        <f t="shared" si="1320"/>
        <v>0</v>
      </c>
      <c r="AN907" s="1364">
        <v>0</v>
      </c>
      <c r="AO907" s="1365">
        <f t="shared" si="1321"/>
        <v>0</v>
      </c>
      <c r="AP907" s="1366">
        <v>0</v>
      </c>
      <c r="AQ907" s="1367">
        <f t="shared" si="1322"/>
        <v>0</v>
      </c>
      <c r="AR907" s="1368">
        <v>0</v>
      </c>
      <c r="AS907" s="1369">
        <f t="shared" si="1323"/>
        <v>0</v>
      </c>
      <c r="AT907" s="1370">
        <v>0</v>
      </c>
      <c r="AU907" s="1371">
        <f t="shared" si="1324"/>
        <v>0</v>
      </c>
      <c r="AV907" s="1359">
        <f t="shared" si="1325"/>
        <v>0</v>
      </c>
      <c r="AW907" s="1372">
        <f t="shared" si="1326"/>
        <v>0</v>
      </c>
      <c r="AX907" s="1373">
        <f t="shared" si="1327"/>
        <v>0</v>
      </c>
      <c r="AY907" s="1374">
        <f t="shared" si="1328"/>
        <v>0</v>
      </c>
      <c r="AZ907" s="1375">
        <f t="shared" si="1329"/>
        <v>0</v>
      </c>
      <c r="BA907" s="1376">
        <f t="shared" si="1330"/>
        <v>0</v>
      </c>
      <c r="BB907" s="1391"/>
      <c r="BC907" s="1820"/>
      <c r="BD907" s="1820"/>
      <c r="BE907" s="1823"/>
      <c r="BF907" s="1826"/>
      <c r="BG907" s="1829"/>
    </row>
    <row r="908" spans="1:59" s="1378" customFormat="1" ht="30" customHeight="1">
      <c r="A908" s="1347" t="str">
        <f>A905</f>
        <v>Trucode Gene Repair, Inc.</v>
      </c>
      <c r="B908" s="1348" t="str">
        <f>B905</f>
        <v>Duenas</v>
      </c>
      <c r="C908" s="1348">
        <f>C905</f>
        <v>17</v>
      </c>
      <c r="D908" s="1349">
        <v>43101</v>
      </c>
      <c r="E908" s="1349"/>
      <c r="F908" s="1347" t="s">
        <v>113</v>
      </c>
      <c r="G908" s="1347" t="s">
        <v>113</v>
      </c>
      <c r="H908" s="1347" t="s">
        <v>113</v>
      </c>
      <c r="I908" s="1347" t="s">
        <v>113</v>
      </c>
      <c r="J908" s="1349"/>
      <c r="K908" s="1349" t="s">
        <v>254</v>
      </c>
      <c r="L908" s="1397" t="s">
        <v>4767</v>
      </c>
      <c r="M908" s="1397" t="s">
        <v>3647</v>
      </c>
      <c r="N908" s="1398" t="s">
        <v>5295</v>
      </c>
      <c r="O908" s="1399" t="s">
        <v>5356</v>
      </c>
      <c r="P908" s="1424"/>
      <c r="Q908" s="1400"/>
      <c r="R908" s="1400"/>
      <c r="S908" s="1400"/>
      <c r="T908" s="1400"/>
      <c r="U908" s="1400"/>
      <c r="V908" s="1400"/>
      <c r="W908" s="1400"/>
      <c r="X908" s="1400">
        <v>43101</v>
      </c>
      <c r="Y908" s="1400">
        <v>43466</v>
      </c>
      <c r="Z908" s="1401"/>
      <c r="AA908" s="1401" t="s">
        <v>4887</v>
      </c>
      <c r="AB908" s="1369"/>
      <c r="AC908" s="1369"/>
      <c r="AD908" s="1369"/>
      <c r="AE908" s="1369"/>
      <c r="AF908" s="1403" t="str">
        <f t="shared" si="1295"/>
        <v/>
      </c>
      <c r="AG908" s="1404"/>
      <c r="AH908" s="1404"/>
      <c r="AI908" s="1405">
        <v>0</v>
      </c>
      <c r="AJ908" s="1406">
        <v>0</v>
      </c>
      <c r="AK908" s="1406">
        <v>0</v>
      </c>
      <c r="AL908" s="1384">
        <v>0</v>
      </c>
      <c r="AM908" s="1363">
        <f t="shared" si="1320"/>
        <v>0</v>
      </c>
      <c r="AN908" s="1364">
        <v>0</v>
      </c>
      <c r="AO908" s="1365">
        <f t="shared" si="1321"/>
        <v>0</v>
      </c>
      <c r="AP908" s="1366">
        <v>0</v>
      </c>
      <c r="AQ908" s="1367">
        <f t="shared" si="1322"/>
        <v>0</v>
      </c>
      <c r="AR908" s="1368">
        <v>0</v>
      </c>
      <c r="AS908" s="1369">
        <f t="shared" si="1323"/>
        <v>0</v>
      </c>
      <c r="AT908" s="1370">
        <v>0</v>
      </c>
      <c r="AU908" s="1371">
        <f t="shared" si="1324"/>
        <v>0</v>
      </c>
      <c r="AV908" s="1359">
        <f>AI908</f>
        <v>0</v>
      </c>
      <c r="AW908" s="1372">
        <f t="shared" si="1326"/>
        <v>0</v>
      </c>
      <c r="AX908" s="1373">
        <f t="shared" si="1327"/>
        <v>0</v>
      </c>
      <c r="AY908" s="1374">
        <f t="shared" si="1328"/>
        <v>0</v>
      </c>
      <c r="AZ908" s="1375">
        <f t="shared" si="1329"/>
        <v>0</v>
      </c>
      <c r="BA908" s="1376">
        <f t="shared" si="1330"/>
        <v>0</v>
      </c>
      <c r="BB908" s="1377"/>
      <c r="BC908" s="1820"/>
      <c r="BD908" s="1820"/>
      <c r="BE908" s="1823"/>
      <c r="BF908" s="1826"/>
      <c r="BG908" s="1829"/>
    </row>
    <row r="909" spans="1:59" s="1378" customFormat="1" ht="38.25">
      <c r="A909" s="1347" t="str">
        <f>A905</f>
        <v>Trucode Gene Repair, Inc.</v>
      </c>
      <c r="B909" s="1348" t="str">
        <f>B905</f>
        <v>Duenas</v>
      </c>
      <c r="C909" s="1348">
        <f>C905</f>
        <v>17</v>
      </c>
      <c r="D909" s="1349">
        <v>43101</v>
      </c>
      <c r="E909" s="1349"/>
      <c r="F909" s="1347" t="s">
        <v>113</v>
      </c>
      <c r="G909" s="1347" t="s">
        <v>85</v>
      </c>
      <c r="H909" s="1347" t="s">
        <v>85</v>
      </c>
      <c r="I909" s="1347" t="s">
        <v>113</v>
      </c>
      <c r="J909" s="1349"/>
      <c r="K909" s="1349" t="s">
        <v>254</v>
      </c>
      <c r="L909" s="1350" t="s">
        <v>4675</v>
      </c>
      <c r="M909" s="1350" t="s">
        <v>3650</v>
      </c>
      <c r="N909" s="1351" t="s">
        <v>5357</v>
      </c>
      <c r="O909" s="1352" t="s">
        <v>5358</v>
      </c>
      <c r="P909" s="1352"/>
      <c r="Q909" s="1354"/>
      <c r="R909" s="1354"/>
      <c r="S909" s="1354"/>
      <c r="T909" s="1354"/>
      <c r="U909" s="1353" t="s">
        <v>4723</v>
      </c>
      <c r="V909" s="1353" t="s">
        <v>2497</v>
      </c>
      <c r="W909" s="1354"/>
      <c r="X909" s="1353">
        <v>43101</v>
      </c>
      <c r="Y909" s="1353">
        <v>43466</v>
      </c>
      <c r="Z909" s="1355"/>
      <c r="AA909" s="1355" t="s">
        <v>4846</v>
      </c>
      <c r="AB909" s="1356"/>
      <c r="AC909" s="1356"/>
      <c r="AD909" s="1356"/>
      <c r="AE909" s="1356"/>
      <c r="AF909" s="1357"/>
      <c r="AG909" s="1358">
        <f t="shared" si="1267"/>
        <v>1849.24</v>
      </c>
      <c r="AH909" s="1358">
        <v>22190.880000000001</v>
      </c>
      <c r="AI909" s="1359">
        <v>0.1</v>
      </c>
      <c r="AJ909" s="1360">
        <f t="shared" ref="AJ909:AJ919" si="1331">$AI909*$AG909</f>
        <v>184.92400000000001</v>
      </c>
      <c r="AK909" s="1361">
        <f t="shared" ref="AK909" si="1332">AI909*$AH909</f>
        <v>2219.0880000000002</v>
      </c>
      <c r="AL909" s="1384">
        <v>0</v>
      </c>
      <c r="AM909" s="1363">
        <f t="shared" si="1320"/>
        <v>0</v>
      </c>
      <c r="AN909" s="1364">
        <v>0</v>
      </c>
      <c r="AO909" s="1365">
        <f t="shared" si="1321"/>
        <v>0</v>
      </c>
      <c r="AP909" s="1366">
        <v>0</v>
      </c>
      <c r="AQ909" s="1367">
        <f t="shared" si="1322"/>
        <v>0</v>
      </c>
      <c r="AR909" s="1368">
        <v>0</v>
      </c>
      <c r="AS909" s="1369">
        <f t="shared" si="1323"/>
        <v>0</v>
      </c>
      <c r="AT909" s="1370">
        <v>0</v>
      </c>
      <c r="AU909" s="1371">
        <f t="shared" si="1324"/>
        <v>0</v>
      </c>
      <c r="AV909" s="1359">
        <f t="shared" ref="AV909" si="1333">AZ909-AR909-AT909-AP909</f>
        <v>0.1</v>
      </c>
      <c r="AW909" s="1372">
        <f t="shared" si="1326"/>
        <v>2219.0880000000002</v>
      </c>
      <c r="AX909" s="1373">
        <f t="shared" si="1327"/>
        <v>0.1</v>
      </c>
      <c r="AY909" s="1374">
        <f t="shared" si="1328"/>
        <v>2219.0880000000002</v>
      </c>
      <c r="AZ909" s="1375">
        <f t="shared" si="1329"/>
        <v>0.1</v>
      </c>
      <c r="BA909" s="1376">
        <f t="shared" si="1330"/>
        <v>2219.0880000000002</v>
      </c>
      <c r="BB909" s="1391"/>
      <c r="BC909" s="1820"/>
      <c r="BD909" s="1820"/>
      <c r="BE909" s="1823"/>
      <c r="BF909" s="1826"/>
      <c r="BG909" s="1829"/>
    </row>
    <row r="910" spans="1:59" s="1378" customFormat="1" ht="38.25">
      <c r="A910" s="1347" t="str">
        <f>L905</f>
        <v>Trucode Gene Repair, Inc.</v>
      </c>
      <c r="B910" s="1348" t="str">
        <f>N905</f>
        <v>Duenas</v>
      </c>
      <c r="C910" s="1348">
        <f>Z905</f>
        <v>17</v>
      </c>
      <c r="D910" s="1349">
        <v>43101</v>
      </c>
      <c r="E910" s="1349"/>
      <c r="F910" s="1347" t="s">
        <v>113</v>
      </c>
      <c r="G910" s="1347" t="s">
        <v>85</v>
      </c>
      <c r="H910" s="1347" t="s">
        <v>85</v>
      </c>
      <c r="I910" s="1347" t="s">
        <v>113</v>
      </c>
      <c r="J910" s="1349"/>
      <c r="K910" s="1349" t="s">
        <v>254</v>
      </c>
      <c r="L910" s="1350" t="s">
        <v>4675</v>
      </c>
      <c r="M910" s="1350" t="s">
        <v>3651</v>
      </c>
      <c r="N910" s="1351" t="s">
        <v>4856</v>
      </c>
      <c r="O910" s="1352" t="s">
        <v>4681</v>
      </c>
      <c r="P910" s="1352"/>
      <c r="Q910" s="1354"/>
      <c r="R910" s="1354"/>
      <c r="S910" s="1354"/>
      <c r="T910" s="1354"/>
      <c r="U910" s="1354"/>
      <c r="V910" s="1354"/>
      <c r="W910" s="1353" t="s">
        <v>2492</v>
      </c>
      <c r="X910" s="1353">
        <v>43101</v>
      </c>
      <c r="Y910" s="1353">
        <v>43466</v>
      </c>
      <c r="Z910" s="1355"/>
      <c r="AA910" s="1355" t="s">
        <v>4846</v>
      </c>
      <c r="AB910" s="1356"/>
      <c r="AC910" s="1356"/>
      <c r="AD910" s="1356"/>
      <c r="AE910" s="1356"/>
      <c r="AF910" s="1357"/>
      <c r="AG910" s="1358">
        <f t="shared" si="1267"/>
        <v>249.69000000000003</v>
      </c>
      <c r="AH910" s="1358">
        <v>2996.28</v>
      </c>
      <c r="AI910" s="1359">
        <v>0.1</v>
      </c>
      <c r="AJ910" s="1360">
        <f t="shared" si="1331"/>
        <v>24.969000000000005</v>
      </c>
      <c r="AK910" s="1361">
        <f t="shared" si="1319"/>
        <v>299.62800000000004</v>
      </c>
      <c r="AL910" s="1384">
        <v>0</v>
      </c>
      <c r="AM910" s="1363">
        <f t="shared" si="1320"/>
        <v>0</v>
      </c>
      <c r="AN910" s="1364">
        <v>0</v>
      </c>
      <c r="AO910" s="1365">
        <f t="shared" si="1321"/>
        <v>0</v>
      </c>
      <c r="AP910" s="1366">
        <v>0</v>
      </c>
      <c r="AQ910" s="1367">
        <f t="shared" si="1322"/>
        <v>0</v>
      </c>
      <c r="AR910" s="1368">
        <v>0</v>
      </c>
      <c r="AS910" s="1369">
        <f t="shared" si="1323"/>
        <v>0</v>
      </c>
      <c r="AT910" s="1370">
        <v>0</v>
      </c>
      <c r="AU910" s="1371">
        <f t="shared" si="1324"/>
        <v>0</v>
      </c>
      <c r="AV910" s="1359">
        <f t="shared" si="1325"/>
        <v>0.1</v>
      </c>
      <c r="AW910" s="1372">
        <f t="shared" si="1326"/>
        <v>299.62800000000004</v>
      </c>
      <c r="AX910" s="1373">
        <f t="shared" si="1327"/>
        <v>0.1</v>
      </c>
      <c r="AY910" s="1374">
        <f t="shared" si="1328"/>
        <v>299.62800000000004</v>
      </c>
      <c r="AZ910" s="1375">
        <f t="shared" si="1329"/>
        <v>0.1</v>
      </c>
      <c r="BA910" s="1376">
        <f t="shared" si="1330"/>
        <v>299.62800000000004</v>
      </c>
      <c r="BB910" s="1391"/>
      <c r="BC910" s="1820"/>
      <c r="BD910" s="1820"/>
      <c r="BE910" s="1823"/>
      <c r="BF910" s="1826"/>
      <c r="BG910" s="1829"/>
    </row>
    <row r="911" spans="1:59" s="1378" customFormat="1" ht="38.25">
      <c r="A911" s="1347" t="str">
        <f>L905</f>
        <v>Trucode Gene Repair, Inc.</v>
      </c>
      <c r="B911" s="1348" t="str">
        <f>N905</f>
        <v>Duenas</v>
      </c>
      <c r="C911" s="1348">
        <f>Z905</f>
        <v>17</v>
      </c>
      <c r="D911" s="1349">
        <v>43101</v>
      </c>
      <c r="E911" s="1349"/>
      <c r="F911" s="1347" t="s">
        <v>113</v>
      </c>
      <c r="G911" s="1347" t="s">
        <v>85</v>
      </c>
      <c r="H911" s="1347" t="s">
        <v>85</v>
      </c>
      <c r="I911" s="1347" t="s">
        <v>113</v>
      </c>
      <c r="J911" s="1349"/>
      <c r="K911" s="1349" t="s">
        <v>254</v>
      </c>
      <c r="L911" s="1350" t="s">
        <v>4682</v>
      </c>
      <c r="M911" s="1350" t="s">
        <v>4683</v>
      </c>
      <c r="N911" s="1386" t="s">
        <v>1249</v>
      </c>
      <c r="O911" s="1352" t="s">
        <v>4684</v>
      </c>
      <c r="P911" s="1387"/>
      <c r="Q911" s="1354"/>
      <c r="R911" s="1354"/>
      <c r="S911" s="1354"/>
      <c r="T911" s="1354"/>
      <c r="U911" s="1354"/>
      <c r="V911" s="1354"/>
      <c r="W911" s="1354"/>
      <c r="X911" s="1353">
        <v>43101</v>
      </c>
      <c r="Y911" s="1353">
        <v>43466</v>
      </c>
      <c r="Z911" s="1355"/>
      <c r="AA911" s="1355" t="s">
        <v>4884</v>
      </c>
      <c r="AB911" s="1356"/>
      <c r="AC911" s="1356"/>
      <c r="AD911" s="1356"/>
      <c r="AE911" s="1356"/>
      <c r="AF911" s="1357"/>
      <c r="AG911" s="1358">
        <f t="shared" si="1267"/>
        <v>293.77833333333336</v>
      </c>
      <c r="AH911" s="1358">
        <v>3525.34</v>
      </c>
      <c r="AI911" s="1359">
        <v>0.15</v>
      </c>
      <c r="AJ911" s="1360">
        <f t="shared" si="1331"/>
        <v>44.066750000000006</v>
      </c>
      <c r="AK911" s="1361">
        <f t="shared" si="1319"/>
        <v>528.80100000000004</v>
      </c>
      <c r="AL911" s="1384">
        <v>0</v>
      </c>
      <c r="AM911" s="1363">
        <f t="shared" si="1320"/>
        <v>0</v>
      </c>
      <c r="AN911" s="1364">
        <v>0</v>
      </c>
      <c r="AO911" s="1365">
        <f t="shared" si="1321"/>
        <v>0</v>
      </c>
      <c r="AP911" s="1366">
        <v>0</v>
      </c>
      <c r="AQ911" s="1367">
        <f t="shared" si="1322"/>
        <v>0</v>
      </c>
      <c r="AR911" s="1368">
        <v>0</v>
      </c>
      <c r="AS911" s="1369">
        <f t="shared" si="1323"/>
        <v>0</v>
      </c>
      <c r="AT911" s="1370">
        <v>0</v>
      </c>
      <c r="AU911" s="1371">
        <f t="shared" si="1324"/>
        <v>0</v>
      </c>
      <c r="AV911" s="1359">
        <f t="shared" si="1325"/>
        <v>0.15</v>
      </c>
      <c r="AW911" s="1372">
        <f t="shared" si="1326"/>
        <v>528.80100000000004</v>
      </c>
      <c r="AX911" s="1373">
        <f t="shared" si="1327"/>
        <v>0.15</v>
      </c>
      <c r="AY911" s="1374">
        <f t="shared" si="1328"/>
        <v>528.80100000000004</v>
      </c>
      <c r="AZ911" s="1375">
        <f t="shared" si="1329"/>
        <v>0.15</v>
      </c>
      <c r="BA911" s="1376">
        <f t="shared" si="1330"/>
        <v>528.80100000000004</v>
      </c>
      <c r="BB911" s="1391"/>
      <c r="BC911" s="1820"/>
      <c r="BD911" s="1820"/>
      <c r="BE911" s="1823"/>
      <c r="BF911" s="1826"/>
      <c r="BG911" s="1829"/>
    </row>
    <row r="912" spans="1:59" s="1378" customFormat="1" ht="38.25">
      <c r="A912" s="1347" t="str">
        <f>L905</f>
        <v>Trucode Gene Repair, Inc.</v>
      </c>
      <c r="B912" s="1348" t="str">
        <f>N905</f>
        <v>Duenas</v>
      </c>
      <c r="C912" s="1348">
        <f>Z905</f>
        <v>17</v>
      </c>
      <c r="D912" s="1349">
        <v>43101</v>
      </c>
      <c r="E912" s="1349"/>
      <c r="F912" s="1347" t="s">
        <v>113</v>
      </c>
      <c r="G912" s="1347" t="s">
        <v>85</v>
      </c>
      <c r="H912" s="1347" t="s">
        <v>85</v>
      </c>
      <c r="I912" s="1347" t="s">
        <v>113</v>
      </c>
      <c r="J912" s="1349"/>
      <c r="K912" s="1349" t="s">
        <v>254</v>
      </c>
      <c r="L912" s="1350" t="s">
        <v>4682</v>
      </c>
      <c r="M912" s="1350" t="s">
        <v>4686</v>
      </c>
      <c r="N912" s="1386" t="s">
        <v>60</v>
      </c>
      <c r="O912" s="1352" t="s">
        <v>4687</v>
      </c>
      <c r="P912" s="1387"/>
      <c r="Q912" s="1354"/>
      <c r="R912" s="1354"/>
      <c r="S912" s="1354"/>
      <c r="T912" s="1354"/>
      <c r="U912" s="1354"/>
      <c r="V912" s="1354"/>
      <c r="W912" s="1354"/>
      <c r="X912" s="1353">
        <v>43101</v>
      </c>
      <c r="Y912" s="1353">
        <v>43466</v>
      </c>
      <c r="Z912" s="1355"/>
      <c r="AA912" s="1355" t="s">
        <v>4884</v>
      </c>
      <c r="AB912" s="1356"/>
      <c r="AC912" s="1356"/>
      <c r="AD912" s="1356"/>
      <c r="AE912" s="1356"/>
      <c r="AF912" s="1357"/>
      <c r="AG912" s="1358">
        <f t="shared" si="1267"/>
        <v>166.27</v>
      </c>
      <c r="AH912" s="1358">
        <v>1995.24</v>
      </c>
      <c r="AI912" s="1359">
        <v>0.15</v>
      </c>
      <c r="AJ912" s="1360">
        <f t="shared" si="1331"/>
        <v>24.9405</v>
      </c>
      <c r="AK912" s="1361">
        <f t="shared" si="1319"/>
        <v>299.286</v>
      </c>
      <c r="AL912" s="1384">
        <v>0</v>
      </c>
      <c r="AM912" s="1363">
        <f t="shared" si="1320"/>
        <v>0</v>
      </c>
      <c r="AN912" s="1364">
        <v>0</v>
      </c>
      <c r="AO912" s="1365">
        <f t="shared" si="1321"/>
        <v>0</v>
      </c>
      <c r="AP912" s="1366">
        <v>0</v>
      </c>
      <c r="AQ912" s="1367">
        <f t="shared" si="1322"/>
        <v>0</v>
      </c>
      <c r="AR912" s="1368">
        <v>0</v>
      </c>
      <c r="AS912" s="1369">
        <f t="shared" si="1323"/>
        <v>0</v>
      </c>
      <c r="AT912" s="1370">
        <v>0</v>
      </c>
      <c r="AU912" s="1371">
        <f t="shared" si="1324"/>
        <v>0</v>
      </c>
      <c r="AV912" s="1359">
        <f t="shared" si="1325"/>
        <v>0.15</v>
      </c>
      <c r="AW912" s="1372">
        <f t="shared" si="1326"/>
        <v>299.286</v>
      </c>
      <c r="AX912" s="1373">
        <f t="shared" si="1327"/>
        <v>0.15</v>
      </c>
      <c r="AY912" s="1374">
        <f t="shared" si="1328"/>
        <v>299.286</v>
      </c>
      <c r="AZ912" s="1375">
        <f t="shared" si="1329"/>
        <v>0.15</v>
      </c>
      <c r="BA912" s="1376">
        <f t="shared" si="1330"/>
        <v>299.286</v>
      </c>
      <c r="BB912" s="1391"/>
      <c r="BC912" s="1820"/>
      <c r="BD912" s="1820"/>
      <c r="BE912" s="1823"/>
      <c r="BF912" s="1826"/>
      <c r="BG912" s="1829"/>
    </row>
    <row r="913" spans="1:59" s="1378" customFormat="1" ht="38.25">
      <c r="A913" s="1347" t="str">
        <f>L905</f>
        <v>Trucode Gene Repair, Inc.</v>
      </c>
      <c r="B913" s="1348" t="str">
        <f>N905</f>
        <v>Duenas</v>
      </c>
      <c r="C913" s="1348">
        <f>Z905</f>
        <v>17</v>
      </c>
      <c r="D913" s="1349">
        <v>43101</v>
      </c>
      <c r="E913" s="1349"/>
      <c r="F913" s="1347" t="s">
        <v>113</v>
      </c>
      <c r="G913" s="1347" t="s">
        <v>85</v>
      </c>
      <c r="H913" s="1347" t="s">
        <v>85</v>
      </c>
      <c r="I913" s="1347" t="s">
        <v>113</v>
      </c>
      <c r="J913" s="1349"/>
      <c r="K913" s="1349" t="s">
        <v>254</v>
      </c>
      <c r="L913" s="1350" t="s">
        <v>4682</v>
      </c>
      <c r="M913" s="1350" t="s">
        <v>62</v>
      </c>
      <c r="N913" s="1351" t="s">
        <v>81</v>
      </c>
      <c r="O913" s="1352" t="s">
        <v>4688</v>
      </c>
      <c r="P913" s="1352"/>
      <c r="Q913" s="1354"/>
      <c r="R913" s="1354"/>
      <c r="S913" s="1354"/>
      <c r="T913" s="1354"/>
      <c r="U913" s="1354"/>
      <c r="V913" s="1354"/>
      <c r="W913" s="1354"/>
      <c r="X913" s="1353">
        <v>43101</v>
      </c>
      <c r="Y913" s="1353">
        <v>43466</v>
      </c>
      <c r="Z913" s="1355"/>
      <c r="AA913" s="1355" t="s">
        <v>4884</v>
      </c>
      <c r="AB913" s="1356"/>
      <c r="AC913" s="1356"/>
      <c r="AD913" s="1356"/>
      <c r="AE913" s="1356"/>
      <c r="AF913" s="1357"/>
      <c r="AG913" s="1358">
        <f t="shared" si="1267"/>
        <v>263.41666666666669</v>
      </c>
      <c r="AH913" s="1358">
        <v>3161</v>
      </c>
      <c r="AI913" s="1359">
        <v>0.15</v>
      </c>
      <c r="AJ913" s="1360">
        <f t="shared" si="1331"/>
        <v>39.512500000000003</v>
      </c>
      <c r="AK913" s="1361">
        <f t="shared" si="1319"/>
        <v>474.15</v>
      </c>
      <c r="AL913" s="1384">
        <v>0</v>
      </c>
      <c r="AM913" s="1363">
        <f t="shared" si="1320"/>
        <v>0</v>
      </c>
      <c r="AN913" s="1364">
        <v>0</v>
      </c>
      <c r="AO913" s="1365">
        <f t="shared" si="1321"/>
        <v>0</v>
      </c>
      <c r="AP913" s="1366">
        <v>0</v>
      </c>
      <c r="AQ913" s="1367">
        <f t="shared" si="1322"/>
        <v>0</v>
      </c>
      <c r="AR913" s="1368">
        <v>0</v>
      </c>
      <c r="AS913" s="1369">
        <f t="shared" si="1323"/>
        <v>0</v>
      </c>
      <c r="AT913" s="1370">
        <v>0</v>
      </c>
      <c r="AU913" s="1371">
        <f t="shared" si="1324"/>
        <v>0</v>
      </c>
      <c r="AV913" s="1359">
        <f t="shared" si="1325"/>
        <v>0.15</v>
      </c>
      <c r="AW913" s="1372">
        <f t="shared" si="1326"/>
        <v>474.15</v>
      </c>
      <c r="AX913" s="1373">
        <f t="shared" si="1327"/>
        <v>0.15</v>
      </c>
      <c r="AY913" s="1374">
        <f t="shared" si="1328"/>
        <v>474.15</v>
      </c>
      <c r="AZ913" s="1375">
        <f t="shared" si="1329"/>
        <v>0.15</v>
      </c>
      <c r="BA913" s="1376">
        <f t="shared" si="1330"/>
        <v>474.15</v>
      </c>
      <c r="BB913" s="1391"/>
      <c r="BC913" s="1820"/>
      <c r="BD913" s="1820"/>
      <c r="BE913" s="1823"/>
      <c r="BF913" s="1826"/>
      <c r="BG913" s="1829"/>
    </row>
    <row r="914" spans="1:59" s="1378" customFormat="1" ht="38.25">
      <c r="A914" s="1347" t="str">
        <f>L905</f>
        <v>Trucode Gene Repair, Inc.</v>
      </c>
      <c r="B914" s="1348" t="str">
        <f>N905</f>
        <v>Duenas</v>
      </c>
      <c r="C914" s="1348">
        <f>Z905</f>
        <v>17</v>
      </c>
      <c r="D914" s="1349">
        <v>43101</v>
      </c>
      <c r="E914" s="1349"/>
      <c r="F914" s="1347" t="s">
        <v>113</v>
      </c>
      <c r="G914" s="1347" t="s">
        <v>85</v>
      </c>
      <c r="H914" s="1347" t="s">
        <v>85</v>
      </c>
      <c r="I914" s="1347" t="s">
        <v>113</v>
      </c>
      <c r="J914" s="1349"/>
      <c r="K914" s="1349" t="s">
        <v>254</v>
      </c>
      <c r="L914" s="1350" t="s">
        <v>4682</v>
      </c>
      <c r="M914" s="1350" t="s">
        <v>67</v>
      </c>
      <c r="N914" s="1351" t="s">
        <v>82</v>
      </c>
      <c r="O914" s="1352" t="s">
        <v>4689</v>
      </c>
      <c r="P914" s="1352"/>
      <c r="Q914" s="1354"/>
      <c r="R914" s="1354"/>
      <c r="S914" s="1354"/>
      <c r="T914" s="1354"/>
      <c r="U914" s="1354"/>
      <c r="V914" s="1354"/>
      <c r="W914" s="1354"/>
      <c r="X914" s="1353">
        <v>43101</v>
      </c>
      <c r="Y914" s="1353">
        <v>43466</v>
      </c>
      <c r="Z914" s="1355"/>
      <c r="AA914" s="1355" t="s">
        <v>4884</v>
      </c>
      <c r="AB914" s="1356"/>
      <c r="AC914" s="1356"/>
      <c r="AD914" s="1356"/>
      <c r="AE914" s="1356"/>
      <c r="AF914" s="1357"/>
      <c r="AG914" s="1358">
        <f t="shared" si="1267"/>
        <v>500.41666666666669</v>
      </c>
      <c r="AH914" s="1358">
        <v>6005</v>
      </c>
      <c r="AI914" s="1359">
        <v>0.15</v>
      </c>
      <c r="AJ914" s="1360">
        <f t="shared" si="1331"/>
        <v>75.0625</v>
      </c>
      <c r="AK914" s="1361">
        <f t="shared" si="1319"/>
        <v>900.75</v>
      </c>
      <c r="AL914" s="1384">
        <v>0</v>
      </c>
      <c r="AM914" s="1363">
        <f t="shared" si="1320"/>
        <v>0</v>
      </c>
      <c r="AN914" s="1364">
        <v>0</v>
      </c>
      <c r="AO914" s="1365">
        <f t="shared" si="1321"/>
        <v>0</v>
      </c>
      <c r="AP914" s="1366">
        <v>0</v>
      </c>
      <c r="AQ914" s="1367">
        <f t="shared" si="1322"/>
        <v>0</v>
      </c>
      <c r="AR914" s="1368">
        <v>0</v>
      </c>
      <c r="AS914" s="1369">
        <f t="shared" si="1323"/>
        <v>0</v>
      </c>
      <c r="AT914" s="1370">
        <v>0</v>
      </c>
      <c r="AU914" s="1371">
        <f t="shared" si="1324"/>
        <v>0</v>
      </c>
      <c r="AV914" s="1359">
        <f t="shared" si="1325"/>
        <v>0.15</v>
      </c>
      <c r="AW914" s="1372">
        <f t="shared" si="1326"/>
        <v>900.75</v>
      </c>
      <c r="AX914" s="1373">
        <f t="shared" si="1327"/>
        <v>0.15</v>
      </c>
      <c r="AY914" s="1374">
        <f t="shared" si="1328"/>
        <v>900.75</v>
      </c>
      <c r="AZ914" s="1375">
        <f t="shared" si="1329"/>
        <v>0.15</v>
      </c>
      <c r="BA914" s="1376">
        <f t="shared" si="1330"/>
        <v>900.75</v>
      </c>
      <c r="BB914" s="1391"/>
      <c r="BC914" s="1820"/>
      <c r="BD914" s="1820"/>
      <c r="BE914" s="1823"/>
      <c r="BF914" s="1826"/>
      <c r="BG914" s="1829"/>
    </row>
    <row r="915" spans="1:59" s="1378" customFormat="1" ht="27.75" customHeight="1">
      <c r="A915" s="1347" t="s">
        <v>416</v>
      </c>
      <c r="B915" s="1348" t="s">
        <v>4835</v>
      </c>
      <c r="C915" s="1348">
        <v>16</v>
      </c>
      <c r="D915" s="1349">
        <v>43101</v>
      </c>
      <c r="E915" s="1349"/>
      <c r="F915" s="1347" t="s">
        <v>72</v>
      </c>
      <c r="G915" s="1347" t="s">
        <v>85</v>
      </c>
      <c r="H915" s="1347" t="s">
        <v>72</v>
      </c>
      <c r="I915" s="1347" t="s">
        <v>72</v>
      </c>
      <c r="J915" s="1349" t="s">
        <v>4670</v>
      </c>
      <c r="K915" s="1349" t="s">
        <v>254</v>
      </c>
      <c r="L915" s="1350" t="s">
        <v>4696</v>
      </c>
      <c r="M915" s="1350" t="s">
        <v>4697</v>
      </c>
      <c r="N915" s="1389" t="s">
        <v>4698</v>
      </c>
      <c r="O915" s="1352" t="s">
        <v>4699</v>
      </c>
      <c r="P915" s="1388"/>
      <c r="Q915" s="1354"/>
      <c r="R915" s="1354"/>
      <c r="S915" s="1354"/>
      <c r="T915" s="1354"/>
      <c r="U915" s="1354"/>
      <c r="V915" s="1354"/>
      <c r="W915" s="1354"/>
      <c r="X915" s="1353">
        <v>43101</v>
      </c>
      <c r="Y915" s="1353">
        <v>43466</v>
      </c>
      <c r="Z915" s="1355"/>
      <c r="AA915" s="1355" t="s">
        <v>4674</v>
      </c>
      <c r="AB915" s="1356"/>
      <c r="AC915" s="1356"/>
      <c r="AD915" s="1356"/>
      <c r="AE915" s="1356"/>
      <c r="AF915" s="1357" t="str">
        <f t="shared" si="1295"/>
        <v/>
      </c>
      <c r="AG915" s="1380"/>
      <c r="AH915" s="1380"/>
      <c r="AI915" s="1381">
        <v>0</v>
      </c>
      <c r="AJ915" s="1382">
        <f t="shared" si="1331"/>
        <v>0</v>
      </c>
      <c r="AK915" s="1383">
        <f t="shared" si="1319"/>
        <v>0</v>
      </c>
      <c r="AL915" s="1384">
        <v>0</v>
      </c>
      <c r="AM915" s="1363">
        <f t="shared" si="1320"/>
        <v>0</v>
      </c>
      <c r="AN915" s="1364">
        <v>0</v>
      </c>
      <c r="AO915" s="1365">
        <f t="shared" si="1321"/>
        <v>0</v>
      </c>
      <c r="AP915" s="1366">
        <v>0</v>
      </c>
      <c r="AQ915" s="1367">
        <f t="shared" si="1322"/>
        <v>0</v>
      </c>
      <c r="AR915" s="1368">
        <v>0</v>
      </c>
      <c r="AS915" s="1369">
        <f t="shared" si="1323"/>
        <v>0</v>
      </c>
      <c r="AT915" s="1370">
        <v>0</v>
      </c>
      <c r="AU915" s="1371">
        <f t="shared" si="1324"/>
        <v>0</v>
      </c>
      <c r="AV915" s="1359">
        <f t="shared" si="1325"/>
        <v>0</v>
      </c>
      <c r="AW915" s="1372">
        <f t="shared" si="1326"/>
        <v>0</v>
      </c>
      <c r="AX915" s="1373">
        <f t="shared" si="1327"/>
        <v>0</v>
      </c>
      <c r="AY915" s="1374">
        <f t="shared" si="1328"/>
        <v>0</v>
      </c>
      <c r="AZ915" s="1375">
        <f t="shared" si="1329"/>
        <v>0</v>
      </c>
      <c r="BA915" s="1376">
        <f t="shared" si="1330"/>
        <v>0</v>
      </c>
      <c r="BB915" s="1377"/>
      <c r="BC915" s="1820"/>
      <c r="BD915" s="1820"/>
      <c r="BE915" s="1823"/>
      <c r="BF915" s="1826"/>
      <c r="BG915" s="1829"/>
    </row>
    <row r="916" spans="1:59" s="1378" customFormat="1" ht="38.25">
      <c r="A916" s="1347" t="s">
        <v>416</v>
      </c>
      <c r="B916" s="1348" t="s">
        <v>4835</v>
      </c>
      <c r="C916" s="1348">
        <v>16</v>
      </c>
      <c r="D916" s="1349">
        <v>43101</v>
      </c>
      <c r="E916" s="1349"/>
      <c r="F916" s="1347" t="s">
        <v>72</v>
      </c>
      <c r="G916" s="1347" t="s">
        <v>4700</v>
      </c>
      <c r="H916" s="1347" t="s">
        <v>72</v>
      </c>
      <c r="I916" s="1347" t="s">
        <v>72</v>
      </c>
      <c r="J916" s="1349" t="s">
        <v>4670</v>
      </c>
      <c r="K916" s="1349" t="s">
        <v>254</v>
      </c>
      <c r="L916" s="1350" t="s">
        <v>48</v>
      </c>
      <c r="M916" s="1350" t="s">
        <v>3652</v>
      </c>
      <c r="N916" s="1390" t="s">
        <v>4877</v>
      </c>
      <c r="O916" s="1352" t="s">
        <v>4702</v>
      </c>
      <c r="P916" s="1388"/>
      <c r="Q916" s="1354"/>
      <c r="R916" s="1354"/>
      <c r="S916" s="1354"/>
      <c r="T916" s="1354"/>
      <c r="U916" s="1354"/>
      <c r="V916" s="1354"/>
      <c r="W916" s="1354"/>
      <c r="X916" s="1353">
        <v>43101</v>
      </c>
      <c r="Y916" s="1353">
        <v>43466</v>
      </c>
      <c r="Z916" s="1355"/>
      <c r="AA916" s="1355" t="s">
        <v>4674</v>
      </c>
      <c r="AB916" s="1356"/>
      <c r="AC916" s="1356"/>
      <c r="AD916" s="1356"/>
      <c r="AE916" s="1356"/>
      <c r="AF916" s="1357" t="str">
        <f t="shared" si="1295"/>
        <v/>
      </c>
      <c r="AG916" s="1380"/>
      <c r="AH916" s="1380"/>
      <c r="AI916" s="1381">
        <v>0</v>
      </c>
      <c r="AJ916" s="1382">
        <f t="shared" si="1331"/>
        <v>0</v>
      </c>
      <c r="AK916" s="1383">
        <f t="shared" si="1319"/>
        <v>0</v>
      </c>
      <c r="AL916" s="1384">
        <v>0</v>
      </c>
      <c r="AM916" s="1363">
        <f t="shared" si="1320"/>
        <v>0</v>
      </c>
      <c r="AN916" s="1364">
        <v>0</v>
      </c>
      <c r="AO916" s="1365">
        <f t="shared" si="1321"/>
        <v>0</v>
      </c>
      <c r="AP916" s="1366">
        <v>0</v>
      </c>
      <c r="AQ916" s="1367">
        <f t="shared" si="1322"/>
        <v>0</v>
      </c>
      <c r="AR916" s="1368">
        <v>0</v>
      </c>
      <c r="AS916" s="1369">
        <f t="shared" si="1323"/>
        <v>0</v>
      </c>
      <c r="AT916" s="1370">
        <v>0</v>
      </c>
      <c r="AU916" s="1371">
        <f t="shared" si="1324"/>
        <v>0</v>
      </c>
      <c r="AV916" s="1359">
        <f t="shared" si="1325"/>
        <v>0</v>
      </c>
      <c r="AW916" s="1372">
        <f t="shared" si="1326"/>
        <v>0</v>
      </c>
      <c r="AX916" s="1373">
        <f t="shared" si="1327"/>
        <v>0</v>
      </c>
      <c r="AY916" s="1374">
        <f t="shared" si="1328"/>
        <v>0</v>
      </c>
      <c r="AZ916" s="1375">
        <f t="shared" si="1329"/>
        <v>0</v>
      </c>
      <c r="BA916" s="1376">
        <f t="shared" si="1330"/>
        <v>0</v>
      </c>
      <c r="BB916" s="1377"/>
      <c r="BC916" s="1820"/>
      <c r="BD916" s="1820"/>
      <c r="BE916" s="1823"/>
      <c r="BF916" s="1826"/>
      <c r="BG916" s="1829"/>
    </row>
    <row r="917" spans="1:59" s="1378" customFormat="1" ht="38.25">
      <c r="A917" s="1347" t="str">
        <f>L905</f>
        <v>Trucode Gene Repair, Inc.</v>
      </c>
      <c r="B917" s="1348" t="str">
        <f>N905</f>
        <v>Duenas</v>
      </c>
      <c r="C917" s="1348">
        <f>Z905</f>
        <v>17</v>
      </c>
      <c r="D917" s="1349">
        <v>43101</v>
      </c>
      <c r="E917" s="1349"/>
      <c r="F917" s="1347" t="s">
        <v>72</v>
      </c>
      <c r="G917" s="1347" t="s">
        <v>85</v>
      </c>
      <c r="H917" s="1347" t="s">
        <v>72</v>
      </c>
      <c r="I917" s="1347" t="s">
        <v>72</v>
      </c>
      <c r="J917" s="1349" t="s">
        <v>4670</v>
      </c>
      <c r="K917" s="1349" t="s">
        <v>254</v>
      </c>
      <c r="L917" s="1350" t="s">
        <v>48</v>
      </c>
      <c r="M917" s="1350" t="s">
        <v>253</v>
      </c>
      <c r="N917" s="1390" t="s">
        <v>4703</v>
      </c>
      <c r="O917" s="1352" t="s">
        <v>4704</v>
      </c>
      <c r="P917" s="1352"/>
      <c r="Q917" s="1354"/>
      <c r="R917" s="1354"/>
      <c r="S917" s="1354"/>
      <c r="T917" s="1354"/>
      <c r="U917" s="1354"/>
      <c r="V917" s="1354"/>
      <c r="W917" s="1354"/>
      <c r="X917" s="1353">
        <v>43101</v>
      </c>
      <c r="Y917" s="1353">
        <v>43466</v>
      </c>
      <c r="Z917" s="1355"/>
      <c r="AA917" s="1355" t="s">
        <v>4674</v>
      </c>
      <c r="AB917" s="1356"/>
      <c r="AC917" s="1356"/>
      <c r="AD917" s="1356"/>
      <c r="AE917" s="1356"/>
      <c r="AF917" s="1357" t="str">
        <f t="shared" si="1295"/>
        <v/>
      </c>
      <c r="AG917" s="1380"/>
      <c r="AH917" s="1380"/>
      <c r="AI917" s="1381">
        <v>0</v>
      </c>
      <c r="AJ917" s="1382">
        <f t="shared" si="1331"/>
        <v>0</v>
      </c>
      <c r="AK917" s="1383">
        <f t="shared" si="1319"/>
        <v>0</v>
      </c>
      <c r="AL917" s="1384">
        <v>0</v>
      </c>
      <c r="AM917" s="1363">
        <f t="shared" si="1320"/>
        <v>0</v>
      </c>
      <c r="AN917" s="1364">
        <v>0</v>
      </c>
      <c r="AO917" s="1365">
        <f t="shared" si="1321"/>
        <v>0</v>
      </c>
      <c r="AP917" s="1366">
        <v>0</v>
      </c>
      <c r="AQ917" s="1367">
        <f t="shared" si="1322"/>
        <v>0</v>
      </c>
      <c r="AR917" s="1368">
        <v>0</v>
      </c>
      <c r="AS917" s="1369">
        <f t="shared" si="1323"/>
        <v>0</v>
      </c>
      <c r="AT917" s="1370">
        <v>0</v>
      </c>
      <c r="AU917" s="1371">
        <f t="shared" si="1324"/>
        <v>0</v>
      </c>
      <c r="AV917" s="1359">
        <f t="shared" si="1325"/>
        <v>0</v>
      </c>
      <c r="AW917" s="1372">
        <f t="shared" si="1326"/>
        <v>0</v>
      </c>
      <c r="AX917" s="1373">
        <f t="shared" si="1327"/>
        <v>0</v>
      </c>
      <c r="AY917" s="1374">
        <f t="shared" si="1328"/>
        <v>0</v>
      </c>
      <c r="AZ917" s="1375">
        <f t="shared" si="1329"/>
        <v>0</v>
      </c>
      <c r="BA917" s="1376">
        <f t="shared" si="1330"/>
        <v>0</v>
      </c>
      <c r="BB917" s="1391"/>
      <c r="BC917" s="1820"/>
      <c r="BD917" s="1820"/>
      <c r="BE917" s="1823"/>
      <c r="BF917" s="1826"/>
      <c r="BG917" s="1829"/>
    </row>
    <row r="918" spans="1:59" s="1378" customFormat="1" ht="38.25">
      <c r="A918" s="1347" t="str">
        <f>L905</f>
        <v>Trucode Gene Repair, Inc.</v>
      </c>
      <c r="B918" s="1348" t="str">
        <f>N905</f>
        <v>Duenas</v>
      </c>
      <c r="C918" s="1348">
        <f>Z905</f>
        <v>17</v>
      </c>
      <c r="D918" s="1349">
        <v>43101</v>
      </c>
      <c r="E918" s="1349"/>
      <c r="F918" s="1347" t="s">
        <v>72</v>
      </c>
      <c r="G918" s="1347" t="s">
        <v>85</v>
      </c>
      <c r="H918" s="1347" t="s">
        <v>72</v>
      </c>
      <c r="I918" s="1347" t="s">
        <v>72</v>
      </c>
      <c r="J918" s="1349" t="s">
        <v>4670</v>
      </c>
      <c r="K918" s="1349" t="s">
        <v>254</v>
      </c>
      <c r="L918" s="1350" t="s">
        <v>49</v>
      </c>
      <c r="M918" s="1350" t="s">
        <v>4705</v>
      </c>
      <c r="N918" s="1390" t="s">
        <v>4706</v>
      </c>
      <c r="O918" s="1352" t="s">
        <v>4707</v>
      </c>
      <c r="P918" s="1352"/>
      <c r="Q918" s="1354"/>
      <c r="R918" s="1354"/>
      <c r="S918" s="1354"/>
      <c r="T918" s="1354"/>
      <c r="U918" s="1354"/>
      <c r="V918" s="1354"/>
      <c r="W918" s="1354"/>
      <c r="X918" s="1353">
        <v>43101</v>
      </c>
      <c r="Y918" s="1353">
        <v>43466</v>
      </c>
      <c r="Z918" s="1355"/>
      <c r="AA918" s="1355" t="s">
        <v>4674</v>
      </c>
      <c r="AB918" s="1356"/>
      <c r="AC918" s="1356"/>
      <c r="AD918" s="1356"/>
      <c r="AE918" s="1356"/>
      <c r="AF918" s="1357" t="str">
        <f t="shared" si="1295"/>
        <v/>
      </c>
      <c r="AG918" s="1380"/>
      <c r="AH918" s="1380"/>
      <c r="AI918" s="1381">
        <v>0</v>
      </c>
      <c r="AJ918" s="1382">
        <f t="shared" si="1331"/>
        <v>0</v>
      </c>
      <c r="AK918" s="1383">
        <f t="shared" si="1319"/>
        <v>0</v>
      </c>
      <c r="AL918" s="1384">
        <v>0</v>
      </c>
      <c r="AM918" s="1363">
        <f t="shared" si="1320"/>
        <v>0</v>
      </c>
      <c r="AN918" s="1364">
        <v>0</v>
      </c>
      <c r="AO918" s="1365">
        <f t="shared" si="1321"/>
        <v>0</v>
      </c>
      <c r="AP918" s="1366">
        <v>0</v>
      </c>
      <c r="AQ918" s="1367">
        <f t="shared" si="1322"/>
        <v>0</v>
      </c>
      <c r="AR918" s="1368">
        <v>0</v>
      </c>
      <c r="AS918" s="1369">
        <f t="shared" si="1323"/>
        <v>0</v>
      </c>
      <c r="AT918" s="1370">
        <v>0</v>
      </c>
      <c r="AU918" s="1371">
        <f t="shared" si="1324"/>
        <v>0</v>
      </c>
      <c r="AV918" s="1359">
        <f t="shared" si="1325"/>
        <v>0</v>
      </c>
      <c r="AW918" s="1372">
        <f t="shared" si="1326"/>
        <v>0</v>
      </c>
      <c r="AX918" s="1373">
        <f t="shared" si="1327"/>
        <v>0</v>
      </c>
      <c r="AY918" s="1374">
        <f t="shared" si="1328"/>
        <v>0</v>
      </c>
      <c r="AZ918" s="1375">
        <f t="shared" si="1329"/>
        <v>0</v>
      </c>
      <c r="BA918" s="1376">
        <f t="shared" si="1330"/>
        <v>0</v>
      </c>
      <c r="BB918" s="1391"/>
      <c r="BC918" s="1820"/>
      <c r="BD918" s="1820"/>
      <c r="BE918" s="1823"/>
      <c r="BF918" s="1826"/>
      <c r="BG918" s="1829"/>
    </row>
    <row r="919" spans="1:59" s="1378" customFormat="1" ht="38.25">
      <c r="A919" s="1347" t="str">
        <f>L905</f>
        <v>Trucode Gene Repair, Inc.</v>
      </c>
      <c r="B919" s="1348" t="str">
        <f>N905</f>
        <v>Duenas</v>
      </c>
      <c r="C919" s="1348">
        <f>Z905</f>
        <v>17</v>
      </c>
      <c r="D919" s="1349">
        <v>43101</v>
      </c>
      <c r="E919" s="1349"/>
      <c r="F919" s="1347" t="s">
        <v>72</v>
      </c>
      <c r="G919" s="1347" t="s">
        <v>85</v>
      </c>
      <c r="H919" s="1347" t="s">
        <v>72</v>
      </c>
      <c r="I919" s="1347" t="s">
        <v>72</v>
      </c>
      <c r="J919" s="1349" t="s">
        <v>4670</v>
      </c>
      <c r="K919" s="1349" t="s">
        <v>254</v>
      </c>
      <c r="L919" s="1350" t="s">
        <v>3056</v>
      </c>
      <c r="M919" s="1350" t="s">
        <v>4708</v>
      </c>
      <c r="N919" s="1390" t="s">
        <v>4709</v>
      </c>
      <c r="O919" s="1352" t="s">
        <v>4710</v>
      </c>
      <c r="P919" s="1352"/>
      <c r="Q919" s="1354"/>
      <c r="R919" s="1354"/>
      <c r="S919" s="1354"/>
      <c r="T919" s="1354"/>
      <c r="U919" s="1354"/>
      <c r="V919" s="1354"/>
      <c r="W919" s="1354"/>
      <c r="X919" s="1353">
        <v>43101</v>
      </c>
      <c r="Y919" s="1353">
        <v>43466</v>
      </c>
      <c r="Z919" s="1355"/>
      <c r="AA919" s="1355" t="s">
        <v>4674</v>
      </c>
      <c r="AB919" s="1356"/>
      <c r="AC919" s="1356"/>
      <c r="AD919" s="1356"/>
      <c r="AE919" s="1356"/>
      <c r="AF919" s="1357" t="str">
        <f t="shared" si="1295"/>
        <v/>
      </c>
      <c r="AG919" s="1380"/>
      <c r="AH919" s="1380"/>
      <c r="AI919" s="1381">
        <v>0</v>
      </c>
      <c r="AJ919" s="1382">
        <f t="shared" si="1331"/>
        <v>0</v>
      </c>
      <c r="AK919" s="1383">
        <f t="shared" si="1319"/>
        <v>0</v>
      </c>
      <c r="AL919" s="1384">
        <v>0</v>
      </c>
      <c r="AM919" s="1363">
        <f t="shared" si="1320"/>
        <v>0</v>
      </c>
      <c r="AN919" s="1364">
        <v>0</v>
      </c>
      <c r="AO919" s="1365">
        <f t="shared" si="1321"/>
        <v>0</v>
      </c>
      <c r="AP919" s="1366">
        <v>0</v>
      </c>
      <c r="AQ919" s="1367">
        <f t="shared" si="1322"/>
        <v>0</v>
      </c>
      <c r="AR919" s="1368">
        <v>0</v>
      </c>
      <c r="AS919" s="1369">
        <f t="shared" si="1323"/>
        <v>0</v>
      </c>
      <c r="AT919" s="1370">
        <v>0</v>
      </c>
      <c r="AU919" s="1371">
        <f t="shared" si="1324"/>
        <v>0</v>
      </c>
      <c r="AV919" s="1359">
        <f t="shared" si="1325"/>
        <v>0</v>
      </c>
      <c r="AW919" s="1372">
        <f t="shared" si="1326"/>
        <v>0</v>
      </c>
      <c r="AX919" s="1373">
        <f t="shared" si="1327"/>
        <v>0</v>
      </c>
      <c r="AY919" s="1374">
        <f t="shared" si="1328"/>
        <v>0</v>
      </c>
      <c r="AZ919" s="1375">
        <f t="shared" si="1329"/>
        <v>0</v>
      </c>
      <c r="BA919" s="1376">
        <f t="shared" si="1330"/>
        <v>0</v>
      </c>
      <c r="BB919" s="1391"/>
      <c r="BC919" s="1821"/>
      <c r="BD919" s="1821"/>
      <c r="BE919" s="1824"/>
      <c r="BF919" s="1827"/>
      <c r="BG919" s="1830"/>
    </row>
    <row r="920" spans="1:59" s="1315" customFormat="1" ht="57" customHeight="1">
      <c r="A920" s="1277" t="str">
        <f t="shared" ref="A920:A929" si="1334">L$920</f>
        <v>Truvian Sciences, Inc.</v>
      </c>
      <c r="B920" s="1316" t="str">
        <f t="shared" ref="B920:B929" si="1335">N$920</f>
        <v>HUB SD</v>
      </c>
      <c r="C920" s="1316">
        <f t="shared" ref="C920:C929" si="1336">Z$920</f>
        <v>13</v>
      </c>
      <c r="D920" s="1317">
        <v>43101</v>
      </c>
      <c r="E920" s="1317"/>
      <c r="F920" s="1277" t="s">
        <v>72</v>
      </c>
      <c r="G920" s="1277" t="s">
        <v>72</v>
      </c>
      <c r="H920" s="1277" t="s">
        <v>72</v>
      </c>
      <c r="I920" s="1277" t="s">
        <v>4711</v>
      </c>
      <c r="J920" s="1317"/>
      <c r="K920" s="1317"/>
      <c r="L920" s="1318" t="s">
        <v>3590</v>
      </c>
      <c r="M920" s="1318"/>
      <c r="N920" s="1320" t="s">
        <v>4661</v>
      </c>
      <c r="O920" s="1321" t="s">
        <v>2473</v>
      </c>
      <c r="P920" s="1419"/>
      <c r="Q920" s="1322"/>
      <c r="R920" s="1322"/>
      <c r="S920" s="1322"/>
      <c r="T920" s="1322"/>
      <c r="U920" s="1322"/>
      <c r="V920" s="1322"/>
      <c r="W920" s="1322"/>
      <c r="X920" s="1317">
        <v>43101</v>
      </c>
      <c r="Y920" s="1317">
        <v>43466</v>
      </c>
      <c r="Z920" s="1316">
        <v>13</v>
      </c>
      <c r="AA920" s="1316" t="s">
        <v>4825</v>
      </c>
      <c r="AB920" s="1323">
        <f>SUM(AB921:AB929)</f>
        <v>0</v>
      </c>
      <c r="AC920" s="1323">
        <f>SUM(AC921:AC929)</f>
        <v>0</v>
      </c>
      <c r="AD920" s="1323">
        <f>SUM(AD921:AD929)</f>
        <v>0</v>
      </c>
      <c r="AE920" s="1324">
        <f t="shared" si="1253"/>
        <v>0</v>
      </c>
      <c r="AF920" s="1325" t="str">
        <f t="shared" si="1295"/>
        <v/>
      </c>
      <c r="AG920" s="1326">
        <f t="shared" si="1267"/>
        <v>10982.150000000001</v>
      </c>
      <c r="AH920" s="1326">
        <f>SUM(AH921:AH929)</f>
        <v>131785.80000000002</v>
      </c>
      <c r="AI920" s="1339"/>
      <c r="AJ920" s="1328">
        <f>SUM(AJ921:AJ929)</f>
        <v>915.60980000000006</v>
      </c>
      <c r="AK920" s="1328">
        <f>SUM(AK921:AK929)</f>
        <v>10987.317600000002</v>
      </c>
      <c r="AL920" s="1329"/>
      <c r="AM920" s="1330">
        <f>SUM(AM921:AM929)</f>
        <v>573.63660000000004</v>
      </c>
      <c r="AN920" s="1331"/>
      <c r="AO920" s="1332">
        <f>SUM(AO921:AO929)</f>
        <v>0</v>
      </c>
      <c r="AP920" s="1333"/>
      <c r="AQ920" s="1334">
        <f>SUM(AQ921:AQ929)</f>
        <v>0</v>
      </c>
      <c r="AR920" s="1335"/>
      <c r="AS920" s="1336">
        <f>SUM(AS921:AS929)</f>
        <v>5995.0848000000015</v>
      </c>
      <c r="AT920" s="1337"/>
      <c r="AU920" s="1338">
        <f>SUM(AU921:AU929)</f>
        <v>2868.1830000000004</v>
      </c>
      <c r="AV920" s="1339"/>
      <c r="AW920" s="1340">
        <f>SUM(AW921:AW929)</f>
        <v>1550.4131999999995</v>
      </c>
      <c r="AX920" s="1306"/>
      <c r="AY920" s="1307">
        <f>SUM(AW920+AS920+AU920)</f>
        <v>10413.681000000002</v>
      </c>
      <c r="AZ920" s="1341"/>
      <c r="BA920" s="1309">
        <f>SUM(AY920+AQ920)</f>
        <v>10413.681000000002</v>
      </c>
      <c r="BB920" s="1342">
        <f>(AW920+AU920)/(AK920-AM920)</f>
        <v>0.42430685172706933</v>
      </c>
      <c r="BC920" s="1343"/>
      <c r="BD920" s="1343"/>
      <c r="BE920" s="1344"/>
      <c r="BF920" s="1345" t="s">
        <v>5081</v>
      </c>
      <c r="BG920" s="1346"/>
    </row>
    <row r="921" spans="1:59" s="1378" customFormat="1" ht="76.5">
      <c r="A921" s="1347" t="str">
        <f t="shared" si="1334"/>
        <v>Truvian Sciences, Inc.</v>
      </c>
      <c r="B921" s="1348" t="str">
        <f t="shared" si="1335"/>
        <v>HUB SD</v>
      </c>
      <c r="C921" s="1348">
        <f t="shared" si="1336"/>
        <v>13</v>
      </c>
      <c r="D921" s="1349">
        <v>43101</v>
      </c>
      <c r="E921" s="1349"/>
      <c r="F921" s="1347" t="s">
        <v>85</v>
      </c>
      <c r="G921" s="1347" t="s">
        <v>85</v>
      </c>
      <c r="H921" s="1347" t="s">
        <v>85</v>
      </c>
      <c r="I921" s="1347" t="s">
        <v>113</v>
      </c>
      <c r="J921" s="1349"/>
      <c r="K921" s="1349" t="s">
        <v>254</v>
      </c>
      <c r="L921" s="1350" t="s">
        <v>2661</v>
      </c>
      <c r="M921" s="1350" t="s">
        <v>3647</v>
      </c>
      <c r="N921" s="1351" t="s">
        <v>5359</v>
      </c>
      <c r="O921" s="1352" t="s">
        <v>5002</v>
      </c>
      <c r="P921" s="1352" t="s">
        <v>5003</v>
      </c>
      <c r="Q921" s="1353" t="s">
        <v>317</v>
      </c>
      <c r="R921" s="1353" t="s">
        <v>3648</v>
      </c>
      <c r="S921" s="1353" t="s">
        <v>307</v>
      </c>
      <c r="T921" s="1353" t="s">
        <v>113</v>
      </c>
      <c r="U921" s="1354"/>
      <c r="V921" s="1354"/>
      <c r="W921" s="1354"/>
      <c r="X921" s="1353">
        <v>43101</v>
      </c>
      <c r="Y921" s="1353">
        <v>43466</v>
      </c>
      <c r="Z921" s="1355"/>
      <c r="AA921" s="1355" t="s">
        <v>4667</v>
      </c>
      <c r="AB921" s="1356"/>
      <c r="AC921" s="1356"/>
      <c r="AD921" s="1356"/>
      <c r="AE921" s="1356"/>
      <c r="AF921" s="1357" t="str">
        <f t="shared" si="1295"/>
        <v/>
      </c>
      <c r="AG921" s="1358">
        <f t="shared" si="1267"/>
        <v>9560.61</v>
      </c>
      <c r="AH921" s="1358">
        <v>114727.32</v>
      </c>
      <c r="AI921" s="1359">
        <v>0.08</v>
      </c>
      <c r="AJ921" s="1360">
        <f t="shared" ref="AJ921:AJ929" si="1337">$AI921*$AG921</f>
        <v>764.8488000000001</v>
      </c>
      <c r="AK921" s="1361">
        <f t="shared" ref="AK921" si="1338">AI921*$AH921</f>
        <v>9178.1856000000007</v>
      </c>
      <c r="AL921" s="1362">
        <v>5.0000000000000001E-3</v>
      </c>
      <c r="AM921" s="1363">
        <f t="shared" ref="AM921:AM929" si="1339">AL921*$AH921</f>
        <v>573.63660000000004</v>
      </c>
      <c r="AN921" s="1364">
        <v>0</v>
      </c>
      <c r="AO921" s="1365">
        <f t="shared" ref="AO921:AO929" si="1340">AN921*$AH921</f>
        <v>0</v>
      </c>
      <c r="AP921" s="1366">
        <v>0</v>
      </c>
      <c r="AQ921" s="1367">
        <f t="shared" ref="AQ921:AQ929" si="1341">AP921*$AH921</f>
        <v>0</v>
      </c>
      <c r="AR921" s="1368">
        <v>0.04</v>
      </c>
      <c r="AS921" s="1369">
        <f t="shared" ref="AS921:AS929" si="1342">AR921*$AH921</f>
        <v>4589.0928000000004</v>
      </c>
      <c r="AT921" s="1370">
        <v>2.5000000000000001E-2</v>
      </c>
      <c r="AU921" s="1371">
        <f t="shared" ref="AU921:AU929" si="1343">AT921*$AH921</f>
        <v>2868.1830000000004</v>
      </c>
      <c r="AV921" s="1359">
        <f t="shared" ref="AV921:AV929" si="1344">AZ921-AR921-AT921-AP921</f>
        <v>9.999999999999995E-3</v>
      </c>
      <c r="AW921" s="1372">
        <f t="shared" ref="AW921:AW929" si="1345">AV921*$AH921</f>
        <v>1147.2731999999994</v>
      </c>
      <c r="AX921" s="1373">
        <f t="shared" ref="AX921:AX929" si="1346">$AZ921-$AP921</f>
        <v>7.4999999999999997E-2</v>
      </c>
      <c r="AY921" s="1374">
        <f t="shared" ref="AY921:AY929" si="1347">AX921*$AH921</f>
        <v>8604.5490000000009</v>
      </c>
      <c r="AZ921" s="1375">
        <f t="shared" ref="AZ921:AZ929" si="1348">$AI921-$AL921-$AN921</f>
        <v>7.4999999999999997E-2</v>
      </c>
      <c r="BA921" s="1376">
        <f t="shared" ref="BA921:BA929" si="1349">AZ921*$AH921</f>
        <v>8604.5490000000009</v>
      </c>
      <c r="BB921" s="1391"/>
      <c r="BC921" s="1819" t="s">
        <v>3606</v>
      </c>
      <c r="BD921" s="1819" t="s">
        <v>3605</v>
      </c>
      <c r="BE921" s="1822" t="s">
        <v>3605</v>
      </c>
      <c r="BF921" s="1834" t="s">
        <v>5360</v>
      </c>
      <c r="BG921" s="1828">
        <v>474996745</v>
      </c>
    </row>
    <row r="922" spans="1:59" s="1378" customFormat="1" ht="38.25">
      <c r="A922" s="1347" t="str">
        <f t="shared" si="1334"/>
        <v>Truvian Sciences, Inc.</v>
      </c>
      <c r="B922" s="1348" t="str">
        <f t="shared" si="1335"/>
        <v>HUB SD</v>
      </c>
      <c r="C922" s="1348">
        <f t="shared" si="1336"/>
        <v>13</v>
      </c>
      <c r="D922" s="1349">
        <v>43101</v>
      </c>
      <c r="E922" s="1349"/>
      <c r="F922" s="1347" t="s">
        <v>72</v>
      </c>
      <c r="G922" s="1347" t="s">
        <v>85</v>
      </c>
      <c r="H922" s="1347" t="s">
        <v>72</v>
      </c>
      <c r="I922" s="1347" t="s">
        <v>72</v>
      </c>
      <c r="J922" s="1349" t="s">
        <v>4670</v>
      </c>
      <c r="K922" s="1349" t="s">
        <v>254</v>
      </c>
      <c r="L922" s="1350" t="s">
        <v>4671</v>
      </c>
      <c r="M922" s="1350" t="s">
        <v>3649</v>
      </c>
      <c r="N922" s="1379" t="s">
        <v>4820</v>
      </c>
      <c r="O922" s="1352" t="s">
        <v>5361</v>
      </c>
      <c r="P922" s="1388"/>
      <c r="Q922" s="1354"/>
      <c r="R922" s="1354"/>
      <c r="S922" s="1354"/>
      <c r="T922" s="1354"/>
      <c r="U922" s="1354"/>
      <c r="V922" s="1354"/>
      <c r="W922" s="1354"/>
      <c r="X922" s="1353">
        <v>43101</v>
      </c>
      <c r="Y922" s="1353">
        <v>43466</v>
      </c>
      <c r="Z922" s="1355"/>
      <c r="AA922" s="1355" t="s">
        <v>4674</v>
      </c>
      <c r="AB922" s="1356"/>
      <c r="AC922" s="1356"/>
      <c r="AD922" s="1356"/>
      <c r="AE922" s="1356"/>
      <c r="AF922" s="1357" t="str">
        <f t="shared" si="1295"/>
        <v/>
      </c>
      <c r="AG922" s="1380"/>
      <c r="AH922" s="1380"/>
      <c r="AI922" s="1381">
        <v>0</v>
      </c>
      <c r="AJ922" s="1382">
        <f t="shared" si="1337"/>
        <v>0</v>
      </c>
      <c r="AK922" s="1383">
        <f>AI922*$AH922</f>
        <v>0</v>
      </c>
      <c r="AL922" s="1384">
        <v>0</v>
      </c>
      <c r="AM922" s="1363">
        <f t="shared" si="1339"/>
        <v>0</v>
      </c>
      <c r="AN922" s="1364">
        <v>0</v>
      </c>
      <c r="AO922" s="1365">
        <f t="shared" si="1340"/>
        <v>0</v>
      </c>
      <c r="AP922" s="1366">
        <v>0</v>
      </c>
      <c r="AQ922" s="1367">
        <f t="shared" si="1341"/>
        <v>0</v>
      </c>
      <c r="AR922" s="1368">
        <v>0</v>
      </c>
      <c r="AS922" s="1369">
        <f t="shared" si="1342"/>
        <v>0</v>
      </c>
      <c r="AT922" s="1370">
        <v>0</v>
      </c>
      <c r="AU922" s="1371">
        <f t="shared" si="1343"/>
        <v>0</v>
      </c>
      <c r="AV922" s="1359">
        <f t="shared" si="1344"/>
        <v>0</v>
      </c>
      <c r="AW922" s="1372">
        <f t="shared" si="1345"/>
        <v>0</v>
      </c>
      <c r="AX922" s="1373">
        <f t="shared" si="1346"/>
        <v>0</v>
      </c>
      <c r="AY922" s="1374">
        <f t="shared" si="1347"/>
        <v>0</v>
      </c>
      <c r="AZ922" s="1375">
        <f t="shared" si="1348"/>
        <v>0</v>
      </c>
      <c r="BA922" s="1376">
        <f t="shared" si="1349"/>
        <v>0</v>
      </c>
      <c r="BB922" s="1391"/>
      <c r="BC922" s="1820"/>
      <c r="BD922" s="1820"/>
      <c r="BE922" s="1823"/>
      <c r="BF922" s="1834"/>
      <c r="BG922" s="1829"/>
    </row>
    <row r="923" spans="1:59" s="1378" customFormat="1" ht="38.25">
      <c r="A923" s="1347" t="str">
        <f t="shared" si="1334"/>
        <v>Truvian Sciences, Inc.</v>
      </c>
      <c r="B923" s="1348" t="str">
        <f t="shared" si="1335"/>
        <v>HUB SD</v>
      </c>
      <c r="C923" s="1348">
        <f t="shared" si="1336"/>
        <v>13</v>
      </c>
      <c r="D923" s="1349">
        <v>43101</v>
      </c>
      <c r="E923" s="1349"/>
      <c r="F923" s="1347" t="s">
        <v>113</v>
      </c>
      <c r="G923" s="1347" t="s">
        <v>85</v>
      </c>
      <c r="H923" s="1347" t="s">
        <v>85</v>
      </c>
      <c r="I923" s="1347" t="s">
        <v>113</v>
      </c>
      <c r="J923" s="1349"/>
      <c r="K923" s="1349" t="s">
        <v>254</v>
      </c>
      <c r="L923" s="1350" t="s">
        <v>4675</v>
      </c>
      <c r="M923" s="1350" t="s">
        <v>3650</v>
      </c>
      <c r="N923" s="1385" t="s">
        <v>5362</v>
      </c>
      <c r="O923" s="1352" t="s">
        <v>4677</v>
      </c>
      <c r="P923" s="1388"/>
      <c r="Q923" s="1354"/>
      <c r="R923" s="1354"/>
      <c r="S923" s="1354"/>
      <c r="T923" s="1354"/>
      <c r="U923" s="1353" t="s">
        <v>4802</v>
      </c>
      <c r="V923" s="1353" t="s">
        <v>2497</v>
      </c>
      <c r="W923" s="1354"/>
      <c r="X923" s="1353">
        <v>43101</v>
      </c>
      <c r="Y923" s="1353">
        <v>43466</v>
      </c>
      <c r="Z923" s="1355"/>
      <c r="AA923" s="1355" t="s">
        <v>4679</v>
      </c>
      <c r="AB923" s="1356"/>
      <c r="AC923" s="1356"/>
      <c r="AD923" s="1356"/>
      <c r="AE923" s="1356"/>
      <c r="AF923" s="1357" t="str">
        <f t="shared" si="1295"/>
        <v/>
      </c>
      <c r="AG923" s="1358">
        <f t="shared" si="1267"/>
        <v>1137.8</v>
      </c>
      <c r="AH923" s="1358">
        <v>13653.6</v>
      </c>
      <c r="AI923" s="1359">
        <v>0.1</v>
      </c>
      <c r="AJ923" s="1360">
        <f t="shared" si="1337"/>
        <v>113.78</v>
      </c>
      <c r="AK923" s="1361">
        <f t="shared" ref="AK923:AK929" si="1350">AI923*$AH923</f>
        <v>1365.3600000000001</v>
      </c>
      <c r="AL923" s="1384">
        <v>0</v>
      </c>
      <c r="AM923" s="1363">
        <f t="shared" si="1339"/>
        <v>0</v>
      </c>
      <c r="AN923" s="1364">
        <v>0</v>
      </c>
      <c r="AO923" s="1365">
        <f t="shared" si="1340"/>
        <v>0</v>
      </c>
      <c r="AP923" s="1366">
        <v>0</v>
      </c>
      <c r="AQ923" s="1367">
        <f t="shared" si="1341"/>
        <v>0</v>
      </c>
      <c r="AR923" s="1368">
        <v>0.08</v>
      </c>
      <c r="AS923" s="1369">
        <f t="shared" si="1342"/>
        <v>1092.288</v>
      </c>
      <c r="AT923" s="1370">
        <v>0</v>
      </c>
      <c r="AU923" s="1371">
        <f t="shared" si="1343"/>
        <v>0</v>
      </c>
      <c r="AV923" s="1359">
        <f t="shared" si="1344"/>
        <v>2.0000000000000004E-2</v>
      </c>
      <c r="AW923" s="1372">
        <f t="shared" si="1345"/>
        <v>273.07200000000006</v>
      </c>
      <c r="AX923" s="1373">
        <f t="shared" si="1346"/>
        <v>0.1</v>
      </c>
      <c r="AY923" s="1374">
        <f t="shared" si="1347"/>
        <v>1365.3600000000001</v>
      </c>
      <c r="AZ923" s="1375">
        <f t="shared" si="1348"/>
        <v>0.1</v>
      </c>
      <c r="BA923" s="1376">
        <f t="shared" si="1349"/>
        <v>1365.3600000000001</v>
      </c>
      <c r="BB923" s="1391"/>
      <c r="BC923" s="1820"/>
      <c r="BD923" s="1820"/>
      <c r="BE923" s="1823"/>
      <c r="BF923" s="1834"/>
      <c r="BG923" s="1829"/>
    </row>
    <row r="924" spans="1:59" s="1378" customFormat="1" ht="38.25">
      <c r="A924" s="1347" t="str">
        <f t="shared" si="1334"/>
        <v>Truvian Sciences, Inc.</v>
      </c>
      <c r="B924" s="1348" t="str">
        <f t="shared" si="1335"/>
        <v>HUB SD</v>
      </c>
      <c r="C924" s="1348">
        <f t="shared" si="1336"/>
        <v>13</v>
      </c>
      <c r="D924" s="1349">
        <v>43101</v>
      </c>
      <c r="E924" s="1349"/>
      <c r="F924" s="1347" t="s">
        <v>113</v>
      </c>
      <c r="G924" s="1347" t="s">
        <v>85</v>
      </c>
      <c r="H924" s="1347" t="s">
        <v>85</v>
      </c>
      <c r="I924" s="1347" t="s">
        <v>113</v>
      </c>
      <c r="J924" s="1349"/>
      <c r="K924" s="1349" t="s">
        <v>254</v>
      </c>
      <c r="L924" s="1350" t="s">
        <v>4675</v>
      </c>
      <c r="M924" s="1350" t="s">
        <v>3651</v>
      </c>
      <c r="N924" s="1351" t="s">
        <v>4758</v>
      </c>
      <c r="O924" s="1352" t="s">
        <v>4681</v>
      </c>
      <c r="P924" s="1388"/>
      <c r="Q924" s="1354"/>
      <c r="R924" s="1354"/>
      <c r="S924" s="1354"/>
      <c r="T924" s="1354"/>
      <c r="U924" s="1354"/>
      <c r="V924" s="1354"/>
      <c r="W924" s="1353" t="s">
        <v>2492</v>
      </c>
      <c r="X924" s="1353">
        <v>43101</v>
      </c>
      <c r="Y924" s="1353">
        <v>43466</v>
      </c>
      <c r="Z924" s="1355"/>
      <c r="AA924" s="1355" t="s">
        <v>4679</v>
      </c>
      <c r="AB924" s="1356"/>
      <c r="AC924" s="1356"/>
      <c r="AD924" s="1356"/>
      <c r="AE924" s="1356"/>
      <c r="AF924" s="1357" t="str">
        <f t="shared" si="1295"/>
        <v/>
      </c>
      <c r="AG924" s="1358">
        <f t="shared" si="1267"/>
        <v>111.60000000000001</v>
      </c>
      <c r="AH924" s="1358">
        <v>1339.2</v>
      </c>
      <c r="AI924" s="1359">
        <v>0.1</v>
      </c>
      <c r="AJ924" s="1360">
        <f t="shared" si="1337"/>
        <v>11.160000000000002</v>
      </c>
      <c r="AK924" s="1361">
        <f t="shared" si="1350"/>
        <v>133.92000000000002</v>
      </c>
      <c r="AL924" s="1384">
        <v>0</v>
      </c>
      <c r="AM924" s="1363">
        <f t="shared" si="1339"/>
        <v>0</v>
      </c>
      <c r="AN924" s="1364">
        <v>0</v>
      </c>
      <c r="AO924" s="1365">
        <f t="shared" si="1340"/>
        <v>0</v>
      </c>
      <c r="AP924" s="1366">
        <v>0</v>
      </c>
      <c r="AQ924" s="1367">
        <f t="shared" si="1341"/>
        <v>0</v>
      </c>
      <c r="AR924" s="1368">
        <v>0.08</v>
      </c>
      <c r="AS924" s="1369">
        <f t="shared" si="1342"/>
        <v>107.13600000000001</v>
      </c>
      <c r="AT924" s="1370">
        <v>0</v>
      </c>
      <c r="AU924" s="1371">
        <f t="shared" si="1343"/>
        <v>0</v>
      </c>
      <c r="AV924" s="1359">
        <f t="shared" si="1344"/>
        <v>2.0000000000000004E-2</v>
      </c>
      <c r="AW924" s="1372">
        <f t="shared" si="1345"/>
        <v>26.784000000000006</v>
      </c>
      <c r="AX924" s="1373">
        <f t="shared" si="1346"/>
        <v>0.1</v>
      </c>
      <c r="AY924" s="1374">
        <f t="shared" si="1347"/>
        <v>133.92000000000002</v>
      </c>
      <c r="AZ924" s="1375">
        <f t="shared" si="1348"/>
        <v>0.1</v>
      </c>
      <c r="BA924" s="1376">
        <f t="shared" si="1349"/>
        <v>133.92000000000002</v>
      </c>
      <c r="BB924" s="1391"/>
      <c r="BC924" s="1820"/>
      <c r="BD924" s="1820"/>
      <c r="BE924" s="1823"/>
      <c r="BF924" s="1834"/>
      <c r="BG924" s="1829"/>
    </row>
    <row r="925" spans="1:59" s="1378" customFormat="1" ht="38.25">
      <c r="A925" s="1347" t="str">
        <f t="shared" si="1334"/>
        <v>Truvian Sciences, Inc.</v>
      </c>
      <c r="B925" s="1348" t="str">
        <f t="shared" si="1335"/>
        <v>HUB SD</v>
      </c>
      <c r="C925" s="1348">
        <f t="shared" si="1336"/>
        <v>13</v>
      </c>
      <c r="D925" s="1349">
        <v>43101</v>
      </c>
      <c r="E925" s="1349"/>
      <c r="F925" s="1347" t="s">
        <v>113</v>
      </c>
      <c r="G925" s="1347" t="s">
        <v>85</v>
      </c>
      <c r="H925" s="1347" t="s">
        <v>85</v>
      </c>
      <c r="I925" s="1347" t="s">
        <v>113</v>
      </c>
      <c r="J925" s="1349"/>
      <c r="K925" s="1349" t="s">
        <v>254</v>
      </c>
      <c r="L925" s="1350" t="s">
        <v>4682</v>
      </c>
      <c r="M925" s="1350" t="s">
        <v>4683</v>
      </c>
      <c r="N925" s="1386" t="s">
        <v>1249</v>
      </c>
      <c r="O925" s="1352" t="s">
        <v>4684</v>
      </c>
      <c r="P925" s="1421"/>
      <c r="Q925" s="1354"/>
      <c r="R925" s="1354"/>
      <c r="S925" s="1354"/>
      <c r="T925" s="1354"/>
      <c r="U925" s="1354"/>
      <c r="V925" s="1354"/>
      <c r="W925" s="1354"/>
      <c r="X925" s="1353">
        <v>43101</v>
      </c>
      <c r="Y925" s="1353">
        <v>43466</v>
      </c>
      <c r="Z925" s="1355"/>
      <c r="AA925" s="1355" t="s">
        <v>4685</v>
      </c>
      <c r="AB925" s="1356"/>
      <c r="AC925" s="1356"/>
      <c r="AD925" s="1356"/>
      <c r="AE925" s="1356"/>
      <c r="AF925" s="1357" t="str">
        <f t="shared" si="1295"/>
        <v/>
      </c>
      <c r="AG925" s="1358">
        <f t="shared" si="1267"/>
        <v>172.14</v>
      </c>
      <c r="AH925" s="1358">
        <v>2065.6799999999998</v>
      </c>
      <c r="AI925" s="1359">
        <v>0.15</v>
      </c>
      <c r="AJ925" s="1360">
        <f t="shared" si="1337"/>
        <v>25.820999999999998</v>
      </c>
      <c r="AK925" s="1361">
        <f t="shared" si="1350"/>
        <v>309.85199999999998</v>
      </c>
      <c r="AL925" s="1384">
        <v>0</v>
      </c>
      <c r="AM925" s="1363">
        <f t="shared" si="1339"/>
        <v>0</v>
      </c>
      <c r="AN925" s="1364">
        <v>0</v>
      </c>
      <c r="AO925" s="1365">
        <f t="shared" si="1340"/>
        <v>0</v>
      </c>
      <c r="AP925" s="1366">
        <v>0</v>
      </c>
      <c r="AQ925" s="1367">
        <f t="shared" si="1341"/>
        <v>0</v>
      </c>
      <c r="AR925" s="1368">
        <v>0.1</v>
      </c>
      <c r="AS925" s="1369">
        <f t="shared" si="1342"/>
        <v>206.56799999999998</v>
      </c>
      <c r="AT925" s="1370">
        <v>0</v>
      </c>
      <c r="AU925" s="1371">
        <f t="shared" si="1343"/>
        <v>0</v>
      </c>
      <c r="AV925" s="1359">
        <f t="shared" si="1344"/>
        <v>4.9999999999999989E-2</v>
      </c>
      <c r="AW925" s="1372">
        <f t="shared" si="1345"/>
        <v>103.28399999999996</v>
      </c>
      <c r="AX925" s="1373">
        <f t="shared" si="1346"/>
        <v>0.15</v>
      </c>
      <c r="AY925" s="1374">
        <f t="shared" si="1347"/>
        <v>309.85199999999998</v>
      </c>
      <c r="AZ925" s="1375">
        <f t="shared" si="1348"/>
        <v>0.15</v>
      </c>
      <c r="BA925" s="1376">
        <f t="shared" si="1349"/>
        <v>309.85199999999998</v>
      </c>
      <c r="BB925" s="1391"/>
      <c r="BC925" s="1820"/>
      <c r="BD925" s="1820"/>
      <c r="BE925" s="1823"/>
      <c r="BF925" s="1834"/>
      <c r="BG925" s="1829"/>
    </row>
    <row r="926" spans="1:59" s="1378" customFormat="1" ht="27.75" customHeight="1">
      <c r="A926" s="1347" t="str">
        <f t="shared" si="1334"/>
        <v>Truvian Sciences, Inc.</v>
      </c>
      <c r="B926" s="1348" t="str">
        <f t="shared" si="1335"/>
        <v>HUB SD</v>
      </c>
      <c r="C926" s="1348">
        <f t="shared" si="1336"/>
        <v>13</v>
      </c>
      <c r="D926" s="1349">
        <v>43101</v>
      </c>
      <c r="E926" s="1349"/>
      <c r="F926" s="1347" t="s">
        <v>72</v>
      </c>
      <c r="G926" s="1347" t="s">
        <v>85</v>
      </c>
      <c r="H926" s="1347" t="s">
        <v>72</v>
      </c>
      <c r="I926" s="1347" t="s">
        <v>72</v>
      </c>
      <c r="J926" s="1349" t="s">
        <v>4670</v>
      </c>
      <c r="K926" s="1349" t="s">
        <v>254</v>
      </c>
      <c r="L926" s="1350" t="s">
        <v>4696</v>
      </c>
      <c r="M926" s="1350" t="s">
        <v>4697</v>
      </c>
      <c r="N926" s="1389" t="s">
        <v>4698</v>
      </c>
      <c r="O926" s="1352" t="s">
        <v>4699</v>
      </c>
      <c r="P926" s="1388"/>
      <c r="Q926" s="1354"/>
      <c r="R926" s="1354"/>
      <c r="S926" s="1354"/>
      <c r="T926" s="1354"/>
      <c r="U926" s="1354"/>
      <c r="V926" s="1354"/>
      <c r="W926" s="1354"/>
      <c r="X926" s="1353">
        <v>43101</v>
      </c>
      <c r="Y926" s="1353">
        <v>43466</v>
      </c>
      <c r="Z926" s="1355"/>
      <c r="AA926" s="1355" t="s">
        <v>4674</v>
      </c>
      <c r="AB926" s="1356"/>
      <c r="AC926" s="1356"/>
      <c r="AD926" s="1356"/>
      <c r="AE926" s="1356"/>
      <c r="AF926" s="1357" t="str">
        <f t="shared" si="1295"/>
        <v/>
      </c>
      <c r="AG926" s="1380"/>
      <c r="AH926" s="1380"/>
      <c r="AI926" s="1381">
        <v>0</v>
      </c>
      <c r="AJ926" s="1382">
        <f t="shared" si="1337"/>
        <v>0</v>
      </c>
      <c r="AK926" s="1383">
        <f t="shared" si="1350"/>
        <v>0</v>
      </c>
      <c r="AL926" s="1384">
        <v>0</v>
      </c>
      <c r="AM926" s="1363">
        <f t="shared" si="1339"/>
        <v>0</v>
      </c>
      <c r="AN926" s="1364">
        <v>0</v>
      </c>
      <c r="AO926" s="1365">
        <f t="shared" si="1340"/>
        <v>0</v>
      </c>
      <c r="AP926" s="1366">
        <v>0</v>
      </c>
      <c r="AQ926" s="1367">
        <f t="shared" si="1341"/>
        <v>0</v>
      </c>
      <c r="AR926" s="1368">
        <v>0</v>
      </c>
      <c r="AS926" s="1369">
        <f t="shared" si="1342"/>
        <v>0</v>
      </c>
      <c r="AT926" s="1370">
        <v>0</v>
      </c>
      <c r="AU926" s="1371">
        <f t="shared" si="1343"/>
        <v>0</v>
      </c>
      <c r="AV926" s="1359">
        <f t="shared" si="1344"/>
        <v>0</v>
      </c>
      <c r="AW926" s="1372">
        <f t="shared" si="1345"/>
        <v>0</v>
      </c>
      <c r="AX926" s="1373">
        <f t="shared" si="1346"/>
        <v>0</v>
      </c>
      <c r="AY926" s="1374">
        <f t="shared" si="1347"/>
        <v>0</v>
      </c>
      <c r="AZ926" s="1375">
        <f t="shared" si="1348"/>
        <v>0</v>
      </c>
      <c r="BA926" s="1376">
        <f t="shared" si="1349"/>
        <v>0</v>
      </c>
      <c r="BB926" s="1377"/>
      <c r="BC926" s="1820"/>
      <c r="BD926" s="1820"/>
      <c r="BE926" s="1823"/>
      <c r="BF926" s="1834"/>
      <c r="BG926" s="1829"/>
    </row>
    <row r="927" spans="1:59" s="1378" customFormat="1" ht="38.25">
      <c r="A927" s="1347" t="str">
        <f t="shared" si="1334"/>
        <v>Truvian Sciences, Inc.</v>
      </c>
      <c r="B927" s="1348" t="str">
        <f t="shared" si="1335"/>
        <v>HUB SD</v>
      </c>
      <c r="C927" s="1348">
        <f t="shared" si="1336"/>
        <v>13</v>
      </c>
      <c r="D927" s="1349">
        <v>43101</v>
      </c>
      <c r="E927" s="1349"/>
      <c r="F927" s="1347" t="s">
        <v>72</v>
      </c>
      <c r="G927" s="1347" t="s">
        <v>85</v>
      </c>
      <c r="H927" s="1347" t="s">
        <v>72</v>
      </c>
      <c r="I927" s="1347" t="s">
        <v>72</v>
      </c>
      <c r="J927" s="1349" t="s">
        <v>4670</v>
      </c>
      <c r="K927" s="1349" t="s">
        <v>254</v>
      </c>
      <c r="L927" s="1350" t="s">
        <v>48</v>
      </c>
      <c r="M927" s="1350" t="s">
        <v>253</v>
      </c>
      <c r="N927" s="1390" t="s">
        <v>4703</v>
      </c>
      <c r="O927" s="1352" t="s">
        <v>4704</v>
      </c>
      <c r="P927" s="1388"/>
      <c r="Q927" s="1354"/>
      <c r="R927" s="1354"/>
      <c r="S927" s="1354"/>
      <c r="T927" s="1354"/>
      <c r="U927" s="1354"/>
      <c r="V927" s="1354"/>
      <c r="W927" s="1354"/>
      <c r="X927" s="1353">
        <v>43101</v>
      </c>
      <c r="Y927" s="1353">
        <v>43466</v>
      </c>
      <c r="Z927" s="1355"/>
      <c r="AA927" s="1355" t="s">
        <v>4674</v>
      </c>
      <c r="AB927" s="1356"/>
      <c r="AC927" s="1356"/>
      <c r="AD927" s="1356"/>
      <c r="AE927" s="1356"/>
      <c r="AF927" s="1357" t="str">
        <f t="shared" si="1295"/>
        <v/>
      </c>
      <c r="AG927" s="1380"/>
      <c r="AH927" s="1380"/>
      <c r="AI927" s="1381">
        <v>0</v>
      </c>
      <c r="AJ927" s="1382">
        <f t="shared" si="1337"/>
        <v>0</v>
      </c>
      <c r="AK927" s="1383">
        <f t="shared" si="1350"/>
        <v>0</v>
      </c>
      <c r="AL927" s="1384">
        <v>0</v>
      </c>
      <c r="AM927" s="1363">
        <f t="shared" si="1339"/>
        <v>0</v>
      </c>
      <c r="AN927" s="1364">
        <v>0</v>
      </c>
      <c r="AO927" s="1365">
        <f t="shared" si="1340"/>
        <v>0</v>
      </c>
      <c r="AP927" s="1366">
        <v>0</v>
      </c>
      <c r="AQ927" s="1367">
        <f t="shared" si="1341"/>
        <v>0</v>
      </c>
      <c r="AR927" s="1368">
        <v>0</v>
      </c>
      <c r="AS927" s="1369">
        <f t="shared" si="1342"/>
        <v>0</v>
      </c>
      <c r="AT927" s="1370">
        <v>0</v>
      </c>
      <c r="AU927" s="1371">
        <f t="shared" si="1343"/>
        <v>0</v>
      </c>
      <c r="AV927" s="1359">
        <f t="shared" si="1344"/>
        <v>0</v>
      </c>
      <c r="AW927" s="1372">
        <f t="shared" si="1345"/>
        <v>0</v>
      </c>
      <c r="AX927" s="1373">
        <f t="shared" si="1346"/>
        <v>0</v>
      </c>
      <c r="AY927" s="1374">
        <f t="shared" si="1347"/>
        <v>0</v>
      </c>
      <c r="AZ927" s="1375">
        <f t="shared" si="1348"/>
        <v>0</v>
      </c>
      <c r="BA927" s="1376">
        <f t="shared" si="1349"/>
        <v>0</v>
      </c>
      <c r="BB927" s="1391"/>
      <c r="BC927" s="1820"/>
      <c r="BD927" s="1820"/>
      <c r="BE927" s="1823"/>
      <c r="BF927" s="1834"/>
      <c r="BG927" s="1829"/>
    </row>
    <row r="928" spans="1:59" s="1378" customFormat="1" ht="38.25">
      <c r="A928" s="1347" t="str">
        <f t="shared" si="1334"/>
        <v>Truvian Sciences, Inc.</v>
      </c>
      <c r="B928" s="1348" t="str">
        <f t="shared" si="1335"/>
        <v>HUB SD</v>
      </c>
      <c r="C928" s="1348">
        <f t="shared" si="1336"/>
        <v>13</v>
      </c>
      <c r="D928" s="1349">
        <v>43101</v>
      </c>
      <c r="E928" s="1349"/>
      <c r="F928" s="1347" t="s">
        <v>72</v>
      </c>
      <c r="G928" s="1347" t="s">
        <v>85</v>
      </c>
      <c r="H928" s="1347" t="s">
        <v>72</v>
      </c>
      <c r="I928" s="1347" t="s">
        <v>72</v>
      </c>
      <c r="J928" s="1349" t="s">
        <v>4670</v>
      </c>
      <c r="K928" s="1349" t="s">
        <v>254</v>
      </c>
      <c r="L928" s="1350" t="s">
        <v>49</v>
      </c>
      <c r="M928" s="1350" t="s">
        <v>4705</v>
      </c>
      <c r="N928" s="1390" t="s">
        <v>4706</v>
      </c>
      <c r="O928" s="1352" t="s">
        <v>4707</v>
      </c>
      <c r="P928" s="1388"/>
      <c r="Q928" s="1354"/>
      <c r="R928" s="1354"/>
      <c r="S928" s="1354"/>
      <c r="T928" s="1354"/>
      <c r="U928" s="1354"/>
      <c r="V928" s="1354"/>
      <c r="W928" s="1354"/>
      <c r="X928" s="1353">
        <v>43101</v>
      </c>
      <c r="Y928" s="1353">
        <v>43466</v>
      </c>
      <c r="Z928" s="1355"/>
      <c r="AA928" s="1355" t="s">
        <v>4674</v>
      </c>
      <c r="AB928" s="1356"/>
      <c r="AC928" s="1356"/>
      <c r="AD928" s="1356"/>
      <c r="AE928" s="1356"/>
      <c r="AF928" s="1357" t="str">
        <f t="shared" si="1295"/>
        <v/>
      </c>
      <c r="AG928" s="1380"/>
      <c r="AH928" s="1380"/>
      <c r="AI928" s="1381">
        <v>0</v>
      </c>
      <c r="AJ928" s="1382">
        <f t="shared" si="1337"/>
        <v>0</v>
      </c>
      <c r="AK928" s="1383">
        <f t="shared" si="1350"/>
        <v>0</v>
      </c>
      <c r="AL928" s="1384">
        <v>0</v>
      </c>
      <c r="AM928" s="1363">
        <f t="shared" si="1339"/>
        <v>0</v>
      </c>
      <c r="AN928" s="1364">
        <v>0</v>
      </c>
      <c r="AO928" s="1365">
        <f t="shared" si="1340"/>
        <v>0</v>
      </c>
      <c r="AP928" s="1366">
        <v>0</v>
      </c>
      <c r="AQ928" s="1367">
        <f t="shared" si="1341"/>
        <v>0</v>
      </c>
      <c r="AR928" s="1368">
        <v>0</v>
      </c>
      <c r="AS928" s="1369">
        <f t="shared" si="1342"/>
        <v>0</v>
      </c>
      <c r="AT928" s="1370">
        <v>0</v>
      </c>
      <c r="AU928" s="1371">
        <f t="shared" si="1343"/>
        <v>0</v>
      </c>
      <c r="AV928" s="1359">
        <f t="shared" si="1344"/>
        <v>0</v>
      </c>
      <c r="AW928" s="1372">
        <f t="shared" si="1345"/>
        <v>0</v>
      </c>
      <c r="AX928" s="1373">
        <f t="shared" si="1346"/>
        <v>0</v>
      </c>
      <c r="AY928" s="1374">
        <f t="shared" si="1347"/>
        <v>0</v>
      </c>
      <c r="AZ928" s="1375">
        <f t="shared" si="1348"/>
        <v>0</v>
      </c>
      <c r="BA928" s="1376">
        <f t="shared" si="1349"/>
        <v>0</v>
      </c>
      <c r="BB928" s="1391"/>
      <c r="BC928" s="1820"/>
      <c r="BD928" s="1820"/>
      <c r="BE928" s="1823"/>
      <c r="BF928" s="1834"/>
      <c r="BG928" s="1829"/>
    </row>
    <row r="929" spans="1:59" s="1378" customFormat="1" ht="38.25">
      <c r="A929" s="1347" t="str">
        <f t="shared" si="1334"/>
        <v>Truvian Sciences, Inc.</v>
      </c>
      <c r="B929" s="1348" t="str">
        <f t="shared" si="1335"/>
        <v>HUB SD</v>
      </c>
      <c r="C929" s="1348">
        <f t="shared" si="1336"/>
        <v>13</v>
      </c>
      <c r="D929" s="1349">
        <v>43101</v>
      </c>
      <c r="E929" s="1349"/>
      <c r="F929" s="1347" t="s">
        <v>72</v>
      </c>
      <c r="G929" s="1347" t="s">
        <v>85</v>
      </c>
      <c r="H929" s="1347" t="s">
        <v>72</v>
      </c>
      <c r="I929" s="1347" t="s">
        <v>72</v>
      </c>
      <c r="J929" s="1349" t="s">
        <v>4670</v>
      </c>
      <c r="K929" s="1349" t="s">
        <v>254</v>
      </c>
      <c r="L929" s="1350" t="s">
        <v>3056</v>
      </c>
      <c r="M929" s="1350" t="s">
        <v>4708</v>
      </c>
      <c r="N929" s="1390" t="s">
        <v>4709</v>
      </c>
      <c r="O929" s="1352" t="s">
        <v>4710</v>
      </c>
      <c r="P929" s="1388"/>
      <c r="Q929" s="1354"/>
      <c r="R929" s="1354"/>
      <c r="S929" s="1354"/>
      <c r="T929" s="1354"/>
      <c r="U929" s="1354"/>
      <c r="V929" s="1354"/>
      <c r="W929" s="1354"/>
      <c r="X929" s="1353">
        <v>43101</v>
      </c>
      <c r="Y929" s="1353">
        <v>43466</v>
      </c>
      <c r="Z929" s="1355"/>
      <c r="AA929" s="1355" t="s">
        <v>4674</v>
      </c>
      <c r="AB929" s="1356"/>
      <c r="AC929" s="1356"/>
      <c r="AD929" s="1356"/>
      <c r="AE929" s="1356"/>
      <c r="AF929" s="1357" t="str">
        <f t="shared" si="1295"/>
        <v/>
      </c>
      <c r="AG929" s="1380"/>
      <c r="AH929" s="1380"/>
      <c r="AI929" s="1381">
        <v>0</v>
      </c>
      <c r="AJ929" s="1382">
        <f t="shared" si="1337"/>
        <v>0</v>
      </c>
      <c r="AK929" s="1383">
        <f t="shared" si="1350"/>
        <v>0</v>
      </c>
      <c r="AL929" s="1384">
        <v>0</v>
      </c>
      <c r="AM929" s="1363">
        <f t="shared" si="1339"/>
        <v>0</v>
      </c>
      <c r="AN929" s="1364">
        <v>0</v>
      </c>
      <c r="AO929" s="1365">
        <f t="shared" si="1340"/>
        <v>0</v>
      </c>
      <c r="AP929" s="1366">
        <v>0</v>
      </c>
      <c r="AQ929" s="1367">
        <f t="shared" si="1341"/>
        <v>0</v>
      </c>
      <c r="AR929" s="1368">
        <v>0</v>
      </c>
      <c r="AS929" s="1369">
        <f t="shared" si="1342"/>
        <v>0</v>
      </c>
      <c r="AT929" s="1370">
        <v>0</v>
      </c>
      <c r="AU929" s="1371">
        <f t="shared" si="1343"/>
        <v>0</v>
      </c>
      <c r="AV929" s="1359">
        <f t="shared" si="1344"/>
        <v>0</v>
      </c>
      <c r="AW929" s="1372">
        <f t="shared" si="1345"/>
        <v>0</v>
      </c>
      <c r="AX929" s="1373">
        <f t="shared" si="1346"/>
        <v>0</v>
      </c>
      <c r="AY929" s="1374">
        <f t="shared" si="1347"/>
        <v>0</v>
      </c>
      <c r="AZ929" s="1375">
        <f t="shared" si="1348"/>
        <v>0</v>
      </c>
      <c r="BA929" s="1376">
        <f t="shared" si="1349"/>
        <v>0</v>
      </c>
      <c r="BB929" s="1391"/>
      <c r="BC929" s="1821"/>
      <c r="BD929" s="1821"/>
      <c r="BE929" s="1824"/>
      <c r="BF929" s="1834"/>
      <c r="BG929" s="1830"/>
    </row>
    <row r="930" spans="1:59" s="1315" customFormat="1" ht="51">
      <c r="A930" s="1277" t="str">
        <f>L930</f>
        <v>Versant Venture Management, LLC</v>
      </c>
      <c r="B930" s="1316" t="str">
        <f>N930</f>
        <v>Duenas</v>
      </c>
      <c r="C930" s="1316">
        <f>Z930</f>
        <v>28</v>
      </c>
      <c r="D930" s="1317">
        <v>43101</v>
      </c>
      <c r="E930" s="1317"/>
      <c r="F930" s="1277" t="s">
        <v>72</v>
      </c>
      <c r="G930" s="1277" t="s">
        <v>72</v>
      </c>
      <c r="H930" s="1277" t="s">
        <v>72</v>
      </c>
      <c r="I930" s="1277" t="s">
        <v>4711</v>
      </c>
      <c r="J930" s="1317"/>
      <c r="K930" s="1317"/>
      <c r="L930" s="1318" t="s">
        <v>3662</v>
      </c>
      <c r="M930" s="1319"/>
      <c r="N930" s="1427" t="s">
        <v>4835</v>
      </c>
      <c r="O930" s="1419" t="s">
        <v>2473</v>
      </c>
      <c r="P930" s="1419"/>
      <c r="Q930" s="1322"/>
      <c r="R930" s="1322"/>
      <c r="S930" s="1322"/>
      <c r="T930" s="1322"/>
      <c r="U930" s="1322"/>
      <c r="V930" s="1322"/>
      <c r="W930" s="1322"/>
      <c r="X930" s="1317">
        <v>43101</v>
      </c>
      <c r="Y930" s="1317">
        <v>43466</v>
      </c>
      <c r="Z930" s="1316">
        <v>28</v>
      </c>
      <c r="AA930" s="1316" t="s">
        <v>5363</v>
      </c>
      <c r="AB930" s="1323">
        <f>SUM(AB931:AB943)</f>
        <v>398203.06</v>
      </c>
      <c r="AC930" s="1323">
        <f>SUM(AC931:AC943)</f>
        <v>0</v>
      </c>
      <c r="AD930" s="1323">
        <f>SUM(AD931:AD943)</f>
        <v>327124.49000000005</v>
      </c>
      <c r="AE930" s="1324">
        <f t="shared" si="1253"/>
        <v>-71078.569999999949</v>
      </c>
      <c r="AF930" s="1325">
        <f t="shared" si="1295"/>
        <v>-0.17849830184629908</v>
      </c>
      <c r="AG930" s="1326">
        <f t="shared" si="1267"/>
        <v>27260.374166666672</v>
      </c>
      <c r="AH930" s="1326">
        <f>SUM(AH931:AH943)</f>
        <v>327124.49000000005</v>
      </c>
      <c r="AI930" s="1339"/>
      <c r="AJ930" s="1328">
        <f>SUM(AJ931:AJ943)</f>
        <v>2364.2267250000004</v>
      </c>
      <c r="AK930" s="1328">
        <f>SUM(AK931:AK943)</f>
        <v>28370.720700000002</v>
      </c>
      <c r="AL930" s="1329"/>
      <c r="AM930" s="1330">
        <f>SUM(AM931:AM943)</f>
        <v>1310.3892000000001</v>
      </c>
      <c r="AN930" s="1331"/>
      <c r="AO930" s="1332">
        <f>SUM(AO931:AO943)</f>
        <v>0</v>
      </c>
      <c r="AP930" s="1333"/>
      <c r="AQ930" s="1334">
        <f>SUM(AQ931:AQ943)</f>
        <v>0</v>
      </c>
      <c r="AR930" s="1335"/>
      <c r="AS930" s="1336">
        <f>SUM(AS931:AS943)</f>
        <v>0</v>
      </c>
      <c r="AT930" s="1337"/>
      <c r="AU930" s="1338">
        <f>SUM(AU931:AU943)</f>
        <v>6551.9459999999999</v>
      </c>
      <c r="AV930" s="1339"/>
      <c r="AW930" s="1340">
        <f>SUM(AW931:AW943)</f>
        <v>20508.385499999997</v>
      </c>
      <c r="AX930" s="1306"/>
      <c r="AY930" s="1307">
        <f>SUM(AW930+AS930+AU930)</f>
        <v>27060.331499999997</v>
      </c>
      <c r="AZ930" s="1341"/>
      <c r="BA930" s="1309">
        <f>SUM(AY930+AQ930)</f>
        <v>27060.331499999997</v>
      </c>
      <c r="BB930" s="1342">
        <f>(AW930+AU930)/(AK930-AM930)</f>
        <v>0.99999999999999989</v>
      </c>
      <c r="BC930" s="1343"/>
      <c r="BD930" s="1343"/>
      <c r="BE930" s="1344"/>
      <c r="BF930" s="1428" t="s">
        <v>5364</v>
      </c>
      <c r="BG930" s="1346"/>
    </row>
    <row r="931" spans="1:59" s="1378" customFormat="1" ht="51">
      <c r="A931" s="1347" t="str">
        <f>L930</f>
        <v>Versant Venture Management, LLC</v>
      </c>
      <c r="B931" s="1348" t="str">
        <f>N930</f>
        <v>Duenas</v>
      </c>
      <c r="C931" s="1348">
        <f>Z930</f>
        <v>28</v>
      </c>
      <c r="D931" s="1349">
        <v>43102</v>
      </c>
      <c r="E931" s="1349"/>
      <c r="F931" s="1347" t="s">
        <v>85</v>
      </c>
      <c r="G931" s="1347" t="s">
        <v>85</v>
      </c>
      <c r="H931" s="1347" t="s">
        <v>85</v>
      </c>
      <c r="I931" s="1347" t="s">
        <v>85</v>
      </c>
      <c r="J931" s="1349"/>
      <c r="K931" s="1349" t="s">
        <v>254</v>
      </c>
      <c r="L931" s="1350" t="s">
        <v>2661</v>
      </c>
      <c r="M931" s="1350" t="s">
        <v>3647</v>
      </c>
      <c r="N931" s="1351" t="s">
        <v>5106</v>
      </c>
      <c r="O931" s="1352" t="s">
        <v>5336</v>
      </c>
      <c r="P931" s="1352" t="s">
        <v>5108</v>
      </c>
      <c r="Q931" s="1353" t="s">
        <v>303</v>
      </c>
      <c r="R931" s="1353" t="s">
        <v>3656</v>
      </c>
      <c r="S931" s="1353" t="s">
        <v>307</v>
      </c>
      <c r="T931" s="1353" t="s">
        <v>113</v>
      </c>
      <c r="U931" s="1354"/>
      <c r="V931" s="1354"/>
      <c r="W931" s="1354"/>
      <c r="X931" s="1353">
        <v>43101</v>
      </c>
      <c r="Y931" s="1353">
        <v>43466</v>
      </c>
      <c r="Z931" s="1355"/>
      <c r="AA931" s="1355" t="s">
        <v>4841</v>
      </c>
      <c r="AB931" s="1422">
        <v>317461</v>
      </c>
      <c r="AC931" s="1356"/>
      <c r="AD931" s="1422">
        <f>AH931</f>
        <v>262077.84</v>
      </c>
      <c r="AE931" s="1422">
        <f t="shared" si="1253"/>
        <v>-55383.16</v>
      </c>
      <c r="AF931" s="1423">
        <f t="shared" si="1295"/>
        <v>-0.17445657891835534</v>
      </c>
      <c r="AG931" s="1358">
        <f t="shared" si="1267"/>
        <v>21839.82</v>
      </c>
      <c r="AH931" s="1358">
        <v>262077.84</v>
      </c>
      <c r="AI931" s="1359">
        <v>0.08</v>
      </c>
      <c r="AJ931" s="1360">
        <f t="shared" ref="AJ931:AJ943" si="1351">$AI931*$AG931</f>
        <v>1747.1856</v>
      </c>
      <c r="AK931" s="1361">
        <f t="shared" ref="AK931:AK943" si="1352">AI931*$AH931</f>
        <v>20966.227200000001</v>
      </c>
      <c r="AL931" s="1362">
        <v>5.0000000000000001E-3</v>
      </c>
      <c r="AM931" s="1363">
        <f t="shared" ref="AM931:AM943" si="1353">AL931*$AH931</f>
        <v>1310.3892000000001</v>
      </c>
      <c r="AN931" s="1364">
        <v>0</v>
      </c>
      <c r="AO931" s="1365">
        <f t="shared" ref="AO931:AO943" si="1354">AN931*$AH931</f>
        <v>0</v>
      </c>
      <c r="AP931" s="1366">
        <v>0</v>
      </c>
      <c r="AQ931" s="1367">
        <f t="shared" ref="AQ931:AQ943" si="1355">AP931*$AH931</f>
        <v>0</v>
      </c>
      <c r="AR931" s="1368">
        <v>0</v>
      </c>
      <c r="AS931" s="1369">
        <f t="shared" ref="AS931:AS943" si="1356">AR931*$AH931</f>
        <v>0</v>
      </c>
      <c r="AT931" s="1370">
        <v>2.5000000000000001E-2</v>
      </c>
      <c r="AU931" s="1371">
        <f t="shared" ref="AU931:AU943" si="1357">AT931*$AH931</f>
        <v>6551.9459999999999</v>
      </c>
      <c r="AV931" s="1359">
        <f t="shared" ref="AV931:AV943" si="1358">AZ931-AR931-AT931-AP931</f>
        <v>4.9999999999999996E-2</v>
      </c>
      <c r="AW931" s="1372">
        <f t="shared" ref="AW931:AW943" si="1359">AV931*$AH931</f>
        <v>13103.891999999998</v>
      </c>
      <c r="AX931" s="1373">
        <f t="shared" ref="AX931:AX943" si="1360">$AZ931-$AP931</f>
        <v>7.4999999999999997E-2</v>
      </c>
      <c r="AY931" s="1374">
        <f t="shared" ref="AY931:AY943" si="1361">AX931*$AH931</f>
        <v>19655.838</v>
      </c>
      <c r="AZ931" s="1375">
        <f t="shared" ref="AZ931:AZ943" si="1362">$AI931-$AL931-$AN931</f>
        <v>7.4999999999999997E-2</v>
      </c>
      <c r="BA931" s="1376">
        <f t="shared" ref="BA931:BA943" si="1363">AZ931*$AH931</f>
        <v>19655.838</v>
      </c>
      <c r="BB931" s="1391"/>
      <c r="BC931" s="1819" t="s">
        <v>1263</v>
      </c>
      <c r="BD931" s="1819" t="s">
        <v>1245</v>
      </c>
      <c r="BE931" s="1822" t="s">
        <v>1264</v>
      </c>
      <c r="BF931" s="1825" t="s">
        <v>5365</v>
      </c>
      <c r="BG931" s="1828">
        <v>954767945</v>
      </c>
    </row>
    <row r="932" spans="1:59" s="1378" customFormat="1" ht="51">
      <c r="A932" s="1347" t="str">
        <f>L930</f>
        <v>Versant Venture Management, LLC</v>
      </c>
      <c r="B932" s="1348" t="str">
        <f>N930</f>
        <v>Duenas</v>
      </c>
      <c r="C932" s="1348">
        <f>Z930</f>
        <v>28</v>
      </c>
      <c r="D932" s="1349">
        <v>43104</v>
      </c>
      <c r="E932" s="1349"/>
      <c r="F932" s="1347" t="s">
        <v>72</v>
      </c>
      <c r="G932" s="1347" t="s">
        <v>85</v>
      </c>
      <c r="H932" s="1347" t="s">
        <v>72</v>
      </c>
      <c r="I932" s="1347" t="s">
        <v>72</v>
      </c>
      <c r="J932" s="1349" t="s">
        <v>4670</v>
      </c>
      <c r="K932" s="1349" t="s">
        <v>254</v>
      </c>
      <c r="L932" s="1350" t="s">
        <v>4671</v>
      </c>
      <c r="M932" s="1350" t="s">
        <v>3649</v>
      </c>
      <c r="N932" s="1379" t="s">
        <v>4831</v>
      </c>
      <c r="O932" s="1352" t="s">
        <v>5366</v>
      </c>
      <c r="P932" s="1352"/>
      <c r="Q932" s="1354"/>
      <c r="R932" s="1354"/>
      <c r="S932" s="1354"/>
      <c r="T932" s="1354"/>
      <c r="U932" s="1354"/>
      <c r="V932" s="1354"/>
      <c r="W932" s="1354"/>
      <c r="X932" s="1353">
        <v>43101</v>
      </c>
      <c r="Y932" s="1353">
        <v>43466</v>
      </c>
      <c r="Z932" s="1355"/>
      <c r="AA932" s="1355" t="s">
        <v>4674</v>
      </c>
      <c r="AB932" s="1356"/>
      <c r="AC932" s="1356"/>
      <c r="AD932" s="1356"/>
      <c r="AE932" s="1356"/>
      <c r="AF932" s="1357" t="str">
        <f t="shared" si="1295"/>
        <v/>
      </c>
      <c r="AG932" s="1380"/>
      <c r="AH932" s="1380"/>
      <c r="AI932" s="1381">
        <v>0</v>
      </c>
      <c r="AJ932" s="1382">
        <f t="shared" si="1351"/>
        <v>0</v>
      </c>
      <c r="AK932" s="1383">
        <f t="shared" si="1352"/>
        <v>0</v>
      </c>
      <c r="AL932" s="1384">
        <v>0</v>
      </c>
      <c r="AM932" s="1363">
        <f t="shared" si="1353"/>
        <v>0</v>
      </c>
      <c r="AN932" s="1364">
        <v>0</v>
      </c>
      <c r="AO932" s="1365">
        <f t="shared" si="1354"/>
        <v>0</v>
      </c>
      <c r="AP932" s="1366">
        <v>0</v>
      </c>
      <c r="AQ932" s="1367">
        <f t="shared" si="1355"/>
        <v>0</v>
      </c>
      <c r="AR932" s="1368">
        <v>0</v>
      </c>
      <c r="AS932" s="1369">
        <f t="shared" si="1356"/>
        <v>0</v>
      </c>
      <c r="AT932" s="1370">
        <v>0</v>
      </c>
      <c r="AU932" s="1371">
        <f t="shared" si="1357"/>
        <v>0</v>
      </c>
      <c r="AV932" s="1359">
        <f t="shared" si="1358"/>
        <v>0</v>
      </c>
      <c r="AW932" s="1372">
        <f t="shared" si="1359"/>
        <v>0</v>
      </c>
      <c r="AX932" s="1373">
        <f t="shared" si="1360"/>
        <v>0</v>
      </c>
      <c r="AY932" s="1374">
        <f t="shared" si="1361"/>
        <v>0</v>
      </c>
      <c r="AZ932" s="1375">
        <f t="shared" si="1362"/>
        <v>0</v>
      </c>
      <c r="BA932" s="1376">
        <f t="shared" si="1363"/>
        <v>0</v>
      </c>
      <c r="BB932" s="1391"/>
      <c r="BC932" s="1820"/>
      <c r="BD932" s="1820"/>
      <c r="BE932" s="1823"/>
      <c r="BF932" s="1826"/>
      <c r="BG932" s="1829"/>
    </row>
    <row r="933" spans="1:59" s="1378" customFormat="1" ht="42.75" customHeight="1">
      <c r="A933" s="1347" t="str">
        <f>L930</f>
        <v>Versant Venture Management, LLC</v>
      </c>
      <c r="B933" s="1348" t="str">
        <f>N930</f>
        <v>Duenas</v>
      </c>
      <c r="C933" s="1348">
        <f>Z930</f>
        <v>28</v>
      </c>
      <c r="D933" s="1349">
        <v>43105</v>
      </c>
      <c r="E933" s="1349"/>
      <c r="F933" s="1347" t="s">
        <v>113</v>
      </c>
      <c r="G933" s="1347" t="s">
        <v>85</v>
      </c>
      <c r="H933" s="1347" t="s">
        <v>85</v>
      </c>
      <c r="I933" s="1347" t="s">
        <v>85</v>
      </c>
      <c r="J933" s="1349"/>
      <c r="K933" s="1349" t="s">
        <v>254</v>
      </c>
      <c r="L933" s="1350" t="s">
        <v>4675</v>
      </c>
      <c r="M933" s="1350" t="s">
        <v>3650</v>
      </c>
      <c r="N933" s="1385" t="s">
        <v>5367</v>
      </c>
      <c r="O933" s="1352" t="s">
        <v>4677</v>
      </c>
      <c r="P933" s="1352"/>
      <c r="Q933" s="1354"/>
      <c r="R933" s="1354"/>
      <c r="S933" s="1354"/>
      <c r="T933" s="1354"/>
      <c r="U933" s="1353" t="s">
        <v>4959</v>
      </c>
      <c r="V933" s="1353" t="s">
        <v>2481</v>
      </c>
      <c r="W933" s="1354"/>
      <c r="X933" s="1353">
        <v>43101</v>
      </c>
      <c r="Y933" s="1353">
        <v>43466</v>
      </c>
      <c r="Z933" s="1355"/>
      <c r="AA933" s="1355" t="s">
        <v>4846</v>
      </c>
      <c r="AB933" s="1422">
        <v>38078.879999999997</v>
      </c>
      <c r="AC933" s="1356"/>
      <c r="AD933" s="1422">
        <f t="shared" ref="AD933:AD937" si="1364">AH933</f>
        <v>41953.68</v>
      </c>
      <c r="AE933" s="1422">
        <f t="shared" si="1253"/>
        <v>3874.8000000000029</v>
      </c>
      <c r="AF933" s="1423">
        <f t="shared" si="1295"/>
        <v>0.10175719453933528</v>
      </c>
      <c r="AG933" s="1358">
        <f t="shared" si="1267"/>
        <v>3496.14</v>
      </c>
      <c r="AH933" s="1358">
        <v>41953.68</v>
      </c>
      <c r="AI933" s="1359">
        <v>0.1</v>
      </c>
      <c r="AJ933" s="1360">
        <f t="shared" si="1351"/>
        <v>349.61400000000003</v>
      </c>
      <c r="AK933" s="1361">
        <f t="shared" si="1352"/>
        <v>4195.3680000000004</v>
      </c>
      <c r="AL933" s="1384">
        <v>0</v>
      </c>
      <c r="AM933" s="1363">
        <f t="shared" si="1353"/>
        <v>0</v>
      </c>
      <c r="AN933" s="1364">
        <v>0</v>
      </c>
      <c r="AO933" s="1365">
        <f t="shared" si="1354"/>
        <v>0</v>
      </c>
      <c r="AP933" s="1366">
        <v>0</v>
      </c>
      <c r="AQ933" s="1367">
        <f t="shared" si="1355"/>
        <v>0</v>
      </c>
      <c r="AR933" s="1368">
        <v>0</v>
      </c>
      <c r="AS933" s="1369">
        <f t="shared" si="1356"/>
        <v>0</v>
      </c>
      <c r="AT933" s="1370">
        <v>0</v>
      </c>
      <c r="AU933" s="1371">
        <f t="shared" si="1357"/>
        <v>0</v>
      </c>
      <c r="AV933" s="1359">
        <f t="shared" si="1358"/>
        <v>0.1</v>
      </c>
      <c r="AW933" s="1372">
        <f t="shared" si="1359"/>
        <v>4195.3680000000004</v>
      </c>
      <c r="AX933" s="1373">
        <f t="shared" si="1360"/>
        <v>0.1</v>
      </c>
      <c r="AY933" s="1374">
        <f t="shared" si="1361"/>
        <v>4195.3680000000004</v>
      </c>
      <c r="AZ933" s="1375">
        <f t="shared" si="1362"/>
        <v>0.1</v>
      </c>
      <c r="BA933" s="1376">
        <f t="shared" si="1363"/>
        <v>4195.3680000000004</v>
      </c>
      <c r="BB933" s="1391"/>
      <c r="BC933" s="1820"/>
      <c r="BD933" s="1820"/>
      <c r="BE933" s="1823"/>
      <c r="BF933" s="1826"/>
      <c r="BG933" s="1829"/>
    </row>
    <row r="934" spans="1:59" s="1378" customFormat="1" ht="27.75" customHeight="1">
      <c r="A934" s="1347" t="str">
        <f>L930</f>
        <v>Versant Venture Management, LLC</v>
      </c>
      <c r="B934" s="1348" t="str">
        <f>N930</f>
        <v>Duenas</v>
      </c>
      <c r="C934" s="1348">
        <f>Z930</f>
        <v>28</v>
      </c>
      <c r="D934" s="1349">
        <v>43106</v>
      </c>
      <c r="E934" s="1349"/>
      <c r="F934" s="1347" t="s">
        <v>113</v>
      </c>
      <c r="G934" s="1347" t="s">
        <v>85</v>
      </c>
      <c r="H934" s="1347" t="s">
        <v>85</v>
      </c>
      <c r="I934" s="1347" t="s">
        <v>85</v>
      </c>
      <c r="J934" s="1349"/>
      <c r="K934" s="1349" t="s">
        <v>254</v>
      </c>
      <c r="L934" s="1350" t="s">
        <v>4675</v>
      </c>
      <c r="M934" s="1350" t="s">
        <v>3651</v>
      </c>
      <c r="N934" s="1351" t="s">
        <v>4834</v>
      </c>
      <c r="O934" s="1352" t="s">
        <v>4681</v>
      </c>
      <c r="P934" s="1352"/>
      <c r="Q934" s="1354"/>
      <c r="R934" s="1354"/>
      <c r="S934" s="1354"/>
      <c r="T934" s="1354"/>
      <c r="U934" s="1354"/>
      <c r="V934" s="1354"/>
      <c r="W934" s="1353" t="s">
        <v>2492</v>
      </c>
      <c r="X934" s="1353">
        <v>43101</v>
      </c>
      <c r="Y934" s="1353">
        <v>43466</v>
      </c>
      <c r="Z934" s="1355"/>
      <c r="AA934" s="1355" t="s">
        <v>4846</v>
      </c>
      <c r="AB934" s="1422">
        <v>4751.04</v>
      </c>
      <c r="AC934" s="1356"/>
      <c r="AD934" s="1422">
        <f t="shared" si="1364"/>
        <v>5096.3999999999996</v>
      </c>
      <c r="AE934" s="1422">
        <f t="shared" si="1253"/>
        <v>345.35999999999967</v>
      </c>
      <c r="AF934" s="1423">
        <f t="shared" si="1295"/>
        <v>7.2691452818751195E-2</v>
      </c>
      <c r="AG934" s="1358">
        <f t="shared" si="1267"/>
        <v>424.7</v>
      </c>
      <c r="AH934" s="1358">
        <v>5096.3999999999996</v>
      </c>
      <c r="AI934" s="1359">
        <v>0.1</v>
      </c>
      <c r="AJ934" s="1360">
        <f t="shared" si="1351"/>
        <v>42.47</v>
      </c>
      <c r="AK934" s="1361">
        <f t="shared" si="1352"/>
        <v>509.64</v>
      </c>
      <c r="AL934" s="1384">
        <v>0</v>
      </c>
      <c r="AM934" s="1363">
        <f t="shared" si="1353"/>
        <v>0</v>
      </c>
      <c r="AN934" s="1364">
        <v>0</v>
      </c>
      <c r="AO934" s="1365">
        <f t="shared" si="1354"/>
        <v>0</v>
      </c>
      <c r="AP934" s="1366">
        <v>0</v>
      </c>
      <c r="AQ934" s="1367">
        <f t="shared" si="1355"/>
        <v>0</v>
      </c>
      <c r="AR934" s="1368">
        <v>0</v>
      </c>
      <c r="AS934" s="1369">
        <f t="shared" si="1356"/>
        <v>0</v>
      </c>
      <c r="AT934" s="1370">
        <v>0</v>
      </c>
      <c r="AU934" s="1371">
        <f t="shared" si="1357"/>
        <v>0</v>
      </c>
      <c r="AV934" s="1359">
        <f t="shared" si="1358"/>
        <v>0.1</v>
      </c>
      <c r="AW934" s="1372">
        <f t="shared" si="1359"/>
        <v>509.64</v>
      </c>
      <c r="AX934" s="1373">
        <f t="shared" si="1360"/>
        <v>0.1</v>
      </c>
      <c r="AY934" s="1374">
        <f t="shared" si="1361"/>
        <v>509.64</v>
      </c>
      <c r="AZ934" s="1375">
        <f t="shared" si="1362"/>
        <v>0.1</v>
      </c>
      <c r="BA934" s="1376">
        <f t="shared" si="1363"/>
        <v>509.64</v>
      </c>
      <c r="BB934" s="1391"/>
      <c r="BC934" s="1820"/>
      <c r="BD934" s="1820"/>
      <c r="BE934" s="1823"/>
      <c r="BF934" s="1826"/>
      <c r="BG934" s="1829"/>
    </row>
    <row r="935" spans="1:59" s="1378" customFormat="1" ht="27.75" customHeight="1">
      <c r="A935" s="1347" t="str">
        <f>L930</f>
        <v>Versant Venture Management, LLC</v>
      </c>
      <c r="B935" s="1348" t="str">
        <f>N930</f>
        <v>Duenas</v>
      </c>
      <c r="C935" s="1348">
        <f>Z930</f>
        <v>28</v>
      </c>
      <c r="D935" s="1349">
        <v>43107</v>
      </c>
      <c r="E935" s="1349"/>
      <c r="F935" s="1347" t="s">
        <v>113</v>
      </c>
      <c r="G935" s="1347" t="s">
        <v>85</v>
      </c>
      <c r="H935" s="1347" t="s">
        <v>85</v>
      </c>
      <c r="I935" s="1347" t="s">
        <v>85</v>
      </c>
      <c r="J935" s="1349"/>
      <c r="K935" s="1349" t="s">
        <v>254</v>
      </c>
      <c r="L935" s="1350" t="s">
        <v>4682</v>
      </c>
      <c r="M935" s="1350" t="s">
        <v>4683</v>
      </c>
      <c r="N935" s="1386" t="s">
        <v>148</v>
      </c>
      <c r="O935" s="1352" t="s">
        <v>4684</v>
      </c>
      <c r="P935" s="1387"/>
      <c r="Q935" s="1354"/>
      <c r="R935" s="1354"/>
      <c r="S935" s="1354"/>
      <c r="T935" s="1354"/>
      <c r="U935" s="1354"/>
      <c r="V935" s="1354"/>
      <c r="W935" s="1354"/>
      <c r="X935" s="1353">
        <v>43101</v>
      </c>
      <c r="Y935" s="1353">
        <v>43466</v>
      </c>
      <c r="Z935" s="1355"/>
      <c r="AA935" s="1355" t="s">
        <v>4884</v>
      </c>
      <c r="AB935" s="1422">
        <v>5815.8</v>
      </c>
      <c r="AC935" s="1356"/>
      <c r="AD935" s="1422">
        <f t="shared" si="1364"/>
        <v>1898.4</v>
      </c>
      <c r="AE935" s="1422">
        <f t="shared" si="1253"/>
        <v>-3917.4</v>
      </c>
      <c r="AF935" s="1423">
        <f t="shared" si="1295"/>
        <v>-0.67357887135045913</v>
      </c>
      <c r="AG935" s="1358">
        <f t="shared" si="1267"/>
        <v>158.20000000000002</v>
      </c>
      <c r="AH935" s="1358">
        <v>1898.4</v>
      </c>
      <c r="AI935" s="1359">
        <v>0.15</v>
      </c>
      <c r="AJ935" s="1360">
        <f t="shared" si="1351"/>
        <v>23.73</v>
      </c>
      <c r="AK935" s="1361">
        <f t="shared" si="1352"/>
        <v>284.76</v>
      </c>
      <c r="AL935" s="1384">
        <v>0</v>
      </c>
      <c r="AM935" s="1363">
        <f t="shared" si="1353"/>
        <v>0</v>
      </c>
      <c r="AN935" s="1364">
        <v>0</v>
      </c>
      <c r="AO935" s="1365">
        <f t="shared" si="1354"/>
        <v>0</v>
      </c>
      <c r="AP935" s="1366">
        <v>0</v>
      </c>
      <c r="AQ935" s="1367">
        <f t="shared" si="1355"/>
        <v>0</v>
      </c>
      <c r="AR935" s="1368">
        <v>0</v>
      </c>
      <c r="AS935" s="1369">
        <f t="shared" si="1356"/>
        <v>0</v>
      </c>
      <c r="AT935" s="1370">
        <v>0</v>
      </c>
      <c r="AU935" s="1371">
        <f t="shared" si="1357"/>
        <v>0</v>
      </c>
      <c r="AV935" s="1359">
        <f t="shared" si="1358"/>
        <v>0.15</v>
      </c>
      <c r="AW935" s="1372">
        <f t="shared" si="1359"/>
        <v>284.76</v>
      </c>
      <c r="AX935" s="1373">
        <f t="shared" si="1360"/>
        <v>0.15</v>
      </c>
      <c r="AY935" s="1374">
        <f t="shared" si="1361"/>
        <v>284.76</v>
      </c>
      <c r="AZ935" s="1375">
        <f t="shared" si="1362"/>
        <v>0.15</v>
      </c>
      <c r="BA935" s="1376">
        <f t="shared" si="1363"/>
        <v>284.76</v>
      </c>
      <c r="BB935" s="1391"/>
      <c r="BC935" s="1820"/>
      <c r="BD935" s="1820"/>
      <c r="BE935" s="1823"/>
      <c r="BF935" s="1826"/>
      <c r="BG935" s="1829"/>
    </row>
    <row r="936" spans="1:59" s="1378" customFormat="1" ht="27.75" customHeight="1">
      <c r="A936" s="1347" t="str">
        <f>L930</f>
        <v>Versant Venture Management, LLC</v>
      </c>
      <c r="B936" s="1348" t="str">
        <f>N930</f>
        <v>Duenas</v>
      </c>
      <c r="C936" s="1348">
        <f>Z930</f>
        <v>28</v>
      </c>
      <c r="D936" s="1349">
        <v>43109</v>
      </c>
      <c r="E936" s="1349"/>
      <c r="F936" s="1347" t="s">
        <v>113</v>
      </c>
      <c r="G936" s="1347" t="s">
        <v>85</v>
      </c>
      <c r="H936" s="1347" t="s">
        <v>85</v>
      </c>
      <c r="I936" s="1347" t="s">
        <v>85</v>
      </c>
      <c r="J936" s="1349"/>
      <c r="K936" s="1349" t="s">
        <v>254</v>
      </c>
      <c r="L936" s="1350" t="s">
        <v>4682</v>
      </c>
      <c r="M936" s="1350" t="s">
        <v>62</v>
      </c>
      <c r="N936" s="1351" t="s">
        <v>81</v>
      </c>
      <c r="O936" s="1352" t="s">
        <v>4688</v>
      </c>
      <c r="P936" s="1352"/>
      <c r="Q936" s="1354"/>
      <c r="R936" s="1354"/>
      <c r="S936" s="1354"/>
      <c r="T936" s="1354"/>
      <c r="U936" s="1354"/>
      <c r="V936" s="1354"/>
      <c r="W936" s="1354"/>
      <c r="X936" s="1353">
        <v>43101</v>
      </c>
      <c r="Y936" s="1353">
        <v>43466</v>
      </c>
      <c r="Z936" s="1355"/>
      <c r="AA936" s="1355" t="s">
        <v>4884</v>
      </c>
      <c r="AB936" s="1422">
        <v>5341.02</v>
      </c>
      <c r="AC936" s="1356"/>
      <c r="AD936" s="1422">
        <f t="shared" si="1364"/>
        <v>5840.94</v>
      </c>
      <c r="AE936" s="1422">
        <f t="shared" si="1253"/>
        <v>499.91999999999916</v>
      </c>
      <c r="AF936" s="1423">
        <f t="shared" si="1295"/>
        <v>9.3600098857521435E-2</v>
      </c>
      <c r="AG936" s="1358">
        <f t="shared" si="1267"/>
        <v>486.74499999999995</v>
      </c>
      <c r="AH936" s="1358">
        <v>5840.94</v>
      </c>
      <c r="AI936" s="1359">
        <v>0.15</v>
      </c>
      <c r="AJ936" s="1360">
        <f t="shared" si="1351"/>
        <v>73.011749999999992</v>
      </c>
      <c r="AK936" s="1361">
        <f t="shared" si="1352"/>
        <v>876.14099999999996</v>
      </c>
      <c r="AL936" s="1384">
        <v>0</v>
      </c>
      <c r="AM936" s="1363">
        <f t="shared" si="1353"/>
        <v>0</v>
      </c>
      <c r="AN936" s="1364">
        <v>0</v>
      </c>
      <c r="AO936" s="1365">
        <f t="shared" si="1354"/>
        <v>0</v>
      </c>
      <c r="AP936" s="1366">
        <v>0</v>
      </c>
      <c r="AQ936" s="1367">
        <f t="shared" si="1355"/>
        <v>0</v>
      </c>
      <c r="AR936" s="1368">
        <v>0</v>
      </c>
      <c r="AS936" s="1369">
        <f t="shared" si="1356"/>
        <v>0</v>
      </c>
      <c r="AT936" s="1370">
        <v>0</v>
      </c>
      <c r="AU936" s="1371">
        <f t="shared" si="1357"/>
        <v>0</v>
      </c>
      <c r="AV936" s="1359">
        <f t="shared" si="1358"/>
        <v>0.15</v>
      </c>
      <c r="AW936" s="1372">
        <f t="shared" si="1359"/>
        <v>876.14099999999996</v>
      </c>
      <c r="AX936" s="1373">
        <f t="shared" si="1360"/>
        <v>0.15</v>
      </c>
      <c r="AY936" s="1374">
        <f t="shared" si="1361"/>
        <v>876.14099999999996</v>
      </c>
      <c r="AZ936" s="1375">
        <f t="shared" si="1362"/>
        <v>0.15</v>
      </c>
      <c r="BA936" s="1376">
        <f t="shared" si="1363"/>
        <v>876.14099999999996</v>
      </c>
      <c r="BB936" s="1391"/>
      <c r="BC936" s="1820"/>
      <c r="BD936" s="1820"/>
      <c r="BE936" s="1823"/>
      <c r="BF936" s="1826"/>
      <c r="BG936" s="1829"/>
    </row>
    <row r="937" spans="1:59" s="1378" customFormat="1" ht="27.75" customHeight="1">
      <c r="A937" s="1347" t="str">
        <f>L930</f>
        <v>Versant Venture Management, LLC</v>
      </c>
      <c r="B937" s="1348" t="str">
        <f>N930</f>
        <v>Duenas</v>
      </c>
      <c r="C937" s="1348">
        <f>Z930</f>
        <v>28</v>
      </c>
      <c r="D937" s="1349">
        <v>43112</v>
      </c>
      <c r="E937" s="1349"/>
      <c r="F937" s="1347" t="s">
        <v>113</v>
      </c>
      <c r="G937" s="1347" t="s">
        <v>85</v>
      </c>
      <c r="H937" s="1347" t="s">
        <v>85</v>
      </c>
      <c r="I937" s="1347" t="s">
        <v>85</v>
      </c>
      <c r="J937" s="1349"/>
      <c r="K937" s="1349" t="s">
        <v>254</v>
      </c>
      <c r="L937" s="1350" t="s">
        <v>4682</v>
      </c>
      <c r="M937" s="1350" t="s">
        <v>67</v>
      </c>
      <c r="N937" s="1351" t="s">
        <v>102</v>
      </c>
      <c r="O937" s="1352" t="s">
        <v>4689</v>
      </c>
      <c r="P937" s="1352"/>
      <c r="Q937" s="1354"/>
      <c r="R937" s="1354"/>
      <c r="S937" s="1354"/>
      <c r="T937" s="1354"/>
      <c r="U937" s="1354"/>
      <c r="V937" s="1354"/>
      <c r="W937" s="1354"/>
      <c r="X937" s="1353">
        <v>43101</v>
      </c>
      <c r="Y937" s="1353">
        <v>43466</v>
      </c>
      <c r="Z937" s="1355"/>
      <c r="AA937" s="1355" t="s">
        <v>4884</v>
      </c>
      <c r="AB937" s="1422">
        <v>26755.32</v>
      </c>
      <c r="AC937" s="1356"/>
      <c r="AD937" s="1422">
        <f t="shared" si="1364"/>
        <v>10257.23</v>
      </c>
      <c r="AE937" s="1422">
        <f t="shared" si="1253"/>
        <v>-16498.09</v>
      </c>
      <c r="AF937" s="1423">
        <f t="shared" si="1295"/>
        <v>-0.61662839390446467</v>
      </c>
      <c r="AG937" s="1358">
        <f t="shared" si="1267"/>
        <v>854.76916666666659</v>
      </c>
      <c r="AH937" s="1358">
        <v>10257.23</v>
      </c>
      <c r="AI937" s="1359">
        <v>0.15</v>
      </c>
      <c r="AJ937" s="1360">
        <f t="shared" si="1351"/>
        <v>128.21537499999999</v>
      </c>
      <c r="AK937" s="1361">
        <f t="shared" si="1352"/>
        <v>1538.5844999999999</v>
      </c>
      <c r="AL937" s="1384">
        <v>0</v>
      </c>
      <c r="AM937" s="1363">
        <f t="shared" si="1353"/>
        <v>0</v>
      </c>
      <c r="AN937" s="1364">
        <v>0</v>
      </c>
      <c r="AO937" s="1365">
        <f t="shared" si="1354"/>
        <v>0</v>
      </c>
      <c r="AP937" s="1366">
        <v>0</v>
      </c>
      <c r="AQ937" s="1367">
        <f t="shared" si="1355"/>
        <v>0</v>
      </c>
      <c r="AR937" s="1368">
        <v>0</v>
      </c>
      <c r="AS937" s="1369">
        <f t="shared" si="1356"/>
        <v>0</v>
      </c>
      <c r="AT937" s="1370">
        <v>0</v>
      </c>
      <c r="AU937" s="1371">
        <f t="shared" si="1357"/>
        <v>0</v>
      </c>
      <c r="AV937" s="1359">
        <f t="shared" si="1358"/>
        <v>0.15</v>
      </c>
      <c r="AW937" s="1372">
        <f t="shared" si="1359"/>
        <v>1538.5844999999999</v>
      </c>
      <c r="AX937" s="1373">
        <f t="shared" si="1360"/>
        <v>0.15</v>
      </c>
      <c r="AY937" s="1374">
        <f t="shared" si="1361"/>
        <v>1538.5844999999999</v>
      </c>
      <c r="AZ937" s="1375">
        <f t="shared" si="1362"/>
        <v>0.15</v>
      </c>
      <c r="BA937" s="1376">
        <f t="shared" si="1363"/>
        <v>1538.5844999999999</v>
      </c>
      <c r="BB937" s="1391"/>
      <c r="BC937" s="1820"/>
      <c r="BD937" s="1820"/>
      <c r="BE937" s="1823"/>
      <c r="BF937" s="1826"/>
      <c r="BG937" s="1829"/>
    </row>
    <row r="938" spans="1:59" s="1378" customFormat="1" ht="27.75" customHeight="1">
      <c r="A938" s="1347" t="s">
        <v>3662</v>
      </c>
      <c r="B938" s="1348" t="s">
        <v>4835</v>
      </c>
      <c r="C938" s="1348">
        <v>27</v>
      </c>
      <c r="D938" s="1349">
        <v>43118</v>
      </c>
      <c r="E938" s="1349"/>
      <c r="F938" s="1347" t="s">
        <v>72</v>
      </c>
      <c r="G938" s="1347" t="s">
        <v>85</v>
      </c>
      <c r="H938" s="1347" t="s">
        <v>72</v>
      </c>
      <c r="I938" s="1347" t="s">
        <v>72</v>
      </c>
      <c r="J938" s="1349" t="s">
        <v>4670</v>
      </c>
      <c r="K938" s="1349" t="s">
        <v>254</v>
      </c>
      <c r="L938" s="1350" t="s">
        <v>4696</v>
      </c>
      <c r="M938" s="1350" t="s">
        <v>4697</v>
      </c>
      <c r="N938" s="1389" t="s">
        <v>4698</v>
      </c>
      <c r="O938" s="1352" t="s">
        <v>4699</v>
      </c>
      <c r="P938" s="1388"/>
      <c r="Q938" s="1354"/>
      <c r="R938" s="1354"/>
      <c r="S938" s="1354"/>
      <c r="T938" s="1354"/>
      <c r="U938" s="1354"/>
      <c r="V938" s="1354"/>
      <c r="W938" s="1354"/>
      <c r="X938" s="1353">
        <v>43101</v>
      </c>
      <c r="Y938" s="1353">
        <v>43466</v>
      </c>
      <c r="Z938" s="1355"/>
      <c r="AA938" s="1355" t="s">
        <v>4674</v>
      </c>
      <c r="AB938" s="1356"/>
      <c r="AC938" s="1356"/>
      <c r="AD938" s="1356"/>
      <c r="AE938" s="1356"/>
      <c r="AF938" s="1357" t="str">
        <f t="shared" si="1295"/>
        <v/>
      </c>
      <c r="AG938" s="1380"/>
      <c r="AH938" s="1380"/>
      <c r="AI938" s="1381">
        <v>0</v>
      </c>
      <c r="AJ938" s="1382">
        <f t="shared" si="1351"/>
        <v>0</v>
      </c>
      <c r="AK938" s="1383">
        <f t="shared" si="1352"/>
        <v>0</v>
      </c>
      <c r="AL938" s="1384">
        <v>0</v>
      </c>
      <c r="AM938" s="1363">
        <f t="shared" si="1353"/>
        <v>0</v>
      </c>
      <c r="AN938" s="1364">
        <v>0</v>
      </c>
      <c r="AO938" s="1365">
        <f t="shared" si="1354"/>
        <v>0</v>
      </c>
      <c r="AP938" s="1366">
        <v>0</v>
      </c>
      <c r="AQ938" s="1367">
        <f t="shared" si="1355"/>
        <v>0</v>
      </c>
      <c r="AR938" s="1368">
        <v>0</v>
      </c>
      <c r="AS938" s="1369">
        <f t="shared" si="1356"/>
        <v>0</v>
      </c>
      <c r="AT938" s="1370">
        <v>0</v>
      </c>
      <c r="AU938" s="1371">
        <f t="shared" si="1357"/>
        <v>0</v>
      </c>
      <c r="AV938" s="1359">
        <f t="shared" si="1358"/>
        <v>0</v>
      </c>
      <c r="AW938" s="1372">
        <f t="shared" si="1359"/>
        <v>0</v>
      </c>
      <c r="AX938" s="1373">
        <f t="shared" si="1360"/>
        <v>0</v>
      </c>
      <c r="AY938" s="1374">
        <f t="shared" si="1361"/>
        <v>0</v>
      </c>
      <c r="AZ938" s="1375">
        <f t="shared" si="1362"/>
        <v>0</v>
      </c>
      <c r="BA938" s="1376">
        <f t="shared" si="1363"/>
        <v>0</v>
      </c>
      <c r="BB938" s="1377"/>
      <c r="BC938" s="1820"/>
      <c r="BD938" s="1820"/>
      <c r="BE938" s="1823"/>
      <c r="BF938" s="1826"/>
      <c r="BG938" s="1829"/>
    </row>
    <row r="939" spans="1:59" s="1378" customFormat="1" ht="27.75" customHeight="1">
      <c r="A939" s="1347" t="str">
        <f>L930</f>
        <v>Versant Venture Management, LLC</v>
      </c>
      <c r="B939" s="1348" t="str">
        <f>N930</f>
        <v>Duenas</v>
      </c>
      <c r="C939" s="1348">
        <f>Z930</f>
        <v>28</v>
      </c>
      <c r="D939" s="1349">
        <v>43116</v>
      </c>
      <c r="E939" s="1349"/>
      <c r="F939" s="1347" t="s">
        <v>72</v>
      </c>
      <c r="G939" s="1347" t="s">
        <v>113</v>
      </c>
      <c r="H939" s="1347" t="s">
        <v>72</v>
      </c>
      <c r="I939" s="1347" t="s">
        <v>113</v>
      </c>
      <c r="J939" s="1349" t="s">
        <v>4670</v>
      </c>
      <c r="K939" s="1349"/>
      <c r="L939" s="1397" t="s">
        <v>5368</v>
      </c>
      <c r="M939" s="1397" t="s">
        <v>3652</v>
      </c>
      <c r="N939" s="1412" t="s">
        <v>5369</v>
      </c>
      <c r="O939" s="1399" t="s">
        <v>5370</v>
      </c>
      <c r="P939" s="1424"/>
      <c r="Q939" s="1400"/>
      <c r="R939" s="1400"/>
      <c r="S939" s="1400"/>
      <c r="T939" s="1400"/>
      <c r="U939" s="1400"/>
      <c r="V939" s="1400"/>
      <c r="W939" s="1400"/>
      <c r="X939" s="1400">
        <v>43101</v>
      </c>
      <c r="Y939" s="1400">
        <v>43466</v>
      </c>
      <c r="Z939" s="1401"/>
      <c r="AA939" s="1401" t="s">
        <v>4738</v>
      </c>
      <c r="AB939" s="1369"/>
      <c r="AC939" s="1369"/>
      <c r="AD939" s="1369"/>
      <c r="AE939" s="1369"/>
      <c r="AF939" s="1403" t="str">
        <f t="shared" si="1295"/>
        <v/>
      </c>
      <c r="AG939" s="1404"/>
      <c r="AH939" s="1404"/>
      <c r="AI939" s="1405">
        <v>0</v>
      </c>
      <c r="AJ939" s="1411">
        <f t="shared" si="1351"/>
        <v>0</v>
      </c>
      <c r="AK939" s="1406">
        <f t="shared" si="1352"/>
        <v>0</v>
      </c>
      <c r="AL939" s="1384">
        <v>0</v>
      </c>
      <c r="AM939" s="1363">
        <f t="shared" si="1353"/>
        <v>0</v>
      </c>
      <c r="AN939" s="1364">
        <v>0</v>
      </c>
      <c r="AO939" s="1365">
        <f t="shared" si="1354"/>
        <v>0</v>
      </c>
      <c r="AP939" s="1366">
        <v>0</v>
      </c>
      <c r="AQ939" s="1367">
        <f t="shared" si="1355"/>
        <v>0</v>
      </c>
      <c r="AR939" s="1368">
        <v>0</v>
      </c>
      <c r="AS939" s="1369">
        <f t="shared" si="1356"/>
        <v>0</v>
      </c>
      <c r="AT939" s="1370">
        <v>0</v>
      </c>
      <c r="AU939" s="1371">
        <f t="shared" si="1357"/>
        <v>0</v>
      </c>
      <c r="AV939" s="1359">
        <f t="shared" si="1358"/>
        <v>0</v>
      </c>
      <c r="AW939" s="1372">
        <f t="shared" si="1359"/>
        <v>0</v>
      </c>
      <c r="AX939" s="1373">
        <f t="shared" si="1360"/>
        <v>0</v>
      </c>
      <c r="AY939" s="1374">
        <f t="shared" si="1361"/>
        <v>0</v>
      </c>
      <c r="AZ939" s="1375">
        <f t="shared" si="1362"/>
        <v>0</v>
      </c>
      <c r="BA939" s="1376">
        <f t="shared" si="1363"/>
        <v>0</v>
      </c>
      <c r="BB939" s="1377"/>
      <c r="BC939" s="1820"/>
      <c r="BD939" s="1820"/>
      <c r="BE939" s="1823"/>
      <c r="BF939" s="1826"/>
      <c r="BG939" s="1829"/>
    </row>
    <row r="940" spans="1:59" s="1378" customFormat="1" ht="27.75" customHeight="1">
      <c r="A940" s="1347" t="str">
        <f>L930</f>
        <v>Versant Venture Management, LLC</v>
      </c>
      <c r="B940" s="1348" t="str">
        <f>N930</f>
        <v>Duenas</v>
      </c>
      <c r="C940" s="1348">
        <f>Z930</f>
        <v>28</v>
      </c>
      <c r="D940" s="1349">
        <v>43117</v>
      </c>
      <c r="E940" s="1349"/>
      <c r="F940" s="1347" t="s">
        <v>72</v>
      </c>
      <c r="G940" s="1347" t="s">
        <v>113</v>
      </c>
      <c r="H940" s="1347" t="s">
        <v>72</v>
      </c>
      <c r="I940" s="1347" t="s">
        <v>113</v>
      </c>
      <c r="J940" s="1349" t="s">
        <v>4670</v>
      </c>
      <c r="K940" s="1349"/>
      <c r="L940" s="1397" t="s">
        <v>5371</v>
      </c>
      <c r="M940" s="1397" t="s">
        <v>5033</v>
      </c>
      <c r="N940" s="1412" t="s">
        <v>5372</v>
      </c>
      <c r="O940" s="1399" t="s">
        <v>5373</v>
      </c>
      <c r="P940" s="1424"/>
      <c r="Q940" s="1400"/>
      <c r="R940" s="1400"/>
      <c r="S940" s="1400"/>
      <c r="T940" s="1400"/>
      <c r="U940" s="1400"/>
      <c r="V940" s="1400"/>
      <c r="W940" s="1400"/>
      <c r="X940" s="1400">
        <v>43101</v>
      </c>
      <c r="Y940" s="1400">
        <v>43466</v>
      </c>
      <c r="Z940" s="1401"/>
      <c r="AA940" s="1401" t="s">
        <v>4738</v>
      </c>
      <c r="AB940" s="1369"/>
      <c r="AC940" s="1369"/>
      <c r="AD940" s="1369"/>
      <c r="AE940" s="1369"/>
      <c r="AF940" s="1403" t="str">
        <f t="shared" si="1295"/>
        <v/>
      </c>
      <c r="AG940" s="1404"/>
      <c r="AH940" s="1404"/>
      <c r="AI940" s="1405">
        <v>0</v>
      </c>
      <c r="AJ940" s="1411">
        <f t="shared" si="1351"/>
        <v>0</v>
      </c>
      <c r="AK940" s="1406">
        <f t="shared" si="1352"/>
        <v>0</v>
      </c>
      <c r="AL940" s="1384">
        <v>0</v>
      </c>
      <c r="AM940" s="1363">
        <f t="shared" si="1353"/>
        <v>0</v>
      </c>
      <c r="AN940" s="1364">
        <v>0</v>
      </c>
      <c r="AO940" s="1365">
        <f t="shared" si="1354"/>
        <v>0</v>
      </c>
      <c r="AP940" s="1366">
        <v>0</v>
      </c>
      <c r="AQ940" s="1367">
        <f t="shared" si="1355"/>
        <v>0</v>
      </c>
      <c r="AR940" s="1368">
        <v>0</v>
      </c>
      <c r="AS940" s="1369">
        <f t="shared" si="1356"/>
        <v>0</v>
      </c>
      <c r="AT940" s="1370">
        <v>0</v>
      </c>
      <c r="AU940" s="1371">
        <f t="shared" si="1357"/>
        <v>0</v>
      </c>
      <c r="AV940" s="1359">
        <f t="shared" si="1358"/>
        <v>0</v>
      </c>
      <c r="AW940" s="1372">
        <f t="shared" si="1359"/>
        <v>0</v>
      </c>
      <c r="AX940" s="1373">
        <f t="shared" si="1360"/>
        <v>0</v>
      </c>
      <c r="AY940" s="1374">
        <f t="shared" si="1361"/>
        <v>0</v>
      </c>
      <c r="AZ940" s="1375">
        <f t="shared" si="1362"/>
        <v>0</v>
      </c>
      <c r="BA940" s="1376">
        <f t="shared" si="1363"/>
        <v>0</v>
      </c>
      <c r="BB940" s="1377"/>
      <c r="BC940" s="1820"/>
      <c r="BD940" s="1820"/>
      <c r="BE940" s="1823"/>
      <c r="BF940" s="1826"/>
      <c r="BG940" s="1829"/>
    </row>
    <row r="941" spans="1:59" s="1378" customFormat="1" ht="27.75" customHeight="1">
      <c r="A941" s="1347" t="str">
        <f>L930</f>
        <v>Versant Venture Management, LLC</v>
      </c>
      <c r="B941" s="1348" t="str">
        <f>N930</f>
        <v>Duenas</v>
      </c>
      <c r="C941" s="1348">
        <f>Z930</f>
        <v>28</v>
      </c>
      <c r="D941" s="1349">
        <v>43118</v>
      </c>
      <c r="E941" s="1349"/>
      <c r="F941" s="1347" t="s">
        <v>72</v>
      </c>
      <c r="G941" s="1347" t="s">
        <v>85</v>
      </c>
      <c r="H941" s="1347" t="s">
        <v>72</v>
      </c>
      <c r="I941" s="1347" t="s">
        <v>72</v>
      </c>
      <c r="J941" s="1349" t="s">
        <v>4670</v>
      </c>
      <c r="K941" s="1349" t="s">
        <v>254</v>
      </c>
      <c r="L941" s="1350" t="s">
        <v>48</v>
      </c>
      <c r="M941" s="1350" t="s">
        <v>253</v>
      </c>
      <c r="N941" s="1390" t="s">
        <v>4703</v>
      </c>
      <c r="O941" s="1352" t="s">
        <v>4704</v>
      </c>
      <c r="P941" s="1352"/>
      <c r="Q941" s="1354"/>
      <c r="R941" s="1354"/>
      <c r="S941" s="1354"/>
      <c r="T941" s="1354"/>
      <c r="U941" s="1354"/>
      <c r="V941" s="1354"/>
      <c r="W941" s="1354"/>
      <c r="X941" s="1353">
        <v>43101</v>
      </c>
      <c r="Y941" s="1353">
        <v>43466</v>
      </c>
      <c r="Z941" s="1355"/>
      <c r="AA941" s="1355" t="s">
        <v>4674</v>
      </c>
      <c r="AB941" s="1356"/>
      <c r="AC941" s="1356"/>
      <c r="AD941" s="1356"/>
      <c r="AE941" s="1356"/>
      <c r="AF941" s="1357" t="str">
        <f t="shared" si="1295"/>
        <v/>
      </c>
      <c r="AG941" s="1380"/>
      <c r="AH941" s="1380"/>
      <c r="AI941" s="1381">
        <v>0</v>
      </c>
      <c r="AJ941" s="1382">
        <f t="shared" si="1351"/>
        <v>0</v>
      </c>
      <c r="AK941" s="1383">
        <f t="shared" si="1352"/>
        <v>0</v>
      </c>
      <c r="AL941" s="1384">
        <v>0</v>
      </c>
      <c r="AM941" s="1363">
        <f t="shared" si="1353"/>
        <v>0</v>
      </c>
      <c r="AN941" s="1364">
        <v>0</v>
      </c>
      <c r="AO941" s="1365">
        <f t="shared" si="1354"/>
        <v>0</v>
      </c>
      <c r="AP941" s="1366">
        <v>0</v>
      </c>
      <c r="AQ941" s="1367">
        <f t="shared" si="1355"/>
        <v>0</v>
      </c>
      <c r="AR941" s="1368">
        <v>0</v>
      </c>
      <c r="AS941" s="1369">
        <f t="shared" si="1356"/>
        <v>0</v>
      </c>
      <c r="AT941" s="1370">
        <v>0</v>
      </c>
      <c r="AU941" s="1371">
        <f t="shared" si="1357"/>
        <v>0</v>
      </c>
      <c r="AV941" s="1359">
        <f t="shared" si="1358"/>
        <v>0</v>
      </c>
      <c r="AW941" s="1372">
        <f t="shared" si="1359"/>
        <v>0</v>
      </c>
      <c r="AX941" s="1373">
        <f t="shared" si="1360"/>
        <v>0</v>
      </c>
      <c r="AY941" s="1374">
        <f t="shared" si="1361"/>
        <v>0</v>
      </c>
      <c r="AZ941" s="1375">
        <f t="shared" si="1362"/>
        <v>0</v>
      </c>
      <c r="BA941" s="1376">
        <f t="shared" si="1363"/>
        <v>0</v>
      </c>
      <c r="BB941" s="1391"/>
      <c r="BC941" s="1820"/>
      <c r="BD941" s="1820"/>
      <c r="BE941" s="1823"/>
      <c r="BF941" s="1826"/>
      <c r="BG941" s="1829"/>
    </row>
    <row r="942" spans="1:59" s="1378" customFormat="1" ht="27.75" customHeight="1">
      <c r="A942" s="1347" t="str">
        <f>L930</f>
        <v>Versant Venture Management, LLC</v>
      </c>
      <c r="B942" s="1348" t="str">
        <f>N930</f>
        <v>Duenas</v>
      </c>
      <c r="C942" s="1348">
        <f>Z930</f>
        <v>28</v>
      </c>
      <c r="D942" s="1349">
        <v>43119</v>
      </c>
      <c r="E942" s="1349"/>
      <c r="F942" s="1347" t="s">
        <v>72</v>
      </c>
      <c r="G942" s="1347" t="s">
        <v>85</v>
      </c>
      <c r="H942" s="1347" t="s">
        <v>72</v>
      </c>
      <c r="I942" s="1347" t="s">
        <v>72</v>
      </c>
      <c r="J942" s="1349" t="s">
        <v>4670</v>
      </c>
      <c r="K942" s="1349" t="s">
        <v>254</v>
      </c>
      <c r="L942" s="1350" t="s">
        <v>49</v>
      </c>
      <c r="M942" s="1350" t="s">
        <v>4705</v>
      </c>
      <c r="N942" s="1390" t="s">
        <v>4706</v>
      </c>
      <c r="O942" s="1352" t="s">
        <v>4707</v>
      </c>
      <c r="P942" s="1352"/>
      <c r="Q942" s="1354"/>
      <c r="R942" s="1354"/>
      <c r="S942" s="1354"/>
      <c r="T942" s="1354"/>
      <c r="U942" s="1354"/>
      <c r="V942" s="1354"/>
      <c r="W942" s="1354"/>
      <c r="X942" s="1353">
        <v>43101</v>
      </c>
      <c r="Y942" s="1353">
        <v>43466</v>
      </c>
      <c r="Z942" s="1355"/>
      <c r="AA942" s="1355" t="s">
        <v>4674</v>
      </c>
      <c r="AB942" s="1356"/>
      <c r="AC942" s="1356"/>
      <c r="AD942" s="1356"/>
      <c r="AE942" s="1356"/>
      <c r="AF942" s="1357" t="str">
        <f t="shared" si="1295"/>
        <v/>
      </c>
      <c r="AG942" s="1380"/>
      <c r="AH942" s="1380"/>
      <c r="AI942" s="1381">
        <v>0</v>
      </c>
      <c r="AJ942" s="1382">
        <f t="shared" si="1351"/>
        <v>0</v>
      </c>
      <c r="AK942" s="1383">
        <f t="shared" si="1352"/>
        <v>0</v>
      </c>
      <c r="AL942" s="1384">
        <v>0</v>
      </c>
      <c r="AM942" s="1363">
        <f t="shared" si="1353"/>
        <v>0</v>
      </c>
      <c r="AN942" s="1364">
        <v>0</v>
      </c>
      <c r="AO942" s="1365">
        <f t="shared" si="1354"/>
        <v>0</v>
      </c>
      <c r="AP942" s="1366">
        <v>0</v>
      </c>
      <c r="AQ942" s="1367">
        <f t="shared" si="1355"/>
        <v>0</v>
      </c>
      <c r="AR942" s="1368">
        <v>0</v>
      </c>
      <c r="AS942" s="1369">
        <f t="shared" si="1356"/>
        <v>0</v>
      </c>
      <c r="AT942" s="1370">
        <v>0</v>
      </c>
      <c r="AU942" s="1371">
        <f t="shared" si="1357"/>
        <v>0</v>
      </c>
      <c r="AV942" s="1359">
        <f t="shared" si="1358"/>
        <v>0</v>
      </c>
      <c r="AW942" s="1372">
        <f t="shared" si="1359"/>
        <v>0</v>
      </c>
      <c r="AX942" s="1373">
        <f t="shared" si="1360"/>
        <v>0</v>
      </c>
      <c r="AY942" s="1374">
        <f t="shared" si="1361"/>
        <v>0</v>
      </c>
      <c r="AZ942" s="1375">
        <f t="shared" si="1362"/>
        <v>0</v>
      </c>
      <c r="BA942" s="1376">
        <f t="shared" si="1363"/>
        <v>0</v>
      </c>
      <c r="BB942" s="1391"/>
      <c r="BC942" s="1820"/>
      <c r="BD942" s="1820"/>
      <c r="BE942" s="1823"/>
      <c r="BF942" s="1826"/>
      <c r="BG942" s="1829"/>
    </row>
    <row r="943" spans="1:59" s="1378" customFormat="1" ht="27.75" customHeight="1">
      <c r="A943" s="1347" t="str">
        <f>L930</f>
        <v>Versant Venture Management, LLC</v>
      </c>
      <c r="B943" s="1348" t="str">
        <f>N930</f>
        <v>Duenas</v>
      </c>
      <c r="C943" s="1348">
        <f>Z930</f>
        <v>28</v>
      </c>
      <c r="D943" s="1349">
        <v>43120</v>
      </c>
      <c r="E943" s="1349"/>
      <c r="F943" s="1347" t="s">
        <v>72</v>
      </c>
      <c r="G943" s="1347" t="s">
        <v>85</v>
      </c>
      <c r="H943" s="1347" t="s">
        <v>72</v>
      </c>
      <c r="I943" s="1347" t="s">
        <v>72</v>
      </c>
      <c r="J943" s="1349" t="s">
        <v>4670</v>
      </c>
      <c r="K943" s="1349" t="s">
        <v>254</v>
      </c>
      <c r="L943" s="1350" t="s">
        <v>3056</v>
      </c>
      <c r="M943" s="1350" t="s">
        <v>4708</v>
      </c>
      <c r="N943" s="1390" t="s">
        <v>4709</v>
      </c>
      <c r="O943" s="1352" t="s">
        <v>4710</v>
      </c>
      <c r="P943" s="1352"/>
      <c r="Q943" s="1354"/>
      <c r="R943" s="1354"/>
      <c r="S943" s="1354"/>
      <c r="T943" s="1354"/>
      <c r="U943" s="1354"/>
      <c r="V943" s="1354"/>
      <c r="W943" s="1354"/>
      <c r="X943" s="1353">
        <v>43101</v>
      </c>
      <c r="Y943" s="1353">
        <v>43466</v>
      </c>
      <c r="Z943" s="1355"/>
      <c r="AA943" s="1355" t="s">
        <v>4674</v>
      </c>
      <c r="AB943" s="1356"/>
      <c r="AC943" s="1356"/>
      <c r="AD943" s="1356"/>
      <c r="AE943" s="1356"/>
      <c r="AF943" s="1357" t="str">
        <f t="shared" si="1295"/>
        <v/>
      </c>
      <c r="AG943" s="1380"/>
      <c r="AH943" s="1380"/>
      <c r="AI943" s="1381">
        <v>0</v>
      </c>
      <c r="AJ943" s="1382">
        <f t="shared" si="1351"/>
        <v>0</v>
      </c>
      <c r="AK943" s="1383">
        <f t="shared" si="1352"/>
        <v>0</v>
      </c>
      <c r="AL943" s="1384">
        <v>0</v>
      </c>
      <c r="AM943" s="1363">
        <f t="shared" si="1353"/>
        <v>0</v>
      </c>
      <c r="AN943" s="1364">
        <v>0</v>
      </c>
      <c r="AO943" s="1365">
        <f t="shared" si="1354"/>
        <v>0</v>
      </c>
      <c r="AP943" s="1366">
        <v>0</v>
      </c>
      <c r="AQ943" s="1367">
        <f t="shared" si="1355"/>
        <v>0</v>
      </c>
      <c r="AR943" s="1368">
        <v>0</v>
      </c>
      <c r="AS943" s="1369">
        <f t="shared" si="1356"/>
        <v>0</v>
      </c>
      <c r="AT943" s="1370">
        <v>0</v>
      </c>
      <c r="AU943" s="1371">
        <f t="shared" si="1357"/>
        <v>0</v>
      </c>
      <c r="AV943" s="1359">
        <f t="shared" si="1358"/>
        <v>0</v>
      </c>
      <c r="AW943" s="1372">
        <f t="shared" si="1359"/>
        <v>0</v>
      </c>
      <c r="AX943" s="1373">
        <f t="shared" si="1360"/>
        <v>0</v>
      </c>
      <c r="AY943" s="1374">
        <f t="shared" si="1361"/>
        <v>0</v>
      </c>
      <c r="AZ943" s="1375">
        <f t="shared" si="1362"/>
        <v>0</v>
      </c>
      <c r="BA943" s="1376">
        <f t="shared" si="1363"/>
        <v>0</v>
      </c>
      <c r="BB943" s="1391"/>
      <c r="BC943" s="1821"/>
      <c r="BD943" s="1821"/>
      <c r="BE943" s="1824"/>
      <c r="BF943" s="1827"/>
      <c r="BG943" s="1830"/>
    </row>
    <row r="944" spans="1:59" s="1315" customFormat="1" ht="57" customHeight="1">
      <c r="A944" s="1277" t="str">
        <f>L944</f>
        <v>Vital Therapies, Inc.</v>
      </c>
      <c r="B944" s="1316" t="str">
        <f>N944</f>
        <v>HUB SD</v>
      </c>
      <c r="C944" s="1316">
        <f>Z944</f>
        <v>85</v>
      </c>
      <c r="D944" s="1317">
        <v>42675</v>
      </c>
      <c r="E944" s="1317"/>
      <c r="F944" s="1277" t="s">
        <v>72</v>
      </c>
      <c r="G944" s="1277" t="s">
        <v>72</v>
      </c>
      <c r="H944" s="1277" t="s">
        <v>72</v>
      </c>
      <c r="I944" s="1277" t="s">
        <v>4711</v>
      </c>
      <c r="J944" s="1317"/>
      <c r="K944" s="1317"/>
      <c r="L944" s="1318" t="s">
        <v>1250</v>
      </c>
      <c r="M944" s="1318"/>
      <c r="N944" s="1320" t="s">
        <v>4661</v>
      </c>
      <c r="O944" s="1321" t="s">
        <v>2474</v>
      </c>
      <c r="P944" s="1321"/>
      <c r="Q944" s="1322"/>
      <c r="R944" s="1322"/>
      <c r="S944" s="1322"/>
      <c r="T944" s="1322"/>
      <c r="U944" s="1322"/>
      <c r="V944" s="1322"/>
      <c r="W944" s="1322"/>
      <c r="X944" s="1317">
        <v>43101</v>
      </c>
      <c r="Y944" s="1317">
        <v>43466</v>
      </c>
      <c r="Z944" s="1316">
        <v>85</v>
      </c>
      <c r="AA944" s="1316" t="s">
        <v>5374</v>
      </c>
      <c r="AB944" s="1323">
        <f>SUM(AB945:AB949)</f>
        <v>0</v>
      </c>
      <c r="AC944" s="1323">
        <f>SUM(AC945:AC949)</f>
        <v>0</v>
      </c>
      <c r="AD944" s="1323">
        <f>SUM(AD945:AD949)</f>
        <v>0</v>
      </c>
      <c r="AE944" s="1324">
        <f t="shared" ref="AE944:AE953" si="1365">AD944-AB944</f>
        <v>0</v>
      </c>
      <c r="AF944" s="1325" t="str">
        <f t="shared" si="1295"/>
        <v/>
      </c>
      <c r="AG944" s="1326">
        <f t="shared" si="1267"/>
        <v>138224.75</v>
      </c>
      <c r="AH944" s="1326">
        <f>SUM(AH945:AH949)</f>
        <v>1658697</v>
      </c>
      <c r="AI944" s="1339"/>
      <c r="AJ944" s="1328">
        <f>SUM(AJ945:AJ949)</f>
        <v>8984.6087499999994</v>
      </c>
      <c r="AK944" s="1328">
        <f>SUM(AK945:AK949)</f>
        <v>107815.30500000001</v>
      </c>
      <c r="AL944" s="1329"/>
      <c r="AM944" s="1330">
        <f>SUM(AM945:AM949)</f>
        <v>8293.4850000000006</v>
      </c>
      <c r="AN944" s="1331"/>
      <c r="AO944" s="1332">
        <f>SUM(AO945:AO949)</f>
        <v>0</v>
      </c>
      <c r="AP944" s="1333"/>
      <c r="AQ944" s="1334">
        <f>SUM(AQ945:AQ949)</f>
        <v>0</v>
      </c>
      <c r="AR944" s="1335"/>
      <c r="AS944" s="1336">
        <f>SUM(AS945:AS949)</f>
        <v>66347.88</v>
      </c>
      <c r="AT944" s="1337"/>
      <c r="AU944" s="1338">
        <f>SUM(AU945:AU949)</f>
        <v>16586.97</v>
      </c>
      <c r="AV944" s="1339"/>
      <c r="AW944" s="1340">
        <f>SUM(AW945:AW949)</f>
        <v>16586.970000000005</v>
      </c>
      <c r="AX944" s="1306"/>
      <c r="AY944" s="1307">
        <f>SUM(AW944+AS944+AU944)</f>
        <v>99521.82</v>
      </c>
      <c r="AZ944" s="1341"/>
      <c r="BA944" s="1309">
        <f>SUM(AY944+AQ944)</f>
        <v>99521.82</v>
      </c>
      <c r="BB944" s="1342">
        <f>(AW944+AU944)/(AK944-AM944)</f>
        <v>0.33333333333333331</v>
      </c>
      <c r="BC944" s="1343"/>
      <c r="BD944" s="1343"/>
      <c r="BE944" s="1344"/>
      <c r="BF944" s="1345" t="s">
        <v>5375</v>
      </c>
      <c r="BG944" s="1346"/>
    </row>
    <row r="945" spans="1:59" s="1378" customFormat="1" ht="63.75">
      <c r="A945" s="1347" t="str">
        <f>L944</f>
        <v>Vital Therapies, Inc.</v>
      </c>
      <c r="B945" s="1348" t="str">
        <f>N944</f>
        <v>HUB SD</v>
      </c>
      <c r="C945" s="1348">
        <f>Z944</f>
        <v>85</v>
      </c>
      <c r="D945" s="1349">
        <v>42675</v>
      </c>
      <c r="E945" s="1349"/>
      <c r="F945" s="1347" t="s">
        <v>85</v>
      </c>
      <c r="G945" s="1347" t="s">
        <v>479</v>
      </c>
      <c r="H945" s="1347" t="s">
        <v>479</v>
      </c>
      <c r="I945" s="1347" t="s">
        <v>113</v>
      </c>
      <c r="J945" s="1349"/>
      <c r="K945" s="1349"/>
      <c r="L945" s="1350" t="s">
        <v>4729</v>
      </c>
      <c r="M945" s="1350" t="s">
        <v>3647</v>
      </c>
      <c r="N945" s="1379" t="s">
        <v>5376</v>
      </c>
      <c r="O945" s="1352" t="s">
        <v>5377</v>
      </c>
      <c r="P945" s="1352"/>
      <c r="Q945" s="1354"/>
      <c r="R945" s="1354"/>
      <c r="S945" s="1354"/>
      <c r="T945" s="1354"/>
      <c r="U945" s="1354"/>
      <c r="V945" s="1354"/>
      <c r="W945" s="1354"/>
      <c r="X945" s="1353">
        <v>43101</v>
      </c>
      <c r="Y945" s="1353">
        <v>43466</v>
      </c>
      <c r="Z945" s="1355"/>
      <c r="AA945" s="1355" t="s">
        <v>4732</v>
      </c>
      <c r="AB945" s="1356"/>
      <c r="AC945" s="1356"/>
      <c r="AD945" s="1356"/>
      <c r="AE945" s="1356"/>
      <c r="AF945" s="1357" t="str">
        <f t="shared" si="1295"/>
        <v/>
      </c>
      <c r="AG945" s="1358">
        <f t="shared" si="1267"/>
        <v>138224.75</v>
      </c>
      <c r="AH945" s="1358">
        <v>1658697</v>
      </c>
      <c r="AI945" s="1359">
        <v>6.5000000000000002E-2</v>
      </c>
      <c r="AJ945" s="1360">
        <f>$AI945*$AG945</f>
        <v>8984.6087499999994</v>
      </c>
      <c r="AK945" s="1361">
        <f>AI945*$AH945</f>
        <v>107815.30500000001</v>
      </c>
      <c r="AL945" s="1362">
        <v>5.0000000000000001E-3</v>
      </c>
      <c r="AM945" s="1363">
        <f>AL945*$AH945</f>
        <v>8293.4850000000006</v>
      </c>
      <c r="AN945" s="1364">
        <v>0</v>
      </c>
      <c r="AO945" s="1365">
        <f>AN945*$AH945</f>
        <v>0</v>
      </c>
      <c r="AP945" s="1366">
        <v>0</v>
      </c>
      <c r="AQ945" s="1367">
        <f>AP945*$AH945</f>
        <v>0</v>
      </c>
      <c r="AR945" s="1368">
        <v>0.04</v>
      </c>
      <c r="AS945" s="1369">
        <f>AR945*$AH945</f>
        <v>66347.88</v>
      </c>
      <c r="AT945" s="1370">
        <v>0.01</v>
      </c>
      <c r="AU945" s="1371">
        <f>AT945*$AH945</f>
        <v>16586.97</v>
      </c>
      <c r="AV945" s="1359">
        <f t="shared" ref="AV945:AV949" si="1366">AZ945-AR945-AT945-AP945</f>
        <v>1.0000000000000004E-2</v>
      </c>
      <c r="AW945" s="1372">
        <f>AV945*$AH945</f>
        <v>16586.970000000005</v>
      </c>
      <c r="AX945" s="1373">
        <f>$AZ945-$AP945</f>
        <v>6.0000000000000005E-2</v>
      </c>
      <c r="AY945" s="1374">
        <f>AX945*$AH945</f>
        <v>99521.82</v>
      </c>
      <c r="AZ945" s="1375">
        <f>$AI945-$AL945-$AN945</f>
        <v>6.0000000000000005E-2</v>
      </c>
      <c r="BA945" s="1376">
        <f>AZ945*$AH945</f>
        <v>99521.82</v>
      </c>
      <c r="BB945" s="1391"/>
      <c r="BC945" s="1819" t="s">
        <v>1251</v>
      </c>
      <c r="BD945" s="1819" t="s">
        <v>1252</v>
      </c>
      <c r="BE945" s="1822" t="s">
        <v>1252</v>
      </c>
      <c r="BF945" s="1834" t="s">
        <v>5378</v>
      </c>
      <c r="BG945" s="1828">
        <v>562358443</v>
      </c>
    </row>
    <row r="946" spans="1:59" s="1378" customFormat="1" ht="38.25">
      <c r="A946" s="1347" t="str">
        <f>L944</f>
        <v>Vital Therapies, Inc.</v>
      </c>
      <c r="B946" s="1348" t="str">
        <f>N944</f>
        <v>HUB SD</v>
      </c>
      <c r="C946" s="1348">
        <f>Z944</f>
        <v>85</v>
      </c>
      <c r="D946" s="1349">
        <v>42675</v>
      </c>
      <c r="E946" s="1349"/>
      <c r="F946" s="1347" t="s">
        <v>72</v>
      </c>
      <c r="G946" s="1347" t="s">
        <v>113</v>
      </c>
      <c r="H946" s="1347" t="s">
        <v>72</v>
      </c>
      <c r="I946" s="1347" t="s">
        <v>113</v>
      </c>
      <c r="J946" s="1349" t="s">
        <v>4670</v>
      </c>
      <c r="K946" s="1349"/>
      <c r="L946" s="1397" t="s">
        <v>4737</v>
      </c>
      <c r="M946" s="1397" t="s">
        <v>3649</v>
      </c>
      <c r="N946" s="1410" t="s">
        <v>5379</v>
      </c>
      <c r="O946" s="1399" t="s">
        <v>4820</v>
      </c>
      <c r="P946" s="1399"/>
      <c r="Q946" s="1400"/>
      <c r="R946" s="1400"/>
      <c r="S946" s="1400"/>
      <c r="T946" s="1400"/>
      <c r="U946" s="1400"/>
      <c r="V946" s="1400"/>
      <c r="W946" s="1400"/>
      <c r="X946" s="1400">
        <v>43101</v>
      </c>
      <c r="Y946" s="1400">
        <v>43466</v>
      </c>
      <c r="Z946" s="1401"/>
      <c r="AA946" s="1401" t="s">
        <v>4738</v>
      </c>
      <c r="AB946" s="1369"/>
      <c r="AC946" s="1369"/>
      <c r="AD946" s="1369"/>
      <c r="AE946" s="1369"/>
      <c r="AF946" s="1403" t="str">
        <f t="shared" si="1295"/>
        <v/>
      </c>
      <c r="AG946" s="1404"/>
      <c r="AH946" s="1404"/>
      <c r="AI946" s="1405">
        <v>0</v>
      </c>
      <c r="AJ946" s="1411">
        <f>$AI946*$AG946</f>
        <v>0</v>
      </c>
      <c r="AK946" s="1406">
        <f>AI946*$AH946</f>
        <v>0</v>
      </c>
      <c r="AL946" s="1362">
        <v>0</v>
      </c>
      <c r="AM946" s="1363">
        <f>AL946*$AH946</f>
        <v>0</v>
      </c>
      <c r="AN946" s="1364">
        <v>0</v>
      </c>
      <c r="AO946" s="1365">
        <f>AN946*$AH946</f>
        <v>0</v>
      </c>
      <c r="AP946" s="1366">
        <v>0</v>
      </c>
      <c r="AQ946" s="1367">
        <f>AP946*$AH946</f>
        <v>0</v>
      </c>
      <c r="AR946" s="1368">
        <v>0</v>
      </c>
      <c r="AS946" s="1369">
        <f>AR946*$AH946</f>
        <v>0</v>
      </c>
      <c r="AT946" s="1370">
        <v>0</v>
      </c>
      <c r="AU946" s="1371">
        <f>AT946*$AH946</f>
        <v>0</v>
      </c>
      <c r="AV946" s="1359">
        <f t="shared" si="1366"/>
        <v>0</v>
      </c>
      <c r="AW946" s="1372">
        <f>AV946*$AH946</f>
        <v>0</v>
      </c>
      <c r="AX946" s="1373">
        <f>$AZ946-$AP946</f>
        <v>0</v>
      </c>
      <c r="AY946" s="1374">
        <f>AX946*$AH946</f>
        <v>0</v>
      </c>
      <c r="AZ946" s="1375">
        <f>$AI946-$AL946-$AN946</f>
        <v>0</v>
      </c>
      <c r="BA946" s="1376">
        <f>AZ946*$AH946</f>
        <v>0</v>
      </c>
      <c r="BB946" s="1391"/>
      <c r="BC946" s="1820"/>
      <c r="BD946" s="1820"/>
      <c r="BE946" s="1823"/>
      <c r="BF946" s="1834"/>
      <c r="BG946" s="1829"/>
    </row>
    <row r="947" spans="1:59" s="1378" customFormat="1" ht="27.75" customHeight="1">
      <c r="A947" s="1347" t="s">
        <v>1250</v>
      </c>
      <c r="B947" s="1348" t="s">
        <v>4661</v>
      </c>
      <c r="C947" s="1348">
        <v>80</v>
      </c>
      <c r="D947" s="1349">
        <v>42675</v>
      </c>
      <c r="E947" s="1349"/>
      <c r="F947" s="1347" t="s">
        <v>72</v>
      </c>
      <c r="G947" s="1347" t="s">
        <v>85</v>
      </c>
      <c r="H947" s="1347" t="s">
        <v>72</v>
      </c>
      <c r="I947" s="1347" t="s">
        <v>72</v>
      </c>
      <c r="J947" s="1349" t="s">
        <v>4670</v>
      </c>
      <c r="K947" s="1349" t="s">
        <v>254</v>
      </c>
      <c r="L947" s="1350" t="s">
        <v>4696</v>
      </c>
      <c r="M947" s="1350" t="s">
        <v>4697</v>
      </c>
      <c r="N947" s="1389" t="s">
        <v>4698</v>
      </c>
      <c r="O947" s="1352" t="s">
        <v>4699</v>
      </c>
      <c r="P947" s="1352"/>
      <c r="Q947" s="1354"/>
      <c r="R947" s="1354"/>
      <c r="S947" s="1354"/>
      <c r="T947" s="1354"/>
      <c r="U947" s="1354"/>
      <c r="V947" s="1354"/>
      <c r="W947" s="1354"/>
      <c r="X947" s="1353">
        <v>43101</v>
      </c>
      <c r="Y947" s="1353">
        <v>43466</v>
      </c>
      <c r="Z947" s="1355"/>
      <c r="AA947" s="1355" t="s">
        <v>4674</v>
      </c>
      <c r="AB947" s="1356"/>
      <c r="AC947" s="1356"/>
      <c r="AD947" s="1356"/>
      <c r="AE947" s="1356"/>
      <c r="AF947" s="1357" t="str">
        <f t="shared" ref="AF947:AF966" si="1367">IFERROR((AE947/AB947),"")</f>
        <v/>
      </c>
      <c r="AG947" s="1380"/>
      <c r="AH947" s="1380"/>
      <c r="AI947" s="1381">
        <v>0</v>
      </c>
      <c r="AJ947" s="1382">
        <f>$AI947*$AG947</f>
        <v>0</v>
      </c>
      <c r="AK947" s="1383">
        <f t="shared" ref="AK947" si="1368">AI947*$AH947</f>
        <v>0</v>
      </c>
      <c r="AL947" s="1362">
        <v>0</v>
      </c>
      <c r="AM947" s="1363">
        <f t="shared" ref="AM947" si="1369">AL947*$AH947</f>
        <v>0</v>
      </c>
      <c r="AN947" s="1364">
        <v>0</v>
      </c>
      <c r="AO947" s="1365">
        <f t="shared" ref="AO947" si="1370">AN947*$AH947</f>
        <v>0</v>
      </c>
      <c r="AP947" s="1366">
        <v>0</v>
      </c>
      <c r="AQ947" s="1367">
        <f t="shared" ref="AQ947" si="1371">AP947*$AH947</f>
        <v>0</v>
      </c>
      <c r="AR947" s="1368">
        <v>0</v>
      </c>
      <c r="AS947" s="1369">
        <f t="shared" ref="AS947" si="1372">AR947*$AH947</f>
        <v>0</v>
      </c>
      <c r="AT947" s="1370">
        <v>0</v>
      </c>
      <c r="AU947" s="1371">
        <f t="shared" ref="AU947" si="1373">AT947*$AH947</f>
        <v>0</v>
      </c>
      <c r="AV947" s="1359">
        <f t="shared" si="1366"/>
        <v>0</v>
      </c>
      <c r="AW947" s="1372">
        <f t="shared" ref="AW947" si="1374">AV947*$AH947</f>
        <v>0</v>
      </c>
      <c r="AX947" s="1373">
        <f t="shared" ref="AX947" si="1375">$AZ947-$AP947</f>
        <v>0</v>
      </c>
      <c r="AY947" s="1374">
        <f t="shared" ref="AY947" si="1376">AX947*$AH947</f>
        <v>0</v>
      </c>
      <c r="AZ947" s="1375">
        <f t="shared" ref="AZ947" si="1377">$AI947-$AL947-$AN947</f>
        <v>0</v>
      </c>
      <c r="BA947" s="1376">
        <f t="shared" ref="BA947" si="1378">AZ947*$AH947</f>
        <v>0</v>
      </c>
      <c r="BB947" s="1377"/>
      <c r="BC947" s="1820"/>
      <c r="BD947" s="1820"/>
      <c r="BE947" s="1823"/>
      <c r="BF947" s="1834"/>
      <c r="BG947" s="1829"/>
    </row>
    <row r="948" spans="1:59" s="1378" customFormat="1" ht="38.25">
      <c r="A948" s="1347" t="str">
        <f>L944</f>
        <v>Vital Therapies, Inc.</v>
      </c>
      <c r="B948" s="1348" t="str">
        <f>N944</f>
        <v>HUB SD</v>
      </c>
      <c r="C948" s="1348">
        <f>Z944</f>
        <v>85</v>
      </c>
      <c r="D948" s="1349">
        <v>42675</v>
      </c>
      <c r="E948" s="1349"/>
      <c r="F948" s="1347" t="s">
        <v>72</v>
      </c>
      <c r="G948" s="1347" t="s">
        <v>113</v>
      </c>
      <c r="H948" s="1347" t="s">
        <v>72</v>
      </c>
      <c r="I948" s="1347" t="s">
        <v>113</v>
      </c>
      <c r="J948" s="1349" t="s">
        <v>4670</v>
      </c>
      <c r="K948" s="1349"/>
      <c r="L948" s="1397" t="s">
        <v>5380</v>
      </c>
      <c r="M948" s="1397" t="s">
        <v>253</v>
      </c>
      <c r="N948" s="1412" t="s">
        <v>5381</v>
      </c>
      <c r="O948" s="1399" t="s">
        <v>5382</v>
      </c>
      <c r="P948" s="1399"/>
      <c r="Q948" s="1400"/>
      <c r="R948" s="1400"/>
      <c r="S948" s="1400"/>
      <c r="T948" s="1400"/>
      <c r="U948" s="1400"/>
      <c r="V948" s="1400"/>
      <c r="W948" s="1400"/>
      <c r="X948" s="1400">
        <v>43101</v>
      </c>
      <c r="Y948" s="1400">
        <v>43466</v>
      </c>
      <c r="Z948" s="1401"/>
      <c r="AA948" s="1401" t="s">
        <v>4738</v>
      </c>
      <c r="AB948" s="1369"/>
      <c r="AC948" s="1369"/>
      <c r="AD948" s="1369"/>
      <c r="AE948" s="1369"/>
      <c r="AF948" s="1403" t="str">
        <f t="shared" si="1367"/>
        <v/>
      </c>
      <c r="AG948" s="1404"/>
      <c r="AH948" s="1404"/>
      <c r="AI948" s="1405">
        <v>0</v>
      </c>
      <c r="AJ948" s="1411">
        <f>$AI948*$AG948</f>
        <v>0</v>
      </c>
      <c r="AK948" s="1406">
        <f>AI948*$AH948</f>
        <v>0</v>
      </c>
      <c r="AL948" s="1362">
        <v>0</v>
      </c>
      <c r="AM948" s="1363">
        <f>AL948*$AH948</f>
        <v>0</v>
      </c>
      <c r="AN948" s="1364">
        <v>0</v>
      </c>
      <c r="AO948" s="1365">
        <f>AN948*$AH948</f>
        <v>0</v>
      </c>
      <c r="AP948" s="1366">
        <v>0</v>
      </c>
      <c r="AQ948" s="1367">
        <f>AP948*$AH948</f>
        <v>0</v>
      </c>
      <c r="AR948" s="1368">
        <v>0</v>
      </c>
      <c r="AS948" s="1369">
        <f>AR948*$AH948</f>
        <v>0</v>
      </c>
      <c r="AT948" s="1370">
        <v>0</v>
      </c>
      <c r="AU948" s="1371">
        <f>AT948*$AH948</f>
        <v>0</v>
      </c>
      <c r="AV948" s="1359">
        <f t="shared" si="1366"/>
        <v>0</v>
      </c>
      <c r="AW948" s="1372">
        <f>AV948*$AH948</f>
        <v>0</v>
      </c>
      <c r="AX948" s="1373">
        <f>$AZ948-$AP948</f>
        <v>0</v>
      </c>
      <c r="AY948" s="1374">
        <f>AX948*$AH948</f>
        <v>0</v>
      </c>
      <c r="AZ948" s="1375">
        <f>$AI948-$AL948-$AN948</f>
        <v>0</v>
      </c>
      <c r="BA948" s="1376">
        <f>AZ948*$AH948</f>
        <v>0</v>
      </c>
      <c r="BB948" s="1391"/>
      <c r="BC948" s="1820"/>
      <c r="BD948" s="1820"/>
      <c r="BE948" s="1823"/>
      <c r="BF948" s="1834"/>
      <c r="BG948" s="1829"/>
    </row>
    <row r="949" spans="1:59" s="1378" customFormat="1" ht="38.25">
      <c r="A949" s="1347" t="str">
        <f>L944</f>
        <v>Vital Therapies, Inc.</v>
      </c>
      <c r="B949" s="1348" t="str">
        <f>N944</f>
        <v>HUB SD</v>
      </c>
      <c r="C949" s="1348">
        <f>Z944</f>
        <v>85</v>
      </c>
      <c r="D949" s="1349">
        <v>42675</v>
      </c>
      <c r="E949" s="1349"/>
      <c r="F949" s="1347" t="s">
        <v>72</v>
      </c>
      <c r="G949" s="1347" t="s">
        <v>113</v>
      </c>
      <c r="H949" s="1347" t="s">
        <v>72</v>
      </c>
      <c r="I949" s="1347" t="s">
        <v>113</v>
      </c>
      <c r="J949" s="1349" t="s">
        <v>4670</v>
      </c>
      <c r="K949" s="1349"/>
      <c r="L949" s="1397" t="s">
        <v>3671</v>
      </c>
      <c r="M949" s="1397" t="s">
        <v>4705</v>
      </c>
      <c r="N949" s="1412" t="s">
        <v>4746</v>
      </c>
      <c r="O949" s="1399" t="s">
        <v>5383</v>
      </c>
      <c r="P949" s="1399"/>
      <c r="Q949" s="1400"/>
      <c r="R949" s="1400"/>
      <c r="S949" s="1400"/>
      <c r="T949" s="1400"/>
      <c r="U949" s="1400"/>
      <c r="V949" s="1400"/>
      <c r="W949" s="1400"/>
      <c r="X949" s="1400">
        <v>43101</v>
      </c>
      <c r="Y949" s="1400">
        <v>43466</v>
      </c>
      <c r="Z949" s="1401"/>
      <c r="AA949" s="1401" t="s">
        <v>4738</v>
      </c>
      <c r="AB949" s="1369"/>
      <c r="AC949" s="1369"/>
      <c r="AD949" s="1369"/>
      <c r="AE949" s="1369"/>
      <c r="AF949" s="1403" t="str">
        <f t="shared" si="1367"/>
        <v/>
      </c>
      <c r="AG949" s="1404"/>
      <c r="AH949" s="1404"/>
      <c r="AI949" s="1405">
        <v>0</v>
      </c>
      <c r="AJ949" s="1411">
        <f>$AI949*$AG949</f>
        <v>0</v>
      </c>
      <c r="AK949" s="1406">
        <f>AI949*$AH949</f>
        <v>0</v>
      </c>
      <c r="AL949" s="1362">
        <v>0</v>
      </c>
      <c r="AM949" s="1363">
        <f>AL949*$AH949</f>
        <v>0</v>
      </c>
      <c r="AN949" s="1364">
        <v>0</v>
      </c>
      <c r="AO949" s="1365">
        <f>AN949*$AH949</f>
        <v>0</v>
      </c>
      <c r="AP949" s="1366">
        <v>0</v>
      </c>
      <c r="AQ949" s="1367">
        <f>AP949*$AH949</f>
        <v>0</v>
      </c>
      <c r="AR949" s="1368">
        <v>0</v>
      </c>
      <c r="AS949" s="1369">
        <f>AR949*$AH949</f>
        <v>0</v>
      </c>
      <c r="AT949" s="1370">
        <v>0</v>
      </c>
      <c r="AU949" s="1371">
        <f>AT949*$AH949</f>
        <v>0</v>
      </c>
      <c r="AV949" s="1359">
        <f t="shared" si="1366"/>
        <v>0</v>
      </c>
      <c r="AW949" s="1372">
        <f>AV949*$AH949</f>
        <v>0</v>
      </c>
      <c r="AX949" s="1373">
        <f>$AZ949-$AP949</f>
        <v>0</v>
      </c>
      <c r="AY949" s="1374">
        <f>AX949*$AH949</f>
        <v>0</v>
      </c>
      <c r="AZ949" s="1375">
        <f>$AI949-$AL949-$AN949</f>
        <v>0</v>
      </c>
      <c r="BA949" s="1376">
        <f>AZ949*$AH949</f>
        <v>0</v>
      </c>
      <c r="BB949" s="1391"/>
      <c r="BC949" s="1820"/>
      <c r="BD949" s="1820"/>
      <c r="BE949" s="1823"/>
      <c r="BF949" s="1834"/>
      <c r="BG949" s="1829"/>
    </row>
    <row r="950" spans="1:59" s="1315" customFormat="1" ht="25.5">
      <c r="A950" s="1277" t="str">
        <f t="shared" ref="A950:A965" si="1379">L$950</f>
        <v>XOMA "US" LLC</v>
      </c>
      <c r="B950" s="1316" t="str">
        <f t="shared" ref="B950:B965" si="1380">N$950</f>
        <v>ABD</v>
      </c>
      <c r="C950" s="1316">
        <f t="shared" ref="C950:C965" si="1381">Z$950</f>
        <v>13</v>
      </c>
      <c r="D950" s="1317">
        <v>43101</v>
      </c>
      <c r="E950" s="1317"/>
      <c r="F950" s="1277" t="s">
        <v>72</v>
      </c>
      <c r="G950" s="1277" t="s">
        <v>72</v>
      </c>
      <c r="H950" s="1277" t="s">
        <v>72</v>
      </c>
      <c r="I950" s="1277" t="s">
        <v>4711</v>
      </c>
      <c r="J950" s="1317"/>
      <c r="K950" s="1317"/>
      <c r="L950" s="1318" t="s">
        <v>6168</v>
      </c>
      <c r="M950" s="1319"/>
      <c r="N950" s="1417" t="s">
        <v>3654</v>
      </c>
      <c r="O950" s="1418" t="s">
        <v>2473</v>
      </c>
      <c r="P950" s="1418"/>
      <c r="Q950" s="1322"/>
      <c r="R950" s="1322"/>
      <c r="S950" s="1322"/>
      <c r="T950" s="1322"/>
      <c r="U950" s="1322"/>
      <c r="V950" s="1322"/>
      <c r="W950" s="1322"/>
      <c r="X950" s="1317">
        <v>43101</v>
      </c>
      <c r="Y950" s="1317">
        <v>43466</v>
      </c>
      <c r="Z950" s="1316">
        <v>13</v>
      </c>
      <c r="AA950" s="1316" t="s">
        <v>5152</v>
      </c>
      <c r="AB950" s="1323">
        <f>SUM(AB951:AB966)</f>
        <v>208860</v>
      </c>
      <c r="AC950" s="1323">
        <f>SUM(AC951:AC966)</f>
        <v>0</v>
      </c>
      <c r="AD950" s="1323">
        <f>SUM(AD951:AD966)</f>
        <v>161260.79999999999</v>
      </c>
      <c r="AE950" s="1324">
        <f t="shared" si="1365"/>
        <v>-47599.200000000012</v>
      </c>
      <c r="AF950" s="1325">
        <f t="shared" si="1367"/>
        <v>-0.22790002872737725</v>
      </c>
      <c r="AG950" s="1326">
        <f t="shared" ref="AG950:AG957" si="1382">AH950/12</f>
        <v>15888.970000000001</v>
      </c>
      <c r="AH950" s="1326">
        <f>SUM(AH951:AH966)</f>
        <v>190667.64</v>
      </c>
      <c r="AI950" s="1339"/>
      <c r="AJ950" s="1328">
        <f>SUM(AJ951:AJ966)</f>
        <v>1484.0759000000007</v>
      </c>
      <c r="AK950" s="1328">
        <f>SUM(AK951:AK966)</f>
        <v>17808.910800000001</v>
      </c>
      <c r="AL950" s="1329"/>
      <c r="AM950" s="1330">
        <f>SUM(AM951:AM966)</f>
        <v>682.04880000000003</v>
      </c>
      <c r="AN950" s="1331"/>
      <c r="AO950" s="1332">
        <f>SUM(AO951:AO966)</f>
        <v>10385.157600000004</v>
      </c>
      <c r="AP950" s="1333"/>
      <c r="AQ950" s="1334">
        <f>SUM(AQ951:AQ966)</f>
        <v>0</v>
      </c>
      <c r="AR950" s="1335"/>
      <c r="AS950" s="1336">
        <f>SUM(AS951:AS966)</f>
        <v>0</v>
      </c>
      <c r="AT950" s="1337"/>
      <c r="AU950" s="1338">
        <f>SUM(AU951:AU966)</f>
        <v>3410.2440000000006</v>
      </c>
      <c r="AV950" s="1339"/>
      <c r="AW950" s="1340">
        <f>SUM(AW951:AW966)</f>
        <v>3331.460399999999</v>
      </c>
      <c r="AX950" s="1306"/>
      <c r="AY950" s="1307">
        <f>SUM(AW950+AS950+AU950)</f>
        <v>6741.7043999999996</v>
      </c>
      <c r="AZ950" s="1341"/>
      <c r="BA950" s="1309">
        <f>SUM(AY950+AQ950)</f>
        <v>6741.7043999999996</v>
      </c>
      <c r="BB950" s="1342">
        <f>(AW950+AU950)/(AK950-AM950)</f>
        <v>0.3936333696155197</v>
      </c>
      <c r="BC950" s="1343"/>
      <c r="BD950" s="1343"/>
      <c r="BE950" s="1344"/>
      <c r="BF950" s="1420" t="s">
        <v>4749</v>
      </c>
      <c r="BG950" s="1346"/>
    </row>
    <row r="951" spans="1:59" s="1378" customFormat="1" ht="76.5">
      <c r="A951" s="1347" t="str">
        <f t="shared" si="1379"/>
        <v>XOMA "US" LLC</v>
      </c>
      <c r="B951" s="1348" t="str">
        <f t="shared" si="1380"/>
        <v>ABD</v>
      </c>
      <c r="C951" s="1348">
        <f t="shared" si="1381"/>
        <v>13</v>
      </c>
      <c r="D951" s="1349">
        <v>43101</v>
      </c>
      <c r="E951" s="1349"/>
      <c r="F951" s="1347" t="s">
        <v>85</v>
      </c>
      <c r="G951" s="1347" t="s">
        <v>85</v>
      </c>
      <c r="H951" s="1347" t="s">
        <v>85</v>
      </c>
      <c r="I951" s="1347" t="s">
        <v>85</v>
      </c>
      <c r="J951" s="1349"/>
      <c r="K951" s="1349" t="s">
        <v>254</v>
      </c>
      <c r="L951" s="1350" t="s">
        <v>2661</v>
      </c>
      <c r="M951" s="1350" t="s">
        <v>3647</v>
      </c>
      <c r="N951" s="1351" t="s">
        <v>5078</v>
      </c>
      <c r="O951" s="1352" t="s">
        <v>5079</v>
      </c>
      <c r="P951" s="1352" t="s">
        <v>5029</v>
      </c>
      <c r="Q951" s="1353" t="s">
        <v>303</v>
      </c>
      <c r="R951" s="1353" t="s">
        <v>3656</v>
      </c>
      <c r="S951" s="1353" t="s">
        <v>307</v>
      </c>
      <c r="T951" s="1353" t="s">
        <v>113</v>
      </c>
      <c r="U951" s="1354"/>
      <c r="V951" s="1354"/>
      <c r="W951" s="1354"/>
      <c r="X951" s="1353">
        <v>43101</v>
      </c>
      <c r="Y951" s="1353">
        <v>43466</v>
      </c>
      <c r="Z951" s="1355"/>
      <c r="AA951" s="1355" t="s">
        <v>4667</v>
      </c>
      <c r="AB951" s="1422">
        <v>193918</v>
      </c>
      <c r="AC951" s="1356"/>
      <c r="AD951" s="1422">
        <f>AH951</f>
        <v>136409.76</v>
      </c>
      <c r="AE951" s="1422">
        <f t="shared" si="1365"/>
        <v>-57508.239999999991</v>
      </c>
      <c r="AF951" s="1423">
        <f t="shared" si="1367"/>
        <v>-0.29655957672830779</v>
      </c>
      <c r="AG951" s="1358">
        <f t="shared" si="1382"/>
        <v>11367.480000000001</v>
      </c>
      <c r="AH951" s="1358">
        <v>136409.76</v>
      </c>
      <c r="AI951" s="1359">
        <v>0.08</v>
      </c>
      <c r="AJ951" s="1360">
        <f t="shared" ref="AJ951:AJ966" si="1383">$AI951*$AG951</f>
        <v>909.39840000000015</v>
      </c>
      <c r="AK951" s="1361">
        <f t="shared" ref="AK951:AK966" si="1384">AI951*$AH951</f>
        <v>10912.7808</v>
      </c>
      <c r="AL951" s="1362">
        <v>5.0000000000000001E-3</v>
      </c>
      <c r="AM951" s="1363">
        <f t="shared" ref="AM951:AM966" si="1385">AL951*$AH951</f>
        <v>682.04880000000003</v>
      </c>
      <c r="AN951" s="1364">
        <v>0.04</v>
      </c>
      <c r="AO951" s="1365">
        <f t="shared" ref="AO951:AO966" si="1386">AN951*$AH951</f>
        <v>5456.3904000000002</v>
      </c>
      <c r="AP951" s="1366">
        <v>0</v>
      </c>
      <c r="AQ951" s="1367">
        <f t="shared" ref="AQ951:AQ966" si="1387">AP951*$AH951</f>
        <v>0</v>
      </c>
      <c r="AR951" s="1368">
        <v>0</v>
      </c>
      <c r="AS951" s="1369">
        <f t="shared" ref="AS951:AS966" si="1388">AR951*$AH951</f>
        <v>0</v>
      </c>
      <c r="AT951" s="1370">
        <v>2.5000000000000001E-2</v>
      </c>
      <c r="AU951" s="1371">
        <f t="shared" ref="AU951:AU966" si="1389">AT951*$AH951</f>
        <v>3410.2440000000006</v>
      </c>
      <c r="AV951" s="1359">
        <f t="shared" ref="AV951:AV966" si="1390">AZ951-AR951-AT951-AP951</f>
        <v>9.999999999999995E-3</v>
      </c>
      <c r="AW951" s="1372">
        <f t="shared" ref="AW951:AW966" si="1391">AV951*$AH951</f>
        <v>1364.0975999999994</v>
      </c>
      <c r="AX951" s="1373">
        <f t="shared" ref="AX951:AX966" si="1392">$AZ951-$AP951</f>
        <v>3.4999999999999996E-2</v>
      </c>
      <c r="AY951" s="1374">
        <f t="shared" ref="AY951:AY966" si="1393">AX951*$AH951</f>
        <v>4774.3415999999997</v>
      </c>
      <c r="AZ951" s="1375">
        <f t="shared" ref="AZ951:AZ966" si="1394">$AI951-$AL951-$AN951</f>
        <v>3.4999999999999996E-2</v>
      </c>
      <c r="BA951" s="1376">
        <f t="shared" ref="BA951:BA966" si="1395">AZ951*$AH951</f>
        <v>4774.3415999999997</v>
      </c>
      <c r="BB951" s="1377"/>
      <c r="BC951" s="1847" t="s">
        <v>1323</v>
      </c>
      <c r="BD951" s="1819" t="s">
        <v>1304</v>
      </c>
      <c r="BE951" s="1822" t="s">
        <v>1304</v>
      </c>
      <c r="BF951" s="1825" t="s">
        <v>432</v>
      </c>
      <c r="BG951" s="1828">
        <v>522154069</v>
      </c>
    </row>
    <row r="952" spans="1:59" s="1378" customFormat="1" ht="38.25">
      <c r="A952" s="1347" t="str">
        <f t="shared" si="1379"/>
        <v>XOMA "US" LLC</v>
      </c>
      <c r="B952" s="1348" t="str">
        <f t="shared" si="1380"/>
        <v>ABD</v>
      </c>
      <c r="C952" s="1348">
        <f t="shared" si="1381"/>
        <v>13</v>
      </c>
      <c r="D952" s="1349">
        <v>43101</v>
      </c>
      <c r="E952" s="1349"/>
      <c r="F952" s="1347" t="s">
        <v>113</v>
      </c>
      <c r="G952" s="1347" t="s">
        <v>85</v>
      </c>
      <c r="H952" s="1347" t="s">
        <v>85</v>
      </c>
      <c r="I952" s="1347" t="s">
        <v>85</v>
      </c>
      <c r="J952" s="1349"/>
      <c r="K952" s="1349" t="s">
        <v>254</v>
      </c>
      <c r="L952" s="1350" t="s">
        <v>4675</v>
      </c>
      <c r="M952" s="1350" t="s">
        <v>3650</v>
      </c>
      <c r="N952" s="1385" t="s">
        <v>5110</v>
      </c>
      <c r="O952" s="1352" t="s">
        <v>4677</v>
      </c>
      <c r="P952" s="1352"/>
      <c r="Q952" s="1354"/>
      <c r="R952" s="1354"/>
      <c r="S952" s="1354"/>
      <c r="T952" s="1354"/>
      <c r="U952" s="1353" t="s">
        <v>4723</v>
      </c>
      <c r="V952" s="1353" t="s">
        <v>2497</v>
      </c>
      <c r="W952" s="1354"/>
      <c r="X952" s="1353">
        <v>43101</v>
      </c>
      <c r="Y952" s="1353">
        <v>43466</v>
      </c>
      <c r="Z952" s="1355"/>
      <c r="AA952" s="1355" t="s">
        <v>4679</v>
      </c>
      <c r="AB952" s="1422">
        <v>13068</v>
      </c>
      <c r="AC952" s="1356"/>
      <c r="AD952" s="1422">
        <f>AH952</f>
        <v>21904.68</v>
      </c>
      <c r="AE952" s="1422">
        <f t="shared" si="1365"/>
        <v>8836.68</v>
      </c>
      <c r="AF952" s="1423">
        <f t="shared" si="1367"/>
        <v>0.67620752984389354</v>
      </c>
      <c r="AG952" s="1358">
        <f t="shared" si="1382"/>
        <v>1825.39</v>
      </c>
      <c r="AH952" s="1358">
        <v>21904.68</v>
      </c>
      <c r="AI952" s="1359">
        <v>0.1</v>
      </c>
      <c r="AJ952" s="1360">
        <f t="shared" si="1383"/>
        <v>182.53900000000002</v>
      </c>
      <c r="AK952" s="1361">
        <f t="shared" si="1384"/>
        <v>2190.4680000000003</v>
      </c>
      <c r="AL952" s="1384">
        <v>0</v>
      </c>
      <c r="AM952" s="1363">
        <f t="shared" si="1385"/>
        <v>0</v>
      </c>
      <c r="AN952" s="1364">
        <v>0.08</v>
      </c>
      <c r="AO952" s="1365">
        <f t="shared" si="1386"/>
        <v>1752.3744000000002</v>
      </c>
      <c r="AP952" s="1366">
        <v>0</v>
      </c>
      <c r="AQ952" s="1367">
        <f t="shared" si="1387"/>
        <v>0</v>
      </c>
      <c r="AR952" s="1368">
        <v>0</v>
      </c>
      <c r="AS952" s="1369">
        <f t="shared" si="1388"/>
        <v>0</v>
      </c>
      <c r="AT952" s="1370">
        <v>0</v>
      </c>
      <c r="AU952" s="1371">
        <f t="shared" si="1389"/>
        <v>0</v>
      </c>
      <c r="AV952" s="1359">
        <f t="shared" si="1390"/>
        <v>2.0000000000000004E-2</v>
      </c>
      <c r="AW952" s="1372">
        <f t="shared" si="1391"/>
        <v>438.09360000000009</v>
      </c>
      <c r="AX952" s="1373">
        <f t="shared" si="1392"/>
        <v>2.0000000000000004E-2</v>
      </c>
      <c r="AY952" s="1374">
        <f t="shared" si="1393"/>
        <v>438.09360000000009</v>
      </c>
      <c r="AZ952" s="1375">
        <f t="shared" si="1394"/>
        <v>2.0000000000000004E-2</v>
      </c>
      <c r="BA952" s="1376">
        <f t="shared" si="1395"/>
        <v>438.09360000000009</v>
      </c>
      <c r="BB952" s="1377"/>
      <c r="BC952" s="1848"/>
      <c r="BD952" s="1820"/>
      <c r="BE952" s="1823"/>
      <c r="BF952" s="1826"/>
      <c r="BG952" s="1829"/>
    </row>
    <row r="953" spans="1:59" s="1378" customFormat="1" ht="38.25">
      <c r="A953" s="1347" t="str">
        <f t="shared" si="1379"/>
        <v>XOMA "US" LLC</v>
      </c>
      <c r="B953" s="1348" t="str">
        <f t="shared" si="1380"/>
        <v>ABD</v>
      </c>
      <c r="C953" s="1348">
        <f t="shared" si="1381"/>
        <v>13</v>
      </c>
      <c r="D953" s="1349">
        <v>43101</v>
      </c>
      <c r="E953" s="1349"/>
      <c r="F953" s="1347" t="s">
        <v>113</v>
      </c>
      <c r="G953" s="1347" t="s">
        <v>85</v>
      </c>
      <c r="H953" s="1347" t="s">
        <v>85</v>
      </c>
      <c r="I953" s="1347" t="s">
        <v>85</v>
      </c>
      <c r="J953" s="1349"/>
      <c r="K953" s="1349" t="s">
        <v>254</v>
      </c>
      <c r="L953" s="1350" t="s">
        <v>4675</v>
      </c>
      <c r="M953" s="1350" t="s">
        <v>3651</v>
      </c>
      <c r="N953" s="1351" t="s">
        <v>4834</v>
      </c>
      <c r="O953" s="1352" t="s">
        <v>4681</v>
      </c>
      <c r="P953" s="1352"/>
      <c r="Q953" s="1354"/>
      <c r="R953" s="1354"/>
      <c r="S953" s="1354"/>
      <c r="T953" s="1354"/>
      <c r="U953" s="1354"/>
      <c r="V953" s="1354"/>
      <c r="W953" s="1353" t="s">
        <v>2492</v>
      </c>
      <c r="X953" s="1353">
        <v>43101</v>
      </c>
      <c r="Y953" s="1353">
        <v>43466</v>
      </c>
      <c r="Z953" s="1355"/>
      <c r="AA953" s="1355" t="s">
        <v>4679</v>
      </c>
      <c r="AB953" s="1422">
        <v>1874</v>
      </c>
      <c r="AC953" s="1356"/>
      <c r="AD953" s="1422">
        <f>AH953</f>
        <v>2946.36</v>
      </c>
      <c r="AE953" s="1422">
        <f t="shared" si="1365"/>
        <v>1072.3600000000001</v>
      </c>
      <c r="AF953" s="1423">
        <f t="shared" si="1367"/>
        <v>0.57223052294557109</v>
      </c>
      <c r="AG953" s="1358">
        <f t="shared" si="1382"/>
        <v>245.53</v>
      </c>
      <c r="AH953" s="1358">
        <v>2946.36</v>
      </c>
      <c r="AI953" s="1359">
        <v>0.1</v>
      </c>
      <c r="AJ953" s="1360">
        <f t="shared" si="1383"/>
        <v>24.553000000000001</v>
      </c>
      <c r="AK953" s="1361">
        <f t="shared" si="1384"/>
        <v>294.63600000000002</v>
      </c>
      <c r="AL953" s="1384">
        <v>0</v>
      </c>
      <c r="AM953" s="1363">
        <f t="shared" si="1385"/>
        <v>0</v>
      </c>
      <c r="AN953" s="1364">
        <v>0.08</v>
      </c>
      <c r="AO953" s="1365">
        <f t="shared" si="1386"/>
        <v>235.70880000000002</v>
      </c>
      <c r="AP953" s="1366">
        <v>0</v>
      </c>
      <c r="AQ953" s="1367">
        <f t="shared" si="1387"/>
        <v>0</v>
      </c>
      <c r="AR953" s="1368">
        <v>0</v>
      </c>
      <c r="AS953" s="1369">
        <f t="shared" si="1388"/>
        <v>0</v>
      </c>
      <c r="AT953" s="1370">
        <v>0</v>
      </c>
      <c r="AU953" s="1371">
        <f t="shared" si="1389"/>
        <v>0</v>
      </c>
      <c r="AV953" s="1359">
        <f t="shared" si="1390"/>
        <v>2.0000000000000004E-2</v>
      </c>
      <c r="AW953" s="1372">
        <f t="shared" si="1391"/>
        <v>58.927200000000013</v>
      </c>
      <c r="AX953" s="1373">
        <f t="shared" si="1392"/>
        <v>2.0000000000000004E-2</v>
      </c>
      <c r="AY953" s="1374">
        <f t="shared" si="1393"/>
        <v>58.927200000000013</v>
      </c>
      <c r="AZ953" s="1375">
        <f t="shared" si="1394"/>
        <v>2.0000000000000004E-2</v>
      </c>
      <c r="BA953" s="1376">
        <f t="shared" si="1395"/>
        <v>58.927200000000013</v>
      </c>
      <c r="BB953" s="1377"/>
      <c r="BC953" s="1848"/>
      <c r="BD953" s="1820"/>
      <c r="BE953" s="1823"/>
      <c r="BF953" s="1826"/>
      <c r="BG953" s="1829"/>
    </row>
    <row r="954" spans="1:59" s="1378" customFormat="1" ht="38.25">
      <c r="A954" s="1347" t="str">
        <f t="shared" si="1379"/>
        <v>XOMA "US" LLC</v>
      </c>
      <c r="B954" s="1348" t="str">
        <f t="shared" si="1380"/>
        <v>ABD</v>
      </c>
      <c r="C954" s="1348">
        <f t="shared" si="1381"/>
        <v>13</v>
      </c>
      <c r="D954" s="1349">
        <v>43101</v>
      </c>
      <c r="E954" s="1349"/>
      <c r="F954" s="1347" t="s">
        <v>113</v>
      </c>
      <c r="G954" s="1347" t="s">
        <v>85</v>
      </c>
      <c r="H954" s="1347" t="s">
        <v>85</v>
      </c>
      <c r="I954" s="1347" t="s">
        <v>113</v>
      </c>
      <c r="J954" s="1349"/>
      <c r="K954" s="1349" t="s">
        <v>254</v>
      </c>
      <c r="L954" s="1350" t="s">
        <v>4682</v>
      </c>
      <c r="M954" s="1350" t="s">
        <v>4683</v>
      </c>
      <c r="N954" s="1386" t="s">
        <v>126</v>
      </c>
      <c r="O954" s="1352" t="s">
        <v>4684</v>
      </c>
      <c r="P954" s="1387"/>
      <c r="Q954" s="1354"/>
      <c r="R954" s="1354"/>
      <c r="S954" s="1354"/>
      <c r="T954" s="1354"/>
      <c r="U954" s="1354"/>
      <c r="V954" s="1354"/>
      <c r="W954" s="1354"/>
      <c r="X954" s="1353">
        <v>43101</v>
      </c>
      <c r="Y954" s="1353">
        <v>43466</v>
      </c>
      <c r="Z954" s="1355"/>
      <c r="AA954" s="1355" t="s">
        <v>4685</v>
      </c>
      <c r="AB954" s="1356"/>
      <c r="AC954" s="1356"/>
      <c r="AD954" s="1356"/>
      <c r="AE954" s="1356"/>
      <c r="AF954" s="1357" t="str">
        <f t="shared" si="1367"/>
        <v/>
      </c>
      <c r="AG954" s="1358">
        <f t="shared" si="1382"/>
        <v>850.85</v>
      </c>
      <c r="AH954" s="1358">
        <v>10210.200000000001</v>
      </c>
      <c r="AI954" s="1359">
        <v>0.15</v>
      </c>
      <c r="AJ954" s="1360">
        <f t="shared" si="1383"/>
        <v>127.6275</v>
      </c>
      <c r="AK954" s="1361">
        <f t="shared" si="1384"/>
        <v>1531.53</v>
      </c>
      <c r="AL954" s="1384">
        <v>0</v>
      </c>
      <c r="AM954" s="1363">
        <f t="shared" si="1385"/>
        <v>0</v>
      </c>
      <c r="AN954" s="1364">
        <v>0.1</v>
      </c>
      <c r="AO954" s="1365">
        <f t="shared" si="1386"/>
        <v>1021.0200000000001</v>
      </c>
      <c r="AP954" s="1366">
        <v>0</v>
      </c>
      <c r="AQ954" s="1367">
        <f t="shared" si="1387"/>
        <v>0</v>
      </c>
      <c r="AR954" s="1368">
        <v>0</v>
      </c>
      <c r="AS954" s="1369">
        <f t="shared" si="1388"/>
        <v>0</v>
      </c>
      <c r="AT954" s="1370">
        <v>0</v>
      </c>
      <c r="AU954" s="1371">
        <f t="shared" si="1389"/>
        <v>0</v>
      </c>
      <c r="AV954" s="1359">
        <f t="shared" si="1390"/>
        <v>4.9999999999999989E-2</v>
      </c>
      <c r="AW954" s="1372">
        <f t="shared" si="1391"/>
        <v>510.50999999999993</v>
      </c>
      <c r="AX954" s="1373">
        <f t="shared" si="1392"/>
        <v>4.9999999999999989E-2</v>
      </c>
      <c r="AY954" s="1374">
        <f t="shared" si="1393"/>
        <v>510.50999999999993</v>
      </c>
      <c r="AZ954" s="1375">
        <f t="shared" si="1394"/>
        <v>4.9999999999999989E-2</v>
      </c>
      <c r="BA954" s="1376">
        <f t="shared" si="1395"/>
        <v>510.50999999999993</v>
      </c>
      <c r="BB954" s="1377"/>
      <c r="BC954" s="1848"/>
      <c r="BD954" s="1820"/>
      <c r="BE954" s="1823"/>
      <c r="BF954" s="1826"/>
      <c r="BG954" s="1829"/>
    </row>
    <row r="955" spans="1:59" s="1378" customFormat="1" ht="38.25">
      <c r="A955" s="1347" t="str">
        <f t="shared" si="1379"/>
        <v>XOMA "US" LLC</v>
      </c>
      <c r="B955" s="1348" t="str">
        <f t="shared" si="1380"/>
        <v>ABD</v>
      </c>
      <c r="C955" s="1348">
        <f t="shared" si="1381"/>
        <v>13</v>
      </c>
      <c r="D955" s="1349">
        <v>43101</v>
      </c>
      <c r="E955" s="1349"/>
      <c r="F955" s="1347" t="s">
        <v>113</v>
      </c>
      <c r="G955" s="1347" t="s">
        <v>85</v>
      </c>
      <c r="H955" s="1347" t="s">
        <v>85</v>
      </c>
      <c r="I955" s="1347" t="s">
        <v>113</v>
      </c>
      <c r="J955" s="1349"/>
      <c r="K955" s="1349" t="s">
        <v>254</v>
      </c>
      <c r="L955" s="1350" t="s">
        <v>4682</v>
      </c>
      <c r="M955" s="1350" t="s">
        <v>4686</v>
      </c>
      <c r="N955" s="1386" t="s">
        <v>60</v>
      </c>
      <c r="O955" s="1352" t="s">
        <v>4687</v>
      </c>
      <c r="P955" s="1387"/>
      <c r="Q955" s="1354"/>
      <c r="R955" s="1354"/>
      <c r="S955" s="1354"/>
      <c r="T955" s="1354"/>
      <c r="U955" s="1354"/>
      <c r="V955" s="1354"/>
      <c r="W955" s="1354"/>
      <c r="X955" s="1353">
        <v>43101</v>
      </c>
      <c r="Y955" s="1353">
        <v>43466</v>
      </c>
      <c r="Z955" s="1355"/>
      <c r="AA955" s="1355" t="s">
        <v>4685</v>
      </c>
      <c r="AB955" s="1356"/>
      <c r="AC955" s="1356"/>
      <c r="AD955" s="1356"/>
      <c r="AE955" s="1356"/>
      <c r="AF955" s="1357"/>
      <c r="AG955" s="1358">
        <f t="shared" si="1382"/>
        <v>125.91000000000001</v>
      </c>
      <c r="AH955" s="1358">
        <v>1510.92</v>
      </c>
      <c r="AI955" s="1359">
        <v>0.15</v>
      </c>
      <c r="AJ955" s="1360">
        <f t="shared" si="1383"/>
        <v>18.886500000000002</v>
      </c>
      <c r="AK955" s="1361">
        <f t="shared" si="1384"/>
        <v>226.63800000000001</v>
      </c>
      <c r="AL955" s="1384">
        <v>0</v>
      </c>
      <c r="AM955" s="1363">
        <f t="shared" si="1385"/>
        <v>0</v>
      </c>
      <c r="AN955" s="1364">
        <v>0.1</v>
      </c>
      <c r="AO955" s="1365">
        <f t="shared" si="1386"/>
        <v>151.09200000000001</v>
      </c>
      <c r="AP955" s="1366">
        <v>0</v>
      </c>
      <c r="AQ955" s="1367">
        <f t="shared" si="1387"/>
        <v>0</v>
      </c>
      <c r="AR955" s="1368">
        <v>0</v>
      </c>
      <c r="AS955" s="1369">
        <f t="shared" si="1388"/>
        <v>0</v>
      </c>
      <c r="AT955" s="1370">
        <v>0</v>
      </c>
      <c r="AU955" s="1371">
        <f t="shared" si="1389"/>
        <v>0</v>
      </c>
      <c r="AV955" s="1359">
        <f t="shared" si="1390"/>
        <v>4.9999999999999989E-2</v>
      </c>
      <c r="AW955" s="1372">
        <f t="shared" si="1391"/>
        <v>75.545999999999992</v>
      </c>
      <c r="AX955" s="1373">
        <f t="shared" si="1392"/>
        <v>4.9999999999999989E-2</v>
      </c>
      <c r="AY955" s="1374">
        <f t="shared" si="1393"/>
        <v>75.545999999999992</v>
      </c>
      <c r="AZ955" s="1375">
        <f t="shared" si="1394"/>
        <v>4.9999999999999989E-2</v>
      </c>
      <c r="BA955" s="1376">
        <f t="shared" si="1395"/>
        <v>75.545999999999992</v>
      </c>
      <c r="BB955" s="1377"/>
      <c r="BC955" s="1848"/>
      <c r="BD955" s="1820"/>
      <c r="BE955" s="1823"/>
      <c r="BF955" s="1826"/>
      <c r="BG955" s="1829"/>
    </row>
    <row r="956" spans="1:59" s="1378" customFormat="1" ht="38.25">
      <c r="A956" s="1347" t="str">
        <f t="shared" si="1379"/>
        <v>XOMA "US" LLC</v>
      </c>
      <c r="B956" s="1348" t="str">
        <f t="shared" si="1380"/>
        <v>ABD</v>
      </c>
      <c r="C956" s="1348">
        <f t="shared" si="1381"/>
        <v>13</v>
      </c>
      <c r="D956" s="1349">
        <v>43101</v>
      </c>
      <c r="E956" s="1349"/>
      <c r="F956" s="1347" t="s">
        <v>113</v>
      </c>
      <c r="G956" s="1347" t="s">
        <v>85</v>
      </c>
      <c r="H956" s="1347" t="s">
        <v>85</v>
      </c>
      <c r="I956" s="1347" t="s">
        <v>113</v>
      </c>
      <c r="J956" s="1349"/>
      <c r="K956" s="1349" t="s">
        <v>254</v>
      </c>
      <c r="L956" s="1350" t="s">
        <v>4682</v>
      </c>
      <c r="M956" s="1350" t="s">
        <v>62</v>
      </c>
      <c r="N956" s="1351" t="s">
        <v>256</v>
      </c>
      <c r="O956" s="1352" t="s">
        <v>4688</v>
      </c>
      <c r="P956" s="1352"/>
      <c r="Q956" s="1354"/>
      <c r="R956" s="1354"/>
      <c r="S956" s="1354"/>
      <c r="T956" s="1354"/>
      <c r="U956" s="1354"/>
      <c r="V956" s="1354"/>
      <c r="W956" s="1354"/>
      <c r="X956" s="1353">
        <v>43101</v>
      </c>
      <c r="Y956" s="1353">
        <v>43466</v>
      </c>
      <c r="Z956" s="1355"/>
      <c r="AA956" s="1355" t="s">
        <v>4685</v>
      </c>
      <c r="AB956" s="1356"/>
      <c r="AC956" s="1356"/>
      <c r="AD956" s="1356"/>
      <c r="AE956" s="1356"/>
      <c r="AF956" s="1357" t="str">
        <f t="shared" si="1367"/>
        <v/>
      </c>
      <c r="AG956" s="1358">
        <f t="shared" si="1382"/>
        <v>418.47166666666664</v>
      </c>
      <c r="AH956" s="1358">
        <v>5021.66</v>
      </c>
      <c r="AI956" s="1359">
        <v>0.15</v>
      </c>
      <c r="AJ956" s="1360">
        <f t="shared" si="1383"/>
        <v>62.770749999999992</v>
      </c>
      <c r="AK956" s="1361">
        <f t="shared" si="1384"/>
        <v>753.24899999999991</v>
      </c>
      <c r="AL956" s="1384">
        <v>0</v>
      </c>
      <c r="AM956" s="1363">
        <f t="shared" si="1385"/>
        <v>0</v>
      </c>
      <c r="AN956" s="1364">
        <v>0.1</v>
      </c>
      <c r="AO956" s="1365">
        <f t="shared" si="1386"/>
        <v>502.166</v>
      </c>
      <c r="AP956" s="1366">
        <v>0</v>
      </c>
      <c r="AQ956" s="1367">
        <f t="shared" si="1387"/>
        <v>0</v>
      </c>
      <c r="AR956" s="1368">
        <v>0</v>
      </c>
      <c r="AS956" s="1369">
        <f t="shared" si="1388"/>
        <v>0</v>
      </c>
      <c r="AT956" s="1370">
        <v>0</v>
      </c>
      <c r="AU956" s="1371">
        <f t="shared" si="1389"/>
        <v>0</v>
      </c>
      <c r="AV956" s="1359">
        <f t="shared" si="1390"/>
        <v>4.9999999999999989E-2</v>
      </c>
      <c r="AW956" s="1372">
        <f t="shared" si="1391"/>
        <v>251.08299999999994</v>
      </c>
      <c r="AX956" s="1373">
        <f t="shared" si="1392"/>
        <v>4.9999999999999989E-2</v>
      </c>
      <c r="AY956" s="1374">
        <f t="shared" si="1393"/>
        <v>251.08299999999994</v>
      </c>
      <c r="AZ956" s="1375">
        <f t="shared" si="1394"/>
        <v>4.9999999999999989E-2</v>
      </c>
      <c r="BA956" s="1376">
        <f t="shared" si="1395"/>
        <v>251.08299999999994</v>
      </c>
      <c r="BB956" s="1377"/>
      <c r="BC956" s="1848"/>
      <c r="BD956" s="1820"/>
      <c r="BE956" s="1823"/>
      <c r="BF956" s="1826"/>
      <c r="BG956" s="1829"/>
    </row>
    <row r="957" spans="1:59" s="1378" customFormat="1" ht="38.25">
      <c r="A957" s="1347" t="str">
        <f t="shared" si="1379"/>
        <v>XOMA "US" LLC</v>
      </c>
      <c r="B957" s="1348" t="str">
        <f t="shared" si="1380"/>
        <v>ABD</v>
      </c>
      <c r="C957" s="1348">
        <f t="shared" si="1381"/>
        <v>13</v>
      </c>
      <c r="D957" s="1349">
        <v>43101</v>
      </c>
      <c r="E957" s="1349"/>
      <c r="F957" s="1347" t="s">
        <v>113</v>
      </c>
      <c r="G957" s="1347" t="s">
        <v>85</v>
      </c>
      <c r="H957" s="1347" t="s">
        <v>85</v>
      </c>
      <c r="I957" s="1347" t="s">
        <v>113</v>
      </c>
      <c r="J957" s="1349"/>
      <c r="K957" s="1349" t="s">
        <v>254</v>
      </c>
      <c r="L957" s="1350" t="s">
        <v>4682</v>
      </c>
      <c r="M957" s="1350" t="s">
        <v>67</v>
      </c>
      <c r="N957" s="1351" t="s">
        <v>68</v>
      </c>
      <c r="O957" s="1352" t="s">
        <v>4689</v>
      </c>
      <c r="P957" s="1352"/>
      <c r="Q957" s="1354"/>
      <c r="R957" s="1354"/>
      <c r="S957" s="1354"/>
      <c r="T957" s="1354"/>
      <c r="U957" s="1354"/>
      <c r="V957" s="1354"/>
      <c r="W957" s="1354"/>
      <c r="X957" s="1353">
        <v>43101</v>
      </c>
      <c r="Y957" s="1353">
        <v>43466</v>
      </c>
      <c r="Z957" s="1355"/>
      <c r="AA957" s="1355" t="s">
        <v>4685</v>
      </c>
      <c r="AB957" s="1356"/>
      <c r="AC957" s="1356"/>
      <c r="AD957" s="1356"/>
      <c r="AE957" s="1356"/>
      <c r="AF957" s="1357" t="str">
        <f t="shared" si="1367"/>
        <v/>
      </c>
      <c r="AG957" s="1358">
        <f t="shared" si="1382"/>
        <v>788.93833333333339</v>
      </c>
      <c r="AH957" s="1358">
        <v>9467.26</v>
      </c>
      <c r="AI957" s="1359">
        <v>0.15</v>
      </c>
      <c r="AJ957" s="1360">
        <f t="shared" si="1383"/>
        <v>118.34075</v>
      </c>
      <c r="AK957" s="1361">
        <f t="shared" si="1384"/>
        <v>1420.0889999999999</v>
      </c>
      <c r="AL957" s="1384">
        <v>0</v>
      </c>
      <c r="AM957" s="1363">
        <f t="shared" si="1385"/>
        <v>0</v>
      </c>
      <c r="AN957" s="1364">
        <v>0.1</v>
      </c>
      <c r="AO957" s="1365">
        <f t="shared" si="1386"/>
        <v>946.72600000000011</v>
      </c>
      <c r="AP957" s="1366">
        <v>0</v>
      </c>
      <c r="AQ957" s="1367">
        <f t="shared" si="1387"/>
        <v>0</v>
      </c>
      <c r="AR957" s="1368">
        <v>0</v>
      </c>
      <c r="AS957" s="1369">
        <f t="shared" si="1388"/>
        <v>0</v>
      </c>
      <c r="AT957" s="1370">
        <v>0</v>
      </c>
      <c r="AU957" s="1371">
        <f t="shared" si="1389"/>
        <v>0</v>
      </c>
      <c r="AV957" s="1359">
        <f t="shared" si="1390"/>
        <v>4.9999999999999989E-2</v>
      </c>
      <c r="AW957" s="1372">
        <f t="shared" si="1391"/>
        <v>473.36299999999989</v>
      </c>
      <c r="AX957" s="1373">
        <f t="shared" si="1392"/>
        <v>4.9999999999999989E-2</v>
      </c>
      <c r="AY957" s="1374">
        <f t="shared" si="1393"/>
        <v>473.36299999999989</v>
      </c>
      <c r="AZ957" s="1375">
        <f t="shared" si="1394"/>
        <v>4.9999999999999989E-2</v>
      </c>
      <c r="BA957" s="1376">
        <f t="shared" si="1395"/>
        <v>473.36299999999989</v>
      </c>
      <c r="BB957" s="1377"/>
      <c r="BC957" s="1848"/>
      <c r="BD957" s="1820"/>
      <c r="BE957" s="1823"/>
      <c r="BF957" s="1826"/>
      <c r="BG957" s="1829"/>
    </row>
    <row r="958" spans="1:59" s="1378" customFormat="1" ht="38.25">
      <c r="A958" s="1347" t="str">
        <f t="shared" si="1379"/>
        <v>XOMA "US" LLC</v>
      </c>
      <c r="B958" s="1348" t="str">
        <f t="shared" si="1380"/>
        <v>ABD</v>
      </c>
      <c r="C958" s="1348">
        <f t="shared" si="1381"/>
        <v>13</v>
      </c>
      <c r="D958" s="1349">
        <v>43101</v>
      </c>
      <c r="E958" s="1349"/>
      <c r="F958" s="1347" t="s">
        <v>113</v>
      </c>
      <c r="G958" s="1347" t="s">
        <v>85</v>
      </c>
      <c r="H958" s="1347" t="s">
        <v>85</v>
      </c>
      <c r="I958" s="1347" t="s">
        <v>113</v>
      </c>
      <c r="J958" s="1349" t="s">
        <v>4690</v>
      </c>
      <c r="K958" s="1349" t="s">
        <v>254</v>
      </c>
      <c r="L958" s="1350" t="s">
        <v>4682</v>
      </c>
      <c r="M958" s="1350" t="s">
        <v>4691</v>
      </c>
      <c r="N958" s="1351" t="s">
        <v>94</v>
      </c>
      <c r="O958" s="1352" t="s">
        <v>4692</v>
      </c>
      <c r="P958" s="1352"/>
      <c r="Q958" s="1354"/>
      <c r="R958" s="1354"/>
      <c r="S958" s="1354"/>
      <c r="T958" s="1354"/>
      <c r="U958" s="1354"/>
      <c r="V958" s="1354"/>
      <c r="W958" s="1354"/>
      <c r="X958" s="1353">
        <v>43101</v>
      </c>
      <c r="Y958" s="1353">
        <v>43466</v>
      </c>
      <c r="Z958" s="1355">
        <v>5</v>
      </c>
      <c r="AA958" s="1355" t="s">
        <v>4685</v>
      </c>
      <c r="AB958" s="1356"/>
      <c r="AC958" s="1356"/>
      <c r="AD958" s="1356"/>
      <c r="AE958" s="1356"/>
      <c r="AF958" s="1357"/>
      <c r="AG958" s="1358">
        <v>100.62</v>
      </c>
      <c r="AH958" s="1358">
        <f t="shared" ref="AH958:AH960" si="1396">AG958*12</f>
        <v>1207.44</v>
      </c>
      <c r="AI958" s="1359">
        <v>0.15</v>
      </c>
      <c r="AJ958" s="1360">
        <f t="shared" si="1383"/>
        <v>15.093</v>
      </c>
      <c r="AK958" s="1361">
        <f t="shared" si="1384"/>
        <v>181.11600000000001</v>
      </c>
      <c r="AL958" s="1384">
        <v>0</v>
      </c>
      <c r="AM958" s="1363">
        <f t="shared" si="1385"/>
        <v>0</v>
      </c>
      <c r="AN958" s="1364">
        <v>0.1</v>
      </c>
      <c r="AO958" s="1365">
        <f t="shared" si="1386"/>
        <v>120.74400000000001</v>
      </c>
      <c r="AP958" s="1366">
        <v>0</v>
      </c>
      <c r="AQ958" s="1367">
        <f t="shared" si="1387"/>
        <v>0</v>
      </c>
      <c r="AR958" s="1368">
        <v>0</v>
      </c>
      <c r="AS958" s="1369">
        <f t="shared" si="1388"/>
        <v>0</v>
      </c>
      <c r="AT958" s="1370">
        <v>0</v>
      </c>
      <c r="AU958" s="1371">
        <f t="shared" si="1389"/>
        <v>0</v>
      </c>
      <c r="AV958" s="1359">
        <f t="shared" si="1390"/>
        <v>4.9999999999999989E-2</v>
      </c>
      <c r="AW958" s="1372">
        <f t="shared" si="1391"/>
        <v>60.371999999999993</v>
      </c>
      <c r="AX958" s="1373">
        <f t="shared" si="1392"/>
        <v>4.9999999999999989E-2</v>
      </c>
      <c r="AY958" s="1374">
        <f t="shared" si="1393"/>
        <v>60.371999999999993</v>
      </c>
      <c r="AZ958" s="1375">
        <f t="shared" si="1394"/>
        <v>4.9999999999999989E-2</v>
      </c>
      <c r="BA958" s="1376">
        <f t="shared" si="1395"/>
        <v>60.371999999999993</v>
      </c>
      <c r="BB958" s="1377"/>
      <c r="BC958" s="1848"/>
      <c r="BD958" s="1820"/>
      <c r="BE958" s="1823"/>
      <c r="BF958" s="1826"/>
      <c r="BG958" s="1829"/>
    </row>
    <row r="959" spans="1:59" s="1378" customFormat="1" ht="38.25">
      <c r="A959" s="1347" t="str">
        <f t="shared" si="1379"/>
        <v>XOMA "US" LLC</v>
      </c>
      <c r="B959" s="1348" t="str">
        <f t="shared" si="1380"/>
        <v>ABD</v>
      </c>
      <c r="C959" s="1348">
        <f t="shared" si="1381"/>
        <v>13</v>
      </c>
      <c r="D959" s="1349">
        <v>43101</v>
      </c>
      <c r="E959" s="1349"/>
      <c r="F959" s="1347" t="s">
        <v>113</v>
      </c>
      <c r="G959" s="1347" t="s">
        <v>85</v>
      </c>
      <c r="H959" s="1347" t="s">
        <v>85</v>
      </c>
      <c r="I959" s="1347" t="s">
        <v>113</v>
      </c>
      <c r="J959" s="1349" t="s">
        <v>4690</v>
      </c>
      <c r="K959" s="1349" t="s">
        <v>254</v>
      </c>
      <c r="L959" s="1350" t="s">
        <v>4682</v>
      </c>
      <c r="M959" s="1350" t="s">
        <v>4691</v>
      </c>
      <c r="N959" s="1351" t="s">
        <v>98</v>
      </c>
      <c r="O959" s="1352" t="s">
        <v>4693</v>
      </c>
      <c r="P959" s="1352"/>
      <c r="Q959" s="1354"/>
      <c r="R959" s="1354"/>
      <c r="S959" s="1354"/>
      <c r="T959" s="1354"/>
      <c r="U959" s="1354"/>
      <c r="V959" s="1354"/>
      <c r="W959" s="1354"/>
      <c r="X959" s="1353">
        <v>43101</v>
      </c>
      <c r="Y959" s="1353">
        <v>43466</v>
      </c>
      <c r="Z959" s="1355">
        <v>4</v>
      </c>
      <c r="AA959" s="1355" t="s">
        <v>4685</v>
      </c>
      <c r="AB959" s="1356"/>
      <c r="AC959" s="1356"/>
      <c r="AD959" s="1356"/>
      <c r="AE959" s="1356"/>
      <c r="AF959" s="1357"/>
      <c r="AG959" s="1358">
        <v>90.94</v>
      </c>
      <c r="AH959" s="1358">
        <f t="shared" si="1396"/>
        <v>1091.28</v>
      </c>
      <c r="AI959" s="1359">
        <v>0.15</v>
      </c>
      <c r="AJ959" s="1360">
        <f t="shared" si="1383"/>
        <v>13.641</v>
      </c>
      <c r="AK959" s="1361">
        <f t="shared" si="1384"/>
        <v>163.69199999999998</v>
      </c>
      <c r="AL959" s="1384">
        <v>0</v>
      </c>
      <c r="AM959" s="1363">
        <f t="shared" si="1385"/>
        <v>0</v>
      </c>
      <c r="AN959" s="1364">
        <v>0.1</v>
      </c>
      <c r="AO959" s="1365">
        <f t="shared" si="1386"/>
        <v>109.128</v>
      </c>
      <c r="AP959" s="1366">
        <v>0</v>
      </c>
      <c r="AQ959" s="1367">
        <f t="shared" si="1387"/>
        <v>0</v>
      </c>
      <c r="AR959" s="1368">
        <v>0</v>
      </c>
      <c r="AS959" s="1369">
        <f t="shared" si="1388"/>
        <v>0</v>
      </c>
      <c r="AT959" s="1370">
        <v>0</v>
      </c>
      <c r="AU959" s="1371">
        <f t="shared" si="1389"/>
        <v>0</v>
      </c>
      <c r="AV959" s="1359">
        <f t="shared" si="1390"/>
        <v>4.9999999999999989E-2</v>
      </c>
      <c r="AW959" s="1372">
        <f t="shared" si="1391"/>
        <v>54.563999999999986</v>
      </c>
      <c r="AX959" s="1373">
        <f t="shared" si="1392"/>
        <v>4.9999999999999989E-2</v>
      </c>
      <c r="AY959" s="1374">
        <f t="shared" si="1393"/>
        <v>54.563999999999986</v>
      </c>
      <c r="AZ959" s="1375">
        <f t="shared" si="1394"/>
        <v>4.9999999999999989E-2</v>
      </c>
      <c r="BA959" s="1376">
        <f t="shared" si="1395"/>
        <v>54.563999999999986</v>
      </c>
      <c r="BB959" s="1377"/>
      <c r="BC959" s="1848"/>
      <c r="BD959" s="1820"/>
      <c r="BE959" s="1823"/>
      <c r="BF959" s="1826"/>
      <c r="BG959" s="1829"/>
    </row>
    <row r="960" spans="1:59" s="1378" customFormat="1" ht="38.25">
      <c r="A960" s="1347" t="str">
        <f t="shared" si="1379"/>
        <v>XOMA "US" LLC</v>
      </c>
      <c r="B960" s="1348" t="str">
        <f t="shared" si="1380"/>
        <v>ABD</v>
      </c>
      <c r="C960" s="1348">
        <f t="shared" si="1381"/>
        <v>13</v>
      </c>
      <c r="D960" s="1349">
        <v>43101</v>
      </c>
      <c r="E960" s="1349"/>
      <c r="F960" s="1347" t="s">
        <v>113</v>
      </c>
      <c r="G960" s="1347" t="s">
        <v>85</v>
      </c>
      <c r="H960" s="1347" t="s">
        <v>85</v>
      </c>
      <c r="I960" s="1347" t="s">
        <v>113</v>
      </c>
      <c r="J960" s="1349" t="s">
        <v>4690</v>
      </c>
      <c r="K960" s="1349" t="s">
        <v>254</v>
      </c>
      <c r="L960" s="1350" t="s">
        <v>4682</v>
      </c>
      <c r="M960" s="1350" t="s">
        <v>4691</v>
      </c>
      <c r="N960" s="1351" t="s">
        <v>4694</v>
      </c>
      <c r="O960" s="1352" t="s">
        <v>4695</v>
      </c>
      <c r="P960" s="1352"/>
      <c r="Q960" s="1354"/>
      <c r="R960" s="1354"/>
      <c r="S960" s="1354"/>
      <c r="T960" s="1354"/>
      <c r="U960" s="1354"/>
      <c r="V960" s="1354"/>
      <c r="W960" s="1354"/>
      <c r="X960" s="1353">
        <v>43101</v>
      </c>
      <c r="Y960" s="1353">
        <v>43466</v>
      </c>
      <c r="Z960" s="1355">
        <v>3</v>
      </c>
      <c r="AA960" s="1355" t="s">
        <v>4685</v>
      </c>
      <c r="AB960" s="1356"/>
      <c r="AC960" s="1356"/>
      <c r="AD960" s="1356"/>
      <c r="AE960" s="1356"/>
      <c r="AF960" s="1357"/>
      <c r="AG960" s="1358">
        <v>74.84</v>
      </c>
      <c r="AH960" s="1358">
        <f t="shared" si="1396"/>
        <v>898.08</v>
      </c>
      <c r="AI960" s="1359">
        <v>0.15</v>
      </c>
      <c r="AJ960" s="1360">
        <f t="shared" si="1383"/>
        <v>11.226000000000001</v>
      </c>
      <c r="AK960" s="1361">
        <f t="shared" si="1384"/>
        <v>134.71199999999999</v>
      </c>
      <c r="AL960" s="1384">
        <v>0</v>
      </c>
      <c r="AM960" s="1363">
        <f t="shared" si="1385"/>
        <v>0</v>
      </c>
      <c r="AN960" s="1364">
        <v>0.1</v>
      </c>
      <c r="AO960" s="1365">
        <f t="shared" si="1386"/>
        <v>89.808000000000007</v>
      </c>
      <c r="AP960" s="1366">
        <v>0</v>
      </c>
      <c r="AQ960" s="1367">
        <f t="shared" si="1387"/>
        <v>0</v>
      </c>
      <c r="AR960" s="1368">
        <v>0</v>
      </c>
      <c r="AS960" s="1369">
        <f t="shared" si="1388"/>
        <v>0</v>
      </c>
      <c r="AT960" s="1370">
        <v>0</v>
      </c>
      <c r="AU960" s="1371">
        <f t="shared" si="1389"/>
        <v>0</v>
      </c>
      <c r="AV960" s="1359">
        <f t="shared" si="1390"/>
        <v>4.9999999999999989E-2</v>
      </c>
      <c r="AW960" s="1372">
        <f t="shared" si="1391"/>
        <v>44.903999999999989</v>
      </c>
      <c r="AX960" s="1373">
        <f t="shared" si="1392"/>
        <v>4.9999999999999989E-2</v>
      </c>
      <c r="AY960" s="1374">
        <f t="shared" si="1393"/>
        <v>44.903999999999989</v>
      </c>
      <c r="AZ960" s="1375">
        <f t="shared" si="1394"/>
        <v>4.9999999999999989E-2</v>
      </c>
      <c r="BA960" s="1376">
        <f t="shared" si="1395"/>
        <v>44.903999999999989</v>
      </c>
      <c r="BB960" s="1377"/>
      <c r="BC960" s="1848"/>
      <c r="BD960" s="1820"/>
      <c r="BE960" s="1823"/>
      <c r="BF960" s="1826"/>
      <c r="BG960" s="1829"/>
    </row>
    <row r="961" spans="1:59" s="1378" customFormat="1" ht="27.75" customHeight="1">
      <c r="A961" s="1347" t="str">
        <f t="shared" si="1379"/>
        <v>XOMA "US" LLC</v>
      </c>
      <c r="B961" s="1348" t="str">
        <f t="shared" si="1380"/>
        <v>ABD</v>
      </c>
      <c r="C961" s="1348">
        <f t="shared" si="1381"/>
        <v>13</v>
      </c>
      <c r="D961" s="1349">
        <v>43101</v>
      </c>
      <c r="E961" s="1349"/>
      <c r="F961" s="1347" t="s">
        <v>72</v>
      </c>
      <c r="G961" s="1347" t="s">
        <v>85</v>
      </c>
      <c r="H961" s="1347" t="s">
        <v>72</v>
      </c>
      <c r="I961" s="1347" t="s">
        <v>72</v>
      </c>
      <c r="J961" s="1349" t="s">
        <v>4670</v>
      </c>
      <c r="K961" s="1349" t="s">
        <v>254</v>
      </c>
      <c r="L961" s="1350" t="s">
        <v>4696</v>
      </c>
      <c r="M961" s="1350" t="s">
        <v>4697</v>
      </c>
      <c r="N961" s="1389" t="s">
        <v>4698</v>
      </c>
      <c r="O961" s="1352" t="s">
        <v>4699</v>
      </c>
      <c r="P961" s="1352"/>
      <c r="Q961" s="1354"/>
      <c r="R961" s="1354"/>
      <c r="S961" s="1354"/>
      <c r="T961" s="1354"/>
      <c r="U961" s="1354"/>
      <c r="V961" s="1354"/>
      <c r="W961" s="1354"/>
      <c r="X961" s="1353">
        <v>43101</v>
      </c>
      <c r="Y961" s="1353">
        <v>43466</v>
      </c>
      <c r="Z961" s="1355"/>
      <c r="AA961" s="1355" t="s">
        <v>4674</v>
      </c>
      <c r="AB961" s="1356"/>
      <c r="AC961" s="1356"/>
      <c r="AD961" s="1356"/>
      <c r="AE961" s="1356"/>
      <c r="AF961" s="1357" t="str">
        <f t="shared" si="1367"/>
        <v/>
      </c>
      <c r="AG961" s="1380"/>
      <c r="AH961" s="1380"/>
      <c r="AI961" s="1381">
        <v>0</v>
      </c>
      <c r="AJ961" s="1382">
        <f t="shared" si="1383"/>
        <v>0</v>
      </c>
      <c r="AK961" s="1383">
        <f t="shared" si="1384"/>
        <v>0</v>
      </c>
      <c r="AL961" s="1384">
        <v>0</v>
      </c>
      <c r="AM961" s="1363">
        <f t="shared" si="1385"/>
        <v>0</v>
      </c>
      <c r="AN961" s="1364">
        <v>0</v>
      </c>
      <c r="AO961" s="1365">
        <f t="shared" si="1386"/>
        <v>0</v>
      </c>
      <c r="AP961" s="1366">
        <v>0</v>
      </c>
      <c r="AQ961" s="1367">
        <f t="shared" si="1387"/>
        <v>0</v>
      </c>
      <c r="AR961" s="1368">
        <v>0</v>
      </c>
      <c r="AS961" s="1369">
        <f t="shared" si="1388"/>
        <v>0</v>
      </c>
      <c r="AT961" s="1370">
        <v>0</v>
      </c>
      <c r="AU961" s="1371">
        <f t="shared" si="1389"/>
        <v>0</v>
      </c>
      <c r="AV961" s="1359">
        <f t="shared" si="1390"/>
        <v>0</v>
      </c>
      <c r="AW961" s="1372">
        <f t="shared" si="1391"/>
        <v>0</v>
      </c>
      <c r="AX961" s="1373">
        <f t="shared" si="1392"/>
        <v>0</v>
      </c>
      <c r="AY961" s="1374">
        <f t="shared" si="1393"/>
        <v>0</v>
      </c>
      <c r="AZ961" s="1375">
        <f t="shared" si="1394"/>
        <v>0</v>
      </c>
      <c r="BA961" s="1376">
        <f t="shared" si="1395"/>
        <v>0</v>
      </c>
      <c r="BB961" s="1377"/>
      <c r="BC961" s="1848"/>
      <c r="BD961" s="1820"/>
      <c r="BE961" s="1823"/>
      <c r="BF961" s="1826"/>
      <c r="BG961" s="1829"/>
    </row>
    <row r="962" spans="1:59" s="1378" customFormat="1" ht="25.5">
      <c r="A962" s="1347" t="str">
        <f t="shared" si="1379"/>
        <v>XOMA "US" LLC</v>
      </c>
      <c r="B962" s="1348" t="str">
        <f t="shared" si="1380"/>
        <v>ABD</v>
      </c>
      <c r="C962" s="1348">
        <f t="shared" si="1381"/>
        <v>13</v>
      </c>
      <c r="D962" s="1349">
        <v>43101</v>
      </c>
      <c r="E962" s="1349"/>
      <c r="F962" s="1347" t="s">
        <v>72</v>
      </c>
      <c r="G962" s="1347" t="s">
        <v>4700</v>
      </c>
      <c r="H962" s="1347" t="s">
        <v>72</v>
      </c>
      <c r="I962" s="1347" t="s">
        <v>72</v>
      </c>
      <c r="J962" s="1349" t="s">
        <v>4670</v>
      </c>
      <c r="K962" s="1349" t="s">
        <v>254</v>
      </c>
      <c r="L962" s="1350" t="s">
        <v>48</v>
      </c>
      <c r="M962" s="1350" t="s">
        <v>3652</v>
      </c>
      <c r="N962" s="1390" t="s">
        <v>4877</v>
      </c>
      <c r="O962" s="1352" t="s">
        <v>4702</v>
      </c>
      <c r="P962" s="1388"/>
      <c r="Q962" s="1354"/>
      <c r="R962" s="1354"/>
      <c r="S962" s="1354"/>
      <c r="T962" s="1354"/>
      <c r="U962" s="1354"/>
      <c r="V962" s="1354"/>
      <c r="W962" s="1354"/>
      <c r="X962" s="1353">
        <v>43101</v>
      </c>
      <c r="Y962" s="1353">
        <v>43466</v>
      </c>
      <c r="Z962" s="1355"/>
      <c r="AA962" s="1355" t="s">
        <v>4674</v>
      </c>
      <c r="AB962" s="1356"/>
      <c r="AC962" s="1356"/>
      <c r="AD962" s="1356"/>
      <c r="AE962" s="1356"/>
      <c r="AF962" s="1357" t="str">
        <f t="shared" si="1367"/>
        <v/>
      </c>
      <c r="AG962" s="1380"/>
      <c r="AH962" s="1380"/>
      <c r="AI962" s="1381">
        <v>0</v>
      </c>
      <c r="AJ962" s="1382">
        <f t="shared" si="1383"/>
        <v>0</v>
      </c>
      <c r="AK962" s="1383">
        <f t="shared" si="1384"/>
        <v>0</v>
      </c>
      <c r="AL962" s="1384">
        <v>0</v>
      </c>
      <c r="AM962" s="1363">
        <f t="shared" si="1385"/>
        <v>0</v>
      </c>
      <c r="AN962" s="1364">
        <v>0</v>
      </c>
      <c r="AO962" s="1365">
        <f t="shared" si="1386"/>
        <v>0</v>
      </c>
      <c r="AP962" s="1366">
        <v>0</v>
      </c>
      <c r="AQ962" s="1367">
        <f t="shared" si="1387"/>
        <v>0</v>
      </c>
      <c r="AR962" s="1368">
        <v>0</v>
      </c>
      <c r="AS962" s="1369">
        <f t="shared" si="1388"/>
        <v>0</v>
      </c>
      <c r="AT962" s="1370">
        <v>0</v>
      </c>
      <c r="AU962" s="1371">
        <f t="shared" si="1389"/>
        <v>0</v>
      </c>
      <c r="AV962" s="1359">
        <f t="shared" si="1390"/>
        <v>0</v>
      </c>
      <c r="AW962" s="1372">
        <f t="shared" si="1391"/>
        <v>0</v>
      </c>
      <c r="AX962" s="1373">
        <f t="shared" si="1392"/>
        <v>0</v>
      </c>
      <c r="AY962" s="1374">
        <f t="shared" si="1393"/>
        <v>0</v>
      </c>
      <c r="AZ962" s="1375">
        <f t="shared" si="1394"/>
        <v>0</v>
      </c>
      <c r="BA962" s="1376">
        <f t="shared" si="1395"/>
        <v>0</v>
      </c>
      <c r="BB962" s="1377"/>
      <c r="BC962" s="1848"/>
      <c r="BD962" s="1820"/>
      <c r="BE962" s="1823"/>
      <c r="BF962" s="1826"/>
      <c r="BG962" s="1829"/>
    </row>
    <row r="963" spans="1:59" s="1378" customFormat="1" ht="25.5">
      <c r="A963" s="1347" t="str">
        <f t="shared" si="1379"/>
        <v>XOMA "US" LLC</v>
      </c>
      <c r="B963" s="1348" t="str">
        <f t="shared" si="1380"/>
        <v>ABD</v>
      </c>
      <c r="C963" s="1348">
        <f t="shared" si="1381"/>
        <v>13</v>
      </c>
      <c r="D963" s="1349">
        <v>43101</v>
      </c>
      <c r="E963" s="1349"/>
      <c r="F963" s="1347" t="s">
        <v>72</v>
      </c>
      <c r="G963" s="1347" t="s">
        <v>4700</v>
      </c>
      <c r="H963" s="1347" t="s">
        <v>72</v>
      </c>
      <c r="I963" s="1347" t="s">
        <v>72</v>
      </c>
      <c r="J963" s="1349" t="s">
        <v>4670</v>
      </c>
      <c r="K963" s="1349" t="s">
        <v>254</v>
      </c>
      <c r="L963" s="1350" t="s">
        <v>48</v>
      </c>
      <c r="M963" s="1350" t="s">
        <v>5033</v>
      </c>
      <c r="N963" s="1389" t="s">
        <v>5348</v>
      </c>
      <c r="O963" s="1352" t="s">
        <v>5035</v>
      </c>
      <c r="P963" s="1388"/>
      <c r="Q963" s="1354"/>
      <c r="R963" s="1354"/>
      <c r="S963" s="1354"/>
      <c r="T963" s="1354"/>
      <c r="U963" s="1354"/>
      <c r="V963" s="1354"/>
      <c r="W963" s="1354"/>
      <c r="X963" s="1353">
        <v>43101</v>
      </c>
      <c r="Y963" s="1353">
        <v>43466</v>
      </c>
      <c r="Z963" s="1355"/>
      <c r="AA963" s="1355" t="s">
        <v>4674</v>
      </c>
      <c r="AB963" s="1356"/>
      <c r="AC963" s="1356"/>
      <c r="AD963" s="1356"/>
      <c r="AE963" s="1356"/>
      <c r="AF963" s="1357" t="str">
        <f t="shared" si="1367"/>
        <v/>
      </c>
      <c r="AG963" s="1380"/>
      <c r="AH963" s="1380"/>
      <c r="AI963" s="1381">
        <v>0</v>
      </c>
      <c r="AJ963" s="1382">
        <f t="shared" si="1383"/>
        <v>0</v>
      </c>
      <c r="AK963" s="1383">
        <f t="shared" si="1384"/>
        <v>0</v>
      </c>
      <c r="AL963" s="1384">
        <v>0</v>
      </c>
      <c r="AM963" s="1363">
        <f t="shared" si="1385"/>
        <v>0</v>
      </c>
      <c r="AN963" s="1364">
        <v>0</v>
      </c>
      <c r="AO963" s="1365">
        <f t="shared" si="1386"/>
        <v>0</v>
      </c>
      <c r="AP963" s="1366">
        <v>0</v>
      </c>
      <c r="AQ963" s="1367">
        <f t="shared" si="1387"/>
        <v>0</v>
      </c>
      <c r="AR963" s="1368">
        <v>0</v>
      </c>
      <c r="AS963" s="1369">
        <f t="shared" si="1388"/>
        <v>0</v>
      </c>
      <c r="AT963" s="1370">
        <v>0</v>
      </c>
      <c r="AU963" s="1371">
        <f t="shared" si="1389"/>
        <v>0</v>
      </c>
      <c r="AV963" s="1359">
        <f t="shared" si="1390"/>
        <v>0</v>
      </c>
      <c r="AW963" s="1372">
        <f t="shared" si="1391"/>
        <v>0</v>
      </c>
      <c r="AX963" s="1373">
        <f t="shared" si="1392"/>
        <v>0</v>
      </c>
      <c r="AY963" s="1374">
        <f t="shared" si="1393"/>
        <v>0</v>
      </c>
      <c r="AZ963" s="1375">
        <f t="shared" si="1394"/>
        <v>0</v>
      </c>
      <c r="BA963" s="1376">
        <f t="shared" si="1395"/>
        <v>0</v>
      </c>
      <c r="BB963" s="1377"/>
      <c r="BC963" s="1848"/>
      <c r="BD963" s="1820"/>
      <c r="BE963" s="1823"/>
      <c r="BF963" s="1826"/>
      <c r="BG963" s="1829"/>
    </row>
    <row r="964" spans="1:59" s="1378" customFormat="1" ht="25.5">
      <c r="A964" s="1347" t="str">
        <f t="shared" si="1379"/>
        <v>XOMA "US" LLC</v>
      </c>
      <c r="B964" s="1348" t="str">
        <f t="shared" si="1380"/>
        <v>ABD</v>
      </c>
      <c r="C964" s="1348">
        <f t="shared" si="1381"/>
        <v>13</v>
      </c>
      <c r="D964" s="1349">
        <v>43101</v>
      </c>
      <c r="E964" s="1349"/>
      <c r="F964" s="1347" t="s">
        <v>72</v>
      </c>
      <c r="G964" s="1347" t="s">
        <v>85</v>
      </c>
      <c r="H964" s="1347" t="s">
        <v>72</v>
      </c>
      <c r="I964" s="1347" t="s">
        <v>72</v>
      </c>
      <c r="J964" s="1349" t="s">
        <v>4670</v>
      </c>
      <c r="K964" s="1349" t="s">
        <v>254</v>
      </c>
      <c r="L964" s="1350" t="s">
        <v>48</v>
      </c>
      <c r="M964" s="1350" t="s">
        <v>253</v>
      </c>
      <c r="N964" s="1390" t="s">
        <v>4703</v>
      </c>
      <c r="O964" s="1352" t="s">
        <v>4704</v>
      </c>
      <c r="P964" s="1388"/>
      <c r="Q964" s="1354"/>
      <c r="R964" s="1354"/>
      <c r="S964" s="1354"/>
      <c r="T964" s="1354"/>
      <c r="U964" s="1354"/>
      <c r="V964" s="1354"/>
      <c r="W964" s="1354"/>
      <c r="X964" s="1353">
        <v>43101</v>
      </c>
      <c r="Y964" s="1353">
        <v>43466</v>
      </c>
      <c r="Z964" s="1355"/>
      <c r="AA964" s="1355" t="s">
        <v>4674</v>
      </c>
      <c r="AB964" s="1356"/>
      <c r="AC964" s="1356"/>
      <c r="AD964" s="1356"/>
      <c r="AE964" s="1356"/>
      <c r="AF964" s="1357" t="str">
        <f t="shared" si="1367"/>
        <v/>
      </c>
      <c r="AG964" s="1380"/>
      <c r="AH964" s="1380"/>
      <c r="AI964" s="1381">
        <v>0</v>
      </c>
      <c r="AJ964" s="1382">
        <f t="shared" si="1383"/>
        <v>0</v>
      </c>
      <c r="AK964" s="1383">
        <f t="shared" si="1384"/>
        <v>0</v>
      </c>
      <c r="AL964" s="1384">
        <v>0</v>
      </c>
      <c r="AM964" s="1363">
        <f t="shared" si="1385"/>
        <v>0</v>
      </c>
      <c r="AN964" s="1364">
        <v>0</v>
      </c>
      <c r="AO964" s="1365">
        <f t="shared" si="1386"/>
        <v>0</v>
      </c>
      <c r="AP964" s="1366">
        <v>0</v>
      </c>
      <c r="AQ964" s="1367">
        <f t="shared" si="1387"/>
        <v>0</v>
      </c>
      <c r="AR964" s="1368">
        <v>0</v>
      </c>
      <c r="AS964" s="1369">
        <f t="shared" si="1388"/>
        <v>0</v>
      </c>
      <c r="AT964" s="1370">
        <v>0</v>
      </c>
      <c r="AU964" s="1371">
        <f t="shared" si="1389"/>
        <v>0</v>
      </c>
      <c r="AV964" s="1359">
        <f t="shared" si="1390"/>
        <v>0</v>
      </c>
      <c r="AW964" s="1372">
        <f t="shared" si="1391"/>
        <v>0</v>
      </c>
      <c r="AX964" s="1373">
        <f t="shared" si="1392"/>
        <v>0</v>
      </c>
      <c r="AY964" s="1374">
        <f t="shared" si="1393"/>
        <v>0</v>
      </c>
      <c r="AZ964" s="1375">
        <f t="shared" si="1394"/>
        <v>0</v>
      </c>
      <c r="BA964" s="1376">
        <f t="shared" si="1395"/>
        <v>0</v>
      </c>
      <c r="BB964" s="1377"/>
      <c r="BC964" s="1848"/>
      <c r="BD964" s="1820"/>
      <c r="BE964" s="1823"/>
      <c r="BF964" s="1826"/>
      <c r="BG964" s="1829"/>
    </row>
    <row r="965" spans="1:59" s="1378" customFormat="1" ht="25.5">
      <c r="A965" s="1347" t="str">
        <f t="shared" si="1379"/>
        <v>XOMA "US" LLC</v>
      </c>
      <c r="B965" s="1348" t="str">
        <f t="shared" si="1380"/>
        <v>ABD</v>
      </c>
      <c r="C965" s="1348">
        <f t="shared" si="1381"/>
        <v>13</v>
      </c>
      <c r="D965" s="1349">
        <v>43101</v>
      </c>
      <c r="E965" s="1349"/>
      <c r="F965" s="1347" t="s">
        <v>72</v>
      </c>
      <c r="G965" s="1347" t="s">
        <v>85</v>
      </c>
      <c r="H965" s="1347" t="s">
        <v>72</v>
      </c>
      <c r="I965" s="1347" t="s">
        <v>72</v>
      </c>
      <c r="J965" s="1349" t="s">
        <v>4670</v>
      </c>
      <c r="K965" s="1349" t="s">
        <v>254</v>
      </c>
      <c r="L965" s="1350" t="s">
        <v>49</v>
      </c>
      <c r="M965" s="1350" t="s">
        <v>4705</v>
      </c>
      <c r="N965" s="1390" t="s">
        <v>4706</v>
      </c>
      <c r="O965" s="1352" t="s">
        <v>4707</v>
      </c>
      <c r="P965" s="1388"/>
      <c r="Q965" s="1354"/>
      <c r="R965" s="1354"/>
      <c r="S965" s="1354"/>
      <c r="T965" s="1354"/>
      <c r="U965" s="1354"/>
      <c r="V965" s="1354"/>
      <c r="W965" s="1354"/>
      <c r="X965" s="1353">
        <v>43101</v>
      </c>
      <c r="Y965" s="1353">
        <v>43466</v>
      </c>
      <c r="Z965" s="1355"/>
      <c r="AA965" s="1355" t="s">
        <v>4674</v>
      </c>
      <c r="AB965" s="1356"/>
      <c r="AC965" s="1356"/>
      <c r="AD965" s="1356"/>
      <c r="AE965" s="1356"/>
      <c r="AF965" s="1357" t="str">
        <f t="shared" si="1367"/>
        <v/>
      </c>
      <c r="AG965" s="1380"/>
      <c r="AH965" s="1380"/>
      <c r="AI965" s="1381">
        <v>0</v>
      </c>
      <c r="AJ965" s="1382">
        <f t="shared" si="1383"/>
        <v>0</v>
      </c>
      <c r="AK965" s="1383">
        <f t="shared" si="1384"/>
        <v>0</v>
      </c>
      <c r="AL965" s="1384">
        <v>0</v>
      </c>
      <c r="AM965" s="1363">
        <f t="shared" si="1385"/>
        <v>0</v>
      </c>
      <c r="AN965" s="1364">
        <v>0</v>
      </c>
      <c r="AO965" s="1365">
        <f t="shared" si="1386"/>
        <v>0</v>
      </c>
      <c r="AP965" s="1366">
        <v>0</v>
      </c>
      <c r="AQ965" s="1367">
        <f t="shared" si="1387"/>
        <v>0</v>
      </c>
      <c r="AR965" s="1368">
        <v>0</v>
      </c>
      <c r="AS965" s="1369">
        <f t="shared" si="1388"/>
        <v>0</v>
      </c>
      <c r="AT965" s="1370">
        <v>0</v>
      </c>
      <c r="AU965" s="1371">
        <f t="shared" si="1389"/>
        <v>0</v>
      </c>
      <c r="AV965" s="1359">
        <f t="shared" si="1390"/>
        <v>0</v>
      </c>
      <c r="AW965" s="1372">
        <f t="shared" si="1391"/>
        <v>0</v>
      </c>
      <c r="AX965" s="1373">
        <f t="shared" si="1392"/>
        <v>0</v>
      </c>
      <c r="AY965" s="1374">
        <f t="shared" si="1393"/>
        <v>0</v>
      </c>
      <c r="AZ965" s="1375">
        <f t="shared" si="1394"/>
        <v>0</v>
      </c>
      <c r="BA965" s="1376">
        <f t="shared" si="1395"/>
        <v>0</v>
      </c>
      <c r="BB965" s="1391"/>
      <c r="BC965" s="1848"/>
      <c r="BD965" s="1820"/>
      <c r="BE965" s="1823"/>
      <c r="BF965" s="1826"/>
      <c r="BG965" s="1829"/>
    </row>
    <row r="966" spans="1:59" s="1378" customFormat="1" ht="25.5">
      <c r="A966" s="1347" t="str">
        <f>L950</f>
        <v>XOMA "US" LLC</v>
      </c>
      <c r="B966" s="1348" t="str">
        <f>N950</f>
        <v>ABD</v>
      </c>
      <c r="C966" s="1348">
        <f>Z950</f>
        <v>13</v>
      </c>
      <c r="D966" s="1349">
        <v>43101</v>
      </c>
      <c r="E966" s="1349"/>
      <c r="F966" s="1347" t="s">
        <v>72</v>
      </c>
      <c r="G966" s="1347" t="s">
        <v>85</v>
      </c>
      <c r="H966" s="1347" t="s">
        <v>72</v>
      </c>
      <c r="I966" s="1347" t="s">
        <v>72</v>
      </c>
      <c r="J966" s="1349" t="s">
        <v>4670</v>
      </c>
      <c r="K966" s="1349" t="s">
        <v>254</v>
      </c>
      <c r="L966" s="1350" t="s">
        <v>3056</v>
      </c>
      <c r="M966" s="1350" t="s">
        <v>4708</v>
      </c>
      <c r="N966" s="1390" t="s">
        <v>4709</v>
      </c>
      <c r="O966" s="1352" t="s">
        <v>4710</v>
      </c>
      <c r="P966" s="1352"/>
      <c r="Q966" s="1354"/>
      <c r="R966" s="1354"/>
      <c r="S966" s="1354"/>
      <c r="T966" s="1354"/>
      <c r="U966" s="1354"/>
      <c r="V966" s="1354"/>
      <c r="W966" s="1354"/>
      <c r="X966" s="1353">
        <v>43101</v>
      </c>
      <c r="Y966" s="1353">
        <v>43466</v>
      </c>
      <c r="Z966" s="1355"/>
      <c r="AA966" s="1355" t="s">
        <v>4674</v>
      </c>
      <c r="AB966" s="1356"/>
      <c r="AC966" s="1356"/>
      <c r="AD966" s="1356"/>
      <c r="AE966" s="1356"/>
      <c r="AF966" s="1357" t="str">
        <f t="shared" si="1367"/>
        <v/>
      </c>
      <c r="AG966" s="1380"/>
      <c r="AH966" s="1380"/>
      <c r="AI966" s="1381">
        <v>0</v>
      </c>
      <c r="AJ966" s="1382">
        <f t="shared" si="1383"/>
        <v>0</v>
      </c>
      <c r="AK966" s="1383">
        <f t="shared" si="1384"/>
        <v>0</v>
      </c>
      <c r="AL966" s="1384">
        <v>0</v>
      </c>
      <c r="AM966" s="1363">
        <f t="shared" si="1385"/>
        <v>0</v>
      </c>
      <c r="AN966" s="1364">
        <v>0</v>
      </c>
      <c r="AO966" s="1365">
        <f t="shared" si="1386"/>
        <v>0</v>
      </c>
      <c r="AP966" s="1366">
        <v>0</v>
      </c>
      <c r="AQ966" s="1367">
        <f t="shared" si="1387"/>
        <v>0</v>
      </c>
      <c r="AR966" s="1368">
        <v>0</v>
      </c>
      <c r="AS966" s="1369">
        <f t="shared" si="1388"/>
        <v>0</v>
      </c>
      <c r="AT966" s="1370">
        <v>0</v>
      </c>
      <c r="AU966" s="1371">
        <f t="shared" si="1389"/>
        <v>0</v>
      </c>
      <c r="AV966" s="1359">
        <f t="shared" si="1390"/>
        <v>0</v>
      </c>
      <c r="AW966" s="1372">
        <f t="shared" si="1391"/>
        <v>0</v>
      </c>
      <c r="AX966" s="1373">
        <f t="shared" si="1392"/>
        <v>0</v>
      </c>
      <c r="AY966" s="1374">
        <f t="shared" si="1393"/>
        <v>0</v>
      </c>
      <c r="AZ966" s="1375">
        <f t="shared" si="1394"/>
        <v>0</v>
      </c>
      <c r="BA966" s="1376">
        <f t="shared" si="1395"/>
        <v>0</v>
      </c>
      <c r="BB966" s="1391"/>
      <c r="BC966" s="1849"/>
      <c r="BD966" s="1821"/>
      <c r="BE966" s="1824"/>
      <c r="BF966" s="1827"/>
      <c r="BG966" s="1830"/>
    </row>
    <row r="967" spans="1:59">
      <c r="L967" s="1276" t="s">
        <v>5384</v>
      </c>
      <c r="M967" s="1276"/>
      <c r="N967" s="1276"/>
      <c r="O967" s="1505"/>
      <c r="P967" s="1505"/>
      <c r="Q967" s="1506"/>
      <c r="R967" s="1506"/>
      <c r="S967" s="1506"/>
      <c r="T967" s="1506"/>
      <c r="U967" s="1506"/>
      <c r="V967" s="1506"/>
      <c r="W967" s="1506"/>
      <c r="X967" s="1507"/>
      <c r="Y967" s="1507"/>
      <c r="Z967" s="1508">
        <f>SUM(Z950+Z944+Z930+Z920+Z905+Z887+Z875+Z867+Z856+Z849+Z835+Z822+Z807+Z800+Z788+Z771+Z755+Z747+Z730+Z720+Z712+Z701+Z671+Z657+Z645+Z633+Z625+Z618+Z607+Z593+Z581+Z567+Z553+Z529+Z522+Z510+Z494+Z482+Z474+Z455+Z445+Z435+Z422+Z376+Z363+Z343+Z329+Z317+Z302+Z291+Z276+Z262+Z248+Z239+Z225+Z207+Z196+Z180+Z167+Z154+Z144+Z105+Z99+Z85+Z78+Z71+Z58+Z46+Z30+Z21+Z4+Z688+Z541+Z352+Z121+Z392+Z405+Z137)</f>
        <v>3220</v>
      </c>
      <c r="AA967" s="1509"/>
      <c r="AB967" s="1508">
        <f>SUM(AB950+AB944+AB930+AB920+AB905+AB887+AB875+AB867+AB856+AB849+AB835+AB822+AB807+AB800+AB788+AB771+AB755+AB747+AB730+AB720+AB712+AB701+AB671+AB657+AB645+AB633+AB625+AB618+AB607+AB593+AB581+AB567+AB553+AB529+AB522+AB510+AB494+AB482+AB474+AB455+AB445+AB435+AB422+AB376+AB363+AB343+AB329+AB317+AB302+AB291+AB276+AB262+AB248+AB239+AB225+AB207+AB196+AB180+AB167+AB154+AB144+AB105+AB99+AB85+AB78+AB71+AB58+AB46+AB30+AB21+AB4+AB688+AB541+AB352+AB121+AB392+AB405+AB137)</f>
        <v>13763995.821286999</v>
      </c>
      <c r="AC967" s="1508">
        <f>SUM(AC950+AC944+AC930+AC920+AC905+AC887+AC875+AC867+AC856+AC849+AC835+AC822+AC807+AC800+AC788+AC771+AC755+AC747+AC730+AC720+AC712+AC701+AC671+AC657+AC645+AC633+AC625+AC618+AC607+AC593+AC581+AC567+AC553+AC529+AC522+AC510+AC494+AC482+AC474+AC455+AC445+AC435+AC422+AC376+AC363+AC343+AC329+AC317+AC302+AC291+AC276+AC262+AC248+AC239+AC225+AC207+AC196+AC180+AC167+AC154+AC144+AC105+AC99+AC85+AC78+AC71+AC58+AC46+AC30+AC21+AC4+AC688+AC541+AC352+AC121+AC392+AC405+AC137)</f>
        <v>8351179.3742869999</v>
      </c>
      <c r="AD967" s="1508">
        <f>SUM(AD950+AD944+AD930+AD920+AD905+AD887+AD875+AD867+AD856+AD849+AD835+AD822+AD807+AD800+AD788+AD771+AD755+AD747+AD730+AD720+AD712+AD701+AD671+AD657+AD645+AD633+AD625+AD618+AD607+AD593+AD581+AD567+AD553+AD529+AD522+AD510+AD494+AD482+AD474+AD455+AD445+AD435+AD422+AD376+AD363+AD343+AD329+AD317+AD302+AD291+AD276+AD262+AD248+AD239+AD225+AD207+AD196+AD180+AD167+AD154+AD144+AD105+AD99+AD85+AD78+AD71+AD58+AD46+AD30+AD21+AD4+AD688+AD541+AD352+AD121+AD392+AD405+AD137)</f>
        <v>12843967.219999999</v>
      </c>
      <c r="AE967" s="1508">
        <f>SUM(AE950+AE944+AE930+AE920+AE905+AE887+AE875+AE867+AE856+AE849+AE835+AE822+AE807+AE800+AE788+AE771+AE755+AE747+AE730+AE720+AE712+AE701+AE671+AE657+AE645+AE633+AE625+AE618+AE607+AE593+AE581+AE567+AE553+AE529+AE522+AE510+AE494+AE482+AE474+AE455+AE445+AE435+AE422+AE376+AE363+AE343+AE329+AE317+AE302+AE291+AE276+AE262+AE248+AE239+AE225+AE207+AE196+AE180+AE167+AE154+AE144+AE105+AE99+AE85+AE78+AE71+AE58+AE46+AE30+AE21+AE4+AE688+AE541+AE352+AE121+AE392+AE405+AE137)</f>
        <v>-920028.60128699988</v>
      </c>
      <c r="AF967" s="1508"/>
      <c r="AG967" s="1508">
        <f>SUM(AG950+AG944+AG930+AG920+AG905+AG887+AG875+AG867+AG856+AG849+AG835+AG822+AG807+AG800+AG788+AG771+AG755+AG747+AG730+AG720+AG712+AG701+AG671+AG657+AG645+AG633+AG625+AG618+AG607+AG593+AG581+AG567+AG553+AG529+AG522+AG510+AG494+AG482+AG474+AG455+AG445+AG435+AG422+AG376+AG363+AG343+AG329+AG317+AG302+AG291+AG276+AG262+AG248+AG239+AG225+AG207+AG196+AG180+AG167+AG154+AG144+AG105+AG99+AG85+AG78+AG71+AG58+AG46+AG30+AG21+AG4+AG688+AG541+AG352+AG121+AG392+AG405+AG137)</f>
        <v>2855129.2548766676</v>
      </c>
      <c r="AH967" s="1508">
        <f>SUM(AH950+AH944+AH930+AH920+AH905+AH887+AH875+AH867+AH856+AH849+AH835+AH822+AH807+AH800+AH788+AH771+AH755+AH747+AH730+AH720+AH712+AH701+AH671+AH657+AH645+AH633+AH625+AH618+AH607+AH593+AH581+AH567+AH553+AH529+AH522+AH510+AH494+AH482+AH474+AH455+AH445+AH435+AH422+AH376+AH363+AH343+AH329+AH317+AH302+AH291+AH276+AH262+AH248+AH239+AH225+AH207+AH196+AH180+AH167+AH154+AH144+AH105+AH99+AH85+AH78+AH71+AH58+AH46+AH30+AH21+AH4+AH688+AH541+AH352+AH121+AH392+AH405+AH137)</f>
        <v>34480544.338520013</v>
      </c>
      <c r="AI967" s="1508"/>
      <c r="AJ967" s="1508">
        <f>SUM(AJ950+AJ944+AJ930+AJ920+AJ905+AJ887+AJ875+AJ867+AJ856+AJ849+AJ835+AJ822+AJ807+AJ800+AJ788+AJ771+AJ755+AJ747+AJ730+AJ720+AJ712+AJ701+AJ671+AJ657+AJ645+AJ633+AJ625+AJ618+AJ607+AJ593+AJ581+AJ567+AJ553+AJ529+AJ522+AJ510+AJ494+AJ482+AJ474+AJ455+AJ445+AJ435+AJ422+AJ376+AJ363+AJ343+AJ329+AJ317+AJ302+AJ291+AJ276+AJ262+AJ248+AJ239+AJ225+AJ207+AJ196+AJ180+AJ167+AJ154+AJ144+AJ105+AJ99+AJ85+AJ78+AJ71+AJ58+AJ46+AJ30+AJ21+AJ4+AJ688+AJ541+AJ352+AJ121+AJ392+AJ405+AJ137)</f>
        <v>238094.76913150004</v>
      </c>
      <c r="AK967" s="1508">
        <f>SUM(AK950+AK944+AK930+AK920+AK905+AK887+AK875+AK867+AK856+AK849+AK835+AK822+AK807+AK800+AK788+AK771+AK755+AK747+AK730+AK720+AK712+AK701+AK671+AK657+AK645+AK633+AK625+AK618+AK607+AK593+AK581+AK567+AK553+AK529+AK522+AK510+AK494+AK482+AK474+AK455+AK445+AK435+AK422+AK376+AK363+AK343+AK329+AK317+AK302+AK291+AK276+AK262+AK248+AK239+AK225+AK207+AK196+AK180+AK167+AK154+AK144+AK105+AK99+AK85+AK78+AK71+AK58+AK46+AK30+AK21+AK4+AK688+AK541+AK352+AK121+AK392+AK405+AK137)</f>
        <v>2857137.229578</v>
      </c>
      <c r="AL967" s="1509"/>
      <c r="AM967" s="1508">
        <f>SUM(AM950+AM944+AM930+AM920+AM905+AM887+AM875+AM867+AM856+AM849+AM835+AM822+AM807+AM800+AM788+AM771+AM755+AM747+AM730+AM720+AM712+AM701+AM671+AM657+AM645+AM633+AM625+AM618+AM607+AM593+AM581+AM567+AM553+AM529+AM522+AM510+AM494+AM482+AM474+AM455+AM445+AM435+AM422+AM376+AM363+AM343+AM329+AM317+AM302+AM291+AM276+AM262+AM248+AM239+AM225+AM207+AM196+AM180+AM167+AM154+AM144+AM105+AM99+AM85+AM78+AM71+AM58+AM46+AM30+AM21+AM4+AM688+AM541+AM352+AM121+AM392+AM405+AM137)</f>
        <v>153139.27980000002</v>
      </c>
      <c r="AN967" s="1509"/>
      <c r="AO967" s="1508">
        <f>SUM(AO950+AO944+AO930+AO920+AO905+AO887+AO875+AO867+AO856+AO849+AO835+AO822+AO807+AO800+AO788+AO771+AO755+AO747+AO730+AO720+AO712+AO701+AO671+AO657+AO645+AO633+AO625+AO618+AO607+AO593+AO581+AO567+AO553+AO529+AO522+AO510+AO494+AO482+AO474+AO455+AO445+AO435+AO422+AO376+AO363+AO343+AO329+AO317+AO302+AO291+AO276+AO262+AO248+AO239+AO225+AO207+AO196+AO180+AO167+AO154+AO144+AO105+AO99+AO85+AO78+AO71+AO58+AO46+AO30+AO21+AO4+AO688+AO541+AO352+AO121+AO392+AO405+AO137)</f>
        <v>482298.57600000023</v>
      </c>
      <c r="AP967" s="1509"/>
      <c r="AQ967" s="1508">
        <f>SUM(AQ950+AQ944+AQ930+AQ920+AQ905+AQ887+AQ875+AQ867+AQ856+AQ849+AQ835+AQ822+AQ807+AQ800+AQ788+AQ771+AQ755+AQ747+AQ730+AQ720+AQ712+AQ701+AQ671+AQ657+AQ645+AQ633+AQ625+AQ618+AQ607+AQ593+AQ581+AQ567+AQ553+AQ529+AQ522+AQ510+AQ494+AQ482+AQ474+AQ455+AQ445+AQ435+AQ422+AQ376+AQ363+AQ343+AQ329+AQ317+AQ302+AQ291+AQ276+AQ262+AQ248+AQ239+AQ225+AQ207+AQ196+AQ180+AQ167+AQ154+AQ144+AQ105+AQ99+AQ85+AQ78+AQ71+AQ58+AQ46+AQ30+AQ21+AQ4+AQ688+AQ541+AQ352+AQ121+AQ392+AQ405+AQ137)</f>
        <v>143411.87099999998</v>
      </c>
      <c r="AR967" s="1509"/>
      <c r="AS967" s="1508">
        <f>SUM(AS950+AS944+AS930+AS920+AS905+AS887+AS875+AS867+AS856+AS849+AS835+AS822+AS807+AS800+AS788+AS771+AS755+AS747+AS730+AS720+AS712+AS701+AS671+AS657+AS645+AS633+AS625+AS618+AS607+AS593+AS581+AS567+AS553+AS529+AS522+AS510+AS494+AS482+AS474+AS455+AS445+AS435+AS422+AS376+AS363+AS343+AS329+AS317+AS302+AS291+AS276+AS262+AS248+AS239+AS225+AS207+AS196+AS180+AS167+AS154+AS144+AS105+AS99+AS85+AS78+AS71+AS58+AS46+AS30+AS21+AS4+AS688+AS541+AS352+AS121+AS392+AS405+AS137)</f>
        <v>710703.37145200011</v>
      </c>
      <c r="AT967" s="1509"/>
      <c r="AU967" s="1508">
        <f>SUM(AU950+AU944+AU930+AU920+AU905+AU887+AU875+AU867+AU856+AU849+AU835+AU822+AU807+AU800+AU788+AU771+AU755+AU747+AU730+AU720+AU712+AU701+AU671+AU657+AU645+AU633+AU625+AU618+AU607+AU593+AU581+AU567+AU553+AU529+AU522+AU510+AU494+AU482+AU474+AU455+AU445+AU435+AU422+AU376+AU363+AU343+AU329+AU317+AU302+AU291+AU276+AU262+AU248+AU239+AU225+AU207+AU196+AU180+AU167+AU154+AU144+AU105+AU99+AU85+AU78+AU71+AU58+AU46+AU30+AU21+AU4+AU688+AU541+AU352+AU121+AU392+AU405+AU137)</f>
        <v>738278.95050000015</v>
      </c>
      <c r="AV967" s="1509"/>
      <c r="AW967" s="1508">
        <f>SUM(AW950+AW944+AW930+AW920+AW905+AW887+AW875+AW867+AW856+AW849+AW835+AW822+AW807+AW800+AW788+AW771+AW755+AW747+AW730+AW720+AW712+AW701+AW671+AW657+AW645+AW633+AW625+AW618+AW607+AW593+AW581+AW567+AW553+AW529+AW522+AW510+AW494+AW482+AW474+AW455+AW445+AW435+AW422+AW376+AW363+AW343+AW329+AW317+AW302+AW291+AW276+AW262+AW248+AW239+AW225+AW207+AW196+AW180+AW167+AW154+AW144+AW105+AW99+AW85+AW78+AW71+AW58+AW46+AW30+AW21+AW4+AW688+AW541+AW352+AW121+AW392+AW405+AW137)</f>
        <v>629901.70082600007</v>
      </c>
      <c r="AX967" s="1509"/>
      <c r="AY967" s="1508">
        <f>SUM(AY950+AY944+AY930+AY920+AY905+AY887+AY875+AY867+AY856+AY849+AY835+AY822+AY807+AY800+AY788+AY771+AY755+AY747+AY730+AY720+AY712+AY701+AY671+AY657+AY645+AY633+AY625+AY618+AY607+AY593+AY581+AY567+AY553+AY529+AY522+AY510+AY494+AY482+AY474+AY455+AY445+AY435+AY422+AY376+AY363+AY343+AY329+AY317+AY302+AY291+AY276+AY262+AY248+AY239+AY225+AY207+AY196+AY180+AY167+AY154+AY144+AY105+AY99+AY85+AY78+AY71+AY58+AY46+AY30+AY21+AY4+AY688+AY541+AY352+AY121+AY392+AY405+AY137)</f>
        <v>2078884.0227779995</v>
      </c>
      <c r="AZ967" s="1509"/>
      <c r="BA967" s="1508">
        <f>SUM(BA950+BA944+BA930+BA920+BA905+BA887+BA875+BA867+BA856+BA849+BA835+BA822+BA807+BA800+BA788+BA771+BA755+BA747+BA730+BA720+BA712+BA701+BA671+BA657+BA645+BA633+BA625+BA618+BA607+BA593+BA581+BA567+BA553+BA529+BA522+BA510+BA494+BA482+BA474+BA455+BA445+BA435+BA422+BA376+BA363+BA343+BA329+BA317+BA302+BA291+BA276+BA262+BA248+BA239+BA225+BA207+BA196+BA180+BA167+BA154+BA144+BA105+BA99+BA85+BA78+BA71+BA58+BA46+BA30+BA21+BA4+BA688+BA541+BA352+BA121+BA392+BA405+BA137)</f>
        <v>2222295.8937779996</v>
      </c>
      <c r="BB967" s="1510"/>
      <c r="BC967" s="1511"/>
      <c r="BD967" s="1511"/>
      <c r="BE967" s="1509"/>
      <c r="BF967" s="1512"/>
      <c r="BG967" s="1512"/>
    </row>
    <row r="968" spans="1:59">
      <c r="BD968" s="1515"/>
      <c r="BE968" s="1516"/>
    </row>
    <row r="969" spans="1:59" s="1315" customFormat="1" ht="25.5">
      <c r="A969" s="1277" t="str">
        <f>L969</f>
        <v>ABC</v>
      </c>
      <c r="B969" s="1277" t="str">
        <f t="shared" ref="B969:B988" si="1397">N$969</f>
        <v>HUB SD (Small)</v>
      </c>
      <c r="C969" s="1316">
        <f>Z969</f>
        <v>0</v>
      </c>
      <c r="D969" s="1317">
        <v>43101</v>
      </c>
      <c r="E969" s="1317"/>
      <c r="F969" s="1277" t="s">
        <v>72</v>
      </c>
      <c r="G969" s="1277" t="s">
        <v>72</v>
      </c>
      <c r="H969" s="1277" t="s">
        <v>72</v>
      </c>
      <c r="I969" s="1277" t="s">
        <v>4711</v>
      </c>
      <c r="J969" s="1317"/>
      <c r="K969" s="1317"/>
      <c r="L969" s="1318" t="s">
        <v>5385</v>
      </c>
      <c r="M969" s="1319"/>
      <c r="N969" s="1427" t="s">
        <v>4983</v>
      </c>
      <c r="O969" s="1419" t="s">
        <v>5386</v>
      </c>
      <c r="P969" s="1419"/>
      <c r="Q969" s="1322"/>
      <c r="R969" s="1322"/>
      <c r="S969" s="1322"/>
      <c r="T969" s="1322"/>
      <c r="U969" s="1322"/>
      <c r="V969" s="1322"/>
      <c r="W969" s="1322"/>
      <c r="X969" s="1317">
        <v>43101</v>
      </c>
      <c r="Y969" s="1317">
        <v>43466</v>
      </c>
      <c r="Z969" s="1316">
        <v>0</v>
      </c>
      <c r="AA969" s="1316" t="s">
        <v>5387</v>
      </c>
      <c r="AB969" s="1323">
        <f>SUM(AB970:AB988)</f>
        <v>0</v>
      </c>
      <c r="AC969" s="1323">
        <f>SUM(AC970:AC988)</f>
        <v>0</v>
      </c>
      <c r="AD969" s="1323">
        <f>SUM(AD970:AD988)</f>
        <v>0</v>
      </c>
      <c r="AE969" s="1324">
        <f t="shared" ref="AE969:AE988" si="1398">AD969-AB969</f>
        <v>0</v>
      </c>
      <c r="AF969" s="1325" t="str">
        <f t="shared" ref="AF969:AF988" si="1399">IFERROR((AE969/AB969),"")</f>
        <v/>
      </c>
      <c r="AG969" s="1326">
        <f>SUM(AG970:AG988)</f>
        <v>0</v>
      </c>
      <c r="AH969" s="1326">
        <f>SUM(AH970:AH988)</f>
        <v>0</v>
      </c>
      <c r="AI969" s="1339" t="s">
        <v>5010</v>
      </c>
      <c r="AJ969" s="1328">
        <f>SUM(AJ970:AJ988)</f>
        <v>0</v>
      </c>
      <c r="AK969" s="1328">
        <f>SUM(AK970:AK988)</f>
        <v>0</v>
      </c>
      <c r="AL969" s="1329"/>
      <c r="AM969" s="1330">
        <f>SUM(AM970:AM988)</f>
        <v>0</v>
      </c>
      <c r="AN969" s="1331"/>
      <c r="AO969" s="1332">
        <f>SUM(AO970:AO988)</f>
        <v>0</v>
      </c>
      <c r="AP969" s="1333"/>
      <c r="AQ969" s="1334">
        <f>SUM(AQ970:AQ988)</f>
        <v>0</v>
      </c>
      <c r="AR969" s="1335"/>
      <c r="AS969" s="1336">
        <f>SUM(AS970:AS988)</f>
        <v>0</v>
      </c>
      <c r="AT969" s="1337"/>
      <c r="AU969" s="1338">
        <f>SUM(AU970:AU988)</f>
        <v>0</v>
      </c>
      <c r="AV969" s="1339"/>
      <c r="AW969" s="1340">
        <f>SUM(AW970:AW988)</f>
        <v>0</v>
      </c>
      <c r="AX969" s="1306"/>
      <c r="AY969" s="1307">
        <f>SUM(AW969+AS969+AU969)</f>
        <v>0</v>
      </c>
      <c r="AZ969" s="1341"/>
      <c r="BA969" s="1309">
        <f>SUM(AY969+AQ969)</f>
        <v>0</v>
      </c>
      <c r="BB969" s="1342" t="e">
        <f>(AW969+AU969)/(AK969-AM969)</f>
        <v>#DIV/0!</v>
      </c>
      <c r="BC969" s="1343"/>
      <c r="BD969" s="1343"/>
      <c r="BE969" s="1344"/>
      <c r="BF969" s="1478" t="s">
        <v>5388</v>
      </c>
      <c r="BG969" s="1346"/>
    </row>
    <row r="970" spans="1:59" s="1378" customFormat="1" ht="153">
      <c r="A970" s="1347" t="str">
        <f t="shared" ref="A970:A988" si="1400">L$969</f>
        <v>ABC</v>
      </c>
      <c r="B970" s="1348" t="str">
        <f t="shared" si="1397"/>
        <v>HUB SD (Small)</v>
      </c>
      <c r="C970" s="1348">
        <f t="shared" ref="C970:C988" si="1401">Z$969</f>
        <v>0</v>
      </c>
      <c r="D970" s="1349">
        <f t="shared" ref="D970:D988" si="1402">D$969</f>
        <v>43101</v>
      </c>
      <c r="E970" s="1349"/>
      <c r="F970" s="1347" t="s">
        <v>85</v>
      </c>
      <c r="G970" s="1347" t="s">
        <v>85</v>
      </c>
      <c r="H970" s="1347" t="s">
        <v>85</v>
      </c>
      <c r="I970" s="1347" t="s">
        <v>5389</v>
      </c>
      <c r="J970" s="1349"/>
      <c r="K970" s="1349"/>
      <c r="L970" s="1518" t="s">
        <v>2661</v>
      </c>
      <c r="M970" s="1518" t="s">
        <v>3647</v>
      </c>
      <c r="N970" s="1451" t="s">
        <v>5390</v>
      </c>
      <c r="O970" s="1388" t="s">
        <v>5391</v>
      </c>
      <c r="P970" s="1388" t="s">
        <v>5392</v>
      </c>
      <c r="Q970" s="1502" t="s">
        <v>5393</v>
      </c>
      <c r="R970" s="1502" t="s">
        <v>5394</v>
      </c>
      <c r="S970" s="1502" t="s">
        <v>307</v>
      </c>
      <c r="T970" s="1502" t="s">
        <v>113</v>
      </c>
      <c r="U970" s="1354"/>
      <c r="V970" s="1354"/>
      <c r="W970" s="1354"/>
      <c r="X970" s="1353">
        <f t="shared" ref="X970:Y988" si="1403">X$969</f>
        <v>43101</v>
      </c>
      <c r="Y970" s="1353">
        <f t="shared" si="1403"/>
        <v>43466</v>
      </c>
      <c r="Z970" s="1355"/>
      <c r="AA970" s="1355" t="s">
        <v>4988</v>
      </c>
      <c r="AB970" s="1422"/>
      <c r="AC970" s="1422"/>
      <c r="AD970" s="1422">
        <f>AH970</f>
        <v>0</v>
      </c>
      <c r="AE970" s="1422">
        <f t="shared" si="1398"/>
        <v>0</v>
      </c>
      <c r="AF970" s="1423" t="str">
        <f t="shared" si="1399"/>
        <v/>
      </c>
      <c r="AG970" s="1358">
        <v>0</v>
      </c>
      <c r="AH970" s="1426">
        <f t="shared" ref="AH970" si="1404">AG970*12</f>
        <v>0</v>
      </c>
      <c r="AI970" s="1359">
        <v>0.08</v>
      </c>
      <c r="AJ970" s="1360">
        <f>$AI970*$AG970</f>
        <v>0</v>
      </c>
      <c r="AK970" s="1361">
        <f>AI970*$AH970</f>
        <v>0</v>
      </c>
      <c r="AL970" s="1362">
        <v>5.0000000000000001E-3</v>
      </c>
      <c r="AM970" s="1363">
        <f t="shared" ref="AM970:AM988" si="1405">AL970*$AH970</f>
        <v>0</v>
      </c>
      <c r="AN970" s="1364">
        <v>0</v>
      </c>
      <c r="AO970" s="1365">
        <f t="shared" ref="AO970:AO988" si="1406">AN970*$AH970</f>
        <v>0</v>
      </c>
      <c r="AP970" s="1366">
        <v>0</v>
      </c>
      <c r="AQ970" s="1367">
        <f t="shared" ref="AQ970:AQ988" si="1407">AP970*$AH970</f>
        <v>0</v>
      </c>
      <c r="AR970" s="1368">
        <v>0</v>
      </c>
      <c r="AS970" s="1369">
        <f t="shared" ref="AS970:AS988" si="1408">AR970*$AH970</f>
        <v>0</v>
      </c>
      <c r="AT970" s="1370">
        <v>7.4999999999999997E-2</v>
      </c>
      <c r="AU970" s="1371">
        <f t="shared" ref="AU970:AU988" si="1409">AT970*$AH970</f>
        <v>0</v>
      </c>
      <c r="AV970" s="1359">
        <f t="shared" ref="AV970:AV988" si="1410">AZ970-AR970-AT970-AP970</f>
        <v>0</v>
      </c>
      <c r="AW970" s="1372">
        <f t="shared" ref="AW970:AW988" si="1411">AV970*$AH970</f>
        <v>0</v>
      </c>
      <c r="AX970" s="1373">
        <f t="shared" ref="AX970:AX988" si="1412">$AZ970-$AP970</f>
        <v>7.4999999999999997E-2</v>
      </c>
      <c r="AY970" s="1374">
        <f t="shared" ref="AY970:AY988" si="1413">AX970*$AH970</f>
        <v>0</v>
      </c>
      <c r="AZ970" s="1375">
        <f t="shared" ref="AZ970:AZ988" si="1414">$AI970-$AL970-$AN970</f>
        <v>7.4999999999999997E-2</v>
      </c>
      <c r="BA970" s="1376">
        <f t="shared" ref="BA970:BA988" si="1415">AZ970*$AH970</f>
        <v>0</v>
      </c>
      <c r="BB970" s="1391"/>
      <c r="BC970" s="1835" t="s">
        <v>5395</v>
      </c>
      <c r="BD970" s="1835" t="s">
        <v>5396</v>
      </c>
      <c r="BE970" s="1838" t="s">
        <v>5396</v>
      </c>
      <c r="BF970" s="1844" t="s">
        <v>5397</v>
      </c>
      <c r="BG970" s="1841">
        <v>12345678</v>
      </c>
    </row>
    <row r="971" spans="1:59" s="1378" customFormat="1" ht="38.25">
      <c r="A971" s="1347" t="str">
        <f t="shared" si="1400"/>
        <v>ABC</v>
      </c>
      <c r="B971" s="1348" t="str">
        <f t="shared" si="1397"/>
        <v>HUB SD (Small)</v>
      </c>
      <c r="C971" s="1348">
        <f t="shared" si="1401"/>
        <v>0</v>
      </c>
      <c r="D971" s="1349">
        <f t="shared" si="1402"/>
        <v>43101</v>
      </c>
      <c r="E971" s="1349"/>
      <c r="F971" s="1347" t="s">
        <v>72</v>
      </c>
      <c r="G971" s="1347" t="s">
        <v>85</v>
      </c>
      <c r="H971" s="1347" t="s">
        <v>72</v>
      </c>
      <c r="I971" s="1347" t="s">
        <v>72</v>
      </c>
      <c r="J971" s="1349" t="s">
        <v>4670</v>
      </c>
      <c r="K971" s="1349"/>
      <c r="L971" s="1518" t="s">
        <v>4671</v>
      </c>
      <c r="M971" s="1518" t="s">
        <v>3649</v>
      </c>
      <c r="N971" s="1519" t="s">
        <v>5398</v>
      </c>
      <c r="O971" s="1388" t="s">
        <v>4832</v>
      </c>
      <c r="P971" s="1388"/>
      <c r="Q971" s="1354"/>
      <c r="R971" s="1354"/>
      <c r="S971" s="1354"/>
      <c r="T971" s="1354"/>
      <c r="U971" s="1354"/>
      <c r="V971" s="1354"/>
      <c r="W971" s="1354"/>
      <c r="X971" s="1353">
        <f t="shared" si="1403"/>
        <v>43101</v>
      </c>
      <c r="Y971" s="1353">
        <f t="shared" si="1403"/>
        <v>43466</v>
      </c>
      <c r="Z971" s="1355"/>
      <c r="AA971" s="1355" t="s">
        <v>4674</v>
      </c>
      <c r="AB971" s="1356"/>
      <c r="AC971" s="1356"/>
      <c r="AD971" s="1422">
        <v>0</v>
      </c>
      <c r="AE971" s="1422">
        <f t="shared" si="1398"/>
        <v>0</v>
      </c>
      <c r="AF971" s="1423" t="str">
        <f t="shared" si="1399"/>
        <v/>
      </c>
      <c r="AG971" s="1380"/>
      <c r="AH971" s="1380"/>
      <c r="AI971" s="1381">
        <v>0</v>
      </c>
      <c r="AJ971" s="1382"/>
      <c r="AK971" s="1383">
        <f>AI971*$AH971</f>
        <v>0</v>
      </c>
      <c r="AL971" s="1384">
        <v>0</v>
      </c>
      <c r="AM971" s="1363">
        <f t="shared" si="1405"/>
        <v>0</v>
      </c>
      <c r="AN971" s="1364">
        <v>0</v>
      </c>
      <c r="AO971" s="1365">
        <f t="shared" si="1406"/>
        <v>0</v>
      </c>
      <c r="AP971" s="1366">
        <v>0</v>
      </c>
      <c r="AQ971" s="1367">
        <f t="shared" si="1407"/>
        <v>0</v>
      </c>
      <c r="AR971" s="1368">
        <v>0</v>
      </c>
      <c r="AS971" s="1369">
        <f t="shared" si="1408"/>
        <v>0</v>
      </c>
      <c r="AT971" s="1370">
        <v>0</v>
      </c>
      <c r="AU971" s="1371">
        <f t="shared" si="1409"/>
        <v>0</v>
      </c>
      <c r="AV971" s="1359">
        <f t="shared" si="1410"/>
        <v>0</v>
      </c>
      <c r="AW971" s="1372">
        <f t="shared" si="1411"/>
        <v>0</v>
      </c>
      <c r="AX971" s="1373">
        <f t="shared" si="1412"/>
        <v>0</v>
      </c>
      <c r="AY971" s="1374">
        <f t="shared" si="1413"/>
        <v>0</v>
      </c>
      <c r="AZ971" s="1375">
        <f t="shared" si="1414"/>
        <v>0</v>
      </c>
      <c r="BA971" s="1376">
        <f t="shared" si="1415"/>
        <v>0</v>
      </c>
      <c r="BB971" s="1391"/>
      <c r="BC971" s="1836"/>
      <c r="BD971" s="1836"/>
      <c r="BE971" s="1839"/>
      <c r="BF971" s="1845"/>
      <c r="BG971" s="1842"/>
    </row>
    <row r="972" spans="1:59" s="1378" customFormat="1" ht="27.75" customHeight="1">
      <c r="A972" s="1347" t="str">
        <f t="shared" si="1400"/>
        <v>ABC</v>
      </c>
      <c r="B972" s="1348" t="str">
        <f t="shared" si="1397"/>
        <v>HUB SD (Small)</v>
      </c>
      <c r="C972" s="1348">
        <f t="shared" si="1401"/>
        <v>0</v>
      </c>
      <c r="D972" s="1349">
        <f t="shared" si="1402"/>
        <v>43101</v>
      </c>
      <c r="E972" s="1349"/>
      <c r="F972" s="1347" t="s">
        <v>113</v>
      </c>
      <c r="G972" s="1347" t="s">
        <v>85</v>
      </c>
      <c r="H972" s="1347" t="s">
        <v>85</v>
      </c>
      <c r="I972" s="1347" t="s">
        <v>5389</v>
      </c>
      <c r="J972" s="1349"/>
      <c r="K972" s="1349"/>
      <c r="L972" s="1518" t="s">
        <v>4675</v>
      </c>
      <c r="M972" s="1518" t="s">
        <v>3650</v>
      </c>
      <c r="N972" s="1520" t="s">
        <v>5399</v>
      </c>
      <c r="O972" s="1388" t="s">
        <v>4677</v>
      </c>
      <c r="P972" s="1388"/>
      <c r="Q972" s="1354"/>
      <c r="R972" s="1354"/>
      <c r="S972" s="1354"/>
      <c r="T972" s="1354"/>
      <c r="U972" s="1502" t="s">
        <v>5400</v>
      </c>
      <c r="V972" s="1502" t="s">
        <v>5401</v>
      </c>
      <c r="W972" s="1354"/>
      <c r="X972" s="1353">
        <f t="shared" si="1403"/>
        <v>43101</v>
      </c>
      <c r="Y972" s="1353">
        <f t="shared" si="1403"/>
        <v>43466</v>
      </c>
      <c r="Z972" s="1355"/>
      <c r="AA972" s="1355" t="s">
        <v>4991</v>
      </c>
      <c r="AB972" s="1422"/>
      <c r="AC972" s="1422"/>
      <c r="AD972" s="1422">
        <f>AH972</f>
        <v>0</v>
      </c>
      <c r="AE972" s="1422">
        <f t="shared" si="1398"/>
        <v>0</v>
      </c>
      <c r="AF972" s="1423" t="str">
        <f t="shared" si="1399"/>
        <v/>
      </c>
      <c r="AG972" s="1358">
        <v>0</v>
      </c>
      <c r="AH972" s="1426">
        <f t="shared" ref="AH972:AH974" si="1416">AG972*12</f>
        <v>0</v>
      </c>
      <c r="AI972" s="1359">
        <v>0.1</v>
      </c>
      <c r="AJ972" s="1360">
        <f t="shared" ref="AJ972:AJ982" si="1417">$AI972*$AG972</f>
        <v>0</v>
      </c>
      <c r="AK972" s="1361">
        <f t="shared" ref="AK972:AK988" si="1418">AI972*$AH972</f>
        <v>0</v>
      </c>
      <c r="AL972" s="1384">
        <v>0</v>
      </c>
      <c r="AM972" s="1363">
        <f t="shared" si="1405"/>
        <v>0</v>
      </c>
      <c r="AN972" s="1364">
        <v>0</v>
      </c>
      <c r="AO972" s="1365">
        <f t="shared" si="1406"/>
        <v>0</v>
      </c>
      <c r="AP972" s="1366">
        <v>0</v>
      </c>
      <c r="AQ972" s="1367">
        <f t="shared" si="1407"/>
        <v>0</v>
      </c>
      <c r="AR972" s="1368">
        <v>0</v>
      </c>
      <c r="AS972" s="1369">
        <f t="shared" si="1408"/>
        <v>0</v>
      </c>
      <c r="AT972" s="1370">
        <v>0.1</v>
      </c>
      <c r="AU972" s="1371">
        <f t="shared" si="1409"/>
        <v>0</v>
      </c>
      <c r="AV972" s="1359">
        <f t="shared" si="1410"/>
        <v>0</v>
      </c>
      <c r="AW972" s="1372">
        <f t="shared" si="1411"/>
        <v>0</v>
      </c>
      <c r="AX972" s="1373">
        <f t="shared" si="1412"/>
        <v>0.1</v>
      </c>
      <c r="AY972" s="1374">
        <f t="shared" si="1413"/>
        <v>0</v>
      </c>
      <c r="AZ972" s="1375">
        <f t="shared" si="1414"/>
        <v>0.1</v>
      </c>
      <c r="BA972" s="1376">
        <f t="shared" si="1415"/>
        <v>0</v>
      </c>
      <c r="BB972" s="1391"/>
      <c r="BC972" s="1836"/>
      <c r="BD972" s="1836"/>
      <c r="BE972" s="1839"/>
      <c r="BF972" s="1845"/>
      <c r="BG972" s="1842"/>
    </row>
    <row r="973" spans="1:59" s="1378" customFormat="1" ht="27.75" customHeight="1">
      <c r="A973" s="1347" t="str">
        <f t="shared" si="1400"/>
        <v>ABC</v>
      </c>
      <c r="B973" s="1348" t="str">
        <f t="shared" si="1397"/>
        <v>HUB SD (Small)</v>
      </c>
      <c r="C973" s="1348">
        <f t="shared" si="1401"/>
        <v>0</v>
      </c>
      <c r="D973" s="1349">
        <f t="shared" si="1402"/>
        <v>43101</v>
      </c>
      <c r="E973" s="1349"/>
      <c r="F973" s="1347" t="s">
        <v>113</v>
      </c>
      <c r="G973" s="1347" t="s">
        <v>85</v>
      </c>
      <c r="H973" s="1347" t="s">
        <v>85</v>
      </c>
      <c r="I973" s="1347" t="s">
        <v>5389</v>
      </c>
      <c r="J973" s="1349"/>
      <c r="K973" s="1349"/>
      <c r="L973" s="1518" t="s">
        <v>4675</v>
      </c>
      <c r="M973" s="1518" t="s">
        <v>3651</v>
      </c>
      <c r="N973" s="1451" t="s">
        <v>5402</v>
      </c>
      <c r="O973" s="1388" t="s">
        <v>4681</v>
      </c>
      <c r="P973" s="1388"/>
      <c r="Q973" s="1354"/>
      <c r="R973" s="1354"/>
      <c r="S973" s="1354"/>
      <c r="T973" s="1354"/>
      <c r="U973" s="1354"/>
      <c r="V973" s="1354"/>
      <c r="W973" s="1502" t="s">
        <v>2492</v>
      </c>
      <c r="X973" s="1353">
        <f t="shared" si="1403"/>
        <v>43101</v>
      </c>
      <c r="Y973" s="1353">
        <f t="shared" si="1403"/>
        <v>43466</v>
      </c>
      <c r="Z973" s="1355"/>
      <c r="AA973" s="1355" t="s">
        <v>4991</v>
      </c>
      <c r="AB973" s="1422"/>
      <c r="AC973" s="1422"/>
      <c r="AD973" s="1422">
        <f>AH973</f>
        <v>0</v>
      </c>
      <c r="AE973" s="1422">
        <f t="shared" si="1398"/>
        <v>0</v>
      </c>
      <c r="AF973" s="1423" t="str">
        <f t="shared" si="1399"/>
        <v/>
      </c>
      <c r="AG973" s="1358">
        <v>0</v>
      </c>
      <c r="AH973" s="1426">
        <f t="shared" si="1416"/>
        <v>0</v>
      </c>
      <c r="AI973" s="1359">
        <v>0.1</v>
      </c>
      <c r="AJ973" s="1360">
        <f t="shared" si="1417"/>
        <v>0</v>
      </c>
      <c r="AK973" s="1361">
        <f t="shared" si="1418"/>
        <v>0</v>
      </c>
      <c r="AL973" s="1384">
        <v>0</v>
      </c>
      <c r="AM973" s="1363">
        <f t="shared" si="1405"/>
        <v>0</v>
      </c>
      <c r="AN973" s="1364">
        <v>0</v>
      </c>
      <c r="AO973" s="1365">
        <f t="shared" si="1406"/>
        <v>0</v>
      </c>
      <c r="AP973" s="1366">
        <v>0</v>
      </c>
      <c r="AQ973" s="1367">
        <f t="shared" si="1407"/>
        <v>0</v>
      </c>
      <c r="AR973" s="1368">
        <v>0</v>
      </c>
      <c r="AS973" s="1369">
        <f t="shared" si="1408"/>
        <v>0</v>
      </c>
      <c r="AT973" s="1370">
        <v>0.1</v>
      </c>
      <c r="AU973" s="1371">
        <f t="shared" si="1409"/>
        <v>0</v>
      </c>
      <c r="AV973" s="1359">
        <f t="shared" si="1410"/>
        <v>0</v>
      </c>
      <c r="AW973" s="1372">
        <f t="shared" si="1411"/>
        <v>0</v>
      </c>
      <c r="AX973" s="1373">
        <f t="shared" si="1412"/>
        <v>0.1</v>
      </c>
      <c r="AY973" s="1374">
        <f t="shared" si="1413"/>
        <v>0</v>
      </c>
      <c r="AZ973" s="1375">
        <f t="shared" si="1414"/>
        <v>0.1</v>
      </c>
      <c r="BA973" s="1376">
        <f t="shared" si="1415"/>
        <v>0</v>
      </c>
      <c r="BB973" s="1391"/>
      <c r="BC973" s="1836"/>
      <c r="BD973" s="1836"/>
      <c r="BE973" s="1839"/>
      <c r="BF973" s="1845"/>
      <c r="BG973" s="1842"/>
    </row>
    <row r="974" spans="1:59" s="1378" customFormat="1" ht="27.75" customHeight="1">
      <c r="A974" s="1347" t="str">
        <f t="shared" si="1400"/>
        <v>ABC</v>
      </c>
      <c r="B974" s="1348" t="str">
        <f t="shared" si="1397"/>
        <v>HUB SD (Small)</v>
      </c>
      <c r="C974" s="1348">
        <f t="shared" si="1401"/>
        <v>0</v>
      </c>
      <c r="D974" s="1349">
        <f t="shared" si="1402"/>
        <v>43101</v>
      </c>
      <c r="E974" s="1349"/>
      <c r="F974" s="1347" t="s">
        <v>113</v>
      </c>
      <c r="G974" s="1347" t="s">
        <v>85</v>
      </c>
      <c r="H974" s="1347" t="s">
        <v>85</v>
      </c>
      <c r="I974" s="1347" t="s">
        <v>5389</v>
      </c>
      <c r="J974" s="1349"/>
      <c r="K974" s="1349"/>
      <c r="L974" s="1518" t="s">
        <v>4682</v>
      </c>
      <c r="M974" s="1518" t="s">
        <v>4683</v>
      </c>
      <c r="N974" s="1521" t="s">
        <v>57</v>
      </c>
      <c r="O974" s="1388" t="s">
        <v>4684</v>
      </c>
      <c r="P974" s="1421"/>
      <c r="Q974" s="1354"/>
      <c r="R974" s="1354"/>
      <c r="S974" s="1354"/>
      <c r="T974" s="1354"/>
      <c r="U974" s="1354"/>
      <c r="V974" s="1354"/>
      <c r="W974" s="1354"/>
      <c r="X974" s="1353">
        <f t="shared" si="1403"/>
        <v>43101</v>
      </c>
      <c r="Y974" s="1353">
        <f t="shared" si="1403"/>
        <v>43466</v>
      </c>
      <c r="Z974" s="1355"/>
      <c r="AA974" s="1355" t="s">
        <v>4992</v>
      </c>
      <c r="AB974" s="1422"/>
      <c r="AC974" s="1422"/>
      <c r="AD974" s="1422">
        <f>AH974</f>
        <v>0</v>
      </c>
      <c r="AE974" s="1422">
        <f t="shared" si="1398"/>
        <v>0</v>
      </c>
      <c r="AF974" s="1423" t="str">
        <f t="shared" si="1399"/>
        <v/>
      </c>
      <c r="AG974" s="1358">
        <v>0</v>
      </c>
      <c r="AH974" s="1426">
        <f t="shared" si="1416"/>
        <v>0</v>
      </c>
      <c r="AI974" s="1359">
        <v>0.15</v>
      </c>
      <c r="AJ974" s="1360">
        <f t="shared" si="1417"/>
        <v>0</v>
      </c>
      <c r="AK974" s="1361">
        <f t="shared" si="1418"/>
        <v>0</v>
      </c>
      <c r="AL974" s="1384">
        <v>0</v>
      </c>
      <c r="AM974" s="1363">
        <f t="shared" si="1405"/>
        <v>0</v>
      </c>
      <c r="AN974" s="1364">
        <v>0</v>
      </c>
      <c r="AO974" s="1365">
        <f t="shared" si="1406"/>
        <v>0</v>
      </c>
      <c r="AP974" s="1366">
        <v>0</v>
      </c>
      <c r="AQ974" s="1367">
        <f t="shared" si="1407"/>
        <v>0</v>
      </c>
      <c r="AR974" s="1368">
        <v>0</v>
      </c>
      <c r="AS974" s="1369">
        <f t="shared" si="1408"/>
        <v>0</v>
      </c>
      <c r="AT974" s="1370">
        <v>0.15</v>
      </c>
      <c r="AU974" s="1371">
        <f t="shared" si="1409"/>
        <v>0</v>
      </c>
      <c r="AV974" s="1359">
        <f t="shared" si="1410"/>
        <v>0</v>
      </c>
      <c r="AW974" s="1372">
        <f t="shared" si="1411"/>
        <v>0</v>
      </c>
      <c r="AX974" s="1373">
        <f t="shared" si="1412"/>
        <v>0.15</v>
      </c>
      <c r="AY974" s="1374">
        <f t="shared" si="1413"/>
        <v>0</v>
      </c>
      <c r="AZ974" s="1375">
        <f t="shared" si="1414"/>
        <v>0.15</v>
      </c>
      <c r="BA974" s="1376">
        <f t="shared" si="1415"/>
        <v>0</v>
      </c>
      <c r="BB974" s="1391"/>
      <c r="BC974" s="1836"/>
      <c r="BD974" s="1836"/>
      <c r="BE974" s="1839"/>
      <c r="BF974" s="1845"/>
      <c r="BG974" s="1842"/>
    </row>
    <row r="975" spans="1:59" s="1378" customFormat="1" ht="27.75" customHeight="1">
      <c r="A975" s="1347" t="str">
        <f t="shared" si="1400"/>
        <v>ABC</v>
      </c>
      <c r="B975" s="1348" t="str">
        <f t="shared" si="1397"/>
        <v>HUB SD (Small)</v>
      </c>
      <c r="C975" s="1348">
        <f t="shared" si="1401"/>
        <v>0</v>
      </c>
      <c r="D975" s="1349">
        <f t="shared" si="1402"/>
        <v>43101</v>
      </c>
      <c r="E975" s="1349"/>
      <c r="F975" s="1347" t="s">
        <v>113</v>
      </c>
      <c r="G975" s="1347" t="s">
        <v>85</v>
      </c>
      <c r="H975" s="1347" t="s">
        <v>85</v>
      </c>
      <c r="I975" s="1347" t="s">
        <v>113</v>
      </c>
      <c r="J975" s="1349"/>
      <c r="K975" s="1349"/>
      <c r="L975" s="1518" t="s">
        <v>4682</v>
      </c>
      <c r="M975" s="1518" t="s">
        <v>4686</v>
      </c>
      <c r="N975" s="1521" t="s">
        <v>60</v>
      </c>
      <c r="O975" s="1388" t="s">
        <v>4687</v>
      </c>
      <c r="P975" s="1421"/>
      <c r="Q975" s="1354"/>
      <c r="R975" s="1354"/>
      <c r="S975" s="1354"/>
      <c r="T975" s="1354"/>
      <c r="U975" s="1354"/>
      <c r="V975" s="1354"/>
      <c r="W975" s="1354"/>
      <c r="X975" s="1353">
        <f t="shared" si="1403"/>
        <v>43101</v>
      </c>
      <c r="Y975" s="1353">
        <f t="shared" si="1403"/>
        <v>43466</v>
      </c>
      <c r="Z975" s="1355"/>
      <c r="AA975" s="1355" t="s">
        <v>4992</v>
      </c>
      <c r="AB975" s="1356"/>
      <c r="AC975" s="1356"/>
      <c r="AD975" s="1422">
        <v>0</v>
      </c>
      <c r="AE975" s="1422">
        <f t="shared" si="1398"/>
        <v>0</v>
      </c>
      <c r="AF975" s="1423" t="str">
        <f t="shared" si="1399"/>
        <v/>
      </c>
      <c r="AG975" s="1358">
        <f t="shared" ref="AG975:AG979" si="1419">AH975/12</f>
        <v>0</v>
      </c>
      <c r="AH975" s="1426">
        <v>0</v>
      </c>
      <c r="AI975" s="1359">
        <v>0.15</v>
      </c>
      <c r="AJ975" s="1360">
        <f t="shared" si="1417"/>
        <v>0</v>
      </c>
      <c r="AK975" s="1361">
        <f t="shared" si="1418"/>
        <v>0</v>
      </c>
      <c r="AL975" s="1384">
        <v>0</v>
      </c>
      <c r="AM975" s="1363">
        <f t="shared" si="1405"/>
        <v>0</v>
      </c>
      <c r="AN975" s="1364">
        <v>0</v>
      </c>
      <c r="AO975" s="1365">
        <f t="shared" si="1406"/>
        <v>0</v>
      </c>
      <c r="AP975" s="1366">
        <v>0</v>
      </c>
      <c r="AQ975" s="1367">
        <f t="shared" si="1407"/>
        <v>0</v>
      </c>
      <c r="AR975" s="1368">
        <v>0</v>
      </c>
      <c r="AS975" s="1369">
        <f t="shared" si="1408"/>
        <v>0</v>
      </c>
      <c r="AT975" s="1370">
        <v>0.15</v>
      </c>
      <c r="AU975" s="1371">
        <f t="shared" si="1409"/>
        <v>0</v>
      </c>
      <c r="AV975" s="1359">
        <f t="shared" si="1410"/>
        <v>0</v>
      </c>
      <c r="AW975" s="1372">
        <f t="shared" si="1411"/>
        <v>0</v>
      </c>
      <c r="AX975" s="1373">
        <f t="shared" si="1412"/>
        <v>0.15</v>
      </c>
      <c r="AY975" s="1374">
        <f t="shared" si="1413"/>
        <v>0</v>
      </c>
      <c r="AZ975" s="1375">
        <f t="shared" si="1414"/>
        <v>0.15</v>
      </c>
      <c r="BA975" s="1376">
        <f t="shared" si="1415"/>
        <v>0</v>
      </c>
      <c r="BB975" s="1391"/>
      <c r="BC975" s="1836"/>
      <c r="BD975" s="1836"/>
      <c r="BE975" s="1839"/>
      <c r="BF975" s="1845"/>
      <c r="BG975" s="1842"/>
    </row>
    <row r="976" spans="1:59" s="1378" customFormat="1" ht="27.75" customHeight="1">
      <c r="A976" s="1347" t="str">
        <f t="shared" si="1400"/>
        <v>ABC</v>
      </c>
      <c r="B976" s="1348" t="str">
        <f t="shared" si="1397"/>
        <v>HUB SD (Small)</v>
      </c>
      <c r="C976" s="1348">
        <f t="shared" si="1401"/>
        <v>0</v>
      </c>
      <c r="D976" s="1349">
        <f t="shared" si="1402"/>
        <v>43101</v>
      </c>
      <c r="E976" s="1349"/>
      <c r="F976" s="1347" t="s">
        <v>113</v>
      </c>
      <c r="G976" s="1347" t="s">
        <v>85</v>
      </c>
      <c r="H976" s="1347" t="s">
        <v>85</v>
      </c>
      <c r="I976" s="1347" t="s">
        <v>5389</v>
      </c>
      <c r="J976" s="1349"/>
      <c r="K976" s="1349"/>
      <c r="L976" s="1518" t="s">
        <v>4682</v>
      </c>
      <c r="M976" s="1518" t="s">
        <v>62</v>
      </c>
      <c r="N976" s="1451" t="s">
        <v>81</v>
      </c>
      <c r="O976" s="1388" t="s">
        <v>4688</v>
      </c>
      <c r="P976" s="1388"/>
      <c r="Q976" s="1354"/>
      <c r="R976" s="1354"/>
      <c r="S976" s="1354"/>
      <c r="T976" s="1354"/>
      <c r="U976" s="1354"/>
      <c r="V976" s="1354"/>
      <c r="W976" s="1354"/>
      <c r="X976" s="1353">
        <f t="shared" si="1403"/>
        <v>43101</v>
      </c>
      <c r="Y976" s="1353">
        <f t="shared" si="1403"/>
        <v>43466</v>
      </c>
      <c r="Z976" s="1355"/>
      <c r="AA976" s="1355" t="s">
        <v>4992</v>
      </c>
      <c r="AB976" s="1422"/>
      <c r="AC976" s="1422"/>
      <c r="AD976" s="1422">
        <f>AH976</f>
        <v>0</v>
      </c>
      <c r="AE976" s="1422">
        <f t="shared" si="1398"/>
        <v>0</v>
      </c>
      <c r="AF976" s="1423" t="str">
        <f t="shared" si="1399"/>
        <v/>
      </c>
      <c r="AG976" s="1358">
        <f t="shared" si="1419"/>
        <v>0</v>
      </c>
      <c r="AH976" s="1426">
        <v>0</v>
      </c>
      <c r="AI976" s="1359">
        <v>0.15</v>
      </c>
      <c r="AJ976" s="1360">
        <f t="shared" si="1417"/>
        <v>0</v>
      </c>
      <c r="AK976" s="1361">
        <f t="shared" si="1418"/>
        <v>0</v>
      </c>
      <c r="AL976" s="1384">
        <v>0</v>
      </c>
      <c r="AM976" s="1363">
        <f t="shared" si="1405"/>
        <v>0</v>
      </c>
      <c r="AN976" s="1364">
        <v>0</v>
      </c>
      <c r="AO976" s="1365">
        <f t="shared" si="1406"/>
        <v>0</v>
      </c>
      <c r="AP976" s="1366">
        <v>0</v>
      </c>
      <c r="AQ976" s="1367">
        <f t="shared" si="1407"/>
        <v>0</v>
      </c>
      <c r="AR976" s="1368">
        <v>0</v>
      </c>
      <c r="AS976" s="1369">
        <f t="shared" si="1408"/>
        <v>0</v>
      </c>
      <c r="AT976" s="1370">
        <v>0.15</v>
      </c>
      <c r="AU976" s="1371">
        <f t="shared" si="1409"/>
        <v>0</v>
      </c>
      <c r="AV976" s="1359">
        <f t="shared" si="1410"/>
        <v>0</v>
      </c>
      <c r="AW976" s="1372">
        <f t="shared" si="1411"/>
        <v>0</v>
      </c>
      <c r="AX976" s="1373">
        <f t="shared" si="1412"/>
        <v>0.15</v>
      </c>
      <c r="AY976" s="1374">
        <f t="shared" si="1413"/>
        <v>0</v>
      </c>
      <c r="AZ976" s="1375">
        <f t="shared" si="1414"/>
        <v>0.15</v>
      </c>
      <c r="BA976" s="1376">
        <f t="shared" si="1415"/>
        <v>0</v>
      </c>
      <c r="BB976" s="1391"/>
      <c r="BC976" s="1836"/>
      <c r="BD976" s="1836"/>
      <c r="BE976" s="1839"/>
      <c r="BF976" s="1845"/>
      <c r="BG976" s="1842"/>
    </row>
    <row r="977" spans="1:59" s="1378" customFormat="1" ht="27.75" customHeight="1">
      <c r="A977" s="1347" t="str">
        <f t="shared" si="1400"/>
        <v>ABC</v>
      </c>
      <c r="B977" s="1348" t="str">
        <f t="shared" si="1397"/>
        <v>HUB SD (Small)</v>
      </c>
      <c r="C977" s="1348">
        <f t="shared" si="1401"/>
        <v>0</v>
      </c>
      <c r="D977" s="1349">
        <f t="shared" si="1402"/>
        <v>43101</v>
      </c>
      <c r="E977" s="1349"/>
      <c r="F977" s="1347" t="s">
        <v>113</v>
      </c>
      <c r="G977" s="1347" t="s">
        <v>85</v>
      </c>
      <c r="H977" s="1347" t="s">
        <v>85</v>
      </c>
      <c r="I977" s="1347" t="s">
        <v>5389</v>
      </c>
      <c r="J977" s="1349"/>
      <c r="K977" s="1349"/>
      <c r="L977" s="1518" t="s">
        <v>4682</v>
      </c>
      <c r="M977" s="1518" t="s">
        <v>5243</v>
      </c>
      <c r="N977" s="1451" t="s">
        <v>3660</v>
      </c>
      <c r="O977" s="1388" t="s">
        <v>5403</v>
      </c>
      <c r="P977" s="1388"/>
      <c r="Q977" s="1354"/>
      <c r="R977" s="1354"/>
      <c r="S977" s="1354"/>
      <c r="T977" s="1354"/>
      <c r="U977" s="1354"/>
      <c r="V977" s="1354"/>
      <c r="W977" s="1354"/>
      <c r="X977" s="1353">
        <f t="shared" si="1403"/>
        <v>43101</v>
      </c>
      <c r="Y977" s="1353">
        <f t="shared" si="1403"/>
        <v>43466</v>
      </c>
      <c r="Z977" s="1355"/>
      <c r="AA977" s="1355" t="s">
        <v>4991</v>
      </c>
      <c r="AB977" s="1422"/>
      <c r="AC977" s="1422"/>
      <c r="AD977" s="1422">
        <f>AH977</f>
        <v>0</v>
      </c>
      <c r="AE977" s="1422">
        <f t="shared" si="1398"/>
        <v>0</v>
      </c>
      <c r="AF977" s="1423" t="str">
        <f t="shared" si="1399"/>
        <v/>
      </c>
      <c r="AG977" s="1358">
        <f t="shared" si="1419"/>
        <v>0</v>
      </c>
      <c r="AH977" s="1426">
        <v>0</v>
      </c>
      <c r="AI977" s="1359">
        <v>0.15</v>
      </c>
      <c r="AJ977" s="1360">
        <f t="shared" si="1417"/>
        <v>0</v>
      </c>
      <c r="AK977" s="1361">
        <f t="shared" si="1418"/>
        <v>0</v>
      </c>
      <c r="AL977" s="1384">
        <v>0</v>
      </c>
      <c r="AM977" s="1363">
        <f t="shared" si="1405"/>
        <v>0</v>
      </c>
      <c r="AN977" s="1364">
        <v>0</v>
      </c>
      <c r="AO977" s="1365">
        <f t="shared" si="1406"/>
        <v>0</v>
      </c>
      <c r="AP977" s="1366">
        <v>0</v>
      </c>
      <c r="AQ977" s="1367">
        <f t="shared" si="1407"/>
        <v>0</v>
      </c>
      <c r="AR977" s="1368">
        <v>0</v>
      </c>
      <c r="AS977" s="1369">
        <f t="shared" si="1408"/>
        <v>0</v>
      </c>
      <c r="AT977" s="1370">
        <v>0.15</v>
      </c>
      <c r="AU977" s="1371">
        <f t="shared" si="1409"/>
        <v>0</v>
      </c>
      <c r="AV977" s="1359">
        <f t="shared" si="1410"/>
        <v>0</v>
      </c>
      <c r="AW977" s="1372">
        <f t="shared" si="1411"/>
        <v>0</v>
      </c>
      <c r="AX977" s="1373">
        <f t="shared" si="1412"/>
        <v>0.15</v>
      </c>
      <c r="AY977" s="1374">
        <f t="shared" si="1413"/>
        <v>0</v>
      </c>
      <c r="AZ977" s="1375">
        <f t="shared" si="1414"/>
        <v>0.15</v>
      </c>
      <c r="BA977" s="1376">
        <f t="shared" si="1415"/>
        <v>0</v>
      </c>
      <c r="BB977" s="1391"/>
      <c r="BC977" s="1836"/>
      <c r="BD977" s="1836"/>
      <c r="BE977" s="1839"/>
      <c r="BF977" s="1845"/>
      <c r="BG977" s="1842"/>
    </row>
    <row r="978" spans="1:59" s="1378" customFormat="1" ht="27.75" customHeight="1">
      <c r="A978" s="1347" t="str">
        <f t="shared" si="1400"/>
        <v>ABC</v>
      </c>
      <c r="B978" s="1348" t="str">
        <f t="shared" si="1397"/>
        <v>HUB SD (Small)</v>
      </c>
      <c r="C978" s="1348">
        <f t="shared" si="1401"/>
        <v>0</v>
      </c>
      <c r="D978" s="1349">
        <f t="shared" si="1402"/>
        <v>43101</v>
      </c>
      <c r="E978" s="1349"/>
      <c r="F978" s="1347" t="s">
        <v>113</v>
      </c>
      <c r="G978" s="1347" t="s">
        <v>85</v>
      </c>
      <c r="H978" s="1347" t="s">
        <v>85</v>
      </c>
      <c r="I978" s="1347" t="s">
        <v>5389</v>
      </c>
      <c r="J978" s="1349"/>
      <c r="K978" s="1349"/>
      <c r="L978" s="1518" t="s">
        <v>4682</v>
      </c>
      <c r="M978" s="1518" t="s">
        <v>4741</v>
      </c>
      <c r="N978" s="1451" t="s">
        <v>4742</v>
      </c>
      <c r="O978" s="1388" t="s">
        <v>5404</v>
      </c>
      <c r="P978" s="1388"/>
      <c r="Q978" s="1354"/>
      <c r="R978" s="1354"/>
      <c r="S978" s="1354"/>
      <c r="T978" s="1354"/>
      <c r="U978" s="1354"/>
      <c r="V978" s="1354"/>
      <c r="W978" s="1354"/>
      <c r="X978" s="1353">
        <f t="shared" si="1403"/>
        <v>43101</v>
      </c>
      <c r="Y978" s="1353">
        <f t="shared" si="1403"/>
        <v>43466</v>
      </c>
      <c r="Z978" s="1355"/>
      <c r="AA978" s="1355" t="s">
        <v>4991</v>
      </c>
      <c r="AB978" s="1422"/>
      <c r="AC978" s="1422"/>
      <c r="AD978" s="1422">
        <f>AH978</f>
        <v>0</v>
      </c>
      <c r="AE978" s="1422">
        <f t="shared" si="1398"/>
        <v>0</v>
      </c>
      <c r="AF978" s="1423" t="str">
        <f t="shared" si="1399"/>
        <v/>
      </c>
      <c r="AG978" s="1358">
        <f t="shared" si="1419"/>
        <v>0</v>
      </c>
      <c r="AH978" s="1426">
        <v>0</v>
      </c>
      <c r="AI978" s="1359">
        <v>0.1</v>
      </c>
      <c r="AJ978" s="1360">
        <f t="shared" si="1417"/>
        <v>0</v>
      </c>
      <c r="AK978" s="1361">
        <f t="shared" si="1418"/>
        <v>0</v>
      </c>
      <c r="AL978" s="1384">
        <v>0</v>
      </c>
      <c r="AM978" s="1363">
        <f t="shared" si="1405"/>
        <v>0</v>
      </c>
      <c r="AN978" s="1364">
        <v>0</v>
      </c>
      <c r="AO978" s="1365">
        <f t="shared" si="1406"/>
        <v>0</v>
      </c>
      <c r="AP978" s="1366">
        <v>0</v>
      </c>
      <c r="AQ978" s="1367">
        <f t="shared" si="1407"/>
        <v>0</v>
      </c>
      <c r="AR978" s="1368">
        <v>0</v>
      </c>
      <c r="AS978" s="1369">
        <f t="shared" si="1408"/>
        <v>0</v>
      </c>
      <c r="AT978" s="1370">
        <v>0.1</v>
      </c>
      <c r="AU978" s="1371">
        <f t="shared" si="1409"/>
        <v>0</v>
      </c>
      <c r="AV978" s="1359">
        <f t="shared" si="1410"/>
        <v>0</v>
      </c>
      <c r="AW978" s="1372">
        <f t="shared" si="1411"/>
        <v>0</v>
      </c>
      <c r="AX978" s="1373">
        <f t="shared" si="1412"/>
        <v>0.1</v>
      </c>
      <c r="AY978" s="1374">
        <f t="shared" si="1413"/>
        <v>0</v>
      </c>
      <c r="AZ978" s="1375">
        <f t="shared" si="1414"/>
        <v>0.1</v>
      </c>
      <c r="BA978" s="1376">
        <f t="shared" si="1415"/>
        <v>0</v>
      </c>
      <c r="BB978" s="1391"/>
      <c r="BC978" s="1836"/>
      <c r="BD978" s="1836"/>
      <c r="BE978" s="1839"/>
      <c r="BF978" s="1845"/>
      <c r="BG978" s="1842"/>
    </row>
    <row r="979" spans="1:59" s="1378" customFormat="1" ht="27.75" customHeight="1">
      <c r="A979" s="1347" t="str">
        <f t="shared" si="1400"/>
        <v>ABC</v>
      </c>
      <c r="B979" s="1348" t="str">
        <f t="shared" si="1397"/>
        <v>HUB SD (Small)</v>
      </c>
      <c r="C979" s="1348">
        <f t="shared" si="1401"/>
        <v>0</v>
      </c>
      <c r="D979" s="1349">
        <f t="shared" si="1402"/>
        <v>43101</v>
      </c>
      <c r="E979" s="1349"/>
      <c r="F979" s="1347" t="s">
        <v>113</v>
      </c>
      <c r="G979" s="1347" t="s">
        <v>85</v>
      </c>
      <c r="H979" s="1347" t="s">
        <v>85</v>
      </c>
      <c r="I979" s="1347" t="s">
        <v>5389</v>
      </c>
      <c r="J979" s="1349"/>
      <c r="K979" s="1349"/>
      <c r="L979" s="1518" t="s">
        <v>4682</v>
      </c>
      <c r="M979" s="1518" t="s">
        <v>67</v>
      </c>
      <c r="N979" s="1451" t="s">
        <v>82</v>
      </c>
      <c r="O979" s="1388" t="s">
        <v>4689</v>
      </c>
      <c r="P979" s="1388"/>
      <c r="Q979" s="1354"/>
      <c r="R979" s="1354"/>
      <c r="S979" s="1354"/>
      <c r="T979" s="1354"/>
      <c r="U979" s="1354"/>
      <c r="V979" s="1354"/>
      <c r="W979" s="1354"/>
      <c r="X979" s="1353">
        <f t="shared" si="1403"/>
        <v>43101</v>
      </c>
      <c r="Y979" s="1353">
        <f t="shared" si="1403"/>
        <v>43466</v>
      </c>
      <c r="Z979" s="1355"/>
      <c r="AA979" s="1355" t="s">
        <v>4992</v>
      </c>
      <c r="AB979" s="1422"/>
      <c r="AC979" s="1422"/>
      <c r="AD979" s="1422">
        <f>AH979</f>
        <v>0</v>
      </c>
      <c r="AE979" s="1422">
        <f t="shared" si="1398"/>
        <v>0</v>
      </c>
      <c r="AF979" s="1423" t="str">
        <f t="shared" si="1399"/>
        <v/>
      </c>
      <c r="AG979" s="1358">
        <f t="shared" si="1419"/>
        <v>0</v>
      </c>
      <c r="AH979" s="1426">
        <v>0</v>
      </c>
      <c r="AI979" s="1359">
        <v>0.15</v>
      </c>
      <c r="AJ979" s="1360">
        <f t="shared" si="1417"/>
        <v>0</v>
      </c>
      <c r="AK979" s="1361">
        <f t="shared" si="1418"/>
        <v>0</v>
      </c>
      <c r="AL979" s="1384">
        <v>0</v>
      </c>
      <c r="AM979" s="1363">
        <f t="shared" si="1405"/>
        <v>0</v>
      </c>
      <c r="AN979" s="1364">
        <v>0</v>
      </c>
      <c r="AO979" s="1365">
        <f t="shared" si="1406"/>
        <v>0</v>
      </c>
      <c r="AP979" s="1366">
        <v>0</v>
      </c>
      <c r="AQ979" s="1367">
        <f t="shared" si="1407"/>
        <v>0</v>
      </c>
      <c r="AR979" s="1368">
        <v>0</v>
      </c>
      <c r="AS979" s="1369">
        <f t="shared" si="1408"/>
        <v>0</v>
      </c>
      <c r="AT979" s="1370">
        <v>0.15</v>
      </c>
      <c r="AU979" s="1371">
        <f t="shared" si="1409"/>
        <v>0</v>
      </c>
      <c r="AV979" s="1359">
        <f t="shared" si="1410"/>
        <v>0</v>
      </c>
      <c r="AW979" s="1372">
        <f t="shared" si="1411"/>
        <v>0</v>
      </c>
      <c r="AX979" s="1373">
        <f t="shared" si="1412"/>
        <v>0.15</v>
      </c>
      <c r="AY979" s="1374">
        <f t="shared" si="1413"/>
        <v>0</v>
      </c>
      <c r="AZ979" s="1375">
        <f t="shared" si="1414"/>
        <v>0.15</v>
      </c>
      <c r="BA979" s="1376">
        <f t="shared" si="1415"/>
        <v>0</v>
      </c>
      <c r="BB979" s="1391"/>
      <c r="BC979" s="1836"/>
      <c r="BD979" s="1836"/>
      <c r="BE979" s="1839"/>
      <c r="BF979" s="1845"/>
      <c r="BG979" s="1842"/>
    </row>
    <row r="980" spans="1:59" s="1378" customFormat="1" ht="27.75" customHeight="1">
      <c r="A980" s="1347" t="str">
        <f t="shared" si="1400"/>
        <v>ABC</v>
      </c>
      <c r="B980" s="1348" t="str">
        <f t="shared" si="1397"/>
        <v>HUB SD (Small)</v>
      </c>
      <c r="C980" s="1348">
        <f t="shared" si="1401"/>
        <v>0</v>
      </c>
      <c r="D980" s="1349">
        <f t="shared" si="1402"/>
        <v>43101</v>
      </c>
      <c r="E980" s="1349"/>
      <c r="F980" s="1347" t="s">
        <v>113</v>
      </c>
      <c r="G980" s="1347" t="s">
        <v>85</v>
      </c>
      <c r="H980" s="1347" t="s">
        <v>85</v>
      </c>
      <c r="I980" s="1347" t="s">
        <v>113</v>
      </c>
      <c r="J980" s="1349" t="s">
        <v>4690</v>
      </c>
      <c r="K980" s="1349"/>
      <c r="L980" s="1518" t="s">
        <v>4682</v>
      </c>
      <c r="M980" s="1518" t="s">
        <v>4691</v>
      </c>
      <c r="N980" s="1451" t="s">
        <v>94</v>
      </c>
      <c r="O980" s="1388" t="s">
        <v>4692</v>
      </c>
      <c r="P980" s="1388"/>
      <c r="Q980" s="1354"/>
      <c r="R980" s="1354"/>
      <c r="S980" s="1354"/>
      <c r="T980" s="1354"/>
      <c r="U980" s="1354"/>
      <c r="V980" s="1354"/>
      <c r="W980" s="1354"/>
      <c r="X980" s="1353">
        <f t="shared" si="1403"/>
        <v>43101</v>
      </c>
      <c r="Y980" s="1353">
        <f t="shared" si="1403"/>
        <v>43466</v>
      </c>
      <c r="Z980" s="1355"/>
      <c r="AA980" s="1355" t="s">
        <v>4992</v>
      </c>
      <c r="AB980" s="1422">
        <v>0</v>
      </c>
      <c r="AC980" s="1422">
        <v>0</v>
      </c>
      <c r="AD980" s="1422">
        <v>0</v>
      </c>
      <c r="AE980" s="1422">
        <f t="shared" si="1398"/>
        <v>0</v>
      </c>
      <c r="AF980" s="1423" t="str">
        <f t="shared" si="1399"/>
        <v/>
      </c>
      <c r="AG980" s="1358">
        <v>0</v>
      </c>
      <c r="AH980" s="1426">
        <f t="shared" ref="AH980:AH982" si="1420">AG980*12</f>
        <v>0</v>
      </c>
      <c r="AI980" s="1359">
        <v>0.15</v>
      </c>
      <c r="AJ980" s="1360">
        <f t="shared" si="1417"/>
        <v>0</v>
      </c>
      <c r="AK980" s="1361">
        <f t="shared" si="1418"/>
        <v>0</v>
      </c>
      <c r="AL980" s="1384">
        <v>0</v>
      </c>
      <c r="AM980" s="1363">
        <f t="shared" si="1405"/>
        <v>0</v>
      </c>
      <c r="AN980" s="1364">
        <v>0</v>
      </c>
      <c r="AO980" s="1365">
        <f t="shared" si="1406"/>
        <v>0</v>
      </c>
      <c r="AP980" s="1366">
        <v>0</v>
      </c>
      <c r="AQ980" s="1367">
        <f t="shared" si="1407"/>
        <v>0</v>
      </c>
      <c r="AR980" s="1368">
        <v>0</v>
      </c>
      <c r="AS980" s="1369">
        <f t="shared" si="1408"/>
        <v>0</v>
      </c>
      <c r="AT980" s="1370">
        <v>0.15</v>
      </c>
      <c r="AU980" s="1371">
        <f t="shared" si="1409"/>
        <v>0</v>
      </c>
      <c r="AV980" s="1359">
        <f t="shared" si="1410"/>
        <v>0</v>
      </c>
      <c r="AW980" s="1372">
        <f t="shared" si="1411"/>
        <v>0</v>
      </c>
      <c r="AX980" s="1373">
        <f t="shared" si="1412"/>
        <v>0.15</v>
      </c>
      <c r="AY980" s="1374">
        <f t="shared" si="1413"/>
        <v>0</v>
      </c>
      <c r="AZ980" s="1375">
        <f t="shared" si="1414"/>
        <v>0.15</v>
      </c>
      <c r="BA980" s="1376">
        <f t="shared" si="1415"/>
        <v>0</v>
      </c>
      <c r="BB980" s="1377"/>
      <c r="BC980" s="1836"/>
      <c r="BD980" s="1836"/>
      <c r="BE980" s="1839"/>
      <c r="BF980" s="1845"/>
      <c r="BG980" s="1842"/>
    </row>
    <row r="981" spans="1:59" s="1378" customFormat="1" ht="27.75" customHeight="1">
      <c r="A981" s="1347" t="str">
        <f t="shared" si="1400"/>
        <v>ABC</v>
      </c>
      <c r="B981" s="1348" t="str">
        <f t="shared" si="1397"/>
        <v>HUB SD (Small)</v>
      </c>
      <c r="C981" s="1348">
        <f t="shared" si="1401"/>
        <v>0</v>
      </c>
      <c r="D981" s="1349">
        <f t="shared" si="1402"/>
        <v>43101</v>
      </c>
      <c r="E981" s="1349"/>
      <c r="F981" s="1347" t="s">
        <v>113</v>
      </c>
      <c r="G981" s="1347" t="s">
        <v>85</v>
      </c>
      <c r="H981" s="1347" t="s">
        <v>85</v>
      </c>
      <c r="I981" s="1347" t="s">
        <v>113</v>
      </c>
      <c r="J981" s="1349" t="s">
        <v>4690</v>
      </c>
      <c r="K981" s="1349"/>
      <c r="L981" s="1518" t="s">
        <v>4682</v>
      </c>
      <c r="M981" s="1518" t="s">
        <v>4691</v>
      </c>
      <c r="N981" s="1451" t="s">
        <v>98</v>
      </c>
      <c r="O981" s="1388" t="s">
        <v>4693</v>
      </c>
      <c r="P981" s="1388"/>
      <c r="Q981" s="1354"/>
      <c r="R981" s="1354"/>
      <c r="S981" s="1354"/>
      <c r="T981" s="1354"/>
      <c r="U981" s="1354"/>
      <c r="V981" s="1354"/>
      <c r="W981" s="1354"/>
      <c r="X981" s="1353">
        <f t="shared" si="1403"/>
        <v>43101</v>
      </c>
      <c r="Y981" s="1353">
        <f t="shared" si="1403"/>
        <v>43466</v>
      </c>
      <c r="Z981" s="1355"/>
      <c r="AA981" s="1355" t="s">
        <v>4992</v>
      </c>
      <c r="AB981" s="1422">
        <v>0</v>
      </c>
      <c r="AC981" s="1422">
        <v>0</v>
      </c>
      <c r="AD981" s="1422">
        <v>0</v>
      </c>
      <c r="AE981" s="1422">
        <f t="shared" si="1398"/>
        <v>0</v>
      </c>
      <c r="AF981" s="1423" t="str">
        <f t="shared" si="1399"/>
        <v/>
      </c>
      <c r="AG981" s="1358">
        <v>0</v>
      </c>
      <c r="AH981" s="1426">
        <f t="shared" si="1420"/>
        <v>0</v>
      </c>
      <c r="AI981" s="1359">
        <v>0.15</v>
      </c>
      <c r="AJ981" s="1360">
        <f t="shared" si="1417"/>
        <v>0</v>
      </c>
      <c r="AK981" s="1361">
        <f t="shared" si="1418"/>
        <v>0</v>
      </c>
      <c r="AL981" s="1384">
        <v>0</v>
      </c>
      <c r="AM981" s="1363">
        <f t="shared" si="1405"/>
        <v>0</v>
      </c>
      <c r="AN981" s="1364">
        <v>0</v>
      </c>
      <c r="AO981" s="1365">
        <f t="shared" si="1406"/>
        <v>0</v>
      </c>
      <c r="AP981" s="1366">
        <v>0</v>
      </c>
      <c r="AQ981" s="1367">
        <f t="shared" si="1407"/>
        <v>0</v>
      </c>
      <c r="AR981" s="1368">
        <v>0</v>
      </c>
      <c r="AS981" s="1369">
        <f t="shared" si="1408"/>
        <v>0</v>
      </c>
      <c r="AT981" s="1370">
        <v>0.15</v>
      </c>
      <c r="AU981" s="1371">
        <f t="shared" si="1409"/>
        <v>0</v>
      </c>
      <c r="AV981" s="1359">
        <f t="shared" si="1410"/>
        <v>0</v>
      </c>
      <c r="AW981" s="1372">
        <f t="shared" si="1411"/>
        <v>0</v>
      </c>
      <c r="AX981" s="1373">
        <f t="shared" si="1412"/>
        <v>0.15</v>
      </c>
      <c r="AY981" s="1374">
        <f t="shared" si="1413"/>
        <v>0</v>
      </c>
      <c r="AZ981" s="1375">
        <f t="shared" si="1414"/>
        <v>0.15</v>
      </c>
      <c r="BA981" s="1376">
        <f t="shared" si="1415"/>
        <v>0</v>
      </c>
      <c r="BB981" s="1377"/>
      <c r="BC981" s="1836"/>
      <c r="BD981" s="1836"/>
      <c r="BE981" s="1839"/>
      <c r="BF981" s="1845"/>
      <c r="BG981" s="1842"/>
    </row>
    <row r="982" spans="1:59" s="1378" customFormat="1" ht="27.75" customHeight="1">
      <c r="A982" s="1347" t="str">
        <f t="shared" si="1400"/>
        <v>ABC</v>
      </c>
      <c r="B982" s="1348" t="str">
        <f t="shared" si="1397"/>
        <v>HUB SD (Small)</v>
      </c>
      <c r="C982" s="1348">
        <f t="shared" si="1401"/>
        <v>0</v>
      </c>
      <c r="D982" s="1349">
        <f t="shared" si="1402"/>
        <v>43101</v>
      </c>
      <c r="E982" s="1349"/>
      <c r="F982" s="1347" t="s">
        <v>113</v>
      </c>
      <c r="G982" s="1347" t="s">
        <v>85</v>
      </c>
      <c r="H982" s="1347" t="s">
        <v>85</v>
      </c>
      <c r="I982" s="1347" t="s">
        <v>113</v>
      </c>
      <c r="J982" s="1349" t="s">
        <v>4690</v>
      </c>
      <c r="K982" s="1349"/>
      <c r="L982" s="1518" t="s">
        <v>4682</v>
      </c>
      <c r="M982" s="1518" t="s">
        <v>4691</v>
      </c>
      <c r="N982" s="1451" t="s">
        <v>4694</v>
      </c>
      <c r="O982" s="1388" t="s">
        <v>4695</v>
      </c>
      <c r="P982" s="1388"/>
      <c r="Q982" s="1354"/>
      <c r="R982" s="1354"/>
      <c r="S982" s="1354"/>
      <c r="T982" s="1354"/>
      <c r="U982" s="1354"/>
      <c r="V982" s="1354"/>
      <c r="W982" s="1354"/>
      <c r="X982" s="1353">
        <f t="shared" si="1403"/>
        <v>43101</v>
      </c>
      <c r="Y982" s="1353">
        <f t="shared" si="1403"/>
        <v>43466</v>
      </c>
      <c r="Z982" s="1355"/>
      <c r="AA982" s="1355" t="s">
        <v>4992</v>
      </c>
      <c r="AB982" s="1422">
        <v>0</v>
      </c>
      <c r="AC982" s="1422">
        <v>0</v>
      </c>
      <c r="AD982" s="1422">
        <v>0</v>
      </c>
      <c r="AE982" s="1422">
        <f t="shared" si="1398"/>
        <v>0</v>
      </c>
      <c r="AF982" s="1423" t="str">
        <f t="shared" si="1399"/>
        <v/>
      </c>
      <c r="AG982" s="1358">
        <v>0</v>
      </c>
      <c r="AH982" s="1426">
        <f t="shared" si="1420"/>
        <v>0</v>
      </c>
      <c r="AI982" s="1359">
        <v>0.15</v>
      </c>
      <c r="AJ982" s="1360">
        <f t="shared" si="1417"/>
        <v>0</v>
      </c>
      <c r="AK982" s="1361">
        <f t="shared" si="1418"/>
        <v>0</v>
      </c>
      <c r="AL982" s="1384">
        <v>0</v>
      </c>
      <c r="AM982" s="1363">
        <f t="shared" si="1405"/>
        <v>0</v>
      </c>
      <c r="AN982" s="1364">
        <v>0</v>
      </c>
      <c r="AO982" s="1365">
        <f t="shared" si="1406"/>
        <v>0</v>
      </c>
      <c r="AP982" s="1366">
        <v>0</v>
      </c>
      <c r="AQ982" s="1367">
        <f t="shared" si="1407"/>
        <v>0</v>
      </c>
      <c r="AR982" s="1368">
        <v>0</v>
      </c>
      <c r="AS982" s="1369">
        <f t="shared" si="1408"/>
        <v>0</v>
      </c>
      <c r="AT982" s="1370">
        <v>0.15</v>
      </c>
      <c r="AU982" s="1371">
        <f t="shared" si="1409"/>
        <v>0</v>
      </c>
      <c r="AV982" s="1359">
        <f t="shared" si="1410"/>
        <v>0</v>
      </c>
      <c r="AW982" s="1372">
        <f t="shared" si="1411"/>
        <v>0</v>
      </c>
      <c r="AX982" s="1373">
        <f t="shared" si="1412"/>
        <v>0.15</v>
      </c>
      <c r="AY982" s="1374">
        <f t="shared" si="1413"/>
        <v>0</v>
      </c>
      <c r="AZ982" s="1375">
        <f t="shared" si="1414"/>
        <v>0.15</v>
      </c>
      <c r="BA982" s="1376">
        <f t="shared" si="1415"/>
        <v>0</v>
      </c>
      <c r="BB982" s="1377"/>
      <c r="BC982" s="1836"/>
      <c r="BD982" s="1836"/>
      <c r="BE982" s="1839"/>
      <c r="BF982" s="1845"/>
      <c r="BG982" s="1842"/>
    </row>
    <row r="983" spans="1:59" s="1378" customFormat="1" ht="27.75" customHeight="1">
      <c r="A983" s="1347" t="str">
        <f t="shared" si="1400"/>
        <v>ABC</v>
      </c>
      <c r="B983" s="1348" t="str">
        <f t="shared" si="1397"/>
        <v>HUB SD (Small)</v>
      </c>
      <c r="C983" s="1348">
        <f t="shared" si="1401"/>
        <v>0</v>
      </c>
      <c r="D983" s="1349">
        <f t="shared" si="1402"/>
        <v>43101</v>
      </c>
      <c r="E983" s="1349"/>
      <c r="F983" s="1347" t="s">
        <v>72</v>
      </c>
      <c r="G983" s="1347" t="s">
        <v>85</v>
      </c>
      <c r="H983" s="1347" t="s">
        <v>72</v>
      </c>
      <c r="I983" s="1347" t="s">
        <v>72</v>
      </c>
      <c r="J983" s="1349" t="s">
        <v>4670</v>
      </c>
      <c r="K983" s="1349"/>
      <c r="L983" s="1518" t="s">
        <v>4696</v>
      </c>
      <c r="M983" s="1518" t="s">
        <v>4697</v>
      </c>
      <c r="N983" s="1522" t="s">
        <v>5405</v>
      </c>
      <c r="O983" s="1388" t="s">
        <v>4699</v>
      </c>
      <c r="P983" s="1388"/>
      <c r="Q983" s="1354"/>
      <c r="R983" s="1354"/>
      <c r="S983" s="1354"/>
      <c r="T983" s="1354"/>
      <c r="U983" s="1354"/>
      <c r="V983" s="1354"/>
      <c r="W983" s="1354"/>
      <c r="X983" s="1353">
        <f t="shared" si="1403"/>
        <v>43101</v>
      </c>
      <c r="Y983" s="1353">
        <f t="shared" si="1403"/>
        <v>43466</v>
      </c>
      <c r="Z983" s="1355"/>
      <c r="AA983" s="1355" t="s">
        <v>4674</v>
      </c>
      <c r="AB983" s="1356"/>
      <c r="AC983" s="1356"/>
      <c r="AD983" s="1422">
        <v>0</v>
      </c>
      <c r="AE983" s="1422">
        <f t="shared" si="1398"/>
        <v>0</v>
      </c>
      <c r="AF983" s="1423" t="str">
        <f t="shared" si="1399"/>
        <v/>
      </c>
      <c r="AG983" s="1380"/>
      <c r="AH983" s="1380"/>
      <c r="AI983" s="1381">
        <v>0</v>
      </c>
      <c r="AJ983" s="1382"/>
      <c r="AK983" s="1383">
        <f t="shared" si="1418"/>
        <v>0</v>
      </c>
      <c r="AL983" s="1384">
        <v>0</v>
      </c>
      <c r="AM983" s="1363">
        <f t="shared" si="1405"/>
        <v>0</v>
      </c>
      <c r="AN983" s="1364">
        <v>0</v>
      </c>
      <c r="AO983" s="1365">
        <f t="shared" si="1406"/>
        <v>0</v>
      </c>
      <c r="AP983" s="1366">
        <v>0</v>
      </c>
      <c r="AQ983" s="1367">
        <f t="shared" si="1407"/>
        <v>0</v>
      </c>
      <c r="AR983" s="1368">
        <v>0</v>
      </c>
      <c r="AS983" s="1369">
        <f t="shared" si="1408"/>
        <v>0</v>
      </c>
      <c r="AT983" s="1370">
        <v>0</v>
      </c>
      <c r="AU983" s="1371">
        <f t="shared" si="1409"/>
        <v>0</v>
      </c>
      <c r="AV983" s="1359">
        <f t="shared" si="1410"/>
        <v>0</v>
      </c>
      <c r="AW983" s="1372">
        <f t="shared" si="1411"/>
        <v>0</v>
      </c>
      <c r="AX983" s="1373">
        <f t="shared" si="1412"/>
        <v>0</v>
      </c>
      <c r="AY983" s="1374">
        <f t="shared" si="1413"/>
        <v>0</v>
      </c>
      <c r="AZ983" s="1375">
        <f t="shared" si="1414"/>
        <v>0</v>
      </c>
      <c r="BA983" s="1376">
        <f t="shared" si="1415"/>
        <v>0</v>
      </c>
      <c r="BB983" s="1377"/>
      <c r="BC983" s="1836"/>
      <c r="BD983" s="1836"/>
      <c r="BE983" s="1839"/>
      <c r="BF983" s="1845"/>
      <c r="BG983" s="1842"/>
    </row>
    <row r="984" spans="1:59" s="1378" customFormat="1" ht="27.75" customHeight="1">
      <c r="A984" s="1347" t="str">
        <f t="shared" si="1400"/>
        <v>ABC</v>
      </c>
      <c r="B984" s="1348" t="str">
        <f t="shared" si="1397"/>
        <v>HUB SD (Small)</v>
      </c>
      <c r="C984" s="1348">
        <f t="shared" si="1401"/>
        <v>0</v>
      </c>
      <c r="D984" s="1349">
        <f t="shared" si="1402"/>
        <v>43101</v>
      </c>
      <c r="E984" s="1349"/>
      <c r="F984" s="1347" t="s">
        <v>72</v>
      </c>
      <c r="G984" s="1347" t="s">
        <v>85</v>
      </c>
      <c r="H984" s="1347" t="s">
        <v>72</v>
      </c>
      <c r="I984" s="1347" t="s">
        <v>72</v>
      </c>
      <c r="J984" s="1349" t="s">
        <v>4670</v>
      </c>
      <c r="K984" s="1349"/>
      <c r="L984" s="1518" t="s">
        <v>48</v>
      </c>
      <c r="M984" s="1518" t="s">
        <v>3652</v>
      </c>
      <c r="N984" s="1523" t="s">
        <v>5406</v>
      </c>
      <c r="O984" s="1388" t="s">
        <v>4702</v>
      </c>
      <c r="P984" s="1388"/>
      <c r="Q984" s="1354"/>
      <c r="R984" s="1354"/>
      <c r="S984" s="1354"/>
      <c r="T984" s="1354"/>
      <c r="U984" s="1354"/>
      <c r="V984" s="1354"/>
      <c r="W984" s="1354"/>
      <c r="X984" s="1353">
        <f t="shared" si="1403"/>
        <v>43101</v>
      </c>
      <c r="Y984" s="1353">
        <f t="shared" si="1403"/>
        <v>43466</v>
      </c>
      <c r="Z984" s="1355"/>
      <c r="AA984" s="1355" t="s">
        <v>4674</v>
      </c>
      <c r="AB984" s="1356"/>
      <c r="AC984" s="1356"/>
      <c r="AD984" s="1422">
        <v>0</v>
      </c>
      <c r="AE984" s="1422">
        <f t="shared" si="1398"/>
        <v>0</v>
      </c>
      <c r="AF984" s="1423" t="str">
        <f t="shared" si="1399"/>
        <v/>
      </c>
      <c r="AG984" s="1380"/>
      <c r="AH984" s="1380"/>
      <c r="AI984" s="1381">
        <v>0</v>
      </c>
      <c r="AJ984" s="1382"/>
      <c r="AK984" s="1383">
        <f t="shared" si="1418"/>
        <v>0</v>
      </c>
      <c r="AL984" s="1384">
        <v>0</v>
      </c>
      <c r="AM984" s="1363">
        <f t="shared" si="1405"/>
        <v>0</v>
      </c>
      <c r="AN984" s="1364">
        <v>0</v>
      </c>
      <c r="AO984" s="1365">
        <f t="shared" si="1406"/>
        <v>0</v>
      </c>
      <c r="AP984" s="1366">
        <v>0</v>
      </c>
      <c r="AQ984" s="1367">
        <f t="shared" si="1407"/>
        <v>0</v>
      </c>
      <c r="AR984" s="1368">
        <v>0</v>
      </c>
      <c r="AS984" s="1369">
        <f t="shared" si="1408"/>
        <v>0</v>
      </c>
      <c r="AT984" s="1370">
        <v>0</v>
      </c>
      <c r="AU984" s="1371">
        <f t="shared" si="1409"/>
        <v>0</v>
      </c>
      <c r="AV984" s="1359">
        <f t="shared" si="1410"/>
        <v>0</v>
      </c>
      <c r="AW984" s="1372">
        <f t="shared" si="1411"/>
        <v>0</v>
      </c>
      <c r="AX984" s="1373">
        <f t="shared" si="1412"/>
        <v>0</v>
      </c>
      <c r="AY984" s="1374">
        <f t="shared" si="1413"/>
        <v>0</v>
      </c>
      <c r="AZ984" s="1375">
        <f t="shared" si="1414"/>
        <v>0</v>
      </c>
      <c r="BA984" s="1376">
        <f t="shared" si="1415"/>
        <v>0</v>
      </c>
      <c r="BB984" s="1377"/>
      <c r="BC984" s="1836"/>
      <c r="BD984" s="1836"/>
      <c r="BE984" s="1839"/>
      <c r="BF984" s="1845"/>
      <c r="BG984" s="1842"/>
    </row>
    <row r="985" spans="1:59" s="1378" customFormat="1" ht="27.75" customHeight="1">
      <c r="A985" s="1347" t="str">
        <f t="shared" si="1400"/>
        <v>ABC</v>
      </c>
      <c r="B985" s="1348" t="str">
        <f t="shared" si="1397"/>
        <v>HUB SD (Small)</v>
      </c>
      <c r="C985" s="1348">
        <f t="shared" si="1401"/>
        <v>0</v>
      </c>
      <c r="D985" s="1349">
        <f t="shared" si="1402"/>
        <v>43101</v>
      </c>
      <c r="E985" s="1349"/>
      <c r="F985" s="1347" t="s">
        <v>72</v>
      </c>
      <c r="G985" s="1347" t="s">
        <v>85</v>
      </c>
      <c r="H985" s="1347" t="s">
        <v>72</v>
      </c>
      <c r="I985" s="1347" t="s">
        <v>72</v>
      </c>
      <c r="J985" s="1349" t="s">
        <v>4670</v>
      </c>
      <c r="K985" s="1349"/>
      <c r="L985" s="1518" t="s">
        <v>48</v>
      </c>
      <c r="M985" s="1518" t="s">
        <v>5033</v>
      </c>
      <c r="N985" s="1522" t="s">
        <v>5407</v>
      </c>
      <c r="O985" s="1388" t="s">
        <v>5035</v>
      </c>
      <c r="P985" s="1388"/>
      <c r="Q985" s="1354"/>
      <c r="R985" s="1354"/>
      <c r="S985" s="1354"/>
      <c r="T985" s="1354"/>
      <c r="U985" s="1354"/>
      <c r="V985" s="1354"/>
      <c r="W985" s="1354"/>
      <c r="X985" s="1353">
        <f t="shared" si="1403"/>
        <v>43101</v>
      </c>
      <c r="Y985" s="1353">
        <f t="shared" si="1403"/>
        <v>43466</v>
      </c>
      <c r="Z985" s="1355"/>
      <c r="AA985" s="1355" t="s">
        <v>4674</v>
      </c>
      <c r="AB985" s="1356"/>
      <c r="AC985" s="1356"/>
      <c r="AD985" s="1422">
        <v>0</v>
      </c>
      <c r="AE985" s="1422">
        <f t="shared" si="1398"/>
        <v>0</v>
      </c>
      <c r="AF985" s="1423" t="str">
        <f t="shared" si="1399"/>
        <v/>
      </c>
      <c r="AG985" s="1380"/>
      <c r="AH985" s="1380"/>
      <c r="AI985" s="1381">
        <v>0</v>
      </c>
      <c r="AJ985" s="1382"/>
      <c r="AK985" s="1383">
        <f t="shared" si="1418"/>
        <v>0</v>
      </c>
      <c r="AL985" s="1384">
        <v>0</v>
      </c>
      <c r="AM985" s="1363">
        <f t="shared" si="1405"/>
        <v>0</v>
      </c>
      <c r="AN985" s="1364">
        <v>0</v>
      </c>
      <c r="AO985" s="1365">
        <f t="shared" si="1406"/>
        <v>0</v>
      </c>
      <c r="AP985" s="1366">
        <v>0</v>
      </c>
      <c r="AQ985" s="1367">
        <f t="shared" si="1407"/>
        <v>0</v>
      </c>
      <c r="AR985" s="1368">
        <v>0</v>
      </c>
      <c r="AS985" s="1369">
        <f t="shared" si="1408"/>
        <v>0</v>
      </c>
      <c r="AT985" s="1370">
        <v>0</v>
      </c>
      <c r="AU985" s="1371">
        <f t="shared" si="1409"/>
        <v>0</v>
      </c>
      <c r="AV985" s="1359">
        <f t="shared" si="1410"/>
        <v>0</v>
      </c>
      <c r="AW985" s="1372">
        <f t="shared" si="1411"/>
        <v>0</v>
      </c>
      <c r="AX985" s="1373">
        <f t="shared" si="1412"/>
        <v>0</v>
      </c>
      <c r="AY985" s="1374">
        <f t="shared" si="1413"/>
        <v>0</v>
      </c>
      <c r="AZ985" s="1375">
        <f t="shared" si="1414"/>
        <v>0</v>
      </c>
      <c r="BA985" s="1376">
        <f t="shared" si="1415"/>
        <v>0</v>
      </c>
      <c r="BB985" s="1377"/>
      <c r="BC985" s="1836"/>
      <c r="BD985" s="1836"/>
      <c r="BE985" s="1839"/>
      <c r="BF985" s="1845"/>
      <c r="BG985" s="1842"/>
    </row>
    <row r="986" spans="1:59" s="1378" customFormat="1" ht="27.75" customHeight="1">
      <c r="A986" s="1347" t="str">
        <f t="shared" si="1400"/>
        <v>ABC</v>
      </c>
      <c r="B986" s="1348" t="str">
        <f t="shared" si="1397"/>
        <v>HUB SD (Small)</v>
      </c>
      <c r="C986" s="1348">
        <f t="shared" si="1401"/>
        <v>0</v>
      </c>
      <c r="D986" s="1349">
        <f t="shared" si="1402"/>
        <v>43101</v>
      </c>
      <c r="E986" s="1349"/>
      <c r="F986" s="1347" t="s">
        <v>72</v>
      </c>
      <c r="G986" s="1347" t="s">
        <v>85</v>
      </c>
      <c r="H986" s="1347" t="s">
        <v>72</v>
      </c>
      <c r="I986" s="1347" t="s">
        <v>72</v>
      </c>
      <c r="J986" s="1349" t="s">
        <v>4670</v>
      </c>
      <c r="K986" s="1349"/>
      <c r="L986" s="1518" t="s">
        <v>48</v>
      </c>
      <c r="M986" s="1518" t="s">
        <v>253</v>
      </c>
      <c r="N986" s="1523" t="s">
        <v>5408</v>
      </c>
      <c r="O986" s="1388" t="s">
        <v>4704</v>
      </c>
      <c r="P986" s="1388"/>
      <c r="Q986" s="1354"/>
      <c r="R986" s="1354"/>
      <c r="S986" s="1354"/>
      <c r="T986" s="1354"/>
      <c r="U986" s="1354"/>
      <c r="V986" s="1354"/>
      <c r="W986" s="1354"/>
      <c r="X986" s="1353">
        <f t="shared" si="1403"/>
        <v>43101</v>
      </c>
      <c r="Y986" s="1353">
        <f t="shared" si="1403"/>
        <v>43466</v>
      </c>
      <c r="Z986" s="1355"/>
      <c r="AA986" s="1355" t="s">
        <v>4674</v>
      </c>
      <c r="AB986" s="1356"/>
      <c r="AC986" s="1356"/>
      <c r="AD986" s="1422">
        <v>0</v>
      </c>
      <c r="AE986" s="1422">
        <f t="shared" si="1398"/>
        <v>0</v>
      </c>
      <c r="AF986" s="1423" t="str">
        <f t="shared" si="1399"/>
        <v/>
      </c>
      <c r="AG986" s="1380"/>
      <c r="AH986" s="1380"/>
      <c r="AI986" s="1381">
        <v>0</v>
      </c>
      <c r="AJ986" s="1382"/>
      <c r="AK986" s="1383">
        <f t="shared" si="1418"/>
        <v>0</v>
      </c>
      <c r="AL986" s="1384">
        <v>0</v>
      </c>
      <c r="AM986" s="1363">
        <f t="shared" si="1405"/>
        <v>0</v>
      </c>
      <c r="AN986" s="1364">
        <v>0</v>
      </c>
      <c r="AO986" s="1365">
        <f t="shared" si="1406"/>
        <v>0</v>
      </c>
      <c r="AP986" s="1366">
        <v>0</v>
      </c>
      <c r="AQ986" s="1367">
        <f t="shared" si="1407"/>
        <v>0</v>
      </c>
      <c r="AR986" s="1368">
        <v>0</v>
      </c>
      <c r="AS986" s="1369">
        <f t="shared" si="1408"/>
        <v>0</v>
      </c>
      <c r="AT986" s="1370">
        <v>0</v>
      </c>
      <c r="AU986" s="1371">
        <f t="shared" si="1409"/>
        <v>0</v>
      </c>
      <c r="AV986" s="1359">
        <f t="shared" si="1410"/>
        <v>0</v>
      </c>
      <c r="AW986" s="1372">
        <f t="shared" si="1411"/>
        <v>0</v>
      </c>
      <c r="AX986" s="1373">
        <f t="shared" si="1412"/>
        <v>0</v>
      </c>
      <c r="AY986" s="1374">
        <f t="shared" si="1413"/>
        <v>0</v>
      </c>
      <c r="AZ986" s="1375">
        <f t="shared" si="1414"/>
        <v>0</v>
      </c>
      <c r="BA986" s="1376">
        <f t="shared" si="1415"/>
        <v>0</v>
      </c>
      <c r="BB986" s="1391"/>
      <c r="BC986" s="1836"/>
      <c r="BD986" s="1836"/>
      <c r="BE986" s="1839"/>
      <c r="BF986" s="1845"/>
      <c r="BG986" s="1842"/>
    </row>
    <row r="987" spans="1:59" s="1378" customFormat="1" ht="27.75" customHeight="1">
      <c r="A987" s="1347" t="str">
        <f t="shared" si="1400"/>
        <v>ABC</v>
      </c>
      <c r="B987" s="1348" t="str">
        <f t="shared" si="1397"/>
        <v>HUB SD (Small)</v>
      </c>
      <c r="C987" s="1348">
        <f t="shared" si="1401"/>
        <v>0</v>
      </c>
      <c r="D987" s="1349">
        <f t="shared" si="1402"/>
        <v>43101</v>
      </c>
      <c r="E987" s="1349"/>
      <c r="F987" s="1347" t="s">
        <v>72</v>
      </c>
      <c r="G987" s="1347" t="s">
        <v>85</v>
      </c>
      <c r="H987" s="1347" t="s">
        <v>72</v>
      </c>
      <c r="I987" s="1347" t="s">
        <v>72</v>
      </c>
      <c r="J987" s="1349" t="s">
        <v>4670</v>
      </c>
      <c r="K987" s="1349"/>
      <c r="L987" s="1518" t="s">
        <v>49</v>
      </c>
      <c r="M987" s="1518" t="s">
        <v>4705</v>
      </c>
      <c r="N987" s="1523" t="s">
        <v>5409</v>
      </c>
      <c r="O987" s="1388" t="s">
        <v>4707</v>
      </c>
      <c r="P987" s="1388"/>
      <c r="Q987" s="1354"/>
      <c r="R987" s="1354"/>
      <c r="S987" s="1354"/>
      <c r="T987" s="1354"/>
      <c r="U987" s="1354"/>
      <c r="V987" s="1354"/>
      <c r="W987" s="1354"/>
      <c r="X987" s="1353">
        <f t="shared" si="1403"/>
        <v>43101</v>
      </c>
      <c r="Y987" s="1353">
        <f t="shared" si="1403"/>
        <v>43466</v>
      </c>
      <c r="Z987" s="1355"/>
      <c r="AA987" s="1355" t="s">
        <v>4674</v>
      </c>
      <c r="AB987" s="1356"/>
      <c r="AC987" s="1356"/>
      <c r="AD987" s="1422">
        <v>0</v>
      </c>
      <c r="AE987" s="1422">
        <f t="shared" si="1398"/>
        <v>0</v>
      </c>
      <c r="AF987" s="1423" t="str">
        <f t="shared" si="1399"/>
        <v/>
      </c>
      <c r="AG987" s="1380"/>
      <c r="AH987" s="1380"/>
      <c r="AI987" s="1381">
        <v>0</v>
      </c>
      <c r="AJ987" s="1382"/>
      <c r="AK987" s="1383">
        <f t="shared" si="1418"/>
        <v>0</v>
      </c>
      <c r="AL987" s="1384">
        <v>0</v>
      </c>
      <c r="AM987" s="1363">
        <f t="shared" si="1405"/>
        <v>0</v>
      </c>
      <c r="AN987" s="1364">
        <v>0</v>
      </c>
      <c r="AO987" s="1365">
        <f t="shared" si="1406"/>
        <v>0</v>
      </c>
      <c r="AP987" s="1366">
        <v>0</v>
      </c>
      <c r="AQ987" s="1367">
        <f t="shared" si="1407"/>
        <v>0</v>
      </c>
      <c r="AR987" s="1368">
        <v>0</v>
      </c>
      <c r="AS987" s="1369">
        <f t="shared" si="1408"/>
        <v>0</v>
      </c>
      <c r="AT987" s="1370">
        <v>0</v>
      </c>
      <c r="AU987" s="1371">
        <f t="shared" si="1409"/>
        <v>0</v>
      </c>
      <c r="AV987" s="1359">
        <f t="shared" si="1410"/>
        <v>0</v>
      </c>
      <c r="AW987" s="1372">
        <f t="shared" si="1411"/>
        <v>0</v>
      </c>
      <c r="AX987" s="1373">
        <f t="shared" si="1412"/>
        <v>0</v>
      </c>
      <c r="AY987" s="1374">
        <f t="shared" si="1413"/>
        <v>0</v>
      </c>
      <c r="AZ987" s="1375">
        <f t="shared" si="1414"/>
        <v>0</v>
      </c>
      <c r="BA987" s="1376">
        <f t="shared" si="1415"/>
        <v>0</v>
      </c>
      <c r="BB987" s="1391"/>
      <c r="BC987" s="1836"/>
      <c r="BD987" s="1836"/>
      <c r="BE987" s="1839"/>
      <c r="BF987" s="1845"/>
      <c r="BG987" s="1842"/>
    </row>
    <row r="988" spans="1:59" s="1378" customFormat="1" ht="27.75" customHeight="1">
      <c r="A988" s="1347" t="str">
        <f t="shared" si="1400"/>
        <v>ABC</v>
      </c>
      <c r="B988" s="1348" t="str">
        <f t="shared" si="1397"/>
        <v>HUB SD (Small)</v>
      </c>
      <c r="C988" s="1348">
        <f t="shared" si="1401"/>
        <v>0</v>
      </c>
      <c r="D988" s="1349">
        <f t="shared" si="1402"/>
        <v>43101</v>
      </c>
      <c r="E988" s="1349"/>
      <c r="F988" s="1347" t="s">
        <v>72</v>
      </c>
      <c r="G988" s="1347" t="s">
        <v>85</v>
      </c>
      <c r="H988" s="1347" t="s">
        <v>72</v>
      </c>
      <c r="I988" s="1347" t="s">
        <v>72</v>
      </c>
      <c r="J988" s="1349" t="s">
        <v>4670</v>
      </c>
      <c r="K988" s="1349"/>
      <c r="L988" s="1518" t="s">
        <v>3056</v>
      </c>
      <c r="M988" s="1518" t="s">
        <v>4708</v>
      </c>
      <c r="N988" s="1523" t="s">
        <v>5410</v>
      </c>
      <c r="O988" s="1388" t="s">
        <v>4710</v>
      </c>
      <c r="P988" s="1388"/>
      <c r="Q988" s="1354"/>
      <c r="R988" s="1354"/>
      <c r="S988" s="1354"/>
      <c r="T988" s="1354"/>
      <c r="U988" s="1354"/>
      <c r="V988" s="1354"/>
      <c r="W988" s="1354"/>
      <c r="X988" s="1353">
        <f t="shared" si="1403"/>
        <v>43101</v>
      </c>
      <c r="Y988" s="1353">
        <f t="shared" si="1403"/>
        <v>43466</v>
      </c>
      <c r="Z988" s="1355"/>
      <c r="AA988" s="1355" t="s">
        <v>4674</v>
      </c>
      <c r="AB988" s="1356"/>
      <c r="AC988" s="1356"/>
      <c r="AD988" s="1422">
        <v>0</v>
      </c>
      <c r="AE988" s="1422">
        <f t="shared" si="1398"/>
        <v>0</v>
      </c>
      <c r="AF988" s="1423" t="str">
        <f t="shared" si="1399"/>
        <v/>
      </c>
      <c r="AG988" s="1380"/>
      <c r="AH988" s="1380"/>
      <c r="AI988" s="1381">
        <v>0</v>
      </c>
      <c r="AJ988" s="1382"/>
      <c r="AK988" s="1383">
        <f t="shared" si="1418"/>
        <v>0</v>
      </c>
      <c r="AL988" s="1384">
        <v>0</v>
      </c>
      <c r="AM988" s="1363">
        <f t="shared" si="1405"/>
        <v>0</v>
      </c>
      <c r="AN988" s="1364">
        <v>0</v>
      </c>
      <c r="AO988" s="1365">
        <f t="shared" si="1406"/>
        <v>0</v>
      </c>
      <c r="AP988" s="1366">
        <v>0</v>
      </c>
      <c r="AQ988" s="1367">
        <f t="shared" si="1407"/>
        <v>0</v>
      </c>
      <c r="AR988" s="1368">
        <v>0</v>
      </c>
      <c r="AS988" s="1369">
        <f t="shared" si="1408"/>
        <v>0</v>
      </c>
      <c r="AT988" s="1370">
        <v>0</v>
      </c>
      <c r="AU988" s="1371">
        <f t="shared" si="1409"/>
        <v>0</v>
      </c>
      <c r="AV988" s="1359">
        <f t="shared" si="1410"/>
        <v>0</v>
      </c>
      <c r="AW988" s="1372">
        <f t="shared" si="1411"/>
        <v>0</v>
      </c>
      <c r="AX988" s="1373">
        <f t="shared" si="1412"/>
        <v>0</v>
      </c>
      <c r="AY988" s="1374">
        <f t="shared" si="1413"/>
        <v>0</v>
      </c>
      <c r="AZ988" s="1375">
        <f t="shared" si="1414"/>
        <v>0</v>
      </c>
      <c r="BA988" s="1376">
        <f t="shared" si="1415"/>
        <v>0</v>
      </c>
      <c r="BB988" s="1391"/>
      <c r="BC988" s="1837"/>
      <c r="BD988" s="1837"/>
      <c r="BE988" s="1840"/>
      <c r="BF988" s="1846"/>
      <c r="BG988" s="1843"/>
    </row>
    <row r="989" spans="1:59">
      <c r="BD989" s="1515"/>
      <c r="BE989" s="1516"/>
    </row>
    <row r="990" spans="1:59" s="1315" customFormat="1" ht="25.5">
      <c r="A990" s="1277" t="str">
        <f>L990</f>
        <v>ABC</v>
      </c>
      <c r="B990" s="1316" t="str">
        <f t="shared" ref="B990:B1010" si="1421">N$990</f>
        <v>Duenas</v>
      </c>
      <c r="C990" s="1316">
        <f>Z990</f>
        <v>0</v>
      </c>
      <c r="D990" s="1317">
        <v>43101</v>
      </c>
      <c r="E990" s="1317"/>
      <c r="F990" s="1277" t="s">
        <v>72</v>
      </c>
      <c r="G990" s="1277" t="s">
        <v>72</v>
      </c>
      <c r="H990" s="1277" t="s">
        <v>72</v>
      </c>
      <c r="I990" s="1277" t="s">
        <v>4711</v>
      </c>
      <c r="J990" s="1317"/>
      <c r="K990" s="1317"/>
      <c r="L990" s="1318" t="s">
        <v>5385</v>
      </c>
      <c r="M990" s="1319"/>
      <c r="N990" s="1427" t="s">
        <v>4835</v>
      </c>
      <c r="O990" s="1419" t="s">
        <v>5386</v>
      </c>
      <c r="P990" s="1419"/>
      <c r="Q990" s="1322"/>
      <c r="R990" s="1322"/>
      <c r="S990" s="1322"/>
      <c r="T990" s="1322"/>
      <c r="U990" s="1322"/>
      <c r="V990" s="1322"/>
      <c r="W990" s="1322"/>
      <c r="X990" s="1317">
        <v>43101</v>
      </c>
      <c r="Y990" s="1317">
        <v>43466</v>
      </c>
      <c r="Z990" s="1316">
        <v>0</v>
      </c>
      <c r="AA990" s="1316" t="s">
        <v>5387</v>
      </c>
      <c r="AB990" s="1323">
        <f>SUM(AB991:AB1010)</f>
        <v>0</v>
      </c>
      <c r="AC990" s="1323">
        <f>SUM(AC991:AC1010)</f>
        <v>0</v>
      </c>
      <c r="AD990" s="1323">
        <f>SUM(AD991:AD1010)</f>
        <v>0</v>
      </c>
      <c r="AE990" s="1324">
        <f t="shared" ref="AE990:AE1010" si="1422">AD990-AB990</f>
        <v>0</v>
      </c>
      <c r="AF990" s="1325" t="str">
        <f t="shared" ref="AF990:AF1010" si="1423">IFERROR((AE990/AB990),"")</f>
        <v/>
      </c>
      <c r="AG990" s="1326">
        <f>SUM(AG991:AG1010)</f>
        <v>0</v>
      </c>
      <c r="AH990" s="1326">
        <f>SUM(AH991:AH1010)</f>
        <v>0</v>
      </c>
      <c r="AI990" s="1339"/>
      <c r="AJ990" s="1328">
        <f>SUM(AJ991:AJ1010)</f>
        <v>0</v>
      </c>
      <c r="AK990" s="1328">
        <f>SUM(AK991:AK1010)</f>
        <v>0</v>
      </c>
      <c r="AL990" s="1329"/>
      <c r="AM990" s="1330">
        <f>SUM(AM991:AM1010)</f>
        <v>0</v>
      </c>
      <c r="AN990" s="1331"/>
      <c r="AO990" s="1332">
        <f>SUM(AO991:AO1010)</f>
        <v>0</v>
      </c>
      <c r="AP990" s="1333"/>
      <c r="AQ990" s="1334">
        <f>SUM(AQ991:AQ1010)</f>
        <v>0</v>
      </c>
      <c r="AR990" s="1335"/>
      <c r="AS990" s="1336">
        <f>SUM(AS991:AS1010)</f>
        <v>0</v>
      </c>
      <c r="AT990" s="1337"/>
      <c r="AU990" s="1338">
        <f>SUM(AU991:AU1010)</f>
        <v>0</v>
      </c>
      <c r="AV990" s="1339"/>
      <c r="AW990" s="1340">
        <f>SUM(AW991:AW1010)</f>
        <v>0</v>
      </c>
      <c r="AX990" s="1306"/>
      <c r="AY990" s="1307">
        <f>SUM(AW990+AS990+AU990)</f>
        <v>0</v>
      </c>
      <c r="AZ990" s="1341"/>
      <c r="BA990" s="1309">
        <f>SUM(AY990+AQ990)</f>
        <v>0</v>
      </c>
      <c r="BB990" s="1342" t="e">
        <f>(AW990+AU990)/(AK990-AM990)</f>
        <v>#DIV/0!</v>
      </c>
      <c r="BC990" s="1343"/>
      <c r="BD990" s="1343"/>
      <c r="BE990" s="1344"/>
      <c r="BF990" s="1428" t="s">
        <v>5411</v>
      </c>
      <c r="BG990" s="1346"/>
    </row>
    <row r="991" spans="1:59" s="1378" customFormat="1" ht="153">
      <c r="A991" s="1347" t="str">
        <f t="shared" ref="A991:A1010" si="1424">L$990</f>
        <v>ABC</v>
      </c>
      <c r="B991" s="1348" t="str">
        <f t="shared" si="1421"/>
        <v>Duenas</v>
      </c>
      <c r="C991" s="1348">
        <f t="shared" ref="C991:C1010" si="1425">Z$990</f>
        <v>0</v>
      </c>
      <c r="D991" s="1349">
        <f t="shared" ref="D991:D1010" si="1426">D$990</f>
        <v>43101</v>
      </c>
      <c r="E991" s="1349"/>
      <c r="F991" s="1347" t="s">
        <v>85</v>
      </c>
      <c r="G991" s="1347" t="s">
        <v>85</v>
      </c>
      <c r="H991" s="1347" t="s">
        <v>85</v>
      </c>
      <c r="I991" s="1347" t="s">
        <v>5389</v>
      </c>
      <c r="J991" s="1349"/>
      <c r="K991" s="1349"/>
      <c r="L991" s="1518" t="s">
        <v>2661</v>
      </c>
      <c r="M991" s="1518" t="s">
        <v>3647</v>
      </c>
      <c r="N991" s="1451" t="s">
        <v>5390</v>
      </c>
      <c r="O991" s="1388" t="s">
        <v>5391</v>
      </c>
      <c r="P991" s="1388" t="s">
        <v>5392</v>
      </c>
      <c r="Q991" s="1502" t="s">
        <v>5393</v>
      </c>
      <c r="R991" s="1502" t="s">
        <v>5394</v>
      </c>
      <c r="S991" s="1502" t="s">
        <v>307</v>
      </c>
      <c r="T991" s="1502" t="s">
        <v>113</v>
      </c>
      <c r="U991" s="1354"/>
      <c r="V991" s="1354"/>
      <c r="W991" s="1354"/>
      <c r="X991" s="1353">
        <f>X$990</f>
        <v>43101</v>
      </c>
      <c r="Y991" s="1353">
        <f>Y$990</f>
        <v>43466</v>
      </c>
      <c r="Z991" s="1355"/>
      <c r="AA991" s="1355" t="s">
        <v>4841</v>
      </c>
      <c r="AB991" s="1422"/>
      <c r="AC991" s="1422"/>
      <c r="AD991" s="1422">
        <f>AH991</f>
        <v>0</v>
      </c>
      <c r="AE991" s="1422">
        <f t="shared" si="1422"/>
        <v>0</v>
      </c>
      <c r="AF991" s="1423" t="str">
        <f t="shared" si="1423"/>
        <v/>
      </c>
      <c r="AG991" s="1358">
        <v>0</v>
      </c>
      <c r="AH991" s="1426">
        <f t="shared" ref="AH991:AH996" si="1427">AG991*12</f>
        <v>0</v>
      </c>
      <c r="AI991" s="1359">
        <v>0.08</v>
      </c>
      <c r="AJ991" s="1360">
        <f>$AI991*$AG991</f>
        <v>0</v>
      </c>
      <c r="AK991" s="1361">
        <f>AI991*$AH991</f>
        <v>0</v>
      </c>
      <c r="AL991" s="1362">
        <v>5.0000000000000001E-3</v>
      </c>
      <c r="AM991" s="1363">
        <f t="shared" ref="AM991:AM1010" si="1428">AL991*$AH991</f>
        <v>0</v>
      </c>
      <c r="AN991" s="1364">
        <v>0</v>
      </c>
      <c r="AO991" s="1365">
        <f t="shared" ref="AO991:AO1010" si="1429">AN991*$AH991</f>
        <v>0</v>
      </c>
      <c r="AP991" s="1366">
        <v>0</v>
      </c>
      <c r="AQ991" s="1367">
        <f t="shared" ref="AQ991:AQ1010" si="1430">AP991*$AH991</f>
        <v>0</v>
      </c>
      <c r="AR991" s="1368">
        <v>0</v>
      </c>
      <c r="AS991" s="1369">
        <f t="shared" ref="AS991:AS1010" si="1431">AR991*$AH991</f>
        <v>0</v>
      </c>
      <c r="AT991" s="1370">
        <v>2.5000000000000001E-2</v>
      </c>
      <c r="AU991" s="1371">
        <f t="shared" ref="AU991:AU1010" si="1432">AT991*$AH991</f>
        <v>0</v>
      </c>
      <c r="AV991" s="1359">
        <f t="shared" ref="AV991:AV1010" si="1433">AZ991-AR991-AT991-AP991</f>
        <v>4.9999999999999996E-2</v>
      </c>
      <c r="AW991" s="1372">
        <f t="shared" ref="AW991:AW1010" si="1434">AV991*$AH991</f>
        <v>0</v>
      </c>
      <c r="AX991" s="1373">
        <f t="shared" ref="AX991:AX1010" si="1435">$AZ991-$AP991</f>
        <v>7.4999999999999997E-2</v>
      </c>
      <c r="AY991" s="1374">
        <f t="shared" ref="AY991:AY1010" si="1436">AX991*$AH991</f>
        <v>0</v>
      </c>
      <c r="AZ991" s="1375">
        <f t="shared" ref="AZ991:AZ1010" si="1437">$AI991-$AL991-$AN991</f>
        <v>7.4999999999999997E-2</v>
      </c>
      <c r="BA991" s="1376">
        <f t="shared" ref="BA991:BA1010" si="1438">AZ991*$AH991</f>
        <v>0</v>
      </c>
      <c r="BB991" s="1391"/>
      <c r="BC991" s="1835" t="s">
        <v>5395</v>
      </c>
      <c r="BD991" s="1835" t="s">
        <v>5396</v>
      </c>
      <c r="BE991" s="1838" t="s">
        <v>5396</v>
      </c>
      <c r="BF991" s="1844" t="s">
        <v>5412</v>
      </c>
      <c r="BG991" s="1841">
        <v>12345678</v>
      </c>
    </row>
    <row r="992" spans="1:59" s="1378" customFormat="1" ht="38.25">
      <c r="A992" s="1347" t="str">
        <f t="shared" si="1424"/>
        <v>ABC</v>
      </c>
      <c r="B992" s="1348" t="str">
        <f t="shared" si="1421"/>
        <v>Duenas</v>
      </c>
      <c r="C992" s="1348">
        <f t="shared" si="1425"/>
        <v>0</v>
      </c>
      <c r="D992" s="1349">
        <f t="shared" si="1426"/>
        <v>43101</v>
      </c>
      <c r="E992" s="1349"/>
      <c r="F992" s="1347" t="s">
        <v>72</v>
      </c>
      <c r="G992" s="1347" t="s">
        <v>85</v>
      </c>
      <c r="H992" s="1347" t="s">
        <v>72</v>
      </c>
      <c r="I992" s="1347" t="s">
        <v>72</v>
      </c>
      <c r="J992" s="1349" t="s">
        <v>4670</v>
      </c>
      <c r="K992" s="1349"/>
      <c r="L992" s="1518" t="s">
        <v>4671</v>
      </c>
      <c r="M992" s="1518" t="s">
        <v>3649</v>
      </c>
      <c r="N992" s="1519" t="s">
        <v>5398</v>
      </c>
      <c r="O992" s="1388" t="s">
        <v>4832</v>
      </c>
      <c r="P992" s="1388"/>
      <c r="Q992" s="1354"/>
      <c r="R992" s="1354"/>
      <c r="S992" s="1354"/>
      <c r="T992" s="1354"/>
      <c r="U992" s="1354"/>
      <c r="V992" s="1354"/>
      <c r="W992" s="1354"/>
      <c r="X992" s="1353">
        <f t="shared" ref="X992:Y1010" si="1439">X$990</f>
        <v>43101</v>
      </c>
      <c r="Y992" s="1353">
        <f t="shared" si="1439"/>
        <v>43466</v>
      </c>
      <c r="Z992" s="1355"/>
      <c r="AA992" s="1355" t="s">
        <v>4674</v>
      </c>
      <c r="AB992" s="1356"/>
      <c r="AC992" s="1356"/>
      <c r="AD992" s="1422">
        <v>0</v>
      </c>
      <c r="AE992" s="1422">
        <f t="shared" si="1422"/>
        <v>0</v>
      </c>
      <c r="AF992" s="1423" t="str">
        <f t="shared" si="1423"/>
        <v/>
      </c>
      <c r="AG992" s="1380"/>
      <c r="AH992" s="1380"/>
      <c r="AI992" s="1381">
        <v>0</v>
      </c>
      <c r="AJ992" s="1382"/>
      <c r="AK992" s="1383">
        <f>AI992*$AH992</f>
        <v>0</v>
      </c>
      <c r="AL992" s="1384">
        <v>0</v>
      </c>
      <c r="AM992" s="1363">
        <f t="shared" si="1428"/>
        <v>0</v>
      </c>
      <c r="AN992" s="1364">
        <v>0</v>
      </c>
      <c r="AO992" s="1365">
        <f t="shared" si="1429"/>
        <v>0</v>
      </c>
      <c r="AP992" s="1366">
        <v>0</v>
      </c>
      <c r="AQ992" s="1367">
        <f t="shared" si="1430"/>
        <v>0</v>
      </c>
      <c r="AR992" s="1368">
        <v>0</v>
      </c>
      <c r="AS992" s="1369">
        <f t="shared" si="1431"/>
        <v>0</v>
      </c>
      <c r="AT992" s="1370">
        <v>0</v>
      </c>
      <c r="AU992" s="1371">
        <f t="shared" si="1432"/>
        <v>0</v>
      </c>
      <c r="AV992" s="1359">
        <f t="shared" si="1433"/>
        <v>0</v>
      </c>
      <c r="AW992" s="1372">
        <f t="shared" si="1434"/>
        <v>0</v>
      </c>
      <c r="AX992" s="1373">
        <f t="shared" si="1435"/>
        <v>0</v>
      </c>
      <c r="AY992" s="1374">
        <f t="shared" si="1436"/>
        <v>0</v>
      </c>
      <c r="AZ992" s="1375">
        <f t="shared" si="1437"/>
        <v>0</v>
      </c>
      <c r="BA992" s="1376">
        <f t="shared" si="1438"/>
        <v>0</v>
      </c>
      <c r="BB992" s="1391"/>
      <c r="BC992" s="1836"/>
      <c r="BD992" s="1836"/>
      <c r="BE992" s="1839"/>
      <c r="BF992" s="1845"/>
      <c r="BG992" s="1842"/>
    </row>
    <row r="993" spans="1:59" s="1378" customFormat="1" ht="24.75" customHeight="1">
      <c r="A993" s="1347" t="str">
        <f t="shared" si="1424"/>
        <v>ABC</v>
      </c>
      <c r="B993" s="1348" t="str">
        <f t="shared" si="1421"/>
        <v>Duenas</v>
      </c>
      <c r="C993" s="1348">
        <f t="shared" si="1425"/>
        <v>0</v>
      </c>
      <c r="D993" s="1349">
        <f t="shared" si="1426"/>
        <v>43101</v>
      </c>
      <c r="E993" s="1349"/>
      <c r="F993" s="1347" t="s">
        <v>113</v>
      </c>
      <c r="G993" s="1347" t="s">
        <v>113</v>
      </c>
      <c r="H993" s="1347" t="s">
        <v>113</v>
      </c>
      <c r="I993" s="1347" t="s">
        <v>113</v>
      </c>
      <c r="J993" s="1349"/>
      <c r="K993" s="1349"/>
      <c r="L993" s="1524" t="s">
        <v>4767</v>
      </c>
      <c r="M993" s="1524" t="s">
        <v>3647</v>
      </c>
      <c r="N993" s="1525" t="s">
        <v>5413</v>
      </c>
      <c r="O993" s="1424" t="s">
        <v>3025</v>
      </c>
      <c r="P993" s="1424"/>
      <c r="Q993" s="1400"/>
      <c r="R993" s="1400"/>
      <c r="S993" s="1400"/>
      <c r="T993" s="1400"/>
      <c r="U993" s="1480"/>
      <c r="V993" s="1400"/>
      <c r="W993" s="1400"/>
      <c r="X993" s="1353">
        <f t="shared" si="1439"/>
        <v>43101</v>
      </c>
      <c r="Y993" s="1353">
        <f t="shared" si="1439"/>
        <v>43466</v>
      </c>
      <c r="Z993" s="1401"/>
      <c r="AA993" s="1401" t="s">
        <v>5414</v>
      </c>
      <c r="AB993" s="1369"/>
      <c r="AC993" s="1369"/>
      <c r="AD993" s="1369">
        <f>AH993</f>
        <v>0</v>
      </c>
      <c r="AE993" s="1369">
        <f t="shared" si="1422"/>
        <v>0</v>
      </c>
      <c r="AF993" s="1403" t="str">
        <f t="shared" si="1423"/>
        <v/>
      </c>
      <c r="AG993" s="1404"/>
      <c r="AH993" s="1404"/>
      <c r="AI993" s="1504">
        <v>0.06</v>
      </c>
      <c r="AJ993" s="1406"/>
      <c r="AK993" s="1406">
        <v>0</v>
      </c>
      <c r="AL993" s="1384">
        <v>0</v>
      </c>
      <c r="AM993" s="1363">
        <f t="shared" si="1428"/>
        <v>0</v>
      </c>
      <c r="AN993" s="1364">
        <v>0</v>
      </c>
      <c r="AO993" s="1365">
        <f t="shared" si="1429"/>
        <v>0</v>
      </c>
      <c r="AP993" s="1366">
        <v>0</v>
      </c>
      <c r="AQ993" s="1367">
        <f t="shared" si="1430"/>
        <v>0</v>
      </c>
      <c r="AR993" s="1368">
        <v>0</v>
      </c>
      <c r="AS993" s="1369">
        <f t="shared" si="1431"/>
        <v>0</v>
      </c>
      <c r="AT993" s="1370">
        <v>0</v>
      </c>
      <c r="AU993" s="1371">
        <f t="shared" si="1432"/>
        <v>0</v>
      </c>
      <c r="AV993" s="1359">
        <f t="shared" si="1433"/>
        <v>0.06</v>
      </c>
      <c r="AW993" s="1372">
        <f t="shared" si="1434"/>
        <v>0</v>
      </c>
      <c r="AX993" s="1373">
        <f t="shared" si="1435"/>
        <v>0.06</v>
      </c>
      <c r="AY993" s="1374">
        <f t="shared" si="1436"/>
        <v>0</v>
      </c>
      <c r="AZ993" s="1375">
        <f t="shared" si="1437"/>
        <v>0.06</v>
      </c>
      <c r="BA993" s="1376">
        <f t="shared" si="1438"/>
        <v>0</v>
      </c>
      <c r="BB993" s="1377"/>
      <c r="BC993" s="1836"/>
      <c r="BD993" s="1836"/>
      <c r="BE993" s="1839"/>
      <c r="BF993" s="1845"/>
      <c r="BG993" s="1842"/>
    </row>
    <row r="994" spans="1:59" s="1378" customFormat="1" ht="27.75" customHeight="1">
      <c r="A994" s="1347" t="str">
        <f t="shared" si="1424"/>
        <v>ABC</v>
      </c>
      <c r="B994" s="1348" t="str">
        <f t="shared" si="1421"/>
        <v>Duenas</v>
      </c>
      <c r="C994" s="1348">
        <f t="shared" si="1425"/>
        <v>0</v>
      </c>
      <c r="D994" s="1349">
        <f t="shared" si="1426"/>
        <v>43101</v>
      </c>
      <c r="E994" s="1349"/>
      <c r="F994" s="1347" t="s">
        <v>113</v>
      </c>
      <c r="G994" s="1347" t="s">
        <v>85</v>
      </c>
      <c r="H994" s="1347" t="s">
        <v>85</v>
      </c>
      <c r="I994" s="1347" t="s">
        <v>5389</v>
      </c>
      <c r="J994" s="1349"/>
      <c r="K994" s="1349"/>
      <c r="L994" s="1518" t="s">
        <v>4675</v>
      </c>
      <c r="M994" s="1518" t="s">
        <v>3650</v>
      </c>
      <c r="N994" s="1520" t="s">
        <v>5399</v>
      </c>
      <c r="O994" s="1388" t="s">
        <v>4677</v>
      </c>
      <c r="P994" s="1388"/>
      <c r="Q994" s="1354"/>
      <c r="R994" s="1354"/>
      <c r="S994" s="1354"/>
      <c r="T994" s="1354"/>
      <c r="U994" s="1502" t="s">
        <v>5400</v>
      </c>
      <c r="V994" s="1502" t="s">
        <v>5415</v>
      </c>
      <c r="W994" s="1354"/>
      <c r="X994" s="1353">
        <f t="shared" si="1439"/>
        <v>43101</v>
      </c>
      <c r="Y994" s="1353">
        <f t="shared" si="1439"/>
        <v>43466</v>
      </c>
      <c r="Z994" s="1355"/>
      <c r="AA994" s="1355" t="s">
        <v>4846</v>
      </c>
      <c r="AB994" s="1422"/>
      <c r="AC994" s="1422"/>
      <c r="AD994" s="1422">
        <f>AH994</f>
        <v>0</v>
      </c>
      <c r="AE994" s="1422">
        <f t="shared" si="1422"/>
        <v>0</v>
      </c>
      <c r="AF994" s="1423" t="str">
        <f t="shared" si="1423"/>
        <v/>
      </c>
      <c r="AG994" s="1358">
        <v>0</v>
      </c>
      <c r="AH994" s="1426">
        <f t="shared" si="1427"/>
        <v>0</v>
      </c>
      <c r="AI994" s="1359">
        <v>0.1</v>
      </c>
      <c r="AJ994" s="1360">
        <f t="shared" ref="AJ994:AJ1004" si="1440">$AI994*$AG994</f>
        <v>0</v>
      </c>
      <c r="AK994" s="1361">
        <f t="shared" ref="AK994:AK1010" si="1441">AI994*$AH994</f>
        <v>0</v>
      </c>
      <c r="AL994" s="1384">
        <v>0</v>
      </c>
      <c r="AM994" s="1363">
        <f t="shared" si="1428"/>
        <v>0</v>
      </c>
      <c r="AN994" s="1364">
        <v>0</v>
      </c>
      <c r="AO994" s="1365">
        <f t="shared" si="1429"/>
        <v>0</v>
      </c>
      <c r="AP994" s="1366">
        <v>0</v>
      </c>
      <c r="AQ994" s="1367">
        <f t="shared" si="1430"/>
        <v>0</v>
      </c>
      <c r="AR994" s="1368">
        <v>0</v>
      </c>
      <c r="AS994" s="1369">
        <f t="shared" si="1431"/>
        <v>0</v>
      </c>
      <c r="AT994" s="1370">
        <v>0</v>
      </c>
      <c r="AU994" s="1371">
        <f t="shared" si="1432"/>
        <v>0</v>
      </c>
      <c r="AV994" s="1359">
        <f t="shared" si="1433"/>
        <v>0.1</v>
      </c>
      <c r="AW994" s="1372">
        <f t="shared" si="1434"/>
        <v>0</v>
      </c>
      <c r="AX994" s="1373">
        <f t="shared" si="1435"/>
        <v>0.1</v>
      </c>
      <c r="AY994" s="1374">
        <f t="shared" si="1436"/>
        <v>0</v>
      </c>
      <c r="AZ994" s="1375">
        <f t="shared" si="1437"/>
        <v>0.1</v>
      </c>
      <c r="BA994" s="1376">
        <f t="shared" si="1438"/>
        <v>0</v>
      </c>
      <c r="BB994" s="1391"/>
      <c r="BC994" s="1836"/>
      <c r="BD994" s="1836"/>
      <c r="BE994" s="1839"/>
      <c r="BF994" s="1845"/>
      <c r="BG994" s="1842"/>
    </row>
    <row r="995" spans="1:59" s="1378" customFormat="1" ht="27.75" customHeight="1">
      <c r="A995" s="1347" t="str">
        <f t="shared" si="1424"/>
        <v>ABC</v>
      </c>
      <c r="B995" s="1348" t="str">
        <f t="shared" si="1421"/>
        <v>Duenas</v>
      </c>
      <c r="C995" s="1348">
        <f t="shared" si="1425"/>
        <v>0</v>
      </c>
      <c r="D995" s="1349">
        <f t="shared" si="1426"/>
        <v>43101</v>
      </c>
      <c r="E995" s="1349"/>
      <c r="F995" s="1347" t="s">
        <v>113</v>
      </c>
      <c r="G995" s="1347" t="s">
        <v>85</v>
      </c>
      <c r="H995" s="1347" t="s">
        <v>85</v>
      </c>
      <c r="I995" s="1347" t="s">
        <v>5389</v>
      </c>
      <c r="J995" s="1349"/>
      <c r="K995" s="1349"/>
      <c r="L995" s="1518" t="s">
        <v>4675</v>
      </c>
      <c r="M995" s="1518" t="s">
        <v>3651</v>
      </c>
      <c r="N995" s="1451" t="s">
        <v>5402</v>
      </c>
      <c r="O995" s="1388" t="s">
        <v>4681</v>
      </c>
      <c r="P995" s="1388"/>
      <c r="Q995" s="1354"/>
      <c r="R995" s="1354"/>
      <c r="S995" s="1354"/>
      <c r="T995" s="1354"/>
      <c r="U995" s="1354"/>
      <c r="V995" s="1354"/>
      <c r="W995" s="1502" t="s">
        <v>5416</v>
      </c>
      <c r="X995" s="1353">
        <f t="shared" si="1439"/>
        <v>43101</v>
      </c>
      <c r="Y995" s="1353">
        <f t="shared" si="1439"/>
        <v>43466</v>
      </c>
      <c r="Z995" s="1355"/>
      <c r="AA995" s="1355" t="s">
        <v>4846</v>
      </c>
      <c r="AB995" s="1422"/>
      <c r="AC995" s="1422"/>
      <c r="AD995" s="1422">
        <f>AH995</f>
        <v>0</v>
      </c>
      <c r="AE995" s="1422">
        <f t="shared" si="1422"/>
        <v>0</v>
      </c>
      <c r="AF995" s="1423" t="str">
        <f t="shared" si="1423"/>
        <v/>
      </c>
      <c r="AG995" s="1358">
        <v>0</v>
      </c>
      <c r="AH995" s="1426">
        <f t="shared" si="1427"/>
        <v>0</v>
      </c>
      <c r="AI995" s="1359">
        <v>0.1</v>
      </c>
      <c r="AJ995" s="1360">
        <f t="shared" si="1440"/>
        <v>0</v>
      </c>
      <c r="AK995" s="1361">
        <f t="shared" si="1441"/>
        <v>0</v>
      </c>
      <c r="AL995" s="1384">
        <v>0</v>
      </c>
      <c r="AM995" s="1363">
        <f t="shared" si="1428"/>
        <v>0</v>
      </c>
      <c r="AN995" s="1364">
        <v>0</v>
      </c>
      <c r="AO995" s="1365">
        <f t="shared" si="1429"/>
        <v>0</v>
      </c>
      <c r="AP995" s="1366">
        <v>0</v>
      </c>
      <c r="AQ995" s="1367">
        <f t="shared" si="1430"/>
        <v>0</v>
      </c>
      <c r="AR995" s="1368">
        <v>0</v>
      </c>
      <c r="AS995" s="1369">
        <f t="shared" si="1431"/>
        <v>0</v>
      </c>
      <c r="AT995" s="1370">
        <v>0</v>
      </c>
      <c r="AU995" s="1371">
        <f t="shared" si="1432"/>
        <v>0</v>
      </c>
      <c r="AV995" s="1359">
        <f t="shared" si="1433"/>
        <v>0.1</v>
      </c>
      <c r="AW995" s="1372">
        <f t="shared" si="1434"/>
        <v>0</v>
      </c>
      <c r="AX995" s="1373">
        <f t="shared" si="1435"/>
        <v>0.1</v>
      </c>
      <c r="AY995" s="1374">
        <f t="shared" si="1436"/>
        <v>0</v>
      </c>
      <c r="AZ995" s="1375">
        <f t="shared" si="1437"/>
        <v>0.1</v>
      </c>
      <c r="BA995" s="1376">
        <f t="shared" si="1438"/>
        <v>0</v>
      </c>
      <c r="BB995" s="1391"/>
      <c r="BC995" s="1836"/>
      <c r="BD995" s="1836"/>
      <c r="BE995" s="1839"/>
      <c r="BF995" s="1845"/>
      <c r="BG995" s="1842"/>
    </row>
    <row r="996" spans="1:59" s="1378" customFormat="1" ht="27.75" customHeight="1">
      <c r="A996" s="1347" t="str">
        <f t="shared" si="1424"/>
        <v>ABC</v>
      </c>
      <c r="B996" s="1348" t="str">
        <f t="shared" si="1421"/>
        <v>Duenas</v>
      </c>
      <c r="C996" s="1348">
        <f t="shared" si="1425"/>
        <v>0</v>
      </c>
      <c r="D996" s="1349">
        <f t="shared" si="1426"/>
        <v>43101</v>
      </c>
      <c r="E996" s="1349"/>
      <c r="F996" s="1347" t="s">
        <v>113</v>
      </c>
      <c r="G996" s="1347" t="s">
        <v>85</v>
      </c>
      <c r="H996" s="1347" t="s">
        <v>85</v>
      </c>
      <c r="I996" s="1347" t="s">
        <v>5389</v>
      </c>
      <c r="J996" s="1349"/>
      <c r="K996" s="1349"/>
      <c r="L996" s="1518" t="s">
        <v>4682</v>
      </c>
      <c r="M996" s="1518" t="s">
        <v>4683</v>
      </c>
      <c r="N996" s="1521" t="s">
        <v>57</v>
      </c>
      <c r="O996" s="1388" t="s">
        <v>4684</v>
      </c>
      <c r="P996" s="1421"/>
      <c r="Q996" s="1354"/>
      <c r="R996" s="1354"/>
      <c r="S996" s="1354"/>
      <c r="T996" s="1354"/>
      <c r="U996" s="1354"/>
      <c r="V996" s="1354"/>
      <c r="W996" s="1354"/>
      <c r="X996" s="1353">
        <f t="shared" si="1439"/>
        <v>43101</v>
      </c>
      <c r="Y996" s="1353">
        <f t="shared" si="1439"/>
        <v>43466</v>
      </c>
      <c r="Z996" s="1355"/>
      <c r="AA996" s="1355" t="s">
        <v>4884</v>
      </c>
      <c r="AB996" s="1422"/>
      <c r="AC996" s="1422"/>
      <c r="AD996" s="1422">
        <f>AH996</f>
        <v>0</v>
      </c>
      <c r="AE996" s="1422">
        <f t="shared" si="1422"/>
        <v>0</v>
      </c>
      <c r="AF996" s="1423" t="str">
        <f t="shared" si="1423"/>
        <v/>
      </c>
      <c r="AG996" s="1358">
        <v>0</v>
      </c>
      <c r="AH996" s="1426">
        <f t="shared" si="1427"/>
        <v>0</v>
      </c>
      <c r="AI996" s="1359">
        <v>0.15</v>
      </c>
      <c r="AJ996" s="1360">
        <f t="shared" si="1440"/>
        <v>0</v>
      </c>
      <c r="AK996" s="1361">
        <f t="shared" si="1441"/>
        <v>0</v>
      </c>
      <c r="AL996" s="1384">
        <v>0</v>
      </c>
      <c r="AM996" s="1363">
        <f t="shared" si="1428"/>
        <v>0</v>
      </c>
      <c r="AN996" s="1364">
        <v>0</v>
      </c>
      <c r="AO996" s="1365">
        <f t="shared" si="1429"/>
        <v>0</v>
      </c>
      <c r="AP996" s="1366">
        <v>0</v>
      </c>
      <c r="AQ996" s="1367">
        <f t="shared" si="1430"/>
        <v>0</v>
      </c>
      <c r="AR996" s="1368">
        <v>0</v>
      </c>
      <c r="AS996" s="1369">
        <f t="shared" si="1431"/>
        <v>0</v>
      </c>
      <c r="AT996" s="1370">
        <v>0</v>
      </c>
      <c r="AU996" s="1371">
        <f t="shared" si="1432"/>
        <v>0</v>
      </c>
      <c r="AV996" s="1359">
        <f t="shared" si="1433"/>
        <v>0.15</v>
      </c>
      <c r="AW996" s="1372">
        <f t="shared" si="1434"/>
        <v>0</v>
      </c>
      <c r="AX996" s="1373">
        <f t="shared" si="1435"/>
        <v>0.15</v>
      </c>
      <c r="AY996" s="1374">
        <f t="shared" si="1436"/>
        <v>0</v>
      </c>
      <c r="AZ996" s="1375">
        <f t="shared" si="1437"/>
        <v>0.15</v>
      </c>
      <c r="BA996" s="1376">
        <f t="shared" si="1438"/>
        <v>0</v>
      </c>
      <c r="BB996" s="1391"/>
      <c r="BC996" s="1836"/>
      <c r="BD996" s="1836"/>
      <c r="BE996" s="1839"/>
      <c r="BF996" s="1845"/>
      <c r="BG996" s="1842"/>
    </row>
    <row r="997" spans="1:59" s="1378" customFormat="1" ht="27.75" customHeight="1">
      <c r="A997" s="1347" t="str">
        <f t="shared" si="1424"/>
        <v>ABC</v>
      </c>
      <c r="B997" s="1348" t="str">
        <f t="shared" si="1421"/>
        <v>Duenas</v>
      </c>
      <c r="C997" s="1348">
        <f t="shared" si="1425"/>
        <v>0</v>
      </c>
      <c r="D997" s="1349">
        <f t="shared" si="1426"/>
        <v>43101</v>
      </c>
      <c r="E997" s="1349"/>
      <c r="F997" s="1347" t="s">
        <v>113</v>
      </c>
      <c r="G997" s="1347" t="s">
        <v>85</v>
      </c>
      <c r="H997" s="1347" t="s">
        <v>85</v>
      </c>
      <c r="I997" s="1347" t="s">
        <v>113</v>
      </c>
      <c r="J997" s="1349"/>
      <c r="K997" s="1349"/>
      <c r="L997" s="1518" t="s">
        <v>4682</v>
      </c>
      <c r="M997" s="1518" t="s">
        <v>4686</v>
      </c>
      <c r="N997" s="1521" t="s">
        <v>60</v>
      </c>
      <c r="O997" s="1388" t="s">
        <v>4687</v>
      </c>
      <c r="P997" s="1421"/>
      <c r="Q997" s="1354"/>
      <c r="R997" s="1354"/>
      <c r="S997" s="1354"/>
      <c r="T997" s="1354"/>
      <c r="U997" s="1354"/>
      <c r="V997" s="1354"/>
      <c r="W997" s="1354"/>
      <c r="X997" s="1353">
        <f t="shared" si="1439"/>
        <v>43101</v>
      </c>
      <c r="Y997" s="1353">
        <f t="shared" si="1439"/>
        <v>43466</v>
      </c>
      <c r="Z997" s="1355"/>
      <c r="AA997" s="1355" t="s">
        <v>4884</v>
      </c>
      <c r="AB997" s="1356"/>
      <c r="AC997" s="1356"/>
      <c r="AD997" s="1422">
        <v>0</v>
      </c>
      <c r="AE997" s="1422">
        <f t="shared" si="1422"/>
        <v>0</v>
      </c>
      <c r="AF997" s="1423" t="str">
        <f t="shared" si="1423"/>
        <v/>
      </c>
      <c r="AG997" s="1358">
        <f t="shared" ref="AG997:AG1001" si="1442">AH997/12</f>
        <v>0</v>
      </c>
      <c r="AH997" s="1426">
        <v>0</v>
      </c>
      <c r="AI997" s="1359">
        <v>0.15</v>
      </c>
      <c r="AJ997" s="1360">
        <f t="shared" si="1440"/>
        <v>0</v>
      </c>
      <c r="AK997" s="1361">
        <f t="shared" si="1441"/>
        <v>0</v>
      </c>
      <c r="AL997" s="1384">
        <v>0</v>
      </c>
      <c r="AM997" s="1363">
        <f t="shared" si="1428"/>
        <v>0</v>
      </c>
      <c r="AN997" s="1364">
        <v>0</v>
      </c>
      <c r="AO997" s="1365">
        <f t="shared" si="1429"/>
        <v>0</v>
      </c>
      <c r="AP997" s="1366">
        <v>0</v>
      </c>
      <c r="AQ997" s="1367">
        <f t="shared" si="1430"/>
        <v>0</v>
      </c>
      <c r="AR997" s="1368">
        <v>0</v>
      </c>
      <c r="AS997" s="1369">
        <f t="shared" si="1431"/>
        <v>0</v>
      </c>
      <c r="AT997" s="1370">
        <v>0</v>
      </c>
      <c r="AU997" s="1371">
        <f t="shared" si="1432"/>
        <v>0</v>
      </c>
      <c r="AV997" s="1359">
        <f t="shared" si="1433"/>
        <v>0.15</v>
      </c>
      <c r="AW997" s="1372">
        <f t="shared" si="1434"/>
        <v>0</v>
      </c>
      <c r="AX997" s="1373">
        <f t="shared" si="1435"/>
        <v>0.15</v>
      </c>
      <c r="AY997" s="1374">
        <f t="shared" si="1436"/>
        <v>0</v>
      </c>
      <c r="AZ997" s="1375">
        <f t="shared" si="1437"/>
        <v>0.15</v>
      </c>
      <c r="BA997" s="1376">
        <f t="shared" si="1438"/>
        <v>0</v>
      </c>
      <c r="BB997" s="1391"/>
      <c r="BC997" s="1836"/>
      <c r="BD997" s="1836"/>
      <c r="BE997" s="1839"/>
      <c r="BF997" s="1845"/>
      <c r="BG997" s="1842"/>
    </row>
    <row r="998" spans="1:59" s="1378" customFormat="1" ht="27.75" customHeight="1">
      <c r="A998" s="1347" t="str">
        <f t="shared" si="1424"/>
        <v>ABC</v>
      </c>
      <c r="B998" s="1348" t="str">
        <f t="shared" si="1421"/>
        <v>Duenas</v>
      </c>
      <c r="C998" s="1348">
        <f t="shared" si="1425"/>
        <v>0</v>
      </c>
      <c r="D998" s="1349">
        <f t="shared" si="1426"/>
        <v>43101</v>
      </c>
      <c r="E998" s="1349"/>
      <c r="F998" s="1347" t="s">
        <v>113</v>
      </c>
      <c r="G998" s="1347" t="s">
        <v>85</v>
      </c>
      <c r="H998" s="1347" t="s">
        <v>85</v>
      </c>
      <c r="I998" s="1347" t="s">
        <v>5389</v>
      </c>
      <c r="J998" s="1349"/>
      <c r="K998" s="1349"/>
      <c r="L998" s="1518" t="s">
        <v>4682</v>
      </c>
      <c r="M998" s="1518" t="s">
        <v>62</v>
      </c>
      <c r="N998" s="1451" t="s">
        <v>81</v>
      </c>
      <c r="O998" s="1388" t="s">
        <v>4688</v>
      </c>
      <c r="P998" s="1388"/>
      <c r="Q998" s="1354"/>
      <c r="R998" s="1354"/>
      <c r="S998" s="1354"/>
      <c r="T998" s="1354"/>
      <c r="U998" s="1354"/>
      <c r="V998" s="1354"/>
      <c r="W998" s="1354"/>
      <c r="X998" s="1353">
        <f t="shared" si="1439"/>
        <v>43101</v>
      </c>
      <c r="Y998" s="1353">
        <f t="shared" si="1439"/>
        <v>43466</v>
      </c>
      <c r="Z998" s="1355"/>
      <c r="AA998" s="1355" t="s">
        <v>4884</v>
      </c>
      <c r="AB998" s="1422"/>
      <c r="AC998" s="1422"/>
      <c r="AD998" s="1422">
        <f>AH998</f>
        <v>0</v>
      </c>
      <c r="AE998" s="1422">
        <f t="shared" si="1422"/>
        <v>0</v>
      </c>
      <c r="AF998" s="1423" t="str">
        <f t="shared" si="1423"/>
        <v/>
      </c>
      <c r="AG998" s="1358">
        <f t="shared" si="1442"/>
        <v>0</v>
      </c>
      <c r="AH998" s="1426">
        <v>0</v>
      </c>
      <c r="AI998" s="1359">
        <v>0.15</v>
      </c>
      <c r="AJ998" s="1360">
        <f t="shared" si="1440"/>
        <v>0</v>
      </c>
      <c r="AK998" s="1361">
        <f t="shared" si="1441"/>
        <v>0</v>
      </c>
      <c r="AL998" s="1384">
        <v>0</v>
      </c>
      <c r="AM998" s="1363">
        <f t="shared" si="1428"/>
        <v>0</v>
      </c>
      <c r="AN998" s="1364">
        <v>0</v>
      </c>
      <c r="AO998" s="1365">
        <f t="shared" si="1429"/>
        <v>0</v>
      </c>
      <c r="AP998" s="1366">
        <v>0</v>
      </c>
      <c r="AQ998" s="1367">
        <f t="shared" si="1430"/>
        <v>0</v>
      </c>
      <c r="AR998" s="1368">
        <v>0</v>
      </c>
      <c r="AS998" s="1369">
        <f t="shared" si="1431"/>
        <v>0</v>
      </c>
      <c r="AT998" s="1370">
        <v>0</v>
      </c>
      <c r="AU998" s="1371">
        <f t="shared" si="1432"/>
        <v>0</v>
      </c>
      <c r="AV998" s="1359">
        <f t="shared" si="1433"/>
        <v>0.15</v>
      </c>
      <c r="AW998" s="1372">
        <f t="shared" si="1434"/>
        <v>0</v>
      </c>
      <c r="AX998" s="1373">
        <f t="shared" si="1435"/>
        <v>0.15</v>
      </c>
      <c r="AY998" s="1374">
        <f t="shared" si="1436"/>
        <v>0</v>
      </c>
      <c r="AZ998" s="1375">
        <f t="shared" si="1437"/>
        <v>0.15</v>
      </c>
      <c r="BA998" s="1376">
        <f t="shared" si="1438"/>
        <v>0</v>
      </c>
      <c r="BB998" s="1391"/>
      <c r="BC998" s="1836"/>
      <c r="BD998" s="1836"/>
      <c r="BE998" s="1839"/>
      <c r="BF998" s="1845"/>
      <c r="BG998" s="1842"/>
    </row>
    <row r="999" spans="1:59" s="1378" customFormat="1" ht="27.75" customHeight="1">
      <c r="A999" s="1347" t="str">
        <f t="shared" si="1424"/>
        <v>ABC</v>
      </c>
      <c r="B999" s="1348" t="str">
        <f t="shared" si="1421"/>
        <v>Duenas</v>
      </c>
      <c r="C999" s="1348">
        <f t="shared" si="1425"/>
        <v>0</v>
      </c>
      <c r="D999" s="1349">
        <f t="shared" si="1426"/>
        <v>43101</v>
      </c>
      <c r="E999" s="1349"/>
      <c r="F999" s="1347" t="s">
        <v>113</v>
      </c>
      <c r="G999" s="1347" t="s">
        <v>85</v>
      </c>
      <c r="H999" s="1347" t="s">
        <v>85</v>
      </c>
      <c r="I999" s="1347" t="s">
        <v>5389</v>
      </c>
      <c r="J999" s="1349"/>
      <c r="K999" s="1349"/>
      <c r="L999" s="1518" t="s">
        <v>4682</v>
      </c>
      <c r="M999" s="1518" t="s">
        <v>5243</v>
      </c>
      <c r="N999" s="1451" t="s">
        <v>3660</v>
      </c>
      <c r="O999" s="1388" t="s">
        <v>5403</v>
      </c>
      <c r="P999" s="1388"/>
      <c r="Q999" s="1354"/>
      <c r="R999" s="1354"/>
      <c r="S999" s="1354"/>
      <c r="T999" s="1354"/>
      <c r="U999" s="1354"/>
      <c r="V999" s="1354"/>
      <c r="W999" s="1354"/>
      <c r="X999" s="1353">
        <f t="shared" si="1439"/>
        <v>43101</v>
      </c>
      <c r="Y999" s="1353">
        <f t="shared" si="1439"/>
        <v>43466</v>
      </c>
      <c r="Z999" s="1355"/>
      <c r="AA999" s="1355" t="s">
        <v>4846</v>
      </c>
      <c r="AB999" s="1422"/>
      <c r="AC999" s="1422"/>
      <c r="AD999" s="1422">
        <f>AH999</f>
        <v>0</v>
      </c>
      <c r="AE999" s="1422">
        <f t="shared" si="1422"/>
        <v>0</v>
      </c>
      <c r="AF999" s="1423" t="str">
        <f t="shared" si="1423"/>
        <v/>
      </c>
      <c r="AG999" s="1358">
        <f t="shared" si="1442"/>
        <v>0</v>
      </c>
      <c r="AH999" s="1426">
        <v>0</v>
      </c>
      <c r="AI999" s="1359">
        <v>0.15</v>
      </c>
      <c r="AJ999" s="1360">
        <f t="shared" si="1440"/>
        <v>0</v>
      </c>
      <c r="AK999" s="1361">
        <f t="shared" si="1441"/>
        <v>0</v>
      </c>
      <c r="AL999" s="1384">
        <v>0</v>
      </c>
      <c r="AM999" s="1363">
        <f t="shared" si="1428"/>
        <v>0</v>
      </c>
      <c r="AN999" s="1364">
        <v>0</v>
      </c>
      <c r="AO999" s="1365">
        <f t="shared" si="1429"/>
        <v>0</v>
      </c>
      <c r="AP999" s="1366">
        <v>0</v>
      </c>
      <c r="AQ999" s="1367">
        <f t="shared" si="1430"/>
        <v>0</v>
      </c>
      <c r="AR999" s="1368">
        <v>0</v>
      </c>
      <c r="AS999" s="1369">
        <f t="shared" si="1431"/>
        <v>0</v>
      </c>
      <c r="AT999" s="1370">
        <v>0</v>
      </c>
      <c r="AU999" s="1371">
        <f t="shared" si="1432"/>
        <v>0</v>
      </c>
      <c r="AV999" s="1359">
        <f t="shared" si="1433"/>
        <v>0.15</v>
      </c>
      <c r="AW999" s="1372">
        <f t="shared" si="1434"/>
        <v>0</v>
      </c>
      <c r="AX999" s="1373">
        <f t="shared" si="1435"/>
        <v>0.15</v>
      </c>
      <c r="AY999" s="1374">
        <f t="shared" si="1436"/>
        <v>0</v>
      </c>
      <c r="AZ999" s="1375">
        <f t="shared" si="1437"/>
        <v>0.15</v>
      </c>
      <c r="BA999" s="1376">
        <f t="shared" si="1438"/>
        <v>0</v>
      </c>
      <c r="BB999" s="1391"/>
      <c r="BC999" s="1836"/>
      <c r="BD999" s="1836"/>
      <c r="BE999" s="1839"/>
      <c r="BF999" s="1845"/>
      <c r="BG999" s="1842"/>
    </row>
    <row r="1000" spans="1:59" s="1378" customFormat="1" ht="27.75" customHeight="1">
      <c r="A1000" s="1347" t="str">
        <f t="shared" si="1424"/>
        <v>ABC</v>
      </c>
      <c r="B1000" s="1348" t="str">
        <f t="shared" si="1421"/>
        <v>Duenas</v>
      </c>
      <c r="C1000" s="1348">
        <f t="shared" si="1425"/>
        <v>0</v>
      </c>
      <c r="D1000" s="1349">
        <f t="shared" si="1426"/>
        <v>43101</v>
      </c>
      <c r="E1000" s="1349"/>
      <c r="F1000" s="1347" t="s">
        <v>113</v>
      </c>
      <c r="G1000" s="1347" t="s">
        <v>85</v>
      </c>
      <c r="H1000" s="1347" t="s">
        <v>85</v>
      </c>
      <c r="I1000" s="1347" t="s">
        <v>5389</v>
      </c>
      <c r="J1000" s="1349"/>
      <c r="K1000" s="1349"/>
      <c r="L1000" s="1518" t="s">
        <v>4682</v>
      </c>
      <c r="M1000" s="1518" t="s">
        <v>4741</v>
      </c>
      <c r="N1000" s="1451" t="s">
        <v>4742</v>
      </c>
      <c r="O1000" s="1388" t="s">
        <v>5404</v>
      </c>
      <c r="P1000" s="1388"/>
      <c r="Q1000" s="1354"/>
      <c r="R1000" s="1354"/>
      <c r="S1000" s="1354"/>
      <c r="T1000" s="1354"/>
      <c r="U1000" s="1354"/>
      <c r="V1000" s="1354"/>
      <c r="W1000" s="1354"/>
      <c r="X1000" s="1353">
        <f t="shared" si="1439"/>
        <v>43101</v>
      </c>
      <c r="Y1000" s="1353">
        <f t="shared" si="1439"/>
        <v>43466</v>
      </c>
      <c r="Z1000" s="1355"/>
      <c r="AA1000" s="1355" t="s">
        <v>4846</v>
      </c>
      <c r="AB1000" s="1422"/>
      <c r="AC1000" s="1422"/>
      <c r="AD1000" s="1422">
        <f>AH1000</f>
        <v>0</v>
      </c>
      <c r="AE1000" s="1422">
        <f t="shared" si="1422"/>
        <v>0</v>
      </c>
      <c r="AF1000" s="1423" t="str">
        <f t="shared" si="1423"/>
        <v/>
      </c>
      <c r="AG1000" s="1358">
        <f t="shared" si="1442"/>
        <v>0</v>
      </c>
      <c r="AH1000" s="1426">
        <v>0</v>
      </c>
      <c r="AI1000" s="1359">
        <v>0.1</v>
      </c>
      <c r="AJ1000" s="1360">
        <f t="shared" si="1440"/>
        <v>0</v>
      </c>
      <c r="AK1000" s="1361">
        <f t="shared" si="1441"/>
        <v>0</v>
      </c>
      <c r="AL1000" s="1384">
        <v>0</v>
      </c>
      <c r="AM1000" s="1363">
        <f t="shared" si="1428"/>
        <v>0</v>
      </c>
      <c r="AN1000" s="1364">
        <v>0</v>
      </c>
      <c r="AO1000" s="1365">
        <f t="shared" si="1429"/>
        <v>0</v>
      </c>
      <c r="AP1000" s="1366">
        <v>0</v>
      </c>
      <c r="AQ1000" s="1367">
        <f t="shared" si="1430"/>
        <v>0</v>
      </c>
      <c r="AR1000" s="1368">
        <v>0</v>
      </c>
      <c r="AS1000" s="1369">
        <f t="shared" si="1431"/>
        <v>0</v>
      </c>
      <c r="AT1000" s="1370">
        <v>0</v>
      </c>
      <c r="AU1000" s="1371">
        <f t="shared" si="1432"/>
        <v>0</v>
      </c>
      <c r="AV1000" s="1359">
        <f t="shared" si="1433"/>
        <v>0.1</v>
      </c>
      <c r="AW1000" s="1372">
        <f t="shared" si="1434"/>
        <v>0</v>
      </c>
      <c r="AX1000" s="1373">
        <f t="shared" si="1435"/>
        <v>0.1</v>
      </c>
      <c r="AY1000" s="1374">
        <f t="shared" si="1436"/>
        <v>0</v>
      </c>
      <c r="AZ1000" s="1375">
        <f t="shared" si="1437"/>
        <v>0.1</v>
      </c>
      <c r="BA1000" s="1376">
        <f t="shared" si="1438"/>
        <v>0</v>
      </c>
      <c r="BB1000" s="1391"/>
      <c r="BC1000" s="1836"/>
      <c r="BD1000" s="1836"/>
      <c r="BE1000" s="1839"/>
      <c r="BF1000" s="1845"/>
      <c r="BG1000" s="1842"/>
    </row>
    <row r="1001" spans="1:59" s="1378" customFormat="1" ht="27.75" customHeight="1">
      <c r="A1001" s="1347" t="str">
        <f t="shared" si="1424"/>
        <v>ABC</v>
      </c>
      <c r="B1001" s="1348" t="str">
        <f t="shared" si="1421"/>
        <v>Duenas</v>
      </c>
      <c r="C1001" s="1348">
        <f t="shared" si="1425"/>
        <v>0</v>
      </c>
      <c r="D1001" s="1349">
        <f t="shared" si="1426"/>
        <v>43101</v>
      </c>
      <c r="E1001" s="1349"/>
      <c r="F1001" s="1347" t="s">
        <v>113</v>
      </c>
      <c r="G1001" s="1347" t="s">
        <v>85</v>
      </c>
      <c r="H1001" s="1347" t="s">
        <v>85</v>
      </c>
      <c r="I1001" s="1347" t="s">
        <v>5389</v>
      </c>
      <c r="J1001" s="1349"/>
      <c r="K1001" s="1349"/>
      <c r="L1001" s="1518" t="s">
        <v>4682</v>
      </c>
      <c r="M1001" s="1518" t="s">
        <v>67</v>
      </c>
      <c r="N1001" s="1451" t="s">
        <v>82</v>
      </c>
      <c r="O1001" s="1388" t="s">
        <v>4689</v>
      </c>
      <c r="P1001" s="1388"/>
      <c r="Q1001" s="1354"/>
      <c r="R1001" s="1354"/>
      <c r="S1001" s="1354"/>
      <c r="T1001" s="1354"/>
      <c r="U1001" s="1354"/>
      <c r="V1001" s="1354"/>
      <c r="W1001" s="1354"/>
      <c r="X1001" s="1353">
        <f t="shared" si="1439"/>
        <v>43101</v>
      </c>
      <c r="Y1001" s="1353">
        <f t="shared" si="1439"/>
        <v>43466</v>
      </c>
      <c r="Z1001" s="1355"/>
      <c r="AA1001" s="1355" t="s">
        <v>4884</v>
      </c>
      <c r="AB1001" s="1422"/>
      <c r="AC1001" s="1422"/>
      <c r="AD1001" s="1422">
        <f>AH1001</f>
        <v>0</v>
      </c>
      <c r="AE1001" s="1422">
        <f t="shared" si="1422"/>
        <v>0</v>
      </c>
      <c r="AF1001" s="1423" t="str">
        <f t="shared" si="1423"/>
        <v/>
      </c>
      <c r="AG1001" s="1358">
        <f t="shared" si="1442"/>
        <v>0</v>
      </c>
      <c r="AH1001" s="1426">
        <v>0</v>
      </c>
      <c r="AI1001" s="1359">
        <v>0.15</v>
      </c>
      <c r="AJ1001" s="1360">
        <f t="shared" si="1440"/>
        <v>0</v>
      </c>
      <c r="AK1001" s="1361">
        <f t="shared" si="1441"/>
        <v>0</v>
      </c>
      <c r="AL1001" s="1384">
        <v>0</v>
      </c>
      <c r="AM1001" s="1363">
        <f t="shared" si="1428"/>
        <v>0</v>
      </c>
      <c r="AN1001" s="1364">
        <v>0</v>
      </c>
      <c r="AO1001" s="1365">
        <f t="shared" si="1429"/>
        <v>0</v>
      </c>
      <c r="AP1001" s="1366">
        <v>0</v>
      </c>
      <c r="AQ1001" s="1367">
        <f t="shared" si="1430"/>
        <v>0</v>
      </c>
      <c r="AR1001" s="1368">
        <v>0</v>
      </c>
      <c r="AS1001" s="1369">
        <f t="shared" si="1431"/>
        <v>0</v>
      </c>
      <c r="AT1001" s="1370">
        <v>0</v>
      </c>
      <c r="AU1001" s="1371">
        <f t="shared" si="1432"/>
        <v>0</v>
      </c>
      <c r="AV1001" s="1359">
        <f t="shared" si="1433"/>
        <v>0.15</v>
      </c>
      <c r="AW1001" s="1372">
        <f t="shared" si="1434"/>
        <v>0</v>
      </c>
      <c r="AX1001" s="1373">
        <f t="shared" si="1435"/>
        <v>0.15</v>
      </c>
      <c r="AY1001" s="1374">
        <f t="shared" si="1436"/>
        <v>0</v>
      </c>
      <c r="AZ1001" s="1375">
        <f t="shared" si="1437"/>
        <v>0.15</v>
      </c>
      <c r="BA1001" s="1376">
        <f t="shared" si="1438"/>
        <v>0</v>
      </c>
      <c r="BB1001" s="1391"/>
      <c r="BC1001" s="1836"/>
      <c r="BD1001" s="1836"/>
      <c r="BE1001" s="1839"/>
      <c r="BF1001" s="1845"/>
      <c r="BG1001" s="1842"/>
    </row>
    <row r="1002" spans="1:59" s="1378" customFormat="1" ht="27.75" customHeight="1">
      <c r="A1002" s="1347" t="str">
        <f t="shared" si="1424"/>
        <v>ABC</v>
      </c>
      <c r="B1002" s="1348" t="str">
        <f t="shared" si="1421"/>
        <v>Duenas</v>
      </c>
      <c r="C1002" s="1348">
        <f t="shared" si="1425"/>
        <v>0</v>
      </c>
      <c r="D1002" s="1349">
        <f t="shared" si="1426"/>
        <v>43101</v>
      </c>
      <c r="E1002" s="1349"/>
      <c r="F1002" s="1347" t="s">
        <v>113</v>
      </c>
      <c r="G1002" s="1347" t="s">
        <v>85</v>
      </c>
      <c r="H1002" s="1347" t="s">
        <v>85</v>
      </c>
      <c r="I1002" s="1347" t="s">
        <v>113</v>
      </c>
      <c r="J1002" s="1349" t="s">
        <v>4690</v>
      </c>
      <c r="K1002" s="1349"/>
      <c r="L1002" s="1518" t="s">
        <v>4682</v>
      </c>
      <c r="M1002" s="1518" t="s">
        <v>4691</v>
      </c>
      <c r="N1002" s="1451" t="s">
        <v>94</v>
      </c>
      <c r="O1002" s="1388" t="s">
        <v>4692</v>
      </c>
      <c r="P1002" s="1388"/>
      <c r="Q1002" s="1354"/>
      <c r="R1002" s="1354"/>
      <c r="S1002" s="1354"/>
      <c r="T1002" s="1354"/>
      <c r="U1002" s="1354"/>
      <c r="V1002" s="1354"/>
      <c r="W1002" s="1354"/>
      <c r="X1002" s="1353">
        <f t="shared" si="1439"/>
        <v>43101</v>
      </c>
      <c r="Y1002" s="1353">
        <f t="shared" si="1439"/>
        <v>43466</v>
      </c>
      <c r="Z1002" s="1355"/>
      <c r="AA1002" s="1355" t="s">
        <v>4884</v>
      </c>
      <c r="AB1002" s="1422">
        <v>0</v>
      </c>
      <c r="AC1002" s="1422">
        <v>0</v>
      </c>
      <c r="AD1002" s="1422">
        <v>0</v>
      </c>
      <c r="AE1002" s="1422">
        <f t="shared" si="1422"/>
        <v>0</v>
      </c>
      <c r="AF1002" s="1423" t="str">
        <f t="shared" si="1423"/>
        <v/>
      </c>
      <c r="AG1002" s="1358">
        <v>0</v>
      </c>
      <c r="AH1002" s="1426">
        <f t="shared" ref="AH1002:AH1004" si="1443">AG1002*12</f>
        <v>0</v>
      </c>
      <c r="AI1002" s="1359">
        <v>0.15</v>
      </c>
      <c r="AJ1002" s="1360">
        <f t="shared" si="1440"/>
        <v>0</v>
      </c>
      <c r="AK1002" s="1361">
        <f t="shared" si="1441"/>
        <v>0</v>
      </c>
      <c r="AL1002" s="1384">
        <v>0</v>
      </c>
      <c r="AM1002" s="1363">
        <f t="shared" si="1428"/>
        <v>0</v>
      </c>
      <c r="AN1002" s="1364">
        <v>0</v>
      </c>
      <c r="AO1002" s="1365">
        <f t="shared" si="1429"/>
        <v>0</v>
      </c>
      <c r="AP1002" s="1366">
        <v>0</v>
      </c>
      <c r="AQ1002" s="1367">
        <f t="shared" si="1430"/>
        <v>0</v>
      </c>
      <c r="AR1002" s="1368">
        <v>0</v>
      </c>
      <c r="AS1002" s="1369">
        <f t="shared" si="1431"/>
        <v>0</v>
      </c>
      <c r="AT1002" s="1370">
        <v>0</v>
      </c>
      <c r="AU1002" s="1371">
        <f t="shared" si="1432"/>
        <v>0</v>
      </c>
      <c r="AV1002" s="1359">
        <f t="shared" si="1433"/>
        <v>0.15</v>
      </c>
      <c r="AW1002" s="1372">
        <f t="shared" si="1434"/>
        <v>0</v>
      </c>
      <c r="AX1002" s="1373">
        <f t="shared" si="1435"/>
        <v>0.15</v>
      </c>
      <c r="AY1002" s="1374">
        <f t="shared" si="1436"/>
        <v>0</v>
      </c>
      <c r="AZ1002" s="1375">
        <f t="shared" si="1437"/>
        <v>0.15</v>
      </c>
      <c r="BA1002" s="1376">
        <f t="shared" si="1438"/>
        <v>0</v>
      </c>
      <c r="BB1002" s="1377"/>
      <c r="BC1002" s="1836"/>
      <c r="BD1002" s="1836"/>
      <c r="BE1002" s="1839"/>
      <c r="BF1002" s="1845"/>
      <c r="BG1002" s="1842"/>
    </row>
    <row r="1003" spans="1:59" s="1378" customFormat="1" ht="27.75" customHeight="1">
      <c r="A1003" s="1347" t="str">
        <f t="shared" si="1424"/>
        <v>ABC</v>
      </c>
      <c r="B1003" s="1348" t="str">
        <f t="shared" si="1421"/>
        <v>Duenas</v>
      </c>
      <c r="C1003" s="1348">
        <f t="shared" si="1425"/>
        <v>0</v>
      </c>
      <c r="D1003" s="1349">
        <f t="shared" si="1426"/>
        <v>43101</v>
      </c>
      <c r="E1003" s="1349"/>
      <c r="F1003" s="1347" t="s">
        <v>113</v>
      </c>
      <c r="G1003" s="1347" t="s">
        <v>85</v>
      </c>
      <c r="H1003" s="1347" t="s">
        <v>85</v>
      </c>
      <c r="I1003" s="1347" t="s">
        <v>113</v>
      </c>
      <c r="J1003" s="1349" t="s">
        <v>4690</v>
      </c>
      <c r="K1003" s="1349"/>
      <c r="L1003" s="1518" t="s">
        <v>4682</v>
      </c>
      <c r="M1003" s="1518" t="s">
        <v>4691</v>
      </c>
      <c r="N1003" s="1451" t="s">
        <v>98</v>
      </c>
      <c r="O1003" s="1388" t="s">
        <v>4693</v>
      </c>
      <c r="P1003" s="1388"/>
      <c r="Q1003" s="1354"/>
      <c r="R1003" s="1354"/>
      <c r="S1003" s="1354"/>
      <c r="T1003" s="1354"/>
      <c r="U1003" s="1354"/>
      <c r="V1003" s="1354"/>
      <c r="W1003" s="1354"/>
      <c r="X1003" s="1353">
        <f t="shared" si="1439"/>
        <v>43101</v>
      </c>
      <c r="Y1003" s="1353">
        <f t="shared" si="1439"/>
        <v>43466</v>
      </c>
      <c r="Z1003" s="1355"/>
      <c r="AA1003" s="1355" t="s">
        <v>4884</v>
      </c>
      <c r="AB1003" s="1422">
        <v>0</v>
      </c>
      <c r="AC1003" s="1422">
        <v>0</v>
      </c>
      <c r="AD1003" s="1422">
        <v>0</v>
      </c>
      <c r="AE1003" s="1422">
        <f t="shared" si="1422"/>
        <v>0</v>
      </c>
      <c r="AF1003" s="1423" t="str">
        <f t="shared" si="1423"/>
        <v/>
      </c>
      <c r="AG1003" s="1358">
        <v>0</v>
      </c>
      <c r="AH1003" s="1426">
        <f t="shared" si="1443"/>
        <v>0</v>
      </c>
      <c r="AI1003" s="1359">
        <v>0.15</v>
      </c>
      <c r="AJ1003" s="1360">
        <f t="shared" si="1440"/>
        <v>0</v>
      </c>
      <c r="AK1003" s="1361">
        <f t="shared" si="1441"/>
        <v>0</v>
      </c>
      <c r="AL1003" s="1384">
        <v>0</v>
      </c>
      <c r="AM1003" s="1363">
        <f t="shared" si="1428"/>
        <v>0</v>
      </c>
      <c r="AN1003" s="1364">
        <v>0</v>
      </c>
      <c r="AO1003" s="1365">
        <f t="shared" si="1429"/>
        <v>0</v>
      </c>
      <c r="AP1003" s="1366">
        <v>0</v>
      </c>
      <c r="AQ1003" s="1367">
        <f t="shared" si="1430"/>
        <v>0</v>
      </c>
      <c r="AR1003" s="1368">
        <v>0</v>
      </c>
      <c r="AS1003" s="1369">
        <f t="shared" si="1431"/>
        <v>0</v>
      </c>
      <c r="AT1003" s="1370">
        <v>0</v>
      </c>
      <c r="AU1003" s="1371">
        <f t="shared" si="1432"/>
        <v>0</v>
      </c>
      <c r="AV1003" s="1359">
        <f t="shared" si="1433"/>
        <v>0.15</v>
      </c>
      <c r="AW1003" s="1372">
        <f t="shared" si="1434"/>
        <v>0</v>
      </c>
      <c r="AX1003" s="1373">
        <f t="shared" si="1435"/>
        <v>0.15</v>
      </c>
      <c r="AY1003" s="1374">
        <f t="shared" si="1436"/>
        <v>0</v>
      </c>
      <c r="AZ1003" s="1375">
        <f t="shared" si="1437"/>
        <v>0.15</v>
      </c>
      <c r="BA1003" s="1376">
        <f t="shared" si="1438"/>
        <v>0</v>
      </c>
      <c r="BB1003" s="1377"/>
      <c r="BC1003" s="1836"/>
      <c r="BD1003" s="1836"/>
      <c r="BE1003" s="1839"/>
      <c r="BF1003" s="1845"/>
      <c r="BG1003" s="1842"/>
    </row>
    <row r="1004" spans="1:59" s="1378" customFormat="1" ht="27.75" customHeight="1">
      <c r="A1004" s="1347" t="str">
        <f t="shared" si="1424"/>
        <v>ABC</v>
      </c>
      <c r="B1004" s="1348" t="str">
        <f t="shared" si="1421"/>
        <v>Duenas</v>
      </c>
      <c r="C1004" s="1348">
        <f t="shared" si="1425"/>
        <v>0</v>
      </c>
      <c r="D1004" s="1349">
        <f t="shared" si="1426"/>
        <v>43101</v>
      </c>
      <c r="E1004" s="1349"/>
      <c r="F1004" s="1347" t="s">
        <v>113</v>
      </c>
      <c r="G1004" s="1347" t="s">
        <v>85</v>
      </c>
      <c r="H1004" s="1347" t="s">
        <v>85</v>
      </c>
      <c r="I1004" s="1347" t="s">
        <v>113</v>
      </c>
      <c r="J1004" s="1349" t="s">
        <v>4690</v>
      </c>
      <c r="K1004" s="1349"/>
      <c r="L1004" s="1518" t="s">
        <v>4682</v>
      </c>
      <c r="M1004" s="1518" t="s">
        <v>4691</v>
      </c>
      <c r="N1004" s="1451" t="s">
        <v>4694</v>
      </c>
      <c r="O1004" s="1388" t="s">
        <v>4695</v>
      </c>
      <c r="P1004" s="1388"/>
      <c r="Q1004" s="1354"/>
      <c r="R1004" s="1354"/>
      <c r="S1004" s="1354"/>
      <c r="T1004" s="1354"/>
      <c r="U1004" s="1354"/>
      <c r="V1004" s="1354"/>
      <c r="W1004" s="1354"/>
      <c r="X1004" s="1353">
        <f t="shared" si="1439"/>
        <v>43101</v>
      </c>
      <c r="Y1004" s="1353">
        <f t="shared" si="1439"/>
        <v>43466</v>
      </c>
      <c r="Z1004" s="1355"/>
      <c r="AA1004" s="1355" t="s">
        <v>4884</v>
      </c>
      <c r="AB1004" s="1422">
        <v>0</v>
      </c>
      <c r="AC1004" s="1422">
        <v>0</v>
      </c>
      <c r="AD1004" s="1422">
        <v>0</v>
      </c>
      <c r="AE1004" s="1422">
        <f t="shared" si="1422"/>
        <v>0</v>
      </c>
      <c r="AF1004" s="1423" t="str">
        <f t="shared" si="1423"/>
        <v/>
      </c>
      <c r="AG1004" s="1358">
        <v>0</v>
      </c>
      <c r="AH1004" s="1426">
        <f t="shared" si="1443"/>
        <v>0</v>
      </c>
      <c r="AI1004" s="1359">
        <v>0.15</v>
      </c>
      <c r="AJ1004" s="1360">
        <f t="shared" si="1440"/>
        <v>0</v>
      </c>
      <c r="AK1004" s="1361">
        <f t="shared" si="1441"/>
        <v>0</v>
      </c>
      <c r="AL1004" s="1384">
        <v>0</v>
      </c>
      <c r="AM1004" s="1363">
        <f t="shared" si="1428"/>
        <v>0</v>
      </c>
      <c r="AN1004" s="1364">
        <v>0</v>
      </c>
      <c r="AO1004" s="1365">
        <f t="shared" si="1429"/>
        <v>0</v>
      </c>
      <c r="AP1004" s="1366">
        <v>0</v>
      </c>
      <c r="AQ1004" s="1367">
        <f t="shared" si="1430"/>
        <v>0</v>
      </c>
      <c r="AR1004" s="1368">
        <v>0</v>
      </c>
      <c r="AS1004" s="1369">
        <f t="shared" si="1431"/>
        <v>0</v>
      </c>
      <c r="AT1004" s="1370">
        <v>0</v>
      </c>
      <c r="AU1004" s="1371">
        <f t="shared" si="1432"/>
        <v>0</v>
      </c>
      <c r="AV1004" s="1359">
        <f t="shared" si="1433"/>
        <v>0.15</v>
      </c>
      <c r="AW1004" s="1372">
        <f t="shared" si="1434"/>
        <v>0</v>
      </c>
      <c r="AX1004" s="1373">
        <f t="shared" si="1435"/>
        <v>0.15</v>
      </c>
      <c r="AY1004" s="1374">
        <f t="shared" si="1436"/>
        <v>0</v>
      </c>
      <c r="AZ1004" s="1375">
        <f t="shared" si="1437"/>
        <v>0.15</v>
      </c>
      <c r="BA1004" s="1376">
        <f t="shared" si="1438"/>
        <v>0</v>
      </c>
      <c r="BB1004" s="1377"/>
      <c r="BC1004" s="1836"/>
      <c r="BD1004" s="1836"/>
      <c r="BE1004" s="1839"/>
      <c r="BF1004" s="1845"/>
      <c r="BG1004" s="1842"/>
    </row>
    <row r="1005" spans="1:59" s="1378" customFormat="1" ht="27.75" customHeight="1">
      <c r="A1005" s="1347" t="str">
        <f t="shared" si="1424"/>
        <v>ABC</v>
      </c>
      <c r="B1005" s="1348" t="str">
        <f t="shared" si="1421"/>
        <v>Duenas</v>
      </c>
      <c r="C1005" s="1348">
        <f t="shared" si="1425"/>
        <v>0</v>
      </c>
      <c r="D1005" s="1349">
        <f t="shared" si="1426"/>
        <v>43101</v>
      </c>
      <c r="E1005" s="1349"/>
      <c r="F1005" s="1347" t="s">
        <v>72</v>
      </c>
      <c r="G1005" s="1347" t="s">
        <v>85</v>
      </c>
      <c r="H1005" s="1347" t="s">
        <v>72</v>
      </c>
      <c r="I1005" s="1347" t="s">
        <v>72</v>
      </c>
      <c r="J1005" s="1349" t="s">
        <v>4670</v>
      </c>
      <c r="K1005" s="1349"/>
      <c r="L1005" s="1518" t="s">
        <v>4696</v>
      </c>
      <c r="M1005" s="1518" t="s">
        <v>4697</v>
      </c>
      <c r="N1005" s="1522" t="s">
        <v>5405</v>
      </c>
      <c r="O1005" s="1388" t="s">
        <v>4699</v>
      </c>
      <c r="P1005" s="1388"/>
      <c r="Q1005" s="1354"/>
      <c r="R1005" s="1354"/>
      <c r="S1005" s="1354"/>
      <c r="T1005" s="1354"/>
      <c r="U1005" s="1354"/>
      <c r="V1005" s="1354"/>
      <c r="W1005" s="1354"/>
      <c r="X1005" s="1353">
        <f t="shared" si="1439"/>
        <v>43101</v>
      </c>
      <c r="Y1005" s="1353">
        <f t="shared" si="1439"/>
        <v>43466</v>
      </c>
      <c r="Z1005" s="1355"/>
      <c r="AA1005" s="1355" t="s">
        <v>4674</v>
      </c>
      <c r="AB1005" s="1356"/>
      <c r="AC1005" s="1356"/>
      <c r="AD1005" s="1422">
        <v>0</v>
      </c>
      <c r="AE1005" s="1422">
        <f t="shared" si="1422"/>
        <v>0</v>
      </c>
      <c r="AF1005" s="1423" t="str">
        <f t="shared" si="1423"/>
        <v/>
      </c>
      <c r="AG1005" s="1380"/>
      <c r="AH1005" s="1380"/>
      <c r="AI1005" s="1381">
        <v>0</v>
      </c>
      <c r="AJ1005" s="1382"/>
      <c r="AK1005" s="1383">
        <f t="shared" si="1441"/>
        <v>0</v>
      </c>
      <c r="AL1005" s="1384">
        <v>0</v>
      </c>
      <c r="AM1005" s="1363">
        <f t="shared" si="1428"/>
        <v>0</v>
      </c>
      <c r="AN1005" s="1364">
        <v>0</v>
      </c>
      <c r="AO1005" s="1365">
        <f t="shared" si="1429"/>
        <v>0</v>
      </c>
      <c r="AP1005" s="1366">
        <v>0</v>
      </c>
      <c r="AQ1005" s="1367">
        <f t="shared" si="1430"/>
        <v>0</v>
      </c>
      <c r="AR1005" s="1368">
        <v>0</v>
      </c>
      <c r="AS1005" s="1369">
        <f t="shared" si="1431"/>
        <v>0</v>
      </c>
      <c r="AT1005" s="1370">
        <v>0</v>
      </c>
      <c r="AU1005" s="1371">
        <f t="shared" si="1432"/>
        <v>0</v>
      </c>
      <c r="AV1005" s="1359">
        <f t="shared" si="1433"/>
        <v>0</v>
      </c>
      <c r="AW1005" s="1372">
        <f t="shared" si="1434"/>
        <v>0</v>
      </c>
      <c r="AX1005" s="1373">
        <f t="shared" si="1435"/>
        <v>0</v>
      </c>
      <c r="AY1005" s="1374">
        <f t="shared" si="1436"/>
        <v>0</v>
      </c>
      <c r="AZ1005" s="1375">
        <f t="shared" si="1437"/>
        <v>0</v>
      </c>
      <c r="BA1005" s="1376">
        <f t="shared" si="1438"/>
        <v>0</v>
      </c>
      <c r="BB1005" s="1377"/>
      <c r="BC1005" s="1836"/>
      <c r="BD1005" s="1836"/>
      <c r="BE1005" s="1839"/>
      <c r="BF1005" s="1845"/>
      <c r="BG1005" s="1842"/>
    </row>
    <row r="1006" spans="1:59" s="1378" customFormat="1" ht="27.75" customHeight="1">
      <c r="A1006" s="1347" t="str">
        <f t="shared" si="1424"/>
        <v>ABC</v>
      </c>
      <c r="B1006" s="1348" t="str">
        <f t="shared" si="1421"/>
        <v>Duenas</v>
      </c>
      <c r="C1006" s="1348">
        <f t="shared" si="1425"/>
        <v>0</v>
      </c>
      <c r="D1006" s="1349">
        <f t="shared" si="1426"/>
        <v>43101</v>
      </c>
      <c r="E1006" s="1349"/>
      <c r="F1006" s="1347" t="s">
        <v>72</v>
      </c>
      <c r="G1006" s="1347" t="s">
        <v>85</v>
      </c>
      <c r="H1006" s="1347" t="s">
        <v>72</v>
      </c>
      <c r="I1006" s="1347" t="s">
        <v>72</v>
      </c>
      <c r="J1006" s="1349" t="s">
        <v>4670</v>
      </c>
      <c r="K1006" s="1349"/>
      <c r="L1006" s="1518" t="s">
        <v>48</v>
      </c>
      <c r="M1006" s="1518" t="s">
        <v>3652</v>
      </c>
      <c r="N1006" s="1523" t="s">
        <v>5406</v>
      </c>
      <c r="O1006" s="1388" t="s">
        <v>4702</v>
      </c>
      <c r="P1006" s="1388"/>
      <c r="Q1006" s="1354"/>
      <c r="R1006" s="1354"/>
      <c r="S1006" s="1354"/>
      <c r="T1006" s="1354"/>
      <c r="U1006" s="1354"/>
      <c r="V1006" s="1354"/>
      <c r="W1006" s="1354"/>
      <c r="X1006" s="1353">
        <f t="shared" si="1439"/>
        <v>43101</v>
      </c>
      <c r="Y1006" s="1353">
        <f t="shared" si="1439"/>
        <v>43466</v>
      </c>
      <c r="Z1006" s="1355"/>
      <c r="AA1006" s="1355" t="s">
        <v>4674</v>
      </c>
      <c r="AB1006" s="1356"/>
      <c r="AC1006" s="1356"/>
      <c r="AD1006" s="1422">
        <v>0</v>
      </c>
      <c r="AE1006" s="1422">
        <f t="shared" si="1422"/>
        <v>0</v>
      </c>
      <c r="AF1006" s="1423" t="str">
        <f t="shared" si="1423"/>
        <v/>
      </c>
      <c r="AG1006" s="1380"/>
      <c r="AH1006" s="1380"/>
      <c r="AI1006" s="1381">
        <v>0</v>
      </c>
      <c r="AJ1006" s="1382"/>
      <c r="AK1006" s="1383">
        <f t="shared" si="1441"/>
        <v>0</v>
      </c>
      <c r="AL1006" s="1384">
        <v>0</v>
      </c>
      <c r="AM1006" s="1363">
        <f t="shared" si="1428"/>
        <v>0</v>
      </c>
      <c r="AN1006" s="1364">
        <v>0</v>
      </c>
      <c r="AO1006" s="1365">
        <f t="shared" si="1429"/>
        <v>0</v>
      </c>
      <c r="AP1006" s="1366">
        <v>0</v>
      </c>
      <c r="AQ1006" s="1367">
        <f t="shared" si="1430"/>
        <v>0</v>
      </c>
      <c r="AR1006" s="1368">
        <v>0</v>
      </c>
      <c r="AS1006" s="1369">
        <f t="shared" si="1431"/>
        <v>0</v>
      </c>
      <c r="AT1006" s="1370">
        <v>0</v>
      </c>
      <c r="AU1006" s="1371">
        <f t="shared" si="1432"/>
        <v>0</v>
      </c>
      <c r="AV1006" s="1359">
        <f t="shared" si="1433"/>
        <v>0</v>
      </c>
      <c r="AW1006" s="1372">
        <f t="shared" si="1434"/>
        <v>0</v>
      </c>
      <c r="AX1006" s="1373">
        <f t="shared" si="1435"/>
        <v>0</v>
      </c>
      <c r="AY1006" s="1374">
        <f t="shared" si="1436"/>
        <v>0</v>
      </c>
      <c r="AZ1006" s="1375">
        <f t="shared" si="1437"/>
        <v>0</v>
      </c>
      <c r="BA1006" s="1376">
        <f t="shared" si="1438"/>
        <v>0</v>
      </c>
      <c r="BB1006" s="1377"/>
      <c r="BC1006" s="1836"/>
      <c r="BD1006" s="1836"/>
      <c r="BE1006" s="1839"/>
      <c r="BF1006" s="1845"/>
      <c r="BG1006" s="1842"/>
    </row>
    <row r="1007" spans="1:59" s="1378" customFormat="1" ht="27.75" customHeight="1">
      <c r="A1007" s="1347" t="str">
        <f t="shared" si="1424"/>
        <v>ABC</v>
      </c>
      <c r="B1007" s="1348" t="str">
        <f t="shared" si="1421"/>
        <v>Duenas</v>
      </c>
      <c r="C1007" s="1348">
        <f t="shared" si="1425"/>
        <v>0</v>
      </c>
      <c r="D1007" s="1349">
        <f t="shared" si="1426"/>
        <v>43101</v>
      </c>
      <c r="E1007" s="1349"/>
      <c r="F1007" s="1347" t="s">
        <v>72</v>
      </c>
      <c r="G1007" s="1347" t="s">
        <v>85</v>
      </c>
      <c r="H1007" s="1347" t="s">
        <v>72</v>
      </c>
      <c r="I1007" s="1347" t="s">
        <v>72</v>
      </c>
      <c r="J1007" s="1349" t="s">
        <v>4670</v>
      </c>
      <c r="K1007" s="1349"/>
      <c r="L1007" s="1518" t="s">
        <v>48</v>
      </c>
      <c r="M1007" s="1518" t="s">
        <v>5033</v>
      </c>
      <c r="N1007" s="1522" t="s">
        <v>5407</v>
      </c>
      <c r="O1007" s="1388" t="s">
        <v>5035</v>
      </c>
      <c r="P1007" s="1388"/>
      <c r="Q1007" s="1354"/>
      <c r="R1007" s="1354"/>
      <c r="S1007" s="1354"/>
      <c r="T1007" s="1354"/>
      <c r="U1007" s="1354"/>
      <c r="V1007" s="1354"/>
      <c r="W1007" s="1354"/>
      <c r="X1007" s="1353">
        <f t="shared" si="1439"/>
        <v>43101</v>
      </c>
      <c r="Y1007" s="1353">
        <f t="shared" si="1439"/>
        <v>43466</v>
      </c>
      <c r="Z1007" s="1355"/>
      <c r="AA1007" s="1355" t="s">
        <v>4674</v>
      </c>
      <c r="AB1007" s="1356"/>
      <c r="AC1007" s="1356"/>
      <c r="AD1007" s="1422">
        <v>0</v>
      </c>
      <c r="AE1007" s="1422">
        <f t="shared" si="1422"/>
        <v>0</v>
      </c>
      <c r="AF1007" s="1423" t="str">
        <f t="shared" si="1423"/>
        <v/>
      </c>
      <c r="AG1007" s="1380"/>
      <c r="AH1007" s="1380"/>
      <c r="AI1007" s="1381">
        <v>0</v>
      </c>
      <c r="AJ1007" s="1382"/>
      <c r="AK1007" s="1383">
        <f t="shared" si="1441"/>
        <v>0</v>
      </c>
      <c r="AL1007" s="1384">
        <v>0</v>
      </c>
      <c r="AM1007" s="1363">
        <f t="shared" si="1428"/>
        <v>0</v>
      </c>
      <c r="AN1007" s="1364">
        <v>0</v>
      </c>
      <c r="AO1007" s="1365">
        <f t="shared" si="1429"/>
        <v>0</v>
      </c>
      <c r="AP1007" s="1366">
        <v>0</v>
      </c>
      <c r="AQ1007" s="1367">
        <f t="shared" si="1430"/>
        <v>0</v>
      </c>
      <c r="AR1007" s="1368">
        <v>0</v>
      </c>
      <c r="AS1007" s="1369">
        <f t="shared" si="1431"/>
        <v>0</v>
      </c>
      <c r="AT1007" s="1370">
        <v>0</v>
      </c>
      <c r="AU1007" s="1371">
        <f t="shared" si="1432"/>
        <v>0</v>
      </c>
      <c r="AV1007" s="1359">
        <f t="shared" si="1433"/>
        <v>0</v>
      </c>
      <c r="AW1007" s="1372">
        <f t="shared" si="1434"/>
        <v>0</v>
      </c>
      <c r="AX1007" s="1373">
        <f t="shared" si="1435"/>
        <v>0</v>
      </c>
      <c r="AY1007" s="1374">
        <f t="shared" si="1436"/>
        <v>0</v>
      </c>
      <c r="AZ1007" s="1375">
        <f t="shared" si="1437"/>
        <v>0</v>
      </c>
      <c r="BA1007" s="1376">
        <f t="shared" si="1438"/>
        <v>0</v>
      </c>
      <c r="BB1007" s="1377"/>
      <c r="BC1007" s="1836"/>
      <c r="BD1007" s="1836"/>
      <c r="BE1007" s="1839"/>
      <c r="BF1007" s="1845"/>
      <c r="BG1007" s="1842"/>
    </row>
    <row r="1008" spans="1:59" s="1378" customFormat="1" ht="27.75" customHeight="1">
      <c r="A1008" s="1347" t="str">
        <f t="shared" si="1424"/>
        <v>ABC</v>
      </c>
      <c r="B1008" s="1348" t="str">
        <f t="shared" si="1421"/>
        <v>Duenas</v>
      </c>
      <c r="C1008" s="1348">
        <f t="shared" si="1425"/>
        <v>0</v>
      </c>
      <c r="D1008" s="1349">
        <f t="shared" si="1426"/>
        <v>43101</v>
      </c>
      <c r="E1008" s="1349"/>
      <c r="F1008" s="1347" t="s">
        <v>72</v>
      </c>
      <c r="G1008" s="1347" t="s">
        <v>85</v>
      </c>
      <c r="H1008" s="1347" t="s">
        <v>72</v>
      </c>
      <c r="I1008" s="1347" t="s">
        <v>72</v>
      </c>
      <c r="J1008" s="1349" t="s">
        <v>4670</v>
      </c>
      <c r="K1008" s="1349"/>
      <c r="L1008" s="1518" t="s">
        <v>48</v>
      </c>
      <c r="M1008" s="1518" t="s">
        <v>253</v>
      </c>
      <c r="N1008" s="1523" t="s">
        <v>5408</v>
      </c>
      <c r="O1008" s="1388" t="s">
        <v>4704</v>
      </c>
      <c r="P1008" s="1388"/>
      <c r="Q1008" s="1354"/>
      <c r="R1008" s="1354"/>
      <c r="S1008" s="1354"/>
      <c r="T1008" s="1354"/>
      <c r="U1008" s="1354"/>
      <c r="V1008" s="1354"/>
      <c r="W1008" s="1354"/>
      <c r="X1008" s="1353">
        <f t="shared" si="1439"/>
        <v>43101</v>
      </c>
      <c r="Y1008" s="1353">
        <f t="shared" si="1439"/>
        <v>43466</v>
      </c>
      <c r="Z1008" s="1355"/>
      <c r="AA1008" s="1355" t="s">
        <v>4674</v>
      </c>
      <c r="AB1008" s="1356"/>
      <c r="AC1008" s="1356"/>
      <c r="AD1008" s="1422">
        <v>0</v>
      </c>
      <c r="AE1008" s="1422">
        <f t="shared" si="1422"/>
        <v>0</v>
      </c>
      <c r="AF1008" s="1423" t="str">
        <f t="shared" si="1423"/>
        <v/>
      </c>
      <c r="AG1008" s="1380"/>
      <c r="AH1008" s="1380"/>
      <c r="AI1008" s="1381">
        <v>0</v>
      </c>
      <c r="AJ1008" s="1382"/>
      <c r="AK1008" s="1383">
        <f t="shared" si="1441"/>
        <v>0</v>
      </c>
      <c r="AL1008" s="1384">
        <v>0</v>
      </c>
      <c r="AM1008" s="1363">
        <f t="shared" si="1428"/>
        <v>0</v>
      </c>
      <c r="AN1008" s="1364">
        <v>0</v>
      </c>
      <c r="AO1008" s="1365">
        <f t="shared" si="1429"/>
        <v>0</v>
      </c>
      <c r="AP1008" s="1366">
        <v>0</v>
      </c>
      <c r="AQ1008" s="1367">
        <f t="shared" si="1430"/>
        <v>0</v>
      </c>
      <c r="AR1008" s="1368">
        <v>0</v>
      </c>
      <c r="AS1008" s="1369">
        <f t="shared" si="1431"/>
        <v>0</v>
      </c>
      <c r="AT1008" s="1370">
        <v>0</v>
      </c>
      <c r="AU1008" s="1371">
        <f t="shared" si="1432"/>
        <v>0</v>
      </c>
      <c r="AV1008" s="1359">
        <f t="shared" si="1433"/>
        <v>0</v>
      </c>
      <c r="AW1008" s="1372">
        <f t="shared" si="1434"/>
        <v>0</v>
      </c>
      <c r="AX1008" s="1373">
        <f t="shared" si="1435"/>
        <v>0</v>
      </c>
      <c r="AY1008" s="1374">
        <f t="shared" si="1436"/>
        <v>0</v>
      </c>
      <c r="AZ1008" s="1375">
        <f t="shared" si="1437"/>
        <v>0</v>
      </c>
      <c r="BA1008" s="1376">
        <f t="shared" si="1438"/>
        <v>0</v>
      </c>
      <c r="BB1008" s="1391"/>
      <c r="BC1008" s="1836"/>
      <c r="BD1008" s="1836"/>
      <c r="BE1008" s="1839"/>
      <c r="BF1008" s="1845"/>
      <c r="BG1008" s="1842"/>
    </row>
    <row r="1009" spans="1:63" s="1378" customFormat="1" ht="27.75" customHeight="1">
      <c r="A1009" s="1347" t="str">
        <f t="shared" si="1424"/>
        <v>ABC</v>
      </c>
      <c r="B1009" s="1348" t="str">
        <f t="shared" si="1421"/>
        <v>Duenas</v>
      </c>
      <c r="C1009" s="1348">
        <f t="shared" si="1425"/>
        <v>0</v>
      </c>
      <c r="D1009" s="1349">
        <f t="shared" si="1426"/>
        <v>43101</v>
      </c>
      <c r="E1009" s="1349"/>
      <c r="F1009" s="1347" t="s">
        <v>72</v>
      </c>
      <c r="G1009" s="1347" t="s">
        <v>85</v>
      </c>
      <c r="H1009" s="1347" t="s">
        <v>72</v>
      </c>
      <c r="I1009" s="1347" t="s">
        <v>72</v>
      </c>
      <c r="J1009" s="1349" t="s">
        <v>4670</v>
      </c>
      <c r="K1009" s="1349"/>
      <c r="L1009" s="1518" t="s">
        <v>49</v>
      </c>
      <c r="M1009" s="1518" t="s">
        <v>4705</v>
      </c>
      <c r="N1009" s="1523" t="s">
        <v>5409</v>
      </c>
      <c r="O1009" s="1388" t="s">
        <v>4707</v>
      </c>
      <c r="P1009" s="1388"/>
      <c r="Q1009" s="1354"/>
      <c r="R1009" s="1354"/>
      <c r="S1009" s="1354"/>
      <c r="T1009" s="1354"/>
      <c r="U1009" s="1354"/>
      <c r="V1009" s="1354"/>
      <c r="W1009" s="1354"/>
      <c r="X1009" s="1353">
        <f t="shared" si="1439"/>
        <v>43101</v>
      </c>
      <c r="Y1009" s="1353">
        <f t="shared" si="1439"/>
        <v>43466</v>
      </c>
      <c r="Z1009" s="1355"/>
      <c r="AA1009" s="1355" t="s">
        <v>4674</v>
      </c>
      <c r="AB1009" s="1356"/>
      <c r="AC1009" s="1356"/>
      <c r="AD1009" s="1422">
        <v>0</v>
      </c>
      <c r="AE1009" s="1422">
        <f t="shared" si="1422"/>
        <v>0</v>
      </c>
      <c r="AF1009" s="1423" t="str">
        <f t="shared" si="1423"/>
        <v/>
      </c>
      <c r="AG1009" s="1380"/>
      <c r="AH1009" s="1380"/>
      <c r="AI1009" s="1381">
        <v>0</v>
      </c>
      <c r="AJ1009" s="1382"/>
      <c r="AK1009" s="1383">
        <f t="shared" si="1441"/>
        <v>0</v>
      </c>
      <c r="AL1009" s="1384">
        <v>0</v>
      </c>
      <c r="AM1009" s="1363">
        <f t="shared" si="1428"/>
        <v>0</v>
      </c>
      <c r="AN1009" s="1364">
        <v>0</v>
      </c>
      <c r="AO1009" s="1365">
        <f t="shared" si="1429"/>
        <v>0</v>
      </c>
      <c r="AP1009" s="1366">
        <v>0</v>
      </c>
      <c r="AQ1009" s="1367">
        <f t="shared" si="1430"/>
        <v>0</v>
      </c>
      <c r="AR1009" s="1368">
        <v>0</v>
      </c>
      <c r="AS1009" s="1369">
        <f t="shared" si="1431"/>
        <v>0</v>
      </c>
      <c r="AT1009" s="1370">
        <v>0</v>
      </c>
      <c r="AU1009" s="1371">
        <f t="shared" si="1432"/>
        <v>0</v>
      </c>
      <c r="AV1009" s="1359">
        <f t="shared" si="1433"/>
        <v>0</v>
      </c>
      <c r="AW1009" s="1372">
        <f t="shared" si="1434"/>
        <v>0</v>
      </c>
      <c r="AX1009" s="1373">
        <f t="shared" si="1435"/>
        <v>0</v>
      </c>
      <c r="AY1009" s="1374">
        <f t="shared" si="1436"/>
        <v>0</v>
      </c>
      <c r="AZ1009" s="1375">
        <f t="shared" si="1437"/>
        <v>0</v>
      </c>
      <c r="BA1009" s="1376">
        <f t="shared" si="1438"/>
        <v>0</v>
      </c>
      <c r="BB1009" s="1391"/>
      <c r="BC1009" s="1836"/>
      <c r="BD1009" s="1836"/>
      <c r="BE1009" s="1839"/>
      <c r="BF1009" s="1845"/>
      <c r="BG1009" s="1842"/>
    </row>
    <row r="1010" spans="1:63" s="1378" customFormat="1" ht="27.75" customHeight="1">
      <c r="A1010" s="1347" t="str">
        <f t="shared" si="1424"/>
        <v>ABC</v>
      </c>
      <c r="B1010" s="1348" t="str">
        <f t="shared" si="1421"/>
        <v>Duenas</v>
      </c>
      <c r="C1010" s="1348">
        <f t="shared" si="1425"/>
        <v>0</v>
      </c>
      <c r="D1010" s="1349">
        <f t="shared" si="1426"/>
        <v>43101</v>
      </c>
      <c r="E1010" s="1349"/>
      <c r="F1010" s="1347" t="s">
        <v>72</v>
      </c>
      <c r="G1010" s="1347" t="s">
        <v>85</v>
      </c>
      <c r="H1010" s="1347" t="s">
        <v>72</v>
      </c>
      <c r="I1010" s="1347" t="s">
        <v>72</v>
      </c>
      <c r="J1010" s="1349" t="s">
        <v>4670</v>
      </c>
      <c r="K1010" s="1349"/>
      <c r="L1010" s="1518" t="s">
        <v>3056</v>
      </c>
      <c r="M1010" s="1518" t="s">
        <v>4708</v>
      </c>
      <c r="N1010" s="1523" t="s">
        <v>5410</v>
      </c>
      <c r="O1010" s="1388" t="s">
        <v>4710</v>
      </c>
      <c r="P1010" s="1388"/>
      <c r="Q1010" s="1354"/>
      <c r="R1010" s="1354"/>
      <c r="S1010" s="1354"/>
      <c r="T1010" s="1354"/>
      <c r="U1010" s="1354"/>
      <c r="V1010" s="1354"/>
      <c r="W1010" s="1354"/>
      <c r="X1010" s="1353">
        <f t="shared" si="1439"/>
        <v>43101</v>
      </c>
      <c r="Y1010" s="1353">
        <f t="shared" si="1439"/>
        <v>43466</v>
      </c>
      <c r="Z1010" s="1355"/>
      <c r="AA1010" s="1355" t="s">
        <v>4674</v>
      </c>
      <c r="AB1010" s="1356"/>
      <c r="AC1010" s="1356"/>
      <c r="AD1010" s="1422">
        <v>0</v>
      </c>
      <c r="AE1010" s="1422">
        <f t="shared" si="1422"/>
        <v>0</v>
      </c>
      <c r="AF1010" s="1423" t="str">
        <f t="shared" si="1423"/>
        <v/>
      </c>
      <c r="AG1010" s="1380"/>
      <c r="AH1010" s="1380"/>
      <c r="AI1010" s="1381">
        <v>0</v>
      </c>
      <c r="AJ1010" s="1382"/>
      <c r="AK1010" s="1383">
        <f t="shared" si="1441"/>
        <v>0</v>
      </c>
      <c r="AL1010" s="1384">
        <v>0</v>
      </c>
      <c r="AM1010" s="1363">
        <f t="shared" si="1428"/>
        <v>0</v>
      </c>
      <c r="AN1010" s="1364">
        <v>0</v>
      </c>
      <c r="AO1010" s="1365">
        <f t="shared" si="1429"/>
        <v>0</v>
      </c>
      <c r="AP1010" s="1366">
        <v>0</v>
      </c>
      <c r="AQ1010" s="1367">
        <f t="shared" si="1430"/>
        <v>0</v>
      </c>
      <c r="AR1010" s="1368">
        <v>0</v>
      </c>
      <c r="AS1010" s="1369">
        <f t="shared" si="1431"/>
        <v>0</v>
      </c>
      <c r="AT1010" s="1370">
        <v>0</v>
      </c>
      <c r="AU1010" s="1371">
        <f t="shared" si="1432"/>
        <v>0</v>
      </c>
      <c r="AV1010" s="1359">
        <f t="shared" si="1433"/>
        <v>0</v>
      </c>
      <c r="AW1010" s="1372">
        <f t="shared" si="1434"/>
        <v>0</v>
      </c>
      <c r="AX1010" s="1373">
        <f t="shared" si="1435"/>
        <v>0</v>
      </c>
      <c r="AY1010" s="1374">
        <f t="shared" si="1436"/>
        <v>0</v>
      </c>
      <c r="AZ1010" s="1375">
        <f t="shared" si="1437"/>
        <v>0</v>
      </c>
      <c r="BA1010" s="1376">
        <f t="shared" si="1438"/>
        <v>0</v>
      </c>
      <c r="BB1010" s="1391"/>
      <c r="BC1010" s="1837"/>
      <c r="BD1010" s="1837"/>
      <c r="BE1010" s="1840"/>
      <c r="BF1010" s="1846"/>
      <c r="BG1010" s="1843"/>
    </row>
    <row r="1011" spans="1:63">
      <c r="L1011" s="1526"/>
      <c r="M1011" s="1526"/>
      <c r="N1011" s="1526"/>
      <c r="O1011" s="1527"/>
      <c r="P1011" s="1528"/>
      <c r="X1011" s="1529"/>
      <c r="Y1011" s="1529"/>
      <c r="Z1011" s="1530"/>
      <c r="AA1011" s="1530"/>
      <c r="AB1011" s="1531"/>
      <c r="AC1011" s="1531"/>
      <c r="AD1011" s="1531"/>
      <c r="AE1011" s="1531"/>
      <c r="AF1011" s="1532"/>
      <c r="AG1011" s="1533"/>
      <c r="AH1011" s="1533"/>
      <c r="AI1011" s="1534"/>
      <c r="AJ1011" s="1535"/>
      <c r="AK1011" s="1535"/>
      <c r="AL1011" s="1532"/>
      <c r="AM1011" s="1531"/>
      <c r="AN1011" s="1534"/>
      <c r="AO1011" s="1531"/>
      <c r="AP1011" s="1534"/>
      <c r="AQ1011" s="1531"/>
      <c r="AR1011" s="1534"/>
      <c r="AS1011" s="1531"/>
      <c r="AT1011" s="1534"/>
      <c r="AU1011" s="1531"/>
      <c r="AV1011" s="1534"/>
      <c r="AW1011" s="1531"/>
      <c r="AX1011" s="1534"/>
      <c r="AY1011" s="1531"/>
      <c r="AZ1011" s="1534"/>
      <c r="BA1011" s="1531"/>
      <c r="BB1011" s="1536"/>
      <c r="BC1011" s="1530"/>
      <c r="BD1011" s="1530"/>
      <c r="BE1011" s="1530"/>
      <c r="BF1011" s="1530"/>
      <c r="BG1011" s="1537"/>
      <c r="BH1011" s="1538"/>
      <c r="BI1011" s="1538"/>
      <c r="BJ1011" s="1538"/>
      <c r="BK1011" s="1538"/>
    </row>
    <row r="1012" spans="1:63" s="1315" customFormat="1" ht="26.25" customHeight="1">
      <c r="A1012" s="1277" t="str">
        <f>L1012</f>
        <v>ABC</v>
      </c>
      <c r="B1012" s="1316" t="str">
        <f t="shared" ref="B1012:B1032" si="1444">N$1012</f>
        <v>HUB SD</v>
      </c>
      <c r="C1012" s="1316">
        <f>Z1012</f>
        <v>0</v>
      </c>
      <c r="D1012" s="1317">
        <v>43101</v>
      </c>
      <c r="E1012" s="1317"/>
      <c r="F1012" s="1277" t="s">
        <v>72</v>
      </c>
      <c r="G1012" s="1277" t="s">
        <v>72</v>
      </c>
      <c r="H1012" s="1277" t="s">
        <v>72</v>
      </c>
      <c r="I1012" s="1277" t="s">
        <v>4711</v>
      </c>
      <c r="J1012" s="1317"/>
      <c r="K1012" s="1317"/>
      <c r="L1012" s="1318" t="s">
        <v>5385</v>
      </c>
      <c r="M1012" s="1318"/>
      <c r="N1012" s="1320" t="s">
        <v>4661</v>
      </c>
      <c r="O1012" s="1321" t="s">
        <v>5386</v>
      </c>
      <c r="P1012" s="1419"/>
      <c r="Q1012" s="1322"/>
      <c r="R1012" s="1322"/>
      <c r="S1012" s="1322"/>
      <c r="T1012" s="1322"/>
      <c r="U1012" s="1322"/>
      <c r="V1012" s="1322"/>
      <c r="W1012" s="1322"/>
      <c r="X1012" s="1317">
        <v>43101</v>
      </c>
      <c r="Y1012" s="1317">
        <v>43466</v>
      </c>
      <c r="Z1012" s="1316">
        <v>0</v>
      </c>
      <c r="AA1012" s="1316" t="s">
        <v>5387</v>
      </c>
      <c r="AB1012" s="1323">
        <f>SUM(AB1013:AB1032)</f>
        <v>0</v>
      </c>
      <c r="AC1012" s="1323">
        <f>SUM(AC1013:AC1032)</f>
        <v>0</v>
      </c>
      <c r="AD1012" s="1323">
        <f>SUM(AD1013:AD1032)</f>
        <v>0</v>
      </c>
      <c r="AE1012" s="1324">
        <f t="shared" ref="AE1012:AE1032" si="1445">AD1012-AB1012</f>
        <v>0</v>
      </c>
      <c r="AF1012" s="1325" t="str">
        <f t="shared" ref="AF1012:AF1032" si="1446">IFERROR((AE1012/AB1012),"")</f>
        <v/>
      </c>
      <c r="AG1012" s="1326">
        <f>SUM(AG1013:AG1032)</f>
        <v>0</v>
      </c>
      <c r="AH1012" s="1326">
        <f>SUM(AH1013:AH1032)</f>
        <v>0</v>
      </c>
      <c r="AI1012" s="1339"/>
      <c r="AJ1012" s="1328">
        <f>SUM(AJ1013:AJ1032)</f>
        <v>0</v>
      </c>
      <c r="AK1012" s="1328">
        <f>SUM(AK1013:AK1032)</f>
        <v>0</v>
      </c>
      <c r="AL1012" s="1329"/>
      <c r="AM1012" s="1330">
        <f>SUM(AM1013:AM1032)</f>
        <v>0</v>
      </c>
      <c r="AN1012" s="1331"/>
      <c r="AO1012" s="1332">
        <f>SUM(AO1013:AO1032)</f>
        <v>0</v>
      </c>
      <c r="AP1012" s="1333"/>
      <c r="AQ1012" s="1334">
        <f>SUM(AQ1013:AQ1032)</f>
        <v>0</v>
      </c>
      <c r="AR1012" s="1335"/>
      <c r="AS1012" s="1336">
        <f>SUM(AS1013:AS1032)</f>
        <v>0</v>
      </c>
      <c r="AT1012" s="1337"/>
      <c r="AU1012" s="1338">
        <f>SUM(AU1013:AU1032)</f>
        <v>0</v>
      </c>
      <c r="AV1012" s="1339"/>
      <c r="AW1012" s="1340">
        <f>SUM(AW1013:AW1032)</f>
        <v>0</v>
      </c>
      <c r="AX1012" s="1306"/>
      <c r="AY1012" s="1307">
        <f>SUM(AW1012+AS1012+AU1012)</f>
        <v>0</v>
      </c>
      <c r="AZ1012" s="1341"/>
      <c r="BA1012" s="1309">
        <f>SUM(AY1012+AQ1012)</f>
        <v>0</v>
      </c>
      <c r="BB1012" s="1342" t="e">
        <f>(AW1012+AU1012)/(AK1012-AM1012)</f>
        <v>#DIV/0!</v>
      </c>
      <c r="BC1012" s="1343"/>
      <c r="BD1012" s="1343"/>
      <c r="BE1012" s="1344"/>
      <c r="BF1012" s="1345" t="s">
        <v>5388</v>
      </c>
      <c r="BG1012" s="1346"/>
    </row>
    <row r="1013" spans="1:63" s="1378" customFormat="1" ht="153">
      <c r="A1013" s="1347" t="str">
        <f t="shared" ref="A1013:A1032" si="1447">L$1012</f>
        <v>ABC</v>
      </c>
      <c r="B1013" s="1348" t="str">
        <f t="shared" si="1444"/>
        <v>HUB SD</v>
      </c>
      <c r="C1013" s="1348">
        <f t="shared" ref="C1013:C1032" si="1448">Z$1012</f>
        <v>0</v>
      </c>
      <c r="D1013" s="1349">
        <f t="shared" ref="D1013:D1032" si="1449">D$1012</f>
        <v>43101</v>
      </c>
      <c r="E1013" s="1349"/>
      <c r="F1013" s="1347" t="s">
        <v>85</v>
      </c>
      <c r="G1013" s="1347" t="s">
        <v>85</v>
      </c>
      <c r="H1013" s="1347" t="s">
        <v>85</v>
      </c>
      <c r="I1013" s="1347" t="s">
        <v>5389</v>
      </c>
      <c r="J1013" s="1349"/>
      <c r="K1013" s="1349"/>
      <c r="L1013" s="1518" t="s">
        <v>2661</v>
      </c>
      <c r="M1013" s="1518" t="s">
        <v>3647</v>
      </c>
      <c r="N1013" s="1451" t="s">
        <v>5390</v>
      </c>
      <c r="O1013" s="1388" t="s">
        <v>5391</v>
      </c>
      <c r="P1013" s="1388" t="s">
        <v>5392</v>
      </c>
      <c r="Q1013" s="1502" t="s">
        <v>5393</v>
      </c>
      <c r="R1013" s="1502" t="s">
        <v>5394</v>
      </c>
      <c r="S1013" s="1502" t="s">
        <v>307</v>
      </c>
      <c r="T1013" s="1502" t="s">
        <v>113</v>
      </c>
      <c r="U1013" s="1354"/>
      <c r="V1013" s="1354"/>
      <c r="W1013" s="1354"/>
      <c r="X1013" s="1353">
        <f t="shared" ref="X1013:Y1032" si="1450">X$1012</f>
        <v>43101</v>
      </c>
      <c r="Y1013" s="1353">
        <f t="shared" si="1450"/>
        <v>43466</v>
      </c>
      <c r="Z1013" s="1355"/>
      <c r="AA1013" s="1355" t="s">
        <v>4667</v>
      </c>
      <c r="AB1013" s="1422"/>
      <c r="AC1013" s="1422"/>
      <c r="AD1013" s="1422">
        <f>AH1013</f>
        <v>0</v>
      </c>
      <c r="AE1013" s="1422">
        <f t="shared" si="1445"/>
        <v>0</v>
      </c>
      <c r="AF1013" s="1423" t="str">
        <f t="shared" si="1446"/>
        <v/>
      </c>
      <c r="AG1013" s="1358">
        <v>0</v>
      </c>
      <c r="AH1013" s="1426">
        <f t="shared" ref="AH1013:AH1018" si="1451">AG1013*12</f>
        <v>0</v>
      </c>
      <c r="AI1013" s="1359">
        <v>0.08</v>
      </c>
      <c r="AJ1013" s="1360">
        <f>$AI1013*$AG1013</f>
        <v>0</v>
      </c>
      <c r="AK1013" s="1361">
        <f t="shared" ref="AK1013" si="1452">AI1013*$AH1013</f>
        <v>0</v>
      </c>
      <c r="AL1013" s="1362">
        <v>5.0000000000000001E-3</v>
      </c>
      <c r="AM1013" s="1363">
        <f t="shared" ref="AM1013:AM1032" si="1453">AL1013*$AH1013</f>
        <v>0</v>
      </c>
      <c r="AN1013" s="1364">
        <v>0</v>
      </c>
      <c r="AO1013" s="1365">
        <f t="shared" ref="AO1013:AO1032" si="1454">AN1013*$AH1013</f>
        <v>0</v>
      </c>
      <c r="AP1013" s="1366">
        <v>0</v>
      </c>
      <c r="AQ1013" s="1367">
        <f t="shared" ref="AQ1013:AQ1032" si="1455">AP1013*$AH1013</f>
        <v>0</v>
      </c>
      <c r="AR1013" s="1368">
        <v>0.04</v>
      </c>
      <c r="AS1013" s="1369">
        <f t="shared" ref="AS1013:AS1032" si="1456">AR1013*$AH1013</f>
        <v>0</v>
      </c>
      <c r="AT1013" s="1370">
        <v>2.5000000000000001E-2</v>
      </c>
      <c r="AU1013" s="1371">
        <f t="shared" ref="AU1013:AU1032" si="1457">AT1013*$AH1013</f>
        <v>0</v>
      </c>
      <c r="AV1013" s="1359">
        <f t="shared" ref="AV1013:AV1032" si="1458">AZ1013-AR1013-AT1013-AP1013</f>
        <v>9.999999999999995E-3</v>
      </c>
      <c r="AW1013" s="1372">
        <f t="shared" ref="AW1013:AW1032" si="1459">AV1013*$AH1013</f>
        <v>0</v>
      </c>
      <c r="AX1013" s="1373">
        <f t="shared" ref="AX1013:AX1032" si="1460">$AZ1013-$AP1013</f>
        <v>7.4999999999999997E-2</v>
      </c>
      <c r="AY1013" s="1374">
        <f t="shared" ref="AY1013:AY1032" si="1461">AX1013*$AH1013</f>
        <v>0</v>
      </c>
      <c r="AZ1013" s="1375">
        <f t="shared" ref="AZ1013:AZ1032" si="1462">$AI1013-$AL1013-$AN1013</f>
        <v>7.4999999999999997E-2</v>
      </c>
      <c r="BA1013" s="1376">
        <f t="shared" ref="BA1013:BA1032" si="1463">AZ1013*$AH1013</f>
        <v>0</v>
      </c>
      <c r="BB1013" s="1391"/>
      <c r="BC1013" s="1835" t="s">
        <v>5395</v>
      </c>
      <c r="BD1013" s="1835" t="s">
        <v>5396</v>
      </c>
      <c r="BE1013" s="1838" t="s">
        <v>5396</v>
      </c>
      <c r="BF1013" s="1834" t="s">
        <v>5417</v>
      </c>
      <c r="BG1013" s="1841">
        <v>12345678</v>
      </c>
    </row>
    <row r="1014" spans="1:63" s="1378" customFormat="1" ht="38.25">
      <c r="A1014" s="1347" t="str">
        <f t="shared" si="1447"/>
        <v>ABC</v>
      </c>
      <c r="B1014" s="1348" t="str">
        <f t="shared" si="1444"/>
        <v>HUB SD</v>
      </c>
      <c r="C1014" s="1348">
        <f t="shared" si="1448"/>
        <v>0</v>
      </c>
      <c r="D1014" s="1349">
        <f t="shared" si="1449"/>
        <v>43101</v>
      </c>
      <c r="E1014" s="1349"/>
      <c r="F1014" s="1347" t="s">
        <v>72</v>
      </c>
      <c r="G1014" s="1347" t="s">
        <v>85</v>
      </c>
      <c r="H1014" s="1347" t="s">
        <v>72</v>
      </c>
      <c r="I1014" s="1347" t="s">
        <v>72</v>
      </c>
      <c r="J1014" s="1349" t="s">
        <v>4670</v>
      </c>
      <c r="K1014" s="1349"/>
      <c r="L1014" s="1518" t="s">
        <v>4671</v>
      </c>
      <c r="M1014" s="1518" t="s">
        <v>3649</v>
      </c>
      <c r="N1014" s="1519" t="s">
        <v>5418</v>
      </c>
      <c r="O1014" s="1388" t="s">
        <v>4832</v>
      </c>
      <c r="P1014" s="1388"/>
      <c r="Q1014" s="1354"/>
      <c r="R1014" s="1354"/>
      <c r="S1014" s="1354"/>
      <c r="T1014" s="1354"/>
      <c r="U1014" s="1354"/>
      <c r="V1014" s="1354"/>
      <c r="W1014" s="1354"/>
      <c r="X1014" s="1353">
        <f t="shared" si="1450"/>
        <v>43101</v>
      </c>
      <c r="Y1014" s="1353">
        <f t="shared" si="1450"/>
        <v>43466</v>
      </c>
      <c r="Z1014" s="1355"/>
      <c r="AA1014" s="1355" t="s">
        <v>4674</v>
      </c>
      <c r="AB1014" s="1356"/>
      <c r="AC1014" s="1356"/>
      <c r="AD1014" s="1422">
        <v>0</v>
      </c>
      <c r="AE1014" s="1422">
        <f t="shared" si="1445"/>
        <v>0</v>
      </c>
      <c r="AF1014" s="1423" t="str">
        <f t="shared" si="1446"/>
        <v/>
      </c>
      <c r="AG1014" s="1380"/>
      <c r="AH1014" s="1380"/>
      <c r="AI1014" s="1381">
        <v>0</v>
      </c>
      <c r="AJ1014" s="1382"/>
      <c r="AK1014" s="1383">
        <f>AI1014*$AH1014</f>
        <v>0</v>
      </c>
      <c r="AL1014" s="1384">
        <v>0</v>
      </c>
      <c r="AM1014" s="1363">
        <f t="shared" si="1453"/>
        <v>0</v>
      </c>
      <c r="AN1014" s="1364">
        <v>0</v>
      </c>
      <c r="AO1014" s="1365">
        <f t="shared" si="1454"/>
        <v>0</v>
      </c>
      <c r="AP1014" s="1366">
        <v>0</v>
      </c>
      <c r="AQ1014" s="1367">
        <f t="shared" si="1455"/>
        <v>0</v>
      </c>
      <c r="AR1014" s="1368">
        <v>0</v>
      </c>
      <c r="AS1014" s="1369">
        <f t="shared" si="1456"/>
        <v>0</v>
      </c>
      <c r="AT1014" s="1370">
        <v>0</v>
      </c>
      <c r="AU1014" s="1371">
        <f t="shared" si="1457"/>
        <v>0</v>
      </c>
      <c r="AV1014" s="1359">
        <f t="shared" si="1458"/>
        <v>0</v>
      </c>
      <c r="AW1014" s="1372">
        <f t="shared" si="1459"/>
        <v>0</v>
      </c>
      <c r="AX1014" s="1373">
        <f t="shared" si="1460"/>
        <v>0</v>
      </c>
      <c r="AY1014" s="1374">
        <f t="shared" si="1461"/>
        <v>0</v>
      </c>
      <c r="AZ1014" s="1375">
        <f t="shared" si="1462"/>
        <v>0</v>
      </c>
      <c r="BA1014" s="1376">
        <f t="shared" si="1463"/>
        <v>0</v>
      </c>
      <c r="BB1014" s="1391"/>
      <c r="BC1014" s="1836"/>
      <c r="BD1014" s="1836"/>
      <c r="BE1014" s="1839"/>
      <c r="BF1014" s="1834"/>
      <c r="BG1014" s="1842"/>
    </row>
    <row r="1015" spans="1:63" s="1378" customFormat="1" ht="25.5">
      <c r="A1015" s="1347" t="str">
        <f t="shared" si="1447"/>
        <v>ABC</v>
      </c>
      <c r="B1015" s="1348" t="str">
        <f t="shared" si="1444"/>
        <v>HUB SD</v>
      </c>
      <c r="C1015" s="1348">
        <f t="shared" si="1448"/>
        <v>0</v>
      </c>
      <c r="D1015" s="1349">
        <f t="shared" si="1449"/>
        <v>43101</v>
      </c>
      <c r="E1015" s="1349"/>
      <c r="F1015" s="1347" t="s">
        <v>113</v>
      </c>
      <c r="G1015" s="1347" t="s">
        <v>113</v>
      </c>
      <c r="H1015" s="1347" t="s">
        <v>113</v>
      </c>
      <c r="I1015" s="1347" t="s">
        <v>113</v>
      </c>
      <c r="J1015" s="1349"/>
      <c r="K1015" s="1349"/>
      <c r="L1015" s="1524" t="s">
        <v>4767</v>
      </c>
      <c r="M1015" s="1524" t="s">
        <v>3647</v>
      </c>
      <c r="N1015" s="1525" t="s">
        <v>5413</v>
      </c>
      <c r="O1015" s="1424" t="s">
        <v>3025</v>
      </c>
      <c r="P1015" s="1424"/>
      <c r="Q1015" s="1400"/>
      <c r="R1015" s="1400"/>
      <c r="S1015" s="1400"/>
      <c r="T1015" s="1400"/>
      <c r="U1015" s="1480"/>
      <c r="V1015" s="1400"/>
      <c r="W1015" s="1400"/>
      <c r="X1015" s="1353">
        <f t="shared" si="1450"/>
        <v>43101</v>
      </c>
      <c r="Y1015" s="1353">
        <f t="shared" si="1450"/>
        <v>43466</v>
      </c>
      <c r="Z1015" s="1401"/>
      <c r="AA1015" s="1401" t="s">
        <v>5296</v>
      </c>
      <c r="AB1015" s="1369"/>
      <c r="AC1015" s="1369"/>
      <c r="AD1015" s="1369">
        <f>AH1015</f>
        <v>0</v>
      </c>
      <c r="AE1015" s="1369">
        <f t="shared" si="1445"/>
        <v>0</v>
      </c>
      <c r="AF1015" s="1403" t="str">
        <f t="shared" si="1446"/>
        <v/>
      </c>
      <c r="AG1015" s="1404"/>
      <c r="AH1015" s="1404"/>
      <c r="AI1015" s="1504">
        <v>0.06</v>
      </c>
      <c r="AJ1015" s="1406"/>
      <c r="AK1015" s="1406">
        <v>0</v>
      </c>
      <c r="AL1015" s="1384">
        <v>0</v>
      </c>
      <c r="AM1015" s="1363">
        <f t="shared" si="1453"/>
        <v>0</v>
      </c>
      <c r="AN1015" s="1364">
        <v>0</v>
      </c>
      <c r="AO1015" s="1365">
        <f t="shared" si="1454"/>
        <v>0</v>
      </c>
      <c r="AP1015" s="1366">
        <v>0</v>
      </c>
      <c r="AQ1015" s="1367">
        <f t="shared" si="1455"/>
        <v>0</v>
      </c>
      <c r="AR1015" s="1368">
        <v>0.06</v>
      </c>
      <c r="AS1015" s="1369">
        <f t="shared" si="1456"/>
        <v>0</v>
      </c>
      <c r="AT1015" s="1370">
        <v>0</v>
      </c>
      <c r="AU1015" s="1371">
        <f t="shared" si="1457"/>
        <v>0</v>
      </c>
      <c r="AV1015" s="1359">
        <f t="shared" si="1458"/>
        <v>0</v>
      </c>
      <c r="AW1015" s="1372">
        <f t="shared" si="1459"/>
        <v>0</v>
      </c>
      <c r="AX1015" s="1373">
        <f t="shared" si="1460"/>
        <v>0.06</v>
      </c>
      <c r="AY1015" s="1374">
        <f t="shared" si="1461"/>
        <v>0</v>
      </c>
      <c r="AZ1015" s="1375">
        <f t="shared" si="1462"/>
        <v>0.06</v>
      </c>
      <c r="BA1015" s="1376">
        <f t="shared" si="1463"/>
        <v>0</v>
      </c>
      <c r="BB1015" s="1377"/>
      <c r="BC1015" s="1836"/>
      <c r="BD1015" s="1836"/>
      <c r="BE1015" s="1839"/>
      <c r="BF1015" s="1834"/>
      <c r="BG1015" s="1842"/>
    </row>
    <row r="1016" spans="1:63" s="1378" customFormat="1" ht="51">
      <c r="A1016" s="1347" t="str">
        <f t="shared" si="1447"/>
        <v>ABC</v>
      </c>
      <c r="B1016" s="1348" t="str">
        <f t="shared" si="1444"/>
        <v>HUB SD</v>
      </c>
      <c r="C1016" s="1348">
        <f t="shared" si="1448"/>
        <v>0</v>
      </c>
      <c r="D1016" s="1349">
        <f t="shared" si="1449"/>
        <v>43101</v>
      </c>
      <c r="E1016" s="1349"/>
      <c r="F1016" s="1347" t="s">
        <v>113</v>
      </c>
      <c r="G1016" s="1347" t="s">
        <v>85</v>
      </c>
      <c r="H1016" s="1347" t="s">
        <v>85</v>
      </c>
      <c r="I1016" s="1347" t="s">
        <v>5389</v>
      </c>
      <c r="J1016" s="1349"/>
      <c r="K1016" s="1349"/>
      <c r="L1016" s="1518" t="s">
        <v>4675</v>
      </c>
      <c r="M1016" s="1518" t="s">
        <v>3650</v>
      </c>
      <c r="N1016" s="1520" t="s">
        <v>5399</v>
      </c>
      <c r="O1016" s="1388" t="s">
        <v>4677</v>
      </c>
      <c r="P1016" s="1388"/>
      <c r="Q1016" s="1354"/>
      <c r="R1016" s="1354"/>
      <c r="S1016" s="1354"/>
      <c r="T1016" s="1354"/>
      <c r="U1016" s="1502" t="s">
        <v>5400</v>
      </c>
      <c r="V1016" s="1502" t="s">
        <v>5415</v>
      </c>
      <c r="W1016" s="1354"/>
      <c r="X1016" s="1353">
        <f t="shared" si="1450"/>
        <v>43101</v>
      </c>
      <c r="Y1016" s="1353">
        <f t="shared" si="1450"/>
        <v>43466</v>
      </c>
      <c r="Z1016" s="1355"/>
      <c r="AA1016" s="1355" t="s">
        <v>4679</v>
      </c>
      <c r="AB1016" s="1422"/>
      <c r="AC1016" s="1422"/>
      <c r="AD1016" s="1422">
        <f>AH1016</f>
        <v>0</v>
      </c>
      <c r="AE1016" s="1422">
        <f t="shared" si="1445"/>
        <v>0</v>
      </c>
      <c r="AF1016" s="1423" t="str">
        <f t="shared" si="1446"/>
        <v/>
      </c>
      <c r="AG1016" s="1358">
        <v>0</v>
      </c>
      <c r="AH1016" s="1426">
        <f t="shared" si="1451"/>
        <v>0</v>
      </c>
      <c r="AI1016" s="1359">
        <v>0.1</v>
      </c>
      <c r="AJ1016" s="1360">
        <f t="shared" ref="AJ1016:AJ1026" si="1464">$AI1016*$AG1016</f>
        <v>0</v>
      </c>
      <c r="AK1016" s="1361">
        <f t="shared" ref="AK1016:AK1032" si="1465">AI1016*$AH1016</f>
        <v>0</v>
      </c>
      <c r="AL1016" s="1384">
        <v>0</v>
      </c>
      <c r="AM1016" s="1363">
        <f t="shared" si="1453"/>
        <v>0</v>
      </c>
      <c r="AN1016" s="1364">
        <v>0</v>
      </c>
      <c r="AO1016" s="1365">
        <f t="shared" si="1454"/>
        <v>0</v>
      </c>
      <c r="AP1016" s="1366">
        <v>0</v>
      </c>
      <c r="AQ1016" s="1367">
        <f t="shared" si="1455"/>
        <v>0</v>
      </c>
      <c r="AR1016" s="1368">
        <v>0.08</v>
      </c>
      <c r="AS1016" s="1369">
        <f t="shared" si="1456"/>
        <v>0</v>
      </c>
      <c r="AT1016" s="1370">
        <v>0</v>
      </c>
      <c r="AU1016" s="1371">
        <f t="shared" si="1457"/>
        <v>0</v>
      </c>
      <c r="AV1016" s="1359">
        <f t="shared" si="1458"/>
        <v>2.0000000000000004E-2</v>
      </c>
      <c r="AW1016" s="1372">
        <f t="shared" si="1459"/>
        <v>0</v>
      </c>
      <c r="AX1016" s="1373">
        <f t="shared" si="1460"/>
        <v>0.1</v>
      </c>
      <c r="AY1016" s="1374">
        <f t="shared" si="1461"/>
        <v>0</v>
      </c>
      <c r="AZ1016" s="1375">
        <f t="shared" si="1462"/>
        <v>0.1</v>
      </c>
      <c r="BA1016" s="1376">
        <f t="shared" si="1463"/>
        <v>0</v>
      </c>
      <c r="BB1016" s="1391"/>
      <c r="BC1016" s="1836"/>
      <c r="BD1016" s="1836"/>
      <c r="BE1016" s="1839"/>
      <c r="BF1016" s="1834"/>
      <c r="BG1016" s="1842"/>
    </row>
    <row r="1017" spans="1:63" s="1378" customFormat="1" ht="38.25">
      <c r="A1017" s="1347" t="str">
        <f t="shared" si="1447"/>
        <v>ABC</v>
      </c>
      <c r="B1017" s="1348" t="str">
        <f t="shared" si="1444"/>
        <v>HUB SD</v>
      </c>
      <c r="C1017" s="1348">
        <f t="shared" si="1448"/>
        <v>0</v>
      </c>
      <c r="D1017" s="1349">
        <f t="shared" si="1449"/>
        <v>43101</v>
      </c>
      <c r="E1017" s="1349"/>
      <c r="F1017" s="1347" t="s">
        <v>113</v>
      </c>
      <c r="G1017" s="1347" t="s">
        <v>85</v>
      </c>
      <c r="H1017" s="1347" t="s">
        <v>85</v>
      </c>
      <c r="I1017" s="1347" t="s">
        <v>5389</v>
      </c>
      <c r="J1017" s="1349"/>
      <c r="K1017" s="1349"/>
      <c r="L1017" s="1518" t="s">
        <v>4675</v>
      </c>
      <c r="M1017" s="1518" t="s">
        <v>3651</v>
      </c>
      <c r="N1017" s="1451" t="s">
        <v>5402</v>
      </c>
      <c r="O1017" s="1388" t="s">
        <v>4681</v>
      </c>
      <c r="P1017" s="1388"/>
      <c r="Q1017" s="1354"/>
      <c r="R1017" s="1354"/>
      <c r="S1017" s="1354"/>
      <c r="T1017" s="1354"/>
      <c r="U1017" s="1354"/>
      <c r="V1017" s="1354"/>
      <c r="W1017" s="1502" t="s">
        <v>5416</v>
      </c>
      <c r="X1017" s="1353">
        <f t="shared" si="1450"/>
        <v>43101</v>
      </c>
      <c r="Y1017" s="1353">
        <f t="shared" si="1450"/>
        <v>43466</v>
      </c>
      <c r="Z1017" s="1355"/>
      <c r="AA1017" s="1355" t="s">
        <v>4679</v>
      </c>
      <c r="AB1017" s="1422"/>
      <c r="AC1017" s="1422"/>
      <c r="AD1017" s="1422">
        <f>AH1017</f>
        <v>0</v>
      </c>
      <c r="AE1017" s="1422">
        <f t="shared" si="1445"/>
        <v>0</v>
      </c>
      <c r="AF1017" s="1423" t="str">
        <f t="shared" si="1446"/>
        <v/>
      </c>
      <c r="AG1017" s="1358">
        <v>0</v>
      </c>
      <c r="AH1017" s="1426">
        <f t="shared" si="1451"/>
        <v>0</v>
      </c>
      <c r="AI1017" s="1359">
        <v>0.1</v>
      </c>
      <c r="AJ1017" s="1360">
        <f t="shared" si="1464"/>
        <v>0</v>
      </c>
      <c r="AK1017" s="1361">
        <f t="shared" si="1465"/>
        <v>0</v>
      </c>
      <c r="AL1017" s="1384">
        <v>0</v>
      </c>
      <c r="AM1017" s="1363">
        <f t="shared" si="1453"/>
        <v>0</v>
      </c>
      <c r="AN1017" s="1364">
        <v>0</v>
      </c>
      <c r="AO1017" s="1365">
        <f t="shared" si="1454"/>
        <v>0</v>
      </c>
      <c r="AP1017" s="1366">
        <v>0</v>
      </c>
      <c r="AQ1017" s="1367">
        <f t="shared" si="1455"/>
        <v>0</v>
      </c>
      <c r="AR1017" s="1368">
        <v>0.08</v>
      </c>
      <c r="AS1017" s="1369">
        <f t="shared" si="1456"/>
        <v>0</v>
      </c>
      <c r="AT1017" s="1370">
        <v>0</v>
      </c>
      <c r="AU1017" s="1371">
        <f t="shared" si="1457"/>
        <v>0</v>
      </c>
      <c r="AV1017" s="1359">
        <f t="shared" si="1458"/>
        <v>2.0000000000000004E-2</v>
      </c>
      <c r="AW1017" s="1372">
        <f t="shared" si="1459"/>
        <v>0</v>
      </c>
      <c r="AX1017" s="1373">
        <f t="shared" si="1460"/>
        <v>0.1</v>
      </c>
      <c r="AY1017" s="1374">
        <f t="shared" si="1461"/>
        <v>0</v>
      </c>
      <c r="AZ1017" s="1375">
        <f t="shared" si="1462"/>
        <v>0.1</v>
      </c>
      <c r="BA1017" s="1376">
        <f t="shared" si="1463"/>
        <v>0</v>
      </c>
      <c r="BB1017" s="1391"/>
      <c r="BC1017" s="1836"/>
      <c r="BD1017" s="1836"/>
      <c r="BE1017" s="1839"/>
      <c r="BF1017" s="1834"/>
      <c r="BG1017" s="1842"/>
    </row>
    <row r="1018" spans="1:63" s="1378" customFormat="1" ht="38.25">
      <c r="A1018" s="1347" t="str">
        <f t="shared" si="1447"/>
        <v>ABC</v>
      </c>
      <c r="B1018" s="1348" t="str">
        <f t="shared" si="1444"/>
        <v>HUB SD</v>
      </c>
      <c r="C1018" s="1348">
        <f t="shared" si="1448"/>
        <v>0</v>
      </c>
      <c r="D1018" s="1349">
        <f t="shared" si="1449"/>
        <v>43101</v>
      </c>
      <c r="E1018" s="1349"/>
      <c r="F1018" s="1347" t="s">
        <v>113</v>
      </c>
      <c r="G1018" s="1347" t="s">
        <v>85</v>
      </c>
      <c r="H1018" s="1347" t="s">
        <v>85</v>
      </c>
      <c r="I1018" s="1347" t="s">
        <v>5389</v>
      </c>
      <c r="J1018" s="1349"/>
      <c r="K1018" s="1349"/>
      <c r="L1018" s="1518" t="s">
        <v>4682</v>
      </c>
      <c r="M1018" s="1518" t="s">
        <v>4683</v>
      </c>
      <c r="N1018" s="1521" t="s">
        <v>57</v>
      </c>
      <c r="O1018" s="1388" t="s">
        <v>4684</v>
      </c>
      <c r="P1018" s="1421"/>
      <c r="Q1018" s="1354"/>
      <c r="R1018" s="1354"/>
      <c r="S1018" s="1354"/>
      <c r="T1018" s="1354"/>
      <c r="U1018" s="1354"/>
      <c r="V1018" s="1354"/>
      <c r="W1018" s="1354"/>
      <c r="X1018" s="1353">
        <f t="shared" si="1450"/>
        <v>43101</v>
      </c>
      <c r="Y1018" s="1353">
        <f t="shared" si="1450"/>
        <v>43466</v>
      </c>
      <c r="Z1018" s="1355"/>
      <c r="AA1018" s="1355" t="s">
        <v>4685</v>
      </c>
      <c r="AB1018" s="1422"/>
      <c r="AC1018" s="1422"/>
      <c r="AD1018" s="1422">
        <f>AH1018</f>
        <v>0</v>
      </c>
      <c r="AE1018" s="1422">
        <f t="shared" si="1445"/>
        <v>0</v>
      </c>
      <c r="AF1018" s="1423" t="str">
        <f t="shared" si="1446"/>
        <v/>
      </c>
      <c r="AG1018" s="1358">
        <v>0</v>
      </c>
      <c r="AH1018" s="1426">
        <f t="shared" si="1451"/>
        <v>0</v>
      </c>
      <c r="AI1018" s="1359">
        <v>0.15</v>
      </c>
      <c r="AJ1018" s="1360">
        <f t="shared" si="1464"/>
        <v>0</v>
      </c>
      <c r="AK1018" s="1361">
        <f t="shared" si="1465"/>
        <v>0</v>
      </c>
      <c r="AL1018" s="1384">
        <v>0</v>
      </c>
      <c r="AM1018" s="1363">
        <f t="shared" si="1453"/>
        <v>0</v>
      </c>
      <c r="AN1018" s="1364">
        <v>0</v>
      </c>
      <c r="AO1018" s="1365">
        <f t="shared" si="1454"/>
        <v>0</v>
      </c>
      <c r="AP1018" s="1366">
        <v>0</v>
      </c>
      <c r="AQ1018" s="1367">
        <f t="shared" si="1455"/>
        <v>0</v>
      </c>
      <c r="AR1018" s="1368">
        <v>0.1</v>
      </c>
      <c r="AS1018" s="1369">
        <f t="shared" si="1456"/>
        <v>0</v>
      </c>
      <c r="AT1018" s="1370">
        <v>0</v>
      </c>
      <c r="AU1018" s="1371">
        <f t="shared" si="1457"/>
        <v>0</v>
      </c>
      <c r="AV1018" s="1359">
        <f t="shared" si="1458"/>
        <v>4.9999999999999989E-2</v>
      </c>
      <c r="AW1018" s="1372">
        <f t="shared" si="1459"/>
        <v>0</v>
      </c>
      <c r="AX1018" s="1373">
        <f t="shared" si="1460"/>
        <v>0.15</v>
      </c>
      <c r="AY1018" s="1374">
        <f t="shared" si="1461"/>
        <v>0</v>
      </c>
      <c r="AZ1018" s="1375">
        <f t="shared" si="1462"/>
        <v>0.15</v>
      </c>
      <c r="BA1018" s="1376">
        <f t="shared" si="1463"/>
        <v>0</v>
      </c>
      <c r="BB1018" s="1391"/>
      <c r="BC1018" s="1836"/>
      <c r="BD1018" s="1836"/>
      <c r="BE1018" s="1839"/>
      <c r="BF1018" s="1834"/>
      <c r="BG1018" s="1842"/>
    </row>
    <row r="1019" spans="1:63" s="1378" customFormat="1" ht="38.25">
      <c r="A1019" s="1347" t="str">
        <f t="shared" si="1447"/>
        <v>ABC</v>
      </c>
      <c r="B1019" s="1348" t="str">
        <f t="shared" si="1444"/>
        <v>HUB SD</v>
      </c>
      <c r="C1019" s="1348">
        <f t="shared" si="1448"/>
        <v>0</v>
      </c>
      <c r="D1019" s="1349">
        <f t="shared" si="1449"/>
        <v>43101</v>
      </c>
      <c r="E1019" s="1349"/>
      <c r="F1019" s="1347" t="s">
        <v>113</v>
      </c>
      <c r="G1019" s="1347" t="s">
        <v>85</v>
      </c>
      <c r="H1019" s="1347" t="s">
        <v>85</v>
      </c>
      <c r="I1019" s="1347" t="s">
        <v>113</v>
      </c>
      <c r="J1019" s="1349"/>
      <c r="K1019" s="1349"/>
      <c r="L1019" s="1518" t="s">
        <v>4682</v>
      </c>
      <c r="M1019" s="1518" t="s">
        <v>4686</v>
      </c>
      <c r="N1019" s="1521" t="s">
        <v>60</v>
      </c>
      <c r="O1019" s="1388" t="s">
        <v>4687</v>
      </c>
      <c r="P1019" s="1421"/>
      <c r="Q1019" s="1354"/>
      <c r="R1019" s="1354"/>
      <c r="S1019" s="1354"/>
      <c r="T1019" s="1354"/>
      <c r="U1019" s="1354"/>
      <c r="V1019" s="1354"/>
      <c r="W1019" s="1354"/>
      <c r="X1019" s="1353">
        <f t="shared" si="1450"/>
        <v>43101</v>
      </c>
      <c r="Y1019" s="1353">
        <f t="shared" si="1450"/>
        <v>43466</v>
      </c>
      <c r="Z1019" s="1355"/>
      <c r="AA1019" s="1355" t="s">
        <v>4685</v>
      </c>
      <c r="AB1019" s="1356"/>
      <c r="AC1019" s="1356"/>
      <c r="AD1019" s="1422">
        <v>0</v>
      </c>
      <c r="AE1019" s="1422">
        <f t="shared" si="1445"/>
        <v>0</v>
      </c>
      <c r="AF1019" s="1423" t="str">
        <f t="shared" si="1446"/>
        <v/>
      </c>
      <c r="AG1019" s="1358">
        <f t="shared" ref="AG1019:AG1023" si="1466">AH1019/12</f>
        <v>0</v>
      </c>
      <c r="AH1019" s="1426">
        <v>0</v>
      </c>
      <c r="AI1019" s="1359">
        <v>0.15</v>
      </c>
      <c r="AJ1019" s="1360">
        <f t="shared" si="1464"/>
        <v>0</v>
      </c>
      <c r="AK1019" s="1361">
        <f t="shared" si="1465"/>
        <v>0</v>
      </c>
      <c r="AL1019" s="1384">
        <v>0</v>
      </c>
      <c r="AM1019" s="1363">
        <f t="shared" si="1453"/>
        <v>0</v>
      </c>
      <c r="AN1019" s="1364">
        <v>0</v>
      </c>
      <c r="AO1019" s="1365">
        <f t="shared" si="1454"/>
        <v>0</v>
      </c>
      <c r="AP1019" s="1366">
        <v>0</v>
      </c>
      <c r="AQ1019" s="1367">
        <f t="shared" si="1455"/>
        <v>0</v>
      </c>
      <c r="AR1019" s="1368">
        <v>0.1</v>
      </c>
      <c r="AS1019" s="1369">
        <f t="shared" si="1456"/>
        <v>0</v>
      </c>
      <c r="AT1019" s="1370">
        <v>0</v>
      </c>
      <c r="AU1019" s="1371">
        <f t="shared" si="1457"/>
        <v>0</v>
      </c>
      <c r="AV1019" s="1359">
        <f t="shared" si="1458"/>
        <v>4.9999999999999989E-2</v>
      </c>
      <c r="AW1019" s="1372">
        <f t="shared" si="1459"/>
        <v>0</v>
      </c>
      <c r="AX1019" s="1373">
        <f t="shared" si="1460"/>
        <v>0.15</v>
      </c>
      <c r="AY1019" s="1374">
        <f t="shared" si="1461"/>
        <v>0</v>
      </c>
      <c r="AZ1019" s="1375">
        <f t="shared" si="1462"/>
        <v>0.15</v>
      </c>
      <c r="BA1019" s="1376">
        <f t="shared" si="1463"/>
        <v>0</v>
      </c>
      <c r="BB1019" s="1391"/>
      <c r="BC1019" s="1836"/>
      <c r="BD1019" s="1836"/>
      <c r="BE1019" s="1839"/>
      <c r="BF1019" s="1834"/>
      <c r="BG1019" s="1842"/>
    </row>
    <row r="1020" spans="1:63" s="1378" customFormat="1" ht="38.25">
      <c r="A1020" s="1347" t="str">
        <f t="shared" si="1447"/>
        <v>ABC</v>
      </c>
      <c r="B1020" s="1348" t="str">
        <f t="shared" si="1444"/>
        <v>HUB SD</v>
      </c>
      <c r="C1020" s="1348">
        <f t="shared" si="1448"/>
        <v>0</v>
      </c>
      <c r="D1020" s="1349">
        <f t="shared" si="1449"/>
        <v>43101</v>
      </c>
      <c r="E1020" s="1349"/>
      <c r="F1020" s="1347" t="s">
        <v>113</v>
      </c>
      <c r="G1020" s="1347" t="s">
        <v>85</v>
      </c>
      <c r="H1020" s="1347" t="s">
        <v>85</v>
      </c>
      <c r="I1020" s="1347" t="s">
        <v>5389</v>
      </c>
      <c r="J1020" s="1349"/>
      <c r="K1020" s="1349"/>
      <c r="L1020" s="1518" t="s">
        <v>4682</v>
      </c>
      <c r="M1020" s="1518" t="s">
        <v>62</v>
      </c>
      <c r="N1020" s="1451" t="s">
        <v>63</v>
      </c>
      <c r="O1020" s="1388" t="s">
        <v>4688</v>
      </c>
      <c r="P1020" s="1388"/>
      <c r="Q1020" s="1354"/>
      <c r="R1020" s="1354"/>
      <c r="S1020" s="1354"/>
      <c r="T1020" s="1354"/>
      <c r="U1020" s="1354"/>
      <c r="V1020" s="1354"/>
      <c r="W1020" s="1354"/>
      <c r="X1020" s="1353">
        <f t="shared" si="1450"/>
        <v>43101</v>
      </c>
      <c r="Y1020" s="1353">
        <f t="shared" si="1450"/>
        <v>43466</v>
      </c>
      <c r="Z1020" s="1355"/>
      <c r="AA1020" s="1355" t="s">
        <v>4685</v>
      </c>
      <c r="AB1020" s="1422"/>
      <c r="AC1020" s="1422"/>
      <c r="AD1020" s="1422">
        <f>AH1020</f>
        <v>0</v>
      </c>
      <c r="AE1020" s="1422">
        <f t="shared" si="1445"/>
        <v>0</v>
      </c>
      <c r="AF1020" s="1423" t="str">
        <f t="shared" si="1446"/>
        <v/>
      </c>
      <c r="AG1020" s="1358">
        <f t="shared" si="1466"/>
        <v>0</v>
      </c>
      <c r="AH1020" s="1426">
        <v>0</v>
      </c>
      <c r="AI1020" s="1359">
        <v>0.15</v>
      </c>
      <c r="AJ1020" s="1360">
        <f t="shared" si="1464"/>
        <v>0</v>
      </c>
      <c r="AK1020" s="1361">
        <f t="shared" si="1465"/>
        <v>0</v>
      </c>
      <c r="AL1020" s="1384">
        <v>0</v>
      </c>
      <c r="AM1020" s="1363">
        <f t="shared" si="1453"/>
        <v>0</v>
      </c>
      <c r="AN1020" s="1364">
        <v>0</v>
      </c>
      <c r="AO1020" s="1365">
        <f t="shared" si="1454"/>
        <v>0</v>
      </c>
      <c r="AP1020" s="1366">
        <v>0</v>
      </c>
      <c r="AQ1020" s="1367">
        <f t="shared" si="1455"/>
        <v>0</v>
      </c>
      <c r="AR1020" s="1368">
        <v>0.1</v>
      </c>
      <c r="AS1020" s="1369">
        <f t="shared" si="1456"/>
        <v>0</v>
      </c>
      <c r="AT1020" s="1370">
        <v>0</v>
      </c>
      <c r="AU1020" s="1371">
        <f t="shared" si="1457"/>
        <v>0</v>
      </c>
      <c r="AV1020" s="1359">
        <f t="shared" si="1458"/>
        <v>4.9999999999999989E-2</v>
      </c>
      <c r="AW1020" s="1372">
        <f t="shared" si="1459"/>
        <v>0</v>
      </c>
      <c r="AX1020" s="1373">
        <f t="shared" si="1460"/>
        <v>0.15</v>
      </c>
      <c r="AY1020" s="1374">
        <f t="shared" si="1461"/>
        <v>0</v>
      </c>
      <c r="AZ1020" s="1375">
        <f t="shared" si="1462"/>
        <v>0.15</v>
      </c>
      <c r="BA1020" s="1376">
        <f t="shared" si="1463"/>
        <v>0</v>
      </c>
      <c r="BB1020" s="1391"/>
      <c r="BC1020" s="1836"/>
      <c r="BD1020" s="1836"/>
      <c r="BE1020" s="1839"/>
      <c r="BF1020" s="1834"/>
      <c r="BG1020" s="1842"/>
    </row>
    <row r="1021" spans="1:63" s="1378" customFormat="1" ht="38.25">
      <c r="A1021" s="1347" t="str">
        <f t="shared" si="1447"/>
        <v>ABC</v>
      </c>
      <c r="B1021" s="1348" t="str">
        <f t="shared" si="1444"/>
        <v>HUB SD</v>
      </c>
      <c r="C1021" s="1348">
        <f t="shared" si="1448"/>
        <v>0</v>
      </c>
      <c r="D1021" s="1349">
        <f t="shared" si="1449"/>
        <v>43101</v>
      </c>
      <c r="E1021" s="1349"/>
      <c r="F1021" s="1347" t="s">
        <v>113</v>
      </c>
      <c r="G1021" s="1347" t="s">
        <v>85</v>
      </c>
      <c r="H1021" s="1347" t="s">
        <v>85</v>
      </c>
      <c r="I1021" s="1347" t="s">
        <v>5389</v>
      </c>
      <c r="J1021" s="1349"/>
      <c r="K1021" s="1349"/>
      <c r="L1021" s="1518" t="s">
        <v>4682</v>
      </c>
      <c r="M1021" s="1518" t="s">
        <v>5243</v>
      </c>
      <c r="N1021" s="1451" t="s">
        <v>3660</v>
      </c>
      <c r="O1021" s="1388" t="s">
        <v>5403</v>
      </c>
      <c r="P1021" s="1388"/>
      <c r="Q1021" s="1354"/>
      <c r="R1021" s="1354"/>
      <c r="S1021" s="1354"/>
      <c r="T1021" s="1354"/>
      <c r="U1021" s="1354"/>
      <c r="V1021" s="1354"/>
      <c r="W1021" s="1354"/>
      <c r="X1021" s="1353">
        <f t="shared" si="1450"/>
        <v>43101</v>
      </c>
      <c r="Y1021" s="1353">
        <f t="shared" si="1450"/>
        <v>43466</v>
      </c>
      <c r="Z1021" s="1355"/>
      <c r="AA1021" s="1355" t="s">
        <v>4685</v>
      </c>
      <c r="AB1021" s="1422"/>
      <c r="AC1021" s="1422"/>
      <c r="AD1021" s="1422">
        <f>AH1021</f>
        <v>0</v>
      </c>
      <c r="AE1021" s="1422">
        <f t="shared" si="1445"/>
        <v>0</v>
      </c>
      <c r="AF1021" s="1423" t="str">
        <f t="shared" si="1446"/>
        <v/>
      </c>
      <c r="AG1021" s="1358">
        <f t="shared" si="1466"/>
        <v>0</v>
      </c>
      <c r="AH1021" s="1426">
        <v>0</v>
      </c>
      <c r="AI1021" s="1359">
        <v>0.15</v>
      </c>
      <c r="AJ1021" s="1360">
        <f t="shared" si="1464"/>
        <v>0</v>
      </c>
      <c r="AK1021" s="1361">
        <f t="shared" si="1465"/>
        <v>0</v>
      </c>
      <c r="AL1021" s="1384">
        <v>0</v>
      </c>
      <c r="AM1021" s="1363">
        <f t="shared" si="1453"/>
        <v>0</v>
      </c>
      <c r="AN1021" s="1364">
        <v>0</v>
      </c>
      <c r="AO1021" s="1365">
        <f t="shared" si="1454"/>
        <v>0</v>
      </c>
      <c r="AP1021" s="1366">
        <v>0</v>
      </c>
      <c r="AQ1021" s="1367">
        <f t="shared" si="1455"/>
        <v>0</v>
      </c>
      <c r="AR1021" s="1368">
        <v>0.1</v>
      </c>
      <c r="AS1021" s="1369">
        <f t="shared" si="1456"/>
        <v>0</v>
      </c>
      <c r="AT1021" s="1370">
        <v>0</v>
      </c>
      <c r="AU1021" s="1371">
        <f t="shared" si="1457"/>
        <v>0</v>
      </c>
      <c r="AV1021" s="1359">
        <f t="shared" si="1458"/>
        <v>4.9999999999999989E-2</v>
      </c>
      <c r="AW1021" s="1372">
        <f t="shared" si="1459"/>
        <v>0</v>
      </c>
      <c r="AX1021" s="1373">
        <f t="shared" si="1460"/>
        <v>0.15</v>
      </c>
      <c r="AY1021" s="1374">
        <f t="shared" si="1461"/>
        <v>0</v>
      </c>
      <c r="AZ1021" s="1375">
        <f t="shared" si="1462"/>
        <v>0.15</v>
      </c>
      <c r="BA1021" s="1376">
        <f t="shared" si="1463"/>
        <v>0</v>
      </c>
      <c r="BB1021" s="1391"/>
      <c r="BC1021" s="1836"/>
      <c r="BD1021" s="1836"/>
      <c r="BE1021" s="1839"/>
      <c r="BF1021" s="1834"/>
      <c r="BG1021" s="1842"/>
    </row>
    <row r="1022" spans="1:63" s="1378" customFormat="1" ht="38.25">
      <c r="A1022" s="1347" t="str">
        <f t="shared" si="1447"/>
        <v>ABC</v>
      </c>
      <c r="B1022" s="1348" t="str">
        <f t="shared" si="1444"/>
        <v>HUB SD</v>
      </c>
      <c r="C1022" s="1348">
        <f t="shared" si="1448"/>
        <v>0</v>
      </c>
      <c r="D1022" s="1349">
        <f t="shared" si="1449"/>
        <v>43101</v>
      </c>
      <c r="E1022" s="1349"/>
      <c r="F1022" s="1347" t="s">
        <v>113</v>
      </c>
      <c r="G1022" s="1347" t="s">
        <v>85</v>
      </c>
      <c r="H1022" s="1347" t="s">
        <v>85</v>
      </c>
      <c r="I1022" s="1347" t="s">
        <v>5389</v>
      </c>
      <c r="J1022" s="1349"/>
      <c r="K1022" s="1349"/>
      <c r="L1022" s="1518" t="s">
        <v>4682</v>
      </c>
      <c r="M1022" s="1518" t="s">
        <v>4741</v>
      </c>
      <c r="N1022" s="1451" t="s">
        <v>4742</v>
      </c>
      <c r="O1022" s="1388" t="s">
        <v>5404</v>
      </c>
      <c r="P1022" s="1388"/>
      <c r="Q1022" s="1354"/>
      <c r="R1022" s="1354"/>
      <c r="S1022" s="1354"/>
      <c r="T1022" s="1354"/>
      <c r="U1022" s="1354"/>
      <c r="V1022" s="1354"/>
      <c r="W1022" s="1354"/>
      <c r="X1022" s="1353">
        <f t="shared" si="1450"/>
        <v>43101</v>
      </c>
      <c r="Y1022" s="1353">
        <f t="shared" si="1450"/>
        <v>43466</v>
      </c>
      <c r="Z1022" s="1355"/>
      <c r="AA1022" s="1355" t="s">
        <v>4679</v>
      </c>
      <c r="AB1022" s="1422"/>
      <c r="AC1022" s="1422"/>
      <c r="AD1022" s="1422">
        <f>AH1022</f>
        <v>0</v>
      </c>
      <c r="AE1022" s="1422">
        <f t="shared" si="1445"/>
        <v>0</v>
      </c>
      <c r="AF1022" s="1423" t="str">
        <f t="shared" si="1446"/>
        <v/>
      </c>
      <c r="AG1022" s="1358">
        <f t="shared" si="1466"/>
        <v>0</v>
      </c>
      <c r="AH1022" s="1426">
        <v>0</v>
      </c>
      <c r="AI1022" s="1359">
        <v>0.1</v>
      </c>
      <c r="AJ1022" s="1360">
        <f t="shared" si="1464"/>
        <v>0</v>
      </c>
      <c r="AK1022" s="1361">
        <f t="shared" si="1465"/>
        <v>0</v>
      </c>
      <c r="AL1022" s="1384">
        <v>0</v>
      </c>
      <c r="AM1022" s="1363">
        <f t="shared" si="1453"/>
        <v>0</v>
      </c>
      <c r="AN1022" s="1364">
        <v>0</v>
      </c>
      <c r="AO1022" s="1365">
        <f t="shared" si="1454"/>
        <v>0</v>
      </c>
      <c r="AP1022" s="1366">
        <v>0</v>
      </c>
      <c r="AQ1022" s="1367">
        <f t="shared" si="1455"/>
        <v>0</v>
      </c>
      <c r="AR1022" s="1368">
        <v>0.08</v>
      </c>
      <c r="AS1022" s="1369">
        <f t="shared" si="1456"/>
        <v>0</v>
      </c>
      <c r="AT1022" s="1370">
        <v>0</v>
      </c>
      <c r="AU1022" s="1371">
        <f t="shared" si="1457"/>
        <v>0</v>
      </c>
      <c r="AV1022" s="1359">
        <f t="shared" si="1458"/>
        <v>2.0000000000000004E-2</v>
      </c>
      <c r="AW1022" s="1372">
        <f t="shared" si="1459"/>
        <v>0</v>
      </c>
      <c r="AX1022" s="1373">
        <f t="shared" si="1460"/>
        <v>0.1</v>
      </c>
      <c r="AY1022" s="1374">
        <f t="shared" si="1461"/>
        <v>0</v>
      </c>
      <c r="AZ1022" s="1375">
        <f t="shared" si="1462"/>
        <v>0.1</v>
      </c>
      <c r="BA1022" s="1376">
        <f t="shared" si="1463"/>
        <v>0</v>
      </c>
      <c r="BB1022" s="1391"/>
      <c r="BC1022" s="1836"/>
      <c r="BD1022" s="1836"/>
      <c r="BE1022" s="1839"/>
      <c r="BF1022" s="1834"/>
      <c r="BG1022" s="1842"/>
    </row>
    <row r="1023" spans="1:63" s="1378" customFormat="1" ht="38.25">
      <c r="A1023" s="1347" t="str">
        <f t="shared" si="1447"/>
        <v>ABC</v>
      </c>
      <c r="B1023" s="1348" t="str">
        <f t="shared" si="1444"/>
        <v>HUB SD</v>
      </c>
      <c r="C1023" s="1348">
        <f t="shared" si="1448"/>
        <v>0</v>
      </c>
      <c r="D1023" s="1349">
        <f t="shared" si="1449"/>
        <v>43101</v>
      </c>
      <c r="E1023" s="1349"/>
      <c r="F1023" s="1347" t="s">
        <v>113</v>
      </c>
      <c r="G1023" s="1347" t="s">
        <v>85</v>
      </c>
      <c r="H1023" s="1347" t="s">
        <v>85</v>
      </c>
      <c r="I1023" s="1347" t="s">
        <v>5389</v>
      </c>
      <c r="J1023" s="1349"/>
      <c r="K1023" s="1349"/>
      <c r="L1023" s="1518" t="s">
        <v>4682</v>
      </c>
      <c r="M1023" s="1518" t="s">
        <v>67</v>
      </c>
      <c r="N1023" s="1451" t="s">
        <v>82</v>
      </c>
      <c r="O1023" s="1388" t="s">
        <v>4689</v>
      </c>
      <c r="P1023" s="1388"/>
      <c r="Q1023" s="1354"/>
      <c r="R1023" s="1354"/>
      <c r="S1023" s="1354"/>
      <c r="T1023" s="1354"/>
      <c r="U1023" s="1354"/>
      <c r="V1023" s="1354"/>
      <c r="W1023" s="1354"/>
      <c r="X1023" s="1353">
        <f t="shared" si="1450"/>
        <v>43101</v>
      </c>
      <c r="Y1023" s="1353">
        <f t="shared" si="1450"/>
        <v>43466</v>
      </c>
      <c r="Z1023" s="1355"/>
      <c r="AA1023" s="1355" t="s">
        <v>4685</v>
      </c>
      <c r="AB1023" s="1422"/>
      <c r="AC1023" s="1422"/>
      <c r="AD1023" s="1422">
        <f>AH1023</f>
        <v>0</v>
      </c>
      <c r="AE1023" s="1422">
        <f t="shared" si="1445"/>
        <v>0</v>
      </c>
      <c r="AF1023" s="1423" t="str">
        <f t="shared" si="1446"/>
        <v/>
      </c>
      <c r="AG1023" s="1358">
        <f t="shared" si="1466"/>
        <v>0</v>
      </c>
      <c r="AH1023" s="1426">
        <v>0</v>
      </c>
      <c r="AI1023" s="1359">
        <v>0.15</v>
      </c>
      <c r="AJ1023" s="1360">
        <f t="shared" si="1464"/>
        <v>0</v>
      </c>
      <c r="AK1023" s="1361">
        <f t="shared" si="1465"/>
        <v>0</v>
      </c>
      <c r="AL1023" s="1384">
        <v>0</v>
      </c>
      <c r="AM1023" s="1363">
        <f t="shared" si="1453"/>
        <v>0</v>
      </c>
      <c r="AN1023" s="1364">
        <v>0</v>
      </c>
      <c r="AO1023" s="1365">
        <f t="shared" si="1454"/>
        <v>0</v>
      </c>
      <c r="AP1023" s="1366">
        <v>0</v>
      </c>
      <c r="AQ1023" s="1367">
        <f t="shared" si="1455"/>
        <v>0</v>
      </c>
      <c r="AR1023" s="1368">
        <v>0.1</v>
      </c>
      <c r="AS1023" s="1369">
        <f t="shared" si="1456"/>
        <v>0</v>
      </c>
      <c r="AT1023" s="1370">
        <v>0</v>
      </c>
      <c r="AU1023" s="1371">
        <f t="shared" si="1457"/>
        <v>0</v>
      </c>
      <c r="AV1023" s="1359">
        <f t="shared" si="1458"/>
        <v>4.9999999999999989E-2</v>
      </c>
      <c r="AW1023" s="1372">
        <f t="shared" si="1459"/>
        <v>0</v>
      </c>
      <c r="AX1023" s="1373">
        <f t="shared" si="1460"/>
        <v>0.15</v>
      </c>
      <c r="AY1023" s="1374">
        <f t="shared" si="1461"/>
        <v>0</v>
      </c>
      <c r="AZ1023" s="1375">
        <f t="shared" si="1462"/>
        <v>0.15</v>
      </c>
      <c r="BA1023" s="1376">
        <f t="shared" si="1463"/>
        <v>0</v>
      </c>
      <c r="BB1023" s="1391"/>
      <c r="BC1023" s="1836"/>
      <c r="BD1023" s="1836"/>
      <c r="BE1023" s="1839"/>
      <c r="BF1023" s="1834"/>
      <c r="BG1023" s="1842"/>
    </row>
    <row r="1024" spans="1:63" s="1378" customFormat="1" ht="38.25">
      <c r="A1024" s="1347" t="str">
        <f t="shared" si="1447"/>
        <v>ABC</v>
      </c>
      <c r="B1024" s="1348" t="str">
        <f t="shared" si="1444"/>
        <v>HUB SD</v>
      </c>
      <c r="C1024" s="1348">
        <f t="shared" si="1448"/>
        <v>0</v>
      </c>
      <c r="D1024" s="1349">
        <f t="shared" si="1449"/>
        <v>43101</v>
      </c>
      <c r="E1024" s="1349"/>
      <c r="F1024" s="1347" t="s">
        <v>113</v>
      </c>
      <c r="G1024" s="1347" t="s">
        <v>85</v>
      </c>
      <c r="H1024" s="1347" t="s">
        <v>85</v>
      </c>
      <c r="I1024" s="1347" t="s">
        <v>113</v>
      </c>
      <c r="J1024" s="1349" t="s">
        <v>4690</v>
      </c>
      <c r="K1024" s="1349"/>
      <c r="L1024" s="1518" t="s">
        <v>4682</v>
      </c>
      <c r="M1024" s="1518" t="s">
        <v>4691</v>
      </c>
      <c r="N1024" s="1451" t="s">
        <v>94</v>
      </c>
      <c r="O1024" s="1388" t="s">
        <v>4692</v>
      </c>
      <c r="P1024" s="1388"/>
      <c r="Q1024" s="1354"/>
      <c r="R1024" s="1354"/>
      <c r="S1024" s="1354"/>
      <c r="T1024" s="1354"/>
      <c r="U1024" s="1354"/>
      <c r="V1024" s="1354"/>
      <c r="W1024" s="1354"/>
      <c r="X1024" s="1353">
        <f t="shared" si="1450"/>
        <v>43101</v>
      </c>
      <c r="Y1024" s="1353">
        <f t="shared" si="1450"/>
        <v>43466</v>
      </c>
      <c r="Z1024" s="1355"/>
      <c r="AA1024" s="1355" t="s">
        <v>4685</v>
      </c>
      <c r="AB1024" s="1422">
        <v>0</v>
      </c>
      <c r="AC1024" s="1422">
        <v>0</v>
      </c>
      <c r="AD1024" s="1422">
        <v>0</v>
      </c>
      <c r="AE1024" s="1422">
        <f t="shared" si="1445"/>
        <v>0</v>
      </c>
      <c r="AF1024" s="1423" t="str">
        <f t="shared" si="1446"/>
        <v/>
      </c>
      <c r="AG1024" s="1358">
        <v>0</v>
      </c>
      <c r="AH1024" s="1426">
        <f t="shared" ref="AH1024:AH1026" si="1467">AG1024*12</f>
        <v>0</v>
      </c>
      <c r="AI1024" s="1359">
        <v>0.15</v>
      </c>
      <c r="AJ1024" s="1360">
        <f t="shared" si="1464"/>
        <v>0</v>
      </c>
      <c r="AK1024" s="1361">
        <f t="shared" si="1465"/>
        <v>0</v>
      </c>
      <c r="AL1024" s="1384">
        <v>0</v>
      </c>
      <c r="AM1024" s="1363">
        <f t="shared" si="1453"/>
        <v>0</v>
      </c>
      <c r="AN1024" s="1364">
        <v>0</v>
      </c>
      <c r="AO1024" s="1365">
        <f t="shared" si="1454"/>
        <v>0</v>
      </c>
      <c r="AP1024" s="1366">
        <v>0</v>
      </c>
      <c r="AQ1024" s="1367">
        <f t="shared" si="1455"/>
        <v>0</v>
      </c>
      <c r="AR1024" s="1368">
        <v>0.1</v>
      </c>
      <c r="AS1024" s="1369">
        <f t="shared" si="1456"/>
        <v>0</v>
      </c>
      <c r="AT1024" s="1370">
        <v>0</v>
      </c>
      <c r="AU1024" s="1371">
        <f t="shared" si="1457"/>
        <v>0</v>
      </c>
      <c r="AV1024" s="1359">
        <f t="shared" si="1458"/>
        <v>4.9999999999999989E-2</v>
      </c>
      <c r="AW1024" s="1372">
        <f t="shared" si="1459"/>
        <v>0</v>
      </c>
      <c r="AX1024" s="1373">
        <f t="shared" si="1460"/>
        <v>0.15</v>
      </c>
      <c r="AY1024" s="1374">
        <f t="shared" si="1461"/>
        <v>0</v>
      </c>
      <c r="AZ1024" s="1375">
        <f t="shared" si="1462"/>
        <v>0.15</v>
      </c>
      <c r="BA1024" s="1376">
        <f t="shared" si="1463"/>
        <v>0</v>
      </c>
      <c r="BB1024" s="1377"/>
      <c r="BC1024" s="1836"/>
      <c r="BD1024" s="1836"/>
      <c r="BE1024" s="1839"/>
      <c r="BF1024" s="1834"/>
      <c r="BG1024" s="1842"/>
    </row>
    <row r="1025" spans="1:59" s="1378" customFormat="1" ht="38.25">
      <c r="A1025" s="1347" t="str">
        <f t="shared" si="1447"/>
        <v>ABC</v>
      </c>
      <c r="B1025" s="1348" t="str">
        <f t="shared" si="1444"/>
        <v>HUB SD</v>
      </c>
      <c r="C1025" s="1348">
        <f t="shared" si="1448"/>
        <v>0</v>
      </c>
      <c r="D1025" s="1349">
        <f t="shared" si="1449"/>
        <v>43101</v>
      </c>
      <c r="E1025" s="1349"/>
      <c r="F1025" s="1347" t="s">
        <v>113</v>
      </c>
      <c r="G1025" s="1347" t="s">
        <v>85</v>
      </c>
      <c r="H1025" s="1347" t="s">
        <v>85</v>
      </c>
      <c r="I1025" s="1347" t="s">
        <v>113</v>
      </c>
      <c r="J1025" s="1349" t="s">
        <v>4690</v>
      </c>
      <c r="K1025" s="1349"/>
      <c r="L1025" s="1518" t="s">
        <v>4682</v>
      </c>
      <c r="M1025" s="1518" t="s">
        <v>4691</v>
      </c>
      <c r="N1025" s="1451" t="s">
        <v>98</v>
      </c>
      <c r="O1025" s="1388" t="s">
        <v>4693</v>
      </c>
      <c r="P1025" s="1388"/>
      <c r="Q1025" s="1354"/>
      <c r="R1025" s="1354"/>
      <c r="S1025" s="1354"/>
      <c r="T1025" s="1354"/>
      <c r="U1025" s="1354"/>
      <c r="V1025" s="1354"/>
      <c r="W1025" s="1354"/>
      <c r="X1025" s="1353">
        <f t="shared" si="1450"/>
        <v>43101</v>
      </c>
      <c r="Y1025" s="1353">
        <f t="shared" si="1450"/>
        <v>43466</v>
      </c>
      <c r="Z1025" s="1355"/>
      <c r="AA1025" s="1355" t="s">
        <v>4685</v>
      </c>
      <c r="AB1025" s="1422">
        <v>0</v>
      </c>
      <c r="AC1025" s="1422">
        <v>0</v>
      </c>
      <c r="AD1025" s="1422">
        <v>0</v>
      </c>
      <c r="AE1025" s="1422">
        <f t="shared" si="1445"/>
        <v>0</v>
      </c>
      <c r="AF1025" s="1423" t="str">
        <f t="shared" si="1446"/>
        <v/>
      </c>
      <c r="AG1025" s="1358">
        <v>0</v>
      </c>
      <c r="AH1025" s="1426">
        <f t="shared" si="1467"/>
        <v>0</v>
      </c>
      <c r="AI1025" s="1359">
        <v>0.15</v>
      </c>
      <c r="AJ1025" s="1360">
        <f t="shared" si="1464"/>
        <v>0</v>
      </c>
      <c r="AK1025" s="1361">
        <f t="shared" si="1465"/>
        <v>0</v>
      </c>
      <c r="AL1025" s="1384">
        <v>0</v>
      </c>
      <c r="AM1025" s="1363">
        <f t="shared" si="1453"/>
        <v>0</v>
      </c>
      <c r="AN1025" s="1364">
        <v>0</v>
      </c>
      <c r="AO1025" s="1365">
        <f t="shared" si="1454"/>
        <v>0</v>
      </c>
      <c r="AP1025" s="1366">
        <v>0</v>
      </c>
      <c r="AQ1025" s="1367">
        <f t="shared" si="1455"/>
        <v>0</v>
      </c>
      <c r="AR1025" s="1368">
        <v>0.1</v>
      </c>
      <c r="AS1025" s="1369">
        <f t="shared" si="1456"/>
        <v>0</v>
      </c>
      <c r="AT1025" s="1370">
        <v>0</v>
      </c>
      <c r="AU1025" s="1371">
        <f t="shared" si="1457"/>
        <v>0</v>
      </c>
      <c r="AV1025" s="1359">
        <f t="shared" si="1458"/>
        <v>4.9999999999999989E-2</v>
      </c>
      <c r="AW1025" s="1372">
        <f t="shared" si="1459"/>
        <v>0</v>
      </c>
      <c r="AX1025" s="1373">
        <f t="shared" si="1460"/>
        <v>0.15</v>
      </c>
      <c r="AY1025" s="1374">
        <f t="shared" si="1461"/>
        <v>0</v>
      </c>
      <c r="AZ1025" s="1375">
        <f t="shared" si="1462"/>
        <v>0.15</v>
      </c>
      <c r="BA1025" s="1376">
        <f t="shared" si="1463"/>
        <v>0</v>
      </c>
      <c r="BB1025" s="1377"/>
      <c r="BC1025" s="1836"/>
      <c r="BD1025" s="1836"/>
      <c r="BE1025" s="1839"/>
      <c r="BF1025" s="1834"/>
      <c r="BG1025" s="1842"/>
    </row>
    <row r="1026" spans="1:59" s="1378" customFormat="1" ht="38.25">
      <c r="A1026" s="1347" t="str">
        <f t="shared" si="1447"/>
        <v>ABC</v>
      </c>
      <c r="B1026" s="1348" t="str">
        <f t="shared" si="1444"/>
        <v>HUB SD</v>
      </c>
      <c r="C1026" s="1348">
        <f t="shared" si="1448"/>
        <v>0</v>
      </c>
      <c r="D1026" s="1349">
        <f t="shared" si="1449"/>
        <v>43101</v>
      </c>
      <c r="E1026" s="1349"/>
      <c r="F1026" s="1347" t="s">
        <v>113</v>
      </c>
      <c r="G1026" s="1347" t="s">
        <v>85</v>
      </c>
      <c r="H1026" s="1347" t="s">
        <v>85</v>
      </c>
      <c r="I1026" s="1347" t="s">
        <v>113</v>
      </c>
      <c r="J1026" s="1349" t="s">
        <v>4690</v>
      </c>
      <c r="K1026" s="1349"/>
      <c r="L1026" s="1518" t="s">
        <v>4682</v>
      </c>
      <c r="M1026" s="1518" t="s">
        <v>4691</v>
      </c>
      <c r="N1026" s="1451" t="s">
        <v>4694</v>
      </c>
      <c r="O1026" s="1388" t="s">
        <v>4695</v>
      </c>
      <c r="P1026" s="1388"/>
      <c r="Q1026" s="1354"/>
      <c r="R1026" s="1354"/>
      <c r="S1026" s="1354"/>
      <c r="T1026" s="1354"/>
      <c r="U1026" s="1354"/>
      <c r="V1026" s="1354"/>
      <c r="W1026" s="1354"/>
      <c r="X1026" s="1353">
        <f t="shared" si="1450"/>
        <v>43101</v>
      </c>
      <c r="Y1026" s="1353">
        <f t="shared" si="1450"/>
        <v>43466</v>
      </c>
      <c r="Z1026" s="1355"/>
      <c r="AA1026" s="1355" t="s">
        <v>4685</v>
      </c>
      <c r="AB1026" s="1422">
        <v>0</v>
      </c>
      <c r="AC1026" s="1422">
        <v>0</v>
      </c>
      <c r="AD1026" s="1422">
        <v>0</v>
      </c>
      <c r="AE1026" s="1422">
        <f t="shared" si="1445"/>
        <v>0</v>
      </c>
      <c r="AF1026" s="1423" t="str">
        <f t="shared" si="1446"/>
        <v/>
      </c>
      <c r="AG1026" s="1358">
        <v>0</v>
      </c>
      <c r="AH1026" s="1426">
        <f t="shared" si="1467"/>
        <v>0</v>
      </c>
      <c r="AI1026" s="1359">
        <v>0.15</v>
      </c>
      <c r="AJ1026" s="1360">
        <f t="shared" si="1464"/>
        <v>0</v>
      </c>
      <c r="AK1026" s="1361">
        <f t="shared" si="1465"/>
        <v>0</v>
      </c>
      <c r="AL1026" s="1384">
        <v>0</v>
      </c>
      <c r="AM1026" s="1363">
        <f t="shared" si="1453"/>
        <v>0</v>
      </c>
      <c r="AN1026" s="1364">
        <v>0</v>
      </c>
      <c r="AO1026" s="1365">
        <f t="shared" si="1454"/>
        <v>0</v>
      </c>
      <c r="AP1026" s="1366">
        <v>0</v>
      </c>
      <c r="AQ1026" s="1367">
        <f t="shared" si="1455"/>
        <v>0</v>
      </c>
      <c r="AR1026" s="1368">
        <v>0.1</v>
      </c>
      <c r="AS1026" s="1369">
        <f t="shared" si="1456"/>
        <v>0</v>
      </c>
      <c r="AT1026" s="1370">
        <v>0</v>
      </c>
      <c r="AU1026" s="1371">
        <f t="shared" si="1457"/>
        <v>0</v>
      </c>
      <c r="AV1026" s="1359">
        <f t="shared" si="1458"/>
        <v>4.9999999999999989E-2</v>
      </c>
      <c r="AW1026" s="1372">
        <f t="shared" si="1459"/>
        <v>0</v>
      </c>
      <c r="AX1026" s="1373">
        <f t="shared" si="1460"/>
        <v>0.15</v>
      </c>
      <c r="AY1026" s="1374">
        <f t="shared" si="1461"/>
        <v>0</v>
      </c>
      <c r="AZ1026" s="1375">
        <f t="shared" si="1462"/>
        <v>0.15</v>
      </c>
      <c r="BA1026" s="1376">
        <f t="shared" si="1463"/>
        <v>0</v>
      </c>
      <c r="BB1026" s="1377"/>
      <c r="BC1026" s="1836"/>
      <c r="BD1026" s="1836"/>
      <c r="BE1026" s="1839"/>
      <c r="BF1026" s="1834"/>
      <c r="BG1026" s="1842"/>
    </row>
    <row r="1027" spans="1:59" s="1378" customFormat="1" ht="27.75" customHeight="1">
      <c r="A1027" s="1347" t="str">
        <f t="shared" si="1447"/>
        <v>ABC</v>
      </c>
      <c r="B1027" s="1348" t="str">
        <f t="shared" si="1444"/>
        <v>HUB SD</v>
      </c>
      <c r="C1027" s="1348">
        <f t="shared" si="1448"/>
        <v>0</v>
      </c>
      <c r="D1027" s="1349">
        <f t="shared" si="1449"/>
        <v>43101</v>
      </c>
      <c r="E1027" s="1349"/>
      <c r="F1027" s="1347" t="s">
        <v>72</v>
      </c>
      <c r="G1027" s="1347" t="s">
        <v>85</v>
      </c>
      <c r="H1027" s="1347" t="s">
        <v>72</v>
      </c>
      <c r="I1027" s="1347" t="s">
        <v>72</v>
      </c>
      <c r="J1027" s="1349" t="s">
        <v>4670</v>
      </c>
      <c r="K1027" s="1349"/>
      <c r="L1027" s="1518" t="s">
        <v>4696</v>
      </c>
      <c r="M1027" s="1518" t="s">
        <v>4697</v>
      </c>
      <c r="N1027" s="1522" t="s">
        <v>5405</v>
      </c>
      <c r="O1027" s="1388" t="s">
        <v>4699</v>
      </c>
      <c r="P1027" s="1388"/>
      <c r="Q1027" s="1354"/>
      <c r="R1027" s="1354"/>
      <c r="S1027" s="1354"/>
      <c r="T1027" s="1354"/>
      <c r="U1027" s="1354"/>
      <c r="V1027" s="1354"/>
      <c r="W1027" s="1354"/>
      <c r="X1027" s="1353">
        <f t="shared" si="1450"/>
        <v>43101</v>
      </c>
      <c r="Y1027" s="1353">
        <f t="shared" si="1450"/>
        <v>43466</v>
      </c>
      <c r="Z1027" s="1355"/>
      <c r="AA1027" s="1355" t="s">
        <v>4674</v>
      </c>
      <c r="AB1027" s="1356"/>
      <c r="AC1027" s="1356"/>
      <c r="AD1027" s="1422">
        <v>0</v>
      </c>
      <c r="AE1027" s="1422">
        <f t="shared" si="1445"/>
        <v>0</v>
      </c>
      <c r="AF1027" s="1423" t="str">
        <f t="shared" si="1446"/>
        <v/>
      </c>
      <c r="AG1027" s="1380"/>
      <c r="AH1027" s="1380"/>
      <c r="AI1027" s="1381">
        <v>0</v>
      </c>
      <c r="AJ1027" s="1382"/>
      <c r="AK1027" s="1383">
        <f t="shared" si="1465"/>
        <v>0</v>
      </c>
      <c r="AL1027" s="1384">
        <v>0</v>
      </c>
      <c r="AM1027" s="1363">
        <f t="shared" si="1453"/>
        <v>0</v>
      </c>
      <c r="AN1027" s="1364">
        <v>0</v>
      </c>
      <c r="AO1027" s="1365">
        <f t="shared" si="1454"/>
        <v>0</v>
      </c>
      <c r="AP1027" s="1366">
        <v>0</v>
      </c>
      <c r="AQ1027" s="1367">
        <f t="shared" si="1455"/>
        <v>0</v>
      </c>
      <c r="AR1027" s="1368">
        <v>0</v>
      </c>
      <c r="AS1027" s="1369">
        <f t="shared" si="1456"/>
        <v>0</v>
      </c>
      <c r="AT1027" s="1370">
        <v>0</v>
      </c>
      <c r="AU1027" s="1371">
        <f t="shared" si="1457"/>
        <v>0</v>
      </c>
      <c r="AV1027" s="1359">
        <f t="shared" si="1458"/>
        <v>0</v>
      </c>
      <c r="AW1027" s="1372">
        <f t="shared" si="1459"/>
        <v>0</v>
      </c>
      <c r="AX1027" s="1373">
        <f t="shared" si="1460"/>
        <v>0</v>
      </c>
      <c r="AY1027" s="1374">
        <f t="shared" si="1461"/>
        <v>0</v>
      </c>
      <c r="AZ1027" s="1375">
        <f t="shared" si="1462"/>
        <v>0</v>
      </c>
      <c r="BA1027" s="1376">
        <f t="shared" si="1463"/>
        <v>0</v>
      </c>
      <c r="BB1027" s="1377"/>
      <c r="BC1027" s="1836"/>
      <c r="BD1027" s="1836"/>
      <c r="BE1027" s="1839"/>
      <c r="BF1027" s="1834"/>
      <c r="BG1027" s="1842"/>
    </row>
    <row r="1028" spans="1:59" s="1378" customFormat="1" ht="25.5">
      <c r="A1028" s="1347" t="str">
        <f t="shared" si="1447"/>
        <v>ABC</v>
      </c>
      <c r="B1028" s="1348" t="str">
        <f t="shared" si="1444"/>
        <v>HUB SD</v>
      </c>
      <c r="C1028" s="1348">
        <f t="shared" si="1448"/>
        <v>0</v>
      </c>
      <c r="D1028" s="1349">
        <f t="shared" si="1449"/>
        <v>43101</v>
      </c>
      <c r="E1028" s="1349"/>
      <c r="F1028" s="1347" t="s">
        <v>72</v>
      </c>
      <c r="G1028" s="1347" t="s">
        <v>85</v>
      </c>
      <c r="H1028" s="1347" t="s">
        <v>72</v>
      </c>
      <c r="I1028" s="1347" t="s">
        <v>72</v>
      </c>
      <c r="J1028" s="1349" t="s">
        <v>4670</v>
      </c>
      <c r="K1028" s="1349"/>
      <c r="L1028" s="1518" t="s">
        <v>48</v>
      </c>
      <c r="M1028" s="1518" t="s">
        <v>3652</v>
      </c>
      <c r="N1028" s="1523" t="s">
        <v>5406</v>
      </c>
      <c r="O1028" s="1388" t="s">
        <v>4702</v>
      </c>
      <c r="P1028" s="1388"/>
      <c r="Q1028" s="1354"/>
      <c r="R1028" s="1354"/>
      <c r="S1028" s="1354"/>
      <c r="T1028" s="1354"/>
      <c r="U1028" s="1354"/>
      <c r="V1028" s="1354"/>
      <c r="W1028" s="1354"/>
      <c r="X1028" s="1353">
        <f t="shared" si="1450"/>
        <v>43101</v>
      </c>
      <c r="Y1028" s="1353">
        <f t="shared" si="1450"/>
        <v>43466</v>
      </c>
      <c r="Z1028" s="1355"/>
      <c r="AA1028" s="1355" t="s">
        <v>4674</v>
      </c>
      <c r="AB1028" s="1356"/>
      <c r="AC1028" s="1356"/>
      <c r="AD1028" s="1422">
        <v>0</v>
      </c>
      <c r="AE1028" s="1422">
        <f t="shared" si="1445"/>
        <v>0</v>
      </c>
      <c r="AF1028" s="1423" t="str">
        <f t="shared" si="1446"/>
        <v/>
      </c>
      <c r="AG1028" s="1380"/>
      <c r="AH1028" s="1380"/>
      <c r="AI1028" s="1381">
        <v>0</v>
      </c>
      <c r="AJ1028" s="1382"/>
      <c r="AK1028" s="1383">
        <f t="shared" si="1465"/>
        <v>0</v>
      </c>
      <c r="AL1028" s="1384">
        <v>0</v>
      </c>
      <c r="AM1028" s="1363">
        <f t="shared" si="1453"/>
        <v>0</v>
      </c>
      <c r="AN1028" s="1364">
        <v>0</v>
      </c>
      <c r="AO1028" s="1365">
        <f t="shared" si="1454"/>
        <v>0</v>
      </c>
      <c r="AP1028" s="1366">
        <v>0</v>
      </c>
      <c r="AQ1028" s="1367">
        <f t="shared" si="1455"/>
        <v>0</v>
      </c>
      <c r="AR1028" s="1368">
        <v>0</v>
      </c>
      <c r="AS1028" s="1369">
        <f t="shared" si="1456"/>
        <v>0</v>
      </c>
      <c r="AT1028" s="1370">
        <v>0</v>
      </c>
      <c r="AU1028" s="1371">
        <f t="shared" si="1457"/>
        <v>0</v>
      </c>
      <c r="AV1028" s="1359">
        <f t="shared" si="1458"/>
        <v>0</v>
      </c>
      <c r="AW1028" s="1372">
        <f t="shared" si="1459"/>
        <v>0</v>
      </c>
      <c r="AX1028" s="1373">
        <f t="shared" si="1460"/>
        <v>0</v>
      </c>
      <c r="AY1028" s="1374">
        <f t="shared" si="1461"/>
        <v>0</v>
      </c>
      <c r="AZ1028" s="1375">
        <f t="shared" si="1462"/>
        <v>0</v>
      </c>
      <c r="BA1028" s="1376">
        <f t="shared" si="1463"/>
        <v>0</v>
      </c>
      <c r="BB1028" s="1377"/>
      <c r="BC1028" s="1836"/>
      <c r="BD1028" s="1836"/>
      <c r="BE1028" s="1839"/>
      <c r="BF1028" s="1834"/>
      <c r="BG1028" s="1842"/>
    </row>
    <row r="1029" spans="1:59" s="1378" customFormat="1" ht="25.5">
      <c r="A1029" s="1347" t="str">
        <f t="shared" si="1447"/>
        <v>ABC</v>
      </c>
      <c r="B1029" s="1348" t="str">
        <f t="shared" si="1444"/>
        <v>HUB SD</v>
      </c>
      <c r="C1029" s="1348">
        <f t="shared" si="1448"/>
        <v>0</v>
      </c>
      <c r="D1029" s="1349">
        <f t="shared" si="1449"/>
        <v>43101</v>
      </c>
      <c r="E1029" s="1349"/>
      <c r="F1029" s="1347" t="s">
        <v>72</v>
      </c>
      <c r="G1029" s="1347" t="s">
        <v>85</v>
      </c>
      <c r="H1029" s="1347" t="s">
        <v>72</v>
      </c>
      <c r="I1029" s="1347" t="s">
        <v>72</v>
      </c>
      <c r="J1029" s="1349" t="s">
        <v>4670</v>
      </c>
      <c r="K1029" s="1349"/>
      <c r="L1029" s="1518" t="s">
        <v>48</v>
      </c>
      <c r="M1029" s="1518" t="s">
        <v>5033</v>
      </c>
      <c r="N1029" s="1522" t="s">
        <v>5407</v>
      </c>
      <c r="O1029" s="1388" t="s">
        <v>5035</v>
      </c>
      <c r="P1029" s="1388"/>
      <c r="Q1029" s="1354"/>
      <c r="R1029" s="1354"/>
      <c r="S1029" s="1354"/>
      <c r="T1029" s="1354"/>
      <c r="U1029" s="1354"/>
      <c r="V1029" s="1354"/>
      <c r="W1029" s="1354"/>
      <c r="X1029" s="1353">
        <f t="shared" si="1450"/>
        <v>43101</v>
      </c>
      <c r="Y1029" s="1353">
        <f t="shared" si="1450"/>
        <v>43466</v>
      </c>
      <c r="Z1029" s="1355"/>
      <c r="AA1029" s="1355" t="s">
        <v>4674</v>
      </c>
      <c r="AB1029" s="1356"/>
      <c r="AC1029" s="1356"/>
      <c r="AD1029" s="1422">
        <v>0</v>
      </c>
      <c r="AE1029" s="1422">
        <f t="shared" si="1445"/>
        <v>0</v>
      </c>
      <c r="AF1029" s="1423" t="str">
        <f t="shared" si="1446"/>
        <v/>
      </c>
      <c r="AG1029" s="1380"/>
      <c r="AH1029" s="1380"/>
      <c r="AI1029" s="1381">
        <v>0</v>
      </c>
      <c r="AJ1029" s="1382"/>
      <c r="AK1029" s="1383">
        <f t="shared" si="1465"/>
        <v>0</v>
      </c>
      <c r="AL1029" s="1384">
        <v>0</v>
      </c>
      <c r="AM1029" s="1363">
        <f t="shared" si="1453"/>
        <v>0</v>
      </c>
      <c r="AN1029" s="1364">
        <v>0</v>
      </c>
      <c r="AO1029" s="1365">
        <f t="shared" si="1454"/>
        <v>0</v>
      </c>
      <c r="AP1029" s="1366">
        <v>0</v>
      </c>
      <c r="AQ1029" s="1367">
        <f t="shared" si="1455"/>
        <v>0</v>
      </c>
      <c r="AR1029" s="1368">
        <v>0</v>
      </c>
      <c r="AS1029" s="1369">
        <f t="shared" si="1456"/>
        <v>0</v>
      </c>
      <c r="AT1029" s="1370">
        <v>0</v>
      </c>
      <c r="AU1029" s="1371">
        <f t="shared" si="1457"/>
        <v>0</v>
      </c>
      <c r="AV1029" s="1359">
        <f t="shared" si="1458"/>
        <v>0</v>
      </c>
      <c r="AW1029" s="1372">
        <f t="shared" si="1459"/>
        <v>0</v>
      </c>
      <c r="AX1029" s="1373">
        <f t="shared" si="1460"/>
        <v>0</v>
      </c>
      <c r="AY1029" s="1374">
        <f t="shared" si="1461"/>
        <v>0</v>
      </c>
      <c r="AZ1029" s="1375">
        <f t="shared" si="1462"/>
        <v>0</v>
      </c>
      <c r="BA1029" s="1376">
        <f t="shared" si="1463"/>
        <v>0</v>
      </c>
      <c r="BB1029" s="1377"/>
      <c r="BC1029" s="1836"/>
      <c r="BD1029" s="1836"/>
      <c r="BE1029" s="1839"/>
      <c r="BF1029" s="1834"/>
      <c r="BG1029" s="1842"/>
    </row>
    <row r="1030" spans="1:59" s="1378" customFormat="1" ht="25.5">
      <c r="A1030" s="1347" t="str">
        <f t="shared" si="1447"/>
        <v>ABC</v>
      </c>
      <c r="B1030" s="1348" t="str">
        <f t="shared" si="1444"/>
        <v>HUB SD</v>
      </c>
      <c r="C1030" s="1348">
        <f t="shared" si="1448"/>
        <v>0</v>
      </c>
      <c r="D1030" s="1349">
        <f t="shared" si="1449"/>
        <v>43101</v>
      </c>
      <c r="E1030" s="1349"/>
      <c r="F1030" s="1347" t="s">
        <v>72</v>
      </c>
      <c r="G1030" s="1347" t="s">
        <v>85</v>
      </c>
      <c r="H1030" s="1347" t="s">
        <v>72</v>
      </c>
      <c r="I1030" s="1347" t="s">
        <v>72</v>
      </c>
      <c r="J1030" s="1349" t="s">
        <v>4670</v>
      </c>
      <c r="K1030" s="1349"/>
      <c r="L1030" s="1518" t="s">
        <v>48</v>
      </c>
      <c r="M1030" s="1518" t="s">
        <v>253</v>
      </c>
      <c r="N1030" s="1523" t="s">
        <v>5408</v>
      </c>
      <c r="O1030" s="1388" t="s">
        <v>4704</v>
      </c>
      <c r="P1030" s="1388"/>
      <c r="Q1030" s="1354"/>
      <c r="R1030" s="1354"/>
      <c r="S1030" s="1354"/>
      <c r="T1030" s="1354"/>
      <c r="U1030" s="1354"/>
      <c r="V1030" s="1354"/>
      <c r="W1030" s="1354"/>
      <c r="X1030" s="1353">
        <f t="shared" si="1450"/>
        <v>43101</v>
      </c>
      <c r="Y1030" s="1353">
        <f t="shared" si="1450"/>
        <v>43466</v>
      </c>
      <c r="Z1030" s="1355"/>
      <c r="AA1030" s="1355" t="s">
        <v>4674</v>
      </c>
      <c r="AB1030" s="1356"/>
      <c r="AC1030" s="1356"/>
      <c r="AD1030" s="1422">
        <v>0</v>
      </c>
      <c r="AE1030" s="1422">
        <f t="shared" si="1445"/>
        <v>0</v>
      </c>
      <c r="AF1030" s="1423" t="str">
        <f t="shared" si="1446"/>
        <v/>
      </c>
      <c r="AG1030" s="1380"/>
      <c r="AH1030" s="1380"/>
      <c r="AI1030" s="1381">
        <v>0</v>
      </c>
      <c r="AJ1030" s="1382"/>
      <c r="AK1030" s="1383">
        <f t="shared" si="1465"/>
        <v>0</v>
      </c>
      <c r="AL1030" s="1384">
        <v>0</v>
      </c>
      <c r="AM1030" s="1363">
        <f t="shared" si="1453"/>
        <v>0</v>
      </c>
      <c r="AN1030" s="1364">
        <v>0</v>
      </c>
      <c r="AO1030" s="1365">
        <f t="shared" si="1454"/>
        <v>0</v>
      </c>
      <c r="AP1030" s="1366">
        <v>0</v>
      </c>
      <c r="AQ1030" s="1367">
        <f t="shared" si="1455"/>
        <v>0</v>
      </c>
      <c r="AR1030" s="1368">
        <v>0</v>
      </c>
      <c r="AS1030" s="1369">
        <f t="shared" si="1456"/>
        <v>0</v>
      </c>
      <c r="AT1030" s="1370">
        <v>0</v>
      </c>
      <c r="AU1030" s="1371">
        <f t="shared" si="1457"/>
        <v>0</v>
      </c>
      <c r="AV1030" s="1359">
        <f t="shared" si="1458"/>
        <v>0</v>
      </c>
      <c r="AW1030" s="1372">
        <f t="shared" si="1459"/>
        <v>0</v>
      </c>
      <c r="AX1030" s="1373">
        <f t="shared" si="1460"/>
        <v>0</v>
      </c>
      <c r="AY1030" s="1374">
        <f t="shared" si="1461"/>
        <v>0</v>
      </c>
      <c r="AZ1030" s="1375">
        <f t="shared" si="1462"/>
        <v>0</v>
      </c>
      <c r="BA1030" s="1376">
        <f t="shared" si="1463"/>
        <v>0</v>
      </c>
      <c r="BB1030" s="1391"/>
      <c r="BC1030" s="1836"/>
      <c r="BD1030" s="1836"/>
      <c r="BE1030" s="1839"/>
      <c r="BF1030" s="1834"/>
      <c r="BG1030" s="1842"/>
    </row>
    <row r="1031" spans="1:59" s="1378" customFormat="1" ht="25.5">
      <c r="A1031" s="1347" t="str">
        <f t="shared" si="1447"/>
        <v>ABC</v>
      </c>
      <c r="B1031" s="1348" t="str">
        <f t="shared" si="1444"/>
        <v>HUB SD</v>
      </c>
      <c r="C1031" s="1348">
        <f t="shared" si="1448"/>
        <v>0</v>
      </c>
      <c r="D1031" s="1349">
        <f t="shared" si="1449"/>
        <v>43101</v>
      </c>
      <c r="E1031" s="1349"/>
      <c r="F1031" s="1347" t="s">
        <v>72</v>
      </c>
      <c r="G1031" s="1347" t="s">
        <v>85</v>
      </c>
      <c r="H1031" s="1347" t="s">
        <v>72</v>
      </c>
      <c r="I1031" s="1347" t="s">
        <v>72</v>
      </c>
      <c r="J1031" s="1349" t="s">
        <v>4670</v>
      </c>
      <c r="K1031" s="1349"/>
      <c r="L1031" s="1518" t="s">
        <v>49</v>
      </c>
      <c r="M1031" s="1518" t="s">
        <v>4705</v>
      </c>
      <c r="N1031" s="1523" t="s">
        <v>5409</v>
      </c>
      <c r="O1031" s="1388" t="s">
        <v>4707</v>
      </c>
      <c r="P1031" s="1388"/>
      <c r="Q1031" s="1354"/>
      <c r="R1031" s="1354"/>
      <c r="S1031" s="1354"/>
      <c r="T1031" s="1354"/>
      <c r="U1031" s="1354"/>
      <c r="V1031" s="1354"/>
      <c r="W1031" s="1354"/>
      <c r="X1031" s="1353">
        <f t="shared" si="1450"/>
        <v>43101</v>
      </c>
      <c r="Y1031" s="1353">
        <f t="shared" si="1450"/>
        <v>43466</v>
      </c>
      <c r="Z1031" s="1355"/>
      <c r="AA1031" s="1355" t="s">
        <v>4674</v>
      </c>
      <c r="AB1031" s="1356"/>
      <c r="AC1031" s="1356"/>
      <c r="AD1031" s="1422">
        <v>0</v>
      </c>
      <c r="AE1031" s="1422">
        <f t="shared" si="1445"/>
        <v>0</v>
      </c>
      <c r="AF1031" s="1423" t="str">
        <f t="shared" si="1446"/>
        <v/>
      </c>
      <c r="AG1031" s="1380"/>
      <c r="AH1031" s="1380"/>
      <c r="AI1031" s="1381">
        <v>0</v>
      </c>
      <c r="AJ1031" s="1382"/>
      <c r="AK1031" s="1383">
        <f t="shared" si="1465"/>
        <v>0</v>
      </c>
      <c r="AL1031" s="1384">
        <v>0</v>
      </c>
      <c r="AM1031" s="1363">
        <f t="shared" si="1453"/>
        <v>0</v>
      </c>
      <c r="AN1031" s="1364">
        <v>0</v>
      </c>
      <c r="AO1031" s="1365">
        <f t="shared" si="1454"/>
        <v>0</v>
      </c>
      <c r="AP1031" s="1366">
        <v>0</v>
      </c>
      <c r="AQ1031" s="1367">
        <f t="shared" si="1455"/>
        <v>0</v>
      </c>
      <c r="AR1031" s="1368">
        <v>0</v>
      </c>
      <c r="AS1031" s="1369">
        <f t="shared" si="1456"/>
        <v>0</v>
      </c>
      <c r="AT1031" s="1370">
        <v>0</v>
      </c>
      <c r="AU1031" s="1371">
        <f t="shared" si="1457"/>
        <v>0</v>
      </c>
      <c r="AV1031" s="1359">
        <f t="shared" si="1458"/>
        <v>0</v>
      </c>
      <c r="AW1031" s="1372">
        <f t="shared" si="1459"/>
        <v>0</v>
      </c>
      <c r="AX1031" s="1373">
        <f t="shared" si="1460"/>
        <v>0</v>
      </c>
      <c r="AY1031" s="1374">
        <f t="shared" si="1461"/>
        <v>0</v>
      </c>
      <c r="AZ1031" s="1375">
        <f t="shared" si="1462"/>
        <v>0</v>
      </c>
      <c r="BA1031" s="1376">
        <f t="shared" si="1463"/>
        <v>0</v>
      </c>
      <c r="BB1031" s="1391"/>
      <c r="BC1031" s="1836"/>
      <c r="BD1031" s="1836"/>
      <c r="BE1031" s="1839"/>
      <c r="BF1031" s="1834"/>
      <c r="BG1031" s="1842"/>
    </row>
    <row r="1032" spans="1:59" s="1378" customFormat="1" ht="25.5">
      <c r="A1032" s="1347" t="str">
        <f t="shared" si="1447"/>
        <v>ABC</v>
      </c>
      <c r="B1032" s="1348" t="str">
        <f t="shared" si="1444"/>
        <v>HUB SD</v>
      </c>
      <c r="C1032" s="1348">
        <f t="shared" si="1448"/>
        <v>0</v>
      </c>
      <c r="D1032" s="1349">
        <f t="shared" si="1449"/>
        <v>43101</v>
      </c>
      <c r="E1032" s="1349"/>
      <c r="F1032" s="1347" t="s">
        <v>72</v>
      </c>
      <c r="G1032" s="1347" t="s">
        <v>85</v>
      </c>
      <c r="H1032" s="1347" t="s">
        <v>72</v>
      </c>
      <c r="I1032" s="1347" t="s">
        <v>72</v>
      </c>
      <c r="J1032" s="1349" t="s">
        <v>4670</v>
      </c>
      <c r="K1032" s="1349"/>
      <c r="L1032" s="1518" t="s">
        <v>3056</v>
      </c>
      <c r="M1032" s="1518" t="s">
        <v>4708</v>
      </c>
      <c r="N1032" s="1523" t="s">
        <v>5410</v>
      </c>
      <c r="O1032" s="1388" t="s">
        <v>4710</v>
      </c>
      <c r="P1032" s="1388"/>
      <c r="Q1032" s="1354"/>
      <c r="R1032" s="1354"/>
      <c r="S1032" s="1354"/>
      <c r="T1032" s="1354"/>
      <c r="U1032" s="1354"/>
      <c r="V1032" s="1354"/>
      <c r="W1032" s="1354"/>
      <c r="X1032" s="1353">
        <f t="shared" si="1450"/>
        <v>43101</v>
      </c>
      <c r="Y1032" s="1353">
        <f t="shared" si="1450"/>
        <v>43466</v>
      </c>
      <c r="Z1032" s="1355"/>
      <c r="AA1032" s="1355" t="s">
        <v>4674</v>
      </c>
      <c r="AB1032" s="1356"/>
      <c r="AC1032" s="1356"/>
      <c r="AD1032" s="1422">
        <v>0</v>
      </c>
      <c r="AE1032" s="1422">
        <f t="shared" si="1445"/>
        <v>0</v>
      </c>
      <c r="AF1032" s="1423" t="str">
        <f t="shared" si="1446"/>
        <v/>
      </c>
      <c r="AG1032" s="1380"/>
      <c r="AH1032" s="1380"/>
      <c r="AI1032" s="1381">
        <v>0</v>
      </c>
      <c r="AJ1032" s="1382"/>
      <c r="AK1032" s="1383">
        <f t="shared" si="1465"/>
        <v>0</v>
      </c>
      <c r="AL1032" s="1384">
        <v>0</v>
      </c>
      <c r="AM1032" s="1363">
        <f t="shared" si="1453"/>
        <v>0</v>
      </c>
      <c r="AN1032" s="1364">
        <v>0</v>
      </c>
      <c r="AO1032" s="1365">
        <f t="shared" si="1454"/>
        <v>0</v>
      </c>
      <c r="AP1032" s="1366">
        <v>0</v>
      </c>
      <c r="AQ1032" s="1367">
        <f t="shared" si="1455"/>
        <v>0</v>
      </c>
      <c r="AR1032" s="1368">
        <v>0</v>
      </c>
      <c r="AS1032" s="1369">
        <f t="shared" si="1456"/>
        <v>0</v>
      </c>
      <c r="AT1032" s="1370">
        <v>0</v>
      </c>
      <c r="AU1032" s="1371">
        <f t="shared" si="1457"/>
        <v>0</v>
      </c>
      <c r="AV1032" s="1359">
        <f t="shared" si="1458"/>
        <v>0</v>
      </c>
      <c r="AW1032" s="1372">
        <f t="shared" si="1459"/>
        <v>0</v>
      </c>
      <c r="AX1032" s="1373">
        <f t="shared" si="1460"/>
        <v>0</v>
      </c>
      <c r="AY1032" s="1374">
        <f t="shared" si="1461"/>
        <v>0</v>
      </c>
      <c r="AZ1032" s="1375">
        <f t="shared" si="1462"/>
        <v>0</v>
      </c>
      <c r="BA1032" s="1376">
        <f t="shared" si="1463"/>
        <v>0</v>
      </c>
      <c r="BB1032" s="1391"/>
      <c r="BC1032" s="1837"/>
      <c r="BD1032" s="1837"/>
      <c r="BE1032" s="1840"/>
      <c r="BF1032" s="1834"/>
      <c r="BG1032" s="1843"/>
    </row>
    <row r="1033" spans="1:59">
      <c r="BC1033" s="1530"/>
      <c r="BD1033" s="1530"/>
      <c r="BE1033" s="1530"/>
      <c r="BF1033" s="1530"/>
      <c r="BG1033" s="1537"/>
    </row>
    <row r="1034" spans="1:59" s="1315" customFormat="1" ht="25.5">
      <c r="A1034" s="1277" t="str">
        <f>L1034</f>
        <v>ABC</v>
      </c>
      <c r="B1034" s="1316" t="str">
        <f t="shared" ref="B1034:B1054" si="1468">N$1034</f>
        <v>HUB</v>
      </c>
      <c r="C1034" s="1316">
        <f>Z1034</f>
        <v>0</v>
      </c>
      <c r="D1034" s="1317">
        <v>43101</v>
      </c>
      <c r="E1034" s="1317"/>
      <c r="F1034" s="1277" t="s">
        <v>72</v>
      </c>
      <c r="G1034" s="1277" t="s">
        <v>72</v>
      </c>
      <c r="H1034" s="1277" t="s">
        <v>72</v>
      </c>
      <c r="I1034" s="1277" t="s">
        <v>4711</v>
      </c>
      <c r="J1034" s="1317"/>
      <c r="K1034" s="1317"/>
      <c r="L1034" s="1318" t="s">
        <v>5385</v>
      </c>
      <c r="M1034" s="1319"/>
      <c r="N1034" s="1281" t="s">
        <v>3653</v>
      </c>
      <c r="O1034" s="1392" t="s">
        <v>5386</v>
      </c>
      <c r="P1034" s="1419"/>
      <c r="Q1034" s="1322"/>
      <c r="R1034" s="1322"/>
      <c r="S1034" s="1322"/>
      <c r="T1034" s="1322"/>
      <c r="U1034" s="1322"/>
      <c r="V1034" s="1322"/>
      <c r="W1034" s="1322"/>
      <c r="X1034" s="1317">
        <v>43101</v>
      </c>
      <c r="Y1034" s="1317">
        <v>43466</v>
      </c>
      <c r="Z1034" s="1316">
        <v>0</v>
      </c>
      <c r="AA1034" s="1316" t="s">
        <v>5387</v>
      </c>
      <c r="AB1034" s="1323">
        <f>SUM(AB1035:AB1054)</f>
        <v>0</v>
      </c>
      <c r="AC1034" s="1323">
        <f>SUM(AC1035:AC1054)</f>
        <v>0</v>
      </c>
      <c r="AD1034" s="1323">
        <f>SUM(AD1035:AD1054)</f>
        <v>0</v>
      </c>
      <c r="AE1034" s="1324">
        <f t="shared" ref="AE1034:AE1054" si="1469">AD1034-AB1034</f>
        <v>0</v>
      </c>
      <c r="AF1034" s="1325" t="str">
        <f t="shared" ref="AF1034:AF1054" si="1470">IFERROR((AE1034/AB1034),"")</f>
        <v/>
      </c>
      <c r="AG1034" s="1326">
        <f>SUM(AG1035:AG1054)</f>
        <v>0</v>
      </c>
      <c r="AH1034" s="1326">
        <f>SUM(AH1035:AH1054)</f>
        <v>0</v>
      </c>
      <c r="AI1034" s="1339"/>
      <c r="AJ1034" s="1328">
        <f>SUM(AJ1035:AJ1054)</f>
        <v>0</v>
      </c>
      <c r="AK1034" s="1328">
        <f>SUM(AK1035:AK1054)</f>
        <v>0</v>
      </c>
      <c r="AL1034" s="1329"/>
      <c r="AM1034" s="1330">
        <f>SUM(AM1035:AM1054)</f>
        <v>0</v>
      </c>
      <c r="AN1034" s="1331"/>
      <c r="AO1034" s="1332">
        <f>SUM(AO1035:AO1054)</f>
        <v>0</v>
      </c>
      <c r="AP1034" s="1333"/>
      <c r="AQ1034" s="1334">
        <f>SUM(AQ1035:AQ1054)</f>
        <v>0</v>
      </c>
      <c r="AR1034" s="1335"/>
      <c r="AS1034" s="1336">
        <f>SUM(AS1035:AS1054)</f>
        <v>0</v>
      </c>
      <c r="AT1034" s="1337"/>
      <c r="AU1034" s="1338">
        <f>SUM(AU1035:AU1054)</f>
        <v>0</v>
      </c>
      <c r="AV1034" s="1339"/>
      <c r="AW1034" s="1340">
        <f>SUM(AW1035:AW1054)</f>
        <v>0</v>
      </c>
      <c r="AX1034" s="1306"/>
      <c r="AY1034" s="1307">
        <f>SUM(AW1034+AS1034+AU1034)</f>
        <v>0</v>
      </c>
      <c r="AZ1034" s="1341"/>
      <c r="BA1034" s="1309">
        <f>SUM(AY1034+AQ1034)</f>
        <v>0</v>
      </c>
      <c r="BB1034" s="1342" t="e">
        <f>(AW1034+AU1034)/(AK1034-AM1034)</f>
        <v>#DIV/0!</v>
      </c>
      <c r="BC1034" s="1343"/>
      <c r="BD1034" s="1343"/>
      <c r="BE1034" s="1344"/>
      <c r="BF1034" s="1393" t="s">
        <v>5388</v>
      </c>
      <c r="BG1034" s="1346"/>
    </row>
    <row r="1035" spans="1:59" s="1378" customFormat="1" ht="153">
      <c r="A1035" s="1347" t="str">
        <f t="shared" ref="A1035:A1054" si="1471">L$1034</f>
        <v>ABC</v>
      </c>
      <c r="B1035" s="1348" t="str">
        <f t="shared" si="1468"/>
        <v>HUB</v>
      </c>
      <c r="C1035" s="1348">
        <f t="shared" ref="C1035:C1054" si="1472">Z$1034</f>
        <v>0</v>
      </c>
      <c r="D1035" s="1349">
        <f t="shared" ref="D1035:D1054" si="1473">D$1034</f>
        <v>43101</v>
      </c>
      <c r="E1035" s="1349"/>
      <c r="F1035" s="1347" t="s">
        <v>85</v>
      </c>
      <c r="G1035" s="1347" t="s">
        <v>85</v>
      </c>
      <c r="H1035" s="1347" t="s">
        <v>85</v>
      </c>
      <c r="I1035" s="1347" t="s">
        <v>113</v>
      </c>
      <c r="J1035" s="1349"/>
      <c r="K1035" s="1349"/>
      <c r="L1035" s="1518" t="s">
        <v>2661</v>
      </c>
      <c r="M1035" s="1518" t="s">
        <v>3647</v>
      </c>
      <c r="N1035" s="1451" t="s">
        <v>5390</v>
      </c>
      <c r="O1035" s="1388" t="s">
        <v>5391</v>
      </c>
      <c r="P1035" s="1388" t="s">
        <v>5392</v>
      </c>
      <c r="Q1035" s="1502" t="s">
        <v>5393</v>
      </c>
      <c r="R1035" s="1502" t="s">
        <v>5394</v>
      </c>
      <c r="S1035" s="1502" t="s">
        <v>307</v>
      </c>
      <c r="T1035" s="1502" t="s">
        <v>113</v>
      </c>
      <c r="U1035" s="1354"/>
      <c r="V1035" s="1354"/>
      <c r="W1035" s="1354"/>
      <c r="X1035" s="1353">
        <f>X$1034</f>
        <v>43101</v>
      </c>
      <c r="Y1035" s="1353">
        <f>Y$1034</f>
        <v>43466</v>
      </c>
      <c r="Z1035" s="1355"/>
      <c r="AA1035" s="1355" t="s">
        <v>4667</v>
      </c>
      <c r="AB1035" s="1356"/>
      <c r="AC1035" s="1356"/>
      <c r="AD1035" s="1422">
        <f>AH1035</f>
        <v>0</v>
      </c>
      <c r="AE1035" s="1422">
        <f t="shared" si="1469"/>
        <v>0</v>
      </c>
      <c r="AF1035" s="1423" t="str">
        <f t="shared" si="1470"/>
        <v/>
      </c>
      <c r="AG1035" s="1358">
        <v>0</v>
      </c>
      <c r="AH1035" s="1426">
        <f t="shared" ref="AH1035:AH1040" si="1474">AG1035*12</f>
        <v>0</v>
      </c>
      <c r="AI1035" s="1359">
        <v>0.08</v>
      </c>
      <c r="AJ1035" s="1360">
        <f>$AI1035*$AG1035</f>
        <v>0</v>
      </c>
      <c r="AK1035" s="1361">
        <f t="shared" ref="AK1035" si="1475">AI1035*$AH1035</f>
        <v>0</v>
      </c>
      <c r="AL1035" s="1362">
        <v>5.0000000000000001E-3</v>
      </c>
      <c r="AM1035" s="1363">
        <f t="shared" ref="AM1035:AM1054" si="1476">AL1035*$AH1035</f>
        <v>0</v>
      </c>
      <c r="AN1035" s="1364">
        <v>0</v>
      </c>
      <c r="AO1035" s="1365">
        <f t="shared" ref="AO1035:AO1054" si="1477">AN1035*$AH1035</f>
        <v>0</v>
      </c>
      <c r="AP1035" s="1366">
        <v>0.04</v>
      </c>
      <c r="AQ1035" s="1367">
        <f t="shared" ref="AQ1035:AQ1054" si="1478">AP1035*$AH1035</f>
        <v>0</v>
      </c>
      <c r="AR1035" s="1368">
        <v>0</v>
      </c>
      <c r="AS1035" s="1369">
        <f t="shared" ref="AS1035:AS1054" si="1479">AR1035*$AH1035</f>
        <v>0</v>
      </c>
      <c r="AT1035" s="1370">
        <v>2.5000000000000001E-2</v>
      </c>
      <c r="AU1035" s="1371">
        <f t="shared" ref="AU1035:AU1054" si="1480">AT1035*$AH1035</f>
        <v>0</v>
      </c>
      <c r="AV1035" s="1359">
        <f t="shared" ref="AV1035:AV1054" si="1481">AZ1035-AR1035-AT1035-AP1035</f>
        <v>9.999999999999995E-3</v>
      </c>
      <c r="AW1035" s="1372">
        <f t="shared" ref="AW1035:AW1054" si="1482">AV1035*$AH1035</f>
        <v>0</v>
      </c>
      <c r="AX1035" s="1373">
        <f t="shared" ref="AX1035:AX1054" si="1483">$AZ1035-$AP1035</f>
        <v>3.4999999999999996E-2</v>
      </c>
      <c r="AY1035" s="1374">
        <f t="shared" ref="AY1035:AY1054" si="1484">AX1035*$AH1035</f>
        <v>0</v>
      </c>
      <c r="AZ1035" s="1375">
        <f t="shared" ref="AZ1035:AZ1054" si="1485">$AI1035-$AL1035-$AN1035</f>
        <v>7.4999999999999997E-2</v>
      </c>
      <c r="BA1035" s="1376">
        <f t="shared" ref="BA1035:BA1054" si="1486">AZ1035*$AH1035</f>
        <v>0</v>
      </c>
      <c r="BB1035" s="1377"/>
      <c r="BC1035" s="1835" t="s">
        <v>5395</v>
      </c>
      <c r="BD1035" s="1835" t="s">
        <v>5396</v>
      </c>
      <c r="BE1035" s="1838" t="s">
        <v>5396</v>
      </c>
      <c r="BF1035" s="1825" t="s">
        <v>5419</v>
      </c>
      <c r="BG1035" s="1841">
        <v>12345678</v>
      </c>
    </row>
    <row r="1036" spans="1:59" s="1378" customFormat="1" ht="38.25">
      <c r="A1036" s="1347" t="str">
        <f t="shared" si="1471"/>
        <v>ABC</v>
      </c>
      <c r="B1036" s="1348" t="str">
        <f t="shared" si="1468"/>
        <v>HUB</v>
      </c>
      <c r="C1036" s="1348">
        <f t="shared" si="1472"/>
        <v>0</v>
      </c>
      <c r="D1036" s="1349">
        <f t="shared" si="1473"/>
        <v>43101</v>
      </c>
      <c r="E1036" s="1349"/>
      <c r="F1036" s="1347" t="s">
        <v>72</v>
      </c>
      <c r="G1036" s="1347" t="s">
        <v>85</v>
      </c>
      <c r="H1036" s="1347" t="s">
        <v>72</v>
      </c>
      <c r="I1036" s="1347" t="s">
        <v>72</v>
      </c>
      <c r="J1036" s="1349" t="s">
        <v>4670</v>
      </c>
      <c r="K1036" s="1349"/>
      <c r="L1036" s="1518" t="s">
        <v>4671</v>
      </c>
      <c r="M1036" s="1518" t="s">
        <v>3649</v>
      </c>
      <c r="N1036" s="1519" t="s">
        <v>5418</v>
      </c>
      <c r="O1036" s="1388" t="s">
        <v>4832</v>
      </c>
      <c r="P1036" s="1388"/>
      <c r="Q1036" s="1354"/>
      <c r="R1036" s="1354"/>
      <c r="S1036" s="1354"/>
      <c r="T1036" s="1354"/>
      <c r="U1036" s="1354"/>
      <c r="V1036" s="1354"/>
      <c r="W1036" s="1354"/>
      <c r="X1036" s="1353">
        <f t="shared" ref="X1036:Y1054" si="1487">X$1034</f>
        <v>43101</v>
      </c>
      <c r="Y1036" s="1353">
        <f t="shared" si="1487"/>
        <v>43466</v>
      </c>
      <c r="Z1036" s="1355"/>
      <c r="AA1036" s="1355" t="s">
        <v>4674</v>
      </c>
      <c r="AB1036" s="1356"/>
      <c r="AC1036" s="1356"/>
      <c r="AD1036" s="1422">
        <v>0</v>
      </c>
      <c r="AE1036" s="1422">
        <f t="shared" si="1469"/>
        <v>0</v>
      </c>
      <c r="AF1036" s="1423" t="str">
        <f t="shared" si="1470"/>
        <v/>
      </c>
      <c r="AG1036" s="1380"/>
      <c r="AH1036" s="1380"/>
      <c r="AI1036" s="1381">
        <v>0</v>
      </c>
      <c r="AJ1036" s="1382"/>
      <c r="AK1036" s="1383">
        <f>AI1036*$AH1036</f>
        <v>0</v>
      </c>
      <c r="AL1036" s="1384">
        <v>0</v>
      </c>
      <c r="AM1036" s="1363">
        <f t="shared" si="1476"/>
        <v>0</v>
      </c>
      <c r="AN1036" s="1364">
        <v>0</v>
      </c>
      <c r="AO1036" s="1365">
        <f t="shared" si="1477"/>
        <v>0</v>
      </c>
      <c r="AP1036" s="1366">
        <v>0</v>
      </c>
      <c r="AQ1036" s="1367">
        <f t="shared" si="1478"/>
        <v>0</v>
      </c>
      <c r="AR1036" s="1368">
        <v>0</v>
      </c>
      <c r="AS1036" s="1369">
        <f t="shared" si="1479"/>
        <v>0</v>
      </c>
      <c r="AT1036" s="1370">
        <v>0</v>
      </c>
      <c r="AU1036" s="1371">
        <f t="shared" si="1480"/>
        <v>0</v>
      </c>
      <c r="AV1036" s="1359">
        <f t="shared" si="1481"/>
        <v>0</v>
      </c>
      <c r="AW1036" s="1372">
        <f t="shared" si="1482"/>
        <v>0</v>
      </c>
      <c r="AX1036" s="1373">
        <f t="shared" si="1483"/>
        <v>0</v>
      </c>
      <c r="AY1036" s="1374">
        <f t="shared" si="1484"/>
        <v>0</v>
      </c>
      <c r="AZ1036" s="1375">
        <f t="shared" si="1485"/>
        <v>0</v>
      </c>
      <c r="BA1036" s="1376">
        <f t="shared" si="1486"/>
        <v>0</v>
      </c>
      <c r="BB1036" s="1377"/>
      <c r="BC1036" s="1836"/>
      <c r="BD1036" s="1836"/>
      <c r="BE1036" s="1839"/>
      <c r="BF1036" s="1826"/>
      <c r="BG1036" s="1842"/>
    </row>
    <row r="1037" spans="1:59" s="1378" customFormat="1" ht="25.5">
      <c r="A1037" s="1347" t="str">
        <f t="shared" si="1471"/>
        <v>ABC</v>
      </c>
      <c r="B1037" s="1348" t="str">
        <f t="shared" si="1468"/>
        <v>HUB</v>
      </c>
      <c r="C1037" s="1348">
        <f t="shared" si="1472"/>
        <v>0</v>
      </c>
      <c r="D1037" s="1349">
        <f t="shared" si="1473"/>
        <v>43101</v>
      </c>
      <c r="E1037" s="1349"/>
      <c r="F1037" s="1347" t="s">
        <v>113</v>
      </c>
      <c r="G1037" s="1347" t="s">
        <v>113</v>
      </c>
      <c r="H1037" s="1347" t="s">
        <v>113</v>
      </c>
      <c r="I1037" s="1347" t="s">
        <v>113</v>
      </c>
      <c r="J1037" s="1349"/>
      <c r="K1037" s="1349"/>
      <c r="L1037" s="1524" t="s">
        <v>4767</v>
      </c>
      <c r="M1037" s="1524" t="s">
        <v>3647</v>
      </c>
      <c r="N1037" s="1525" t="s">
        <v>5413</v>
      </c>
      <c r="O1037" s="1424" t="s">
        <v>3025</v>
      </c>
      <c r="P1037" s="1424"/>
      <c r="Q1037" s="1400"/>
      <c r="R1037" s="1400"/>
      <c r="S1037" s="1400"/>
      <c r="T1037" s="1400"/>
      <c r="U1037" s="1480"/>
      <c r="V1037" s="1400"/>
      <c r="W1037" s="1400"/>
      <c r="X1037" s="1353">
        <f t="shared" si="1487"/>
        <v>43101</v>
      </c>
      <c r="Y1037" s="1353">
        <f t="shared" si="1487"/>
        <v>43466</v>
      </c>
      <c r="Z1037" s="1401"/>
      <c r="AA1037" s="1401" t="s">
        <v>5296</v>
      </c>
      <c r="AB1037" s="1356"/>
      <c r="AC1037" s="1356"/>
      <c r="AD1037" s="1369">
        <f>AH1037</f>
        <v>0</v>
      </c>
      <c r="AE1037" s="1369">
        <f t="shared" si="1469"/>
        <v>0</v>
      </c>
      <c r="AF1037" s="1403" t="str">
        <f t="shared" si="1470"/>
        <v/>
      </c>
      <c r="AG1037" s="1404"/>
      <c r="AH1037" s="1404"/>
      <c r="AI1037" s="1504">
        <v>0.06</v>
      </c>
      <c r="AJ1037" s="1406"/>
      <c r="AK1037" s="1406">
        <v>0</v>
      </c>
      <c r="AL1037" s="1384">
        <v>0</v>
      </c>
      <c r="AM1037" s="1363">
        <f t="shared" si="1476"/>
        <v>0</v>
      </c>
      <c r="AN1037" s="1364">
        <v>0</v>
      </c>
      <c r="AO1037" s="1365">
        <f t="shared" si="1477"/>
        <v>0</v>
      </c>
      <c r="AP1037" s="1366">
        <v>0.06</v>
      </c>
      <c r="AQ1037" s="1367">
        <f t="shared" si="1478"/>
        <v>0</v>
      </c>
      <c r="AR1037" s="1368">
        <v>0</v>
      </c>
      <c r="AS1037" s="1369">
        <f t="shared" si="1479"/>
        <v>0</v>
      </c>
      <c r="AT1037" s="1370">
        <v>0</v>
      </c>
      <c r="AU1037" s="1371">
        <f t="shared" si="1480"/>
        <v>0</v>
      </c>
      <c r="AV1037" s="1359">
        <f t="shared" si="1481"/>
        <v>0</v>
      </c>
      <c r="AW1037" s="1372">
        <f t="shared" si="1482"/>
        <v>0</v>
      </c>
      <c r="AX1037" s="1373">
        <f t="shared" si="1483"/>
        <v>0</v>
      </c>
      <c r="AY1037" s="1374">
        <f t="shared" si="1484"/>
        <v>0</v>
      </c>
      <c r="AZ1037" s="1375">
        <f t="shared" si="1485"/>
        <v>0.06</v>
      </c>
      <c r="BA1037" s="1376">
        <f t="shared" si="1486"/>
        <v>0</v>
      </c>
      <c r="BB1037" s="1377"/>
      <c r="BC1037" s="1836"/>
      <c r="BD1037" s="1836"/>
      <c r="BE1037" s="1839"/>
      <c r="BF1037" s="1826"/>
      <c r="BG1037" s="1842"/>
    </row>
    <row r="1038" spans="1:59" s="1378" customFormat="1" ht="51">
      <c r="A1038" s="1347" t="str">
        <f t="shared" si="1471"/>
        <v>ABC</v>
      </c>
      <c r="B1038" s="1348" t="str">
        <f t="shared" si="1468"/>
        <v>HUB</v>
      </c>
      <c r="C1038" s="1348">
        <f t="shared" si="1472"/>
        <v>0</v>
      </c>
      <c r="D1038" s="1349">
        <f t="shared" si="1473"/>
        <v>43101</v>
      </c>
      <c r="E1038" s="1349"/>
      <c r="F1038" s="1347" t="s">
        <v>113</v>
      </c>
      <c r="G1038" s="1347" t="s">
        <v>85</v>
      </c>
      <c r="H1038" s="1347" t="s">
        <v>85</v>
      </c>
      <c r="I1038" s="1347" t="s">
        <v>113</v>
      </c>
      <c r="J1038" s="1349"/>
      <c r="K1038" s="1349"/>
      <c r="L1038" s="1518" t="s">
        <v>4675</v>
      </c>
      <c r="M1038" s="1518" t="s">
        <v>3650</v>
      </c>
      <c r="N1038" s="1520" t="s">
        <v>5399</v>
      </c>
      <c r="O1038" s="1388" t="s">
        <v>4677</v>
      </c>
      <c r="P1038" s="1388"/>
      <c r="Q1038" s="1354"/>
      <c r="R1038" s="1354"/>
      <c r="S1038" s="1354"/>
      <c r="T1038" s="1354"/>
      <c r="U1038" s="1502" t="s">
        <v>5400</v>
      </c>
      <c r="V1038" s="1502" t="s">
        <v>5415</v>
      </c>
      <c r="W1038" s="1354"/>
      <c r="X1038" s="1353">
        <f t="shared" si="1487"/>
        <v>43101</v>
      </c>
      <c r="Y1038" s="1353">
        <f t="shared" si="1487"/>
        <v>43466</v>
      </c>
      <c r="Z1038" s="1355"/>
      <c r="AA1038" s="1355" t="s">
        <v>4679</v>
      </c>
      <c r="AB1038" s="1356"/>
      <c r="AC1038" s="1356"/>
      <c r="AD1038" s="1422">
        <f>AH1038</f>
        <v>0</v>
      </c>
      <c r="AE1038" s="1422">
        <f t="shared" si="1469"/>
        <v>0</v>
      </c>
      <c r="AF1038" s="1423" t="str">
        <f t="shared" si="1470"/>
        <v/>
      </c>
      <c r="AG1038" s="1358">
        <v>0</v>
      </c>
      <c r="AH1038" s="1426">
        <f t="shared" si="1474"/>
        <v>0</v>
      </c>
      <c r="AI1038" s="1359">
        <v>0.1</v>
      </c>
      <c r="AJ1038" s="1360">
        <f t="shared" ref="AJ1038:AJ1048" si="1488">$AI1038*$AG1038</f>
        <v>0</v>
      </c>
      <c r="AK1038" s="1361">
        <f t="shared" ref="AK1038:AK1054" si="1489">AI1038*$AH1038</f>
        <v>0</v>
      </c>
      <c r="AL1038" s="1384">
        <v>0</v>
      </c>
      <c r="AM1038" s="1363">
        <f t="shared" si="1476"/>
        <v>0</v>
      </c>
      <c r="AN1038" s="1364">
        <v>0</v>
      </c>
      <c r="AO1038" s="1365">
        <f t="shared" si="1477"/>
        <v>0</v>
      </c>
      <c r="AP1038" s="1366">
        <v>0.08</v>
      </c>
      <c r="AQ1038" s="1367">
        <f t="shared" si="1478"/>
        <v>0</v>
      </c>
      <c r="AR1038" s="1368">
        <v>0</v>
      </c>
      <c r="AS1038" s="1369">
        <f t="shared" si="1479"/>
        <v>0</v>
      </c>
      <c r="AT1038" s="1370">
        <v>0</v>
      </c>
      <c r="AU1038" s="1371">
        <f t="shared" si="1480"/>
        <v>0</v>
      </c>
      <c r="AV1038" s="1359">
        <f t="shared" si="1481"/>
        <v>2.0000000000000004E-2</v>
      </c>
      <c r="AW1038" s="1372">
        <f t="shared" si="1482"/>
        <v>0</v>
      </c>
      <c r="AX1038" s="1373">
        <f t="shared" si="1483"/>
        <v>2.0000000000000004E-2</v>
      </c>
      <c r="AY1038" s="1374">
        <f t="shared" si="1484"/>
        <v>0</v>
      </c>
      <c r="AZ1038" s="1375">
        <f t="shared" si="1485"/>
        <v>0.1</v>
      </c>
      <c r="BA1038" s="1376">
        <f t="shared" si="1486"/>
        <v>0</v>
      </c>
      <c r="BB1038" s="1377"/>
      <c r="BC1038" s="1836"/>
      <c r="BD1038" s="1836"/>
      <c r="BE1038" s="1839"/>
      <c r="BF1038" s="1826"/>
      <c r="BG1038" s="1842"/>
    </row>
    <row r="1039" spans="1:59" s="1378" customFormat="1" ht="38.25">
      <c r="A1039" s="1347" t="str">
        <f t="shared" si="1471"/>
        <v>ABC</v>
      </c>
      <c r="B1039" s="1348" t="str">
        <f t="shared" si="1468"/>
        <v>HUB</v>
      </c>
      <c r="C1039" s="1348">
        <f t="shared" si="1472"/>
        <v>0</v>
      </c>
      <c r="D1039" s="1349">
        <f t="shared" si="1473"/>
        <v>43101</v>
      </c>
      <c r="E1039" s="1349"/>
      <c r="F1039" s="1347" t="s">
        <v>113</v>
      </c>
      <c r="G1039" s="1347" t="s">
        <v>85</v>
      </c>
      <c r="H1039" s="1347" t="s">
        <v>85</v>
      </c>
      <c r="I1039" s="1347" t="s">
        <v>113</v>
      </c>
      <c r="J1039" s="1349"/>
      <c r="K1039" s="1349"/>
      <c r="L1039" s="1518" t="s">
        <v>4675</v>
      </c>
      <c r="M1039" s="1518" t="s">
        <v>3651</v>
      </c>
      <c r="N1039" s="1451" t="s">
        <v>5402</v>
      </c>
      <c r="O1039" s="1388" t="s">
        <v>4681</v>
      </c>
      <c r="P1039" s="1388"/>
      <c r="Q1039" s="1354"/>
      <c r="R1039" s="1354"/>
      <c r="S1039" s="1354"/>
      <c r="T1039" s="1354"/>
      <c r="U1039" s="1354"/>
      <c r="V1039" s="1354"/>
      <c r="W1039" s="1502" t="s">
        <v>5416</v>
      </c>
      <c r="X1039" s="1353">
        <f t="shared" si="1487"/>
        <v>43101</v>
      </c>
      <c r="Y1039" s="1353">
        <f t="shared" si="1487"/>
        <v>43466</v>
      </c>
      <c r="Z1039" s="1355"/>
      <c r="AA1039" s="1355" t="s">
        <v>4679</v>
      </c>
      <c r="AB1039" s="1356"/>
      <c r="AC1039" s="1356"/>
      <c r="AD1039" s="1422">
        <f>AH1039</f>
        <v>0</v>
      </c>
      <c r="AE1039" s="1422">
        <f t="shared" si="1469"/>
        <v>0</v>
      </c>
      <c r="AF1039" s="1423" t="str">
        <f t="shared" si="1470"/>
        <v/>
      </c>
      <c r="AG1039" s="1358">
        <v>0</v>
      </c>
      <c r="AH1039" s="1426">
        <f t="shared" si="1474"/>
        <v>0</v>
      </c>
      <c r="AI1039" s="1359">
        <v>0.1</v>
      </c>
      <c r="AJ1039" s="1360">
        <f t="shared" si="1488"/>
        <v>0</v>
      </c>
      <c r="AK1039" s="1361">
        <f t="shared" si="1489"/>
        <v>0</v>
      </c>
      <c r="AL1039" s="1384">
        <v>0</v>
      </c>
      <c r="AM1039" s="1363">
        <f t="shared" si="1476"/>
        <v>0</v>
      </c>
      <c r="AN1039" s="1364">
        <v>0</v>
      </c>
      <c r="AO1039" s="1365">
        <f t="shared" si="1477"/>
        <v>0</v>
      </c>
      <c r="AP1039" s="1366">
        <v>0.08</v>
      </c>
      <c r="AQ1039" s="1367">
        <f t="shared" si="1478"/>
        <v>0</v>
      </c>
      <c r="AR1039" s="1368">
        <v>0</v>
      </c>
      <c r="AS1039" s="1369">
        <f t="shared" si="1479"/>
        <v>0</v>
      </c>
      <c r="AT1039" s="1370">
        <v>0</v>
      </c>
      <c r="AU1039" s="1371">
        <f t="shared" si="1480"/>
        <v>0</v>
      </c>
      <c r="AV1039" s="1359">
        <f t="shared" si="1481"/>
        <v>2.0000000000000004E-2</v>
      </c>
      <c r="AW1039" s="1372">
        <f t="shared" si="1482"/>
        <v>0</v>
      </c>
      <c r="AX1039" s="1373">
        <f t="shared" si="1483"/>
        <v>2.0000000000000004E-2</v>
      </c>
      <c r="AY1039" s="1374">
        <f t="shared" si="1484"/>
        <v>0</v>
      </c>
      <c r="AZ1039" s="1375">
        <f t="shared" si="1485"/>
        <v>0.1</v>
      </c>
      <c r="BA1039" s="1376">
        <f t="shared" si="1486"/>
        <v>0</v>
      </c>
      <c r="BB1039" s="1377"/>
      <c r="BC1039" s="1836"/>
      <c r="BD1039" s="1836"/>
      <c r="BE1039" s="1839"/>
      <c r="BF1039" s="1826"/>
      <c r="BG1039" s="1842"/>
    </row>
    <row r="1040" spans="1:59" s="1378" customFormat="1" ht="38.25">
      <c r="A1040" s="1347" t="str">
        <f t="shared" si="1471"/>
        <v>ABC</v>
      </c>
      <c r="B1040" s="1348" t="str">
        <f t="shared" si="1468"/>
        <v>HUB</v>
      </c>
      <c r="C1040" s="1348">
        <f t="shared" si="1472"/>
        <v>0</v>
      </c>
      <c r="D1040" s="1349">
        <f t="shared" si="1473"/>
        <v>43101</v>
      </c>
      <c r="E1040" s="1349"/>
      <c r="F1040" s="1347" t="s">
        <v>113</v>
      </c>
      <c r="G1040" s="1347" t="s">
        <v>85</v>
      </c>
      <c r="H1040" s="1347" t="s">
        <v>85</v>
      </c>
      <c r="I1040" s="1347" t="s">
        <v>113</v>
      </c>
      <c r="J1040" s="1349"/>
      <c r="K1040" s="1349"/>
      <c r="L1040" s="1518" t="s">
        <v>4682</v>
      </c>
      <c r="M1040" s="1518" t="s">
        <v>4683</v>
      </c>
      <c r="N1040" s="1521" t="s">
        <v>57</v>
      </c>
      <c r="O1040" s="1388" t="s">
        <v>4684</v>
      </c>
      <c r="P1040" s="1421"/>
      <c r="Q1040" s="1354"/>
      <c r="R1040" s="1354"/>
      <c r="S1040" s="1354"/>
      <c r="T1040" s="1354"/>
      <c r="U1040" s="1354"/>
      <c r="V1040" s="1354"/>
      <c r="W1040" s="1354"/>
      <c r="X1040" s="1353">
        <f t="shared" si="1487"/>
        <v>43101</v>
      </c>
      <c r="Y1040" s="1353">
        <f t="shared" si="1487"/>
        <v>43466</v>
      </c>
      <c r="Z1040" s="1355"/>
      <c r="AA1040" s="1355" t="s">
        <v>4685</v>
      </c>
      <c r="AB1040" s="1356"/>
      <c r="AC1040" s="1356"/>
      <c r="AD1040" s="1422">
        <f>AH1040</f>
        <v>0</v>
      </c>
      <c r="AE1040" s="1422">
        <f t="shared" si="1469"/>
        <v>0</v>
      </c>
      <c r="AF1040" s="1423" t="str">
        <f t="shared" si="1470"/>
        <v/>
      </c>
      <c r="AG1040" s="1358">
        <v>0</v>
      </c>
      <c r="AH1040" s="1426">
        <f t="shared" si="1474"/>
        <v>0</v>
      </c>
      <c r="AI1040" s="1359">
        <v>0.15</v>
      </c>
      <c r="AJ1040" s="1360">
        <f t="shared" si="1488"/>
        <v>0</v>
      </c>
      <c r="AK1040" s="1361">
        <f t="shared" si="1489"/>
        <v>0</v>
      </c>
      <c r="AL1040" s="1384">
        <v>0</v>
      </c>
      <c r="AM1040" s="1363">
        <f t="shared" si="1476"/>
        <v>0</v>
      </c>
      <c r="AN1040" s="1364">
        <v>0</v>
      </c>
      <c r="AO1040" s="1365">
        <f t="shared" si="1477"/>
        <v>0</v>
      </c>
      <c r="AP1040" s="1366">
        <v>0.1</v>
      </c>
      <c r="AQ1040" s="1367">
        <f t="shared" si="1478"/>
        <v>0</v>
      </c>
      <c r="AR1040" s="1368">
        <v>0</v>
      </c>
      <c r="AS1040" s="1369">
        <f t="shared" si="1479"/>
        <v>0</v>
      </c>
      <c r="AT1040" s="1370">
        <v>0</v>
      </c>
      <c r="AU1040" s="1371">
        <f t="shared" si="1480"/>
        <v>0</v>
      </c>
      <c r="AV1040" s="1359">
        <f t="shared" si="1481"/>
        <v>4.9999999999999989E-2</v>
      </c>
      <c r="AW1040" s="1372">
        <f t="shared" si="1482"/>
        <v>0</v>
      </c>
      <c r="AX1040" s="1373">
        <f t="shared" si="1483"/>
        <v>4.9999999999999989E-2</v>
      </c>
      <c r="AY1040" s="1374">
        <f t="shared" si="1484"/>
        <v>0</v>
      </c>
      <c r="AZ1040" s="1375">
        <f t="shared" si="1485"/>
        <v>0.15</v>
      </c>
      <c r="BA1040" s="1376">
        <f t="shared" si="1486"/>
        <v>0</v>
      </c>
      <c r="BB1040" s="1377"/>
      <c r="BC1040" s="1836"/>
      <c r="BD1040" s="1836"/>
      <c r="BE1040" s="1839"/>
      <c r="BF1040" s="1826"/>
      <c r="BG1040" s="1842"/>
    </row>
    <row r="1041" spans="1:59" s="1378" customFormat="1" ht="38.25">
      <c r="A1041" s="1347" t="str">
        <f t="shared" si="1471"/>
        <v>ABC</v>
      </c>
      <c r="B1041" s="1348" t="str">
        <f t="shared" si="1468"/>
        <v>HUB</v>
      </c>
      <c r="C1041" s="1348">
        <f t="shared" si="1472"/>
        <v>0</v>
      </c>
      <c r="D1041" s="1349">
        <f t="shared" si="1473"/>
        <v>43101</v>
      </c>
      <c r="E1041" s="1349"/>
      <c r="F1041" s="1347" t="s">
        <v>113</v>
      </c>
      <c r="G1041" s="1347" t="s">
        <v>85</v>
      </c>
      <c r="H1041" s="1347" t="s">
        <v>85</v>
      </c>
      <c r="I1041" s="1347" t="s">
        <v>113</v>
      </c>
      <c r="J1041" s="1349"/>
      <c r="K1041" s="1349"/>
      <c r="L1041" s="1518" t="s">
        <v>4682</v>
      </c>
      <c r="M1041" s="1518" t="s">
        <v>4686</v>
      </c>
      <c r="N1041" s="1521" t="s">
        <v>60</v>
      </c>
      <c r="O1041" s="1388" t="s">
        <v>4687</v>
      </c>
      <c r="P1041" s="1421"/>
      <c r="Q1041" s="1354"/>
      <c r="R1041" s="1354"/>
      <c r="S1041" s="1354"/>
      <c r="T1041" s="1354"/>
      <c r="U1041" s="1354"/>
      <c r="V1041" s="1354"/>
      <c r="W1041" s="1354"/>
      <c r="X1041" s="1353">
        <f t="shared" si="1487"/>
        <v>43101</v>
      </c>
      <c r="Y1041" s="1353">
        <f t="shared" si="1487"/>
        <v>43466</v>
      </c>
      <c r="Z1041" s="1355"/>
      <c r="AA1041" s="1355" t="s">
        <v>4685</v>
      </c>
      <c r="AB1041" s="1356"/>
      <c r="AC1041" s="1356"/>
      <c r="AD1041" s="1422">
        <v>0</v>
      </c>
      <c r="AE1041" s="1422">
        <f t="shared" si="1469"/>
        <v>0</v>
      </c>
      <c r="AF1041" s="1423" t="str">
        <f t="shared" si="1470"/>
        <v/>
      </c>
      <c r="AG1041" s="1358">
        <f t="shared" ref="AG1041:AG1045" si="1490">AH1041/12</f>
        <v>0</v>
      </c>
      <c r="AH1041" s="1426">
        <v>0</v>
      </c>
      <c r="AI1041" s="1359">
        <v>0.15</v>
      </c>
      <c r="AJ1041" s="1360">
        <f t="shared" si="1488"/>
        <v>0</v>
      </c>
      <c r="AK1041" s="1361">
        <f t="shared" si="1489"/>
        <v>0</v>
      </c>
      <c r="AL1041" s="1384">
        <v>0</v>
      </c>
      <c r="AM1041" s="1363">
        <f t="shared" si="1476"/>
        <v>0</v>
      </c>
      <c r="AN1041" s="1364">
        <v>0</v>
      </c>
      <c r="AO1041" s="1365">
        <f t="shared" si="1477"/>
        <v>0</v>
      </c>
      <c r="AP1041" s="1366">
        <v>0.1</v>
      </c>
      <c r="AQ1041" s="1367">
        <f t="shared" si="1478"/>
        <v>0</v>
      </c>
      <c r="AR1041" s="1368">
        <v>0</v>
      </c>
      <c r="AS1041" s="1369">
        <f t="shared" si="1479"/>
        <v>0</v>
      </c>
      <c r="AT1041" s="1370">
        <v>0</v>
      </c>
      <c r="AU1041" s="1371">
        <f t="shared" si="1480"/>
        <v>0</v>
      </c>
      <c r="AV1041" s="1359">
        <f t="shared" si="1481"/>
        <v>4.9999999999999989E-2</v>
      </c>
      <c r="AW1041" s="1372">
        <f t="shared" si="1482"/>
        <v>0</v>
      </c>
      <c r="AX1041" s="1373">
        <f t="shared" si="1483"/>
        <v>4.9999999999999989E-2</v>
      </c>
      <c r="AY1041" s="1374">
        <f t="shared" si="1484"/>
        <v>0</v>
      </c>
      <c r="AZ1041" s="1375">
        <f t="shared" si="1485"/>
        <v>0.15</v>
      </c>
      <c r="BA1041" s="1376">
        <f t="shared" si="1486"/>
        <v>0</v>
      </c>
      <c r="BB1041" s="1377"/>
      <c r="BC1041" s="1836"/>
      <c r="BD1041" s="1836"/>
      <c r="BE1041" s="1839"/>
      <c r="BF1041" s="1826"/>
      <c r="BG1041" s="1842"/>
    </row>
    <row r="1042" spans="1:59" s="1378" customFormat="1" ht="38.25">
      <c r="A1042" s="1347" t="str">
        <f t="shared" si="1471"/>
        <v>ABC</v>
      </c>
      <c r="B1042" s="1348" t="str">
        <f t="shared" si="1468"/>
        <v>HUB</v>
      </c>
      <c r="C1042" s="1348">
        <f t="shared" si="1472"/>
        <v>0</v>
      </c>
      <c r="D1042" s="1349">
        <f t="shared" si="1473"/>
        <v>43101</v>
      </c>
      <c r="E1042" s="1349"/>
      <c r="F1042" s="1347" t="s">
        <v>113</v>
      </c>
      <c r="G1042" s="1347" t="s">
        <v>85</v>
      </c>
      <c r="H1042" s="1347" t="s">
        <v>85</v>
      </c>
      <c r="I1042" s="1347" t="s">
        <v>113</v>
      </c>
      <c r="J1042" s="1349"/>
      <c r="K1042" s="1349"/>
      <c r="L1042" s="1518" t="s">
        <v>4682</v>
      </c>
      <c r="M1042" s="1518" t="s">
        <v>62</v>
      </c>
      <c r="N1042" s="1451" t="s">
        <v>81</v>
      </c>
      <c r="O1042" s="1388" t="s">
        <v>4688</v>
      </c>
      <c r="P1042" s="1388"/>
      <c r="Q1042" s="1354"/>
      <c r="R1042" s="1354"/>
      <c r="S1042" s="1354"/>
      <c r="T1042" s="1354"/>
      <c r="U1042" s="1354"/>
      <c r="V1042" s="1354"/>
      <c r="W1042" s="1354"/>
      <c r="X1042" s="1353">
        <f t="shared" si="1487"/>
        <v>43101</v>
      </c>
      <c r="Y1042" s="1353">
        <f t="shared" si="1487"/>
        <v>43466</v>
      </c>
      <c r="Z1042" s="1355"/>
      <c r="AA1042" s="1355" t="s">
        <v>4685</v>
      </c>
      <c r="AB1042" s="1356"/>
      <c r="AC1042" s="1356"/>
      <c r="AD1042" s="1422">
        <f>AH1042</f>
        <v>0</v>
      </c>
      <c r="AE1042" s="1422">
        <f t="shared" si="1469"/>
        <v>0</v>
      </c>
      <c r="AF1042" s="1423" t="str">
        <f t="shared" si="1470"/>
        <v/>
      </c>
      <c r="AG1042" s="1358">
        <f t="shared" si="1490"/>
        <v>0</v>
      </c>
      <c r="AH1042" s="1426">
        <v>0</v>
      </c>
      <c r="AI1042" s="1359">
        <v>0.15</v>
      </c>
      <c r="AJ1042" s="1360">
        <f t="shared" si="1488"/>
        <v>0</v>
      </c>
      <c r="AK1042" s="1361">
        <f t="shared" si="1489"/>
        <v>0</v>
      </c>
      <c r="AL1042" s="1384">
        <v>0</v>
      </c>
      <c r="AM1042" s="1363">
        <f t="shared" si="1476"/>
        <v>0</v>
      </c>
      <c r="AN1042" s="1364">
        <v>0</v>
      </c>
      <c r="AO1042" s="1365">
        <f t="shared" si="1477"/>
        <v>0</v>
      </c>
      <c r="AP1042" s="1366">
        <v>0.1</v>
      </c>
      <c r="AQ1042" s="1367">
        <f t="shared" si="1478"/>
        <v>0</v>
      </c>
      <c r="AR1042" s="1368">
        <v>0</v>
      </c>
      <c r="AS1042" s="1369">
        <f t="shared" si="1479"/>
        <v>0</v>
      </c>
      <c r="AT1042" s="1370">
        <v>0</v>
      </c>
      <c r="AU1042" s="1371">
        <f t="shared" si="1480"/>
        <v>0</v>
      </c>
      <c r="AV1042" s="1359">
        <f t="shared" si="1481"/>
        <v>4.9999999999999989E-2</v>
      </c>
      <c r="AW1042" s="1372">
        <f t="shared" si="1482"/>
        <v>0</v>
      </c>
      <c r="AX1042" s="1373">
        <f t="shared" si="1483"/>
        <v>4.9999999999999989E-2</v>
      </c>
      <c r="AY1042" s="1374">
        <f t="shared" si="1484"/>
        <v>0</v>
      </c>
      <c r="AZ1042" s="1375">
        <f t="shared" si="1485"/>
        <v>0.15</v>
      </c>
      <c r="BA1042" s="1376">
        <f t="shared" si="1486"/>
        <v>0</v>
      </c>
      <c r="BB1042" s="1377"/>
      <c r="BC1042" s="1836"/>
      <c r="BD1042" s="1836"/>
      <c r="BE1042" s="1839"/>
      <c r="BF1042" s="1826"/>
      <c r="BG1042" s="1842"/>
    </row>
    <row r="1043" spans="1:59" s="1378" customFormat="1" ht="38.25">
      <c r="A1043" s="1347" t="str">
        <f t="shared" si="1471"/>
        <v>ABC</v>
      </c>
      <c r="B1043" s="1348" t="str">
        <f t="shared" si="1468"/>
        <v>HUB</v>
      </c>
      <c r="C1043" s="1348">
        <f t="shared" si="1472"/>
        <v>0</v>
      </c>
      <c r="D1043" s="1349">
        <f t="shared" si="1473"/>
        <v>43101</v>
      </c>
      <c r="E1043" s="1349"/>
      <c r="F1043" s="1347" t="s">
        <v>113</v>
      </c>
      <c r="G1043" s="1347" t="s">
        <v>85</v>
      </c>
      <c r="H1043" s="1347" t="s">
        <v>85</v>
      </c>
      <c r="I1043" s="1347" t="s">
        <v>113</v>
      </c>
      <c r="J1043" s="1349"/>
      <c r="K1043" s="1349"/>
      <c r="L1043" s="1518" t="s">
        <v>4682</v>
      </c>
      <c r="M1043" s="1518" t="s">
        <v>5243</v>
      </c>
      <c r="N1043" s="1451" t="s">
        <v>3660</v>
      </c>
      <c r="O1043" s="1388" t="s">
        <v>5403</v>
      </c>
      <c r="P1043" s="1388"/>
      <c r="Q1043" s="1354"/>
      <c r="R1043" s="1354"/>
      <c r="S1043" s="1354"/>
      <c r="T1043" s="1354"/>
      <c r="U1043" s="1354"/>
      <c r="V1043" s="1354"/>
      <c r="W1043" s="1354"/>
      <c r="X1043" s="1353">
        <f t="shared" si="1487"/>
        <v>43101</v>
      </c>
      <c r="Y1043" s="1353">
        <f t="shared" si="1487"/>
        <v>43466</v>
      </c>
      <c r="Z1043" s="1355"/>
      <c r="AA1043" s="1355" t="s">
        <v>4685</v>
      </c>
      <c r="AB1043" s="1356"/>
      <c r="AC1043" s="1356"/>
      <c r="AD1043" s="1422">
        <f>AH1043</f>
        <v>0</v>
      </c>
      <c r="AE1043" s="1422">
        <f t="shared" si="1469"/>
        <v>0</v>
      </c>
      <c r="AF1043" s="1423" t="str">
        <f t="shared" si="1470"/>
        <v/>
      </c>
      <c r="AG1043" s="1358">
        <f t="shared" si="1490"/>
        <v>0</v>
      </c>
      <c r="AH1043" s="1426">
        <v>0</v>
      </c>
      <c r="AI1043" s="1359">
        <v>0.15</v>
      </c>
      <c r="AJ1043" s="1360">
        <f t="shared" si="1488"/>
        <v>0</v>
      </c>
      <c r="AK1043" s="1361">
        <f t="shared" si="1489"/>
        <v>0</v>
      </c>
      <c r="AL1043" s="1384">
        <v>0</v>
      </c>
      <c r="AM1043" s="1363">
        <f t="shared" si="1476"/>
        <v>0</v>
      </c>
      <c r="AN1043" s="1364">
        <v>0</v>
      </c>
      <c r="AO1043" s="1365">
        <f t="shared" si="1477"/>
        <v>0</v>
      </c>
      <c r="AP1043" s="1366">
        <v>0.1</v>
      </c>
      <c r="AQ1043" s="1367">
        <f t="shared" si="1478"/>
        <v>0</v>
      </c>
      <c r="AR1043" s="1368">
        <v>0</v>
      </c>
      <c r="AS1043" s="1369">
        <f t="shared" si="1479"/>
        <v>0</v>
      </c>
      <c r="AT1043" s="1370">
        <v>0</v>
      </c>
      <c r="AU1043" s="1371">
        <f t="shared" si="1480"/>
        <v>0</v>
      </c>
      <c r="AV1043" s="1359">
        <f t="shared" si="1481"/>
        <v>4.9999999999999989E-2</v>
      </c>
      <c r="AW1043" s="1372">
        <f t="shared" si="1482"/>
        <v>0</v>
      </c>
      <c r="AX1043" s="1373">
        <f t="shared" si="1483"/>
        <v>4.9999999999999989E-2</v>
      </c>
      <c r="AY1043" s="1374">
        <f t="shared" si="1484"/>
        <v>0</v>
      </c>
      <c r="AZ1043" s="1375">
        <f t="shared" si="1485"/>
        <v>0.15</v>
      </c>
      <c r="BA1043" s="1376">
        <f t="shared" si="1486"/>
        <v>0</v>
      </c>
      <c r="BB1043" s="1377"/>
      <c r="BC1043" s="1836"/>
      <c r="BD1043" s="1836"/>
      <c r="BE1043" s="1839"/>
      <c r="BF1043" s="1826"/>
      <c r="BG1043" s="1842"/>
    </row>
    <row r="1044" spans="1:59" s="1378" customFormat="1" ht="38.25">
      <c r="A1044" s="1347" t="str">
        <f t="shared" si="1471"/>
        <v>ABC</v>
      </c>
      <c r="B1044" s="1348" t="str">
        <f t="shared" si="1468"/>
        <v>HUB</v>
      </c>
      <c r="C1044" s="1348">
        <f t="shared" si="1472"/>
        <v>0</v>
      </c>
      <c r="D1044" s="1349">
        <f t="shared" si="1473"/>
        <v>43101</v>
      </c>
      <c r="E1044" s="1349"/>
      <c r="F1044" s="1347" t="s">
        <v>113</v>
      </c>
      <c r="G1044" s="1347" t="s">
        <v>85</v>
      </c>
      <c r="H1044" s="1347" t="s">
        <v>85</v>
      </c>
      <c r="I1044" s="1347" t="s">
        <v>113</v>
      </c>
      <c r="J1044" s="1349"/>
      <c r="K1044" s="1349"/>
      <c r="L1044" s="1518" t="s">
        <v>4682</v>
      </c>
      <c r="M1044" s="1518" t="s">
        <v>4741</v>
      </c>
      <c r="N1044" s="1451" t="s">
        <v>4742</v>
      </c>
      <c r="O1044" s="1388" t="s">
        <v>5404</v>
      </c>
      <c r="P1044" s="1388"/>
      <c r="Q1044" s="1354"/>
      <c r="R1044" s="1354"/>
      <c r="S1044" s="1354"/>
      <c r="T1044" s="1354"/>
      <c r="U1044" s="1354"/>
      <c r="V1044" s="1354"/>
      <c r="W1044" s="1354"/>
      <c r="X1044" s="1353">
        <f t="shared" si="1487"/>
        <v>43101</v>
      </c>
      <c r="Y1044" s="1353">
        <f t="shared" si="1487"/>
        <v>43466</v>
      </c>
      <c r="Z1044" s="1355"/>
      <c r="AA1044" s="1355" t="s">
        <v>4679</v>
      </c>
      <c r="AB1044" s="1356"/>
      <c r="AC1044" s="1356"/>
      <c r="AD1044" s="1422">
        <f>AH1044</f>
        <v>0</v>
      </c>
      <c r="AE1044" s="1422">
        <f t="shared" si="1469"/>
        <v>0</v>
      </c>
      <c r="AF1044" s="1423" t="str">
        <f t="shared" si="1470"/>
        <v/>
      </c>
      <c r="AG1044" s="1358">
        <f t="shared" si="1490"/>
        <v>0</v>
      </c>
      <c r="AH1044" s="1426">
        <v>0</v>
      </c>
      <c r="AI1044" s="1359">
        <v>0.1</v>
      </c>
      <c r="AJ1044" s="1360">
        <f t="shared" si="1488"/>
        <v>0</v>
      </c>
      <c r="AK1044" s="1361">
        <f t="shared" si="1489"/>
        <v>0</v>
      </c>
      <c r="AL1044" s="1384">
        <v>0</v>
      </c>
      <c r="AM1044" s="1363">
        <f t="shared" si="1476"/>
        <v>0</v>
      </c>
      <c r="AN1044" s="1364">
        <v>0</v>
      </c>
      <c r="AO1044" s="1365">
        <f t="shared" si="1477"/>
        <v>0</v>
      </c>
      <c r="AP1044" s="1366">
        <v>0.08</v>
      </c>
      <c r="AQ1044" s="1367">
        <f t="shared" si="1478"/>
        <v>0</v>
      </c>
      <c r="AR1044" s="1368">
        <v>0</v>
      </c>
      <c r="AS1044" s="1369">
        <f t="shared" si="1479"/>
        <v>0</v>
      </c>
      <c r="AT1044" s="1370">
        <v>0</v>
      </c>
      <c r="AU1044" s="1371">
        <f t="shared" si="1480"/>
        <v>0</v>
      </c>
      <c r="AV1044" s="1359">
        <f t="shared" si="1481"/>
        <v>2.0000000000000004E-2</v>
      </c>
      <c r="AW1044" s="1372">
        <f t="shared" si="1482"/>
        <v>0</v>
      </c>
      <c r="AX1044" s="1373">
        <f t="shared" si="1483"/>
        <v>2.0000000000000004E-2</v>
      </c>
      <c r="AY1044" s="1374">
        <f t="shared" si="1484"/>
        <v>0</v>
      </c>
      <c r="AZ1044" s="1375">
        <f t="shared" si="1485"/>
        <v>0.1</v>
      </c>
      <c r="BA1044" s="1376">
        <f t="shared" si="1486"/>
        <v>0</v>
      </c>
      <c r="BB1044" s="1377"/>
      <c r="BC1044" s="1836"/>
      <c r="BD1044" s="1836"/>
      <c r="BE1044" s="1839"/>
      <c r="BF1044" s="1826"/>
      <c r="BG1044" s="1842"/>
    </row>
    <row r="1045" spans="1:59" s="1378" customFormat="1" ht="38.25">
      <c r="A1045" s="1347" t="str">
        <f t="shared" si="1471"/>
        <v>ABC</v>
      </c>
      <c r="B1045" s="1348" t="str">
        <f t="shared" si="1468"/>
        <v>HUB</v>
      </c>
      <c r="C1045" s="1348">
        <f t="shared" si="1472"/>
        <v>0</v>
      </c>
      <c r="D1045" s="1349">
        <f t="shared" si="1473"/>
        <v>43101</v>
      </c>
      <c r="E1045" s="1349"/>
      <c r="F1045" s="1347" t="s">
        <v>113</v>
      </c>
      <c r="G1045" s="1347" t="s">
        <v>85</v>
      </c>
      <c r="H1045" s="1347" t="s">
        <v>85</v>
      </c>
      <c r="I1045" s="1347" t="s">
        <v>113</v>
      </c>
      <c r="J1045" s="1349"/>
      <c r="K1045" s="1349"/>
      <c r="L1045" s="1518" t="s">
        <v>4682</v>
      </c>
      <c r="M1045" s="1518" t="s">
        <v>67</v>
      </c>
      <c r="N1045" s="1451" t="s">
        <v>82</v>
      </c>
      <c r="O1045" s="1388" t="s">
        <v>4689</v>
      </c>
      <c r="P1045" s="1388"/>
      <c r="Q1045" s="1354"/>
      <c r="R1045" s="1354"/>
      <c r="S1045" s="1354"/>
      <c r="T1045" s="1354"/>
      <c r="U1045" s="1354"/>
      <c r="V1045" s="1354"/>
      <c r="W1045" s="1354"/>
      <c r="X1045" s="1353">
        <f t="shared" si="1487"/>
        <v>43101</v>
      </c>
      <c r="Y1045" s="1353">
        <f t="shared" si="1487"/>
        <v>43466</v>
      </c>
      <c r="Z1045" s="1355"/>
      <c r="AA1045" s="1355" t="s">
        <v>4685</v>
      </c>
      <c r="AB1045" s="1356"/>
      <c r="AC1045" s="1356"/>
      <c r="AD1045" s="1422">
        <f>AH1045</f>
        <v>0</v>
      </c>
      <c r="AE1045" s="1422">
        <f t="shared" si="1469"/>
        <v>0</v>
      </c>
      <c r="AF1045" s="1423" t="str">
        <f t="shared" si="1470"/>
        <v/>
      </c>
      <c r="AG1045" s="1358">
        <f t="shared" si="1490"/>
        <v>0</v>
      </c>
      <c r="AH1045" s="1426">
        <v>0</v>
      </c>
      <c r="AI1045" s="1359">
        <v>0.15</v>
      </c>
      <c r="AJ1045" s="1360">
        <f t="shared" si="1488"/>
        <v>0</v>
      </c>
      <c r="AK1045" s="1361">
        <f t="shared" si="1489"/>
        <v>0</v>
      </c>
      <c r="AL1045" s="1384">
        <v>0</v>
      </c>
      <c r="AM1045" s="1363">
        <f t="shared" si="1476"/>
        <v>0</v>
      </c>
      <c r="AN1045" s="1364">
        <v>0</v>
      </c>
      <c r="AO1045" s="1365">
        <f t="shared" si="1477"/>
        <v>0</v>
      </c>
      <c r="AP1045" s="1366">
        <v>0.1</v>
      </c>
      <c r="AQ1045" s="1367">
        <f t="shared" si="1478"/>
        <v>0</v>
      </c>
      <c r="AR1045" s="1368">
        <v>0</v>
      </c>
      <c r="AS1045" s="1369">
        <f t="shared" si="1479"/>
        <v>0</v>
      </c>
      <c r="AT1045" s="1370">
        <v>0</v>
      </c>
      <c r="AU1045" s="1371">
        <f t="shared" si="1480"/>
        <v>0</v>
      </c>
      <c r="AV1045" s="1359">
        <f t="shared" si="1481"/>
        <v>4.9999999999999989E-2</v>
      </c>
      <c r="AW1045" s="1372">
        <f t="shared" si="1482"/>
        <v>0</v>
      </c>
      <c r="AX1045" s="1373">
        <f t="shared" si="1483"/>
        <v>4.9999999999999989E-2</v>
      </c>
      <c r="AY1045" s="1374">
        <f t="shared" si="1484"/>
        <v>0</v>
      </c>
      <c r="AZ1045" s="1375">
        <f t="shared" si="1485"/>
        <v>0.15</v>
      </c>
      <c r="BA1045" s="1376">
        <f t="shared" si="1486"/>
        <v>0</v>
      </c>
      <c r="BB1045" s="1377"/>
      <c r="BC1045" s="1836"/>
      <c r="BD1045" s="1836"/>
      <c r="BE1045" s="1839"/>
      <c r="BF1045" s="1826"/>
      <c r="BG1045" s="1842"/>
    </row>
    <row r="1046" spans="1:59" s="1378" customFormat="1" ht="38.25">
      <c r="A1046" s="1347" t="str">
        <f t="shared" si="1471"/>
        <v>ABC</v>
      </c>
      <c r="B1046" s="1348" t="str">
        <f t="shared" si="1468"/>
        <v>HUB</v>
      </c>
      <c r="C1046" s="1348">
        <f t="shared" si="1472"/>
        <v>0</v>
      </c>
      <c r="D1046" s="1349">
        <f t="shared" si="1473"/>
        <v>43101</v>
      </c>
      <c r="E1046" s="1349"/>
      <c r="F1046" s="1347" t="s">
        <v>113</v>
      </c>
      <c r="G1046" s="1347" t="s">
        <v>85</v>
      </c>
      <c r="H1046" s="1347" t="s">
        <v>85</v>
      </c>
      <c r="I1046" s="1347" t="s">
        <v>113</v>
      </c>
      <c r="J1046" s="1349" t="s">
        <v>4690</v>
      </c>
      <c r="K1046" s="1349"/>
      <c r="L1046" s="1518" t="s">
        <v>4682</v>
      </c>
      <c r="M1046" s="1518" t="s">
        <v>4691</v>
      </c>
      <c r="N1046" s="1451" t="s">
        <v>94</v>
      </c>
      <c r="O1046" s="1388" t="s">
        <v>4692</v>
      </c>
      <c r="P1046" s="1388"/>
      <c r="Q1046" s="1354"/>
      <c r="R1046" s="1354"/>
      <c r="S1046" s="1354"/>
      <c r="T1046" s="1354"/>
      <c r="U1046" s="1354"/>
      <c r="V1046" s="1354"/>
      <c r="W1046" s="1354"/>
      <c r="X1046" s="1353">
        <f t="shared" si="1487"/>
        <v>43101</v>
      </c>
      <c r="Y1046" s="1353">
        <f t="shared" si="1487"/>
        <v>43466</v>
      </c>
      <c r="Z1046" s="1355"/>
      <c r="AA1046" s="1355" t="s">
        <v>4685</v>
      </c>
      <c r="AB1046" s="1356"/>
      <c r="AC1046" s="1356"/>
      <c r="AD1046" s="1422">
        <v>0</v>
      </c>
      <c r="AE1046" s="1422">
        <f t="shared" si="1469"/>
        <v>0</v>
      </c>
      <c r="AF1046" s="1423" t="str">
        <f t="shared" si="1470"/>
        <v/>
      </c>
      <c r="AG1046" s="1358">
        <v>0</v>
      </c>
      <c r="AH1046" s="1426">
        <f t="shared" ref="AH1046:AH1048" si="1491">AG1046*12</f>
        <v>0</v>
      </c>
      <c r="AI1046" s="1359">
        <v>0.15</v>
      </c>
      <c r="AJ1046" s="1360">
        <f t="shared" si="1488"/>
        <v>0</v>
      </c>
      <c r="AK1046" s="1361">
        <f t="shared" si="1489"/>
        <v>0</v>
      </c>
      <c r="AL1046" s="1384">
        <v>0</v>
      </c>
      <c r="AM1046" s="1363">
        <f t="shared" si="1476"/>
        <v>0</v>
      </c>
      <c r="AN1046" s="1364">
        <v>0</v>
      </c>
      <c r="AO1046" s="1365">
        <f t="shared" si="1477"/>
        <v>0</v>
      </c>
      <c r="AP1046" s="1366">
        <v>0.1</v>
      </c>
      <c r="AQ1046" s="1367">
        <f t="shared" si="1478"/>
        <v>0</v>
      </c>
      <c r="AR1046" s="1368">
        <v>0</v>
      </c>
      <c r="AS1046" s="1369">
        <f t="shared" si="1479"/>
        <v>0</v>
      </c>
      <c r="AT1046" s="1370">
        <v>0</v>
      </c>
      <c r="AU1046" s="1371">
        <f t="shared" si="1480"/>
        <v>0</v>
      </c>
      <c r="AV1046" s="1359">
        <f t="shared" si="1481"/>
        <v>4.9999999999999989E-2</v>
      </c>
      <c r="AW1046" s="1372">
        <f t="shared" si="1482"/>
        <v>0</v>
      </c>
      <c r="AX1046" s="1373">
        <f t="shared" si="1483"/>
        <v>4.9999999999999989E-2</v>
      </c>
      <c r="AY1046" s="1374">
        <f t="shared" si="1484"/>
        <v>0</v>
      </c>
      <c r="AZ1046" s="1375">
        <f t="shared" si="1485"/>
        <v>0.15</v>
      </c>
      <c r="BA1046" s="1376">
        <f t="shared" si="1486"/>
        <v>0</v>
      </c>
      <c r="BB1046" s="1377"/>
      <c r="BC1046" s="1836"/>
      <c r="BD1046" s="1836"/>
      <c r="BE1046" s="1839"/>
      <c r="BF1046" s="1826"/>
      <c r="BG1046" s="1842"/>
    </row>
    <row r="1047" spans="1:59" s="1378" customFormat="1" ht="38.25">
      <c r="A1047" s="1347" t="str">
        <f t="shared" si="1471"/>
        <v>ABC</v>
      </c>
      <c r="B1047" s="1348" t="str">
        <f t="shared" si="1468"/>
        <v>HUB</v>
      </c>
      <c r="C1047" s="1348">
        <f t="shared" si="1472"/>
        <v>0</v>
      </c>
      <c r="D1047" s="1349">
        <f t="shared" si="1473"/>
        <v>43101</v>
      </c>
      <c r="E1047" s="1349"/>
      <c r="F1047" s="1347" t="s">
        <v>113</v>
      </c>
      <c r="G1047" s="1347" t="s">
        <v>85</v>
      </c>
      <c r="H1047" s="1347" t="s">
        <v>85</v>
      </c>
      <c r="I1047" s="1347" t="s">
        <v>113</v>
      </c>
      <c r="J1047" s="1349" t="s">
        <v>4690</v>
      </c>
      <c r="K1047" s="1349"/>
      <c r="L1047" s="1518" t="s">
        <v>4682</v>
      </c>
      <c r="M1047" s="1518" t="s">
        <v>4691</v>
      </c>
      <c r="N1047" s="1451" t="s">
        <v>98</v>
      </c>
      <c r="O1047" s="1388" t="s">
        <v>4693</v>
      </c>
      <c r="P1047" s="1388"/>
      <c r="Q1047" s="1354"/>
      <c r="R1047" s="1354"/>
      <c r="S1047" s="1354"/>
      <c r="T1047" s="1354"/>
      <c r="U1047" s="1354"/>
      <c r="V1047" s="1354"/>
      <c r="W1047" s="1354"/>
      <c r="X1047" s="1353">
        <f t="shared" si="1487"/>
        <v>43101</v>
      </c>
      <c r="Y1047" s="1353">
        <f t="shared" si="1487"/>
        <v>43466</v>
      </c>
      <c r="Z1047" s="1355"/>
      <c r="AA1047" s="1355" t="s">
        <v>4685</v>
      </c>
      <c r="AB1047" s="1356"/>
      <c r="AC1047" s="1356"/>
      <c r="AD1047" s="1422">
        <v>0</v>
      </c>
      <c r="AE1047" s="1422">
        <f t="shared" si="1469"/>
        <v>0</v>
      </c>
      <c r="AF1047" s="1423" t="str">
        <f t="shared" si="1470"/>
        <v/>
      </c>
      <c r="AG1047" s="1358">
        <v>0</v>
      </c>
      <c r="AH1047" s="1426">
        <f t="shared" si="1491"/>
        <v>0</v>
      </c>
      <c r="AI1047" s="1359">
        <v>0.15</v>
      </c>
      <c r="AJ1047" s="1360">
        <f t="shared" si="1488"/>
        <v>0</v>
      </c>
      <c r="AK1047" s="1361">
        <f t="shared" si="1489"/>
        <v>0</v>
      </c>
      <c r="AL1047" s="1384">
        <v>0</v>
      </c>
      <c r="AM1047" s="1363">
        <f t="shared" si="1476"/>
        <v>0</v>
      </c>
      <c r="AN1047" s="1364">
        <v>0</v>
      </c>
      <c r="AO1047" s="1365">
        <f t="shared" si="1477"/>
        <v>0</v>
      </c>
      <c r="AP1047" s="1366">
        <v>0.1</v>
      </c>
      <c r="AQ1047" s="1367">
        <f t="shared" si="1478"/>
        <v>0</v>
      </c>
      <c r="AR1047" s="1368">
        <v>0</v>
      </c>
      <c r="AS1047" s="1369">
        <f t="shared" si="1479"/>
        <v>0</v>
      </c>
      <c r="AT1047" s="1370">
        <v>0</v>
      </c>
      <c r="AU1047" s="1371">
        <f t="shared" si="1480"/>
        <v>0</v>
      </c>
      <c r="AV1047" s="1359">
        <f t="shared" si="1481"/>
        <v>4.9999999999999989E-2</v>
      </c>
      <c r="AW1047" s="1372">
        <f t="shared" si="1482"/>
        <v>0</v>
      </c>
      <c r="AX1047" s="1373">
        <f t="shared" si="1483"/>
        <v>4.9999999999999989E-2</v>
      </c>
      <c r="AY1047" s="1374">
        <f t="shared" si="1484"/>
        <v>0</v>
      </c>
      <c r="AZ1047" s="1375">
        <f t="shared" si="1485"/>
        <v>0.15</v>
      </c>
      <c r="BA1047" s="1376">
        <f t="shared" si="1486"/>
        <v>0</v>
      </c>
      <c r="BB1047" s="1377"/>
      <c r="BC1047" s="1836"/>
      <c r="BD1047" s="1836"/>
      <c r="BE1047" s="1839"/>
      <c r="BF1047" s="1826"/>
      <c r="BG1047" s="1842"/>
    </row>
    <row r="1048" spans="1:59" s="1378" customFormat="1" ht="38.25">
      <c r="A1048" s="1347" t="str">
        <f t="shared" si="1471"/>
        <v>ABC</v>
      </c>
      <c r="B1048" s="1348" t="str">
        <f t="shared" si="1468"/>
        <v>HUB</v>
      </c>
      <c r="C1048" s="1348">
        <f t="shared" si="1472"/>
        <v>0</v>
      </c>
      <c r="D1048" s="1349">
        <f t="shared" si="1473"/>
        <v>43101</v>
      </c>
      <c r="E1048" s="1349"/>
      <c r="F1048" s="1347" t="s">
        <v>113</v>
      </c>
      <c r="G1048" s="1347" t="s">
        <v>85</v>
      </c>
      <c r="H1048" s="1347" t="s">
        <v>85</v>
      </c>
      <c r="I1048" s="1347" t="s">
        <v>113</v>
      </c>
      <c r="J1048" s="1349" t="s">
        <v>4690</v>
      </c>
      <c r="K1048" s="1349"/>
      <c r="L1048" s="1518" t="s">
        <v>4682</v>
      </c>
      <c r="M1048" s="1518" t="s">
        <v>4691</v>
      </c>
      <c r="N1048" s="1451" t="s">
        <v>4694</v>
      </c>
      <c r="O1048" s="1388" t="s">
        <v>4695</v>
      </c>
      <c r="P1048" s="1388"/>
      <c r="Q1048" s="1354"/>
      <c r="R1048" s="1354"/>
      <c r="S1048" s="1354"/>
      <c r="T1048" s="1354"/>
      <c r="U1048" s="1354"/>
      <c r="V1048" s="1354"/>
      <c r="W1048" s="1354"/>
      <c r="X1048" s="1353">
        <f t="shared" si="1487"/>
        <v>43101</v>
      </c>
      <c r="Y1048" s="1353">
        <f t="shared" si="1487"/>
        <v>43466</v>
      </c>
      <c r="Z1048" s="1355"/>
      <c r="AA1048" s="1355" t="s">
        <v>4685</v>
      </c>
      <c r="AB1048" s="1356"/>
      <c r="AC1048" s="1356"/>
      <c r="AD1048" s="1422">
        <v>0</v>
      </c>
      <c r="AE1048" s="1422">
        <f t="shared" si="1469"/>
        <v>0</v>
      </c>
      <c r="AF1048" s="1423" t="str">
        <f t="shared" si="1470"/>
        <v/>
      </c>
      <c r="AG1048" s="1358">
        <v>0</v>
      </c>
      <c r="AH1048" s="1426">
        <f t="shared" si="1491"/>
        <v>0</v>
      </c>
      <c r="AI1048" s="1359">
        <v>0.15</v>
      </c>
      <c r="AJ1048" s="1360">
        <f t="shared" si="1488"/>
        <v>0</v>
      </c>
      <c r="AK1048" s="1361">
        <f t="shared" si="1489"/>
        <v>0</v>
      </c>
      <c r="AL1048" s="1384">
        <v>0</v>
      </c>
      <c r="AM1048" s="1363">
        <f t="shared" si="1476"/>
        <v>0</v>
      </c>
      <c r="AN1048" s="1364">
        <v>0</v>
      </c>
      <c r="AO1048" s="1365">
        <f t="shared" si="1477"/>
        <v>0</v>
      </c>
      <c r="AP1048" s="1366">
        <v>0.1</v>
      </c>
      <c r="AQ1048" s="1367">
        <f t="shared" si="1478"/>
        <v>0</v>
      </c>
      <c r="AR1048" s="1368">
        <v>0</v>
      </c>
      <c r="AS1048" s="1369">
        <f t="shared" si="1479"/>
        <v>0</v>
      </c>
      <c r="AT1048" s="1370">
        <v>0</v>
      </c>
      <c r="AU1048" s="1371">
        <f t="shared" si="1480"/>
        <v>0</v>
      </c>
      <c r="AV1048" s="1359">
        <f t="shared" si="1481"/>
        <v>4.9999999999999989E-2</v>
      </c>
      <c r="AW1048" s="1372">
        <f t="shared" si="1482"/>
        <v>0</v>
      </c>
      <c r="AX1048" s="1373">
        <f t="shared" si="1483"/>
        <v>4.9999999999999989E-2</v>
      </c>
      <c r="AY1048" s="1374">
        <f t="shared" si="1484"/>
        <v>0</v>
      </c>
      <c r="AZ1048" s="1375">
        <f t="shared" si="1485"/>
        <v>0.15</v>
      </c>
      <c r="BA1048" s="1376">
        <f t="shared" si="1486"/>
        <v>0</v>
      </c>
      <c r="BB1048" s="1377"/>
      <c r="BC1048" s="1836"/>
      <c r="BD1048" s="1836"/>
      <c r="BE1048" s="1839"/>
      <c r="BF1048" s="1826"/>
      <c r="BG1048" s="1842"/>
    </row>
    <row r="1049" spans="1:59" s="1378" customFormat="1" ht="27.75" customHeight="1">
      <c r="A1049" s="1347" t="str">
        <f t="shared" si="1471"/>
        <v>ABC</v>
      </c>
      <c r="B1049" s="1348" t="str">
        <f t="shared" si="1468"/>
        <v>HUB</v>
      </c>
      <c r="C1049" s="1348">
        <f t="shared" si="1472"/>
        <v>0</v>
      </c>
      <c r="D1049" s="1349">
        <f t="shared" si="1473"/>
        <v>43101</v>
      </c>
      <c r="E1049" s="1349"/>
      <c r="F1049" s="1347" t="s">
        <v>72</v>
      </c>
      <c r="G1049" s="1347" t="s">
        <v>85</v>
      </c>
      <c r="H1049" s="1347" t="s">
        <v>72</v>
      </c>
      <c r="I1049" s="1347" t="s">
        <v>72</v>
      </c>
      <c r="J1049" s="1349" t="s">
        <v>4670</v>
      </c>
      <c r="K1049" s="1349"/>
      <c r="L1049" s="1518" t="s">
        <v>4696</v>
      </c>
      <c r="M1049" s="1518" t="s">
        <v>4697</v>
      </c>
      <c r="N1049" s="1522" t="s">
        <v>5405</v>
      </c>
      <c r="O1049" s="1388" t="s">
        <v>4699</v>
      </c>
      <c r="P1049" s="1388"/>
      <c r="Q1049" s="1354"/>
      <c r="R1049" s="1354"/>
      <c r="S1049" s="1354"/>
      <c r="T1049" s="1354"/>
      <c r="U1049" s="1354"/>
      <c r="V1049" s="1354"/>
      <c r="W1049" s="1354"/>
      <c r="X1049" s="1353">
        <f t="shared" si="1487"/>
        <v>43101</v>
      </c>
      <c r="Y1049" s="1353">
        <f t="shared" si="1487"/>
        <v>43466</v>
      </c>
      <c r="Z1049" s="1355"/>
      <c r="AA1049" s="1355" t="s">
        <v>4674</v>
      </c>
      <c r="AB1049" s="1356"/>
      <c r="AC1049" s="1356"/>
      <c r="AD1049" s="1422">
        <v>0</v>
      </c>
      <c r="AE1049" s="1422">
        <f t="shared" si="1469"/>
        <v>0</v>
      </c>
      <c r="AF1049" s="1423" t="str">
        <f t="shared" si="1470"/>
        <v/>
      </c>
      <c r="AG1049" s="1380"/>
      <c r="AH1049" s="1380"/>
      <c r="AI1049" s="1381">
        <v>0</v>
      </c>
      <c r="AJ1049" s="1382"/>
      <c r="AK1049" s="1383">
        <f t="shared" si="1489"/>
        <v>0</v>
      </c>
      <c r="AL1049" s="1384">
        <v>0</v>
      </c>
      <c r="AM1049" s="1363">
        <f t="shared" si="1476"/>
        <v>0</v>
      </c>
      <c r="AN1049" s="1364">
        <v>0</v>
      </c>
      <c r="AO1049" s="1365">
        <f t="shared" si="1477"/>
        <v>0</v>
      </c>
      <c r="AP1049" s="1366">
        <v>0</v>
      </c>
      <c r="AQ1049" s="1367">
        <f t="shared" si="1478"/>
        <v>0</v>
      </c>
      <c r="AR1049" s="1368">
        <v>0</v>
      </c>
      <c r="AS1049" s="1369">
        <f t="shared" si="1479"/>
        <v>0</v>
      </c>
      <c r="AT1049" s="1370">
        <v>0</v>
      </c>
      <c r="AU1049" s="1371">
        <f t="shared" si="1480"/>
        <v>0</v>
      </c>
      <c r="AV1049" s="1359">
        <f t="shared" si="1481"/>
        <v>0</v>
      </c>
      <c r="AW1049" s="1372">
        <f t="shared" si="1482"/>
        <v>0</v>
      </c>
      <c r="AX1049" s="1373">
        <f t="shared" si="1483"/>
        <v>0</v>
      </c>
      <c r="AY1049" s="1374">
        <f t="shared" si="1484"/>
        <v>0</v>
      </c>
      <c r="AZ1049" s="1375">
        <f t="shared" si="1485"/>
        <v>0</v>
      </c>
      <c r="BA1049" s="1376">
        <f t="shared" si="1486"/>
        <v>0</v>
      </c>
      <c r="BB1049" s="1377"/>
      <c r="BC1049" s="1836"/>
      <c r="BD1049" s="1836"/>
      <c r="BE1049" s="1839"/>
      <c r="BF1049" s="1826"/>
      <c r="BG1049" s="1842"/>
    </row>
    <row r="1050" spans="1:59" s="1378" customFormat="1" ht="25.5">
      <c r="A1050" s="1347" t="str">
        <f t="shared" si="1471"/>
        <v>ABC</v>
      </c>
      <c r="B1050" s="1348" t="str">
        <f t="shared" si="1468"/>
        <v>HUB</v>
      </c>
      <c r="C1050" s="1348">
        <f t="shared" si="1472"/>
        <v>0</v>
      </c>
      <c r="D1050" s="1349">
        <f t="shared" si="1473"/>
        <v>43101</v>
      </c>
      <c r="E1050" s="1349"/>
      <c r="F1050" s="1347" t="s">
        <v>72</v>
      </c>
      <c r="G1050" s="1347" t="s">
        <v>85</v>
      </c>
      <c r="H1050" s="1347" t="s">
        <v>72</v>
      </c>
      <c r="I1050" s="1347" t="s">
        <v>72</v>
      </c>
      <c r="J1050" s="1349" t="s">
        <v>4670</v>
      </c>
      <c r="K1050" s="1349"/>
      <c r="L1050" s="1518" t="s">
        <v>48</v>
      </c>
      <c r="M1050" s="1518" t="s">
        <v>3652</v>
      </c>
      <c r="N1050" s="1523" t="s">
        <v>5406</v>
      </c>
      <c r="O1050" s="1388" t="s">
        <v>4702</v>
      </c>
      <c r="P1050" s="1388"/>
      <c r="Q1050" s="1354"/>
      <c r="R1050" s="1354"/>
      <c r="S1050" s="1354"/>
      <c r="T1050" s="1354"/>
      <c r="U1050" s="1354"/>
      <c r="V1050" s="1354"/>
      <c r="W1050" s="1354"/>
      <c r="X1050" s="1353">
        <f t="shared" si="1487"/>
        <v>43101</v>
      </c>
      <c r="Y1050" s="1353">
        <f t="shared" si="1487"/>
        <v>43466</v>
      </c>
      <c r="Z1050" s="1355"/>
      <c r="AA1050" s="1355" t="s">
        <v>4674</v>
      </c>
      <c r="AB1050" s="1356"/>
      <c r="AC1050" s="1356"/>
      <c r="AD1050" s="1422">
        <v>0</v>
      </c>
      <c r="AE1050" s="1422">
        <f t="shared" si="1469"/>
        <v>0</v>
      </c>
      <c r="AF1050" s="1423" t="str">
        <f t="shared" si="1470"/>
        <v/>
      </c>
      <c r="AG1050" s="1380"/>
      <c r="AH1050" s="1380"/>
      <c r="AI1050" s="1381">
        <v>0</v>
      </c>
      <c r="AJ1050" s="1382"/>
      <c r="AK1050" s="1383">
        <f t="shared" si="1489"/>
        <v>0</v>
      </c>
      <c r="AL1050" s="1384">
        <v>0</v>
      </c>
      <c r="AM1050" s="1363">
        <f t="shared" si="1476"/>
        <v>0</v>
      </c>
      <c r="AN1050" s="1364">
        <v>0</v>
      </c>
      <c r="AO1050" s="1365">
        <f t="shared" si="1477"/>
        <v>0</v>
      </c>
      <c r="AP1050" s="1366">
        <v>0</v>
      </c>
      <c r="AQ1050" s="1367">
        <f t="shared" si="1478"/>
        <v>0</v>
      </c>
      <c r="AR1050" s="1368">
        <v>0</v>
      </c>
      <c r="AS1050" s="1369">
        <f t="shared" si="1479"/>
        <v>0</v>
      </c>
      <c r="AT1050" s="1370">
        <v>0</v>
      </c>
      <c r="AU1050" s="1371">
        <f t="shared" si="1480"/>
        <v>0</v>
      </c>
      <c r="AV1050" s="1359">
        <f t="shared" si="1481"/>
        <v>0</v>
      </c>
      <c r="AW1050" s="1372">
        <f t="shared" si="1482"/>
        <v>0</v>
      </c>
      <c r="AX1050" s="1373">
        <f t="shared" si="1483"/>
        <v>0</v>
      </c>
      <c r="AY1050" s="1374">
        <f t="shared" si="1484"/>
        <v>0</v>
      </c>
      <c r="AZ1050" s="1375">
        <f t="shared" si="1485"/>
        <v>0</v>
      </c>
      <c r="BA1050" s="1376">
        <f t="shared" si="1486"/>
        <v>0</v>
      </c>
      <c r="BB1050" s="1377"/>
      <c r="BC1050" s="1836"/>
      <c r="BD1050" s="1836"/>
      <c r="BE1050" s="1839"/>
      <c r="BF1050" s="1826"/>
      <c r="BG1050" s="1842"/>
    </row>
    <row r="1051" spans="1:59" s="1378" customFormat="1" ht="25.5">
      <c r="A1051" s="1347" t="str">
        <f t="shared" si="1471"/>
        <v>ABC</v>
      </c>
      <c r="B1051" s="1348" t="str">
        <f t="shared" si="1468"/>
        <v>HUB</v>
      </c>
      <c r="C1051" s="1348">
        <f t="shared" si="1472"/>
        <v>0</v>
      </c>
      <c r="D1051" s="1349">
        <f t="shared" si="1473"/>
        <v>43101</v>
      </c>
      <c r="E1051" s="1349"/>
      <c r="F1051" s="1347" t="s">
        <v>72</v>
      </c>
      <c r="G1051" s="1347" t="s">
        <v>85</v>
      </c>
      <c r="H1051" s="1347" t="s">
        <v>72</v>
      </c>
      <c r="I1051" s="1347" t="s">
        <v>72</v>
      </c>
      <c r="J1051" s="1349" t="s">
        <v>4670</v>
      </c>
      <c r="K1051" s="1349"/>
      <c r="L1051" s="1518" t="s">
        <v>48</v>
      </c>
      <c r="M1051" s="1518" t="s">
        <v>5033</v>
      </c>
      <c r="N1051" s="1522" t="s">
        <v>5407</v>
      </c>
      <c r="O1051" s="1388" t="s">
        <v>5035</v>
      </c>
      <c r="P1051" s="1388"/>
      <c r="Q1051" s="1354"/>
      <c r="R1051" s="1354"/>
      <c r="S1051" s="1354"/>
      <c r="T1051" s="1354"/>
      <c r="U1051" s="1354"/>
      <c r="V1051" s="1354"/>
      <c r="W1051" s="1354"/>
      <c r="X1051" s="1353">
        <f t="shared" si="1487"/>
        <v>43101</v>
      </c>
      <c r="Y1051" s="1353">
        <f t="shared" si="1487"/>
        <v>43466</v>
      </c>
      <c r="Z1051" s="1355"/>
      <c r="AA1051" s="1355" t="s">
        <v>4674</v>
      </c>
      <c r="AB1051" s="1356"/>
      <c r="AC1051" s="1356"/>
      <c r="AD1051" s="1422">
        <v>0</v>
      </c>
      <c r="AE1051" s="1422">
        <f t="shared" si="1469"/>
        <v>0</v>
      </c>
      <c r="AF1051" s="1423" t="str">
        <f t="shared" si="1470"/>
        <v/>
      </c>
      <c r="AG1051" s="1380"/>
      <c r="AH1051" s="1380"/>
      <c r="AI1051" s="1381">
        <v>0</v>
      </c>
      <c r="AJ1051" s="1382"/>
      <c r="AK1051" s="1383">
        <f t="shared" si="1489"/>
        <v>0</v>
      </c>
      <c r="AL1051" s="1384">
        <v>0</v>
      </c>
      <c r="AM1051" s="1363">
        <f t="shared" si="1476"/>
        <v>0</v>
      </c>
      <c r="AN1051" s="1364">
        <v>0</v>
      </c>
      <c r="AO1051" s="1365">
        <f t="shared" si="1477"/>
        <v>0</v>
      </c>
      <c r="AP1051" s="1366">
        <v>0</v>
      </c>
      <c r="AQ1051" s="1367">
        <f t="shared" si="1478"/>
        <v>0</v>
      </c>
      <c r="AR1051" s="1368">
        <v>0</v>
      </c>
      <c r="AS1051" s="1369">
        <f t="shared" si="1479"/>
        <v>0</v>
      </c>
      <c r="AT1051" s="1370">
        <v>0</v>
      </c>
      <c r="AU1051" s="1371">
        <f t="shared" si="1480"/>
        <v>0</v>
      </c>
      <c r="AV1051" s="1359">
        <f t="shared" si="1481"/>
        <v>0</v>
      </c>
      <c r="AW1051" s="1372">
        <f t="shared" si="1482"/>
        <v>0</v>
      </c>
      <c r="AX1051" s="1373">
        <f t="shared" si="1483"/>
        <v>0</v>
      </c>
      <c r="AY1051" s="1374">
        <f t="shared" si="1484"/>
        <v>0</v>
      </c>
      <c r="AZ1051" s="1375">
        <f t="shared" si="1485"/>
        <v>0</v>
      </c>
      <c r="BA1051" s="1376">
        <f t="shared" si="1486"/>
        <v>0</v>
      </c>
      <c r="BB1051" s="1377"/>
      <c r="BC1051" s="1836"/>
      <c r="BD1051" s="1836"/>
      <c r="BE1051" s="1839"/>
      <c r="BF1051" s="1826"/>
      <c r="BG1051" s="1842"/>
    </row>
    <row r="1052" spans="1:59" s="1378" customFormat="1" ht="25.5">
      <c r="A1052" s="1347" t="str">
        <f t="shared" si="1471"/>
        <v>ABC</v>
      </c>
      <c r="B1052" s="1348" t="str">
        <f t="shared" si="1468"/>
        <v>HUB</v>
      </c>
      <c r="C1052" s="1348">
        <f t="shared" si="1472"/>
        <v>0</v>
      </c>
      <c r="D1052" s="1349">
        <f t="shared" si="1473"/>
        <v>43101</v>
      </c>
      <c r="E1052" s="1349"/>
      <c r="F1052" s="1347" t="s">
        <v>72</v>
      </c>
      <c r="G1052" s="1347" t="s">
        <v>85</v>
      </c>
      <c r="H1052" s="1347" t="s">
        <v>72</v>
      </c>
      <c r="I1052" s="1347" t="s">
        <v>72</v>
      </c>
      <c r="J1052" s="1349" t="s">
        <v>4670</v>
      </c>
      <c r="K1052" s="1349"/>
      <c r="L1052" s="1518" t="s">
        <v>48</v>
      </c>
      <c r="M1052" s="1518" t="s">
        <v>253</v>
      </c>
      <c r="N1052" s="1523" t="s">
        <v>5408</v>
      </c>
      <c r="O1052" s="1388" t="s">
        <v>4704</v>
      </c>
      <c r="P1052" s="1388"/>
      <c r="Q1052" s="1354"/>
      <c r="R1052" s="1354"/>
      <c r="S1052" s="1354"/>
      <c r="T1052" s="1354"/>
      <c r="U1052" s="1354"/>
      <c r="V1052" s="1354"/>
      <c r="W1052" s="1354"/>
      <c r="X1052" s="1353">
        <f t="shared" si="1487"/>
        <v>43101</v>
      </c>
      <c r="Y1052" s="1353">
        <f t="shared" si="1487"/>
        <v>43466</v>
      </c>
      <c r="Z1052" s="1355"/>
      <c r="AA1052" s="1355" t="s">
        <v>4674</v>
      </c>
      <c r="AB1052" s="1356"/>
      <c r="AC1052" s="1356"/>
      <c r="AD1052" s="1422">
        <v>0</v>
      </c>
      <c r="AE1052" s="1422">
        <f t="shared" si="1469"/>
        <v>0</v>
      </c>
      <c r="AF1052" s="1423" t="str">
        <f t="shared" si="1470"/>
        <v/>
      </c>
      <c r="AG1052" s="1380"/>
      <c r="AH1052" s="1380"/>
      <c r="AI1052" s="1381">
        <v>0</v>
      </c>
      <c r="AJ1052" s="1382"/>
      <c r="AK1052" s="1383">
        <f t="shared" si="1489"/>
        <v>0</v>
      </c>
      <c r="AL1052" s="1384">
        <v>0</v>
      </c>
      <c r="AM1052" s="1363">
        <f t="shared" si="1476"/>
        <v>0</v>
      </c>
      <c r="AN1052" s="1364">
        <v>0</v>
      </c>
      <c r="AO1052" s="1365">
        <f t="shared" si="1477"/>
        <v>0</v>
      </c>
      <c r="AP1052" s="1366">
        <v>0</v>
      </c>
      <c r="AQ1052" s="1367">
        <f t="shared" si="1478"/>
        <v>0</v>
      </c>
      <c r="AR1052" s="1368">
        <v>0</v>
      </c>
      <c r="AS1052" s="1369">
        <f t="shared" si="1479"/>
        <v>0</v>
      </c>
      <c r="AT1052" s="1370">
        <v>0</v>
      </c>
      <c r="AU1052" s="1371">
        <f t="shared" si="1480"/>
        <v>0</v>
      </c>
      <c r="AV1052" s="1359">
        <f t="shared" si="1481"/>
        <v>0</v>
      </c>
      <c r="AW1052" s="1372">
        <f t="shared" si="1482"/>
        <v>0</v>
      </c>
      <c r="AX1052" s="1373">
        <f t="shared" si="1483"/>
        <v>0</v>
      </c>
      <c r="AY1052" s="1374">
        <f t="shared" si="1484"/>
        <v>0</v>
      </c>
      <c r="AZ1052" s="1375">
        <f t="shared" si="1485"/>
        <v>0</v>
      </c>
      <c r="BA1052" s="1376">
        <f t="shared" si="1486"/>
        <v>0</v>
      </c>
      <c r="BB1052" s="1377"/>
      <c r="BC1052" s="1836"/>
      <c r="BD1052" s="1836"/>
      <c r="BE1052" s="1839"/>
      <c r="BF1052" s="1826"/>
      <c r="BG1052" s="1842"/>
    </row>
    <row r="1053" spans="1:59" s="1378" customFormat="1" ht="25.5">
      <c r="A1053" s="1347" t="str">
        <f t="shared" si="1471"/>
        <v>ABC</v>
      </c>
      <c r="B1053" s="1348" t="str">
        <f t="shared" si="1468"/>
        <v>HUB</v>
      </c>
      <c r="C1053" s="1348">
        <f t="shared" si="1472"/>
        <v>0</v>
      </c>
      <c r="D1053" s="1349">
        <f t="shared" si="1473"/>
        <v>43101</v>
      </c>
      <c r="E1053" s="1349"/>
      <c r="F1053" s="1347" t="s">
        <v>72</v>
      </c>
      <c r="G1053" s="1347" t="s">
        <v>85</v>
      </c>
      <c r="H1053" s="1347" t="s">
        <v>72</v>
      </c>
      <c r="I1053" s="1347" t="s">
        <v>72</v>
      </c>
      <c r="J1053" s="1349" t="s">
        <v>4670</v>
      </c>
      <c r="K1053" s="1349"/>
      <c r="L1053" s="1518" t="s">
        <v>49</v>
      </c>
      <c r="M1053" s="1518" t="s">
        <v>4705</v>
      </c>
      <c r="N1053" s="1523" t="s">
        <v>5409</v>
      </c>
      <c r="O1053" s="1388" t="s">
        <v>4707</v>
      </c>
      <c r="P1053" s="1388"/>
      <c r="Q1053" s="1354"/>
      <c r="R1053" s="1354"/>
      <c r="S1053" s="1354"/>
      <c r="T1053" s="1354"/>
      <c r="U1053" s="1354"/>
      <c r="V1053" s="1354"/>
      <c r="W1053" s="1354"/>
      <c r="X1053" s="1353">
        <f t="shared" si="1487"/>
        <v>43101</v>
      </c>
      <c r="Y1053" s="1353">
        <f t="shared" si="1487"/>
        <v>43466</v>
      </c>
      <c r="Z1053" s="1355"/>
      <c r="AA1053" s="1355" t="s">
        <v>4674</v>
      </c>
      <c r="AB1053" s="1356"/>
      <c r="AC1053" s="1356"/>
      <c r="AD1053" s="1422">
        <v>0</v>
      </c>
      <c r="AE1053" s="1422">
        <f t="shared" si="1469"/>
        <v>0</v>
      </c>
      <c r="AF1053" s="1423" t="str">
        <f t="shared" si="1470"/>
        <v/>
      </c>
      <c r="AG1053" s="1380"/>
      <c r="AH1053" s="1380"/>
      <c r="AI1053" s="1381">
        <v>0</v>
      </c>
      <c r="AJ1053" s="1382"/>
      <c r="AK1053" s="1383">
        <f t="shared" si="1489"/>
        <v>0</v>
      </c>
      <c r="AL1053" s="1384">
        <v>0</v>
      </c>
      <c r="AM1053" s="1363">
        <f t="shared" si="1476"/>
        <v>0</v>
      </c>
      <c r="AN1053" s="1364">
        <v>0</v>
      </c>
      <c r="AO1053" s="1365">
        <f t="shared" si="1477"/>
        <v>0</v>
      </c>
      <c r="AP1053" s="1366">
        <v>0</v>
      </c>
      <c r="AQ1053" s="1367">
        <f t="shared" si="1478"/>
        <v>0</v>
      </c>
      <c r="AR1053" s="1368">
        <v>0</v>
      </c>
      <c r="AS1053" s="1369">
        <f t="shared" si="1479"/>
        <v>0</v>
      </c>
      <c r="AT1053" s="1370">
        <v>0</v>
      </c>
      <c r="AU1053" s="1371">
        <f t="shared" si="1480"/>
        <v>0</v>
      </c>
      <c r="AV1053" s="1359">
        <f t="shared" si="1481"/>
        <v>0</v>
      </c>
      <c r="AW1053" s="1372">
        <f t="shared" si="1482"/>
        <v>0</v>
      </c>
      <c r="AX1053" s="1373">
        <f t="shared" si="1483"/>
        <v>0</v>
      </c>
      <c r="AY1053" s="1374">
        <f t="shared" si="1484"/>
        <v>0</v>
      </c>
      <c r="AZ1053" s="1375">
        <f t="shared" si="1485"/>
        <v>0</v>
      </c>
      <c r="BA1053" s="1376">
        <f t="shared" si="1486"/>
        <v>0</v>
      </c>
      <c r="BB1053" s="1391"/>
      <c r="BC1053" s="1836"/>
      <c r="BD1053" s="1836"/>
      <c r="BE1053" s="1839"/>
      <c r="BF1053" s="1826"/>
      <c r="BG1053" s="1842"/>
    </row>
    <row r="1054" spans="1:59" s="1378" customFormat="1" ht="25.5">
      <c r="A1054" s="1347" t="str">
        <f t="shared" si="1471"/>
        <v>ABC</v>
      </c>
      <c r="B1054" s="1348" t="str">
        <f t="shared" si="1468"/>
        <v>HUB</v>
      </c>
      <c r="C1054" s="1348">
        <f t="shared" si="1472"/>
        <v>0</v>
      </c>
      <c r="D1054" s="1349">
        <f t="shared" si="1473"/>
        <v>43101</v>
      </c>
      <c r="E1054" s="1349"/>
      <c r="F1054" s="1347" t="s">
        <v>72</v>
      </c>
      <c r="G1054" s="1347" t="s">
        <v>85</v>
      </c>
      <c r="H1054" s="1347" t="s">
        <v>72</v>
      </c>
      <c r="I1054" s="1347" t="s">
        <v>72</v>
      </c>
      <c r="J1054" s="1349" t="s">
        <v>4670</v>
      </c>
      <c r="K1054" s="1349"/>
      <c r="L1054" s="1518" t="s">
        <v>3056</v>
      </c>
      <c r="M1054" s="1518" t="s">
        <v>4708</v>
      </c>
      <c r="N1054" s="1523" t="s">
        <v>5410</v>
      </c>
      <c r="O1054" s="1388" t="s">
        <v>4710</v>
      </c>
      <c r="P1054" s="1388"/>
      <c r="Q1054" s="1354"/>
      <c r="R1054" s="1354"/>
      <c r="S1054" s="1354"/>
      <c r="T1054" s="1354"/>
      <c r="U1054" s="1354"/>
      <c r="V1054" s="1354"/>
      <c r="W1054" s="1354"/>
      <c r="X1054" s="1353">
        <f t="shared" si="1487"/>
        <v>43101</v>
      </c>
      <c r="Y1054" s="1353">
        <f t="shared" si="1487"/>
        <v>43466</v>
      </c>
      <c r="Z1054" s="1355"/>
      <c r="AA1054" s="1355" t="s">
        <v>4674</v>
      </c>
      <c r="AB1054" s="1356"/>
      <c r="AC1054" s="1356"/>
      <c r="AD1054" s="1422">
        <v>0</v>
      </c>
      <c r="AE1054" s="1422">
        <f t="shared" si="1469"/>
        <v>0</v>
      </c>
      <c r="AF1054" s="1423" t="str">
        <f t="shared" si="1470"/>
        <v/>
      </c>
      <c r="AG1054" s="1380"/>
      <c r="AH1054" s="1380"/>
      <c r="AI1054" s="1381">
        <v>0</v>
      </c>
      <c r="AJ1054" s="1382"/>
      <c r="AK1054" s="1383">
        <f t="shared" si="1489"/>
        <v>0</v>
      </c>
      <c r="AL1054" s="1384">
        <v>0</v>
      </c>
      <c r="AM1054" s="1363">
        <f t="shared" si="1476"/>
        <v>0</v>
      </c>
      <c r="AN1054" s="1364">
        <v>0</v>
      </c>
      <c r="AO1054" s="1365">
        <f t="shared" si="1477"/>
        <v>0</v>
      </c>
      <c r="AP1054" s="1366">
        <v>0</v>
      </c>
      <c r="AQ1054" s="1367">
        <f t="shared" si="1478"/>
        <v>0</v>
      </c>
      <c r="AR1054" s="1368">
        <v>0</v>
      </c>
      <c r="AS1054" s="1369">
        <f t="shared" si="1479"/>
        <v>0</v>
      </c>
      <c r="AT1054" s="1370">
        <v>0</v>
      </c>
      <c r="AU1054" s="1371">
        <f t="shared" si="1480"/>
        <v>0</v>
      </c>
      <c r="AV1054" s="1359">
        <f t="shared" si="1481"/>
        <v>0</v>
      </c>
      <c r="AW1054" s="1372">
        <f t="shared" si="1482"/>
        <v>0</v>
      </c>
      <c r="AX1054" s="1373">
        <f t="shared" si="1483"/>
        <v>0</v>
      </c>
      <c r="AY1054" s="1374">
        <f t="shared" si="1484"/>
        <v>0</v>
      </c>
      <c r="AZ1054" s="1375">
        <f t="shared" si="1485"/>
        <v>0</v>
      </c>
      <c r="BA1054" s="1376">
        <f t="shared" si="1486"/>
        <v>0</v>
      </c>
      <c r="BB1054" s="1391"/>
      <c r="BC1054" s="1837"/>
      <c r="BD1054" s="1837"/>
      <c r="BE1054" s="1840"/>
      <c r="BF1054" s="1827"/>
      <c r="BG1054" s="1843"/>
    </row>
    <row r="1055" spans="1:59">
      <c r="BD1055" s="1530"/>
      <c r="BE1055" s="1530"/>
    </row>
    <row r="1056" spans="1:59" s="1315" customFormat="1" ht="25.5">
      <c r="A1056" s="1277" t="str">
        <f>L1056</f>
        <v>ABC</v>
      </c>
      <c r="B1056" s="1316" t="str">
        <f t="shared" ref="B1056:B1075" si="1492">N$1056</f>
        <v>ABD</v>
      </c>
      <c r="C1056" s="1316">
        <f>Z1056</f>
        <v>0</v>
      </c>
      <c r="D1056" s="1317">
        <v>43101</v>
      </c>
      <c r="E1056" s="1317"/>
      <c r="F1056" s="1277" t="s">
        <v>72</v>
      </c>
      <c r="G1056" s="1277" t="s">
        <v>72</v>
      </c>
      <c r="H1056" s="1277" t="s">
        <v>72</v>
      </c>
      <c r="I1056" s="1277" t="s">
        <v>4711</v>
      </c>
      <c r="J1056" s="1317"/>
      <c r="K1056" s="1317"/>
      <c r="L1056" s="1318" t="s">
        <v>5385</v>
      </c>
      <c r="M1056" s="1319"/>
      <c r="N1056" s="1417" t="s">
        <v>3654</v>
      </c>
      <c r="O1056" s="1418" t="s">
        <v>5386</v>
      </c>
      <c r="P1056" s="1419"/>
      <c r="Q1056" s="1322"/>
      <c r="R1056" s="1322"/>
      <c r="S1056" s="1322"/>
      <c r="T1056" s="1322"/>
      <c r="U1056" s="1322"/>
      <c r="V1056" s="1322"/>
      <c r="W1056" s="1322"/>
      <c r="X1056" s="1317">
        <v>43101</v>
      </c>
      <c r="Y1056" s="1317">
        <v>43466</v>
      </c>
      <c r="Z1056" s="1316">
        <v>0</v>
      </c>
      <c r="AA1056" s="1316" t="s">
        <v>5387</v>
      </c>
      <c r="AB1056" s="1323">
        <f>SUM(AB1057:AB1076)</f>
        <v>0</v>
      </c>
      <c r="AC1056" s="1323">
        <f>SUM(AC1057:AC1076)</f>
        <v>0</v>
      </c>
      <c r="AD1056" s="1323">
        <f>SUM(AD1057:AD1076)</f>
        <v>0</v>
      </c>
      <c r="AE1056" s="1324">
        <f t="shared" ref="AE1056:AE1076" si="1493">AD1056-AB1056</f>
        <v>0</v>
      </c>
      <c r="AF1056" s="1325" t="str">
        <f t="shared" ref="AF1056:AF1076" si="1494">IFERROR((AE1056/AB1056),"")</f>
        <v/>
      </c>
      <c r="AG1056" s="1326">
        <f>SUM(AG1057:AG1076)</f>
        <v>0</v>
      </c>
      <c r="AH1056" s="1326">
        <f>SUM(AH1057:AH1076)</f>
        <v>0</v>
      </c>
      <c r="AI1056" s="1339"/>
      <c r="AJ1056" s="1328">
        <f>SUM(AJ1057:AJ1076)</f>
        <v>0</v>
      </c>
      <c r="AK1056" s="1328">
        <f>SUM(AK1057:AK1076)</f>
        <v>0</v>
      </c>
      <c r="AL1056" s="1329"/>
      <c r="AM1056" s="1330">
        <f>SUM(AM1057:AM1076)</f>
        <v>0</v>
      </c>
      <c r="AN1056" s="1331"/>
      <c r="AO1056" s="1332">
        <f>SUM(AO1057:AO1076)</f>
        <v>0</v>
      </c>
      <c r="AP1056" s="1333"/>
      <c r="AQ1056" s="1334">
        <f>SUM(AQ1057:AQ1076)</f>
        <v>0</v>
      </c>
      <c r="AR1056" s="1335"/>
      <c r="AS1056" s="1336">
        <f>SUM(AS1057:AS1076)</f>
        <v>0</v>
      </c>
      <c r="AT1056" s="1337"/>
      <c r="AU1056" s="1338">
        <f>SUM(AU1057:AU1076)</f>
        <v>0</v>
      </c>
      <c r="AV1056" s="1339"/>
      <c r="AW1056" s="1340">
        <f>SUM(AW1057:AW1076)</f>
        <v>0</v>
      </c>
      <c r="AX1056" s="1306"/>
      <c r="AY1056" s="1307">
        <f>SUM(AW1056+AS1056+AU1056)</f>
        <v>0</v>
      </c>
      <c r="AZ1056" s="1341"/>
      <c r="BA1056" s="1309">
        <f>SUM(AY1056+AQ1056)</f>
        <v>0</v>
      </c>
      <c r="BB1056" s="1342" t="e">
        <f>(AW1056+AU1056)/(AK1056-AM1056)</f>
        <v>#DIV/0!</v>
      </c>
      <c r="BC1056" s="1343"/>
      <c r="BD1056" s="1343"/>
      <c r="BE1056" s="1344"/>
      <c r="BF1056" s="1420" t="s">
        <v>5388</v>
      </c>
      <c r="BG1056" s="1346"/>
    </row>
    <row r="1057" spans="1:59" s="1378" customFormat="1" ht="153">
      <c r="A1057" s="1347" t="str">
        <f t="shared" ref="A1057:A1076" si="1495">L$1056</f>
        <v>ABC</v>
      </c>
      <c r="B1057" s="1348" t="str">
        <f t="shared" si="1492"/>
        <v>ABD</v>
      </c>
      <c r="C1057" s="1348">
        <f t="shared" ref="C1057:C1075" si="1496">Z$1056</f>
        <v>0</v>
      </c>
      <c r="D1057" s="1349">
        <f t="shared" ref="D1057:D1076" si="1497">D$1056</f>
        <v>43101</v>
      </c>
      <c r="E1057" s="1349"/>
      <c r="F1057" s="1347" t="s">
        <v>85</v>
      </c>
      <c r="G1057" s="1347" t="s">
        <v>85</v>
      </c>
      <c r="H1057" s="1347" t="s">
        <v>85</v>
      </c>
      <c r="I1057" s="1347" t="s">
        <v>113</v>
      </c>
      <c r="J1057" s="1349"/>
      <c r="K1057" s="1349"/>
      <c r="L1057" s="1518" t="s">
        <v>2661</v>
      </c>
      <c r="M1057" s="1518" t="s">
        <v>3647</v>
      </c>
      <c r="N1057" s="1451" t="s">
        <v>5390</v>
      </c>
      <c r="O1057" s="1388" t="s">
        <v>5391</v>
      </c>
      <c r="P1057" s="1388" t="s">
        <v>5392</v>
      </c>
      <c r="Q1057" s="1502" t="s">
        <v>5393</v>
      </c>
      <c r="R1057" s="1502" t="s">
        <v>5394</v>
      </c>
      <c r="S1057" s="1502" t="s">
        <v>307</v>
      </c>
      <c r="T1057" s="1502" t="s">
        <v>113</v>
      </c>
      <c r="U1057" s="1354"/>
      <c r="V1057" s="1354"/>
      <c r="W1057" s="1354"/>
      <c r="X1057" s="1353">
        <f>X$1056</f>
        <v>43101</v>
      </c>
      <c r="Y1057" s="1353">
        <f>Y$1056</f>
        <v>43466</v>
      </c>
      <c r="Z1057" s="1355"/>
      <c r="AA1057" s="1355" t="s">
        <v>4667</v>
      </c>
      <c r="AB1057" s="1356"/>
      <c r="AC1057" s="1356"/>
      <c r="AD1057" s="1422">
        <f>AH1057</f>
        <v>0</v>
      </c>
      <c r="AE1057" s="1422">
        <f t="shared" si="1493"/>
        <v>0</v>
      </c>
      <c r="AF1057" s="1423" t="str">
        <f t="shared" si="1494"/>
        <v/>
      </c>
      <c r="AG1057" s="1358">
        <v>0</v>
      </c>
      <c r="AH1057" s="1426">
        <f t="shared" ref="AH1057:AH1062" si="1498">AG1057*12</f>
        <v>0</v>
      </c>
      <c r="AI1057" s="1359">
        <v>0.08</v>
      </c>
      <c r="AJ1057" s="1360">
        <f>$AI1057*$AG1057</f>
        <v>0</v>
      </c>
      <c r="AK1057" s="1361">
        <f t="shared" ref="AK1057" si="1499">AI1057*$AH1057</f>
        <v>0</v>
      </c>
      <c r="AL1057" s="1362">
        <v>5.0000000000000001E-3</v>
      </c>
      <c r="AM1057" s="1363">
        <f t="shared" ref="AM1057:AM1076" si="1500">AL1057*$AH1057</f>
        <v>0</v>
      </c>
      <c r="AN1057" s="1364">
        <v>0.04</v>
      </c>
      <c r="AO1057" s="1365">
        <f t="shared" ref="AO1057:AO1076" si="1501">AN1057*$AH1057</f>
        <v>0</v>
      </c>
      <c r="AP1057" s="1366">
        <v>0</v>
      </c>
      <c r="AQ1057" s="1367">
        <f t="shared" ref="AQ1057:AQ1076" si="1502">AP1057*$AH1057</f>
        <v>0</v>
      </c>
      <c r="AR1057" s="1368">
        <v>0</v>
      </c>
      <c r="AS1057" s="1369">
        <f t="shared" ref="AS1057:AS1076" si="1503">AR1057*$AH1057</f>
        <v>0</v>
      </c>
      <c r="AT1057" s="1370">
        <v>2.5000000000000001E-2</v>
      </c>
      <c r="AU1057" s="1371">
        <f t="shared" ref="AU1057:AU1076" si="1504">AT1057*$AH1057</f>
        <v>0</v>
      </c>
      <c r="AV1057" s="1359">
        <f t="shared" ref="AV1057:AV1076" si="1505">AZ1057-AR1057-AT1057-AP1057</f>
        <v>9.999999999999995E-3</v>
      </c>
      <c r="AW1057" s="1372">
        <f t="shared" ref="AW1057:AW1076" si="1506">AV1057*$AH1057</f>
        <v>0</v>
      </c>
      <c r="AX1057" s="1373">
        <f t="shared" ref="AX1057:AX1076" si="1507">$AZ1057-$AP1057</f>
        <v>3.4999999999999996E-2</v>
      </c>
      <c r="AY1057" s="1374">
        <f t="shared" ref="AY1057:AY1076" si="1508">AX1057*$AH1057</f>
        <v>0</v>
      </c>
      <c r="AZ1057" s="1375">
        <f t="shared" ref="AZ1057:AZ1076" si="1509">$AI1057-$AL1057-$AN1057</f>
        <v>3.4999999999999996E-2</v>
      </c>
      <c r="BA1057" s="1376">
        <f t="shared" ref="BA1057:BA1076" si="1510">AZ1057*$AH1057</f>
        <v>0</v>
      </c>
      <c r="BB1057" s="1377"/>
      <c r="BC1057" s="1835" t="s">
        <v>5395</v>
      </c>
      <c r="BD1057" s="1835" t="s">
        <v>5396</v>
      </c>
      <c r="BE1057" s="1838" t="s">
        <v>5396</v>
      </c>
      <c r="BF1057" s="1825" t="s">
        <v>5420</v>
      </c>
      <c r="BG1057" s="1841">
        <v>12345678</v>
      </c>
    </row>
    <row r="1058" spans="1:59" s="1378" customFormat="1" ht="38.25">
      <c r="A1058" s="1347" t="str">
        <f t="shared" si="1495"/>
        <v>ABC</v>
      </c>
      <c r="B1058" s="1348" t="str">
        <f t="shared" si="1492"/>
        <v>ABD</v>
      </c>
      <c r="C1058" s="1348">
        <f t="shared" si="1496"/>
        <v>0</v>
      </c>
      <c r="D1058" s="1349">
        <f t="shared" si="1497"/>
        <v>43101</v>
      </c>
      <c r="E1058" s="1349"/>
      <c r="F1058" s="1347" t="s">
        <v>72</v>
      </c>
      <c r="G1058" s="1347" t="s">
        <v>85</v>
      </c>
      <c r="H1058" s="1347" t="s">
        <v>72</v>
      </c>
      <c r="I1058" s="1347" t="s">
        <v>72</v>
      </c>
      <c r="J1058" s="1349" t="s">
        <v>4670</v>
      </c>
      <c r="K1058" s="1349"/>
      <c r="L1058" s="1518" t="s">
        <v>4671</v>
      </c>
      <c r="M1058" s="1518" t="s">
        <v>3649</v>
      </c>
      <c r="N1058" s="1519" t="s">
        <v>5421</v>
      </c>
      <c r="O1058" s="1388" t="s">
        <v>4832</v>
      </c>
      <c r="P1058" s="1388"/>
      <c r="Q1058" s="1354"/>
      <c r="R1058" s="1354"/>
      <c r="S1058" s="1354"/>
      <c r="T1058" s="1354"/>
      <c r="U1058" s="1354"/>
      <c r="V1058" s="1354"/>
      <c r="W1058" s="1354"/>
      <c r="X1058" s="1353">
        <f t="shared" ref="X1058:Y1076" si="1511">X$1056</f>
        <v>43101</v>
      </c>
      <c r="Y1058" s="1353">
        <f t="shared" si="1511"/>
        <v>43466</v>
      </c>
      <c r="Z1058" s="1355"/>
      <c r="AA1058" s="1355" t="s">
        <v>4674</v>
      </c>
      <c r="AB1058" s="1356"/>
      <c r="AC1058" s="1356"/>
      <c r="AD1058" s="1422">
        <v>0</v>
      </c>
      <c r="AE1058" s="1422">
        <f t="shared" si="1493"/>
        <v>0</v>
      </c>
      <c r="AF1058" s="1423" t="str">
        <f t="shared" si="1494"/>
        <v/>
      </c>
      <c r="AG1058" s="1380"/>
      <c r="AH1058" s="1380"/>
      <c r="AI1058" s="1381">
        <v>0</v>
      </c>
      <c r="AJ1058" s="1382"/>
      <c r="AK1058" s="1383">
        <f>AI1058*$AH1058</f>
        <v>0</v>
      </c>
      <c r="AL1058" s="1384">
        <v>0</v>
      </c>
      <c r="AM1058" s="1363">
        <f t="shared" si="1500"/>
        <v>0</v>
      </c>
      <c r="AN1058" s="1364">
        <v>0</v>
      </c>
      <c r="AO1058" s="1365">
        <f t="shared" si="1501"/>
        <v>0</v>
      </c>
      <c r="AP1058" s="1366">
        <v>0</v>
      </c>
      <c r="AQ1058" s="1367">
        <f t="shared" si="1502"/>
        <v>0</v>
      </c>
      <c r="AR1058" s="1368">
        <v>0</v>
      </c>
      <c r="AS1058" s="1369">
        <f t="shared" si="1503"/>
        <v>0</v>
      </c>
      <c r="AT1058" s="1370">
        <v>0</v>
      </c>
      <c r="AU1058" s="1371">
        <f t="shared" si="1504"/>
        <v>0</v>
      </c>
      <c r="AV1058" s="1359">
        <f t="shared" si="1505"/>
        <v>0</v>
      </c>
      <c r="AW1058" s="1372">
        <f t="shared" si="1506"/>
        <v>0</v>
      </c>
      <c r="AX1058" s="1373">
        <f t="shared" si="1507"/>
        <v>0</v>
      </c>
      <c r="AY1058" s="1374">
        <f t="shared" si="1508"/>
        <v>0</v>
      </c>
      <c r="AZ1058" s="1375">
        <f t="shared" si="1509"/>
        <v>0</v>
      </c>
      <c r="BA1058" s="1376">
        <f t="shared" si="1510"/>
        <v>0</v>
      </c>
      <c r="BB1058" s="1377"/>
      <c r="BC1058" s="1836"/>
      <c r="BD1058" s="1836"/>
      <c r="BE1058" s="1839"/>
      <c r="BF1058" s="1826"/>
      <c r="BG1058" s="1842"/>
    </row>
    <row r="1059" spans="1:59" s="1378" customFormat="1" ht="63.75">
      <c r="A1059" s="1347" t="str">
        <f t="shared" si="1495"/>
        <v>ABC</v>
      </c>
      <c r="B1059" s="1348" t="str">
        <f t="shared" si="1492"/>
        <v>ABD</v>
      </c>
      <c r="C1059" s="1348">
        <f t="shared" si="1496"/>
        <v>0</v>
      </c>
      <c r="D1059" s="1349">
        <f t="shared" si="1497"/>
        <v>43101</v>
      </c>
      <c r="E1059" s="1349"/>
      <c r="F1059" s="1347" t="s">
        <v>113</v>
      </c>
      <c r="G1059" s="1347" t="s">
        <v>113</v>
      </c>
      <c r="H1059" s="1347" t="s">
        <v>113</v>
      </c>
      <c r="I1059" s="1347" t="s">
        <v>113</v>
      </c>
      <c r="J1059" s="1349" t="s">
        <v>4766</v>
      </c>
      <c r="K1059" s="1349"/>
      <c r="L1059" s="1524" t="s">
        <v>4767</v>
      </c>
      <c r="M1059" s="1524" t="s">
        <v>3647</v>
      </c>
      <c r="N1059" s="1525" t="s">
        <v>5422</v>
      </c>
      <c r="O1059" s="1424" t="s">
        <v>3025</v>
      </c>
      <c r="P1059" s="1424"/>
      <c r="Q1059" s="1400"/>
      <c r="R1059" s="1400"/>
      <c r="S1059" s="1400"/>
      <c r="T1059" s="1400"/>
      <c r="U1059" s="1480"/>
      <c r="V1059" s="1400"/>
      <c r="W1059" s="1400"/>
      <c r="X1059" s="1353">
        <f t="shared" si="1511"/>
        <v>43101</v>
      </c>
      <c r="Y1059" s="1353">
        <f t="shared" si="1511"/>
        <v>43466</v>
      </c>
      <c r="Z1059" s="1401"/>
      <c r="AA1059" s="1401" t="s">
        <v>4738</v>
      </c>
      <c r="AB1059" s="1356"/>
      <c r="AC1059" s="1356"/>
      <c r="AD1059" s="1369">
        <f>AH1059</f>
        <v>0</v>
      </c>
      <c r="AE1059" s="1369">
        <f t="shared" si="1493"/>
        <v>0</v>
      </c>
      <c r="AF1059" s="1403" t="str">
        <f t="shared" si="1494"/>
        <v/>
      </c>
      <c r="AG1059" s="1404"/>
      <c r="AH1059" s="1404"/>
      <c r="AI1059" s="1504">
        <v>0.06</v>
      </c>
      <c r="AJ1059" s="1406"/>
      <c r="AK1059" s="1406">
        <v>0</v>
      </c>
      <c r="AL1059" s="1362">
        <v>0</v>
      </c>
      <c r="AM1059" s="1363">
        <f t="shared" si="1500"/>
        <v>0</v>
      </c>
      <c r="AN1059" s="1364">
        <f>AI1059</f>
        <v>0.06</v>
      </c>
      <c r="AO1059" s="1365">
        <f t="shared" si="1501"/>
        <v>0</v>
      </c>
      <c r="AP1059" s="1366">
        <v>0</v>
      </c>
      <c r="AQ1059" s="1367">
        <f t="shared" si="1502"/>
        <v>0</v>
      </c>
      <c r="AR1059" s="1368">
        <v>0</v>
      </c>
      <c r="AS1059" s="1369">
        <f t="shared" si="1503"/>
        <v>0</v>
      </c>
      <c r="AT1059" s="1370">
        <v>0</v>
      </c>
      <c r="AU1059" s="1371">
        <f t="shared" si="1504"/>
        <v>0</v>
      </c>
      <c r="AV1059" s="1359">
        <v>0</v>
      </c>
      <c r="AW1059" s="1372">
        <f t="shared" si="1506"/>
        <v>0</v>
      </c>
      <c r="AX1059" s="1373">
        <f t="shared" si="1507"/>
        <v>0</v>
      </c>
      <c r="AY1059" s="1374">
        <f t="shared" si="1508"/>
        <v>0</v>
      </c>
      <c r="AZ1059" s="1375">
        <f t="shared" si="1509"/>
        <v>0</v>
      </c>
      <c r="BA1059" s="1376">
        <f t="shared" si="1510"/>
        <v>0</v>
      </c>
      <c r="BB1059" s="1377"/>
      <c r="BC1059" s="1836"/>
      <c r="BD1059" s="1836"/>
      <c r="BE1059" s="1839"/>
      <c r="BF1059" s="1826"/>
      <c r="BG1059" s="1842"/>
    </row>
    <row r="1060" spans="1:59" s="1378" customFormat="1" ht="51">
      <c r="A1060" s="1347" t="str">
        <f t="shared" si="1495"/>
        <v>ABC</v>
      </c>
      <c r="B1060" s="1348" t="str">
        <f t="shared" si="1492"/>
        <v>ABD</v>
      </c>
      <c r="C1060" s="1348">
        <f t="shared" si="1496"/>
        <v>0</v>
      </c>
      <c r="D1060" s="1349">
        <f t="shared" si="1497"/>
        <v>43101</v>
      </c>
      <c r="E1060" s="1349"/>
      <c r="F1060" s="1347" t="s">
        <v>113</v>
      </c>
      <c r="G1060" s="1347" t="s">
        <v>85</v>
      </c>
      <c r="H1060" s="1347" t="s">
        <v>85</v>
      </c>
      <c r="I1060" s="1347" t="s">
        <v>113</v>
      </c>
      <c r="J1060" s="1349"/>
      <c r="K1060" s="1349"/>
      <c r="L1060" s="1518" t="s">
        <v>4675</v>
      </c>
      <c r="M1060" s="1518" t="s">
        <v>3650</v>
      </c>
      <c r="N1060" s="1520" t="s">
        <v>5399</v>
      </c>
      <c r="O1060" s="1388" t="s">
        <v>4677</v>
      </c>
      <c r="P1060" s="1388"/>
      <c r="Q1060" s="1354"/>
      <c r="R1060" s="1354"/>
      <c r="S1060" s="1354"/>
      <c r="T1060" s="1354"/>
      <c r="U1060" s="1502" t="s">
        <v>5400</v>
      </c>
      <c r="V1060" s="1502" t="s">
        <v>5415</v>
      </c>
      <c r="W1060" s="1354"/>
      <c r="X1060" s="1353">
        <f t="shared" si="1511"/>
        <v>43101</v>
      </c>
      <c r="Y1060" s="1353">
        <f t="shared" si="1511"/>
        <v>43466</v>
      </c>
      <c r="Z1060" s="1355"/>
      <c r="AA1060" s="1355" t="s">
        <v>4679</v>
      </c>
      <c r="AB1060" s="1356"/>
      <c r="AC1060" s="1356"/>
      <c r="AD1060" s="1422">
        <f>AH1060</f>
        <v>0</v>
      </c>
      <c r="AE1060" s="1422">
        <f t="shared" si="1493"/>
        <v>0</v>
      </c>
      <c r="AF1060" s="1423" t="str">
        <f t="shared" si="1494"/>
        <v/>
      </c>
      <c r="AG1060" s="1358">
        <v>0</v>
      </c>
      <c r="AH1060" s="1426">
        <f t="shared" si="1498"/>
        <v>0</v>
      </c>
      <c r="AI1060" s="1359">
        <v>0.1</v>
      </c>
      <c r="AJ1060" s="1360">
        <f t="shared" ref="AJ1060:AJ1070" si="1512">$AI1060*$AG1060</f>
        <v>0</v>
      </c>
      <c r="AK1060" s="1361">
        <f t="shared" ref="AK1060:AK1076" si="1513">AI1060*$AH1060</f>
        <v>0</v>
      </c>
      <c r="AL1060" s="1384">
        <v>0</v>
      </c>
      <c r="AM1060" s="1363">
        <f t="shared" si="1500"/>
        <v>0</v>
      </c>
      <c r="AN1060" s="1364">
        <v>0.08</v>
      </c>
      <c r="AO1060" s="1365">
        <f t="shared" si="1501"/>
        <v>0</v>
      </c>
      <c r="AP1060" s="1366">
        <v>0</v>
      </c>
      <c r="AQ1060" s="1367">
        <f t="shared" si="1502"/>
        <v>0</v>
      </c>
      <c r="AR1060" s="1368">
        <v>0</v>
      </c>
      <c r="AS1060" s="1369">
        <f t="shared" si="1503"/>
        <v>0</v>
      </c>
      <c r="AT1060" s="1370">
        <v>0</v>
      </c>
      <c r="AU1060" s="1371">
        <f t="shared" si="1504"/>
        <v>0</v>
      </c>
      <c r="AV1060" s="1359">
        <f t="shared" si="1505"/>
        <v>2.0000000000000004E-2</v>
      </c>
      <c r="AW1060" s="1372">
        <f t="shared" si="1506"/>
        <v>0</v>
      </c>
      <c r="AX1060" s="1373">
        <f t="shared" si="1507"/>
        <v>2.0000000000000004E-2</v>
      </c>
      <c r="AY1060" s="1374">
        <f t="shared" si="1508"/>
        <v>0</v>
      </c>
      <c r="AZ1060" s="1375">
        <f t="shared" si="1509"/>
        <v>2.0000000000000004E-2</v>
      </c>
      <c r="BA1060" s="1376">
        <f t="shared" si="1510"/>
        <v>0</v>
      </c>
      <c r="BB1060" s="1377"/>
      <c r="BC1060" s="1836"/>
      <c r="BD1060" s="1836"/>
      <c r="BE1060" s="1839"/>
      <c r="BF1060" s="1826"/>
      <c r="BG1060" s="1842"/>
    </row>
    <row r="1061" spans="1:59" s="1378" customFormat="1" ht="38.25">
      <c r="A1061" s="1347" t="str">
        <f t="shared" si="1495"/>
        <v>ABC</v>
      </c>
      <c r="B1061" s="1348" t="str">
        <f t="shared" si="1492"/>
        <v>ABD</v>
      </c>
      <c r="C1061" s="1348">
        <f t="shared" si="1496"/>
        <v>0</v>
      </c>
      <c r="D1061" s="1349">
        <f t="shared" si="1497"/>
        <v>43101</v>
      </c>
      <c r="E1061" s="1349"/>
      <c r="F1061" s="1347" t="s">
        <v>113</v>
      </c>
      <c r="G1061" s="1347" t="s">
        <v>85</v>
      </c>
      <c r="H1061" s="1347" t="s">
        <v>85</v>
      </c>
      <c r="I1061" s="1347" t="s">
        <v>113</v>
      </c>
      <c r="J1061" s="1349"/>
      <c r="K1061" s="1349"/>
      <c r="L1061" s="1518" t="s">
        <v>4675</v>
      </c>
      <c r="M1061" s="1518" t="s">
        <v>3651</v>
      </c>
      <c r="N1061" s="1451" t="s">
        <v>5402</v>
      </c>
      <c r="O1061" s="1388" t="s">
        <v>4681</v>
      </c>
      <c r="P1061" s="1388"/>
      <c r="Q1061" s="1354"/>
      <c r="R1061" s="1354"/>
      <c r="S1061" s="1354"/>
      <c r="T1061" s="1354"/>
      <c r="U1061" s="1354"/>
      <c r="V1061" s="1354"/>
      <c r="W1061" s="1502" t="s">
        <v>5416</v>
      </c>
      <c r="X1061" s="1353">
        <f t="shared" si="1511"/>
        <v>43101</v>
      </c>
      <c r="Y1061" s="1353">
        <f t="shared" si="1511"/>
        <v>43466</v>
      </c>
      <c r="Z1061" s="1355"/>
      <c r="AA1061" s="1355" t="s">
        <v>4679</v>
      </c>
      <c r="AB1061" s="1356"/>
      <c r="AC1061" s="1356"/>
      <c r="AD1061" s="1422">
        <f>AH1061</f>
        <v>0</v>
      </c>
      <c r="AE1061" s="1422">
        <f t="shared" si="1493"/>
        <v>0</v>
      </c>
      <c r="AF1061" s="1423" t="str">
        <f t="shared" si="1494"/>
        <v/>
      </c>
      <c r="AG1061" s="1358">
        <v>0</v>
      </c>
      <c r="AH1061" s="1426">
        <f t="shared" si="1498"/>
        <v>0</v>
      </c>
      <c r="AI1061" s="1359">
        <v>0.1</v>
      </c>
      <c r="AJ1061" s="1360">
        <f t="shared" si="1512"/>
        <v>0</v>
      </c>
      <c r="AK1061" s="1361">
        <f t="shared" si="1513"/>
        <v>0</v>
      </c>
      <c r="AL1061" s="1384">
        <v>0</v>
      </c>
      <c r="AM1061" s="1363">
        <f t="shared" si="1500"/>
        <v>0</v>
      </c>
      <c r="AN1061" s="1364">
        <v>0.08</v>
      </c>
      <c r="AO1061" s="1365">
        <f t="shared" si="1501"/>
        <v>0</v>
      </c>
      <c r="AP1061" s="1366">
        <v>0</v>
      </c>
      <c r="AQ1061" s="1367">
        <f t="shared" si="1502"/>
        <v>0</v>
      </c>
      <c r="AR1061" s="1368">
        <v>0</v>
      </c>
      <c r="AS1061" s="1369">
        <f t="shared" si="1503"/>
        <v>0</v>
      </c>
      <c r="AT1061" s="1370">
        <v>0</v>
      </c>
      <c r="AU1061" s="1371">
        <f t="shared" si="1504"/>
        <v>0</v>
      </c>
      <c r="AV1061" s="1359">
        <f t="shared" si="1505"/>
        <v>2.0000000000000004E-2</v>
      </c>
      <c r="AW1061" s="1372">
        <f t="shared" si="1506"/>
        <v>0</v>
      </c>
      <c r="AX1061" s="1373">
        <f t="shared" si="1507"/>
        <v>2.0000000000000004E-2</v>
      </c>
      <c r="AY1061" s="1374">
        <f t="shared" si="1508"/>
        <v>0</v>
      </c>
      <c r="AZ1061" s="1375">
        <f t="shared" si="1509"/>
        <v>2.0000000000000004E-2</v>
      </c>
      <c r="BA1061" s="1376">
        <f t="shared" si="1510"/>
        <v>0</v>
      </c>
      <c r="BB1061" s="1377"/>
      <c r="BC1061" s="1836"/>
      <c r="BD1061" s="1836"/>
      <c r="BE1061" s="1839"/>
      <c r="BF1061" s="1826"/>
      <c r="BG1061" s="1842"/>
    </row>
    <row r="1062" spans="1:59" s="1378" customFormat="1" ht="38.25">
      <c r="A1062" s="1347" t="str">
        <f t="shared" si="1495"/>
        <v>ABC</v>
      </c>
      <c r="B1062" s="1348" t="str">
        <f t="shared" si="1492"/>
        <v>ABD</v>
      </c>
      <c r="C1062" s="1348">
        <f t="shared" si="1496"/>
        <v>0</v>
      </c>
      <c r="D1062" s="1349">
        <f t="shared" si="1497"/>
        <v>43101</v>
      </c>
      <c r="E1062" s="1349"/>
      <c r="F1062" s="1347" t="s">
        <v>113</v>
      </c>
      <c r="G1062" s="1347" t="s">
        <v>85</v>
      </c>
      <c r="H1062" s="1347" t="s">
        <v>85</v>
      </c>
      <c r="I1062" s="1347" t="s">
        <v>113</v>
      </c>
      <c r="J1062" s="1349"/>
      <c r="K1062" s="1349"/>
      <c r="L1062" s="1518" t="s">
        <v>4682</v>
      </c>
      <c r="M1062" s="1518" t="s">
        <v>4683</v>
      </c>
      <c r="N1062" s="1521" t="s">
        <v>57</v>
      </c>
      <c r="O1062" s="1388" t="s">
        <v>4684</v>
      </c>
      <c r="P1062" s="1421"/>
      <c r="Q1062" s="1354"/>
      <c r="R1062" s="1354"/>
      <c r="S1062" s="1354"/>
      <c r="T1062" s="1354"/>
      <c r="U1062" s="1354"/>
      <c r="V1062" s="1354"/>
      <c r="W1062" s="1354"/>
      <c r="X1062" s="1353">
        <f t="shared" si="1511"/>
        <v>43101</v>
      </c>
      <c r="Y1062" s="1353">
        <f t="shared" si="1511"/>
        <v>43466</v>
      </c>
      <c r="Z1062" s="1355"/>
      <c r="AA1062" s="1355" t="s">
        <v>4685</v>
      </c>
      <c r="AB1062" s="1356"/>
      <c r="AC1062" s="1356"/>
      <c r="AD1062" s="1422">
        <f>AH1062</f>
        <v>0</v>
      </c>
      <c r="AE1062" s="1422">
        <f t="shared" si="1493"/>
        <v>0</v>
      </c>
      <c r="AF1062" s="1423" t="str">
        <f t="shared" si="1494"/>
        <v/>
      </c>
      <c r="AG1062" s="1358">
        <v>0</v>
      </c>
      <c r="AH1062" s="1426">
        <f t="shared" si="1498"/>
        <v>0</v>
      </c>
      <c r="AI1062" s="1359">
        <v>0.15</v>
      </c>
      <c r="AJ1062" s="1360">
        <f t="shared" si="1512"/>
        <v>0</v>
      </c>
      <c r="AK1062" s="1361">
        <f t="shared" si="1513"/>
        <v>0</v>
      </c>
      <c r="AL1062" s="1384">
        <v>0</v>
      </c>
      <c r="AM1062" s="1363">
        <f t="shared" si="1500"/>
        <v>0</v>
      </c>
      <c r="AN1062" s="1364">
        <v>0.1</v>
      </c>
      <c r="AO1062" s="1365">
        <f t="shared" si="1501"/>
        <v>0</v>
      </c>
      <c r="AP1062" s="1366">
        <v>0</v>
      </c>
      <c r="AQ1062" s="1367">
        <f t="shared" si="1502"/>
        <v>0</v>
      </c>
      <c r="AR1062" s="1368">
        <v>0</v>
      </c>
      <c r="AS1062" s="1369">
        <f t="shared" si="1503"/>
        <v>0</v>
      </c>
      <c r="AT1062" s="1370">
        <v>0</v>
      </c>
      <c r="AU1062" s="1371">
        <f t="shared" si="1504"/>
        <v>0</v>
      </c>
      <c r="AV1062" s="1359">
        <f t="shared" si="1505"/>
        <v>4.9999999999999989E-2</v>
      </c>
      <c r="AW1062" s="1372">
        <f t="shared" si="1506"/>
        <v>0</v>
      </c>
      <c r="AX1062" s="1373">
        <f t="shared" si="1507"/>
        <v>4.9999999999999989E-2</v>
      </c>
      <c r="AY1062" s="1374">
        <f t="shared" si="1508"/>
        <v>0</v>
      </c>
      <c r="AZ1062" s="1375">
        <f t="shared" si="1509"/>
        <v>4.9999999999999989E-2</v>
      </c>
      <c r="BA1062" s="1376">
        <f t="shared" si="1510"/>
        <v>0</v>
      </c>
      <c r="BB1062" s="1377"/>
      <c r="BC1062" s="1836"/>
      <c r="BD1062" s="1836"/>
      <c r="BE1062" s="1839"/>
      <c r="BF1062" s="1826"/>
      <c r="BG1062" s="1842"/>
    </row>
    <row r="1063" spans="1:59" s="1378" customFormat="1" ht="38.25">
      <c r="A1063" s="1347" t="str">
        <f t="shared" si="1495"/>
        <v>ABC</v>
      </c>
      <c r="B1063" s="1348" t="str">
        <f t="shared" si="1492"/>
        <v>ABD</v>
      </c>
      <c r="C1063" s="1348">
        <f t="shared" si="1496"/>
        <v>0</v>
      </c>
      <c r="D1063" s="1349">
        <f t="shared" si="1497"/>
        <v>43101</v>
      </c>
      <c r="E1063" s="1349"/>
      <c r="F1063" s="1347" t="s">
        <v>113</v>
      </c>
      <c r="G1063" s="1347" t="s">
        <v>85</v>
      </c>
      <c r="H1063" s="1347" t="s">
        <v>85</v>
      </c>
      <c r="I1063" s="1347" t="s">
        <v>113</v>
      </c>
      <c r="J1063" s="1349"/>
      <c r="K1063" s="1349"/>
      <c r="L1063" s="1518" t="s">
        <v>4682</v>
      </c>
      <c r="M1063" s="1518" t="s">
        <v>4686</v>
      </c>
      <c r="N1063" s="1521" t="s">
        <v>60</v>
      </c>
      <c r="O1063" s="1388" t="s">
        <v>4687</v>
      </c>
      <c r="P1063" s="1421"/>
      <c r="Q1063" s="1354"/>
      <c r="R1063" s="1354"/>
      <c r="S1063" s="1354"/>
      <c r="T1063" s="1354"/>
      <c r="U1063" s="1354"/>
      <c r="V1063" s="1354"/>
      <c r="W1063" s="1354"/>
      <c r="X1063" s="1353">
        <f t="shared" si="1511"/>
        <v>43101</v>
      </c>
      <c r="Y1063" s="1353">
        <f t="shared" si="1511"/>
        <v>43466</v>
      </c>
      <c r="Z1063" s="1355"/>
      <c r="AA1063" s="1355" t="s">
        <v>4685</v>
      </c>
      <c r="AB1063" s="1356"/>
      <c r="AC1063" s="1356"/>
      <c r="AD1063" s="1422">
        <v>0</v>
      </c>
      <c r="AE1063" s="1422">
        <f t="shared" si="1493"/>
        <v>0</v>
      </c>
      <c r="AF1063" s="1423" t="str">
        <f t="shared" si="1494"/>
        <v/>
      </c>
      <c r="AG1063" s="1358">
        <f t="shared" ref="AG1063:AG1067" si="1514">AH1063/12</f>
        <v>0</v>
      </c>
      <c r="AH1063" s="1426">
        <v>0</v>
      </c>
      <c r="AI1063" s="1359">
        <v>0.15</v>
      </c>
      <c r="AJ1063" s="1360">
        <f t="shared" si="1512"/>
        <v>0</v>
      </c>
      <c r="AK1063" s="1361">
        <f t="shared" si="1513"/>
        <v>0</v>
      </c>
      <c r="AL1063" s="1384">
        <v>0</v>
      </c>
      <c r="AM1063" s="1363">
        <f t="shared" si="1500"/>
        <v>0</v>
      </c>
      <c r="AN1063" s="1364">
        <v>0.1</v>
      </c>
      <c r="AO1063" s="1365">
        <f t="shared" si="1501"/>
        <v>0</v>
      </c>
      <c r="AP1063" s="1366">
        <v>0</v>
      </c>
      <c r="AQ1063" s="1367">
        <f t="shared" si="1502"/>
        <v>0</v>
      </c>
      <c r="AR1063" s="1368">
        <v>0</v>
      </c>
      <c r="AS1063" s="1369">
        <f t="shared" si="1503"/>
        <v>0</v>
      </c>
      <c r="AT1063" s="1370">
        <v>0</v>
      </c>
      <c r="AU1063" s="1371">
        <f t="shared" si="1504"/>
        <v>0</v>
      </c>
      <c r="AV1063" s="1359">
        <f t="shared" si="1505"/>
        <v>4.9999999999999989E-2</v>
      </c>
      <c r="AW1063" s="1372">
        <f t="shared" si="1506"/>
        <v>0</v>
      </c>
      <c r="AX1063" s="1373">
        <f t="shared" si="1507"/>
        <v>4.9999999999999989E-2</v>
      </c>
      <c r="AY1063" s="1374">
        <f t="shared" si="1508"/>
        <v>0</v>
      </c>
      <c r="AZ1063" s="1375">
        <f t="shared" si="1509"/>
        <v>4.9999999999999989E-2</v>
      </c>
      <c r="BA1063" s="1376">
        <f t="shared" si="1510"/>
        <v>0</v>
      </c>
      <c r="BB1063" s="1377"/>
      <c r="BC1063" s="1836"/>
      <c r="BD1063" s="1836"/>
      <c r="BE1063" s="1839"/>
      <c r="BF1063" s="1826"/>
      <c r="BG1063" s="1842"/>
    </row>
    <row r="1064" spans="1:59" s="1378" customFormat="1" ht="38.25">
      <c r="A1064" s="1347" t="str">
        <f t="shared" si="1495"/>
        <v>ABC</v>
      </c>
      <c r="B1064" s="1348" t="str">
        <f t="shared" si="1492"/>
        <v>ABD</v>
      </c>
      <c r="C1064" s="1348">
        <f t="shared" si="1496"/>
        <v>0</v>
      </c>
      <c r="D1064" s="1349">
        <f t="shared" si="1497"/>
        <v>43101</v>
      </c>
      <c r="E1064" s="1349"/>
      <c r="F1064" s="1347" t="s">
        <v>113</v>
      </c>
      <c r="G1064" s="1347" t="s">
        <v>85</v>
      </c>
      <c r="H1064" s="1347" t="s">
        <v>85</v>
      </c>
      <c r="I1064" s="1347" t="s">
        <v>113</v>
      </c>
      <c r="J1064" s="1349"/>
      <c r="K1064" s="1349"/>
      <c r="L1064" s="1518" t="s">
        <v>4682</v>
      </c>
      <c r="M1064" s="1518" t="s">
        <v>62</v>
      </c>
      <c r="N1064" s="1451" t="s">
        <v>81</v>
      </c>
      <c r="O1064" s="1388" t="s">
        <v>4688</v>
      </c>
      <c r="P1064" s="1388"/>
      <c r="Q1064" s="1354"/>
      <c r="R1064" s="1354"/>
      <c r="S1064" s="1354"/>
      <c r="T1064" s="1354"/>
      <c r="U1064" s="1354"/>
      <c r="V1064" s="1354"/>
      <c r="W1064" s="1354"/>
      <c r="X1064" s="1353">
        <f t="shared" si="1511"/>
        <v>43101</v>
      </c>
      <c r="Y1064" s="1353">
        <f t="shared" si="1511"/>
        <v>43466</v>
      </c>
      <c r="Z1064" s="1355"/>
      <c r="AA1064" s="1355" t="s">
        <v>4685</v>
      </c>
      <c r="AB1064" s="1356"/>
      <c r="AC1064" s="1356"/>
      <c r="AD1064" s="1422">
        <f>AH1064</f>
        <v>0</v>
      </c>
      <c r="AE1064" s="1422">
        <f t="shared" si="1493"/>
        <v>0</v>
      </c>
      <c r="AF1064" s="1423" t="str">
        <f t="shared" si="1494"/>
        <v/>
      </c>
      <c r="AG1064" s="1358">
        <f t="shared" si="1514"/>
        <v>0</v>
      </c>
      <c r="AH1064" s="1426">
        <v>0</v>
      </c>
      <c r="AI1064" s="1359">
        <v>0.15</v>
      </c>
      <c r="AJ1064" s="1360">
        <f t="shared" si="1512"/>
        <v>0</v>
      </c>
      <c r="AK1064" s="1361">
        <f t="shared" si="1513"/>
        <v>0</v>
      </c>
      <c r="AL1064" s="1384">
        <v>0</v>
      </c>
      <c r="AM1064" s="1363">
        <f t="shared" si="1500"/>
        <v>0</v>
      </c>
      <c r="AN1064" s="1364">
        <v>0.1</v>
      </c>
      <c r="AO1064" s="1365">
        <f t="shared" si="1501"/>
        <v>0</v>
      </c>
      <c r="AP1064" s="1366">
        <v>0</v>
      </c>
      <c r="AQ1064" s="1367">
        <f t="shared" si="1502"/>
        <v>0</v>
      </c>
      <c r="AR1064" s="1368">
        <v>0</v>
      </c>
      <c r="AS1064" s="1369">
        <f t="shared" si="1503"/>
        <v>0</v>
      </c>
      <c r="AT1064" s="1370">
        <v>0</v>
      </c>
      <c r="AU1064" s="1371">
        <f t="shared" si="1504"/>
        <v>0</v>
      </c>
      <c r="AV1064" s="1359">
        <f t="shared" si="1505"/>
        <v>4.9999999999999989E-2</v>
      </c>
      <c r="AW1064" s="1372">
        <f t="shared" si="1506"/>
        <v>0</v>
      </c>
      <c r="AX1064" s="1373">
        <f t="shared" si="1507"/>
        <v>4.9999999999999989E-2</v>
      </c>
      <c r="AY1064" s="1374">
        <f t="shared" si="1508"/>
        <v>0</v>
      </c>
      <c r="AZ1064" s="1375">
        <f t="shared" si="1509"/>
        <v>4.9999999999999989E-2</v>
      </c>
      <c r="BA1064" s="1376">
        <f t="shared" si="1510"/>
        <v>0</v>
      </c>
      <c r="BB1064" s="1377"/>
      <c r="BC1064" s="1836"/>
      <c r="BD1064" s="1836"/>
      <c r="BE1064" s="1839"/>
      <c r="BF1064" s="1826"/>
      <c r="BG1064" s="1842"/>
    </row>
    <row r="1065" spans="1:59" s="1378" customFormat="1" ht="38.25">
      <c r="A1065" s="1347" t="str">
        <f t="shared" si="1495"/>
        <v>ABC</v>
      </c>
      <c r="B1065" s="1348" t="str">
        <f t="shared" si="1492"/>
        <v>ABD</v>
      </c>
      <c r="C1065" s="1348">
        <f t="shared" si="1496"/>
        <v>0</v>
      </c>
      <c r="D1065" s="1349">
        <f t="shared" si="1497"/>
        <v>43101</v>
      </c>
      <c r="E1065" s="1349"/>
      <c r="F1065" s="1347" t="s">
        <v>113</v>
      </c>
      <c r="G1065" s="1347" t="s">
        <v>85</v>
      </c>
      <c r="H1065" s="1347" t="s">
        <v>85</v>
      </c>
      <c r="I1065" s="1347" t="s">
        <v>113</v>
      </c>
      <c r="J1065" s="1349"/>
      <c r="K1065" s="1349"/>
      <c r="L1065" s="1518" t="s">
        <v>4682</v>
      </c>
      <c r="M1065" s="1518" t="s">
        <v>5243</v>
      </c>
      <c r="N1065" s="1451" t="s">
        <v>3660</v>
      </c>
      <c r="O1065" s="1388" t="s">
        <v>5403</v>
      </c>
      <c r="P1065" s="1388"/>
      <c r="Q1065" s="1354"/>
      <c r="R1065" s="1354"/>
      <c r="S1065" s="1354"/>
      <c r="T1065" s="1354"/>
      <c r="U1065" s="1354"/>
      <c r="V1065" s="1354"/>
      <c r="W1065" s="1354"/>
      <c r="X1065" s="1353">
        <f t="shared" si="1511"/>
        <v>43101</v>
      </c>
      <c r="Y1065" s="1353">
        <f t="shared" si="1511"/>
        <v>43466</v>
      </c>
      <c r="Z1065" s="1355"/>
      <c r="AA1065" s="1355" t="s">
        <v>4685</v>
      </c>
      <c r="AB1065" s="1356"/>
      <c r="AC1065" s="1356"/>
      <c r="AD1065" s="1422">
        <f>AH1065</f>
        <v>0</v>
      </c>
      <c r="AE1065" s="1422">
        <f t="shared" si="1493"/>
        <v>0</v>
      </c>
      <c r="AF1065" s="1423" t="str">
        <f t="shared" si="1494"/>
        <v/>
      </c>
      <c r="AG1065" s="1358">
        <f t="shared" si="1514"/>
        <v>0</v>
      </c>
      <c r="AH1065" s="1426">
        <v>0</v>
      </c>
      <c r="AI1065" s="1359">
        <v>0.15</v>
      </c>
      <c r="AJ1065" s="1360">
        <f t="shared" si="1512"/>
        <v>0</v>
      </c>
      <c r="AK1065" s="1361">
        <f t="shared" si="1513"/>
        <v>0</v>
      </c>
      <c r="AL1065" s="1384">
        <v>0</v>
      </c>
      <c r="AM1065" s="1363">
        <f t="shared" si="1500"/>
        <v>0</v>
      </c>
      <c r="AN1065" s="1364">
        <v>0.1</v>
      </c>
      <c r="AO1065" s="1365">
        <f t="shared" si="1501"/>
        <v>0</v>
      </c>
      <c r="AP1065" s="1366">
        <v>0</v>
      </c>
      <c r="AQ1065" s="1367">
        <f t="shared" si="1502"/>
        <v>0</v>
      </c>
      <c r="AR1065" s="1368">
        <v>0</v>
      </c>
      <c r="AS1065" s="1369">
        <f t="shared" si="1503"/>
        <v>0</v>
      </c>
      <c r="AT1065" s="1370">
        <v>0</v>
      </c>
      <c r="AU1065" s="1371">
        <f t="shared" si="1504"/>
        <v>0</v>
      </c>
      <c r="AV1065" s="1359">
        <f t="shared" si="1505"/>
        <v>4.9999999999999989E-2</v>
      </c>
      <c r="AW1065" s="1372">
        <f t="shared" si="1506"/>
        <v>0</v>
      </c>
      <c r="AX1065" s="1373">
        <f t="shared" si="1507"/>
        <v>4.9999999999999989E-2</v>
      </c>
      <c r="AY1065" s="1374">
        <f t="shared" si="1508"/>
        <v>0</v>
      </c>
      <c r="AZ1065" s="1375">
        <f t="shared" si="1509"/>
        <v>4.9999999999999989E-2</v>
      </c>
      <c r="BA1065" s="1376">
        <f t="shared" si="1510"/>
        <v>0</v>
      </c>
      <c r="BB1065" s="1377"/>
      <c r="BC1065" s="1836"/>
      <c r="BD1065" s="1836"/>
      <c r="BE1065" s="1839"/>
      <c r="BF1065" s="1826"/>
      <c r="BG1065" s="1842"/>
    </row>
    <row r="1066" spans="1:59" s="1378" customFormat="1" ht="38.25">
      <c r="A1066" s="1347" t="str">
        <f t="shared" si="1495"/>
        <v>ABC</v>
      </c>
      <c r="B1066" s="1348" t="str">
        <f t="shared" si="1492"/>
        <v>ABD</v>
      </c>
      <c r="C1066" s="1348">
        <f t="shared" si="1496"/>
        <v>0</v>
      </c>
      <c r="D1066" s="1349">
        <f t="shared" si="1497"/>
        <v>43101</v>
      </c>
      <c r="E1066" s="1349"/>
      <c r="F1066" s="1347" t="s">
        <v>113</v>
      </c>
      <c r="G1066" s="1347" t="s">
        <v>85</v>
      </c>
      <c r="H1066" s="1347" t="s">
        <v>85</v>
      </c>
      <c r="I1066" s="1347" t="s">
        <v>113</v>
      </c>
      <c r="J1066" s="1349"/>
      <c r="K1066" s="1349"/>
      <c r="L1066" s="1518" t="s">
        <v>4682</v>
      </c>
      <c r="M1066" s="1518" t="s">
        <v>4741</v>
      </c>
      <c r="N1066" s="1451" t="s">
        <v>4742</v>
      </c>
      <c r="O1066" s="1388" t="s">
        <v>5404</v>
      </c>
      <c r="P1066" s="1388"/>
      <c r="Q1066" s="1354"/>
      <c r="R1066" s="1354"/>
      <c r="S1066" s="1354"/>
      <c r="T1066" s="1354"/>
      <c r="U1066" s="1354"/>
      <c r="V1066" s="1354"/>
      <c r="W1066" s="1354"/>
      <c r="X1066" s="1353">
        <f t="shared" si="1511"/>
        <v>43101</v>
      </c>
      <c r="Y1066" s="1353">
        <f t="shared" si="1511"/>
        <v>43466</v>
      </c>
      <c r="Z1066" s="1355"/>
      <c r="AA1066" s="1355" t="s">
        <v>4679</v>
      </c>
      <c r="AB1066" s="1356"/>
      <c r="AC1066" s="1356"/>
      <c r="AD1066" s="1422">
        <f>AH1066</f>
        <v>0</v>
      </c>
      <c r="AE1066" s="1422">
        <f t="shared" si="1493"/>
        <v>0</v>
      </c>
      <c r="AF1066" s="1423" t="str">
        <f t="shared" si="1494"/>
        <v/>
      </c>
      <c r="AG1066" s="1358">
        <f t="shared" si="1514"/>
        <v>0</v>
      </c>
      <c r="AH1066" s="1426">
        <v>0</v>
      </c>
      <c r="AI1066" s="1359">
        <v>0.1</v>
      </c>
      <c r="AJ1066" s="1360">
        <f t="shared" si="1512"/>
        <v>0</v>
      </c>
      <c r="AK1066" s="1361">
        <f t="shared" si="1513"/>
        <v>0</v>
      </c>
      <c r="AL1066" s="1384">
        <v>0</v>
      </c>
      <c r="AM1066" s="1363">
        <f t="shared" si="1500"/>
        <v>0</v>
      </c>
      <c r="AN1066" s="1364">
        <v>0.08</v>
      </c>
      <c r="AO1066" s="1365">
        <f t="shared" si="1501"/>
        <v>0</v>
      </c>
      <c r="AP1066" s="1366">
        <v>0</v>
      </c>
      <c r="AQ1066" s="1367">
        <f t="shared" si="1502"/>
        <v>0</v>
      </c>
      <c r="AR1066" s="1368">
        <v>0</v>
      </c>
      <c r="AS1066" s="1369">
        <f t="shared" si="1503"/>
        <v>0</v>
      </c>
      <c r="AT1066" s="1370">
        <v>0</v>
      </c>
      <c r="AU1066" s="1371">
        <f t="shared" si="1504"/>
        <v>0</v>
      </c>
      <c r="AV1066" s="1359">
        <f t="shared" si="1505"/>
        <v>2.0000000000000004E-2</v>
      </c>
      <c r="AW1066" s="1372">
        <f t="shared" si="1506"/>
        <v>0</v>
      </c>
      <c r="AX1066" s="1373">
        <f t="shared" si="1507"/>
        <v>2.0000000000000004E-2</v>
      </c>
      <c r="AY1066" s="1374">
        <f t="shared" si="1508"/>
        <v>0</v>
      </c>
      <c r="AZ1066" s="1375">
        <f t="shared" si="1509"/>
        <v>2.0000000000000004E-2</v>
      </c>
      <c r="BA1066" s="1376">
        <f t="shared" si="1510"/>
        <v>0</v>
      </c>
      <c r="BB1066" s="1377"/>
      <c r="BC1066" s="1836"/>
      <c r="BD1066" s="1836"/>
      <c r="BE1066" s="1839"/>
      <c r="BF1066" s="1826"/>
      <c r="BG1066" s="1842"/>
    </row>
    <row r="1067" spans="1:59" s="1378" customFormat="1" ht="38.25">
      <c r="A1067" s="1347" t="str">
        <f t="shared" si="1495"/>
        <v>ABC</v>
      </c>
      <c r="B1067" s="1348" t="str">
        <f t="shared" si="1492"/>
        <v>ABD</v>
      </c>
      <c r="C1067" s="1348">
        <f t="shared" si="1496"/>
        <v>0</v>
      </c>
      <c r="D1067" s="1349">
        <f t="shared" si="1497"/>
        <v>43101</v>
      </c>
      <c r="E1067" s="1349"/>
      <c r="F1067" s="1347" t="s">
        <v>113</v>
      </c>
      <c r="G1067" s="1347" t="s">
        <v>85</v>
      </c>
      <c r="H1067" s="1347" t="s">
        <v>85</v>
      </c>
      <c r="I1067" s="1347" t="s">
        <v>113</v>
      </c>
      <c r="J1067" s="1349"/>
      <c r="K1067" s="1349"/>
      <c r="L1067" s="1518" t="s">
        <v>4682</v>
      </c>
      <c r="M1067" s="1518" t="s">
        <v>67</v>
      </c>
      <c r="N1067" s="1451" t="s">
        <v>82</v>
      </c>
      <c r="O1067" s="1388" t="s">
        <v>4689</v>
      </c>
      <c r="P1067" s="1388"/>
      <c r="Q1067" s="1354"/>
      <c r="R1067" s="1354"/>
      <c r="S1067" s="1354"/>
      <c r="T1067" s="1354"/>
      <c r="U1067" s="1354"/>
      <c r="V1067" s="1354"/>
      <c r="W1067" s="1354"/>
      <c r="X1067" s="1353">
        <f t="shared" si="1511"/>
        <v>43101</v>
      </c>
      <c r="Y1067" s="1353">
        <f t="shared" si="1511"/>
        <v>43466</v>
      </c>
      <c r="Z1067" s="1355"/>
      <c r="AA1067" s="1355" t="s">
        <v>4685</v>
      </c>
      <c r="AB1067" s="1356"/>
      <c r="AC1067" s="1356"/>
      <c r="AD1067" s="1422">
        <f>AH1067</f>
        <v>0</v>
      </c>
      <c r="AE1067" s="1422">
        <f t="shared" si="1493"/>
        <v>0</v>
      </c>
      <c r="AF1067" s="1423" t="str">
        <f t="shared" si="1494"/>
        <v/>
      </c>
      <c r="AG1067" s="1358">
        <f t="shared" si="1514"/>
        <v>0</v>
      </c>
      <c r="AH1067" s="1426">
        <v>0</v>
      </c>
      <c r="AI1067" s="1359">
        <v>0.15</v>
      </c>
      <c r="AJ1067" s="1360">
        <f t="shared" si="1512"/>
        <v>0</v>
      </c>
      <c r="AK1067" s="1361">
        <f t="shared" si="1513"/>
        <v>0</v>
      </c>
      <c r="AL1067" s="1384">
        <v>0</v>
      </c>
      <c r="AM1067" s="1363">
        <f t="shared" si="1500"/>
        <v>0</v>
      </c>
      <c r="AN1067" s="1364">
        <v>0.1</v>
      </c>
      <c r="AO1067" s="1365">
        <f t="shared" si="1501"/>
        <v>0</v>
      </c>
      <c r="AP1067" s="1366">
        <v>0</v>
      </c>
      <c r="AQ1067" s="1367">
        <f t="shared" si="1502"/>
        <v>0</v>
      </c>
      <c r="AR1067" s="1368">
        <v>0</v>
      </c>
      <c r="AS1067" s="1369">
        <f t="shared" si="1503"/>
        <v>0</v>
      </c>
      <c r="AT1067" s="1370">
        <v>0</v>
      </c>
      <c r="AU1067" s="1371">
        <f t="shared" si="1504"/>
        <v>0</v>
      </c>
      <c r="AV1067" s="1359">
        <f t="shared" si="1505"/>
        <v>4.9999999999999989E-2</v>
      </c>
      <c r="AW1067" s="1372">
        <f t="shared" si="1506"/>
        <v>0</v>
      </c>
      <c r="AX1067" s="1373">
        <f t="shared" si="1507"/>
        <v>4.9999999999999989E-2</v>
      </c>
      <c r="AY1067" s="1374">
        <f t="shared" si="1508"/>
        <v>0</v>
      </c>
      <c r="AZ1067" s="1375">
        <f t="shared" si="1509"/>
        <v>4.9999999999999989E-2</v>
      </c>
      <c r="BA1067" s="1376">
        <f t="shared" si="1510"/>
        <v>0</v>
      </c>
      <c r="BB1067" s="1377"/>
      <c r="BC1067" s="1836"/>
      <c r="BD1067" s="1836"/>
      <c r="BE1067" s="1839"/>
      <c r="BF1067" s="1826"/>
      <c r="BG1067" s="1842"/>
    </row>
    <row r="1068" spans="1:59" s="1378" customFormat="1" ht="38.25">
      <c r="A1068" s="1347" t="str">
        <f t="shared" si="1495"/>
        <v>ABC</v>
      </c>
      <c r="B1068" s="1348" t="str">
        <f t="shared" si="1492"/>
        <v>ABD</v>
      </c>
      <c r="C1068" s="1348">
        <f t="shared" si="1496"/>
        <v>0</v>
      </c>
      <c r="D1068" s="1349">
        <f t="shared" si="1497"/>
        <v>43101</v>
      </c>
      <c r="E1068" s="1349"/>
      <c r="F1068" s="1347" t="s">
        <v>113</v>
      </c>
      <c r="G1068" s="1347" t="s">
        <v>85</v>
      </c>
      <c r="H1068" s="1347" t="s">
        <v>85</v>
      </c>
      <c r="I1068" s="1347" t="s">
        <v>113</v>
      </c>
      <c r="J1068" s="1349" t="s">
        <v>4690</v>
      </c>
      <c r="K1068" s="1349"/>
      <c r="L1068" s="1518" t="s">
        <v>4682</v>
      </c>
      <c r="M1068" s="1518" t="s">
        <v>4691</v>
      </c>
      <c r="N1068" s="1451" t="s">
        <v>94</v>
      </c>
      <c r="O1068" s="1388" t="s">
        <v>4692</v>
      </c>
      <c r="P1068" s="1388"/>
      <c r="Q1068" s="1354"/>
      <c r="R1068" s="1354"/>
      <c r="S1068" s="1354"/>
      <c r="T1068" s="1354"/>
      <c r="U1068" s="1354"/>
      <c r="V1068" s="1354"/>
      <c r="W1068" s="1354"/>
      <c r="X1068" s="1353">
        <f t="shared" si="1511"/>
        <v>43101</v>
      </c>
      <c r="Y1068" s="1353">
        <f t="shared" si="1511"/>
        <v>43466</v>
      </c>
      <c r="Z1068" s="1355"/>
      <c r="AA1068" s="1355" t="s">
        <v>4685</v>
      </c>
      <c r="AB1068" s="1356"/>
      <c r="AC1068" s="1356"/>
      <c r="AD1068" s="1422">
        <v>0</v>
      </c>
      <c r="AE1068" s="1422">
        <f t="shared" si="1493"/>
        <v>0</v>
      </c>
      <c r="AF1068" s="1423" t="str">
        <f t="shared" si="1494"/>
        <v/>
      </c>
      <c r="AG1068" s="1358">
        <v>0</v>
      </c>
      <c r="AH1068" s="1426">
        <f t="shared" ref="AH1068:AH1070" si="1515">AG1068*12</f>
        <v>0</v>
      </c>
      <c r="AI1068" s="1359">
        <v>0.15</v>
      </c>
      <c r="AJ1068" s="1360">
        <f t="shared" si="1512"/>
        <v>0</v>
      </c>
      <c r="AK1068" s="1361">
        <f t="shared" si="1513"/>
        <v>0</v>
      </c>
      <c r="AL1068" s="1384">
        <v>0</v>
      </c>
      <c r="AM1068" s="1363">
        <f t="shared" si="1500"/>
        <v>0</v>
      </c>
      <c r="AN1068" s="1364">
        <v>0.1</v>
      </c>
      <c r="AO1068" s="1365">
        <f t="shared" si="1501"/>
        <v>0</v>
      </c>
      <c r="AP1068" s="1366">
        <v>0</v>
      </c>
      <c r="AQ1068" s="1367">
        <f t="shared" si="1502"/>
        <v>0</v>
      </c>
      <c r="AR1068" s="1368">
        <v>0</v>
      </c>
      <c r="AS1068" s="1369">
        <f t="shared" si="1503"/>
        <v>0</v>
      </c>
      <c r="AT1068" s="1370">
        <v>0</v>
      </c>
      <c r="AU1068" s="1371">
        <f t="shared" si="1504"/>
        <v>0</v>
      </c>
      <c r="AV1068" s="1359">
        <f t="shared" si="1505"/>
        <v>4.9999999999999989E-2</v>
      </c>
      <c r="AW1068" s="1372">
        <f t="shared" si="1506"/>
        <v>0</v>
      </c>
      <c r="AX1068" s="1373">
        <f t="shared" si="1507"/>
        <v>4.9999999999999989E-2</v>
      </c>
      <c r="AY1068" s="1374">
        <f t="shared" si="1508"/>
        <v>0</v>
      </c>
      <c r="AZ1068" s="1375">
        <f t="shared" si="1509"/>
        <v>4.9999999999999989E-2</v>
      </c>
      <c r="BA1068" s="1376">
        <f t="shared" si="1510"/>
        <v>0</v>
      </c>
      <c r="BB1068" s="1377"/>
      <c r="BC1068" s="1836"/>
      <c r="BD1068" s="1836"/>
      <c r="BE1068" s="1839"/>
      <c r="BF1068" s="1826"/>
      <c r="BG1068" s="1842"/>
    </row>
    <row r="1069" spans="1:59" s="1378" customFormat="1" ht="38.25">
      <c r="A1069" s="1347" t="str">
        <f t="shared" si="1495"/>
        <v>ABC</v>
      </c>
      <c r="B1069" s="1348" t="str">
        <f t="shared" si="1492"/>
        <v>ABD</v>
      </c>
      <c r="C1069" s="1348">
        <f t="shared" si="1496"/>
        <v>0</v>
      </c>
      <c r="D1069" s="1349">
        <f t="shared" si="1497"/>
        <v>43101</v>
      </c>
      <c r="E1069" s="1349"/>
      <c r="F1069" s="1347" t="s">
        <v>113</v>
      </c>
      <c r="G1069" s="1347" t="s">
        <v>85</v>
      </c>
      <c r="H1069" s="1347" t="s">
        <v>85</v>
      </c>
      <c r="I1069" s="1347" t="s">
        <v>113</v>
      </c>
      <c r="J1069" s="1349" t="s">
        <v>4690</v>
      </c>
      <c r="K1069" s="1349"/>
      <c r="L1069" s="1518" t="s">
        <v>4682</v>
      </c>
      <c r="M1069" s="1518" t="s">
        <v>4691</v>
      </c>
      <c r="N1069" s="1451" t="s">
        <v>98</v>
      </c>
      <c r="O1069" s="1388" t="s">
        <v>4693</v>
      </c>
      <c r="P1069" s="1388"/>
      <c r="Q1069" s="1354"/>
      <c r="R1069" s="1354"/>
      <c r="S1069" s="1354"/>
      <c r="T1069" s="1354"/>
      <c r="U1069" s="1354"/>
      <c r="V1069" s="1354"/>
      <c r="W1069" s="1354"/>
      <c r="X1069" s="1353">
        <f t="shared" si="1511"/>
        <v>43101</v>
      </c>
      <c r="Y1069" s="1353">
        <f t="shared" si="1511"/>
        <v>43466</v>
      </c>
      <c r="Z1069" s="1355"/>
      <c r="AA1069" s="1355" t="s">
        <v>4685</v>
      </c>
      <c r="AB1069" s="1356"/>
      <c r="AC1069" s="1356"/>
      <c r="AD1069" s="1422">
        <v>0</v>
      </c>
      <c r="AE1069" s="1422">
        <f t="shared" si="1493"/>
        <v>0</v>
      </c>
      <c r="AF1069" s="1423" t="str">
        <f t="shared" si="1494"/>
        <v/>
      </c>
      <c r="AG1069" s="1358">
        <v>0</v>
      </c>
      <c r="AH1069" s="1426">
        <f t="shared" si="1515"/>
        <v>0</v>
      </c>
      <c r="AI1069" s="1359">
        <v>0.15</v>
      </c>
      <c r="AJ1069" s="1360">
        <f t="shared" si="1512"/>
        <v>0</v>
      </c>
      <c r="AK1069" s="1361">
        <f t="shared" si="1513"/>
        <v>0</v>
      </c>
      <c r="AL1069" s="1384">
        <v>0</v>
      </c>
      <c r="AM1069" s="1363">
        <f t="shared" si="1500"/>
        <v>0</v>
      </c>
      <c r="AN1069" s="1364">
        <v>0.1</v>
      </c>
      <c r="AO1069" s="1365">
        <f t="shared" si="1501"/>
        <v>0</v>
      </c>
      <c r="AP1069" s="1366">
        <v>0</v>
      </c>
      <c r="AQ1069" s="1367">
        <f t="shared" si="1502"/>
        <v>0</v>
      </c>
      <c r="AR1069" s="1368">
        <v>0</v>
      </c>
      <c r="AS1069" s="1369">
        <f t="shared" si="1503"/>
        <v>0</v>
      </c>
      <c r="AT1069" s="1370">
        <v>0</v>
      </c>
      <c r="AU1069" s="1371">
        <f t="shared" si="1504"/>
        <v>0</v>
      </c>
      <c r="AV1069" s="1359">
        <f t="shared" si="1505"/>
        <v>4.9999999999999989E-2</v>
      </c>
      <c r="AW1069" s="1372">
        <f t="shared" si="1506"/>
        <v>0</v>
      </c>
      <c r="AX1069" s="1373">
        <f t="shared" si="1507"/>
        <v>4.9999999999999989E-2</v>
      </c>
      <c r="AY1069" s="1374">
        <f t="shared" si="1508"/>
        <v>0</v>
      </c>
      <c r="AZ1069" s="1375">
        <f t="shared" si="1509"/>
        <v>4.9999999999999989E-2</v>
      </c>
      <c r="BA1069" s="1376">
        <f t="shared" si="1510"/>
        <v>0</v>
      </c>
      <c r="BB1069" s="1377"/>
      <c r="BC1069" s="1836"/>
      <c r="BD1069" s="1836"/>
      <c r="BE1069" s="1839"/>
      <c r="BF1069" s="1826"/>
      <c r="BG1069" s="1842"/>
    </row>
    <row r="1070" spans="1:59" s="1378" customFormat="1" ht="38.25">
      <c r="A1070" s="1347" t="str">
        <f t="shared" si="1495"/>
        <v>ABC</v>
      </c>
      <c r="B1070" s="1348" t="str">
        <f t="shared" si="1492"/>
        <v>ABD</v>
      </c>
      <c r="C1070" s="1348">
        <f t="shared" si="1496"/>
        <v>0</v>
      </c>
      <c r="D1070" s="1349">
        <f t="shared" si="1497"/>
        <v>43101</v>
      </c>
      <c r="E1070" s="1349"/>
      <c r="F1070" s="1347" t="s">
        <v>113</v>
      </c>
      <c r="G1070" s="1347" t="s">
        <v>85</v>
      </c>
      <c r="H1070" s="1347" t="s">
        <v>85</v>
      </c>
      <c r="I1070" s="1347" t="s">
        <v>113</v>
      </c>
      <c r="J1070" s="1349" t="s">
        <v>4690</v>
      </c>
      <c r="K1070" s="1349"/>
      <c r="L1070" s="1518" t="s">
        <v>4682</v>
      </c>
      <c r="M1070" s="1518" t="s">
        <v>4691</v>
      </c>
      <c r="N1070" s="1451" t="s">
        <v>4694</v>
      </c>
      <c r="O1070" s="1388" t="s">
        <v>4695</v>
      </c>
      <c r="P1070" s="1388"/>
      <c r="Q1070" s="1354"/>
      <c r="R1070" s="1354"/>
      <c r="S1070" s="1354"/>
      <c r="T1070" s="1354"/>
      <c r="U1070" s="1354"/>
      <c r="V1070" s="1354"/>
      <c r="W1070" s="1354"/>
      <c r="X1070" s="1353">
        <f t="shared" si="1511"/>
        <v>43101</v>
      </c>
      <c r="Y1070" s="1353">
        <f t="shared" si="1511"/>
        <v>43466</v>
      </c>
      <c r="Z1070" s="1355"/>
      <c r="AA1070" s="1355" t="s">
        <v>4685</v>
      </c>
      <c r="AB1070" s="1356"/>
      <c r="AC1070" s="1356"/>
      <c r="AD1070" s="1422">
        <v>0</v>
      </c>
      <c r="AE1070" s="1422">
        <f t="shared" si="1493"/>
        <v>0</v>
      </c>
      <c r="AF1070" s="1423" t="str">
        <f t="shared" si="1494"/>
        <v/>
      </c>
      <c r="AG1070" s="1358">
        <v>0</v>
      </c>
      <c r="AH1070" s="1426">
        <f t="shared" si="1515"/>
        <v>0</v>
      </c>
      <c r="AI1070" s="1359">
        <v>0.15</v>
      </c>
      <c r="AJ1070" s="1360">
        <f t="shared" si="1512"/>
        <v>0</v>
      </c>
      <c r="AK1070" s="1361">
        <f t="shared" si="1513"/>
        <v>0</v>
      </c>
      <c r="AL1070" s="1384">
        <v>0</v>
      </c>
      <c r="AM1070" s="1363">
        <f t="shared" si="1500"/>
        <v>0</v>
      </c>
      <c r="AN1070" s="1364">
        <v>0.1</v>
      </c>
      <c r="AO1070" s="1365">
        <f t="shared" si="1501"/>
        <v>0</v>
      </c>
      <c r="AP1070" s="1366">
        <v>0</v>
      </c>
      <c r="AQ1070" s="1367">
        <f t="shared" si="1502"/>
        <v>0</v>
      </c>
      <c r="AR1070" s="1368">
        <v>0</v>
      </c>
      <c r="AS1070" s="1369">
        <f t="shared" si="1503"/>
        <v>0</v>
      </c>
      <c r="AT1070" s="1370">
        <v>0</v>
      </c>
      <c r="AU1070" s="1371">
        <f t="shared" si="1504"/>
        <v>0</v>
      </c>
      <c r="AV1070" s="1359">
        <f t="shared" si="1505"/>
        <v>4.9999999999999989E-2</v>
      </c>
      <c r="AW1070" s="1372">
        <f t="shared" si="1506"/>
        <v>0</v>
      </c>
      <c r="AX1070" s="1373">
        <f t="shared" si="1507"/>
        <v>4.9999999999999989E-2</v>
      </c>
      <c r="AY1070" s="1374">
        <f t="shared" si="1508"/>
        <v>0</v>
      </c>
      <c r="AZ1070" s="1375">
        <f t="shared" si="1509"/>
        <v>4.9999999999999989E-2</v>
      </c>
      <c r="BA1070" s="1376">
        <f t="shared" si="1510"/>
        <v>0</v>
      </c>
      <c r="BB1070" s="1377"/>
      <c r="BC1070" s="1836"/>
      <c r="BD1070" s="1836"/>
      <c r="BE1070" s="1839"/>
      <c r="BF1070" s="1826"/>
      <c r="BG1070" s="1842"/>
    </row>
    <row r="1071" spans="1:59" s="1378" customFormat="1" ht="27.75" customHeight="1">
      <c r="A1071" s="1347" t="str">
        <f t="shared" si="1495"/>
        <v>ABC</v>
      </c>
      <c r="B1071" s="1348" t="str">
        <f t="shared" si="1492"/>
        <v>ABD</v>
      </c>
      <c r="C1071" s="1348">
        <f t="shared" si="1496"/>
        <v>0</v>
      </c>
      <c r="D1071" s="1349">
        <f t="shared" si="1497"/>
        <v>43101</v>
      </c>
      <c r="E1071" s="1349"/>
      <c r="F1071" s="1347" t="s">
        <v>72</v>
      </c>
      <c r="G1071" s="1347" t="s">
        <v>85</v>
      </c>
      <c r="H1071" s="1347" t="s">
        <v>72</v>
      </c>
      <c r="I1071" s="1347" t="s">
        <v>72</v>
      </c>
      <c r="J1071" s="1349" t="s">
        <v>4670</v>
      </c>
      <c r="K1071" s="1349"/>
      <c r="L1071" s="1518" t="s">
        <v>4696</v>
      </c>
      <c r="M1071" s="1518" t="s">
        <v>4697</v>
      </c>
      <c r="N1071" s="1522" t="s">
        <v>5405</v>
      </c>
      <c r="O1071" s="1388" t="s">
        <v>4699</v>
      </c>
      <c r="P1071" s="1388"/>
      <c r="Q1071" s="1354"/>
      <c r="R1071" s="1354"/>
      <c r="S1071" s="1354"/>
      <c r="T1071" s="1354"/>
      <c r="U1071" s="1354"/>
      <c r="V1071" s="1354"/>
      <c r="W1071" s="1354"/>
      <c r="X1071" s="1353">
        <f t="shared" si="1511"/>
        <v>43101</v>
      </c>
      <c r="Y1071" s="1353">
        <f t="shared" si="1511"/>
        <v>43466</v>
      </c>
      <c r="Z1071" s="1355"/>
      <c r="AA1071" s="1355" t="s">
        <v>4674</v>
      </c>
      <c r="AB1071" s="1356"/>
      <c r="AC1071" s="1356"/>
      <c r="AD1071" s="1422">
        <v>0</v>
      </c>
      <c r="AE1071" s="1422">
        <f t="shared" si="1493"/>
        <v>0</v>
      </c>
      <c r="AF1071" s="1423" t="str">
        <f t="shared" si="1494"/>
        <v/>
      </c>
      <c r="AG1071" s="1380"/>
      <c r="AH1071" s="1380"/>
      <c r="AI1071" s="1381">
        <v>0</v>
      </c>
      <c r="AJ1071" s="1382"/>
      <c r="AK1071" s="1383">
        <f t="shared" si="1513"/>
        <v>0</v>
      </c>
      <c r="AL1071" s="1384">
        <v>0</v>
      </c>
      <c r="AM1071" s="1363">
        <f t="shared" si="1500"/>
        <v>0</v>
      </c>
      <c r="AN1071" s="1364">
        <v>0</v>
      </c>
      <c r="AO1071" s="1365">
        <f t="shared" si="1501"/>
        <v>0</v>
      </c>
      <c r="AP1071" s="1366">
        <v>0</v>
      </c>
      <c r="AQ1071" s="1367">
        <f t="shared" si="1502"/>
        <v>0</v>
      </c>
      <c r="AR1071" s="1368">
        <v>0</v>
      </c>
      <c r="AS1071" s="1369">
        <f t="shared" si="1503"/>
        <v>0</v>
      </c>
      <c r="AT1071" s="1370">
        <v>0</v>
      </c>
      <c r="AU1071" s="1371">
        <f t="shared" si="1504"/>
        <v>0</v>
      </c>
      <c r="AV1071" s="1359">
        <f t="shared" si="1505"/>
        <v>0</v>
      </c>
      <c r="AW1071" s="1372">
        <f t="shared" si="1506"/>
        <v>0</v>
      </c>
      <c r="AX1071" s="1373">
        <f t="shared" si="1507"/>
        <v>0</v>
      </c>
      <c r="AY1071" s="1374">
        <f t="shared" si="1508"/>
        <v>0</v>
      </c>
      <c r="AZ1071" s="1375">
        <f t="shared" si="1509"/>
        <v>0</v>
      </c>
      <c r="BA1071" s="1376">
        <f t="shared" si="1510"/>
        <v>0</v>
      </c>
      <c r="BB1071" s="1377"/>
      <c r="BC1071" s="1836"/>
      <c r="BD1071" s="1836"/>
      <c r="BE1071" s="1839"/>
      <c r="BF1071" s="1826"/>
      <c r="BG1071" s="1842"/>
    </row>
    <row r="1072" spans="1:59" s="1378" customFormat="1" ht="25.5">
      <c r="A1072" s="1347" t="str">
        <f t="shared" si="1495"/>
        <v>ABC</v>
      </c>
      <c r="B1072" s="1348" t="str">
        <f t="shared" si="1492"/>
        <v>ABD</v>
      </c>
      <c r="C1072" s="1348">
        <f t="shared" si="1496"/>
        <v>0</v>
      </c>
      <c r="D1072" s="1349">
        <f t="shared" si="1497"/>
        <v>43101</v>
      </c>
      <c r="E1072" s="1349"/>
      <c r="F1072" s="1347" t="s">
        <v>72</v>
      </c>
      <c r="G1072" s="1347" t="s">
        <v>85</v>
      </c>
      <c r="H1072" s="1347" t="s">
        <v>72</v>
      </c>
      <c r="I1072" s="1347" t="s">
        <v>72</v>
      </c>
      <c r="J1072" s="1349" t="s">
        <v>4670</v>
      </c>
      <c r="K1072" s="1349"/>
      <c r="L1072" s="1518" t="s">
        <v>48</v>
      </c>
      <c r="M1072" s="1518" t="s">
        <v>3652</v>
      </c>
      <c r="N1072" s="1523" t="s">
        <v>5406</v>
      </c>
      <c r="O1072" s="1388" t="s">
        <v>4702</v>
      </c>
      <c r="P1072" s="1388"/>
      <c r="Q1072" s="1354"/>
      <c r="R1072" s="1354"/>
      <c r="S1072" s="1354"/>
      <c r="T1072" s="1354"/>
      <c r="U1072" s="1354"/>
      <c r="V1072" s="1354"/>
      <c r="W1072" s="1354"/>
      <c r="X1072" s="1353">
        <f t="shared" si="1511"/>
        <v>43101</v>
      </c>
      <c r="Y1072" s="1353">
        <f t="shared" si="1511"/>
        <v>43466</v>
      </c>
      <c r="Z1072" s="1355"/>
      <c r="AA1072" s="1355" t="s">
        <v>4674</v>
      </c>
      <c r="AB1072" s="1356"/>
      <c r="AC1072" s="1356"/>
      <c r="AD1072" s="1422">
        <v>0</v>
      </c>
      <c r="AE1072" s="1422">
        <f t="shared" si="1493"/>
        <v>0</v>
      </c>
      <c r="AF1072" s="1423" t="str">
        <f t="shared" si="1494"/>
        <v/>
      </c>
      <c r="AG1072" s="1380"/>
      <c r="AH1072" s="1380"/>
      <c r="AI1072" s="1381">
        <v>0</v>
      </c>
      <c r="AJ1072" s="1382"/>
      <c r="AK1072" s="1383">
        <f t="shared" si="1513"/>
        <v>0</v>
      </c>
      <c r="AL1072" s="1384">
        <v>0</v>
      </c>
      <c r="AM1072" s="1363">
        <f t="shared" si="1500"/>
        <v>0</v>
      </c>
      <c r="AN1072" s="1364">
        <v>0</v>
      </c>
      <c r="AO1072" s="1365">
        <f t="shared" si="1501"/>
        <v>0</v>
      </c>
      <c r="AP1072" s="1366">
        <v>0</v>
      </c>
      <c r="AQ1072" s="1367">
        <f t="shared" si="1502"/>
        <v>0</v>
      </c>
      <c r="AR1072" s="1368">
        <v>0</v>
      </c>
      <c r="AS1072" s="1369">
        <f t="shared" si="1503"/>
        <v>0</v>
      </c>
      <c r="AT1072" s="1370">
        <v>0</v>
      </c>
      <c r="AU1072" s="1371">
        <f t="shared" si="1504"/>
        <v>0</v>
      </c>
      <c r="AV1072" s="1359">
        <f t="shared" si="1505"/>
        <v>0</v>
      </c>
      <c r="AW1072" s="1372">
        <f t="shared" si="1506"/>
        <v>0</v>
      </c>
      <c r="AX1072" s="1373">
        <f t="shared" si="1507"/>
        <v>0</v>
      </c>
      <c r="AY1072" s="1374">
        <f t="shared" si="1508"/>
        <v>0</v>
      </c>
      <c r="AZ1072" s="1375">
        <f t="shared" si="1509"/>
        <v>0</v>
      </c>
      <c r="BA1072" s="1376">
        <f t="shared" si="1510"/>
        <v>0</v>
      </c>
      <c r="BB1072" s="1377"/>
      <c r="BC1072" s="1836"/>
      <c r="BD1072" s="1836"/>
      <c r="BE1072" s="1839"/>
      <c r="BF1072" s="1826"/>
      <c r="BG1072" s="1842"/>
    </row>
    <row r="1073" spans="1:59" s="1378" customFormat="1" ht="25.5">
      <c r="A1073" s="1347" t="str">
        <f t="shared" si="1495"/>
        <v>ABC</v>
      </c>
      <c r="B1073" s="1348" t="str">
        <f t="shared" si="1492"/>
        <v>ABD</v>
      </c>
      <c r="C1073" s="1348">
        <f t="shared" si="1496"/>
        <v>0</v>
      </c>
      <c r="D1073" s="1349">
        <f t="shared" si="1497"/>
        <v>43101</v>
      </c>
      <c r="E1073" s="1349"/>
      <c r="F1073" s="1347" t="s">
        <v>72</v>
      </c>
      <c r="G1073" s="1347" t="s">
        <v>85</v>
      </c>
      <c r="H1073" s="1347" t="s">
        <v>72</v>
      </c>
      <c r="I1073" s="1347" t="s">
        <v>72</v>
      </c>
      <c r="J1073" s="1349" t="s">
        <v>4670</v>
      </c>
      <c r="K1073" s="1349"/>
      <c r="L1073" s="1518" t="s">
        <v>48</v>
      </c>
      <c r="M1073" s="1518" t="s">
        <v>5033</v>
      </c>
      <c r="N1073" s="1522" t="s">
        <v>5407</v>
      </c>
      <c r="O1073" s="1388" t="s">
        <v>5035</v>
      </c>
      <c r="P1073" s="1388"/>
      <c r="Q1073" s="1354"/>
      <c r="R1073" s="1354"/>
      <c r="S1073" s="1354"/>
      <c r="T1073" s="1354"/>
      <c r="U1073" s="1354"/>
      <c r="V1073" s="1354"/>
      <c r="W1073" s="1354"/>
      <c r="X1073" s="1353">
        <f t="shared" si="1511"/>
        <v>43101</v>
      </c>
      <c r="Y1073" s="1353">
        <f t="shared" si="1511"/>
        <v>43466</v>
      </c>
      <c r="Z1073" s="1355"/>
      <c r="AA1073" s="1355" t="s">
        <v>4674</v>
      </c>
      <c r="AB1073" s="1356"/>
      <c r="AC1073" s="1356"/>
      <c r="AD1073" s="1422">
        <v>0</v>
      </c>
      <c r="AE1073" s="1422">
        <f t="shared" si="1493"/>
        <v>0</v>
      </c>
      <c r="AF1073" s="1423" t="str">
        <f t="shared" si="1494"/>
        <v/>
      </c>
      <c r="AG1073" s="1380"/>
      <c r="AH1073" s="1380"/>
      <c r="AI1073" s="1381">
        <v>0</v>
      </c>
      <c r="AJ1073" s="1382"/>
      <c r="AK1073" s="1383">
        <f t="shared" si="1513"/>
        <v>0</v>
      </c>
      <c r="AL1073" s="1384">
        <v>0</v>
      </c>
      <c r="AM1073" s="1363">
        <f t="shared" si="1500"/>
        <v>0</v>
      </c>
      <c r="AN1073" s="1364">
        <v>0</v>
      </c>
      <c r="AO1073" s="1365">
        <f t="shared" si="1501"/>
        <v>0</v>
      </c>
      <c r="AP1073" s="1366">
        <v>0</v>
      </c>
      <c r="AQ1073" s="1367">
        <f t="shared" si="1502"/>
        <v>0</v>
      </c>
      <c r="AR1073" s="1368">
        <v>0</v>
      </c>
      <c r="AS1073" s="1369">
        <f t="shared" si="1503"/>
        <v>0</v>
      </c>
      <c r="AT1073" s="1370">
        <v>0</v>
      </c>
      <c r="AU1073" s="1371">
        <f t="shared" si="1504"/>
        <v>0</v>
      </c>
      <c r="AV1073" s="1359">
        <f t="shared" si="1505"/>
        <v>0</v>
      </c>
      <c r="AW1073" s="1372">
        <f t="shared" si="1506"/>
        <v>0</v>
      </c>
      <c r="AX1073" s="1373">
        <f t="shared" si="1507"/>
        <v>0</v>
      </c>
      <c r="AY1073" s="1374">
        <f t="shared" si="1508"/>
        <v>0</v>
      </c>
      <c r="AZ1073" s="1375">
        <f t="shared" si="1509"/>
        <v>0</v>
      </c>
      <c r="BA1073" s="1376">
        <f t="shared" si="1510"/>
        <v>0</v>
      </c>
      <c r="BB1073" s="1377"/>
      <c r="BC1073" s="1836"/>
      <c r="BD1073" s="1836"/>
      <c r="BE1073" s="1839"/>
      <c r="BF1073" s="1826"/>
      <c r="BG1073" s="1842"/>
    </row>
    <row r="1074" spans="1:59" s="1378" customFormat="1" ht="25.5">
      <c r="A1074" s="1347" t="str">
        <f t="shared" si="1495"/>
        <v>ABC</v>
      </c>
      <c r="B1074" s="1348" t="str">
        <f t="shared" si="1492"/>
        <v>ABD</v>
      </c>
      <c r="C1074" s="1348">
        <f t="shared" si="1496"/>
        <v>0</v>
      </c>
      <c r="D1074" s="1349">
        <f t="shared" si="1497"/>
        <v>43101</v>
      </c>
      <c r="E1074" s="1349"/>
      <c r="F1074" s="1347" t="s">
        <v>72</v>
      </c>
      <c r="G1074" s="1347" t="s">
        <v>85</v>
      </c>
      <c r="H1074" s="1347" t="s">
        <v>72</v>
      </c>
      <c r="I1074" s="1347" t="s">
        <v>72</v>
      </c>
      <c r="J1074" s="1349" t="s">
        <v>4670</v>
      </c>
      <c r="K1074" s="1349"/>
      <c r="L1074" s="1518" t="s">
        <v>48</v>
      </c>
      <c r="M1074" s="1518" t="s">
        <v>253</v>
      </c>
      <c r="N1074" s="1523" t="s">
        <v>5408</v>
      </c>
      <c r="O1074" s="1388" t="s">
        <v>4704</v>
      </c>
      <c r="P1074" s="1388"/>
      <c r="Q1074" s="1354"/>
      <c r="R1074" s="1354"/>
      <c r="S1074" s="1354"/>
      <c r="T1074" s="1354"/>
      <c r="U1074" s="1354"/>
      <c r="V1074" s="1354"/>
      <c r="W1074" s="1354"/>
      <c r="X1074" s="1353">
        <f t="shared" si="1511"/>
        <v>43101</v>
      </c>
      <c r="Y1074" s="1353">
        <f t="shared" si="1511"/>
        <v>43466</v>
      </c>
      <c r="Z1074" s="1355"/>
      <c r="AA1074" s="1355" t="s">
        <v>4674</v>
      </c>
      <c r="AB1074" s="1356"/>
      <c r="AC1074" s="1356"/>
      <c r="AD1074" s="1422">
        <v>0</v>
      </c>
      <c r="AE1074" s="1422">
        <f t="shared" si="1493"/>
        <v>0</v>
      </c>
      <c r="AF1074" s="1423" t="str">
        <f t="shared" si="1494"/>
        <v/>
      </c>
      <c r="AG1074" s="1380"/>
      <c r="AH1074" s="1380"/>
      <c r="AI1074" s="1381">
        <v>0</v>
      </c>
      <c r="AJ1074" s="1382"/>
      <c r="AK1074" s="1383">
        <f t="shared" si="1513"/>
        <v>0</v>
      </c>
      <c r="AL1074" s="1384">
        <v>0</v>
      </c>
      <c r="AM1074" s="1363">
        <f t="shared" si="1500"/>
        <v>0</v>
      </c>
      <c r="AN1074" s="1364">
        <v>0</v>
      </c>
      <c r="AO1074" s="1365">
        <f t="shared" si="1501"/>
        <v>0</v>
      </c>
      <c r="AP1074" s="1366">
        <v>0</v>
      </c>
      <c r="AQ1074" s="1367">
        <f t="shared" si="1502"/>
        <v>0</v>
      </c>
      <c r="AR1074" s="1368">
        <v>0</v>
      </c>
      <c r="AS1074" s="1369">
        <f t="shared" si="1503"/>
        <v>0</v>
      </c>
      <c r="AT1074" s="1370">
        <v>0</v>
      </c>
      <c r="AU1074" s="1371">
        <f t="shared" si="1504"/>
        <v>0</v>
      </c>
      <c r="AV1074" s="1359">
        <f t="shared" si="1505"/>
        <v>0</v>
      </c>
      <c r="AW1074" s="1372">
        <f t="shared" si="1506"/>
        <v>0</v>
      </c>
      <c r="AX1074" s="1373">
        <f t="shared" si="1507"/>
        <v>0</v>
      </c>
      <c r="AY1074" s="1374">
        <f t="shared" si="1508"/>
        <v>0</v>
      </c>
      <c r="AZ1074" s="1375">
        <f t="shared" si="1509"/>
        <v>0</v>
      </c>
      <c r="BA1074" s="1376">
        <f t="shared" si="1510"/>
        <v>0</v>
      </c>
      <c r="BB1074" s="1377"/>
      <c r="BC1074" s="1836"/>
      <c r="BD1074" s="1836"/>
      <c r="BE1074" s="1839"/>
      <c r="BF1074" s="1826"/>
      <c r="BG1074" s="1842"/>
    </row>
    <row r="1075" spans="1:59" s="1378" customFormat="1" ht="25.5">
      <c r="A1075" s="1347" t="str">
        <f t="shared" si="1495"/>
        <v>ABC</v>
      </c>
      <c r="B1075" s="1348" t="str">
        <f t="shared" si="1492"/>
        <v>ABD</v>
      </c>
      <c r="C1075" s="1348">
        <f t="shared" si="1496"/>
        <v>0</v>
      </c>
      <c r="D1075" s="1349">
        <f t="shared" si="1497"/>
        <v>43101</v>
      </c>
      <c r="E1075" s="1349"/>
      <c r="F1075" s="1347" t="s">
        <v>72</v>
      </c>
      <c r="G1075" s="1347" t="s">
        <v>85</v>
      </c>
      <c r="H1075" s="1347" t="s">
        <v>72</v>
      </c>
      <c r="I1075" s="1347" t="s">
        <v>72</v>
      </c>
      <c r="J1075" s="1349" t="s">
        <v>4670</v>
      </c>
      <c r="K1075" s="1349"/>
      <c r="L1075" s="1518" t="s">
        <v>49</v>
      </c>
      <c r="M1075" s="1518" t="s">
        <v>4705</v>
      </c>
      <c r="N1075" s="1523" t="s">
        <v>5409</v>
      </c>
      <c r="O1075" s="1388" t="s">
        <v>4707</v>
      </c>
      <c r="P1075" s="1388"/>
      <c r="Q1075" s="1354"/>
      <c r="R1075" s="1354"/>
      <c r="S1075" s="1354"/>
      <c r="T1075" s="1354"/>
      <c r="U1075" s="1354"/>
      <c r="V1075" s="1354"/>
      <c r="W1075" s="1354"/>
      <c r="X1075" s="1353">
        <f t="shared" si="1511"/>
        <v>43101</v>
      </c>
      <c r="Y1075" s="1353">
        <f t="shared" si="1511"/>
        <v>43466</v>
      </c>
      <c r="Z1075" s="1355"/>
      <c r="AA1075" s="1355" t="s">
        <v>4674</v>
      </c>
      <c r="AB1075" s="1356"/>
      <c r="AC1075" s="1356"/>
      <c r="AD1075" s="1422">
        <v>0</v>
      </c>
      <c r="AE1075" s="1422">
        <f t="shared" si="1493"/>
        <v>0</v>
      </c>
      <c r="AF1075" s="1423" t="str">
        <f t="shared" si="1494"/>
        <v/>
      </c>
      <c r="AG1075" s="1380"/>
      <c r="AH1075" s="1380"/>
      <c r="AI1075" s="1381">
        <v>0</v>
      </c>
      <c r="AJ1075" s="1382"/>
      <c r="AK1075" s="1383">
        <f t="shared" si="1513"/>
        <v>0</v>
      </c>
      <c r="AL1075" s="1384">
        <v>0</v>
      </c>
      <c r="AM1075" s="1363">
        <f t="shared" si="1500"/>
        <v>0</v>
      </c>
      <c r="AN1075" s="1364">
        <v>0</v>
      </c>
      <c r="AO1075" s="1365">
        <f t="shared" si="1501"/>
        <v>0</v>
      </c>
      <c r="AP1075" s="1366">
        <v>0</v>
      </c>
      <c r="AQ1075" s="1367">
        <f t="shared" si="1502"/>
        <v>0</v>
      </c>
      <c r="AR1075" s="1368">
        <v>0</v>
      </c>
      <c r="AS1075" s="1369">
        <f t="shared" si="1503"/>
        <v>0</v>
      </c>
      <c r="AT1075" s="1370">
        <v>0</v>
      </c>
      <c r="AU1075" s="1371">
        <f t="shared" si="1504"/>
        <v>0</v>
      </c>
      <c r="AV1075" s="1359">
        <f t="shared" si="1505"/>
        <v>0</v>
      </c>
      <c r="AW1075" s="1372">
        <f t="shared" si="1506"/>
        <v>0</v>
      </c>
      <c r="AX1075" s="1373">
        <f t="shared" si="1507"/>
        <v>0</v>
      </c>
      <c r="AY1075" s="1374">
        <f t="shared" si="1508"/>
        <v>0</v>
      </c>
      <c r="AZ1075" s="1375">
        <f t="shared" si="1509"/>
        <v>0</v>
      </c>
      <c r="BA1075" s="1376">
        <f t="shared" si="1510"/>
        <v>0</v>
      </c>
      <c r="BB1075" s="1391"/>
      <c r="BC1075" s="1836"/>
      <c r="BD1075" s="1836"/>
      <c r="BE1075" s="1839"/>
      <c r="BF1075" s="1826"/>
      <c r="BG1075" s="1842"/>
    </row>
    <row r="1076" spans="1:59" s="1378" customFormat="1" ht="25.5">
      <c r="A1076" s="1347" t="str">
        <f t="shared" si="1495"/>
        <v>ABC</v>
      </c>
      <c r="B1076" s="1348" t="str">
        <f>N$1056</f>
        <v>ABD</v>
      </c>
      <c r="C1076" s="1348">
        <f>Z$1056</f>
        <v>0</v>
      </c>
      <c r="D1076" s="1349">
        <f t="shared" si="1497"/>
        <v>43101</v>
      </c>
      <c r="E1076" s="1349"/>
      <c r="F1076" s="1347" t="s">
        <v>72</v>
      </c>
      <c r="G1076" s="1347" t="s">
        <v>85</v>
      </c>
      <c r="H1076" s="1347" t="s">
        <v>72</v>
      </c>
      <c r="I1076" s="1347" t="s">
        <v>72</v>
      </c>
      <c r="J1076" s="1349" t="s">
        <v>4670</v>
      </c>
      <c r="K1076" s="1349"/>
      <c r="L1076" s="1518" t="s">
        <v>3056</v>
      </c>
      <c r="M1076" s="1518" t="s">
        <v>4708</v>
      </c>
      <c r="N1076" s="1523" t="s">
        <v>5410</v>
      </c>
      <c r="O1076" s="1388" t="s">
        <v>4710</v>
      </c>
      <c r="P1076" s="1388"/>
      <c r="Q1076" s="1354"/>
      <c r="R1076" s="1354"/>
      <c r="S1076" s="1354"/>
      <c r="T1076" s="1354"/>
      <c r="U1076" s="1354"/>
      <c r="V1076" s="1354"/>
      <c r="W1076" s="1354"/>
      <c r="X1076" s="1353">
        <f t="shared" si="1511"/>
        <v>43101</v>
      </c>
      <c r="Y1076" s="1353">
        <f t="shared" si="1511"/>
        <v>43466</v>
      </c>
      <c r="Z1076" s="1355"/>
      <c r="AA1076" s="1355" t="s">
        <v>4674</v>
      </c>
      <c r="AB1076" s="1356"/>
      <c r="AC1076" s="1356"/>
      <c r="AD1076" s="1422">
        <v>0</v>
      </c>
      <c r="AE1076" s="1422">
        <f t="shared" si="1493"/>
        <v>0</v>
      </c>
      <c r="AF1076" s="1423" t="str">
        <f t="shared" si="1494"/>
        <v/>
      </c>
      <c r="AG1076" s="1380"/>
      <c r="AH1076" s="1380"/>
      <c r="AI1076" s="1381">
        <v>0</v>
      </c>
      <c r="AJ1076" s="1382"/>
      <c r="AK1076" s="1383">
        <f t="shared" si="1513"/>
        <v>0</v>
      </c>
      <c r="AL1076" s="1384">
        <v>0</v>
      </c>
      <c r="AM1076" s="1363">
        <f t="shared" si="1500"/>
        <v>0</v>
      </c>
      <c r="AN1076" s="1364">
        <v>0</v>
      </c>
      <c r="AO1076" s="1365">
        <f t="shared" si="1501"/>
        <v>0</v>
      </c>
      <c r="AP1076" s="1366">
        <v>0</v>
      </c>
      <c r="AQ1076" s="1367">
        <f t="shared" si="1502"/>
        <v>0</v>
      </c>
      <c r="AR1076" s="1368">
        <v>0</v>
      </c>
      <c r="AS1076" s="1369">
        <f t="shared" si="1503"/>
        <v>0</v>
      </c>
      <c r="AT1076" s="1370">
        <v>0</v>
      </c>
      <c r="AU1076" s="1371">
        <f t="shared" si="1504"/>
        <v>0</v>
      </c>
      <c r="AV1076" s="1359">
        <f t="shared" si="1505"/>
        <v>0</v>
      </c>
      <c r="AW1076" s="1372">
        <f t="shared" si="1506"/>
        <v>0</v>
      </c>
      <c r="AX1076" s="1373">
        <f t="shared" si="1507"/>
        <v>0</v>
      </c>
      <c r="AY1076" s="1374">
        <f t="shared" si="1508"/>
        <v>0</v>
      </c>
      <c r="AZ1076" s="1375">
        <f t="shared" si="1509"/>
        <v>0</v>
      </c>
      <c r="BA1076" s="1376">
        <f t="shared" si="1510"/>
        <v>0</v>
      </c>
      <c r="BB1076" s="1391"/>
      <c r="BC1076" s="1837"/>
      <c r="BD1076" s="1837"/>
      <c r="BE1076" s="1840"/>
      <c r="BF1076" s="1827"/>
      <c r="BG1076" s="1843"/>
    </row>
    <row r="1077" spans="1:59">
      <c r="C1077" s="1271"/>
      <c r="D1077" s="1270"/>
      <c r="E1077" s="1270"/>
      <c r="J1077" s="1270"/>
      <c r="K1077" s="1270"/>
      <c r="Q1077" s="1270"/>
      <c r="R1077" s="1270"/>
      <c r="S1077" s="1270"/>
      <c r="T1077" s="1270"/>
      <c r="U1077" s="1270"/>
      <c r="V1077" s="1270"/>
      <c r="W1077" s="1270"/>
      <c r="BD1077" s="1530"/>
      <c r="BE1077" s="1530"/>
    </row>
    <row r="1078" spans="1:59" s="1315" customFormat="1" ht="38.25">
      <c r="A1078" s="1277" t="str">
        <f>L1078</f>
        <v>ABC</v>
      </c>
      <c r="B1078" s="1316" t="str">
        <f t="shared" ref="B1078:B1097" si="1516">N$1078</f>
        <v>Woodruff-Sawyer</v>
      </c>
      <c r="C1078" s="1316">
        <f>Z1078</f>
        <v>0</v>
      </c>
      <c r="D1078" s="1317">
        <v>43101</v>
      </c>
      <c r="E1078" s="1317"/>
      <c r="F1078" s="1277" t="s">
        <v>72</v>
      </c>
      <c r="G1078" s="1277" t="s">
        <v>72</v>
      </c>
      <c r="H1078" s="1277" t="s">
        <v>72</v>
      </c>
      <c r="I1078" s="1277" t="s">
        <v>4711</v>
      </c>
      <c r="J1078" s="1317"/>
      <c r="K1078" s="1317"/>
      <c r="L1078" s="1318" t="s">
        <v>5385</v>
      </c>
      <c r="M1078" s="1319"/>
      <c r="N1078" s="1417" t="s">
        <v>3659</v>
      </c>
      <c r="O1078" s="1418" t="s">
        <v>5386</v>
      </c>
      <c r="P1078" s="1419"/>
      <c r="Q1078" s="1322"/>
      <c r="R1078" s="1322"/>
      <c r="S1078" s="1322"/>
      <c r="T1078" s="1322"/>
      <c r="U1078" s="1322"/>
      <c r="V1078" s="1322"/>
      <c r="W1078" s="1322"/>
      <c r="X1078" s="1317">
        <v>43101</v>
      </c>
      <c r="Y1078" s="1317">
        <v>43466</v>
      </c>
      <c r="Z1078" s="1316">
        <v>0</v>
      </c>
      <c r="AA1078" s="1316" t="s">
        <v>5387</v>
      </c>
      <c r="AB1078" s="1323">
        <f>SUM(AB1079:AB1098)</f>
        <v>0</v>
      </c>
      <c r="AC1078" s="1323">
        <f>SUM(AC1079:AC1098)</f>
        <v>0</v>
      </c>
      <c r="AD1078" s="1323">
        <f>SUM(AD1079:AD1098)</f>
        <v>0</v>
      </c>
      <c r="AE1078" s="1324">
        <f t="shared" ref="AE1078:AE1098" si="1517">AD1078-AB1078</f>
        <v>0</v>
      </c>
      <c r="AF1078" s="1325" t="str">
        <f t="shared" ref="AF1078:AF1098" si="1518">IFERROR((AE1078/AB1078),"")</f>
        <v/>
      </c>
      <c r="AG1078" s="1326">
        <f>SUM(AG1079:AG1098)</f>
        <v>0</v>
      </c>
      <c r="AH1078" s="1326">
        <f>SUM(AH1079:AH1098)</f>
        <v>0</v>
      </c>
      <c r="AI1078" s="1339"/>
      <c r="AJ1078" s="1328">
        <f>SUM(AJ1079:AJ1098)</f>
        <v>0</v>
      </c>
      <c r="AK1078" s="1328">
        <f>SUM(AK1079:AK1098)</f>
        <v>0</v>
      </c>
      <c r="AL1078" s="1329"/>
      <c r="AM1078" s="1330">
        <f>SUM(AM1079:AM1098)</f>
        <v>0</v>
      </c>
      <c r="AN1078" s="1331"/>
      <c r="AO1078" s="1332">
        <f>SUM(AO1079:AO1098)</f>
        <v>0</v>
      </c>
      <c r="AP1078" s="1333"/>
      <c r="AQ1078" s="1334">
        <f>SUM(AQ1079:AQ1098)</f>
        <v>0</v>
      </c>
      <c r="AR1078" s="1335"/>
      <c r="AS1078" s="1336">
        <f>SUM(AS1079:AS1098)</f>
        <v>0</v>
      </c>
      <c r="AT1078" s="1337"/>
      <c r="AU1078" s="1338">
        <f>SUM(AU1079:AU1098)</f>
        <v>0</v>
      </c>
      <c r="AV1078" s="1339"/>
      <c r="AW1078" s="1340">
        <f>SUM(AW1079:AW1098)</f>
        <v>0</v>
      </c>
      <c r="AX1078" s="1306"/>
      <c r="AY1078" s="1307">
        <f>SUM(AW1078+AS1078+AU1078)</f>
        <v>0</v>
      </c>
      <c r="AZ1078" s="1341"/>
      <c r="BA1078" s="1309">
        <f>SUM(AY1078+AQ1078)</f>
        <v>0</v>
      </c>
      <c r="BB1078" s="1342" t="e">
        <f>(AW1078+AU1078)/(AK1078-AM1078)</f>
        <v>#DIV/0!</v>
      </c>
      <c r="BC1078" s="1343"/>
      <c r="BD1078" s="1343"/>
      <c r="BE1078" s="1344"/>
      <c r="BF1078" s="1420" t="s">
        <v>5388</v>
      </c>
      <c r="BG1078" s="1346"/>
    </row>
    <row r="1079" spans="1:59" s="1378" customFormat="1" ht="153">
      <c r="A1079" s="1347" t="str">
        <f t="shared" ref="A1079:A1098" si="1519">L$1078</f>
        <v>ABC</v>
      </c>
      <c r="B1079" s="1348" t="str">
        <f t="shared" si="1516"/>
        <v>Woodruff-Sawyer</v>
      </c>
      <c r="C1079" s="1348">
        <f t="shared" ref="C1079:C1097" si="1520">Z$1078</f>
        <v>0</v>
      </c>
      <c r="D1079" s="1349">
        <f t="shared" ref="D1079:D1098" si="1521">D$1078</f>
        <v>43101</v>
      </c>
      <c r="E1079" s="1349"/>
      <c r="F1079" s="1347" t="s">
        <v>85</v>
      </c>
      <c r="G1079" s="1347" t="s">
        <v>85</v>
      </c>
      <c r="H1079" s="1347" t="s">
        <v>85</v>
      </c>
      <c r="I1079" s="1347" t="s">
        <v>113</v>
      </c>
      <c r="J1079" s="1349"/>
      <c r="K1079" s="1349"/>
      <c r="L1079" s="1518" t="s">
        <v>2661</v>
      </c>
      <c r="M1079" s="1518" t="s">
        <v>3647</v>
      </c>
      <c r="N1079" s="1451" t="s">
        <v>5390</v>
      </c>
      <c r="O1079" s="1388" t="s">
        <v>5391</v>
      </c>
      <c r="P1079" s="1388" t="s">
        <v>5392</v>
      </c>
      <c r="Q1079" s="1502" t="s">
        <v>5393</v>
      </c>
      <c r="R1079" s="1502" t="s">
        <v>5394</v>
      </c>
      <c r="S1079" s="1502" t="s">
        <v>307</v>
      </c>
      <c r="T1079" s="1502" t="s">
        <v>113</v>
      </c>
      <c r="U1079" s="1354"/>
      <c r="V1079" s="1354"/>
      <c r="W1079" s="1354"/>
      <c r="X1079" s="1353">
        <f>X$1078</f>
        <v>43101</v>
      </c>
      <c r="Y1079" s="1353">
        <f>Y$1078</f>
        <v>43466</v>
      </c>
      <c r="Z1079" s="1355"/>
      <c r="AA1079" s="1355" t="s">
        <v>4667</v>
      </c>
      <c r="AB1079" s="1356"/>
      <c r="AC1079" s="1356"/>
      <c r="AD1079" s="1422">
        <f>AH1079</f>
        <v>0</v>
      </c>
      <c r="AE1079" s="1422">
        <f t="shared" si="1517"/>
        <v>0</v>
      </c>
      <c r="AF1079" s="1423" t="str">
        <f t="shared" si="1518"/>
        <v/>
      </c>
      <c r="AG1079" s="1358">
        <v>0</v>
      </c>
      <c r="AH1079" s="1426">
        <f t="shared" ref="AH1079:AH1084" si="1522">AG1079*12</f>
        <v>0</v>
      </c>
      <c r="AI1079" s="1359">
        <v>0.08</v>
      </c>
      <c r="AJ1079" s="1360">
        <f>$AI1079*$AG1079</f>
        <v>0</v>
      </c>
      <c r="AK1079" s="1361">
        <f t="shared" ref="AK1079" si="1523">AI1079*$AH1079</f>
        <v>0</v>
      </c>
      <c r="AL1079" s="1362">
        <v>5.0000000000000001E-3</v>
      </c>
      <c r="AM1079" s="1363">
        <f t="shared" ref="AM1079:AM1098" si="1524">AL1079*$AH1079</f>
        <v>0</v>
      </c>
      <c r="AN1079" s="1364">
        <v>0.04</v>
      </c>
      <c r="AO1079" s="1365">
        <f t="shared" ref="AO1079:AO1098" si="1525">AN1079*$AH1079</f>
        <v>0</v>
      </c>
      <c r="AP1079" s="1366">
        <v>0</v>
      </c>
      <c r="AQ1079" s="1367">
        <f t="shared" ref="AQ1079:AQ1098" si="1526">AP1079*$AH1079</f>
        <v>0</v>
      </c>
      <c r="AR1079" s="1368">
        <v>0</v>
      </c>
      <c r="AS1079" s="1369">
        <f t="shared" ref="AS1079:AS1098" si="1527">AR1079*$AH1079</f>
        <v>0</v>
      </c>
      <c r="AT1079" s="1370">
        <v>2.5000000000000001E-2</v>
      </c>
      <c r="AU1079" s="1371">
        <f t="shared" ref="AU1079:AU1098" si="1528">AT1079*$AH1079</f>
        <v>0</v>
      </c>
      <c r="AV1079" s="1359">
        <f t="shared" ref="AV1079:AV1098" si="1529">AZ1079-AR1079-AT1079-AP1079</f>
        <v>9.999999999999995E-3</v>
      </c>
      <c r="AW1079" s="1372">
        <f t="shared" ref="AW1079:AW1098" si="1530">AV1079*$AH1079</f>
        <v>0</v>
      </c>
      <c r="AX1079" s="1373">
        <f t="shared" ref="AX1079:AX1098" si="1531">$AZ1079-$AP1079</f>
        <v>3.4999999999999996E-2</v>
      </c>
      <c r="AY1079" s="1374">
        <f t="shared" ref="AY1079:AY1098" si="1532">AX1079*$AH1079</f>
        <v>0</v>
      </c>
      <c r="AZ1079" s="1375">
        <f t="shared" ref="AZ1079:AZ1098" si="1533">$AI1079-$AL1079-$AN1079</f>
        <v>3.4999999999999996E-2</v>
      </c>
      <c r="BA1079" s="1376">
        <f t="shared" ref="BA1079:BA1098" si="1534">AZ1079*$AH1079</f>
        <v>0</v>
      </c>
      <c r="BB1079" s="1377"/>
      <c r="BC1079" s="1835" t="s">
        <v>5395</v>
      </c>
      <c r="BD1079" s="1835" t="s">
        <v>5396</v>
      </c>
      <c r="BE1079" s="1838" t="s">
        <v>5396</v>
      </c>
      <c r="BF1079" s="1825" t="s">
        <v>5423</v>
      </c>
      <c r="BG1079" s="1841">
        <v>12345678</v>
      </c>
    </row>
    <row r="1080" spans="1:59" s="1378" customFormat="1" ht="38.25">
      <c r="A1080" s="1347" t="str">
        <f t="shared" si="1519"/>
        <v>ABC</v>
      </c>
      <c r="B1080" s="1348" t="str">
        <f t="shared" si="1516"/>
        <v>Woodruff-Sawyer</v>
      </c>
      <c r="C1080" s="1348">
        <f t="shared" si="1520"/>
        <v>0</v>
      </c>
      <c r="D1080" s="1349">
        <f t="shared" si="1521"/>
        <v>43101</v>
      </c>
      <c r="E1080" s="1349"/>
      <c r="F1080" s="1347" t="s">
        <v>72</v>
      </c>
      <c r="G1080" s="1347" t="s">
        <v>85</v>
      </c>
      <c r="H1080" s="1347" t="s">
        <v>72</v>
      </c>
      <c r="I1080" s="1347" t="s">
        <v>72</v>
      </c>
      <c r="J1080" s="1349" t="s">
        <v>4670</v>
      </c>
      <c r="K1080" s="1349"/>
      <c r="L1080" s="1518" t="s">
        <v>4671</v>
      </c>
      <c r="M1080" s="1518" t="s">
        <v>3649</v>
      </c>
      <c r="N1080" s="1519" t="s">
        <v>5421</v>
      </c>
      <c r="O1080" s="1388" t="s">
        <v>4832</v>
      </c>
      <c r="P1080" s="1388"/>
      <c r="Q1080" s="1354"/>
      <c r="R1080" s="1354"/>
      <c r="S1080" s="1354"/>
      <c r="T1080" s="1354"/>
      <c r="U1080" s="1354"/>
      <c r="V1080" s="1354"/>
      <c r="W1080" s="1354"/>
      <c r="X1080" s="1353">
        <f t="shared" ref="X1080:Y1098" si="1535">X$1078</f>
        <v>43101</v>
      </c>
      <c r="Y1080" s="1353">
        <f t="shared" si="1535"/>
        <v>43466</v>
      </c>
      <c r="Z1080" s="1355"/>
      <c r="AA1080" s="1355" t="s">
        <v>4674</v>
      </c>
      <c r="AB1080" s="1356"/>
      <c r="AC1080" s="1356"/>
      <c r="AD1080" s="1422">
        <v>0</v>
      </c>
      <c r="AE1080" s="1422">
        <f t="shared" si="1517"/>
        <v>0</v>
      </c>
      <c r="AF1080" s="1423" t="str">
        <f t="shared" si="1518"/>
        <v/>
      </c>
      <c r="AG1080" s="1380"/>
      <c r="AH1080" s="1380"/>
      <c r="AI1080" s="1381">
        <v>0</v>
      </c>
      <c r="AJ1080" s="1382"/>
      <c r="AK1080" s="1383">
        <f>AI1080*$AH1080</f>
        <v>0</v>
      </c>
      <c r="AL1080" s="1384">
        <v>0</v>
      </c>
      <c r="AM1080" s="1363">
        <f t="shared" si="1524"/>
        <v>0</v>
      </c>
      <c r="AN1080" s="1364">
        <v>0</v>
      </c>
      <c r="AO1080" s="1365">
        <f t="shared" si="1525"/>
        <v>0</v>
      </c>
      <c r="AP1080" s="1366">
        <v>0</v>
      </c>
      <c r="AQ1080" s="1367">
        <f t="shared" si="1526"/>
        <v>0</v>
      </c>
      <c r="AR1080" s="1368">
        <v>0</v>
      </c>
      <c r="AS1080" s="1369">
        <f t="shared" si="1527"/>
        <v>0</v>
      </c>
      <c r="AT1080" s="1370">
        <v>0</v>
      </c>
      <c r="AU1080" s="1371">
        <f t="shared" si="1528"/>
        <v>0</v>
      </c>
      <c r="AV1080" s="1359">
        <f t="shared" si="1529"/>
        <v>0</v>
      </c>
      <c r="AW1080" s="1372">
        <f t="shared" si="1530"/>
        <v>0</v>
      </c>
      <c r="AX1080" s="1373">
        <f t="shared" si="1531"/>
        <v>0</v>
      </c>
      <c r="AY1080" s="1374">
        <f t="shared" si="1532"/>
        <v>0</v>
      </c>
      <c r="AZ1080" s="1375">
        <f t="shared" si="1533"/>
        <v>0</v>
      </c>
      <c r="BA1080" s="1376">
        <f t="shared" si="1534"/>
        <v>0</v>
      </c>
      <c r="BB1080" s="1377"/>
      <c r="BC1080" s="1836"/>
      <c r="BD1080" s="1836"/>
      <c r="BE1080" s="1839"/>
      <c r="BF1080" s="1826"/>
      <c r="BG1080" s="1842"/>
    </row>
    <row r="1081" spans="1:59" s="1378" customFormat="1" ht="63.75">
      <c r="A1081" s="1347" t="str">
        <f t="shared" si="1519"/>
        <v>ABC</v>
      </c>
      <c r="B1081" s="1348" t="str">
        <f t="shared" si="1516"/>
        <v>Woodruff-Sawyer</v>
      </c>
      <c r="C1081" s="1348">
        <f t="shared" si="1520"/>
        <v>0</v>
      </c>
      <c r="D1081" s="1349">
        <f t="shared" si="1521"/>
        <v>43101</v>
      </c>
      <c r="E1081" s="1349"/>
      <c r="F1081" s="1347" t="s">
        <v>113</v>
      </c>
      <c r="G1081" s="1347" t="s">
        <v>113</v>
      </c>
      <c r="H1081" s="1347" t="s">
        <v>113</v>
      </c>
      <c r="I1081" s="1347" t="s">
        <v>113</v>
      </c>
      <c r="J1081" s="1349" t="s">
        <v>4766</v>
      </c>
      <c r="K1081" s="1349"/>
      <c r="L1081" s="1524" t="s">
        <v>4767</v>
      </c>
      <c r="M1081" s="1524" t="s">
        <v>3647</v>
      </c>
      <c r="N1081" s="1525" t="s">
        <v>5422</v>
      </c>
      <c r="O1081" s="1424" t="s">
        <v>3025</v>
      </c>
      <c r="P1081" s="1424"/>
      <c r="Q1081" s="1400"/>
      <c r="R1081" s="1400"/>
      <c r="S1081" s="1400"/>
      <c r="T1081" s="1400"/>
      <c r="U1081" s="1480"/>
      <c r="V1081" s="1400"/>
      <c r="W1081" s="1400"/>
      <c r="X1081" s="1353">
        <f t="shared" si="1535"/>
        <v>43101</v>
      </c>
      <c r="Y1081" s="1353">
        <f t="shared" si="1535"/>
        <v>43466</v>
      </c>
      <c r="Z1081" s="1401"/>
      <c r="AA1081" s="1401" t="s">
        <v>4738</v>
      </c>
      <c r="AB1081" s="1356"/>
      <c r="AC1081" s="1356"/>
      <c r="AD1081" s="1369">
        <f>AH1081</f>
        <v>0</v>
      </c>
      <c r="AE1081" s="1369">
        <f t="shared" si="1517"/>
        <v>0</v>
      </c>
      <c r="AF1081" s="1403" t="str">
        <f t="shared" si="1518"/>
        <v/>
      </c>
      <c r="AG1081" s="1404"/>
      <c r="AH1081" s="1404"/>
      <c r="AI1081" s="1504">
        <v>0.06</v>
      </c>
      <c r="AJ1081" s="1406"/>
      <c r="AK1081" s="1406">
        <v>0</v>
      </c>
      <c r="AL1081" s="1362">
        <v>0</v>
      </c>
      <c r="AM1081" s="1363">
        <f t="shared" si="1524"/>
        <v>0</v>
      </c>
      <c r="AN1081" s="1364">
        <f>AI1081</f>
        <v>0.06</v>
      </c>
      <c r="AO1081" s="1365">
        <f t="shared" si="1525"/>
        <v>0</v>
      </c>
      <c r="AP1081" s="1366">
        <v>0</v>
      </c>
      <c r="AQ1081" s="1367">
        <f t="shared" si="1526"/>
        <v>0</v>
      </c>
      <c r="AR1081" s="1368">
        <v>0</v>
      </c>
      <c r="AS1081" s="1369">
        <f t="shared" si="1527"/>
        <v>0</v>
      </c>
      <c r="AT1081" s="1370">
        <v>0</v>
      </c>
      <c r="AU1081" s="1371">
        <f t="shared" si="1528"/>
        <v>0</v>
      </c>
      <c r="AV1081" s="1359">
        <v>0</v>
      </c>
      <c r="AW1081" s="1372">
        <f t="shared" si="1530"/>
        <v>0</v>
      </c>
      <c r="AX1081" s="1373">
        <f t="shared" si="1531"/>
        <v>0</v>
      </c>
      <c r="AY1081" s="1374">
        <f t="shared" si="1532"/>
        <v>0</v>
      </c>
      <c r="AZ1081" s="1375">
        <f t="shared" si="1533"/>
        <v>0</v>
      </c>
      <c r="BA1081" s="1376">
        <f t="shared" si="1534"/>
        <v>0</v>
      </c>
      <c r="BB1081" s="1377"/>
      <c r="BC1081" s="1836"/>
      <c r="BD1081" s="1836"/>
      <c r="BE1081" s="1839"/>
      <c r="BF1081" s="1826"/>
      <c r="BG1081" s="1842"/>
    </row>
    <row r="1082" spans="1:59" s="1378" customFormat="1" ht="51">
      <c r="A1082" s="1347" t="str">
        <f t="shared" si="1519"/>
        <v>ABC</v>
      </c>
      <c r="B1082" s="1348" t="str">
        <f t="shared" si="1516"/>
        <v>Woodruff-Sawyer</v>
      </c>
      <c r="C1082" s="1348">
        <f t="shared" si="1520"/>
        <v>0</v>
      </c>
      <c r="D1082" s="1349">
        <f t="shared" si="1521"/>
        <v>43101</v>
      </c>
      <c r="E1082" s="1349"/>
      <c r="F1082" s="1347" t="s">
        <v>113</v>
      </c>
      <c r="G1082" s="1347" t="s">
        <v>85</v>
      </c>
      <c r="H1082" s="1347" t="s">
        <v>85</v>
      </c>
      <c r="I1082" s="1347" t="s">
        <v>113</v>
      </c>
      <c r="J1082" s="1349"/>
      <c r="K1082" s="1349"/>
      <c r="L1082" s="1518" t="s">
        <v>4675</v>
      </c>
      <c r="M1082" s="1518" t="s">
        <v>3650</v>
      </c>
      <c r="N1082" s="1520" t="s">
        <v>5399</v>
      </c>
      <c r="O1082" s="1388" t="s">
        <v>4677</v>
      </c>
      <c r="P1082" s="1388"/>
      <c r="Q1082" s="1354"/>
      <c r="R1082" s="1354"/>
      <c r="S1082" s="1354"/>
      <c r="T1082" s="1354"/>
      <c r="U1082" s="1502" t="s">
        <v>5400</v>
      </c>
      <c r="V1082" s="1502" t="s">
        <v>5415</v>
      </c>
      <c r="W1082" s="1354"/>
      <c r="X1082" s="1353">
        <f t="shared" si="1535"/>
        <v>43101</v>
      </c>
      <c r="Y1082" s="1353">
        <f t="shared" si="1535"/>
        <v>43466</v>
      </c>
      <c r="Z1082" s="1355"/>
      <c r="AA1082" s="1355" t="s">
        <v>4679</v>
      </c>
      <c r="AB1082" s="1356"/>
      <c r="AC1082" s="1356"/>
      <c r="AD1082" s="1422">
        <f>AH1082</f>
        <v>0</v>
      </c>
      <c r="AE1082" s="1422">
        <f t="shared" si="1517"/>
        <v>0</v>
      </c>
      <c r="AF1082" s="1423" t="str">
        <f t="shared" si="1518"/>
        <v/>
      </c>
      <c r="AG1082" s="1358">
        <v>0</v>
      </c>
      <c r="AH1082" s="1426">
        <f t="shared" si="1522"/>
        <v>0</v>
      </c>
      <c r="AI1082" s="1359">
        <v>0.1</v>
      </c>
      <c r="AJ1082" s="1360">
        <f t="shared" ref="AJ1082:AJ1092" si="1536">$AI1082*$AG1082</f>
        <v>0</v>
      </c>
      <c r="AK1082" s="1361">
        <f t="shared" ref="AK1082:AK1098" si="1537">AI1082*$AH1082</f>
        <v>0</v>
      </c>
      <c r="AL1082" s="1384">
        <v>0</v>
      </c>
      <c r="AM1082" s="1363">
        <f t="shared" si="1524"/>
        <v>0</v>
      </c>
      <c r="AN1082" s="1364">
        <v>0.08</v>
      </c>
      <c r="AO1082" s="1365">
        <f t="shared" si="1525"/>
        <v>0</v>
      </c>
      <c r="AP1082" s="1366">
        <v>0</v>
      </c>
      <c r="AQ1082" s="1367">
        <f t="shared" si="1526"/>
        <v>0</v>
      </c>
      <c r="AR1082" s="1368">
        <v>0</v>
      </c>
      <c r="AS1082" s="1369">
        <f t="shared" si="1527"/>
        <v>0</v>
      </c>
      <c r="AT1082" s="1370">
        <v>0</v>
      </c>
      <c r="AU1082" s="1371">
        <f t="shared" si="1528"/>
        <v>0</v>
      </c>
      <c r="AV1082" s="1359">
        <f t="shared" si="1529"/>
        <v>2.0000000000000004E-2</v>
      </c>
      <c r="AW1082" s="1372">
        <f t="shared" si="1530"/>
        <v>0</v>
      </c>
      <c r="AX1082" s="1373">
        <f t="shared" si="1531"/>
        <v>2.0000000000000004E-2</v>
      </c>
      <c r="AY1082" s="1374">
        <f t="shared" si="1532"/>
        <v>0</v>
      </c>
      <c r="AZ1082" s="1375">
        <f t="shared" si="1533"/>
        <v>2.0000000000000004E-2</v>
      </c>
      <c r="BA1082" s="1376">
        <f t="shared" si="1534"/>
        <v>0</v>
      </c>
      <c r="BB1082" s="1377"/>
      <c r="BC1082" s="1836"/>
      <c r="BD1082" s="1836"/>
      <c r="BE1082" s="1839"/>
      <c r="BF1082" s="1826"/>
      <c r="BG1082" s="1842"/>
    </row>
    <row r="1083" spans="1:59" s="1378" customFormat="1" ht="38.25">
      <c r="A1083" s="1347" t="str">
        <f t="shared" si="1519"/>
        <v>ABC</v>
      </c>
      <c r="B1083" s="1348" t="str">
        <f t="shared" si="1516"/>
        <v>Woodruff-Sawyer</v>
      </c>
      <c r="C1083" s="1348">
        <f t="shared" si="1520"/>
        <v>0</v>
      </c>
      <c r="D1083" s="1349">
        <f t="shared" si="1521"/>
        <v>43101</v>
      </c>
      <c r="E1083" s="1349"/>
      <c r="F1083" s="1347" t="s">
        <v>113</v>
      </c>
      <c r="G1083" s="1347" t="s">
        <v>85</v>
      </c>
      <c r="H1083" s="1347" t="s">
        <v>85</v>
      </c>
      <c r="I1083" s="1347" t="s">
        <v>113</v>
      </c>
      <c r="J1083" s="1349"/>
      <c r="K1083" s="1349"/>
      <c r="L1083" s="1518" t="s">
        <v>4675</v>
      </c>
      <c r="M1083" s="1518" t="s">
        <v>3651</v>
      </c>
      <c r="N1083" s="1451" t="s">
        <v>5402</v>
      </c>
      <c r="O1083" s="1388" t="s">
        <v>4681</v>
      </c>
      <c r="P1083" s="1388"/>
      <c r="Q1083" s="1354"/>
      <c r="R1083" s="1354"/>
      <c r="S1083" s="1354"/>
      <c r="T1083" s="1354"/>
      <c r="U1083" s="1354"/>
      <c r="V1083" s="1354"/>
      <c r="W1083" s="1502" t="s">
        <v>5416</v>
      </c>
      <c r="X1083" s="1353">
        <f t="shared" si="1535"/>
        <v>43101</v>
      </c>
      <c r="Y1083" s="1353">
        <f t="shared" si="1535"/>
        <v>43466</v>
      </c>
      <c r="Z1083" s="1355"/>
      <c r="AA1083" s="1355" t="s">
        <v>4679</v>
      </c>
      <c r="AB1083" s="1356"/>
      <c r="AC1083" s="1356"/>
      <c r="AD1083" s="1422">
        <f>AH1083</f>
        <v>0</v>
      </c>
      <c r="AE1083" s="1422">
        <f t="shared" si="1517"/>
        <v>0</v>
      </c>
      <c r="AF1083" s="1423" t="str">
        <f t="shared" si="1518"/>
        <v/>
      </c>
      <c r="AG1083" s="1358">
        <v>0</v>
      </c>
      <c r="AH1083" s="1426">
        <f t="shared" si="1522"/>
        <v>0</v>
      </c>
      <c r="AI1083" s="1359">
        <v>0.1</v>
      </c>
      <c r="AJ1083" s="1360">
        <f t="shared" si="1536"/>
        <v>0</v>
      </c>
      <c r="AK1083" s="1361">
        <f t="shared" si="1537"/>
        <v>0</v>
      </c>
      <c r="AL1083" s="1384">
        <v>0</v>
      </c>
      <c r="AM1083" s="1363">
        <f t="shared" si="1524"/>
        <v>0</v>
      </c>
      <c r="AN1083" s="1364">
        <v>0.08</v>
      </c>
      <c r="AO1083" s="1365">
        <f t="shared" si="1525"/>
        <v>0</v>
      </c>
      <c r="AP1083" s="1366">
        <v>0</v>
      </c>
      <c r="AQ1083" s="1367">
        <f t="shared" si="1526"/>
        <v>0</v>
      </c>
      <c r="AR1083" s="1368">
        <v>0</v>
      </c>
      <c r="AS1083" s="1369">
        <f t="shared" si="1527"/>
        <v>0</v>
      </c>
      <c r="AT1083" s="1370">
        <v>0</v>
      </c>
      <c r="AU1083" s="1371">
        <f t="shared" si="1528"/>
        <v>0</v>
      </c>
      <c r="AV1083" s="1359">
        <f t="shared" si="1529"/>
        <v>2.0000000000000004E-2</v>
      </c>
      <c r="AW1083" s="1372">
        <f t="shared" si="1530"/>
        <v>0</v>
      </c>
      <c r="AX1083" s="1373">
        <f t="shared" si="1531"/>
        <v>2.0000000000000004E-2</v>
      </c>
      <c r="AY1083" s="1374">
        <f t="shared" si="1532"/>
        <v>0</v>
      </c>
      <c r="AZ1083" s="1375">
        <f t="shared" si="1533"/>
        <v>2.0000000000000004E-2</v>
      </c>
      <c r="BA1083" s="1376">
        <f t="shared" si="1534"/>
        <v>0</v>
      </c>
      <c r="BB1083" s="1377"/>
      <c r="BC1083" s="1836"/>
      <c r="BD1083" s="1836"/>
      <c r="BE1083" s="1839"/>
      <c r="BF1083" s="1826"/>
      <c r="BG1083" s="1842"/>
    </row>
    <row r="1084" spans="1:59" s="1378" customFormat="1" ht="38.25">
      <c r="A1084" s="1347" t="str">
        <f t="shared" si="1519"/>
        <v>ABC</v>
      </c>
      <c r="B1084" s="1348" t="str">
        <f t="shared" si="1516"/>
        <v>Woodruff-Sawyer</v>
      </c>
      <c r="C1084" s="1348">
        <f t="shared" si="1520"/>
        <v>0</v>
      </c>
      <c r="D1084" s="1349">
        <f t="shared" si="1521"/>
        <v>43101</v>
      </c>
      <c r="E1084" s="1349"/>
      <c r="F1084" s="1347" t="s">
        <v>113</v>
      </c>
      <c r="G1084" s="1347" t="s">
        <v>85</v>
      </c>
      <c r="H1084" s="1347" t="s">
        <v>85</v>
      </c>
      <c r="I1084" s="1347" t="s">
        <v>113</v>
      </c>
      <c r="J1084" s="1349"/>
      <c r="K1084" s="1349"/>
      <c r="L1084" s="1518" t="s">
        <v>4682</v>
      </c>
      <c r="M1084" s="1518" t="s">
        <v>4683</v>
      </c>
      <c r="N1084" s="1521" t="s">
        <v>57</v>
      </c>
      <c r="O1084" s="1388" t="s">
        <v>4684</v>
      </c>
      <c r="P1084" s="1421"/>
      <c r="Q1084" s="1354"/>
      <c r="R1084" s="1354"/>
      <c r="S1084" s="1354"/>
      <c r="T1084" s="1354"/>
      <c r="U1084" s="1354"/>
      <c r="V1084" s="1354"/>
      <c r="W1084" s="1354"/>
      <c r="X1084" s="1353">
        <f t="shared" si="1535"/>
        <v>43101</v>
      </c>
      <c r="Y1084" s="1353">
        <f t="shared" si="1535"/>
        <v>43466</v>
      </c>
      <c r="Z1084" s="1355"/>
      <c r="AA1084" s="1355" t="s">
        <v>4685</v>
      </c>
      <c r="AB1084" s="1356"/>
      <c r="AC1084" s="1356"/>
      <c r="AD1084" s="1422">
        <f>AH1084</f>
        <v>0</v>
      </c>
      <c r="AE1084" s="1422">
        <f t="shared" si="1517"/>
        <v>0</v>
      </c>
      <c r="AF1084" s="1423" t="str">
        <f t="shared" si="1518"/>
        <v/>
      </c>
      <c r="AG1084" s="1358">
        <v>0</v>
      </c>
      <c r="AH1084" s="1426">
        <f t="shared" si="1522"/>
        <v>0</v>
      </c>
      <c r="AI1084" s="1359">
        <v>0.15</v>
      </c>
      <c r="AJ1084" s="1360">
        <f t="shared" si="1536"/>
        <v>0</v>
      </c>
      <c r="AK1084" s="1361">
        <f t="shared" si="1537"/>
        <v>0</v>
      </c>
      <c r="AL1084" s="1384">
        <v>0</v>
      </c>
      <c r="AM1084" s="1363">
        <f t="shared" si="1524"/>
        <v>0</v>
      </c>
      <c r="AN1084" s="1364">
        <v>0.1</v>
      </c>
      <c r="AO1084" s="1365">
        <f t="shared" si="1525"/>
        <v>0</v>
      </c>
      <c r="AP1084" s="1366">
        <v>0</v>
      </c>
      <c r="AQ1084" s="1367">
        <f t="shared" si="1526"/>
        <v>0</v>
      </c>
      <c r="AR1084" s="1368">
        <v>0</v>
      </c>
      <c r="AS1084" s="1369">
        <f t="shared" si="1527"/>
        <v>0</v>
      </c>
      <c r="AT1084" s="1370">
        <v>0</v>
      </c>
      <c r="AU1084" s="1371">
        <f t="shared" si="1528"/>
        <v>0</v>
      </c>
      <c r="AV1084" s="1359">
        <f t="shared" si="1529"/>
        <v>4.9999999999999989E-2</v>
      </c>
      <c r="AW1084" s="1372">
        <f t="shared" si="1530"/>
        <v>0</v>
      </c>
      <c r="AX1084" s="1373">
        <f t="shared" si="1531"/>
        <v>4.9999999999999989E-2</v>
      </c>
      <c r="AY1084" s="1374">
        <f t="shared" si="1532"/>
        <v>0</v>
      </c>
      <c r="AZ1084" s="1375">
        <f t="shared" si="1533"/>
        <v>4.9999999999999989E-2</v>
      </c>
      <c r="BA1084" s="1376">
        <f t="shared" si="1534"/>
        <v>0</v>
      </c>
      <c r="BB1084" s="1377"/>
      <c r="BC1084" s="1836"/>
      <c r="BD1084" s="1836"/>
      <c r="BE1084" s="1839"/>
      <c r="BF1084" s="1826"/>
      <c r="BG1084" s="1842"/>
    </row>
    <row r="1085" spans="1:59" s="1378" customFormat="1" ht="38.25">
      <c r="A1085" s="1347" t="str">
        <f t="shared" si="1519"/>
        <v>ABC</v>
      </c>
      <c r="B1085" s="1348" t="str">
        <f t="shared" si="1516"/>
        <v>Woodruff-Sawyer</v>
      </c>
      <c r="C1085" s="1348">
        <f t="shared" si="1520"/>
        <v>0</v>
      </c>
      <c r="D1085" s="1349">
        <f t="shared" si="1521"/>
        <v>43101</v>
      </c>
      <c r="E1085" s="1349"/>
      <c r="F1085" s="1347" t="s">
        <v>113</v>
      </c>
      <c r="G1085" s="1347" t="s">
        <v>85</v>
      </c>
      <c r="H1085" s="1347" t="s">
        <v>85</v>
      </c>
      <c r="I1085" s="1347" t="s">
        <v>113</v>
      </c>
      <c r="J1085" s="1349"/>
      <c r="K1085" s="1349"/>
      <c r="L1085" s="1518" t="s">
        <v>4682</v>
      </c>
      <c r="M1085" s="1518" t="s">
        <v>4686</v>
      </c>
      <c r="N1085" s="1521" t="s">
        <v>60</v>
      </c>
      <c r="O1085" s="1388" t="s">
        <v>4687</v>
      </c>
      <c r="P1085" s="1421"/>
      <c r="Q1085" s="1354"/>
      <c r="R1085" s="1354"/>
      <c r="S1085" s="1354"/>
      <c r="T1085" s="1354"/>
      <c r="U1085" s="1354"/>
      <c r="V1085" s="1354"/>
      <c r="W1085" s="1354"/>
      <c r="X1085" s="1353">
        <f t="shared" si="1535"/>
        <v>43101</v>
      </c>
      <c r="Y1085" s="1353">
        <f t="shared" si="1535"/>
        <v>43466</v>
      </c>
      <c r="Z1085" s="1355"/>
      <c r="AA1085" s="1355" t="s">
        <v>4685</v>
      </c>
      <c r="AB1085" s="1356"/>
      <c r="AC1085" s="1356"/>
      <c r="AD1085" s="1422">
        <v>0</v>
      </c>
      <c r="AE1085" s="1422">
        <f t="shared" si="1517"/>
        <v>0</v>
      </c>
      <c r="AF1085" s="1423" t="str">
        <f t="shared" si="1518"/>
        <v/>
      </c>
      <c r="AG1085" s="1358">
        <f t="shared" ref="AG1085:AG1089" si="1538">AH1085/12</f>
        <v>0</v>
      </c>
      <c r="AH1085" s="1426">
        <v>0</v>
      </c>
      <c r="AI1085" s="1359">
        <v>0.15</v>
      </c>
      <c r="AJ1085" s="1360">
        <f t="shared" si="1536"/>
        <v>0</v>
      </c>
      <c r="AK1085" s="1361">
        <f t="shared" si="1537"/>
        <v>0</v>
      </c>
      <c r="AL1085" s="1384">
        <v>0</v>
      </c>
      <c r="AM1085" s="1363">
        <f t="shared" si="1524"/>
        <v>0</v>
      </c>
      <c r="AN1085" s="1364">
        <v>0.1</v>
      </c>
      <c r="AO1085" s="1365">
        <f t="shared" si="1525"/>
        <v>0</v>
      </c>
      <c r="AP1085" s="1366">
        <v>0</v>
      </c>
      <c r="AQ1085" s="1367">
        <f t="shared" si="1526"/>
        <v>0</v>
      </c>
      <c r="AR1085" s="1368">
        <v>0</v>
      </c>
      <c r="AS1085" s="1369">
        <f t="shared" si="1527"/>
        <v>0</v>
      </c>
      <c r="AT1085" s="1370">
        <v>0</v>
      </c>
      <c r="AU1085" s="1371">
        <f t="shared" si="1528"/>
        <v>0</v>
      </c>
      <c r="AV1085" s="1359">
        <f t="shared" si="1529"/>
        <v>4.9999999999999989E-2</v>
      </c>
      <c r="AW1085" s="1372">
        <f t="shared" si="1530"/>
        <v>0</v>
      </c>
      <c r="AX1085" s="1373">
        <f t="shared" si="1531"/>
        <v>4.9999999999999989E-2</v>
      </c>
      <c r="AY1085" s="1374">
        <f t="shared" si="1532"/>
        <v>0</v>
      </c>
      <c r="AZ1085" s="1375">
        <f t="shared" si="1533"/>
        <v>4.9999999999999989E-2</v>
      </c>
      <c r="BA1085" s="1376">
        <f t="shared" si="1534"/>
        <v>0</v>
      </c>
      <c r="BB1085" s="1377"/>
      <c r="BC1085" s="1836"/>
      <c r="BD1085" s="1836"/>
      <c r="BE1085" s="1839"/>
      <c r="BF1085" s="1826"/>
      <c r="BG1085" s="1842"/>
    </row>
    <row r="1086" spans="1:59" s="1378" customFormat="1" ht="38.25">
      <c r="A1086" s="1347" t="str">
        <f t="shared" si="1519"/>
        <v>ABC</v>
      </c>
      <c r="B1086" s="1348" t="str">
        <f t="shared" si="1516"/>
        <v>Woodruff-Sawyer</v>
      </c>
      <c r="C1086" s="1348">
        <f t="shared" si="1520"/>
        <v>0</v>
      </c>
      <c r="D1086" s="1349">
        <f t="shared" si="1521"/>
        <v>43101</v>
      </c>
      <c r="E1086" s="1349"/>
      <c r="F1086" s="1347" t="s">
        <v>113</v>
      </c>
      <c r="G1086" s="1347" t="s">
        <v>85</v>
      </c>
      <c r="H1086" s="1347" t="s">
        <v>85</v>
      </c>
      <c r="I1086" s="1347" t="s">
        <v>113</v>
      </c>
      <c r="J1086" s="1349"/>
      <c r="K1086" s="1349"/>
      <c r="L1086" s="1518" t="s">
        <v>4682</v>
      </c>
      <c r="M1086" s="1518" t="s">
        <v>62</v>
      </c>
      <c r="N1086" s="1451" t="s">
        <v>81</v>
      </c>
      <c r="O1086" s="1388" t="s">
        <v>4688</v>
      </c>
      <c r="P1086" s="1388"/>
      <c r="Q1086" s="1354"/>
      <c r="R1086" s="1354"/>
      <c r="S1086" s="1354"/>
      <c r="T1086" s="1354"/>
      <c r="U1086" s="1354"/>
      <c r="V1086" s="1354"/>
      <c r="W1086" s="1354"/>
      <c r="X1086" s="1353">
        <f t="shared" si="1535"/>
        <v>43101</v>
      </c>
      <c r="Y1086" s="1353">
        <f t="shared" si="1535"/>
        <v>43466</v>
      </c>
      <c r="Z1086" s="1355"/>
      <c r="AA1086" s="1355" t="s">
        <v>4685</v>
      </c>
      <c r="AB1086" s="1356"/>
      <c r="AC1086" s="1356"/>
      <c r="AD1086" s="1422">
        <f>AH1086</f>
        <v>0</v>
      </c>
      <c r="AE1086" s="1422">
        <f t="shared" si="1517"/>
        <v>0</v>
      </c>
      <c r="AF1086" s="1423" t="str">
        <f t="shared" si="1518"/>
        <v/>
      </c>
      <c r="AG1086" s="1358">
        <f t="shared" si="1538"/>
        <v>0</v>
      </c>
      <c r="AH1086" s="1426">
        <v>0</v>
      </c>
      <c r="AI1086" s="1359">
        <v>0.15</v>
      </c>
      <c r="AJ1086" s="1360">
        <f t="shared" si="1536"/>
        <v>0</v>
      </c>
      <c r="AK1086" s="1361">
        <f t="shared" si="1537"/>
        <v>0</v>
      </c>
      <c r="AL1086" s="1384">
        <v>0</v>
      </c>
      <c r="AM1086" s="1363">
        <f t="shared" si="1524"/>
        <v>0</v>
      </c>
      <c r="AN1086" s="1364">
        <v>0.1</v>
      </c>
      <c r="AO1086" s="1365">
        <f t="shared" si="1525"/>
        <v>0</v>
      </c>
      <c r="AP1086" s="1366">
        <v>0</v>
      </c>
      <c r="AQ1086" s="1367">
        <f t="shared" si="1526"/>
        <v>0</v>
      </c>
      <c r="AR1086" s="1368">
        <v>0</v>
      </c>
      <c r="AS1086" s="1369">
        <f t="shared" si="1527"/>
        <v>0</v>
      </c>
      <c r="AT1086" s="1370">
        <v>0</v>
      </c>
      <c r="AU1086" s="1371">
        <f t="shared" si="1528"/>
        <v>0</v>
      </c>
      <c r="AV1086" s="1359">
        <f t="shared" si="1529"/>
        <v>4.9999999999999989E-2</v>
      </c>
      <c r="AW1086" s="1372">
        <f t="shared" si="1530"/>
        <v>0</v>
      </c>
      <c r="AX1086" s="1373">
        <f t="shared" si="1531"/>
        <v>4.9999999999999989E-2</v>
      </c>
      <c r="AY1086" s="1374">
        <f t="shared" si="1532"/>
        <v>0</v>
      </c>
      <c r="AZ1086" s="1375">
        <f t="shared" si="1533"/>
        <v>4.9999999999999989E-2</v>
      </c>
      <c r="BA1086" s="1376">
        <f t="shared" si="1534"/>
        <v>0</v>
      </c>
      <c r="BB1086" s="1377"/>
      <c r="BC1086" s="1836"/>
      <c r="BD1086" s="1836"/>
      <c r="BE1086" s="1839"/>
      <c r="BF1086" s="1826"/>
      <c r="BG1086" s="1842"/>
    </row>
    <row r="1087" spans="1:59" s="1378" customFormat="1" ht="38.25">
      <c r="A1087" s="1347" t="str">
        <f t="shared" si="1519"/>
        <v>ABC</v>
      </c>
      <c r="B1087" s="1348" t="str">
        <f t="shared" si="1516"/>
        <v>Woodruff-Sawyer</v>
      </c>
      <c r="C1087" s="1348">
        <f t="shared" si="1520"/>
        <v>0</v>
      </c>
      <c r="D1087" s="1349">
        <f t="shared" si="1521"/>
        <v>43101</v>
      </c>
      <c r="E1087" s="1349"/>
      <c r="F1087" s="1347" t="s">
        <v>113</v>
      </c>
      <c r="G1087" s="1347" t="s">
        <v>85</v>
      </c>
      <c r="H1087" s="1347" t="s">
        <v>85</v>
      </c>
      <c r="I1087" s="1347" t="s">
        <v>113</v>
      </c>
      <c r="J1087" s="1349"/>
      <c r="K1087" s="1349"/>
      <c r="L1087" s="1518" t="s">
        <v>4682</v>
      </c>
      <c r="M1087" s="1518" t="s">
        <v>5243</v>
      </c>
      <c r="N1087" s="1451" t="s">
        <v>3660</v>
      </c>
      <c r="O1087" s="1388" t="s">
        <v>5403</v>
      </c>
      <c r="P1087" s="1388"/>
      <c r="Q1087" s="1354"/>
      <c r="R1087" s="1354"/>
      <c r="S1087" s="1354"/>
      <c r="T1087" s="1354"/>
      <c r="U1087" s="1354"/>
      <c r="V1087" s="1354"/>
      <c r="W1087" s="1354"/>
      <c r="X1087" s="1353">
        <f t="shared" si="1535"/>
        <v>43101</v>
      </c>
      <c r="Y1087" s="1353">
        <f t="shared" si="1535"/>
        <v>43466</v>
      </c>
      <c r="Z1087" s="1355"/>
      <c r="AA1087" s="1355" t="s">
        <v>4685</v>
      </c>
      <c r="AB1087" s="1356"/>
      <c r="AC1087" s="1356"/>
      <c r="AD1087" s="1422">
        <f>AH1087</f>
        <v>0</v>
      </c>
      <c r="AE1087" s="1422">
        <f t="shared" si="1517"/>
        <v>0</v>
      </c>
      <c r="AF1087" s="1423" t="str">
        <f t="shared" si="1518"/>
        <v/>
      </c>
      <c r="AG1087" s="1358">
        <f t="shared" si="1538"/>
        <v>0</v>
      </c>
      <c r="AH1087" s="1426">
        <v>0</v>
      </c>
      <c r="AI1087" s="1359">
        <v>0.15</v>
      </c>
      <c r="AJ1087" s="1360">
        <f t="shared" si="1536"/>
        <v>0</v>
      </c>
      <c r="AK1087" s="1361">
        <f t="shared" si="1537"/>
        <v>0</v>
      </c>
      <c r="AL1087" s="1384">
        <v>0</v>
      </c>
      <c r="AM1087" s="1363">
        <f t="shared" si="1524"/>
        <v>0</v>
      </c>
      <c r="AN1087" s="1364">
        <v>0.1</v>
      </c>
      <c r="AO1087" s="1365">
        <f t="shared" si="1525"/>
        <v>0</v>
      </c>
      <c r="AP1087" s="1366">
        <v>0</v>
      </c>
      <c r="AQ1087" s="1367">
        <f t="shared" si="1526"/>
        <v>0</v>
      </c>
      <c r="AR1087" s="1368">
        <v>0</v>
      </c>
      <c r="AS1087" s="1369">
        <f t="shared" si="1527"/>
        <v>0</v>
      </c>
      <c r="AT1087" s="1370">
        <v>0</v>
      </c>
      <c r="AU1087" s="1371">
        <f t="shared" si="1528"/>
        <v>0</v>
      </c>
      <c r="AV1087" s="1359">
        <f t="shared" si="1529"/>
        <v>4.9999999999999989E-2</v>
      </c>
      <c r="AW1087" s="1372">
        <f t="shared" si="1530"/>
        <v>0</v>
      </c>
      <c r="AX1087" s="1373">
        <f t="shared" si="1531"/>
        <v>4.9999999999999989E-2</v>
      </c>
      <c r="AY1087" s="1374">
        <f t="shared" si="1532"/>
        <v>0</v>
      </c>
      <c r="AZ1087" s="1375">
        <f t="shared" si="1533"/>
        <v>4.9999999999999989E-2</v>
      </c>
      <c r="BA1087" s="1376">
        <f t="shared" si="1534"/>
        <v>0</v>
      </c>
      <c r="BB1087" s="1377"/>
      <c r="BC1087" s="1836"/>
      <c r="BD1087" s="1836"/>
      <c r="BE1087" s="1839"/>
      <c r="BF1087" s="1826"/>
      <c r="BG1087" s="1842"/>
    </row>
    <row r="1088" spans="1:59" s="1378" customFormat="1" ht="38.25">
      <c r="A1088" s="1347" t="str">
        <f t="shared" si="1519"/>
        <v>ABC</v>
      </c>
      <c r="B1088" s="1348" t="str">
        <f t="shared" si="1516"/>
        <v>Woodruff-Sawyer</v>
      </c>
      <c r="C1088" s="1348">
        <f t="shared" si="1520"/>
        <v>0</v>
      </c>
      <c r="D1088" s="1349">
        <f t="shared" si="1521"/>
        <v>43101</v>
      </c>
      <c r="E1088" s="1349"/>
      <c r="F1088" s="1347" t="s">
        <v>113</v>
      </c>
      <c r="G1088" s="1347" t="s">
        <v>85</v>
      </c>
      <c r="H1088" s="1347" t="s">
        <v>85</v>
      </c>
      <c r="I1088" s="1347" t="s">
        <v>113</v>
      </c>
      <c r="J1088" s="1349"/>
      <c r="K1088" s="1349"/>
      <c r="L1088" s="1518" t="s">
        <v>4682</v>
      </c>
      <c r="M1088" s="1518" t="s">
        <v>4741</v>
      </c>
      <c r="N1088" s="1451" t="s">
        <v>4742</v>
      </c>
      <c r="O1088" s="1388" t="s">
        <v>5404</v>
      </c>
      <c r="P1088" s="1388"/>
      <c r="Q1088" s="1354"/>
      <c r="R1088" s="1354"/>
      <c r="S1088" s="1354"/>
      <c r="T1088" s="1354"/>
      <c r="U1088" s="1354"/>
      <c r="V1088" s="1354"/>
      <c r="W1088" s="1354"/>
      <c r="X1088" s="1353">
        <f t="shared" si="1535"/>
        <v>43101</v>
      </c>
      <c r="Y1088" s="1353">
        <f t="shared" si="1535"/>
        <v>43466</v>
      </c>
      <c r="Z1088" s="1355"/>
      <c r="AA1088" s="1355" t="s">
        <v>4679</v>
      </c>
      <c r="AB1088" s="1356"/>
      <c r="AC1088" s="1356"/>
      <c r="AD1088" s="1422">
        <f>AH1088</f>
        <v>0</v>
      </c>
      <c r="AE1088" s="1422">
        <f t="shared" si="1517"/>
        <v>0</v>
      </c>
      <c r="AF1088" s="1423" t="str">
        <f t="shared" si="1518"/>
        <v/>
      </c>
      <c r="AG1088" s="1358">
        <f t="shared" si="1538"/>
        <v>0</v>
      </c>
      <c r="AH1088" s="1426">
        <v>0</v>
      </c>
      <c r="AI1088" s="1359">
        <v>0.1</v>
      </c>
      <c r="AJ1088" s="1360">
        <f t="shared" si="1536"/>
        <v>0</v>
      </c>
      <c r="AK1088" s="1361">
        <f t="shared" si="1537"/>
        <v>0</v>
      </c>
      <c r="AL1088" s="1384">
        <v>0</v>
      </c>
      <c r="AM1088" s="1363">
        <f t="shared" si="1524"/>
        <v>0</v>
      </c>
      <c r="AN1088" s="1364">
        <v>0.08</v>
      </c>
      <c r="AO1088" s="1365">
        <f t="shared" si="1525"/>
        <v>0</v>
      </c>
      <c r="AP1088" s="1366">
        <v>0</v>
      </c>
      <c r="AQ1088" s="1367">
        <f t="shared" si="1526"/>
        <v>0</v>
      </c>
      <c r="AR1088" s="1368">
        <v>0</v>
      </c>
      <c r="AS1088" s="1369">
        <f t="shared" si="1527"/>
        <v>0</v>
      </c>
      <c r="AT1088" s="1370">
        <v>0</v>
      </c>
      <c r="AU1088" s="1371">
        <f t="shared" si="1528"/>
        <v>0</v>
      </c>
      <c r="AV1088" s="1359">
        <f t="shared" si="1529"/>
        <v>2.0000000000000004E-2</v>
      </c>
      <c r="AW1088" s="1372">
        <f t="shared" si="1530"/>
        <v>0</v>
      </c>
      <c r="AX1088" s="1373">
        <f t="shared" si="1531"/>
        <v>2.0000000000000004E-2</v>
      </c>
      <c r="AY1088" s="1374">
        <f t="shared" si="1532"/>
        <v>0</v>
      </c>
      <c r="AZ1088" s="1375">
        <f t="shared" si="1533"/>
        <v>2.0000000000000004E-2</v>
      </c>
      <c r="BA1088" s="1376">
        <f t="shared" si="1534"/>
        <v>0</v>
      </c>
      <c r="BB1088" s="1377"/>
      <c r="BC1088" s="1836"/>
      <c r="BD1088" s="1836"/>
      <c r="BE1088" s="1839"/>
      <c r="BF1088" s="1826"/>
      <c r="BG1088" s="1842"/>
    </row>
    <row r="1089" spans="1:59" s="1378" customFormat="1" ht="38.25">
      <c r="A1089" s="1347" t="str">
        <f t="shared" si="1519"/>
        <v>ABC</v>
      </c>
      <c r="B1089" s="1348" t="str">
        <f t="shared" si="1516"/>
        <v>Woodruff-Sawyer</v>
      </c>
      <c r="C1089" s="1348">
        <f t="shared" si="1520"/>
        <v>0</v>
      </c>
      <c r="D1089" s="1349">
        <f t="shared" si="1521"/>
        <v>43101</v>
      </c>
      <c r="E1089" s="1349"/>
      <c r="F1089" s="1347" t="s">
        <v>113</v>
      </c>
      <c r="G1089" s="1347" t="s">
        <v>85</v>
      </c>
      <c r="H1089" s="1347" t="s">
        <v>85</v>
      </c>
      <c r="I1089" s="1347" t="s">
        <v>113</v>
      </c>
      <c r="J1089" s="1349"/>
      <c r="K1089" s="1349"/>
      <c r="L1089" s="1518" t="s">
        <v>4682</v>
      </c>
      <c r="M1089" s="1518" t="s">
        <v>67</v>
      </c>
      <c r="N1089" s="1451" t="s">
        <v>82</v>
      </c>
      <c r="O1089" s="1388" t="s">
        <v>4689</v>
      </c>
      <c r="P1089" s="1388"/>
      <c r="Q1089" s="1354"/>
      <c r="R1089" s="1354"/>
      <c r="S1089" s="1354"/>
      <c r="T1089" s="1354"/>
      <c r="U1089" s="1354"/>
      <c r="V1089" s="1354"/>
      <c r="W1089" s="1354"/>
      <c r="X1089" s="1353">
        <f t="shared" si="1535"/>
        <v>43101</v>
      </c>
      <c r="Y1089" s="1353">
        <f t="shared" si="1535"/>
        <v>43466</v>
      </c>
      <c r="Z1089" s="1355"/>
      <c r="AA1089" s="1355" t="s">
        <v>4685</v>
      </c>
      <c r="AB1089" s="1356"/>
      <c r="AC1089" s="1356"/>
      <c r="AD1089" s="1422">
        <f>AH1089</f>
        <v>0</v>
      </c>
      <c r="AE1089" s="1422">
        <f t="shared" si="1517"/>
        <v>0</v>
      </c>
      <c r="AF1089" s="1423" t="str">
        <f t="shared" si="1518"/>
        <v/>
      </c>
      <c r="AG1089" s="1358">
        <f t="shared" si="1538"/>
        <v>0</v>
      </c>
      <c r="AH1089" s="1426">
        <v>0</v>
      </c>
      <c r="AI1089" s="1359">
        <v>0.15</v>
      </c>
      <c r="AJ1089" s="1360">
        <f t="shared" si="1536"/>
        <v>0</v>
      </c>
      <c r="AK1089" s="1361">
        <f t="shared" si="1537"/>
        <v>0</v>
      </c>
      <c r="AL1089" s="1384">
        <v>0</v>
      </c>
      <c r="AM1089" s="1363">
        <f t="shared" si="1524"/>
        <v>0</v>
      </c>
      <c r="AN1089" s="1364">
        <v>0.1</v>
      </c>
      <c r="AO1089" s="1365">
        <f t="shared" si="1525"/>
        <v>0</v>
      </c>
      <c r="AP1089" s="1366">
        <v>0</v>
      </c>
      <c r="AQ1089" s="1367">
        <f t="shared" si="1526"/>
        <v>0</v>
      </c>
      <c r="AR1089" s="1368">
        <v>0</v>
      </c>
      <c r="AS1089" s="1369">
        <f t="shared" si="1527"/>
        <v>0</v>
      </c>
      <c r="AT1089" s="1370">
        <v>0</v>
      </c>
      <c r="AU1089" s="1371">
        <f t="shared" si="1528"/>
        <v>0</v>
      </c>
      <c r="AV1089" s="1359">
        <f t="shared" si="1529"/>
        <v>4.9999999999999989E-2</v>
      </c>
      <c r="AW1089" s="1372">
        <f t="shared" si="1530"/>
        <v>0</v>
      </c>
      <c r="AX1089" s="1373">
        <f t="shared" si="1531"/>
        <v>4.9999999999999989E-2</v>
      </c>
      <c r="AY1089" s="1374">
        <f t="shared" si="1532"/>
        <v>0</v>
      </c>
      <c r="AZ1089" s="1375">
        <f t="shared" si="1533"/>
        <v>4.9999999999999989E-2</v>
      </c>
      <c r="BA1089" s="1376">
        <f t="shared" si="1534"/>
        <v>0</v>
      </c>
      <c r="BB1089" s="1377"/>
      <c r="BC1089" s="1836"/>
      <c r="BD1089" s="1836"/>
      <c r="BE1089" s="1839"/>
      <c r="BF1089" s="1826"/>
      <c r="BG1089" s="1842"/>
    </row>
    <row r="1090" spans="1:59" s="1378" customFormat="1" ht="38.25">
      <c r="A1090" s="1347" t="str">
        <f t="shared" si="1519"/>
        <v>ABC</v>
      </c>
      <c r="B1090" s="1348" t="str">
        <f t="shared" si="1516"/>
        <v>Woodruff-Sawyer</v>
      </c>
      <c r="C1090" s="1348">
        <f t="shared" si="1520"/>
        <v>0</v>
      </c>
      <c r="D1090" s="1349">
        <f t="shared" si="1521"/>
        <v>43101</v>
      </c>
      <c r="E1090" s="1349"/>
      <c r="F1090" s="1347" t="s">
        <v>113</v>
      </c>
      <c r="G1090" s="1347" t="s">
        <v>85</v>
      </c>
      <c r="H1090" s="1347" t="s">
        <v>85</v>
      </c>
      <c r="I1090" s="1347" t="s">
        <v>113</v>
      </c>
      <c r="J1090" s="1349" t="s">
        <v>4690</v>
      </c>
      <c r="K1090" s="1349"/>
      <c r="L1090" s="1518" t="s">
        <v>4682</v>
      </c>
      <c r="M1090" s="1518" t="s">
        <v>4691</v>
      </c>
      <c r="N1090" s="1451" t="s">
        <v>94</v>
      </c>
      <c r="O1090" s="1388" t="s">
        <v>4692</v>
      </c>
      <c r="P1090" s="1388"/>
      <c r="Q1090" s="1354"/>
      <c r="R1090" s="1354"/>
      <c r="S1090" s="1354"/>
      <c r="T1090" s="1354"/>
      <c r="U1090" s="1354"/>
      <c r="V1090" s="1354"/>
      <c r="W1090" s="1354"/>
      <c r="X1090" s="1353">
        <f t="shared" si="1535"/>
        <v>43101</v>
      </c>
      <c r="Y1090" s="1353">
        <f t="shared" si="1535"/>
        <v>43466</v>
      </c>
      <c r="Z1090" s="1355"/>
      <c r="AA1090" s="1355" t="s">
        <v>4685</v>
      </c>
      <c r="AB1090" s="1356"/>
      <c r="AC1090" s="1356"/>
      <c r="AD1090" s="1422">
        <v>0</v>
      </c>
      <c r="AE1090" s="1422">
        <f t="shared" si="1517"/>
        <v>0</v>
      </c>
      <c r="AF1090" s="1423" t="str">
        <f t="shared" si="1518"/>
        <v/>
      </c>
      <c r="AG1090" s="1358">
        <v>0</v>
      </c>
      <c r="AH1090" s="1426">
        <f t="shared" ref="AH1090:AH1092" si="1539">AG1090*12</f>
        <v>0</v>
      </c>
      <c r="AI1090" s="1359">
        <v>0.15</v>
      </c>
      <c r="AJ1090" s="1360">
        <f t="shared" si="1536"/>
        <v>0</v>
      </c>
      <c r="AK1090" s="1361">
        <f t="shared" si="1537"/>
        <v>0</v>
      </c>
      <c r="AL1090" s="1384">
        <v>0</v>
      </c>
      <c r="AM1090" s="1363">
        <f t="shared" si="1524"/>
        <v>0</v>
      </c>
      <c r="AN1090" s="1364">
        <v>0.1</v>
      </c>
      <c r="AO1090" s="1365">
        <f t="shared" si="1525"/>
        <v>0</v>
      </c>
      <c r="AP1090" s="1366">
        <v>0</v>
      </c>
      <c r="AQ1090" s="1367">
        <f t="shared" si="1526"/>
        <v>0</v>
      </c>
      <c r="AR1090" s="1368">
        <v>0</v>
      </c>
      <c r="AS1090" s="1369">
        <f t="shared" si="1527"/>
        <v>0</v>
      </c>
      <c r="AT1090" s="1370">
        <v>0</v>
      </c>
      <c r="AU1090" s="1371">
        <f t="shared" si="1528"/>
        <v>0</v>
      </c>
      <c r="AV1090" s="1359">
        <f t="shared" si="1529"/>
        <v>4.9999999999999989E-2</v>
      </c>
      <c r="AW1090" s="1372">
        <f t="shared" si="1530"/>
        <v>0</v>
      </c>
      <c r="AX1090" s="1373">
        <f t="shared" si="1531"/>
        <v>4.9999999999999989E-2</v>
      </c>
      <c r="AY1090" s="1374">
        <f t="shared" si="1532"/>
        <v>0</v>
      </c>
      <c r="AZ1090" s="1375">
        <f t="shared" si="1533"/>
        <v>4.9999999999999989E-2</v>
      </c>
      <c r="BA1090" s="1376">
        <f t="shared" si="1534"/>
        <v>0</v>
      </c>
      <c r="BB1090" s="1377"/>
      <c r="BC1090" s="1836"/>
      <c r="BD1090" s="1836"/>
      <c r="BE1090" s="1839"/>
      <c r="BF1090" s="1826"/>
      <c r="BG1090" s="1842"/>
    </row>
    <row r="1091" spans="1:59" s="1378" customFormat="1" ht="38.25">
      <c r="A1091" s="1347" t="str">
        <f t="shared" si="1519"/>
        <v>ABC</v>
      </c>
      <c r="B1091" s="1348" t="str">
        <f t="shared" si="1516"/>
        <v>Woodruff-Sawyer</v>
      </c>
      <c r="C1091" s="1348">
        <f t="shared" si="1520"/>
        <v>0</v>
      </c>
      <c r="D1091" s="1349">
        <f t="shared" si="1521"/>
        <v>43101</v>
      </c>
      <c r="E1091" s="1349"/>
      <c r="F1091" s="1347" t="s">
        <v>113</v>
      </c>
      <c r="G1091" s="1347" t="s">
        <v>85</v>
      </c>
      <c r="H1091" s="1347" t="s">
        <v>85</v>
      </c>
      <c r="I1091" s="1347" t="s">
        <v>113</v>
      </c>
      <c r="J1091" s="1349" t="s">
        <v>4690</v>
      </c>
      <c r="K1091" s="1349"/>
      <c r="L1091" s="1518" t="s">
        <v>4682</v>
      </c>
      <c r="M1091" s="1518" t="s">
        <v>4691</v>
      </c>
      <c r="N1091" s="1451" t="s">
        <v>98</v>
      </c>
      <c r="O1091" s="1388" t="s">
        <v>4693</v>
      </c>
      <c r="P1091" s="1388"/>
      <c r="Q1091" s="1354"/>
      <c r="R1091" s="1354"/>
      <c r="S1091" s="1354"/>
      <c r="T1091" s="1354"/>
      <c r="U1091" s="1354"/>
      <c r="V1091" s="1354"/>
      <c r="W1091" s="1354"/>
      <c r="X1091" s="1353">
        <f t="shared" si="1535"/>
        <v>43101</v>
      </c>
      <c r="Y1091" s="1353">
        <f t="shared" si="1535"/>
        <v>43466</v>
      </c>
      <c r="Z1091" s="1355"/>
      <c r="AA1091" s="1355" t="s">
        <v>4685</v>
      </c>
      <c r="AB1091" s="1356"/>
      <c r="AC1091" s="1356"/>
      <c r="AD1091" s="1422">
        <v>0</v>
      </c>
      <c r="AE1091" s="1422">
        <f t="shared" si="1517"/>
        <v>0</v>
      </c>
      <c r="AF1091" s="1423" t="str">
        <f t="shared" si="1518"/>
        <v/>
      </c>
      <c r="AG1091" s="1358">
        <v>0</v>
      </c>
      <c r="AH1091" s="1426">
        <f t="shared" si="1539"/>
        <v>0</v>
      </c>
      <c r="AI1091" s="1359">
        <v>0.15</v>
      </c>
      <c r="AJ1091" s="1360">
        <f t="shared" si="1536"/>
        <v>0</v>
      </c>
      <c r="AK1091" s="1361">
        <f t="shared" si="1537"/>
        <v>0</v>
      </c>
      <c r="AL1091" s="1384">
        <v>0</v>
      </c>
      <c r="AM1091" s="1363">
        <f t="shared" si="1524"/>
        <v>0</v>
      </c>
      <c r="AN1091" s="1364">
        <v>0.1</v>
      </c>
      <c r="AO1091" s="1365">
        <f t="shared" si="1525"/>
        <v>0</v>
      </c>
      <c r="AP1091" s="1366">
        <v>0</v>
      </c>
      <c r="AQ1091" s="1367">
        <f t="shared" si="1526"/>
        <v>0</v>
      </c>
      <c r="AR1091" s="1368">
        <v>0</v>
      </c>
      <c r="AS1091" s="1369">
        <f t="shared" si="1527"/>
        <v>0</v>
      </c>
      <c r="AT1091" s="1370">
        <v>0</v>
      </c>
      <c r="AU1091" s="1371">
        <f t="shared" si="1528"/>
        <v>0</v>
      </c>
      <c r="AV1091" s="1359">
        <f t="shared" si="1529"/>
        <v>4.9999999999999989E-2</v>
      </c>
      <c r="AW1091" s="1372">
        <f t="shared" si="1530"/>
        <v>0</v>
      </c>
      <c r="AX1091" s="1373">
        <f t="shared" si="1531"/>
        <v>4.9999999999999989E-2</v>
      </c>
      <c r="AY1091" s="1374">
        <f t="shared" si="1532"/>
        <v>0</v>
      </c>
      <c r="AZ1091" s="1375">
        <f t="shared" si="1533"/>
        <v>4.9999999999999989E-2</v>
      </c>
      <c r="BA1091" s="1376">
        <f t="shared" si="1534"/>
        <v>0</v>
      </c>
      <c r="BB1091" s="1377"/>
      <c r="BC1091" s="1836"/>
      <c r="BD1091" s="1836"/>
      <c r="BE1091" s="1839"/>
      <c r="BF1091" s="1826"/>
      <c r="BG1091" s="1842"/>
    </row>
    <row r="1092" spans="1:59" s="1378" customFormat="1" ht="38.25">
      <c r="A1092" s="1347" t="str">
        <f t="shared" si="1519"/>
        <v>ABC</v>
      </c>
      <c r="B1092" s="1348" t="str">
        <f t="shared" si="1516"/>
        <v>Woodruff-Sawyer</v>
      </c>
      <c r="C1092" s="1348">
        <f t="shared" si="1520"/>
        <v>0</v>
      </c>
      <c r="D1092" s="1349">
        <f t="shared" si="1521"/>
        <v>43101</v>
      </c>
      <c r="E1092" s="1349"/>
      <c r="F1092" s="1347" t="s">
        <v>113</v>
      </c>
      <c r="G1092" s="1347" t="s">
        <v>85</v>
      </c>
      <c r="H1092" s="1347" t="s">
        <v>85</v>
      </c>
      <c r="I1092" s="1347" t="s">
        <v>113</v>
      </c>
      <c r="J1092" s="1349" t="s">
        <v>4690</v>
      </c>
      <c r="K1092" s="1349"/>
      <c r="L1092" s="1518" t="s">
        <v>4682</v>
      </c>
      <c r="M1092" s="1518" t="s">
        <v>4691</v>
      </c>
      <c r="N1092" s="1451" t="s">
        <v>4694</v>
      </c>
      <c r="O1092" s="1388" t="s">
        <v>4695</v>
      </c>
      <c r="P1092" s="1388"/>
      <c r="Q1092" s="1354"/>
      <c r="R1092" s="1354"/>
      <c r="S1092" s="1354"/>
      <c r="T1092" s="1354"/>
      <c r="U1092" s="1354"/>
      <c r="V1092" s="1354"/>
      <c r="W1092" s="1354"/>
      <c r="X1092" s="1353">
        <f t="shared" si="1535"/>
        <v>43101</v>
      </c>
      <c r="Y1092" s="1353">
        <f t="shared" si="1535"/>
        <v>43466</v>
      </c>
      <c r="Z1092" s="1355"/>
      <c r="AA1092" s="1355" t="s">
        <v>4685</v>
      </c>
      <c r="AB1092" s="1356"/>
      <c r="AC1092" s="1356"/>
      <c r="AD1092" s="1422">
        <v>0</v>
      </c>
      <c r="AE1092" s="1422">
        <f t="shared" si="1517"/>
        <v>0</v>
      </c>
      <c r="AF1092" s="1423" t="str">
        <f t="shared" si="1518"/>
        <v/>
      </c>
      <c r="AG1092" s="1358">
        <v>0</v>
      </c>
      <c r="AH1092" s="1426">
        <f t="shared" si="1539"/>
        <v>0</v>
      </c>
      <c r="AI1092" s="1359">
        <v>0.15</v>
      </c>
      <c r="AJ1092" s="1360">
        <f t="shared" si="1536"/>
        <v>0</v>
      </c>
      <c r="AK1092" s="1361">
        <f t="shared" si="1537"/>
        <v>0</v>
      </c>
      <c r="AL1092" s="1384">
        <v>0</v>
      </c>
      <c r="AM1092" s="1363">
        <f t="shared" si="1524"/>
        <v>0</v>
      </c>
      <c r="AN1092" s="1364">
        <v>0.1</v>
      </c>
      <c r="AO1092" s="1365">
        <f t="shared" si="1525"/>
        <v>0</v>
      </c>
      <c r="AP1092" s="1366">
        <v>0</v>
      </c>
      <c r="AQ1092" s="1367">
        <f t="shared" si="1526"/>
        <v>0</v>
      </c>
      <c r="AR1092" s="1368">
        <v>0</v>
      </c>
      <c r="AS1092" s="1369">
        <f t="shared" si="1527"/>
        <v>0</v>
      </c>
      <c r="AT1092" s="1370">
        <v>0</v>
      </c>
      <c r="AU1092" s="1371">
        <f t="shared" si="1528"/>
        <v>0</v>
      </c>
      <c r="AV1092" s="1359">
        <f t="shared" si="1529"/>
        <v>4.9999999999999989E-2</v>
      </c>
      <c r="AW1092" s="1372">
        <f t="shared" si="1530"/>
        <v>0</v>
      </c>
      <c r="AX1092" s="1373">
        <f t="shared" si="1531"/>
        <v>4.9999999999999989E-2</v>
      </c>
      <c r="AY1092" s="1374">
        <f t="shared" si="1532"/>
        <v>0</v>
      </c>
      <c r="AZ1092" s="1375">
        <f t="shared" si="1533"/>
        <v>4.9999999999999989E-2</v>
      </c>
      <c r="BA1092" s="1376">
        <f t="shared" si="1534"/>
        <v>0</v>
      </c>
      <c r="BB1092" s="1377"/>
      <c r="BC1092" s="1836"/>
      <c r="BD1092" s="1836"/>
      <c r="BE1092" s="1839"/>
      <c r="BF1092" s="1826"/>
      <c r="BG1092" s="1842"/>
    </row>
    <row r="1093" spans="1:59" s="1378" customFormat="1" ht="27.75" customHeight="1">
      <c r="A1093" s="1347" t="str">
        <f t="shared" si="1519"/>
        <v>ABC</v>
      </c>
      <c r="B1093" s="1348" t="str">
        <f t="shared" si="1516"/>
        <v>Woodruff-Sawyer</v>
      </c>
      <c r="C1093" s="1348">
        <f t="shared" si="1520"/>
        <v>0</v>
      </c>
      <c r="D1093" s="1349">
        <f t="shared" si="1521"/>
        <v>43101</v>
      </c>
      <c r="E1093" s="1349"/>
      <c r="F1093" s="1347" t="s">
        <v>113</v>
      </c>
      <c r="G1093" s="1347" t="s">
        <v>85</v>
      </c>
      <c r="H1093" s="1347" t="s">
        <v>72</v>
      </c>
      <c r="I1093" s="1347" t="s">
        <v>72</v>
      </c>
      <c r="J1093" s="1349" t="s">
        <v>4670</v>
      </c>
      <c r="K1093" s="1349"/>
      <c r="L1093" s="1518" t="s">
        <v>4696</v>
      </c>
      <c r="M1093" s="1518" t="s">
        <v>4697</v>
      </c>
      <c r="N1093" s="1522" t="s">
        <v>5405</v>
      </c>
      <c r="O1093" s="1388" t="s">
        <v>4699</v>
      </c>
      <c r="P1093" s="1388"/>
      <c r="Q1093" s="1354"/>
      <c r="R1093" s="1354"/>
      <c r="S1093" s="1354"/>
      <c r="T1093" s="1354"/>
      <c r="U1093" s="1354"/>
      <c r="V1093" s="1354"/>
      <c r="W1093" s="1354"/>
      <c r="X1093" s="1353">
        <f t="shared" si="1535"/>
        <v>43101</v>
      </c>
      <c r="Y1093" s="1353">
        <f t="shared" si="1535"/>
        <v>43466</v>
      </c>
      <c r="Z1093" s="1355"/>
      <c r="AA1093" s="1355" t="s">
        <v>4674</v>
      </c>
      <c r="AB1093" s="1356"/>
      <c r="AC1093" s="1356"/>
      <c r="AD1093" s="1422">
        <v>0</v>
      </c>
      <c r="AE1093" s="1422">
        <f t="shared" si="1517"/>
        <v>0</v>
      </c>
      <c r="AF1093" s="1423" t="str">
        <f t="shared" si="1518"/>
        <v/>
      </c>
      <c r="AG1093" s="1380"/>
      <c r="AH1093" s="1380"/>
      <c r="AI1093" s="1381">
        <v>0</v>
      </c>
      <c r="AJ1093" s="1382"/>
      <c r="AK1093" s="1383">
        <f t="shared" si="1537"/>
        <v>0</v>
      </c>
      <c r="AL1093" s="1384">
        <v>0</v>
      </c>
      <c r="AM1093" s="1363">
        <f t="shared" si="1524"/>
        <v>0</v>
      </c>
      <c r="AN1093" s="1364">
        <v>0</v>
      </c>
      <c r="AO1093" s="1365">
        <f t="shared" si="1525"/>
        <v>0</v>
      </c>
      <c r="AP1093" s="1366">
        <v>0</v>
      </c>
      <c r="AQ1093" s="1367">
        <f t="shared" si="1526"/>
        <v>0</v>
      </c>
      <c r="AR1093" s="1368">
        <v>0</v>
      </c>
      <c r="AS1093" s="1369">
        <f t="shared" si="1527"/>
        <v>0</v>
      </c>
      <c r="AT1093" s="1370">
        <v>0</v>
      </c>
      <c r="AU1093" s="1371">
        <f t="shared" si="1528"/>
        <v>0</v>
      </c>
      <c r="AV1093" s="1359">
        <f t="shared" si="1529"/>
        <v>0</v>
      </c>
      <c r="AW1093" s="1372">
        <f t="shared" si="1530"/>
        <v>0</v>
      </c>
      <c r="AX1093" s="1373">
        <f t="shared" si="1531"/>
        <v>0</v>
      </c>
      <c r="AY1093" s="1374">
        <f t="shared" si="1532"/>
        <v>0</v>
      </c>
      <c r="AZ1093" s="1375">
        <f t="shared" si="1533"/>
        <v>0</v>
      </c>
      <c r="BA1093" s="1376">
        <f t="shared" si="1534"/>
        <v>0</v>
      </c>
      <c r="BB1093" s="1377"/>
      <c r="BC1093" s="1836"/>
      <c r="BD1093" s="1836"/>
      <c r="BE1093" s="1839"/>
      <c r="BF1093" s="1826"/>
      <c r="BG1093" s="1842"/>
    </row>
    <row r="1094" spans="1:59" s="1378" customFormat="1" ht="38.25">
      <c r="A1094" s="1347" t="str">
        <f t="shared" si="1519"/>
        <v>ABC</v>
      </c>
      <c r="B1094" s="1348" t="str">
        <f t="shared" si="1516"/>
        <v>Woodruff-Sawyer</v>
      </c>
      <c r="C1094" s="1348">
        <f t="shared" si="1520"/>
        <v>0</v>
      </c>
      <c r="D1094" s="1349">
        <f t="shared" si="1521"/>
        <v>43101</v>
      </c>
      <c r="E1094" s="1349"/>
      <c r="F1094" s="1347" t="s">
        <v>113</v>
      </c>
      <c r="G1094" s="1347" t="s">
        <v>85</v>
      </c>
      <c r="H1094" s="1347" t="s">
        <v>72</v>
      </c>
      <c r="I1094" s="1347" t="s">
        <v>72</v>
      </c>
      <c r="J1094" s="1349" t="s">
        <v>4670</v>
      </c>
      <c r="K1094" s="1349"/>
      <c r="L1094" s="1518" t="s">
        <v>48</v>
      </c>
      <c r="M1094" s="1518" t="s">
        <v>3652</v>
      </c>
      <c r="N1094" s="1523" t="s">
        <v>5406</v>
      </c>
      <c r="O1094" s="1388" t="s">
        <v>4702</v>
      </c>
      <c r="P1094" s="1388"/>
      <c r="Q1094" s="1354"/>
      <c r="R1094" s="1354"/>
      <c r="S1094" s="1354"/>
      <c r="T1094" s="1354"/>
      <c r="U1094" s="1354"/>
      <c r="V1094" s="1354"/>
      <c r="W1094" s="1354"/>
      <c r="X1094" s="1353">
        <f t="shared" si="1535"/>
        <v>43101</v>
      </c>
      <c r="Y1094" s="1353">
        <f t="shared" si="1535"/>
        <v>43466</v>
      </c>
      <c r="Z1094" s="1355"/>
      <c r="AA1094" s="1355" t="s">
        <v>4674</v>
      </c>
      <c r="AB1094" s="1356"/>
      <c r="AC1094" s="1356"/>
      <c r="AD1094" s="1422">
        <v>0</v>
      </c>
      <c r="AE1094" s="1422">
        <f t="shared" si="1517"/>
        <v>0</v>
      </c>
      <c r="AF1094" s="1423" t="str">
        <f t="shared" si="1518"/>
        <v/>
      </c>
      <c r="AG1094" s="1380"/>
      <c r="AH1094" s="1380"/>
      <c r="AI1094" s="1381">
        <v>0</v>
      </c>
      <c r="AJ1094" s="1382"/>
      <c r="AK1094" s="1383">
        <f t="shared" si="1537"/>
        <v>0</v>
      </c>
      <c r="AL1094" s="1384">
        <v>0</v>
      </c>
      <c r="AM1094" s="1363">
        <f t="shared" si="1524"/>
        <v>0</v>
      </c>
      <c r="AN1094" s="1364">
        <v>0</v>
      </c>
      <c r="AO1094" s="1365">
        <f t="shared" si="1525"/>
        <v>0</v>
      </c>
      <c r="AP1094" s="1366">
        <v>0</v>
      </c>
      <c r="AQ1094" s="1367">
        <f t="shared" si="1526"/>
        <v>0</v>
      </c>
      <c r="AR1094" s="1368">
        <v>0</v>
      </c>
      <c r="AS1094" s="1369">
        <f t="shared" si="1527"/>
        <v>0</v>
      </c>
      <c r="AT1094" s="1370">
        <v>0</v>
      </c>
      <c r="AU1094" s="1371">
        <f t="shared" si="1528"/>
        <v>0</v>
      </c>
      <c r="AV1094" s="1359">
        <f t="shared" si="1529"/>
        <v>0</v>
      </c>
      <c r="AW1094" s="1372">
        <f t="shared" si="1530"/>
        <v>0</v>
      </c>
      <c r="AX1094" s="1373">
        <f t="shared" si="1531"/>
        <v>0</v>
      </c>
      <c r="AY1094" s="1374">
        <f t="shared" si="1532"/>
        <v>0</v>
      </c>
      <c r="AZ1094" s="1375">
        <f t="shared" si="1533"/>
        <v>0</v>
      </c>
      <c r="BA1094" s="1376">
        <f t="shared" si="1534"/>
        <v>0</v>
      </c>
      <c r="BB1094" s="1377"/>
      <c r="BC1094" s="1836"/>
      <c r="BD1094" s="1836"/>
      <c r="BE1094" s="1839"/>
      <c r="BF1094" s="1826"/>
      <c r="BG1094" s="1842"/>
    </row>
    <row r="1095" spans="1:59" s="1378" customFormat="1" ht="38.25">
      <c r="A1095" s="1347" t="str">
        <f t="shared" si="1519"/>
        <v>ABC</v>
      </c>
      <c r="B1095" s="1348" t="str">
        <f t="shared" si="1516"/>
        <v>Woodruff-Sawyer</v>
      </c>
      <c r="C1095" s="1348">
        <f t="shared" si="1520"/>
        <v>0</v>
      </c>
      <c r="D1095" s="1349">
        <f t="shared" si="1521"/>
        <v>43101</v>
      </c>
      <c r="E1095" s="1349"/>
      <c r="F1095" s="1347" t="s">
        <v>72</v>
      </c>
      <c r="G1095" s="1347" t="s">
        <v>85</v>
      </c>
      <c r="H1095" s="1347" t="s">
        <v>72</v>
      </c>
      <c r="I1095" s="1347" t="s">
        <v>72</v>
      </c>
      <c r="J1095" s="1349" t="s">
        <v>4670</v>
      </c>
      <c r="K1095" s="1349"/>
      <c r="L1095" s="1518" t="s">
        <v>48</v>
      </c>
      <c r="M1095" s="1518" t="s">
        <v>5033</v>
      </c>
      <c r="N1095" s="1522" t="s">
        <v>5407</v>
      </c>
      <c r="O1095" s="1388" t="s">
        <v>5035</v>
      </c>
      <c r="P1095" s="1388"/>
      <c r="Q1095" s="1354"/>
      <c r="R1095" s="1354"/>
      <c r="S1095" s="1354"/>
      <c r="T1095" s="1354"/>
      <c r="U1095" s="1354"/>
      <c r="V1095" s="1354"/>
      <c r="W1095" s="1354"/>
      <c r="X1095" s="1353">
        <f t="shared" si="1535"/>
        <v>43101</v>
      </c>
      <c r="Y1095" s="1353">
        <f t="shared" si="1535"/>
        <v>43466</v>
      </c>
      <c r="Z1095" s="1355"/>
      <c r="AA1095" s="1355" t="s">
        <v>4674</v>
      </c>
      <c r="AB1095" s="1356"/>
      <c r="AC1095" s="1356"/>
      <c r="AD1095" s="1422">
        <v>0</v>
      </c>
      <c r="AE1095" s="1422">
        <f t="shared" si="1517"/>
        <v>0</v>
      </c>
      <c r="AF1095" s="1423" t="str">
        <f t="shared" si="1518"/>
        <v/>
      </c>
      <c r="AG1095" s="1380"/>
      <c r="AH1095" s="1380"/>
      <c r="AI1095" s="1381">
        <v>0</v>
      </c>
      <c r="AJ1095" s="1382"/>
      <c r="AK1095" s="1383">
        <f t="shared" si="1537"/>
        <v>0</v>
      </c>
      <c r="AL1095" s="1384">
        <v>0</v>
      </c>
      <c r="AM1095" s="1363">
        <f t="shared" si="1524"/>
        <v>0</v>
      </c>
      <c r="AN1095" s="1364">
        <v>0</v>
      </c>
      <c r="AO1095" s="1365">
        <f t="shared" si="1525"/>
        <v>0</v>
      </c>
      <c r="AP1095" s="1366">
        <v>0</v>
      </c>
      <c r="AQ1095" s="1367">
        <f t="shared" si="1526"/>
        <v>0</v>
      </c>
      <c r="AR1095" s="1368">
        <v>0</v>
      </c>
      <c r="AS1095" s="1369">
        <f t="shared" si="1527"/>
        <v>0</v>
      </c>
      <c r="AT1095" s="1370">
        <v>0</v>
      </c>
      <c r="AU1095" s="1371">
        <f t="shared" si="1528"/>
        <v>0</v>
      </c>
      <c r="AV1095" s="1359">
        <f t="shared" si="1529"/>
        <v>0</v>
      </c>
      <c r="AW1095" s="1372">
        <f t="shared" si="1530"/>
        <v>0</v>
      </c>
      <c r="AX1095" s="1373">
        <f t="shared" si="1531"/>
        <v>0</v>
      </c>
      <c r="AY1095" s="1374">
        <f t="shared" si="1532"/>
        <v>0</v>
      </c>
      <c r="AZ1095" s="1375">
        <f t="shared" si="1533"/>
        <v>0</v>
      </c>
      <c r="BA1095" s="1376">
        <f t="shared" si="1534"/>
        <v>0</v>
      </c>
      <c r="BB1095" s="1377"/>
      <c r="BC1095" s="1836"/>
      <c r="BD1095" s="1836"/>
      <c r="BE1095" s="1839"/>
      <c r="BF1095" s="1826"/>
      <c r="BG1095" s="1842"/>
    </row>
    <row r="1096" spans="1:59" s="1378" customFormat="1" ht="38.25">
      <c r="A1096" s="1347" t="str">
        <f t="shared" si="1519"/>
        <v>ABC</v>
      </c>
      <c r="B1096" s="1348" t="str">
        <f t="shared" si="1516"/>
        <v>Woodruff-Sawyer</v>
      </c>
      <c r="C1096" s="1348">
        <f t="shared" si="1520"/>
        <v>0</v>
      </c>
      <c r="D1096" s="1349">
        <f t="shared" si="1521"/>
        <v>43101</v>
      </c>
      <c r="E1096" s="1349"/>
      <c r="F1096" s="1347" t="s">
        <v>72</v>
      </c>
      <c r="G1096" s="1347" t="s">
        <v>85</v>
      </c>
      <c r="H1096" s="1347" t="s">
        <v>72</v>
      </c>
      <c r="I1096" s="1347" t="s">
        <v>72</v>
      </c>
      <c r="J1096" s="1349" t="s">
        <v>4670</v>
      </c>
      <c r="K1096" s="1349"/>
      <c r="L1096" s="1518" t="s">
        <v>48</v>
      </c>
      <c r="M1096" s="1518" t="s">
        <v>253</v>
      </c>
      <c r="N1096" s="1523" t="s">
        <v>5408</v>
      </c>
      <c r="O1096" s="1388" t="s">
        <v>4704</v>
      </c>
      <c r="P1096" s="1388"/>
      <c r="Q1096" s="1354"/>
      <c r="R1096" s="1354"/>
      <c r="S1096" s="1354"/>
      <c r="T1096" s="1354"/>
      <c r="U1096" s="1354"/>
      <c r="V1096" s="1354"/>
      <c r="W1096" s="1354"/>
      <c r="X1096" s="1353">
        <f t="shared" si="1535"/>
        <v>43101</v>
      </c>
      <c r="Y1096" s="1353">
        <f t="shared" si="1535"/>
        <v>43466</v>
      </c>
      <c r="Z1096" s="1355"/>
      <c r="AA1096" s="1355" t="s">
        <v>4674</v>
      </c>
      <c r="AB1096" s="1356"/>
      <c r="AC1096" s="1356"/>
      <c r="AD1096" s="1422">
        <v>0</v>
      </c>
      <c r="AE1096" s="1422">
        <f t="shared" si="1517"/>
        <v>0</v>
      </c>
      <c r="AF1096" s="1423" t="str">
        <f t="shared" si="1518"/>
        <v/>
      </c>
      <c r="AG1096" s="1380"/>
      <c r="AH1096" s="1380"/>
      <c r="AI1096" s="1381">
        <v>0</v>
      </c>
      <c r="AJ1096" s="1382"/>
      <c r="AK1096" s="1383">
        <f t="shared" si="1537"/>
        <v>0</v>
      </c>
      <c r="AL1096" s="1384">
        <v>0</v>
      </c>
      <c r="AM1096" s="1363">
        <f t="shared" si="1524"/>
        <v>0</v>
      </c>
      <c r="AN1096" s="1364">
        <v>0</v>
      </c>
      <c r="AO1096" s="1365">
        <f t="shared" si="1525"/>
        <v>0</v>
      </c>
      <c r="AP1096" s="1366">
        <v>0</v>
      </c>
      <c r="AQ1096" s="1367">
        <f t="shared" si="1526"/>
        <v>0</v>
      </c>
      <c r="AR1096" s="1368">
        <v>0</v>
      </c>
      <c r="AS1096" s="1369">
        <f t="shared" si="1527"/>
        <v>0</v>
      </c>
      <c r="AT1096" s="1370">
        <v>0</v>
      </c>
      <c r="AU1096" s="1371">
        <f t="shared" si="1528"/>
        <v>0</v>
      </c>
      <c r="AV1096" s="1359">
        <f t="shared" si="1529"/>
        <v>0</v>
      </c>
      <c r="AW1096" s="1372">
        <f t="shared" si="1530"/>
        <v>0</v>
      </c>
      <c r="AX1096" s="1373">
        <f t="shared" si="1531"/>
        <v>0</v>
      </c>
      <c r="AY1096" s="1374">
        <f t="shared" si="1532"/>
        <v>0</v>
      </c>
      <c r="AZ1096" s="1375">
        <f t="shared" si="1533"/>
        <v>0</v>
      </c>
      <c r="BA1096" s="1376">
        <f t="shared" si="1534"/>
        <v>0</v>
      </c>
      <c r="BB1096" s="1377"/>
      <c r="BC1096" s="1836"/>
      <c r="BD1096" s="1836"/>
      <c r="BE1096" s="1839"/>
      <c r="BF1096" s="1826"/>
      <c r="BG1096" s="1842"/>
    </row>
    <row r="1097" spans="1:59" s="1378" customFormat="1" ht="38.25">
      <c r="A1097" s="1347" t="str">
        <f t="shared" si="1519"/>
        <v>ABC</v>
      </c>
      <c r="B1097" s="1348" t="str">
        <f t="shared" si="1516"/>
        <v>Woodruff-Sawyer</v>
      </c>
      <c r="C1097" s="1348">
        <f t="shared" si="1520"/>
        <v>0</v>
      </c>
      <c r="D1097" s="1349">
        <f t="shared" si="1521"/>
        <v>43101</v>
      </c>
      <c r="E1097" s="1349"/>
      <c r="F1097" s="1347" t="s">
        <v>72</v>
      </c>
      <c r="G1097" s="1347" t="s">
        <v>85</v>
      </c>
      <c r="H1097" s="1347" t="s">
        <v>72</v>
      </c>
      <c r="I1097" s="1347" t="s">
        <v>72</v>
      </c>
      <c r="J1097" s="1349" t="s">
        <v>4670</v>
      </c>
      <c r="K1097" s="1349"/>
      <c r="L1097" s="1518" t="s">
        <v>49</v>
      </c>
      <c r="M1097" s="1518" t="s">
        <v>4705</v>
      </c>
      <c r="N1097" s="1523" t="s">
        <v>5409</v>
      </c>
      <c r="O1097" s="1388" t="s">
        <v>4707</v>
      </c>
      <c r="P1097" s="1388"/>
      <c r="Q1097" s="1354"/>
      <c r="R1097" s="1354"/>
      <c r="S1097" s="1354"/>
      <c r="T1097" s="1354"/>
      <c r="U1097" s="1354"/>
      <c r="V1097" s="1354"/>
      <c r="W1097" s="1354"/>
      <c r="X1097" s="1353">
        <f t="shared" si="1535"/>
        <v>43101</v>
      </c>
      <c r="Y1097" s="1353">
        <f t="shared" si="1535"/>
        <v>43466</v>
      </c>
      <c r="Z1097" s="1355"/>
      <c r="AA1097" s="1355" t="s">
        <v>4674</v>
      </c>
      <c r="AB1097" s="1356"/>
      <c r="AC1097" s="1356"/>
      <c r="AD1097" s="1422">
        <v>0</v>
      </c>
      <c r="AE1097" s="1422">
        <f t="shared" si="1517"/>
        <v>0</v>
      </c>
      <c r="AF1097" s="1423" t="str">
        <f t="shared" si="1518"/>
        <v/>
      </c>
      <c r="AG1097" s="1380"/>
      <c r="AH1097" s="1380"/>
      <c r="AI1097" s="1381">
        <v>0</v>
      </c>
      <c r="AJ1097" s="1382"/>
      <c r="AK1097" s="1383">
        <f t="shared" si="1537"/>
        <v>0</v>
      </c>
      <c r="AL1097" s="1384">
        <v>0</v>
      </c>
      <c r="AM1097" s="1363">
        <f t="shared" si="1524"/>
        <v>0</v>
      </c>
      <c r="AN1097" s="1364">
        <v>0</v>
      </c>
      <c r="AO1097" s="1365">
        <f t="shared" si="1525"/>
        <v>0</v>
      </c>
      <c r="AP1097" s="1366">
        <v>0</v>
      </c>
      <c r="AQ1097" s="1367">
        <f t="shared" si="1526"/>
        <v>0</v>
      </c>
      <c r="AR1097" s="1368">
        <v>0</v>
      </c>
      <c r="AS1097" s="1369">
        <f t="shared" si="1527"/>
        <v>0</v>
      </c>
      <c r="AT1097" s="1370">
        <v>0</v>
      </c>
      <c r="AU1097" s="1371">
        <f t="shared" si="1528"/>
        <v>0</v>
      </c>
      <c r="AV1097" s="1359">
        <f t="shared" si="1529"/>
        <v>0</v>
      </c>
      <c r="AW1097" s="1372">
        <f t="shared" si="1530"/>
        <v>0</v>
      </c>
      <c r="AX1097" s="1373">
        <f t="shared" si="1531"/>
        <v>0</v>
      </c>
      <c r="AY1097" s="1374">
        <f t="shared" si="1532"/>
        <v>0</v>
      </c>
      <c r="AZ1097" s="1375">
        <f t="shared" si="1533"/>
        <v>0</v>
      </c>
      <c r="BA1097" s="1376">
        <f t="shared" si="1534"/>
        <v>0</v>
      </c>
      <c r="BB1097" s="1391"/>
      <c r="BC1097" s="1836"/>
      <c r="BD1097" s="1836"/>
      <c r="BE1097" s="1839"/>
      <c r="BF1097" s="1826"/>
      <c r="BG1097" s="1842"/>
    </row>
    <row r="1098" spans="1:59" s="1378" customFormat="1" ht="38.25">
      <c r="A1098" s="1347" t="str">
        <f t="shared" si="1519"/>
        <v>ABC</v>
      </c>
      <c r="B1098" s="1348" t="str">
        <f>N$1078</f>
        <v>Woodruff-Sawyer</v>
      </c>
      <c r="C1098" s="1348">
        <f>Z$1078</f>
        <v>0</v>
      </c>
      <c r="D1098" s="1349">
        <f t="shared" si="1521"/>
        <v>43101</v>
      </c>
      <c r="E1098" s="1349"/>
      <c r="F1098" s="1347" t="s">
        <v>72</v>
      </c>
      <c r="G1098" s="1347" t="s">
        <v>85</v>
      </c>
      <c r="H1098" s="1347" t="s">
        <v>72</v>
      </c>
      <c r="I1098" s="1347" t="s">
        <v>72</v>
      </c>
      <c r="J1098" s="1349" t="s">
        <v>4670</v>
      </c>
      <c r="K1098" s="1349"/>
      <c r="L1098" s="1518" t="s">
        <v>3056</v>
      </c>
      <c r="M1098" s="1518" t="s">
        <v>4708</v>
      </c>
      <c r="N1098" s="1523" t="s">
        <v>5410</v>
      </c>
      <c r="O1098" s="1388" t="s">
        <v>4710</v>
      </c>
      <c r="P1098" s="1388"/>
      <c r="Q1098" s="1354"/>
      <c r="R1098" s="1354"/>
      <c r="S1098" s="1354"/>
      <c r="T1098" s="1354"/>
      <c r="U1098" s="1354"/>
      <c r="V1098" s="1354"/>
      <c r="W1098" s="1354"/>
      <c r="X1098" s="1353">
        <f t="shared" si="1535"/>
        <v>43101</v>
      </c>
      <c r="Y1098" s="1353">
        <f t="shared" si="1535"/>
        <v>43466</v>
      </c>
      <c r="Z1098" s="1355"/>
      <c r="AA1098" s="1355" t="s">
        <v>4674</v>
      </c>
      <c r="AB1098" s="1356"/>
      <c r="AC1098" s="1356"/>
      <c r="AD1098" s="1422">
        <v>0</v>
      </c>
      <c r="AE1098" s="1422">
        <f t="shared" si="1517"/>
        <v>0</v>
      </c>
      <c r="AF1098" s="1423" t="str">
        <f t="shared" si="1518"/>
        <v/>
      </c>
      <c r="AG1098" s="1380"/>
      <c r="AH1098" s="1380"/>
      <c r="AI1098" s="1381">
        <v>0</v>
      </c>
      <c r="AJ1098" s="1382"/>
      <c r="AK1098" s="1383">
        <f t="shared" si="1537"/>
        <v>0</v>
      </c>
      <c r="AL1098" s="1384">
        <v>0</v>
      </c>
      <c r="AM1098" s="1363">
        <f t="shared" si="1524"/>
        <v>0</v>
      </c>
      <c r="AN1098" s="1364">
        <v>0</v>
      </c>
      <c r="AO1098" s="1365">
        <f t="shared" si="1525"/>
        <v>0</v>
      </c>
      <c r="AP1098" s="1366">
        <v>0</v>
      </c>
      <c r="AQ1098" s="1367">
        <f t="shared" si="1526"/>
        <v>0</v>
      </c>
      <c r="AR1098" s="1368">
        <v>0</v>
      </c>
      <c r="AS1098" s="1369">
        <f t="shared" si="1527"/>
        <v>0</v>
      </c>
      <c r="AT1098" s="1370">
        <v>0</v>
      </c>
      <c r="AU1098" s="1371">
        <f t="shared" si="1528"/>
        <v>0</v>
      </c>
      <c r="AV1098" s="1359">
        <f t="shared" si="1529"/>
        <v>0</v>
      </c>
      <c r="AW1098" s="1372">
        <f t="shared" si="1530"/>
        <v>0</v>
      </c>
      <c r="AX1098" s="1373">
        <f t="shared" si="1531"/>
        <v>0</v>
      </c>
      <c r="AY1098" s="1374">
        <f t="shared" si="1532"/>
        <v>0</v>
      </c>
      <c r="AZ1098" s="1375">
        <f t="shared" si="1533"/>
        <v>0</v>
      </c>
      <c r="BA1098" s="1376">
        <f t="shared" si="1534"/>
        <v>0</v>
      </c>
      <c r="BB1098" s="1391"/>
      <c r="BC1098" s="1837"/>
      <c r="BD1098" s="1837"/>
      <c r="BE1098" s="1840"/>
      <c r="BF1098" s="1827"/>
      <c r="BG1098" s="1843"/>
    </row>
    <row r="1101" spans="1:59" s="1315" customFormat="1" ht="57" customHeight="1">
      <c r="A1101" s="1277" t="str">
        <f t="shared" ref="A1101:A1116" si="1540">L$1101</f>
        <v>Primer</v>
      </c>
      <c r="B1101" s="1316" t="str">
        <f t="shared" ref="B1101:B1116" si="1541">N$1101</f>
        <v>HUB SD</v>
      </c>
      <c r="C1101" s="1316">
        <f>Z1101</f>
        <v>7</v>
      </c>
      <c r="D1101" s="1317"/>
      <c r="E1101" s="1317"/>
      <c r="F1101" s="1277" t="s">
        <v>72</v>
      </c>
      <c r="G1101" s="1277" t="s">
        <v>72</v>
      </c>
      <c r="H1101" s="1277" t="s">
        <v>72</v>
      </c>
      <c r="I1101" s="1277" t="s">
        <v>4711</v>
      </c>
      <c r="J1101" s="1317"/>
      <c r="K1101" s="1317"/>
      <c r="L1101" s="1318" t="s">
        <v>4249</v>
      </c>
      <c r="M1101" s="1318"/>
      <c r="N1101" s="1320" t="s">
        <v>4661</v>
      </c>
      <c r="O1101" s="1321" t="s">
        <v>2473</v>
      </c>
      <c r="P1101" s="1419"/>
      <c r="Q1101" s="1322"/>
      <c r="R1101" s="1322"/>
      <c r="S1101" s="1322"/>
      <c r="T1101" s="1322"/>
      <c r="U1101" s="1322"/>
      <c r="V1101" s="1322"/>
      <c r="W1101" s="1322"/>
      <c r="X1101" s="1483"/>
      <c r="Y1101" s="1317"/>
      <c r="Z1101" s="1316">
        <v>7</v>
      </c>
      <c r="AA1101" s="1316" t="s">
        <v>4858</v>
      </c>
      <c r="AB1101" s="1323">
        <f>SUM(AB1102:AB1116)</f>
        <v>125720</v>
      </c>
      <c r="AC1101" s="1323">
        <f>SUM(AC1102:AC1116)</f>
        <v>0</v>
      </c>
      <c r="AD1101" s="1323">
        <f>SUM(AD1102:AD1116)</f>
        <v>164181.96</v>
      </c>
      <c r="AE1101" s="1324">
        <f t="shared" ref="AE1101:AE1116" si="1542">AD1101-AB1101</f>
        <v>38461.959999999992</v>
      </c>
      <c r="AF1101" s="1325">
        <f t="shared" ref="AF1101:AF1116" si="1543">IFERROR((AE1101/AB1101),"")</f>
        <v>0.30593350302258981</v>
      </c>
      <c r="AG1101" s="1326">
        <f t="shared" ref="AG1101:AG1116" si="1544">AH1101/12</f>
        <v>13681.83</v>
      </c>
      <c r="AH1101" s="1326">
        <f>SUM(AH1102:AH1116)</f>
        <v>164181.96</v>
      </c>
      <c r="AI1101" s="1481"/>
      <c r="AJ1101" s="1328">
        <f>SUM(AJ1102:AJ1116)</f>
        <v>1155.6331</v>
      </c>
      <c r="AK1101" s="1328">
        <f>SUM(AK1102:AK1116)</f>
        <v>13867.5972</v>
      </c>
      <c r="AL1101" s="1329"/>
      <c r="AM1101" s="1330">
        <f>SUM(AM1102:AM1116)</f>
        <v>712.01220000000001</v>
      </c>
      <c r="AN1101" s="1331"/>
      <c r="AO1101" s="1332">
        <f>SUM(AO1102:AO1116)</f>
        <v>0</v>
      </c>
      <c r="AP1101" s="1333"/>
      <c r="AQ1101" s="1334">
        <f>SUM(AQ1102:AQ1116)</f>
        <v>0</v>
      </c>
      <c r="AR1101" s="1335"/>
      <c r="AS1101" s="1336">
        <f>SUM(AS1102:AS1116)</f>
        <v>7557.4391999999998</v>
      </c>
      <c r="AT1101" s="1337"/>
      <c r="AU1101" s="1338">
        <f>SUM(AU1102:AU1116)</f>
        <v>3560.0610000000001</v>
      </c>
      <c r="AV1101" s="1339"/>
      <c r="AW1101" s="1340">
        <f>SUM(AW1102:AW1116)</f>
        <v>2038.0847999999994</v>
      </c>
      <c r="AX1101" s="1306"/>
      <c r="AY1101" s="1307">
        <f>SUM(AW1101+AS1101+AU1101)</f>
        <v>13155.584999999999</v>
      </c>
      <c r="AZ1101" s="1341"/>
      <c r="BA1101" s="1309">
        <f>SUM(AY1101+AQ1101)</f>
        <v>13155.584999999999</v>
      </c>
      <c r="BB1101" s="1342">
        <f>(AW1101+AU1101)/(AK1101-AM1101)</f>
        <v>0.42553377899956552</v>
      </c>
      <c r="BC1101" s="1343"/>
      <c r="BD1101" s="1343"/>
      <c r="BE1101" s="1344"/>
      <c r="BF1101" s="1345" t="s">
        <v>5424</v>
      </c>
      <c r="BG1101" s="1346"/>
    </row>
    <row r="1102" spans="1:59" s="1378" customFormat="1" ht="76.5">
      <c r="A1102" s="1347" t="str">
        <f t="shared" si="1540"/>
        <v>Primer</v>
      </c>
      <c r="B1102" s="1348" t="str">
        <f t="shared" si="1541"/>
        <v>HUB SD</v>
      </c>
      <c r="C1102" s="1348">
        <f t="shared" ref="C1102:C1116" si="1545">Z$1101</f>
        <v>7</v>
      </c>
      <c r="D1102" s="1349"/>
      <c r="E1102" s="1349"/>
      <c r="F1102" s="1347" t="s">
        <v>85</v>
      </c>
      <c r="G1102" s="1347" t="s">
        <v>85</v>
      </c>
      <c r="H1102" s="1347" t="s">
        <v>85</v>
      </c>
      <c r="I1102" s="1347" t="s">
        <v>85</v>
      </c>
      <c r="J1102" s="1349"/>
      <c r="K1102" s="1349" t="s">
        <v>254</v>
      </c>
      <c r="L1102" s="1350" t="s">
        <v>2661</v>
      </c>
      <c r="M1102" s="1350" t="s">
        <v>3647</v>
      </c>
      <c r="N1102" s="1351" t="s">
        <v>5425</v>
      </c>
      <c r="O1102" s="1352" t="s">
        <v>5052</v>
      </c>
      <c r="P1102" s="1352" t="s">
        <v>4797</v>
      </c>
      <c r="Q1102" s="1353" t="s">
        <v>317</v>
      </c>
      <c r="R1102" s="1353" t="s">
        <v>3656</v>
      </c>
      <c r="S1102" s="1353" t="s">
        <v>307</v>
      </c>
      <c r="T1102" s="1353" t="s">
        <v>113</v>
      </c>
      <c r="U1102" s="1354"/>
      <c r="V1102" s="1354"/>
      <c r="W1102" s="1354"/>
      <c r="X1102" s="1484"/>
      <c r="Y1102" s="1353"/>
      <c r="Z1102" s="1355"/>
      <c r="AA1102" s="1355" t="s">
        <v>4667</v>
      </c>
      <c r="AB1102" s="1422">
        <v>112952</v>
      </c>
      <c r="AC1102" s="1356"/>
      <c r="AD1102" s="1422">
        <f>AH1102</f>
        <v>142402.44</v>
      </c>
      <c r="AE1102" s="1422">
        <f t="shared" si="1542"/>
        <v>29450.440000000002</v>
      </c>
      <c r="AF1102" s="1423">
        <f t="shared" si="1543"/>
        <v>0.26073411714710676</v>
      </c>
      <c r="AG1102" s="1358">
        <f t="shared" si="1544"/>
        <v>11866.87</v>
      </c>
      <c r="AH1102" s="1358">
        <v>142402.44</v>
      </c>
      <c r="AI1102" s="1359">
        <v>0.08</v>
      </c>
      <c r="AJ1102" s="1360">
        <f t="shared" ref="AJ1102:AJ1116" si="1546">$AI1102*$AG1102</f>
        <v>949.34960000000012</v>
      </c>
      <c r="AK1102" s="1361">
        <f t="shared" ref="AK1102:AK1116" si="1547">AI1102*$AH1102</f>
        <v>11392.1952</v>
      </c>
      <c r="AL1102" s="1362">
        <v>5.0000000000000001E-3</v>
      </c>
      <c r="AM1102" s="1363">
        <f t="shared" ref="AM1102:AM1116" si="1548">AL1102*$AH1102</f>
        <v>712.01220000000001</v>
      </c>
      <c r="AN1102" s="1364">
        <v>0</v>
      </c>
      <c r="AO1102" s="1365">
        <f t="shared" ref="AO1102:AO1116" si="1549">AN1102*$AH1102</f>
        <v>0</v>
      </c>
      <c r="AP1102" s="1366">
        <v>0</v>
      </c>
      <c r="AQ1102" s="1367">
        <f t="shared" ref="AQ1102:AQ1116" si="1550">AP1102*$AH1102</f>
        <v>0</v>
      </c>
      <c r="AR1102" s="1368">
        <v>0.04</v>
      </c>
      <c r="AS1102" s="1369">
        <f t="shared" ref="AS1102:AS1116" si="1551">AR1102*$AH1102</f>
        <v>5696.0976000000001</v>
      </c>
      <c r="AT1102" s="1370">
        <v>2.5000000000000001E-2</v>
      </c>
      <c r="AU1102" s="1371">
        <f t="shared" ref="AU1102:AU1116" si="1552">AT1102*$AH1102</f>
        <v>3560.0610000000001</v>
      </c>
      <c r="AV1102" s="1359">
        <f t="shared" ref="AV1102:AV1116" si="1553">AZ1102-AR1102-AT1102-AP1102</f>
        <v>9.999999999999995E-3</v>
      </c>
      <c r="AW1102" s="1372">
        <f t="shared" ref="AW1102:AW1116" si="1554">AV1102*$AH1102</f>
        <v>1424.0243999999993</v>
      </c>
      <c r="AX1102" s="1373">
        <f t="shared" ref="AX1102:AX1116" si="1555">$AZ1102-$AP1102</f>
        <v>7.4999999999999997E-2</v>
      </c>
      <c r="AY1102" s="1374">
        <f t="shared" ref="AY1102:AY1116" si="1556">AX1102*$AH1102</f>
        <v>10680.182999999999</v>
      </c>
      <c r="AZ1102" s="1375">
        <f t="shared" ref="AZ1102:AZ1116" si="1557">$AI1102-$AL1102-$AN1102</f>
        <v>7.4999999999999997E-2</v>
      </c>
      <c r="BA1102" s="1376">
        <f t="shared" ref="BA1102:BA1116" si="1558">AZ1102*$AH1102</f>
        <v>10680.182999999999</v>
      </c>
      <c r="BB1102" s="1391"/>
      <c r="BC1102" s="1819" t="s">
        <v>4248</v>
      </c>
      <c r="BD1102" s="1819" t="s">
        <v>4241</v>
      </c>
      <c r="BE1102" s="1822" t="s">
        <v>4241</v>
      </c>
      <c r="BF1102" s="1834" t="s">
        <v>5426</v>
      </c>
      <c r="BG1102" s="1828">
        <v>821175631</v>
      </c>
    </row>
    <row r="1103" spans="1:59" s="1378" customFormat="1" ht="25.5">
      <c r="A1103" s="1347" t="str">
        <f t="shared" si="1540"/>
        <v>Primer</v>
      </c>
      <c r="B1103" s="1348" t="str">
        <f t="shared" si="1541"/>
        <v>HUB SD</v>
      </c>
      <c r="C1103" s="1348">
        <f t="shared" si="1545"/>
        <v>7</v>
      </c>
      <c r="D1103" s="1349"/>
      <c r="E1103" s="1349"/>
      <c r="F1103" s="1347" t="s">
        <v>72</v>
      </c>
      <c r="G1103" s="1347" t="s">
        <v>85</v>
      </c>
      <c r="H1103" s="1347" t="s">
        <v>72</v>
      </c>
      <c r="I1103" s="1347" t="s">
        <v>72</v>
      </c>
      <c r="J1103" s="1349" t="s">
        <v>4670</v>
      </c>
      <c r="K1103" s="1349" t="s">
        <v>254</v>
      </c>
      <c r="L1103" s="1350" t="s">
        <v>4671</v>
      </c>
      <c r="M1103" s="1350" t="s">
        <v>3649</v>
      </c>
      <c r="N1103" s="1379" t="s">
        <v>3649</v>
      </c>
      <c r="O1103" s="1352" t="s">
        <v>4832</v>
      </c>
      <c r="P1103" s="1388"/>
      <c r="Q1103" s="1354"/>
      <c r="R1103" s="1354"/>
      <c r="S1103" s="1354"/>
      <c r="T1103" s="1354"/>
      <c r="U1103" s="1354"/>
      <c r="V1103" s="1354"/>
      <c r="W1103" s="1354"/>
      <c r="X1103" s="1484"/>
      <c r="Y1103" s="1353"/>
      <c r="Z1103" s="1355"/>
      <c r="AA1103" s="1355" t="s">
        <v>4674</v>
      </c>
      <c r="AB1103" s="1356"/>
      <c r="AC1103" s="1356"/>
      <c r="AD1103" s="1422">
        <v>0</v>
      </c>
      <c r="AE1103" s="1422">
        <f t="shared" si="1542"/>
        <v>0</v>
      </c>
      <c r="AF1103" s="1423" t="str">
        <f t="shared" si="1543"/>
        <v/>
      </c>
      <c r="AG1103" s="1358">
        <f t="shared" si="1544"/>
        <v>0</v>
      </c>
      <c r="AH1103" s="1358">
        <v>0</v>
      </c>
      <c r="AI1103" s="1381">
        <v>0</v>
      </c>
      <c r="AJ1103" s="1382">
        <f t="shared" si="1546"/>
        <v>0</v>
      </c>
      <c r="AK1103" s="1383">
        <f t="shared" si="1547"/>
        <v>0</v>
      </c>
      <c r="AL1103" s="1384">
        <v>0</v>
      </c>
      <c r="AM1103" s="1363">
        <f t="shared" si="1548"/>
        <v>0</v>
      </c>
      <c r="AN1103" s="1364">
        <v>0</v>
      </c>
      <c r="AO1103" s="1365">
        <f t="shared" si="1549"/>
        <v>0</v>
      </c>
      <c r="AP1103" s="1366">
        <v>0</v>
      </c>
      <c r="AQ1103" s="1367">
        <f t="shared" si="1550"/>
        <v>0</v>
      </c>
      <c r="AR1103" s="1368">
        <v>0</v>
      </c>
      <c r="AS1103" s="1369">
        <f t="shared" si="1551"/>
        <v>0</v>
      </c>
      <c r="AT1103" s="1370">
        <v>0</v>
      </c>
      <c r="AU1103" s="1371">
        <f t="shared" si="1552"/>
        <v>0</v>
      </c>
      <c r="AV1103" s="1359">
        <f t="shared" si="1553"/>
        <v>0</v>
      </c>
      <c r="AW1103" s="1372">
        <f t="shared" si="1554"/>
        <v>0</v>
      </c>
      <c r="AX1103" s="1373">
        <f t="shared" si="1555"/>
        <v>0</v>
      </c>
      <c r="AY1103" s="1374">
        <f t="shared" si="1556"/>
        <v>0</v>
      </c>
      <c r="AZ1103" s="1375">
        <f t="shared" si="1557"/>
        <v>0</v>
      </c>
      <c r="BA1103" s="1376">
        <f t="shared" si="1558"/>
        <v>0</v>
      </c>
      <c r="BB1103" s="1391"/>
      <c r="BC1103" s="1820"/>
      <c r="BD1103" s="1820"/>
      <c r="BE1103" s="1823"/>
      <c r="BF1103" s="1834"/>
      <c r="BG1103" s="1829"/>
    </row>
    <row r="1104" spans="1:59" s="1378" customFormat="1" ht="38.25">
      <c r="A1104" s="1347" t="str">
        <f t="shared" si="1540"/>
        <v>Primer</v>
      </c>
      <c r="B1104" s="1348" t="str">
        <f t="shared" si="1541"/>
        <v>HUB SD</v>
      </c>
      <c r="C1104" s="1348">
        <f t="shared" si="1545"/>
        <v>7</v>
      </c>
      <c r="D1104" s="1349"/>
      <c r="E1104" s="1349"/>
      <c r="F1104" s="1347" t="s">
        <v>113</v>
      </c>
      <c r="G1104" s="1347" t="s">
        <v>85</v>
      </c>
      <c r="H1104" s="1347" t="s">
        <v>85</v>
      </c>
      <c r="I1104" s="1347" t="s">
        <v>85</v>
      </c>
      <c r="J1104" s="1349"/>
      <c r="K1104" s="1349" t="s">
        <v>254</v>
      </c>
      <c r="L1104" s="1350" t="s">
        <v>4675</v>
      </c>
      <c r="M1104" s="1350" t="s">
        <v>3650</v>
      </c>
      <c r="N1104" s="1385" t="s">
        <v>5427</v>
      </c>
      <c r="O1104" s="1352" t="s">
        <v>4677</v>
      </c>
      <c r="P1104" s="1388"/>
      <c r="Q1104" s="1354"/>
      <c r="R1104" s="1354"/>
      <c r="S1104" s="1354"/>
      <c r="T1104" s="1354"/>
      <c r="U1104" s="1353" t="s">
        <v>4678</v>
      </c>
      <c r="V1104" s="1353" t="s">
        <v>2495</v>
      </c>
      <c r="W1104" s="1354"/>
      <c r="X1104" s="1484"/>
      <c r="Y1104" s="1353"/>
      <c r="Z1104" s="1355"/>
      <c r="AA1104" s="1355" t="s">
        <v>4679</v>
      </c>
      <c r="AB1104" s="1422">
        <v>11409</v>
      </c>
      <c r="AC1104" s="1356"/>
      <c r="AD1104" s="1422">
        <f>AH1104</f>
        <v>13993.68</v>
      </c>
      <c r="AE1104" s="1422">
        <f t="shared" si="1542"/>
        <v>2584.6800000000003</v>
      </c>
      <c r="AF1104" s="1423">
        <f t="shared" si="1543"/>
        <v>0.22654746252958194</v>
      </c>
      <c r="AG1104" s="1358">
        <f t="shared" si="1544"/>
        <v>1166.1400000000001</v>
      </c>
      <c r="AH1104" s="1358">
        <v>13993.68</v>
      </c>
      <c r="AI1104" s="1359">
        <v>0.1</v>
      </c>
      <c r="AJ1104" s="1360">
        <f t="shared" si="1546"/>
        <v>116.61400000000002</v>
      </c>
      <c r="AK1104" s="1361">
        <f t="shared" si="1547"/>
        <v>1399.3680000000002</v>
      </c>
      <c r="AL1104" s="1384">
        <v>0</v>
      </c>
      <c r="AM1104" s="1363">
        <f t="shared" si="1548"/>
        <v>0</v>
      </c>
      <c r="AN1104" s="1364">
        <v>0</v>
      </c>
      <c r="AO1104" s="1365">
        <f t="shared" si="1549"/>
        <v>0</v>
      </c>
      <c r="AP1104" s="1366">
        <v>0</v>
      </c>
      <c r="AQ1104" s="1367">
        <f t="shared" si="1550"/>
        <v>0</v>
      </c>
      <c r="AR1104" s="1368">
        <v>0.08</v>
      </c>
      <c r="AS1104" s="1369">
        <f t="shared" si="1551"/>
        <v>1119.4944</v>
      </c>
      <c r="AT1104" s="1370">
        <v>0</v>
      </c>
      <c r="AU1104" s="1371">
        <f t="shared" si="1552"/>
        <v>0</v>
      </c>
      <c r="AV1104" s="1359">
        <f t="shared" si="1553"/>
        <v>2.0000000000000004E-2</v>
      </c>
      <c r="AW1104" s="1372">
        <f t="shared" si="1554"/>
        <v>279.87360000000007</v>
      </c>
      <c r="AX1104" s="1373">
        <f t="shared" si="1555"/>
        <v>0.1</v>
      </c>
      <c r="AY1104" s="1374">
        <f t="shared" si="1556"/>
        <v>1399.3680000000002</v>
      </c>
      <c r="AZ1104" s="1375">
        <f t="shared" si="1557"/>
        <v>0.1</v>
      </c>
      <c r="BA1104" s="1376">
        <f t="shared" si="1558"/>
        <v>1399.3680000000002</v>
      </c>
      <c r="BB1104" s="1391"/>
      <c r="BC1104" s="1820"/>
      <c r="BD1104" s="1820"/>
      <c r="BE1104" s="1823"/>
      <c r="BF1104" s="1834"/>
      <c r="BG1104" s="1829"/>
    </row>
    <row r="1105" spans="1:59" s="1378" customFormat="1" ht="38.25">
      <c r="A1105" s="1347" t="str">
        <f t="shared" si="1540"/>
        <v>Primer</v>
      </c>
      <c r="B1105" s="1348" t="str">
        <f t="shared" si="1541"/>
        <v>HUB SD</v>
      </c>
      <c r="C1105" s="1348">
        <f t="shared" si="1545"/>
        <v>7</v>
      </c>
      <c r="D1105" s="1349"/>
      <c r="E1105" s="1349"/>
      <c r="F1105" s="1347" t="s">
        <v>113</v>
      </c>
      <c r="G1105" s="1347" t="s">
        <v>85</v>
      </c>
      <c r="H1105" s="1347" t="s">
        <v>85</v>
      </c>
      <c r="I1105" s="1347" t="s">
        <v>85</v>
      </c>
      <c r="J1105" s="1349"/>
      <c r="K1105" s="1349" t="s">
        <v>254</v>
      </c>
      <c r="L1105" s="1350" t="s">
        <v>4675</v>
      </c>
      <c r="M1105" s="1350" t="s">
        <v>3651</v>
      </c>
      <c r="N1105" s="1351" t="s">
        <v>4834</v>
      </c>
      <c r="O1105" s="1352" t="s">
        <v>4681</v>
      </c>
      <c r="P1105" s="1388"/>
      <c r="Q1105" s="1354"/>
      <c r="R1105" s="1354"/>
      <c r="S1105" s="1354"/>
      <c r="T1105" s="1354"/>
      <c r="U1105" s="1354"/>
      <c r="V1105" s="1354"/>
      <c r="W1105" s="1353" t="s">
        <v>2492</v>
      </c>
      <c r="X1105" s="1484"/>
      <c r="Y1105" s="1353"/>
      <c r="Z1105" s="1355"/>
      <c r="AA1105" s="1355" t="s">
        <v>4679</v>
      </c>
      <c r="AB1105" s="1422">
        <v>1359</v>
      </c>
      <c r="AC1105" s="1356"/>
      <c r="AD1105" s="1422">
        <f>AH1105</f>
        <v>1836.84</v>
      </c>
      <c r="AE1105" s="1422">
        <f t="shared" si="1542"/>
        <v>477.83999999999992</v>
      </c>
      <c r="AF1105" s="1423">
        <f t="shared" si="1543"/>
        <v>0.35161147902869749</v>
      </c>
      <c r="AG1105" s="1358">
        <f t="shared" si="1544"/>
        <v>153.07</v>
      </c>
      <c r="AH1105" s="1358">
        <v>1836.84</v>
      </c>
      <c r="AI1105" s="1359">
        <v>0.1</v>
      </c>
      <c r="AJ1105" s="1360">
        <f t="shared" si="1546"/>
        <v>15.307</v>
      </c>
      <c r="AK1105" s="1361">
        <f t="shared" si="1547"/>
        <v>183.684</v>
      </c>
      <c r="AL1105" s="1384">
        <v>0</v>
      </c>
      <c r="AM1105" s="1363">
        <f t="shared" si="1548"/>
        <v>0</v>
      </c>
      <c r="AN1105" s="1364">
        <v>0</v>
      </c>
      <c r="AO1105" s="1365">
        <f t="shared" si="1549"/>
        <v>0</v>
      </c>
      <c r="AP1105" s="1366">
        <v>0</v>
      </c>
      <c r="AQ1105" s="1367">
        <f t="shared" si="1550"/>
        <v>0</v>
      </c>
      <c r="AR1105" s="1368">
        <v>0.08</v>
      </c>
      <c r="AS1105" s="1369">
        <f t="shared" si="1551"/>
        <v>146.94720000000001</v>
      </c>
      <c r="AT1105" s="1370">
        <v>0</v>
      </c>
      <c r="AU1105" s="1371">
        <f t="shared" si="1552"/>
        <v>0</v>
      </c>
      <c r="AV1105" s="1359">
        <f t="shared" si="1553"/>
        <v>2.0000000000000004E-2</v>
      </c>
      <c r="AW1105" s="1372">
        <f t="shared" si="1554"/>
        <v>36.736800000000002</v>
      </c>
      <c r="AX1105" s="1373">
        <f t="shared" si="1555"/>
        <v>0.1</v>
      </c>
      <c r="AY1105" s="1374">
        <f t="shared" si="1556"/>
        <v>183.684</v>
      </c>
      <c r="AZ1105" s="1375">
        <f t="shared" si="1557"/>
        <v>0.1</v>
      </c>
      <c r="BA1105" s="1376">
        <f t="shared" si="1558"/>
        <v>183.684</v>
      </c>
      <c r="BB1105" s="1391"/>
      <c r="BC1105" s="1820"/>
      <c r="BD1105" s="1820"/>
      <c r="BE1105" s="1823"/>
      <c r="BF1105" s="1834"/>
      <c r="BG1105" s="1829"/>
    </row>
    <row r="1106" spans="1:59" s="1378" customFormat="1" ht="38.25">
      <c r="A1106" s="1347" t="str">
        <f t="shared" si="1540"/>
        <v>Primer</v>
      </c>
      <c r="B1106" s="1348" t="str">
        <f t="shared" si="1541"/>
        <v>HUB SD</v>
      </c>
      <c r="C1106" s="1348">
        <f t="shared" si="1545"/>
        <v>7</v>
      </c>
      <c r="D1106" s="1349"/>
      <c r="E1106" s="1349"/>
      <c r="F1106" s="1347" t="s">
        <v>113</v>
      </c>
      <c r="G1106" s="1347" t="s">
        <v>85</v>
      </c>
      <c r="H1106" s="1347" t="s">
        <v>85</v>
      </c>
      <c r="I1106" s="1347" t="s">
        <v>113</v>
      </c>
      <c r="J1106" s="1349"/>
      <c r="K1106" s="1349" t="s">
        <v>254</v>
      </c>
      <c r="L1106" s="1350" t="s">
        <v>4682</v>
      </c>
      <c r="M1106" s="1350" t="s">
        <v>4683</v>
      </c>
      <c r="N1106" s="1386" t="s">
        <v>5428</v>
      </c>
      <c r="O1106" s="1352" t="s">
        <v>4684</v>
      </c>
      <c r="P1106" s="1421"/>
      <c r="Q1106" s="1354"/>
      <c r="R1106" s="1354"/>
      <c r="S1106" s="1354"/>
      <c r="T1106" s="1354"/>
      <c r="U1106" s="1354"/>
      <c r="V1106" s="1354"/>
      <c r="W1106" s="1354"/>
      <c r="X1106" s="1484"/>
      <c r="Y1106" s="1353"/>
      <c r="Z1106" s="1355"/>
      <c r="AA1106" s="1355" t="s">
        <v>4685</v>
      </c>
      <c r="AB1106" s="1356"/>
      <c r="AC1106" s="1356"/>
      <c r="AD1106" s="1422">
        <f>AH1106</f>
        <v>475</v>
      </c>
      <c r="AE1106" s="1422">
        <f t="shared" si="1542"/>
        <v>475</v>
      </c>
      <c r="AF1106" s="1423" t="str">
        <f t="shared" si="1543"/>
        <v/>
      </c>
      <c r="AG1106" s="1358">
        <f t="shared" si="1544"/>
        <v>39.583333333333336</v>
      </c>
      <c r="AH1106" s="1358">
        <v>475</v>
      </c>
      <c r="AI1106" s="1359">
        <v>0.15</v>
      </c>
      <c r="AJ1106" s="1360">
        <f t="shared" si="1546"/>
        <v>5.9375</v>
      </c>
      <c r="AK1106" s="1361">
        <f t="shared" si="1547"/>
        <v>71.25</v>
      </c>
      <c r="AL1106" s="1384">
        <v>0</v>
      </c>
      <c r="AM1106" s="1363">
        <f t="shared" si="1548"/>
        <v>0</v>
      </c>
      <c r="AN1106" s="1364">
        <v>0</v>
      </c>
      <c r="AO1106" s="1365">
        <f t="shared" si="1549"/>
        <v>0</v>
      </c>
      <c r="AP1106" s="1366">
        <v>0</v>
      </c>
      <c r="AQ1106" s="1367">
        <f t="shared" si="1550"/>
        <v>0</v>
      </c>
      <c r="AR1106" s="1368">
        <v>0.1</v>
      </c>
      <c r="AS1106" s="1369">
        <f t="shared" si="1551"/>
        <v>47.5</v>
      </c>
      <c r="AT1106" s="1370">
        <v>0</v>
      </c>
      <c r="AU1106" s="1371">
        <f t="shared" si="1552"/>
        <v>0</v>
      </c>
      <c r="AV1106" s="1359">
        <f t="shared" si="1553"/>
        <v>4.9999999999999989E-2</v>
      </c>
      <c r="AW1106" s="1372">
        <f t="shared" si="1554"/>
        <v>23.749999999999996</v>
      </c>
      <c r="AX1106" s="1373">
        <f t="shared" si="1555"/>
        <v>0.15</v>
      </c>
      <c r="AY1106" s="1374">
        <f t="shared" si="1556"/>
        <v>71.25</v>
      </c>
      <c r="AZ1106" s="1375">
        <f t="shared" si="1557"/>
        <v>0.15</v>
      </c>
      <c r="BA1106" s="1376">
        <f t="shared" si="1558"/>
        <v>71.25</v>
      </c>
      <c r="BB1106" s="1391"/>
      <c r="BC1106" s="1820"/>
      <c r="BD1106" s="1820"/>
      <c r="BE1106" s="1823"/>
      <c r="BF1106" s="1834"/>
      <c r="BG1106" s="1829"/>
    </row>
    <row r="1107" spans="1:59" s="1378" customFormat="1" ht="38.25">
      <c r="A1107" s="1347" t="str">
        <f t="shared" si="1540"/>
        <v>Primer</v>
      </c>
      <c r="B1107" s="1348" t="str">
        <f t="shared" si="1541"/>
        <v>HUB SD</v>
      </c>
      <c r="C1107" s="1348">
        <f t="shared" si="1545"/>
        <v>7</v>
      </c>
      <c r="D1107" s="1349"/>
      <c r="E1107" s="1349"/>
      <c r="F1107" s="1347" t="s">
        <v>113</v>
      </c>
      <c r="G1107" s="1347" t="s">
        <v>85</v>
      </c>
      <c r="H1107" s="1347" t="s">
        <v>85</v>
      </c>
      <c r="I1107" s="1347" t="s">
        <v>113</v>
      </c>
      <c r="J1107" s="1349"/>
      <c r="K1107" s="1349" t="s">
        <v>254</v>
      </c>
      <c r="L1107" s="1350" t="s">
        <v>4682</v>
      </c>
      <c r="M1107" s="1350" t="s">
        <v>4686</v>
      </c>
      <c r="N1107" s="1386" t="s">
        <v>60</v>
      </c>
      <c r="O1107" s="1352" t="s">
        <v>4687</v>
      </c>
      <c r="P1107" s="1421"/>
      <c r="Q1107" s="1354"/>
      <c r="R1107" s="1354"/>
      <c r="S1107" s="1354"/>
      <c r="T1107" s="1354"/>
      <c r="U1107" s="1354"/>
      <c r="V1107" s="1354"/>
      <c r="W1107" s="1354"/>
      <c r="X1107" s="1484"/>
      <c r="Y1107" s="1353"/>
      <c r="Z1107" s="1355"/>
      <c r="AA1107" s="1355" t="s">
        <v>4685</v>
      </c>
      <c r="AB1107" s="1356"/>
      <c r="AC1107" s="1356"/>
      <c r="AD1107" s="1422">
        <v>0</v>
      </c>
      <c r="AE1107" s="1422">
        <f t="shared" si="1542"/>
        <v>0</v>
      </c>
      <c r="AF1107" s="1423" t="str">
        <f t="shared" si="1543"/>
        <v/>
      </c>
      <c r="AG1107" s="1358">
        <f t="shared" si="1544"/>
        <v>0</v>
      </c>
      <c r="AH1107" s="1358">
        <v>0</v>
      </c>
      <c r="AI1107" s="1359">
        <v>0.15</v>
      </c>
      <c r="AJ1107" s="1360">
        <f t="shared" si="1546"/>
        <v>0</v>
      </c>
      <c r="AK1107" s="1361">
        <f t="shared" si="1547"/>
        <v>0</v>
      </c>
      <c r="AL1107" s="1384">
        <v>0</v>
      </c>
      <c r="AM1107" s="1363">
        <f t="shared" si="1548"/>
        <v>0</v>
      </c>
      <c r="AN1107" s="1364">
        <v>0</v>
      </c>
      <c r="AO1107" s="1365">
        <f t="shared" si="1549"/>
        <v>0</v>
      </c>
      <c r="AP1107" s="1366">
        <v>0</v>
      </c>
      <c r="AQ1107" s="1367">
        <f t="shared" si="1550"/>
        <v>0</v>
      </c>
      <c r="AR1107" s="1368">
        <v>0.1</v>
      </c>
      <c r="AS1107" s="1369">
        <f t="shared" si="1551"/>
        <v>0</v>
      </c>
      <c r="AT1107" s="1370">
        <v>0</v>
      </c>
      <c r="AU1107" s="1371">
        <f t="shared" si="1552"/>
        <v>0</v>
      </c>
      <c r="AV1107" s="1359">
        <f t="shared" si="1553"/>
        <v>4.9999999999999989E-2</v>
      </c>
      <c r="AW1107" s="1372">
        <f t="shared" si="1554"/>
        <v>0</v>
      </c>
      <c r="AX1107" s="1373">
        <f t="shared" si="1555"/>
        <v>0.15</v>
      </c>
      <c r="AY1107" s="1374">
        <f t="shared" si="1556"/>
        <v>0</v>
      </c>
      <c r="AZ1107" s="1375">
        <f t="shared" si="1557"/>
        <v>0.15</v>
      </c>
      <c r="BA1107" s="1376">
        <f t="shared" si="1558"/>
        <v>0</v>
      </c>
      <c r="BB1107" s="1391"/>
      <c r="BC1107" s="1820"/>
      <c r="BD1107" s="1820"/>
      <c r="BE1107" s="1823"/>
      <c r="BF1107" s="1834"/>
      <c r="BG1107" s="1829"/>
    </row>
    <row r="1108" spans="1:59" s="1378" customFormat="1" ht="38.25">
      <c r="A1108" s="1347" t="str">
        <f t="shared" si="1540"/>
        <v>Primer</v>
      </c>
      <c r="B1108" s="1348" t="str">
        <f t="shared" si="1541"/>
        <v>HUB SD</v>
      </c>
      <c r="C1108" s="1348">
        <f t="shared" si="1545"/>
        <v>7</v>
      </c>
      <c r="D1108" s="1349"/>
      <c r="E1108" s="1349"/>
      <c r="F1108" s="1347" t="s">
        <v>113</v>
      </c>
      <c r="G1108" s="1347" t="s">
        <v>85</v>
      </c>
      <c r="H1108" s="1347" t="s">
        <v>85</v>
      </c>
      <c r="I1108" s="1347" t="s">
        <v>113</v>
      </c>
      <c r="J1108" s="1349"/>
      <c r="K1108" s="1349" t="s">
        <v>254</v>
      </c>
      <c r="L1108" s="1350" t="s">
        <v>4682</v>
      </c>
      <c r="M1108" s="1350" t="s">
        <v>62</v>
      </c>
      <c r="N1108" s="1351" t="s">
        <v>81</v>
      </c>
      <c r="O1108" s="1352" t="s">
        <v>4688</v>
      </c>
      <c r="P1108" s="1388"/>
      <c r="Q1108" s="1354"/>
      <c r="R1108" s="1354"/>
      <c r="S1108" s="1354"/>
      <c r="T1108" s="1354"/>
      <c r="U1108" s="1354"/>
      <c r="V1108" s="1354"/>
      <c r="W1108" s="1354"/>
      <c r="X1108" s="1484"/>
      <c r="Y1108" s="1353"/>
      <c r="Z1108" s="1355"/>
      <c r="AA1108" s="1355" t="s">
        <v>4685</v>
      </c>
      <c r="AB1108" s="1356"/>
      <c r="AC1108" s="1356"/>
      <c r="AD1108" s="1422">
        <f>AH1108</f>
        <v>1974</v>
      </c>
      <c r="AE1108" s="1422">
        <f t="shared" si="1542"/>
        <v>1974</v>
      </c>
      <c r="AF1108" s="1423" t="str">
        <f t="shared" si="1543"/>
        <v/>
      </c>
      <c r="AG1108" s="1358">
        <f t="shared" si="1544"/>
        <v>164.5</v>
      </c>
      <c r="AH1108" s="1358">
        <v>1974</v>
      </c>
      <c r="AI1108" s="1359">
        <v>0.15</v>
      </c>
      <c r="AJ1108" s="1360">
        <f t="shared" si="1546"/>
        <v>24.675000000000001</v>
      </c>
      <c r="AK1108" s="1361">
        <f t="shared" si="1547"/>
        <v>296.09999999999997</v>
      </c>
      <c r="AL1108" s="1384">
        <v>0</v>
      </c>
      <c r="AM1108" s="1363">
        <f t="shared" si="1548"/>
        <v>0</v>
      </c>
      <c r="AN1108" s="1364">
        <v>0</v>
      </c>
      <c r="AO1108" s="1365">
        <f t="shared" si="1549"/>
        <v>0</v>
      </c>
      <c r="AP1108" s="1366">
        <v>0</v>
      </c>
      <c r="AQ1108" s="1367">
        <f t="shared" si="1550"/>
        <v>0</v>
      </c>
      <c r="AR1108" s="1368">
        <v>0.1</v>
      </c>
      <c r="AS1108" s="1369">
        <f t="shared" si="1551"/>
        <v>197.4</v>
      </c>
      <c r="AT1108" s="1370">
        <v>0</v>
      </c>
      <c r="AU1108" s="1371">
        <f t="shared" si="1552"/>
        <v>0</v>
      </c>
      <c r="AV1108" s="1359">
        <f t="shared" si="1553"/>
        <v>4.9999999999999989E-2</v>
      </c>
      <c r="AW1108" s="1372">
        <f t="shared" si="1554"/>
        <v>98.699999999999974</v>
      </c>
      <c r="AX1108" s="1373">
        <f t="shared" si="1555"/>
        <v>0.15</v>
      </c>
      <c r="AY1108" s="1374">
        <f t="shared" si="1556"/>
        <v>296.09999999999997</v>
      </c>
      <c r="AZ1108" s="1375">
        <f t="shared" si="1557"/>
        <v>0.15</v>
      </c>
      <c r="BA1108" s="1376">
        <f t="shared" si="1558"/>
        <v>296.09999999999997</v>
      </c>
      <c r="BB1108" s="1391"/>
      <c r="BC1108" s="1820"/>
      <c r="BD1108" s="1820"/>
      <c r="BE1108" s="1823"/>
      <c r="BF1108" s="1834"/>
      <c r="BG1108" s="1829"/>
    </row>
    <row r="1109" spans="1:59" s="1378" customFormat="1" ht="38.25">
      <c r="A1109" s="1347" t="str">
        <f t="shared" si="1540"/>
        <v>Primer</v>
      </c>
      <c r="B1109" s="1348" t="str">
        <f t="shared" si="1541"/>
        <v>HUB SD</v>
      </c>
      <c r="C1109" s="1348">
        <f t="shared" si="1545"/>
        <v>7</v>
      </c>
      <c r="D1109" s="1349"/>
      <c r="E1109" s="1349"/>
      <c r="F1109" s="1347" t="s">
        <v>113</v>
      </c>
      <c r="G1109" s="1347" t="s">
        <v>85</v>
      </c>
      <c r="H1109" s="1347" t="s">
        <v>85</v>
      </c>
      <c r="I1109" s="1347" t="s">
        <v>113</v>
      </c>
      <c r="J1109" s="1349"/>
      <c r="K1109" s="1349" t="s">
        <v>254</v>
      </c>
      <c r="L1109" s="1350" t="s">
        <v>4682</v>
      </c>
      <c r="M1109" s="1350" t="s">
        <v>67</v>
      </c>
      <c r="N1109" s="1351" t="s">
        <v>82</v>
      </c>
      <c r="O1109" s="1352" t="s">
        <v>4689</v>
      </c>
      <c r="P1109" s="1388"/>
      <c r="Q1109" s="1354"/>
      <c r="R1109" s="1354"/>
      <c r="S1109" s="1354"/>
      <c r="T1109" s="1354"/>
      <c r="U1109" s="1354"/>
      <c r="V1109" s="1354"/>
      <c r="W1109" s="1354"/>
      <c r="X1109" s="1484"/>
      <c r="Y1109" s="1353"/>
      <c r="Z1109" s="1355"/>
      <c r="AA1109" s="1355" t="s">
        <v>4685</v>
      </c>
      <c r="AB1109" s="1356"/>
      <c r="AC1109" s="1356"/>
      <c r="AD1109" s="1422">
        <f>AH1109</f>
        <v>3500</v>
      </c>
      <c r="AE1109" s="1422">
        <f t="shared" si="1542"/>
        <v>3500</v>
      </c>
      <c r="AF1109" s="1423" t="str">
        <f t="shared" si="1543"/>
        <v/>
      </c>
      <c r="AG1109" s="1358">
        <f t="shared" si="1544"/>
        <v>291.66666666666669</v>
      </c>
      <c r="AH1109" s="1539">
        <v>3500</v>
      </c>
      <c r="AI1109" s="1359">
        <v>0.15</v>
      </c>
      <c r="AJ1109" s="1360">
        <f t="shared" si="1546"/>
        <v>43.75</v>
      </c>
      <c r="AK1109" s="1361">
        <f t="shared" si="1547"/>
        <v>525</v>
      </c>
      <c r="AL1109" s="1384">
        <v>0</v>
      </c>
      <c r="AM1109" s="1363">
        <f t="shared" si="1548"/>
        <v>0</v>
      </c>
      <c r="AN1109" s="1364">
        <v>0</v>
      </c>
      <c r="AO1109" s="1365">
        <f t="shared" si="1549"/>
        <v>0</v>
      </c>
      <c r="AP1109" s="1366">
        <v>0</v>
      </c>
      <c r="AQ1109" s="1367">
        <f t="shared" si="1550"/>
        <v>0</v>
      </c>
      <c r="AR1109" s="1368">
        <v>0.1</v>
      </c>
      <c r="AS1109" s="1369">
        <f t="shared" si="1551"/>
        <v>350</v>
      </c>
      <c r="AT1109" s="1370">
        <v>0</v>
      </c>
      <c r="AU1109" s="1371">
        <f t="shared" si="1552"/>
        <v>0</v>
      </c>
      <c r="AV1109" s="1359">
        <f t="shared" si="1553"/>
        <v>4.9999999999999989E-2</v>
      </c>
      <c r="AW1109" s="1372">
        <f t="shared" si="1554"/>
        <v>174.99999999999997</v>
      </c>
      <c r="AX1109" s="1373">
        <f t="shared" si="1555"/>
        <v>0.15</v>
      </c>
      <c r="AY1109" s="1374">
        <f t="shared" si="1556"/>
        <v>525</v>
      </c>
      <c r="AZ1109" s="1375">
        <f t="shared" si="1557"/>
        <v>0.15</v>
      </c>
      <c r="BA1109" s="1376">
        <f t="shared" si="1558"/>
        <v>525</v>
      </c>
      <c r="BB1109" s="1391"/>
      <c r="BC1109" s="1820"/>
      <c r="BD1109" s="1820"/>
      <c r="BE1109" s="1823"/>
      <c r="BF1109" s="1834"/>
      <c r="BG1109" s="1829"/>
    </row>
    <row r="1110" spans="1:59" s="1378" customFormat="1" ht="38.25">
      <c r="A1110" s="1347" t="str">
        <f t="shared" si="1540"/>
        <v>Primer</v>
      </c>
      <c r="B1110" s="1348" t="str">
        <f t="shared" si="1541"/>
        <v>HUB SD</v>
      </c>
      <c r="C1110" s="1348">
        <f t="shared" si="1545"/>
        <v>7</v>
      </c>
      <c r="D1110" s="1349"/>
      <c r="E1110" s="1349"/>
      <c r="F1110" s="1347" t="s">
        <v>113</v>
      </c>
      <c r="G1110" s="1347" t="s">
        <v>85</v>
      </c>
      <c r="H1110" s="1347" t="s">
        <v>85</v>
      </c>
      <c r="I1110" s="1347" t="s">
        <v>113</v>
      </c>
      <c r="J1110" s="1349" t="s">
        <v>4690</v>
      </c>
      <c r="K1110" s="1349" t="s">
        <v>254</v>
      </c>
      <c r="L1110" s="1350" t="s">
        <v>4682</v>
      </c>
      <c r="M1110" s="1350" t="s">
        <v>4691</v>
      </c>
      <c r="N1110" s="1351" t="s">
        <v>94</v>
      </c>
      <c r="O1110" s="1352" t="s">
        <v>4692</v>
      </c>
      <c r="P1110" s="1388"/>
      <c r="Q1110" s="1354"/>
      <c r="R1110" s="1354"/>
      <c r="S1110" s="1354"/>
      <c r="T1110" s="1354"/>
      <c r="U1110" s="1354"/>
      <c r="V1110" s="1354"/>
      <c r="W1110" s="1354"/>
      <c r="X1110" s="1484"/>
      <c r="Y1110" s="1353"/>
      <c r="Z1110" s="1355"/>
      <c r="AA1110" s="1355" t="s">
        <v>4685</v>
      </c>
      <c r="AB1110" s="1422">
        <v>0</v>
      </c>
      <c r="AC1110" s="1422">
        <v>0</v>
      </c>
      <c r="AD1110" s="1422">
        <v>0</v>
      </c>
      <c r="AE1110" s="1422">
        <f t="shared" si="1542"/>
        <v>0</v>
      </c>
      <c r="AF1110" s="1423" t="str">
        <f t="shared" si="1543"/>
        <v/>
      </c>
      <c r="AG1110" s="1426">
        <f t="shared" si="1544"/>
        <v>0</v>
      </c>
      <c r="AH1110" s="1426">
        <v>0</v>
      </c>
      <c r="AI1110" s="1359">
        <v>0.15</v>
      </c>
      <c r="AJ1110" s="1360">
        <f t="shared" si="1546"/>
        <v>0</v>
      </c>
      <c r="AK1110" s="1361">
        <f t="shared" si="1547"/>
        <v>0</v>
      </c>
      <c r="AL1110" s="1384">
        <v>0</v>
      </c>
      <c r="AM1110" s="1363">
        <f t="shared" si="1548"/>
        <v>0</v>
      </c>
      <c r="AN1110" s="1364">
        <v>0</v>
      </c>
      <c r="AO1110" s="1365">
        <f t="shared" si="1549"/>
        <v>0</v>
      </c>
      <c r="AP1110" s="1366">
        <v>0</v>
      </c>
      <c r="AQ1110" s="1367">
        <f t="shared" si="1550"/>
        <v>0</v>
      </c>
      <c r="AR1110" s="1368">
        <v>0.1</v>
      </c>
      <c r="AS1110" s="1369">
        <f t="shared" si="1551"/>
        <v>0</v>
      </c>
      <c r="AT1110" s="1370">
        <v>0</v>
      </c>
      <c r="AU1110" s="1371">
        <f t="shared" si="1552"/>
        <v>0</v>
      </c>
      <c r="AV1110" s="1359">
        <f t="shared" si="1553"/>
        <v>4.9999999999999989E-2</v>
      </c>
      <c r="AW1110" s="1372">
        <f t="shared" si="1554"/>
        <v>0</v>
      </c>
      <c r="AX1110" s="1373">
        <f t="shared" si="1555"/>
        <v>0.15</v>
      </c>
      <c r="AY1110" s="1374">
        <f t="shared" si="1556"/>
        <v>0</v>
      </c>
      <c r="AZ1110" s="1375">
        <f t="shared" si="1557"/>
        <v>0.15</v>
      </c>
      <c r="BA1110" s="1376">
        <f t="shared" si="1558"/>
        <v>0</v>
      </c>
      <c r="BB1110" s="1377"/>
      <c r="BC1110" s="1820"/>
      <c r="BD1110" s="1820"/>
      <c r="BE1110" s="1823"/>
      <c r="BF1110" s="1834"/>
      <c r="BG1110" s="1829"/>
    </row>
    <row r="1111" spans="1:59" s="1378" customFormat="1" ht="38.25">
      <c r="A1111" s="1347" t="str">
        <f t="shared" si="1540"/>
        <v>Primer</v>
      </c>
      <c r="B1111" s="1348" t="str">
        <f t="shared" si="1541"/>
        <v>HUB SD</v>
      </c>
      <c r="C1111" s="1348">
        <f t="shared" si="1545"/>
        <v>7</v>
      </c>
      <c r="D1111" s="1349"/>
      <c r="E1111" s="1349"/>
      <c r="F1111" s="1347" t="s">
        <v>113</v>
      </c>
      <c r="G1111" s="1347" t="s">
        <v>85</v>
      </c>
      <c r="H1111" s="1347" t="s">
        <v>85</v>
      </c>
      <c r="I1111" s="1347" t="s">
        <v>113</v>
      </c>
      <c r="J1111" s="1349" t="s">
        <v>4690</v>
      </c>
      <c r="K1111" s="1349" t="s">
        <v>254</v>
      </c>
      <c r="L1111" s="1350" t="s">
        <v>4682</v>
      </c>
      <c r="M1111" s="1350" t="s">
        <v>4691</v>
      </c>
      <c r="N1111" s="1351" t="s">
        <v>98</v>
      </c>
      <c r="O1111" s="1352" t="s">
        <v>4693</v>
      </c>
      <c r="P1111" s="1388"/>
      <c r="Q1111" s="1354"/>
      <c r="R1111" s="1354"/>
      <c r="S1111" s="1354"/>
      <c r="T1111" s="1354"/>
      <c r="U1111" s="1354"/>
      <c r="V1111" s="1354"/>
      <c r="W1111" s="1354"/>
      <c r="X1111" s="1484"/>
      <c r="Y1111" s="1353"/>
      <c r="Z1111" s="1355"/>
      <c r="AA1111" s="1355" t="s">
        <v>4685</v>
      </c>
      <c r="AB1111" s="1422">
        <v>0</v>
      </c>
      <c r="AC1111" s="1422">
        <v>0</v>
      </c>
      <c r="AD1111" s="1422">
        <v>0</v>
      </c>
      <c r="AE1111" s="1422">
        <f t="shared" si="1542"/>
        <v>0</v>
      </c>
      <c r="AF1111" s="1423" t="str">
        <f t="shared" si="1543"/>
        <v/>
      </c>
      <c r="AG1111" s="1426">
        <f t="shared" si="1544"/>
        <v>0</v>
      </c>
      <c r="AH1111" s="1426">
        <v>0</v>
      </c>
      <c r="AI1111" s="1359">
        <v>0.15</v>
      </c>
      <c r="AJ1111" s="1360">
        <f t="shared" si="1546"/>
        <v>0</v>
      </c>
      <c r="AK1111" s="1361">
        <f t="shared" si="1547"/>
        <v>0</v>
      </c>
      <c r="AL1111" s="1384">
        <v>0</v>
      </c>
      <c r="AM1111" s="1363">
        <f t="shared" si="1548"/>
        <v>0</v>
      </c>
      <c r="AN1111" s="1364">
        <v>0</v>
      </c>
      <c r="AO1111" s="1365">
        <f t="shared" si="1549"/>
        <v>0</v>
      </c>
      <c r="AP1111" s="1366">
        <v>0</v>
      </c>
      <c r="AQ1111" s="1367">
        <f t="shared" si="1550"/>
        <v>0</v>
      </c>
      <c r="AR1111" s="1368">
        <v>0.1</v>
      </c>
      <c r="AS1111" s="1369">
        <f t="shared" si="1551"/>
        <v>0</v>
      </c>
      <c r="AT1111" s="1370">
        <v>0</v>
      </c>
      <c r="AU1111" s="1371">
        <f t="shared" si="1552"/>
        <v>0</v>
      </c>
      <c r="AV1111" s="1359">
        <f t="shared" si="1553"/>
        <v>4.9999999999999989E-2</v>
      </c>
      <c r="AW1111" s="1372">
        <f t="shared" si="1554"/>
        <v>0</v>
      </c>
      <c r="AX1111" s="1373">
        <f t="shared" si="1555"/>
        <v>0.15</v>
      </c>
      <c r="AY1111" s="1374">
        <f t="shared" si="1556"/>
        <v>0</v>
      </c>
      <c r="AZ1111" s="1375">
        <f t="shared" si="1557"/>
        <v>0.15</v>
      </c>
      <c r="BA1111" s="1376">
        <f t="shared" si="1558"/>
        <v>0</v>
      </c>
      <c r="BB1111" s="1377"/>
      <c r="BC1111" s="1820"/>
      <c r="BD1111" s="1820"/>
      <c r="BE1111" s="1823"/>
      <c r="BF1111" s="1834"/>
      <c r="BG1111" s="1829"/>
    </row>
    <row r="1112" spans="1:59" s="1378" customFormat="1" ht="27.75" customHeight="1">
      <c r="A1112" s="1347" t="str">
        <f t="shared" si="1540"/>
        <v>Primer</v>
      </c>
      <c r="B1112" s="1348" t="str">
        <f t="shared" si="1541"/>
        <v>HUB SD</v>
      </c>
      <c r="C1112" s="1348">
        <f t="shared" si="1545"/>
        <v>7</v>
      </c>
      <c r="D1112" s="1349"/>
      <c r="E1112" s="1349"/>
      <c r="F1112" s="1347" t="s">
        <v>72</v>
      </c>
      <c r="G1112" s="1347" t="s">
        <v>85</v>
      </c>
      <c r="H1112" s="1347" t="s">
        <v>72</v>
      </c>
      <c r="I1112" s="1347" t="s">
        <v>72</v>
      </c>
      <c r="J1112" s="1349" t="s">
        <v>4670</v>
      </c>
      <c r="K1112" s="1349" t="s">
        <v>254</v>
      </c>
      <c r="L1112" s="1350" t="s">
        <v>4696</v>
      </c>
      <c r="M1112" s="1350" t="s">
        <v>4697</v>
      </c>
      <c r="N1112" s="1389" t="s">
        <v>4698</v>
      </c>
      <c r="O1112" s="1352" t="s">
        <v>4699</v>
      </c>
      <c r="P1112" s="1388"/>
      <c r="Q1112" s="1354"/>
      <c r="R1112" s="1354"/>
      <c r="S1112" s="1354"/>
      <c r="T1112" s="1354"/>
      <c r="U1112" s="1354"/>
      <c r="V1112" s="1354"/>
      <c r="W1112" s="1354"/>
      <c r="X1112" s="1484"/>
      <c r="Y1112" s="1353"/>
      <c r="Z1112" s="1355"/>
      <c r="AA1112" s="1355" t="s">
        <v>4674</v>
      </c>
      <c r="AB1112" s="1356"/>
      <c r="AC1112" s="1356"/>
      <c r="AD1112" s="1422">
        <v>0</v>
      </c>
      <c r="AE1112" s="1422">
        <f t="shared" si="1542"/>
        <v>0</v>
      </c>
      <c r="AF1112" s="1423" t="str">
        <f t="shared" si="1543"/>
        <v/>
      </c>
      <c r="AG1112" s="1380">
        <f t="shared" si="1544"/>
        <v>0</v>
      </c>
      <c r="AH1112" s="1380"/>
      <c r="AI1112" s="1381">
        <v>0</v>
      </c>
      <c r="AJ1112" s="1382">
        <f t="shared" si="1546"/>
        <v>0</v>
      </c>
      <c r="AK1112" s="1383">
        <f t="shared" si="1547"/>
        <v>0</v>
      </c>
      <c r="AL1112" s="1384">
        <v>0</v>
      </c>
      <c r="AM1112" s="1363">
        <f t="shared" si="1548"/>
        <v>0</v>
      </c>
      <c r="AN1112" s="1364">
        <v>0</v>
      </c>
      <c r="AO1112" s="1365">
        <f t="shared" si="1549"/>
        <v>0</v>
      </c>
      <c r="AP1112" s="1366">
        <v>0</v>
      </c>
      <c r="AQ1112" s="1367">
        <f t="shared" si="1550"/>
        <v>0</v>
      </c>
      <c r="AR1112" s="1368">
        <v>0</v>
      </c>
      <c r="AS1112" s="1369">
        <f t="shared" si="1551"/>
        <v>0</v>
      </c>
      <c r="AT1112" s="1370">
        <v>0</v>
      </c>
      <c r="AU1112" s="1371">
        <f t="shared" si="1552"/>
        <v>0</v>
      </c>
      <c r="AV1112" s="1359">
        <f t="shared" si="1553"/>
        <v>0</v>
      </c>
      <c r="AW1112" s="1372">
        <f t="shared" si="1554"/>
        <v>0</v>
      </c>
      <c r="AX1112" s="1373">
        <f t="shared" si="1555"/>
        <v>0</v>
      </c>
      <c r="AY1112" s="1374">
        <f t="shared" si="1556"/>
        <v>0</v>
      </c>
      <c r="AZ1112" s="1375">
        <f t="shared" si="1557"/>
        <v>0</v>
      </c>
      <c r="BA1112" s="1376">
        <f t="shared" si="1558"/>
        <v>0</v>
      </c>
      <c r="BB1112" s="1377"/>
      <c r="BC1112" s="1820"/>
      <c r="BD1112" s="1820"/>
      <c r="BE1112" s="1823"/>
      <c r="BF1112" s="1834"/>
      <c r="BG1112" s="1829"/>
    </row>
    <row r="1113" spans="1:59" s="1378" customFormat="1" ht="25.5">
      <c r="A1113" s="1347" t="str">
        <f t="shared" si="1540"/>
        <v>Primer</v>
      </c>
      <c r="B1113" s="1348" t="str">
        <f t="shared" si="1541"/>
        <v>HUB SD</v>
      </c>
      <c r="C1113" s="1348">
        <f t="shared" si="1545"/>
        <v>7</v>
      </c>
      <c r="D1113" s="1349"/>
      <c r="E1113" s="1349"/>
      <c r="F1113" s="1347" t="s">
        <v>72</v>
      </c>
      <c r="G1113" s="1347" t="s">
        <v>85</v>
      </c>
      <c r="H1113" s="1347" t="s">
        <v>72</v>
      </c>
      <c r="I1113" s="1347" t="s">
        <v>72</v>
      </c>
      <c r="J1113" s="1349" t="s">
        <v>4670</v>
      </c>
      <c r="K1113" s="1349" t="s">
        <v>254</v>
      </c>
      <c r="L1113" s="1350" t="s">
        <v>48</v>
      </c>
      <c r="M1113" s="1350" t="s">
        <v>3652</v>
      </c>
      <c r="N1113" s="1390" t="s">
        <v>4877</v>
      </c>
      <c r="O1113" s="1352" t="s">
        <v>4702</v>
      </c>
      <c r="P1113" s="1388"/>
      <c r="Q1113" s="1354"/>
      <c r="R1113" s="1354"/>
      <c r="S1113" s="1354"/>
      <c r="T1113" s="1354"/>
      <c r="U1113" s="1354"/>
      <c r="V1113" s="1354"/>
      <c r="W1113" s="1354"/>
      <c r="X1113" s="1484"/>
      <c r="Y1113" s="1353"/>
      <c r="Z1113" s="1355"/>
      <c r="AA1113" s="1355" t="s">
        <v>4674</v>
      </c>
      <c r="AB1113" s="1356"/>
      <c r="AC1113" s="1356"/>
      <c r="AD1113" s="1422">
        <v>0</v>
      </c>
      <c r="AE1113" s="1422">
        <f t="shared" si="1542"/>
        <v>0</v>
      </c>
      <c r="AF1113" s="1423" t="str">
        <f t="shared" si="1543"/>
        <v/>
      </c>
      <c r="AG1113" s="1380">
        <f t="shared" si="1544"/>
        <v>0</v>
      </c>
      <c r="AH1113" s="1380"/>
      <c r="AI1113" s="1381">
        <v>0</v>
      </c>
      <c r="AJ1113" s="1382">
        <f t="shared" si="1546"/>
        <v>0</v>
      </c>
      <c r="AK1113" s="1383">
        <f t="shared" si="1547"/>
        <v>0</v>
      </c>
      <c r="AL1113" s="1384">
        <v>0</v>
      </c>
      <c r="AM1113" s="1363">
        <f t="shared" si="1548"/>
        <v>0</v>
      </c>
      <c r="AN1113" s="1364">
        <v>0</v>
      </c>
      <c r="AO1113" s="1365">
        <f t="shared" si="1549"/>
        <v>0</v>
      </c>
      <c r="AP1113" s="1366">
        <v>0</v>
      </c>
      <c r="AQ1113" s="1367">
        <f t="shared" si="1550"/>
        <v>0</v>
      </c>
      <c r="AR1113" s="1368">
        <v>0</v>
      </c>
      <c r="AS1113" s="1369">
        <f t="shared" si="1551"/>
        <v>0</v>
      </c>
      <c r="AT1113" s="1370">
        <v>0</v>
      </c>
      <c r="AU1113" s="1371">
        <f t="shared" si="1552"/>
        <v>0</v>
      </c>
      <c r="AV1113" s="1359">
        <f t="shared" si="1553"/>
        <v>0</v>
      </c>
      <c r="AW1113" s="1372">
        <f t="shared" si="1554"/>
        <v>0</v>
      </c>
      <c r="AX1113" s="1373">
        <f t="shared" si="1555"/>
        <v>0</v>
      </c>
      <c r="AY1113" s="1374">
        <f t="shared" si="1556"/>
        <v>0</v>
      </c>
      <c r="AZ1113" s="1375">
        <f t="shared" si="1557"/>
        <v>0</v>
      </c>
      <c r="BA1113" s="1376">
        <f t="shared" si="1558"/>
        <v>0</v>
      </c>
      <c r="BB1113" s="1377"/>
      <c r="BC1113" s="1820"/>
      <c r="BD1113" s="1820"/>
      <c r="BE1113" s="1823"/>
      <c r="BF1113" s="1834"/>
      <c r="BG1113" s="1829"/>
    </row>
    <row r="1114" spans="1:59" s="1378" customFormat="1" ht="25.5">
      <c r="A1114" s="1347" t="str">
        <f t="shared" si="1540"/>
        <v>Primer</v>
      </c>
      <c r="B1114" s="1348" t="str">
        <f t="shared" si="1541"/>
        <v>HUB SD</v>
      </c>
      <c r="C1114" s="1348">
        <f t="shared" si="1545"/>
        <v>7</v>
      </c>
      <c r="D1114" s="1349"/>
      <c r="E1114" s="1349"/>
      <c r="F1114" s="1347" t="s">
        <v>72</v>
      </c>
      <c r="G1114" s="1347" t="s">
        <v>85</v>
      </c>
      <c r="H1114" s="1347" t="s">
        <v>72</v>
      </c>
      <c r="I1114" s="1347" t="s">
        <v>72</v>
      </c>
      <c r="J1114" s="1349" t="s">
        <v>4670</v>
      </c>
      <c r="K1114" s="1349" t="s">
        <v>254</v>
      </c>
      <c r="L1114" s="1350" t="s">
        <v>48</v>
      </c>
      <c r="M1114" s="1350" t="s">
        <v>253</v>
      </c>
      <c r="N1114" s="1390" t="s">
        <v>4703</v>
      </c>
      <c r="O1114" s="1352" t="s">
        <v>4704</v>
      </c>
      <c r="P1114" s="1388"/>
      <c r="Q1114" s="1354"/>
      <c r="R1114" s="1354"/>
      <c r="S1114" s="1354"/>
      <c r="T1114" s="1354"/>
      <c r="U1114" s="1354"/>
      <c r="V1114" s="1354"/>
      <c r="W1114" s="1354"/>
      <c r="X1114" s="1484"/>
      <c r="Y1114" s="1353"/>
      <c r="Z1114" s="1355"/>
      <c r="AA1114" s="1355" t="s">
        <v>4674</v>
      </c>
      <c r="AB1114" s="1356"/>
      <c r="AC1114" s="1356"/>
      <c r="AD1114" s="1422">
        <v>0</v>
      </c>
      <c r="AE1114" s="1422">
        <f t="shared" si="1542"/>
        <v>0</v>
      </c>
      <c r="AF1114" s="1423" t="str">
        <f t="shared" si="1543"/>
        <v/>
      </c>
      <c r="AG1114" s="1380">
        <f t="shared" si="1544"/>
        <v>0</v>
      </c>
      <c r="AH1114" s="1380"/>
      <c r="AI1114" s="1381">
        <v>0</v>
      </c>
      <c r="AJ1114" s="1382">
        <f t="shared" si="1546"/>
        <v>0</v>
      </c>
      <c r="AK1114" s="1383">
        <f t="shared" si="1547"/>
        <v>0</v>
      </c>
      <c r="AL1114" s="1384">
        <v>0</v>
      </c>
      <c r="AM1114" s="1363">
        <f t="shared" si="1548"/>
        <v>0</v>
      </c>
      <c r="AN1114" s="1364">
        <v>0</v>
      </c>
      <c r="AO1114" s="1365">
        <f t="shared" si="1549"/>
        <v>0</v>
      </c>
      <c r="AP1114" s="1366">
        <v>0</v>
      </c>
      <c r="AQ1114" s="1367">
        <f t="shared" si="1550"/>
        <v>0</v>
      </c>
      <c r="AR1114" s="1368">
        <v>0</v>
      </c>
      <c r="AS1114" s="1369">
        <f t="shared" si="1551"/>
        <v>0</v>
      </c>
      <c r="AT1114" s="1370">
        <v>0</v>
      </c>
      <c r="AU1114" s="1371">
        <f t="shared" si="1552"/>
        <v>0</v>
      </c>
      <c r="AV1114" s="1359">
        <f t="shared" si="1553"/>
        <v>0</v>
      </c>
      <c r="AW1114" s="1372">
        <f t="shared" si="1554"/>
        <v>0</v>
      </c>
      <c r="AX1114" s="1373">
        <f t="shared" si="1555"/>
        <v>0</v>
      </c>
      <c r="AY1114" s="1374">
        <f t="shared" si="1556"/>
        <v>0</v>
      </c>
      <c r="AZ1114" s="1375">
        <f t="shared" si="1557"/>
        <v>0</v>
      </c>
      <c r="BA1114" s="1376">
        <f t="shared" si="1558"/>
        <v>0</v>
      </c>
      <c r="BB1114" s="1391"/>
      <c r="BC1114" s="1820"/>
      <c r="BD1114" s="1820"/>
      <c r="BE1114" s="1823"/>
      <c r="BF1114" s="1834"/>
      <c r="BG1114" s="1829"/>
    </row>
    <row r="1115" spans="1:59" s="1378" customFormat="1" ht="25.5">
      <c r="A1115" s="1347" t="str">
        <f t="shared" si="1540"/>
        <v>Primer</v>
      </c>
      <c r="B1115" s="1348" t="str">
        <f t="shared" si="1541"/>
        <v>HUB SD</v>
      </c>
      <c r="C1115" s="1348">
        <f t="shared" si="1545"/>
        <v>7</v>
      </c>
      <c r="D1115" s="1349"/>
      <c r="E1115" s="1349"/>
      <c r="F1115" s="1347" t="s">
        <v>72</v>
      </c>
      <c r="G1115" s="1347" t="s">
        <v>85</v>
      </c>
      <c r="H1115" s="1347" t="s">
        <v>72</v>
      </c>
      <c r="I1115" s="1347" t="s">
        <v>72</v>
      </c>
      <c r="J1115" s="1349" t="s">
        <v>4670</v>
      </c>
      <c r="K1115" s="1349" t="s">
        <v>254</v>
      </c>
      <c r="L1115" s="1350" t="s">
        <v>49</v>
      </c>
      <c r="M1115" s="1350" t="s">
        <v>4705</v>
      </c>
      <c r="N1115" s="1390" t="s">
        <v>4706</v>
      </c>
      <c r="O1115" s="1352" t="s">
        <v>4707</v>
      </c>
      <c r="P1115" s="1388"/>
      <c r="Q1115" s="1354"/>
      <c r="R1115" s="1354"/>
      <c r="S1115" s="1354"/>
      <c r="T1115" s="1354"/>
      <c r="U1115" s="1354"/>
      <c r="V1115" s="1354"/>
      <c r="W1115" s="1354"/>
      <c r="X1115" s="1484"/>
      <c r="Y1115" s="1353"/>
      <c r="Z1115" s="1355"/>
      <c r="AA1115" s="1355" t="s">
        <v>4674</v>
      </c>
      <c r="AB1115" s="1356"/>
      <c r="AC1115" s="1356"/>
      <c r="AD1115" s="1422">
        <v>0</v>
      </c>
      <c r="AE1115" s="1422">
        <f t="shared" si="1542"/>
        <v>0</v>
      </c>
      <c r="AF1115" s="1423" t="str">
        <f t="shared" si="1543"/>
        <v/>
      </c>
      <c r="AG1115" s="1380">
        <f t="shared" si="1544"/>
        <v>0</v>
      </c>
      <c r="AH1115" s="1380"/>
      <c r="AI1115" s="1381">
        <v>0</v>
      </c>
      <c r="AJ1115" s="1382">
        <f t="shared" si="1546"/>
        <v>0</v>
      </c>
      <c r="AK1115" s="1383">
        <f t="shared" si="1547"/>
        <v>0</v>
      </c>
      <c r="AL1115" s="1384">
        <v>0</v>
      </c>
      <c r="AM1115" s="1363">
        <f t="shared" si="1548"/>
        <v>0</v>
      </c>
      <c r="AN1115" s="1364">
        <v>0</v>
      </c>
      <c r="AO1115" s="1365">
        <f t="shared" si="1549"/>
        <v>0</v>
      </c>
      <c r="AP1115" s="1366">
        <v>0</v>
      </c>
      <c r="AQ1115" s="1367">
        <f t="shared" si="1550"/>
        <v>0</v>
      </c>
      <c r="AR1115" s="1368">
        <v>0</v>
      </c>
      <c r="AS1115" s="1369">
        <f t="shared" si="1551"/>
        <v>0</v>
      </c>
      <c r="AT1115" s="1370">
        <v>0</v>
      </c>
      <c r="AU1115" s="1371">
        <f t="shared" si="1552"/>
        <v>0</v>
      </c>
      <c r="AV1115" s="1359">
        <f t="shared" si="1553"/>
        <v>0</v>
      </c>
      <c r="AW1115" s="1372">
        <f t="shared" si="1554"/>
        <v>0</v>
      </c>
      <c r="AX1115" s="1373">
        <f t="shared" si="1555"/>
        <v>0</v>
      </c>
      <c r="AY1115" s="1374">
        <f t="shared" si="1556"/>
        <v>0</v>
      </c>
      <c r="AZ1115" s="1375">
        <f t="shared" si="1557"/>
        <v>0</v>
      </c>
      <c r="BA1115" s="1376">
        <f t="shared" si="1558"/>
        <v>0</v>
      </c>
      <c r="BB1115" s="1391"/>
      <c r="BC1115" s="1820"/>
      <c r="BD1115" s="1820"/>
      <c r="BE1115" s="1823"/>
      <c r="BF1115" s="1834"/>
      <c r="BG1115" s="1829"/>
    </row>
    <row r="1116" spans="1:59" s="1378" customFormat="1" ht="25.5">
      <c r="A1116" s="1347" t="str">
        <f t="shared" si="1540"/>
        <v>Primer</v>
      </c>
      <c r="B1116" s="1348" t="str">
        <f t="shared" si="1541"/>
        <v>HUB SD</v>
      </c>
      <c r="C1116" s="1348">
        <f t="shared" si="1545"/>
        <v>7</v>
      </c>
      <c r="D1116" s="1349"/>
      <c r="E1116" s="1349"/>
      <c r="F1116" s="1347" t="s">
        <v>72</v>
      </c>
      <c r="G1116" s="1347" t="s">
        <v>85</v>
      </c>
      <c r="H1116" s="1347" t="s">
        <v>72</v>
      </c>
      <c r="I1116" s="1347" t="s">
        <v>72</v>
      </c>
      <c r="J1116" s="1349" t="s">
        <v>4670</v>
      </c>
      <c r="K1116" s="1349" t="s">
        <v>254</v>
      </c>
      <c r="L1116" s="1350" t="s">
        <v>3056</v>
      </c>
      <c r="M1116" s="1350" t="s">
        <v>4708</v>
      </c>
      <c r="N1116" s="1390" t="s">
        <v>4709</v>
      </c>
      <c r="O1116" s="1352" t="s">
        <v>4710</v>
      </c>
      <c r="P1116" s="1388"/>
      <c r="Q1116" s="1354"/>
      <c r="R1116" s="1354"/>
      <c r="S1116" s="1354"/>
      <c r="T1116" s="1354"/>
      <c r="U1116" s="1354"/>
      <c r="V1116" s="1354"/>
      <c r="W1116" s="1354"/>
      <c r="X1116" s="1484"/>
      <c r="Y1116" s="1353"/>
      <c r="Z1116" s="1355"/>
      <c r="AA1116" s="1355" t="s">
        <v>4674</v>
      </c>
      <c r="AB1116" s="1356"/>
      <c r="AC1116" s="1356"/>
      <c r="AD1116" s="1422">
        <v>0</v>
      </c>
      <c r="AE1116" s="1422">
        <f t="shared" si="1542"/>
        <v>0</v>
      </c>
      <c r="AF1116" s="1423" t="str">
        <f t="shared" si="1543"/>
        <v/>
      </c>
      <c r="AG1116" s="1380">
        <f t="shared" si="1544"/>
        <v>0</v>
      </c>
      <c r="AH1116" s="1380"/>
      <c r="AI1116" s="1381">
        <v>0</v>
      </c>
      <c r="AJ1116" s="1382">
        <f t="shared" si="1546"/>
        <v>0</v>
      </c>
      <c r="AK1116" s="1383">
        <f t="shared" si="1547"/>
        <v>0</v>
      </c>
      <c r="AL1116" s="1384">
        <v>0</v>
      </c>
      <c r="AM1116" s="1363">
        <f t="shared" si="1548"/>
        <v>0</v>
      </c>
      <c r="AN1116" s="1364">
        <v>0</v>
      </c>
      <c r="AO1116" s="1365">
        <f t="shared" si="1549"/>
        <v>0</v>
      </c>
      <c r="AP1116" s="1366">
        <v>0</v>
      </c>
      <c r="AQ1116" s="1367">
        <f t="shared" si="1550"/>
        <v>0</v>
      </c>
      <c r="AR1116" s="1368">
        <v>0</v>
      </c>
      <c r="AS1116" s="1369">
        <f t="shared" si="1551"/>
        <v>0</v>
      </c>
      <c r="AT1116" s="1370">
        <v>0</v>
      </c>
      <c r="AU1116" s="1371">
        <f t="shared" si="1552"/>
        <v>0</v>
      </c>
      <c r="AV1116" s="1359">
        <f t="shared" si="1553"/>
        <v>0</v>
      </c>
      <c r="AW1116" s="1372">
        <f t="shared" si="1554"/>
        <v>0</v>
      </c>
      <c r="AX1116" s="1373">
        <f t="shared" si="1555"/>
        <v>0</v>
      </c>
      <c r="AY1116" s="1374">
        <f t="shared" si="1556"/>
        <v>0</v>
      </c>
      <c r="AZ1116" s="1375">
        <f t="shared" si="1557"/>
        <v>0</v>
      </c>
      <c r="BA1116" s="1376">
        <f t="shared" si="1558"/>
        <v>0</v>
      </c>
      <c r="BB1116" s="1391"/>
      <c r="BC1116" s="1821"/>
      <c r="BD1116" s="1821"/>
      <c r="BE1116" s="1824"/>
      <c r="BF1116" s="1834"/>
      <c r="BG1116" s="1830"/>
    </row>
    <row r="1117" spans="1:59" s="1575" customFormat="1">
      <c r="A1117" s="1540"/>
      <c r="B1117" s="1541"/>
      <c r="C1117" s="1541"/>
      <c r="D1117" s="1542"/>
      <c r="E1117" s="1542"/>
      <c r="F1117" s="1543"/>
      <c r="G1117" s="1543"/>
      <c r="H1117" s="1543"/>
      <c r="I1117" s="1543"/>
      <c r="J1117" s="1542"/>
      <c r="K1117" s="1542"/>
      <c r="L1117" s="1544"/>
      <c r="M1117" s="1544"/>
      <c r="N1117" s="1545"/>
      <c r="O1117" s="1546"/>
      <c r="P1117" s="1547"/>
      <c r="Q1117" s="1548"/>
      <c r="R1117" s="1548"/>
      <c r="S1117" s="1548"/>
      <c r="T1117" s="1548"/>
      <c r="U1117" s="1548"/>
      <c r="V1117" s="1548"/>
      <c r="W1117" s="1548"/>
      <c r="X1117" s="1549"/>
      <c r="Y1117" s="1550"/>
      <c r="Z1117" s="1551"/>
      <c r="AA1117" s="1551"/>
      <c r="AB1117" s="1552"/>
      <c r="AC1117" s="1552"/>
      <c r="AD1117" s="1553"/>
      <c r="AE1117" s="1553"/>
      <c r="AF1117" s="1554"/>
      <c r="AG1117" s="1555"/>
      <c r="AH1117" s="1555"/>
      <c r="AI1117" s="1556"/>
      <c r="AJ1117" s="1557"/>
      <c r="AK1117" s="1557"/>
      <c r="AL1117" s="1558"/>
      <c r="AM1117" s="1559"/>
      <c r="AN1117" s="1560"/>
      <c r="AO1117" s="1561"/>
      <c r="AP1117" s="1562"/>
      <c r="AQ1117" s="1563"/>
      <c r="AR1117" s="1564"/>
      <c r="AS1117" s="1565"/>
      <c r="AT1117" s="1566"/>
      <c r="AU1117" s="1559"/>
      <c r="AV1117" s="1567"/>
      <c r="AW1117" s="1568"/>
      <c r="AX1117" s="1569"/>
      <c r="AY1117" s="1570"/>
      <c r="AZ1117" s="1571"/>
      <c r="BA1117" s="1572"/>
      <c r="BB1117" s="1391"/>
      <c r="BC1117" s="1573"/>
      <c r="BD1117" s="1573"/>
      <c r="BE1117" s="1573"/>
      <c r="BF1117" s="1551"/>
      <c r="BG1117" s="1574"/>
    </row>
    <row r="1118" spans="1:59" s="1315" customFormat="1" ht="38.25">
      <c r="A1118" s="1277" t="str">
        <f t="shared" ref="A1118:A1132" si="1559">$L$1118</f>
        <v>Applied Proteomics Inc.</v>
      </c>
      <c r="B1118" s="1277" t="s">
        <v>4660</v>
      </c>
      <c r="C1118" s="1316">
        <f t="shared" ref="C1118:C1132" si="1560">$Z$1118</f>
        <v>17</v>
      </c>
      <c r="D1118" s="1317">
        <v>42736</v>
      </c>
      <c r="E1118" s="1317">
        <v>43131</v>
      </c>
      <c r="F1118" s="1277" t="s">
        <v>72</v>
      </c>
      <c r="G1118" s="1277" t="s">
        <v>72</v>
      </c>
      <c r="H1118" s="1277" t="s">
        <v>72</v>
      </c>
      <c r="I1118" s="1277" t="s">
        <v>4711</v>
      </c>
      <c r="J1118" s="1317"/>
      <c r="K1118" s="1317"/>
      <c r="L1118" s="1318" t="s">
        <v>90</v>
      </c>
      <c r="M1118" s="1319"/>
      <c r="N1118" s="1320" t="s">
        <v>4661</v>
      </c>
      <c r="O1118" s="1321" t="s">
        <v>2474</v>
      </c>
      <c r="P1118" s="1321"/>
      <c r="Q1118" s="1322"/>
      <c r="R1118" s="1322"/>
      <c r="S1118" s="1322"/>
      <c r="T1118" s="1322"/>
      <c r="U1118" s="1322"/>
      <c r="V1118" s="1322"/>
      <c r="W1118" s="1322"/>
      <c r="X1118" s="1317">
        <v>43101</v>
      </c>
      <c r="Y1118" s="1317">
        <v>43466</v>
      </c>
      <c r="Z1118" s="1316">
        <v>17</v>
      </c>
      <c r="AA1118" s="1316" t="s">
        <v>5429</v>
      </c>
      <c r="AB1118" s="1323">
        <f>SUM(AB1119:AB1133)</f>
        <v>0</v>
      </c>
      <c r="AC1118" s="1323">
        <f>SUM(AC1119:AC1133)</f>
        <v>0</v>
      </c>
      <c r="AD1118" s="1323">
        <f>SUM(AD1119:AD1133)</f>
        <v>0</v>
      </c>
      <c r="AE1118" s="1324">
        <f t="shared" ref="AE1118:AE1133" si="1561">AD1118-AB1118</f>
        <v>0</v>
      </c>
      <c r="AF1118" s="1325" t="str">
        <f t="shared" ref="AF1118:AF1133" si="1562">IFERROR((AE1118/AB1118),"")</f>
        <v/>
      </c>
      <c r="AG1118" s="1326"/>
      <c r="AH1118" s="1326">
        <f>SUM(AH1119:AH1133)</f>
        <v>147645.52999999997</v>
      </c>
      <c r="AI1118" s="1327"/>
      <c r="AJ1118" s="1328">
        <f>SUM(AJ1119:AJ1133)</f>
        <v>0</v>
      </c>
      <c r="AK1118" s="1328">
        <f>SUM(AK1119:AK1133)</f>
        <v>12764.789499999999</v>
      </c>
      <c r="AL1118" s="1329"/>
      <c r="AM1118" s="1330">
        <f>SUM(AM1119:AM1133)</f>
        <v>606.02499999999998</v>
      </c>
      <c r="AN1118" s="1331"/>
      <c r="AO1118" s="1332">
        <f>SUM(AO1119:AO1133)</f>
        <v>0</v>
      </c>
      <c r="AP1118" s="1333"/>
      <c r="AQ1118" s="1334">
        <f>SUM(AQ1119:AQ1133)</f>
        <v>0</v>
      </c>
      <c r="AR1118" s="1335"/>
      <c r="AS1118" s="1336">
        <f>SUM(AS1119:AS1133)</f>
        <v>7133.1770000000006</v>
      </c>
      <c r="AT1118" s="1337"/>
      <c r="AU1118" s="1338">
        <f>SUM(AU1119:AU1133)</f>
        <v>3030.125</v>
      </c>
      <c r="AV1118" s="1339"/>
      <c r="AW1118" s="1340">
        <f>SUM(AW1119:AW1133)</f>
        <v>1995.4624999999994</v>
      </c>
      <c r="AX1118" s="1306"/>
      <c r="AY1118" s="1307">
        <f>SUM(AW1118+AS1118+AU1118)</f>
        <v>12158.764499999999</v>
      </c>
      <c r="AZ1118" s="1341"/>
      <c r="BA1118" s="1309">
        <f>SUM(AY1118+AQ1118)</f>
        <v>12158.764499999999</v>
      </c>
      <c r="BB1118" s="1342">
        <f>(AW1118+AU1118)/(AK1118-AM1118)</f>
        <v>0.41333044159215354</v>
      </c>
      <c r="BC1118" s="1343"/>
      <c r="BD1118" s="1343"/>
      <c r="BE1118" s="1344"/>
      <c r="BF1118" s="1345" t="s">
        <v>5430</v>
      </c>
      <c r="BG1118" s="1346"/>
    </row>
    <row r="1119" spans="1:59" s="1378" customFormat="1" ht="75.75" customHeight="1">
      <c r="A1119" s="1347" t="str">
        <f t="shared" si="1559"/>
        <v>Applied Proteomics Inc.</v>
      </c>
      <c r="B1119" s="1347" t="s">
        <v>4660</v>
      </c>
      <c r="C1119" s="1348">
        <f t="shared" si="1560"/>
        <v>17</v>
      </c>
      <c r="D1119" s="1349">
        <v>42736</v>
      </c>
      <c r="E1119" s="1349">
        <f t="shared" ref="E1119:E1133" si="1563">$E$1118</f>
        <v>43131</v>
      </c>
      <c r="F1119" s="1347" t="s">
        <v>85</v>
      </c>
      <c r="G1119" s="1347" t="s">
        <v>85</v>
      </c>
      <c r="H1119" s="1347" t="s">
        <v>85</v>
      </c>
      <c r="I1119" s="1347" t="s">
        <v>113</v>
      </c>
      <c r="J1119" s="1349"/>
      <c r="K1119" s="1349" t="s">
        <v>254</v>
      </c>
      <c r="L1119" s="1350" t="s">
        <v>2661</v>
      </c>
      <c r="M1119" s="1350" t="s">
        <v>3647</v>
      </c>
      <c r="N1119" s="1351" t="s">
        <v>5431</v>
      </c>
      <c r="O1119" s="1352" t="s">
        <v>5432</v>
      </c>
      <c r="P1119" s="1352" t="s">
        <v>5003</v>
      </c>
      <c r="Q1119" s="1353" t="s">
        <v>317</v>
      </c>
      <c r="R1119" s="1353" t="s">
        <v>3648</v>
      </c>
      <c r="S1119" s="1353" t="s">
        <v>307</v>
      </c>
      <c r="T1119" s="1353" t="s">
        <v>113</v>
      </c>
      <c r="U1119" s="1354"/>
      <c r="V1119" s="1354"/>
      <c r="W1119" s="1354"/>
      <c r="X1119" s="1353">
        <v>43101</v>
      </c>
      <c r="Y1119" s="1353">
        <v>43466</v>
      </c>
      <c r="Z1119" s="1355"/>
      <c r="AA1119" s="1355" t="s">
        <v>4667</v>
      </c>
      <c r="AB1119" s="1356"/>
      <c r="AC1119" s="1356"/>
      <c r="AD1119" s="1422">
        <v>0</v>
      </c>
      <c r="AE1119" s="1422">
        <f t="shared" si="1561"/>
        <v>0</v>
      </c>
      <c r="AF1119" s="1423" t="str">
        <f t="shared" si="1562"/>
        <v/>
      </c>
      <c r="AG1119" s="1358"/>
      <c r="AH1119" s="1358">
        <v>121205</v>
      </c>
      <c r="AI1119" s="1359">
        <v>0.08</v>
      </c>
      <c r="AJ1119" s="1360">
        <f t="shared" ref="AJ1119:AJ1133" si="1564">$AI1119*$AG1119</f>
        <v>0</v>
      </c>
      <c r="AK1119" s="1361">
        <f t="shared" ref="AK1119:AK1133" si="1565">AI1119*$AH1119</f>
        <v>9696.4</v>
      </c>
      <c r="AL1119" s="1362">
        <v>5.0000000000000001E-3</v>
      </c>
      <c r="AM1119" s="1363">
        <f t="shared" ref="AM1119:AM1133" si="1566">AL1119*$AH1119</f>
        <v>606.02499999999998</v>
      </c>
      <c r="AN1119" s="1364">
        <v>0</v>
      </c>
      <c r="AO1119" s="1365">
        <f t="shared" ref="AO1119:AO1133" si="1567">AN1119*$AH1119</f>
        <v>0</v>
      </c>
      <c r="AP1119" s="1366">
        <v>0</v>
      </c>
      <c r="AQ1119" s="1367">
        <f t="shared" ref="AQ1119:AQ1133" si="1568">AP1119*$AH1119</f>
        <v>0</v>
      </c>
      <c r="AR1119" s="1368">
        <v>0.04</v>
      </c>
      <c r="AS1119" s="1369">
        <f t="shared" ref="AS1119:AS1133" si="1569">AR1119*$AH1119</f>
        <v>4848.2</v>
      </c>
      <c r="AT1119" s="1370">
        <v>2.5000000000000001E-2</v>
      </c>
      <c r="AU1119" s="1371">
        <f t="shared" ref="AU1119:AU1133" si="1570">AT1119*$AH1119</f>
        <v>3030.125</v>
      </c>
      <c r="AV1119" s="1359">
        <f t="shared" ref="AV1119:AV1133" si="1571">AZ1119-AR1119-AT1119-AP1119</f>
        <v>9.999999999999995E-3</v>
      </c>
      <c r="AW1119" s="1372">
        <f t="shared" ref="AW1119:AW1133" si="1572">AV1119*$AH1119</f>
        <v>1212.0499999999995</v>
      </c>
      <c r="AX1119" s="1373">
        <f t="shared" ref="AX1119:AX1133" si="1573">$AZ1119-$AP1119</f>
        <v>7.4999999999999997E-2</v>
      </c>
      <c r="AY1119" s="1374">
        <f t="shared" ref="AY1119:AY1133" si="1574">AX1119*$AH1119</f>
        <v>9090.375</v>
      </c>
      <c r="AZ1119" s="1375">
        <f t="shared" ref="AZ1119:AZ1133" si="1575">$AI1119-$AL1119-$AN1119</f>
        <v>7.4999999999999997E-2</v>
      </c>
      <c r="BA1119" s="1376">
        <f t="shared" ref="BA1119:BA1133" si="1576">AZ1119*$AH1119</f>
        <v>9090.375</v>
      </c>
      <c r="BB1119" s="1377"/>
      <c r="BC1119" s="1819" t="s">
        <v>91</v>
      </c>
      <c r="BD1119" s="1819" t="s">
        <v>92</v>
      </c>
      <c r="BE1119" s="1822" t="s">
        <v>92</v>
      </c>
      <c r="BF1119" s="1825" t="s">
        <v>5433</v>
      </c>
      <c r="BG1119" s="1828">
        <v>208116497</v>
      </c>
    </row>
    <row r="1120" spans="1:59" s="1378" customFormat="1" ht="38.25">
      <c r="A1120" s="1347" t="str">
        <f t="shared" si="1559"/>
        <v>Applied Proteomics Inc.</v>
      </c>
      <c r="B1120" s="1347" t="s">
        <v>4660</v>
      </c>
      <c r="C1120" s="1348">
        <f t="shared" si="1560"/>
        <v>17</v>
      </c>
      <c r="D1120" s="1349">
        <v>42736</v>
      </c>
      <c r="E1120" s="1349">
        <f t="shared" si="1563"/>
        <v>43131</v>
      </c>
      <c r="F1120" s="1347" t="s">
        <v>72</v>
      </c>
      <c r="G1120" s="1347" t="s">
        <v>85</v>
      </c>
      <c r="H1120" s="1347" t="s">
        <v>72</v>
      </c>
      <c r="I1120" s="1347" t="s">
        <v>72</v>
      </c>
      <c r="J1120" s="1349" t="s">
        <v>4670</v>
      </c>
      <c r="K1120" s="1349" t="s">
        <v>254</v>
      </c>
      <c r="L1120" s="1350" t="s">
        <v>4671</v>
      </c>
      <c r="M1120" s="1350" t="s">
        <v>3649</v>
      </c>
      <c r="N1120" s="1379" t="s">
        <v>5434</v>
      </c>
      <c r="O1120" s="1352" t="s">
        <v>5435</v>
      </c>
      <c r="P1120" s="1352"/>
      <c r="Q1120" s="1354"/>
      <c r="R1120" s="1354"/>
      <c r="S1120" s="1354"/>
      <c r="T1120" s="1354"/>
      <c r="U1120" s="1354"/>
      <c r="V1120" s="1354"/>
      <c r="W1120" s="1354"/>
      <c r="X1120" s="1353">
        <v>43101</v>
      </c>
      <c r="Y1120" s="1353">
        <v>43466</v>
      </c>
      <c r="Z1120" s="1355"/>
      <c r="AA1120" s="1355" t="s">
        <v>4674</v>
      </c>
      <c r="AB1120" s="1356"/>
      <c r="AC1120" s="1356"/>
      <c r="AD1120" s="1422">
        <f>AH1120</f>
        <v>0</v>
      </c>
      <c r="AE1120" s="1422">
        <f t="shared" si="1561"/>
        <v>0</v>
      </c>
      <c r="AF1120" s="1423" t="str">
        <f t="shared" si="1562"/>
        <v/>
      </c>
      <c r="AG1120" s="1380"/>
      <c r="AH1120" s="1380">
        <v>0</v>
      </c>
      <c r="AI1120" s="1381">
        <v>0</v>
      </c>
      <c r="AJ1120" s="1382">
        <f t="shared" si="1564"/>
        <v>0</v>
      </c>
      <c r="AK1120" s="1383">
        <f t="shared" si="1565"/>
        <v>0</v>
      </c>
      <c r="AL1120" s="1384">
        <v>0</v>
      </c>
      <c r="AM1120" s="1363">
        <f t="shared" si="1566"/>
        <v>0</v>
      </c>
      <c r="AN1120" s="1364">
        <v>0</v>
      </c>
      <c r="AO1120" s="1365">
        <f t="shared" si="1567"/>
        <v>0</v>
      </c>
      <c r="AP1120" s="1366">
        <v>0</v>
      </c>
      <c r="AQ1120" s="1367">
        <f t="shared" si="1568"/>
        <v>0</v>
      </c>
      <c r="AR1120" s="1368">
        <v>0</v>
      </c>
      <c r="AS1120" s="1369">
        <f t="shared" si="1569"/>
        <v>0</v>
      </c>
      <c r="AT1120" s="1370">
        <v>0</v>
      </c>
      <c r="AU1120" s="1371">
        <f t="shared" si="1570"/>
        <v>0</v>
      </c>
      <c r="AV1120" s="1359">
        <f t="shared" si="1571"/>
        <v>0</v>
      </c>
      <c r="AW1120" s="1372">
        <f t="shared" si="1572"/>
        <v>0</v>
      </c>
      <c r="AX1120" s="1373">
        <f t="shared" si="1573"/>
        <v>0</v>
      </c>
      <c r="AY1120" s="1374">
        <f t="shared" si="1574"/>
        <v>0</v>
      </c>
      <c r="AZ1120" s="1375">
        <f t="shared" si="1575"/>
        <v>0</v>
      </c>
      <c r="BA1120" s="1376">
        <f t="shared" si="1576"/>
        <v>0</v>
      </c>
      <c r="BB1120" s="1377"/>
      <c r="BC1120" s="1820"/>
      <c r="BD1120" s="1820"/>
      <c r="BE1120" s="1823"/>
      <c r="BF1120" s="1826"/>
      <c r="BG1120" s="1829"/>
    </row>
    <row r="1121" spans="1:59" s="1378" customFormat="1" ht="25.5" customHeight="1">
      <c r="A1121" s="1347" t="str">
        <f t="shared" si="1559"/>
        <v>Applied Proteomics Inc.</v>
      </c>
      <c r="B1121" s="1347" t="s">
        <v>4660</v>
      </c>
      <c r="C1121" s="1348">
        <f t="shared" si="1560"/>
        <v>17</v>
      </c>
      <c r="D1121" s="1349">
        <v>42736</v>
      </c>
      <c r="E1121" s="1349">
        <f t="shared" si="1563"/>
        <v>43131</v>
      </c>
      <c r="F1121" s="1347" t="s">
        <v>113</v>
      </c>
      <c r="G1121" s="1347" t="s">
        <v>85</v>
      </c>
      <c r="H1121" s="1347" t="s">
        <v>85</v>
      </c>
      <c r="I1121" s="1347" t="s">
        <v>113</v>
      </c>
      <c r="J1121" s="1349"/>
      <c r="K1121" s="1349" t="s">
        <v>254</v>
      </c>
      <c r="L1121" s="1350" t="s">
        <v>4675</v>
      </c>
      <c r="M1121" s="1350" t="s">
        <v>3650</v>
      </c>
      <c r="N1121" s="1385" t="s">
        <v>5436</v>
      </c>
      <c r="O1121" s="1352" t="s">
        <v>4677</v>
      </c>
      <c r="P1121" s="1352"/>
      <c r="Q1121" s="1354"/>
      <c r="R1121" s="1354"/>
      <c r="S1121" s="1354"/>
      <c r="T1121" s="1354"/>
      <c r="U1121" s="1353" t="s">
        <v>4723</v>
      </c>
      <c r="V1121" s="1353" t="s">
        <v>2482</v>
      </c>
      <c r="W1121" s="1354"/>
      <c r="X1121" s="1353">
        <v>43101</v>
      </c>
      <c r="Y1121" s="1353">
        <v>43466</v>
      </c>
      <c r="Z1121" s="1355"/>
      <c r="AA1121" s="1355" t="s">
        <v>4679</v>
      </c>
      <c r="AB1121" s="1356"/>
      <c r="AC1121" s="1356"/>
      <c r="AD1121" s="1422">
        <v>0</v>
      </c>
      <c r="AE1121" s="1422">
        <f t="shared" si="1561"/>
        <v>0</v>
      </c>
      <c r="AF1121" s="1423" t="str">
        <f t="shared" si="1562"/>
        <v/>
      </c>
      <c r="AG1121" s="1358"/>
      <c r="AH1121" s="1358">
        <v>15552.72</v>
      </c>
      <c r="AI1121" s="1359">
        <v>0.1</v>
      </c>
      <c r="AJ1121" s="1360">
        <f t="shared" si="1564"/>
        <v>0</v>
      </c>
      <c r="AK1121" s="1361">
        <f t="shared" si="1565"/>
        <v>1555.2719999999999</v>
      </c>
      <c r="AL1121" s="1384">
        <v>0</v>
      </c>
      <c r="AM1121" s="1363">
        <f t="shared" si="1566"/>
        <v>0</v>
      </c>
      <c r="AN1121" s="1364">
        <v>0</v>
      </c>
      <c r="AO1121" s="1365">
        <f t="shared" si="1567"/>
        <v>0</v>
      </c>
      <c r="AP1121" s="1366">
        <v>0</v>
      </c>
      <c r="AQ1121" s="1367">
        <f t="shared" si="1568"/>
        <v>0</v>
      </c>
      <c r="AR1121" s="1368">
        <v>0.08</v>
      </c>
      <c r="AS1121" s="1369">
        <f t="shared" si="1569"/>
        <v>1244.2175999999999</v>
      </c>
      <c r="AT1121" s="1370">
        <v>0</v>
      </c>
      <c r="AU1121" s="1371">
        <f t="shared" si="1570"/>
        <v>0</v>
      </c>
      <c r="AV1121" s="1359">
        <f t="shared" si="1571"/>
        <v>2.0000000000000004E-2</v>
      </c>
      <c r="AW1121" s="1372">
        <f t="shared" si="1572"/>
        <v>311.05440000000004</v>
      </c>
      <c r="AX1121" s="1373">
        <f t="shared" si="1573"/>
        <v>0.1</v>
      </c>
      <c r="AY1121" s="1374">
        <f t="shared" si="1574"/>
        <v>1555.2719999999999</v>
      </c>
      <c r="AZ1121" s="1375">
        <f t="shared" si="1575"/>
        <v>0.1</v>
      </c>
      <c r="BA1121" s="1376">
        <f t="shared" si="1576"/>
        <v>1555.2719999999999</v>
      </c>
      <c r="BB1121" s="1377"/>
      <c r="BC1121" s="1820"/>
      <c r="BD1121" s="1820"/>
      <c r="BE1121" s="1823"/>
      <c r="BF1121" s="1826"/>
      <c r="BG1121" s="1829"/>
    </row>
    <row r="1122" spans="1:59" s="1378" customFormat="1" ht="25.5" customHeight="1">
      <c r="A1122" s="1347" t="str">
        <f t="shared" si="1559"/>
        <v>Applied Proteomics Inc.</v>
      </c>
      <c r="B1122" s="1347" t="s">
        <v>4660</v>
      </c>
      <c r="C1122" s="1348">
        <f t="shared" si="1560"/>
        <v>17</v>
      </c>
      <c r="D1122" s="1349">
        <v>42736</v>
      </c>
      <c r="E1122" s="1349">
        <f t="shared" si="1563"/>
        <v>43131</v>
      </c>
      <c r="F1122" s="1347" t="s">
        <v>113</v>
      </c>
      <c r="G1122" s="1347" t="s">
        <v>85</v>
      </c>
      <c r="H1122" s="1347" t="s">
        <v>85</v>
      </c>
      <c r="I1122" s="1347" t="s">
        <v>113</v>
      </c>
      <c r="J1122" s="1349"/>
      <c r="K1122" s="1349" t="s">
        <v>254</v>
      </c>
      <c r="L1122" s="1350" t="s">
        <v>4675</v>
      </c>
      <c r="M1122" s="1350" t="s">
        <v>3651</v>
      </c>
      <c r="N1122" s="1351" t="s">
        <v>4875</v>
      </c>
      <c r="O1122" s="1352" t="s">
        <v>4681</v>
      </c>
      <c r="P1122" s="1352"/>
      <c r="Q1122" s="1354"/>
      <c r="R1122" s="1354"/>
      <c r="S1122" s="1354"/>
      <c r="T1122" s="1354"/>
      <c r="U1122" s="1354"/>
      <c r="V1122" s="1354"/>
      <c r="W1122" s="1353" t="s">
        <v>2492</v>
      </c>
      <c r="X1122" s="1353">
        <v>43101</v>
      </c>
      <c r="Y1122" s="1353">
        <v>43466</v>
      </c>
      <c r="Z1122" s="1355"/>
      <c r="AA1122" s="1355" t="s">
        <v>4679</v>
      </c>
      <c r="AB1122" s="1356"/>
      <c r="AC1122" s="1356"/>
      <c r="AD1122" s="1422">
        <v>0</v>
      </c>
      <c r="AE1122" s="1422">
        <f t="shared" si="1561"/>
        <v>0</v>
      </c>
      <c r="AF1122" s="1423" t="str">
        <f t="shared" si="1562"/>
        <v/>
      </c>
      <c r="AG1122" s="1358"/>
      <c r="AH1122" s="1358">
        <v>2401.08</v>
      </c>
      <c r="AI1122" s="1359">
        <v>0.1</v>
      </c>
      <c r="AJ1122" s="1360">
        <f t="shared" si="1564"/>
        <v>0</v>
      </c>
      <c r="AK1122" s="1361">
        <f t="shared" si="1565"/>
        <v>240.108</v>
      </c>
      <c r="AL1122" s="1384">
        <v>0</v>
      </c>
      <c r="AM1122" s="1363">
        <f t="shared" si="1566"/>
        <v>0</v>
      </c>
      <c r="AN1122" s="1364">
        <v>0</v>
      </c>
      <c r="AO1122" s="1365">
        <f t="shared" si="1567"/>
        <v>0</v>
      </c>
      <c r="AP1122" s="1366">
        <v>0</v>
      </c>
      <c r="AQ1122" s="1367">
        <f t="shared" si="1568"/>
        <v>0</v>
      </c>
      <c r="AR1122" s="1368">
        <v>0.08</v>
      </c>
      <c r="AS1122" s="1369">
        <f t="shared" si="1569"/>
        <v>192.0864</v>
      </c>
      <c r="AT1122" s="1370">
        <v>0</v>
      </c>
      <c r="AU1122" s="1371">
        <f t="shared" si="1570"/>
        <v>0</v>
      </c>
      <c r="AV1122" s="1359">
        <f t="shared" si="1571"/>
        <v>2.0000000000000004E-2</v>
      </c>
      <c r="AW1122" s="1372">
        <f t="shared" si="1572"/>
        <v>48.021600000000007</v>
      </c>
      <c r="AX1122" s="1373">
        <f t="shared" si="1573"/>
        <v>0.1</v>
      </c>
      <c r="AY1122" s="1374">
        <f t="shared" si="1574"/>
        <v>240.108</v>
      </c>
      <c r="AZ1122" s="1375">
        <f t="shared" si="1575"/>
        <v>0.1</v>
      </c>
      <c r="BA1122" s="1376">
        <f t="shared" si="1576"/>
        <v>240.108</v>
      </c>
      <c r="BB1122" s="1377"/>
      <c r="BC1122" s="1820"/>
      <c r="BD1122" s="1820"/>
      <c r="BE1122" s="1823"/>
      <c r="BF1122" s="1826"/>
      <c r="BG1122" s="1829"/>
    </row>
    <row r="1123" spans="1:59" s="1378" customFormat="1" ht="38.25">
      <c r="A1123" s="1347" t="str">
        <f t="shared" si="1559"/>
        <v>Applied Proteomics Inc.</v>
      </c>
      <c r="B1123" s="1347" t="s">
        <v>4660</v>
      </c>
      <c r="C1123" s="1348">
        <f t="shared" si="1560"/>
        <v>17</v>
      </c>
      <c r="D1123" s="1349">
        <v>42736</v>
      </c>
      <c r="E1123" s="1349">
        <f t="shared" si="1563"/>
        <v>43131</v>
      </c>
      <c r="F1123" s="1347" t="s">
        <v>113</v>
      </c>
      <c r="G1123" s="1347" t="s">
        <v>85</v>
      </c>
      <c r="H1123" s="1347" t="s">
        <v>85</v>
      </c>
      <c r="I1123" s="1347" t="s">
        <v>113</v>
      </c>
      <c r="J1123" s="1349"/>
      <c r="K1123" s="1349" t="s">
        <v>254</v>
      </c>
      <c r="L1123" s="1350" t="s">
        <v>4682</v>
      </c>
      <c r="M1123" s="1350" t="s">
        <v>4683</v>
      </c>
      <c r="N1123" s="1386" t="s">
        <v>1249</v>
      </c>
      <c r="O1123" s="1352" t="s">
        <v>4684</v>
      </c>
      <c r="P1123" s="1387"/>
      <c r="Q1123" s="1354"/>
      <c r="R1123" s="1354"/>
      <c r="S1123" s="1354"/>
      <c r="T1123" s="1354"/>
      <c r="U1123" s="1354"/>
      <c r="V1123" s="1354"/>
      <c r="W1123" s="1354"/>
      <c r="X1123" s="1353">
        <v>43101</v>
      </c>
      <c r="Y1123" s="1353">
        <v>43466</v>
      </c>
      <c r="Z1123" s="1355"/>
      <c r="AA1123" s="1355" t="s">
        <v>4685</v>
      </c>
      <c r="AB1123" s="1356"/>
      <c r="AC1123" s="1356"/>
      <c r="AD1123" s="1422">
        <v>0</v>
      </c>
      <c r="AE1123" s="1422">
        <f t="shared" si="1561"/>
        <v>0</v>
      </c>
      <c r="AF1123" s="1423" t="str">
        <f t="shared" si="1562"/>
        <v/>
      </c>
      <c r="AG1123" s="1358"/>
      <c r="AH1123" s="1358">
        <v>3207.96</v>
      </c>
      <c r="AI1123" s="1359">
        <v>0.15</v>
      </c>
      <c r="AJ1123" s="1360">
        <f t="shared" si="1564"/>
        <v>0</v>
      </c>
      <c r="AK1123" s="1361">
        <f t="shared" si="1565"/>
        <v>481.19399999999996</v>
      </c>
      <c r="AL1123" s="1384">
        <v>0</v>
      </c>
      <c r="AM1123" s="1363">
        <f t="shared" si="1566"/>
        <v>0</v>
      </c>
      <c r="AN1123" s="1364">
        <v>0</v>
      </c>
      <c r="AO1123" s="1365">
        <f t="shared" si="1567"/>
        <v>0</v>
      </c>
      <c r="AP1123" s="1366">
        <v>0</v>
      </c>
      <c r="AQ1123" s="1367">
        <f t="shared" si="1568"/>
        <v>0</v>
      </c>
      <c r="AR1123" s="1368">
        <v>0.1</v>
      </c>
      <c r="AS1123" s="1369">
        <f t="shared" si="1569"/>
        <v>320.79600000000005</v>
      </c>
      <c r="AT1123" s="1370">
        <v>0</v>
      </c>
      <c r="AU1123" s="1371">
        <f t="shared" si="1570"/>
        <v>0</v>
      </c>
      <c r="AV1123" s="1359">
        <f t="shared" si="1571"/>
        <v>4.9999999999999989E-2</v>
      </c>
      <c r="AW1123" s="1372">
        <f t="shared" si="1572"/>
        <v>160.39799999999997</v>
      </c>
      <c r="AX1123" s="1373">
        <f t="shared" si="1573"/>
        <v>0.15</v>
      </c>
      <c r="AY1123" s="1374">
        <f t="shared" si="1574"/>
        <v>481.19399999999996</v>
      </c>
      <c r="AZ1123" s="1375">
        <f t="shared" si="1575"/>
        <v>0.15</v>
      </c>
      <c r="BA1123" s="1376">
        <f t="shared" si="1576"/>
        <v>481.19399999999996</v>
      </c>
      <c r="BB1123" s="1377"/>
      <c r="BC1123" s="1820"/>
      <c r="BD1123" s="1820"/>
      <c r="BE1123" s="1823"/>
      <c r="BF1123" s="1826"/>
      <c r="BG1123" s="1829"/>
    </row>
    <row r="1124" spans="1:59" s="1378" customFormat="1" ht="38.25">
      <c r="A1124" s="1347" t="str">
        <f t="shared" si="1559"/>
        <v>Applied Proteomics Inc.</v>
      </c>
      <c r="B1124" s="1347" t="s">
        <v>4660</v>
      </c>
      <c r="C1124" s="1348">
        <f t="shared" si="1560"/>
        <v>17</v>
      </c>
      <c r="D1124" s="1349">
        <v>42736</v>
      </c>
      <c r="E1124" s="1349">
        <f t="shared" si="1563"/>
        <v>43131</v>
      </c>
      <c r="F1124" s="1347" t="s">
        <v>113</v>
      </c>
      <c r="G1124" s="1347" t="s">
        <v>85</v>
      </c>
      <c r="H1124" s="1347" t="s">
        <v>85</v>
      </c>
      <c r="I1124" s="1347" t="s">
        <v>113</v>
      </c>
      <c r="J1124" s="1349"/>
      <c r="K1124" s="1349" t="s">
        <v>254</v>
      </c>
      <c r="L1124" s="1350" t="s">
        <v>4682</v>
      </c>
      <c r="M1124" s="1350" t="s">
        <v>4686</v>
      </c>
      <c r="N1124" s="1386" t="s">
        <v>60</v>
      </c>
      <c r="O1124" s="1352" t="s">
        <v>4687</v>
      </c>
      <c r="P1124" s="1387"/>
      <c r="Q1124" s="1354"/>
      <c r="R1124" s="1354"/>
      <c r="S1124" s="1354"/>
      <c r="T1124" s="1354"/>
      <c r="U1124" s="1354"/>
      <c r="V1124" s="1354"/>
      <c r="W1124" s="1354"/>
      <c r="X1124" s="1353">
        <v>43101</v>
      </c>
      <c r="Y1124" s="1353">
        <v>43466</v>
      </c>
      <c r="Z1124" s="1355"/>
      <c r="AA1124" s="1355" t="s">
        <v>4685</v>
      </c>
      <c r="AB1124" s="1356"/>
      <c r="AC1124" s="1356"/>
      <c r="AD1124" s="1422">
        <f>AH1124</f>
        <v>0</v>
      </c>
      <c r="AE1124" s="1422">
        <f t="shared" si="1561"/>
        <v>0</v>
      </c>
      <c r="AF1124" s="1423" t="str">
        <f t="shared" si="1562"/>
        <v/>
      </c>
      <c r="AG1124" s="1576"/>
      <c r="AH1124" s="1576">
        <v>0</v>
      </c>
      <c r="AI1124" s="1359">
        <v>0.15</v>
      </c>
      <c r="AJ1124" s="1360">
        <f t="shared" si="1564"/>
        <v>0</v>
      </c>
      <c r="AK1124" s="1361">
        <f t="shared" si="1565"/>
        <v>0</v>
      </c>
      <c r="AL1124" s="1384">
        <v>0</v>
      </c>
      <c r="AM1124" s="1363">
        <f t="shared" si="1566"/>
        <v>0</v>
      </c>
      <c r="AN1124" s="1364">
        <v>0</v>
      </c>
      <c r="AO1124" s="1365">
        <f t="shared" si="1567"/>
        <v>0</v>
      </c>
      <c r="AP1124" s="1366">
        <v>0</v>
      </c>
      <c r="AQ1124" s="1367">
        <f t="shared" si="1568"/>
        <v>0</v>
      </c>
      <c r="AR1124" s="1368">
        <v>0.1</v>
      </c>
      <c r="AS1124" s="1369">
        <f t="shared" si="1569"/>
        <v>0</v>
      </c>
      <c r="AT1124" s="1370">
        <v>0</v>
      </c>
      <c r="AU1124" s="1371">
        <f t="shared" si="1570"/>
        <v>0</v>
      </c>
      <c r="AV1124" s="1359">
        <f t="shared" si="1571"/>
        <v>4.9999999999999989E-2</v>
      </c>
      <c r="AW1124" s="1372">
        <f t="shared" si="1572"/>
        <v>0</v>
      </c>
      <c r="AX1124" s="1373">
        <f t="shared" si="1573"/>
        <v>0.15</v>
      </c>
      <c r="AY1124" s="1374">
        <f t="shared" si="1574"/>
        <v>0</v>
      </c>
      <c r="AZ1124" s="1375">
        <f t="shared" si="1575"/>
        <v>0.15</v>
      </c>
      <c r="BA1124" s="1376">
        <f t="shared" si="1576"/>
        <v>0</v>
      </c>
      <c r="BB1124" s="1377"/>
      <c r="BC1124" s="1820"/>
      <c r="BD1124" s="1820"/>
      <c r="BE1124" s="1823"/>
      <c r="BF1124" s="1826"/>
      <c r="BG1124" s="1829"/>
    </row>
    <row r="1125" spans="1:59" s="1378" customFormat="1" ht="38.25">
      <c r="A1125" s="1347" t="str">
        <f t="shared" si="1559"/>
        <v>Applied Proteomics Inc.</v>
      </c>
      <c r="B1125" s="1347" t="s">
        <v>4660</v>
      </c>
      <c r="C1125" s="1348">
        <f t="shared" si="1560"/>
        <v>17</v>
      </c>
      <c r="D1125" s="1349">
        <v>42736</v>
      </c>
      <c r="E1125" s="1349">
        <f t="shared" si="1563"/>
        <v>43131</v>
      </c>
      <c r="F1125" s="1347" t="s">
        <v>113</v>
      </c>
      <c r="G1125" s="1347" t="s">
        <v>85</v>
      </c>
      <c r="H1125" s="1347" t="s">
        <v>85</v>
      </c>
      <c r="I1125" s="1347" t="s">
        <v>113</v>
      </c>
      <c r="J1125" s="1349"/>
      <c r="K1125" s="1349" t="s">
        <v>254</v>
      </c>
      <c r="L1125" s="1350" t="s">
        <v>4682</v>
      </c>
      <c r="M1125" s="1350" t="s">
        <v>67</v>
      </c>
      <c r="N1125" s="1351" t="s">
        <v>82</v>
      </c>
      <c r="O1125" s="1352" t="s">
        <v>4689</v>
      </c>
      <c r="P1125" s="1352"/>
      <c r="Q1125" s="1354"/>
      <c r="R1125" s="1354"/>
      <c r="S1125" s="1354"/>
      <c r="T1125" s="1354"/>
      <c r="U1125" s="1354"/>
      <c r="V1125" s="1354"/>
      <c r="W1125" s="1354"/>
      <c r="X1125" s="1353">
        <v>43101</v>
      </c>
      <c r="Y1125" s="1353">
        <v>43466</v>
      </c>
      <c r="Z1125" s="1355"/>
      <c r="AA1125" s="1355" t="s">
        <v>4685</v>
      </c>
      <c r="AB1125" s="1356"/>
      <c r="AC1125" s="1356"/>
      <c r="AD1125" s="1422">
        <v>0</v>
      </c>
      <c r="AE1125" s="1422">
        <f t="shared" si="1561"/>
        <v>0</v>
      </c>
      <c r="AF1125" s="1423" t="str">
        <f t="shared" si="1562"/>
        <v/>
      </c>
      <c r="AG1125" s="1358"/>
      <c r="AH1125" s="1358">
        <v>5278.77</v>
      </c>
      <c r="AI1125" s="1359">
        <v>0.15</v>
      </c>
      <c r="AJ1125" s="1360">
        <f t="shared" si="1564"/>
        <v>0</v>
      </c>
      <c r="AK1125" s="1361">
        <f t="shared" si="1565"/>
        <v>791.81550000000004</v>
      </c>
      <c r="AL1125" s="1384">
        <v>0</v>
      </c>
      <c r="AM1125" s="1363">
        <f t="shared" si="1566"/>
        <v>0</v>
      </c>
      <c r="AN1125" s="1364">
        <v>0</v>
      </c>
      <c r="AO1125" s="1365">
        <f t="shared" si="1567"/>
        <v>0</v>
      </c>
      <c r="AP1125" s="1366">
        <v>0</v>
      </c>
      <c r="AQ1125" s="1367">
        <f t="shared" si="1568"/>
        <v>0</v>
      </c>
      <c r="AR1125" s="1368">
        <v>0.1</v>
      </c>
      <c r="AS1125" s="1369">
        <f t="shared" si="1569"/>
        <v>527.87700000000007</v>
      </c>
      <c r="AT1125" s="1370">
        <v>0</v>
      </c>
      <c r="AU1125" s="1371">
        <f t="shared" si="1570"/>
        <v>0</v>
      </c>
      <c r="AV1125" s="1359">
        <f t="shared" si="1571"/>
        <v>4.9999999999999989E-2</v>
      </c>
      <c r="AW1125" s="1372">
        <f t="shared" si="1572"/>
        <v>263.93849999999998</v>
      </c>
      <c r="AX1125" s="1373">
        <f t="shared" si="1573"/>
        <v>0.15</v>
      </c>
      <c r="AY1125" s="1374">
        <f t="shared" si="1574"/>
        <v>791.81550000000004</v>
      </c>
      <c r="AZ1125" s="1375">
        <f t="shared" si="1575"/>
        <v>0.15</v>
      </c>
      <c r="BA1125" s="1376">
        <f t="shared" si="1576"/>
        <v>791.81550000000004</v>
      </c>
      <c r="BB1125" s="1377"/>
      <c r="BC1125" s="1820"/>
      <c r="BD1125" s="1820"/>
      <c r="BE1125" s="1823"/>
      <c r="BF1125" s="1826"/>
      <c r="BG1125" s="1829"/>
    </row>
    <row r="1126" spans="1:59" s="1378" customFormat="1" ht="38.25">
      <c r="A1126" s="1347" t="str">
        <f t="shared" si="1559"/>
        <v>Applied Proteomics Inc.</v>
      </c>
      <c r="B1126" s="1347" t="s">
        <v>4660</v>
      </c>
      <c r="C1126" s="1348">
        <f t="shared" si="1560"/>
        <v>17</v>
      </c>
      <c r="D1126" s="1349">
        <v>42736</v>
      </c>
      <c r="E1126" s="1349">
        <f t="shared" si="1563"/>
        <v>43131</v>
      </c>
      <c r="F1126" s="1347" t="s">
        <v>113</v>
      </c>
      <c r="G1126" s="1347" t="s">
        <v>85</v>
      </c>
      <c r="H1126" s="1347" t="s">
        <v>85</v>
      </c>
      <c r="I1126" s="1347" t="s">
        <v>113</v>
      </c>
      <c r="J1126" s="1349" t="s">
        <v>4690</v>
      </c>
      <c r="K1126" s="1349" t="s">
        <v>254</v>
      </c>
      <c r="L1126" s="1350" t="s">
        <v>4682</v>
      </c>
      <c r="M1126" s="1350" t="s">
        <v>4691</v>
      </c>
      <c r="N1126" s="1351" t="s">
        <v>94</v>
      </c>
      <c r="O1126" s="1352" t="s">
        <v>4692</v>
      </c>
      <c r="P1126" s="1352"/>
      <c r="Q1126" s="1354"/>
      <c r="R1126" s="1354"/>
      <c r="S1126" s="1354"/>
      <c r="T1126" s="1354"/>
      <c r="U1126" s="1354"/>
      <c r="V1126" s="1354"/>
      <c r="W1126" s="1354"/>
      <c r="X1126" s="1353">
        <v>43101</v>
      </c>
      <c r="Y1126" s="1353">
        <v>43466</v>
      </c>
      <c r="Z1126" s="1355"/>
      <c r="AA1126" s="1355" t="s">
        <v>4685</v>
      </c>
      <c r="AB1126" s="1356"/>
      <c r="AC1126" s="1356"/>
      <c r="AD1126" s="1422">
        <f>AH1126</f>
        <v>0</v>
      </c>
      <c r="AE1126" s="1422">
        <f t="shared" si="1561"/>
        <v>0</v>
      </c>
      <c r="AF1126" s="1423" t="str">
        <f t="shared" si="1562"/>
        <v/>
      </c>
      <c r="AG1126" s="1576"/>
      <c r="AH1126" s="1576">
        <v>0</v>
      </c>
      <c r="AI1126" s="1359">
        <v>0.15</v>
      </c>
      <c r="AJ1126" s="1360">
        <f t="shared" si="1564"/>
        <v>0</v>
      </c>
      <c r="AK1126" s="1361">
        <f t="shared" si="1565"/>
        <v>0</v>
      </c>
      <c r="AL1126" s="1384">
        <v>0</v>
      </c>
      <c r="AM1126" s="1363">
        <f t="shared" si="1566"/>
        <v>0</v>
      </c>
      <c r="AN1126" s="1364">
        <v>0</v>
      </c>
      <c r="AO1126" s="1365">
        <f t="shared" si="1567"/>
        <v>0</v>
      </c>
      <c r="AP1126" s="1366">
        <v>0</v>
      </c>
      <c r="AQ1126" s="1367">
        <f t="shared" si="1568"/>
        <v>0</v>
      </c>
      <c r="AR1126" s="1368">
        <v>0.1</v>
      </c>
      <c r="AS1126" s="1369">
        <f t="shared" si="1569"/>
        <v>0</v>
      </c>
      <c r="AT1126" s="1370">
        <v>0</v>
      </c>
      <c r="AU1126" s="1371">
        <f t="shared" si="1570"/>
        <v>0</v>
      </c>
      <c r="AV1126" s="1359">
        <f>AZ1126-AR1126-AT1126-AP1126</f>
        <v>4.9999999999999989E-2</v>
      </c>
      <c r="AW1126" s="1372">
        <f t="shared" si="1572"/>
        <v>0</v>
      </c>
      <c r="AX1126" s="1373">
        <f t="shared" si="1573"/>
        <v>0.15</v>
      </c>
      <c r="AY1126" s="1374">
        <f t="shared" si="1574"/>
        <v>0</v>
      </c>
      <c r="AZ1126" s="1375">
        <f t="shared" si="1575"/>
        <v>0.15</v>
      </c>
      <c r="BA1126" s="1376">
        <f t="shared" si="1576"/>
        <v>0</v>
      </c>
      <c r="BB1126" s="1377"/>
      <c r="BC1126" s="1820"/>
      <c r="BD1126" s="1820"/>
      <c r="BE1126" s="1823"/>
      <c r="BF1126" s="1826"/>
      <c r="BG1126" s="1829"/>
    </row>
    <row r="1127" spans="1:59" s="1378" customFormat="1" ht="38.25">
      <c r="A1127" s="1347" t="str">
        <f t="shared" si="1559"/>
        <v>Applied Proteomics Inc.</v>
      </c>
      <c r="B1127" s="1347" t="s">
        <v>4660</v>
      </c>
      <c r="C1127" s="1348">
        <f t="shared" si="1560"/>
        <v>17</v>
      </c>
      <c r="D1127" s="1349">
        <v>42736</v>
      </c>
      <c r="E1127" s="1349">
        <f t="shared" si="1563"/>
        <v>43131</v>
      </c>
      <c r="F1127" s="1347" t="s">
        <v>113</v>
      </c>
      <c r="G1127" s="1347" t="s">
        <v>85</v>
      </c>
      <c r="H1127" s="1347" t="s">
        <v>85</v>
      </c>
      <c r="I1127" s="1347" t="s">
        <v>113</v>
      </c>
      <c r="J1127" s="1349" t="s">
        <v>4690</v>
      </c>
      <c r="K1127" s="1349" t="s">
        <v>254</v>
      </c>
      <c r="L1127" s="1350" t="s">
        <v>4682</v>
      </c>
      <c r="M1127" s="1350" t="s">
        <v>4691</v>
      </c>
      <c r="N1127" s="1351" t="s">
        <v>98</v>
      </c>
      <c r="O1127" s="1352" t="s">
        <v>4693</v>
      </c>
      <c r="P1127" s="1352"/>
      <c r="Q1127" s="1354"/>
      <c r="R1127" s="1354"/>
      <c r="S1127" s="1354"/>
      <c r="T1127" s="1354"/>
      <c r="U1127" s="1354"/>
      <c r="V1127" s="1354"/>
      <c r="W1127" s="1354"/>
      <c r="X1127" s="1353">
        <v>43101</v>
      </c>
      <c r="Y1127" s="1353">
        <v>43466</v>
      </c>
      <c r="Z1127" s="1355"/>
      <c r="AA1127" s="1355" t="s">
        <v>4685</v>
      </c>
      <c r="AB1127" s="1356"/>
      <c r="AC1127" s="1356"/>
      <c r="AD1127" s="1422">
        <f>AH1127</f>
        <v>0</v>
      </c>
      <c r="AE1127" s="1422">
        <f t="shared" si="1561"/>
        <v>0</v>
      </c>
      <c r="AF1127" s="1423" t="str">
        <f t="shared" si="1562"/>
        <v/>
      </c>
      <c r="AG1127" s="1576"/>
      <c r="AH1127" s="1576">
        <v>0</v>
      </c>
      <c r="AI1127" s="1359">
        <v>0.15</v>
      </c>
      <c r="AJ1127" s="1360">
        <f t="shared" si="1564"/>
        <v>0</v>
      </c>
      <c r="AK1127" s="1361">
        <f t="shared" si="1565"/>
        <v>0</v>
      </c>
      <c r="AL1127" s="1384">
        <v>0</v>
      </c>
      <c r="AM1127" s="1363">
        <f t="shared" si="1566"/>
        <v>0</v>
      </c>
      <c r="AN1127" s="1364">
        <v>0</v>
      </c>
      <c r="AO1127" s="1365">
        <f t="shared" si="1567"/>
        <v>0</v>
      </c>
      <c r="AP1127" s="1366">
        <v>0</v>
      </c>
      <c r="AQ1127" s="1367">
        <f t="shared" si="1568"/>
        <v>0</v>
      </c>
      <c r="AR1127" s="1368">
        <v>0.1</v>
      </c>
      <c r="AS1127" s="1369">
        <f t="shared" si="1569"/>
        <v>0</v>
      </c>
      <c r="AT1127" s="1370">
        <v>0</v>
      </c>
      <c r="AU1127" s="1371">
        <f t="shared" si="1570"/>
        <v>0</v>
      </c>
      <c r="AV1127" s="1359">
        <f>AZ1127-AR1127-AT1127-AP1127</f>
        <v>4.9999999999999989E-2</v>
      </c>
      <c r="AW1127" s="1372">
        <f t="shared" si="1572"/>
        <v>0</v>
      </c>
      <c r="AX1127" s="1373">
        <f t="shared" si="1573"/>
        <v>0.15</v>
      </c>
      <c r="AY1127" s="1374">
        <f t="shared" si="1574"/>
        <v>0</v>
      </c>
      <c r="AZ1127" s="1375">
        <f t="shared" si="1575"/>
        <v>0.15</v>
      </c>
      <c r="BA1127" s="1376">
        <f t="shared" si="1576"/>
        <v>0</v>
      </c>
      <c r="BB1127" s="1377"/>
      <c r="BC1127" s="1820"/>
      <c r="BD1127" s="1820"/>
      <c r="BE1127" s="1823"/>
      <c r="BF1127" s="1826"/>
      <c r="BG1127" s="1829"/>
    </row>
    <row r="1128" spans="1:59" s="1378" customFormat="1" ht="38.25">
      <c r="A1128" s="1347" t="str">
        <f t="shared" si="1559"/>
        <v>Applied Proteomics Inc.</v>
      </c>
      <c r="B1128" s="1347" t="s">
        <v>4660</v>
      </c>
      <c r="C1128" s="1348">
        <f t="shared" si="1560"/>
        <v>17</v>
      </c>
      <c r="D1128" s="1349">
        <v>42736</v>
      </c>
      <c r="E1128" s="1349">
        <f t="shared" si="1563"/>
        <v>43131</v>
      </c>
      <c r="F1128" s="1347" t="s">
        <v>113</v>
      </c>
      <c r="G1128" s="1347" t="s">
        <v>85</v>
      </c>
      <c r="H1128" s="1347" t="s">
        <v>85</v>
      </c>
      <c r="I1128" s="1347" t="s">
        <v>113</v>
      </c>
      <c r="J1128" s="1349" t="s">
        <v>4690</v>
      </c>
      <c r="K1128" s="1349" t="s">
        <v>254</v>
      </c>
      <c r="L1128" s="1350" t="s">
        <v>4682</v>
      </c>
      <c r="M1128" s="1350" t="s">
        <v>4691</v>
      </c>
      <c r="N1128" s="1351" t="s">
        <v>4694</v>
      </c>
      <c r="O1128" s="1352" t="s">
        <v>4695</v>
      </c>
      <c r="P1128" s="1352"/>
      <c r="Q1128" s="1354"/>
      <c r="R1128" s="1354"/>
      <c r="S1128" s="1354"/>
      <c r="T1128" s="1354"/>
      <c r="U1128" s="1354"/>
      <c r="V1128" s="1354"/>
      <c r="W1128" s="1354"/>
      <c r="X1128" s="1353">
        <v>43101</v>
      </c>
      <c r="Y1128" s="1353">
        <v>43466</v>
      </c>
      <c r="Z1128" s="1355"/>
      <c r="AA1128" s="1355" t="s">
        <v>4685</v>
      </c>
      <c r="AB1128" s="1356"/>
      <c r="AC1128" s="1356"/>
      <c r="AD1128" s="1422">
        <f>AH1128</f>
        <v>0</v>
      </c>
      <c r="AE1128" s="1422">
        <f t="shared" si="1561"/>
        <v>0</v>
      </c>
      <c r="AF1128" s="1423" t="str">
        <f t="shared" si="1562"/>
        <v/>
      </c>
      <c r="AG1128" s="1576"/>
      <c r="AH1128" s="1576">
        <v>0</v>
      </c>
      <c r="AI1128" s="1359">
        <v>0.15</v>
      </c>
      <c r="AJ1128" s="1360">
        <f t="shared" si="1564"/>
        <v>0</v>
      </c>
      <c r="AK1128" s="1361">
        <f t="shared" si="1565"/>
        <v>0</v>
      </c>
      <c r="AL1128" s="1384">
        <v>0</v>
      </c>
      <c r="AM1128" s="1363">
        <f t="shared" si="1566"/>
        <v>0</v>
      </c>
      <c r="AN1128" s="1364">
        <v>0</v>
      </c>
      <c r="AO1128" s="1365">
        <f t="shared" si="1567"/>
        <v>0</v>
      </c>
      <c r="AP1128" s="1366">
        <v>0</v>
      </c>
      <c r="AQ1128" s="1367">
        <f t="shared" si="1568"/>
        <v>0</v>
      </c>
      <c r="AR1128" s="1368">
        <v>0.1</v>
      </c>
      <c r="AS1128" s="1369">
        <f t="shared" si="1569"/>
        <v>0</v>
      </c>
      <c r="AT1128" s="1370">
        <v>0</v>
      </c>
      <c r="AU1128" s="1371">
        <f t="shared" si="1570"/>
        <v>0</v>
      </c>
      <c r="AV1128" s="1359">
        <f>AZ1128-AR1128-AT1128-AP1128</f>
        <v>4.9999999999999989E-2</v>
      </c>
      <c r="AW1128" s="1372">
        <f t="shared" si="1572"/>
        <v>0</v>
      </c>
      <c r="AX1128" s="1373">
        <f t="shared" si="1573"/>
        <v>0.15</v>
      </c>
      <c r="AY1128" s="1374">
        <f t="shared" si="1574"/>
        <v>0</v>
      </c>
      <c r="AZ1128" s="1375">
        <f t="shared" si="1575"/>
        <v>0.15</v>
      </c>
      <c r="BA1128" s="1376">
        <f t="shared" si="1576"/>
        <v>0</v>
      </c>
      <c r="BB1128" s="1377"/>
      <c r="BC1128" s="1820"/>
      <c r="BD1128" s="1820"/>
      <c r="BE1128" s="1823"/>
      <c r="BF1128" s="1826"/>
      <c r="BG1128" s="1829"/>
    </row>
    <row r="1129" spans="1:59" s="1378" customFormat="1" ht="27.75" customHeight="1">
      <c r="A1129" s="1347" t="str">
        <f t="shared" si="1559"/>
        <v>Applied Proteomics Inc.</v>
      </c>
      <c r="B1129" s="1347" t="s">
        <v>4660</v>
      </c>
      <c r="C1129" s="1348">
        <f t="shared" si="1560"/>
        <v>17</v>
      </c>
      <c r="D1129" s="1349">
        <v>42736</v>
      </c>
      <c r="E1129" s="1349">
        <f t="shared" si="1563"/>
        <v>43131</v>
      </c>
      <c r="F1129" s="1347" t="s">
        <v>72</v>
      </c>
      <c r="G1129" s="1347" t="s">
        <v>85</v>
      </c>
      <c r="H1129" s="1347" t="s">
        <v>72</v>
      </c>
      <c r="I1129" s="1347" t="s">
        <v>72</v>
      </c>
      <c r="J1129" s="1349" t="s">
        <v>4670</v>
      </c>
      <c r="K1129" s="1349" t="s">
        <v>254</v>
      </c>
      <c r="L1129" s="1350" t="s">
        <v>4696</v>
      </c>
      <c r="M1129" s="1350" t="s">
        <v>4697</v>
      </c>
      <c r="N1129" s="1389" t="s">
        <v>4698</v>
      </c>
      <c r="O1129" s="1352" t="s">
        <v>4699</v>
      </c>
      <c r="P1129" s="1352"/>
      <c r="Q1129" s="1354"/>
      <c r="R1129" s="1354"/>
      <c r="S1129" s="1354"/>
      <c r="T1129" s="1354"/>
      <c r="U1129" s="1354"/>
      <c r="V1129" s="1354"/>
      <c r="W1129" s="1354"/>
      <c r="X1129" s="1353">
        <v>43101</v>
      </c>
      <c r="Y1129" s="1353">
        <v>43466</v>
      </c>
      <c r="Z1129" s="1355"/>
      <c r="AA1129" s="1355" t="s">
        <v>4674</v>
      </c>
      <c r="AB1129" s="1356"/>
      <c r="AC1129" s="1356"/>
      <c r="AD1129" s="1422">
        <v>0</v>
      </c>
      <c r="AE1129" s="1422">
        <f t="shared" si="1561"/>
        <v>0</v>
      </c>
      <c r="AF1129" s="1423" t="str">
        <f t="shared" si="1562"/>
        <v/>
      </c>
      <c r="AG1129" s="1380"/>
      <c r="AH1129" s="1380">
        <v>0</v>
      </c>
      <c r="AI1129" s="1381">
        <v>0</v>
      </c>
      <c r="AJ1129" s="1382">
        <f t="shared" si="1564"/>
        <v>0</v>
      </c>
      <c r="AK1129" s="1383">
        <f t="shared" si="1565"/>
        <v>0</v>
      </c>
      <c r="AL1129" s="1384">
        <v>0</v>
      </c>
      <c r="AM1129" s="1363">
        <f t="shared" si="1566"/>
        <v>0</v>
      </c>
      <c r="AN1129" s="1364">
        <v>0</v>
      </c>
      <c r="AO1129" s="1365">
        <f t="shared" si="1567"/>
        <v>0</v>
      </c>
      <c r="AP1129" s="1366">
        <v>0</v>
      </c>
      <c r="AQ1129" s="1367">
        <f t="shared" si="1568"/>
        <v>0</v>
      </c>
      <c r="AR1129" s="1368">
        <v>0</v>
      </c>
      <c r="AS1129" s="1369">
        <f t="shared" si="1569"/>
        <v>0</v>
      </c>
      <c r="AT1129" s="1370">
        <v>0</v>
      </c>
      <c r="AU1129" s="1371">
        <f t="shared" si="1570"/>
        <v>0</v>
      </c>
      <c r="AV1129" s="1359">
        <f t="shared" ref="AV1129" si="1577">AZ1129-AR1129-AT1129-AP1129</f>
        <v>0</v>
      </c>
      <c r="AW1129" s="1372">
        <f t="shared" si="1572"/>
        <v>0</v>
      </c>
      <c r="AX1129" s="1373">
        <f t="shared" si="1573"/>
        <v>0</v>
      </c>
      <c r="AY1129" s="1374">
        <f t="shared" si="1574"/>
        <v>0</v>
      </c>
      <c r="AZ1129" s="1375">
        <f t="shared" si="1575"/>
        <v>0</v>
      </c>
      <c r="BA1129" s="1376">
        <f t="shared" si="1576"/>
        <v>0</v>
      </c>
      <c r="BB1129" s="1377"/>
      <c r="BC1129" s="1820"/>
      <c r="BD1129" s="1820"/>
      <c r="BE1129" s="1823"/>
      <c r="BF1129" s="1826"/>
      <c r="BG1129" s="1829"/>
    </row>
    <row r="1130" spans="1:59" s="1378" customFormat="1" ht="38.25">
      <c r="A1130" s="1347" t="str">
        <f t="shared" si="1559"/>
        <v>Applied Proteomics Inc.</v>
      </c>
      <c r="B1130" s="1347" t="s">
        <v>4660</v>
      </c>
      <c r="C1130" s="1348">
        <f t="shared" si="1560"/>
        <v>17</v>
      </c>
      <c r="D1130" s="1349">
        <v>42736</v>
      </c>
      <c r="E1130" s="1349">
        <f t="shared" si="1563"/>
        <v>43131</v>
      </c>
      <c r="F1130" s="1347" t="s">
        <v>72</v>
      </c>
      <c r="G1130" s="1347" t="s">
        <v>4700</v>
      </c>
      <c r="H1130" s="1347" t="s">
        <v>72</v>
      </c>
      <c r="I1130" s="1347" t="s">
        <v>72</v>
      </c>
      <c r="J1130" s="1349" t="s">
        <v>4670</v>
      </c>
      <c r="K1130" s="1349" t="s">
        <v>254</v>
      </c>
      <c r="L1130" s="1350" t="s">
        <v>48</v>
      </c>
      <c r="M1130" s="1350" t="s">
        <v>3652</v>
      </c>
      <c r="N1130" s="1390" t="s">
        <v>4701</v>
      </c>
      <c r="O1130" s="1352" t="s">
        <v>4702</v>
      </c>
      <c r="P1130" s="1352"/>
      <c r="Q1130" s="1354"/>
      <c r="R1130" s="1354"/>
      <c r="S1130" s="1354"/>
      <c r="T1130" s="1354"/>
      <c r="U1130" s="1354"/>
      <c r="V1130" s="1354"/>
      <c r="W1130" s="1354"/>
      <c r="X1130" s="1353">
        <v>43101</v>
      </c>
      <c r="Y1130" s="1353">
        <v>43466</v>
      </c>
      <c r="Z1130" s="1355"/>
      <c r="AA1130" s="1355" t="s">
        <v>4674</v>
      </c>
      <c r="AB1130" s="1356"/>
      <c r="AC1130" s="1356"/>
      <c r="AD1130" s="1422">
        <f>AH1130</f>
        <v>0</v>
      </c>
      <c r="AE1130" s="1422">
        <f t="shared" si="1561"/>
        <v>0</v>
      </c>
      <c r="AF1130" s="1423" t="str">
        <f t="shared" si="1562"/>
        <v/>
      </c>
      <c r="AG1130" s="1380"/>
      <c r="AH1130" s="1380">
        <v>0</v>
      </c>
      <c r="AI1130" s="1381">
        <v>0</v>
      </c>
      <c r="AJ1130" s="1382">
        <f t="shared" si="1564"/>
        <v>0</v>
      </c>
      <c r="AK1130" s="1383">
        <f t="shared" si="1565"/>
        <v>0</v>
      </c>
      <c r="AL1130" s="1384">
        <v>0</v>
      </c>
      <c r="AM1130" s="1363">
        <f t="shared" si="1566"/>
        <v>0</v>
      </c>
      <c r="AN1130" s="1364">
        <v>0</v>
      </c>
      <c r="AO1130" s="1365">
        <f t="shared" si="1567"/>
        <v>0</v>
      </c>
      <c r="AP1130" s="1366">
        <v>0</v>
      </c>
      <c r="AQ1130" s="1367">
        <f t="shared" si="1568"/>
        <v>0</v>
      </c>
      <c r="AR1130" s="1368">
        <v>0</v>
      </c>
      <c r="AS1130" s="1369">
        <f t="shared" si="1569"/>
        <v>0</v>
      </c>
      <c r="AT1130" s="1370">
        <v>0</v>
      </c>
      <c r="AU1130" s="1371">
        <f t="shared" si="1570"/>
        <v>0</v>
      </c>
      <c r="AV1130" s="1359">
        <f t="shared" si="1571"/>
        <v>0</v>
      </c>
      <c r="AW1130" s="1372">
        <f t="shared" si="1572"/>
        <v>0</v>
      </c>
      <c r="AX1130" s="1373">
        <f t="shared" si="1573"/>
        <v>0</v>
      </c>
      <c r="AY1130" s="1374">
        <f t="shared" si="1574"/>
        <v>0</v>
      </c>
      <c r="AZ1130" s="1375">
        <f t="shared" si="1575"/>
        <v>0</v>
      </c>
      <c r="BA1130" s="1376">
        <f t="shared" si="1576"/>
        <v>0</v>
      </c>
      <c r="BB1130" s="1377"/>
      <c r="BC1130" s="1820"/>
      <c r="BD1130" s="1820"/>
      <c r="BE1130" s="1823"/>
      <c r="BF1130" s="1826"/>
      <c r="BG1130" s="1829"/>
    </row>
    <row r="1131" spans="1:59" s="1378" customFormat="1" ht="38.25">
      <c r="A1131" s="1347" t="str">
        <f t="shared" si="1559"/>
        <v>Applied Proteomics Inc.</v>
      </c>
      <c r="B1131" s="1347" t="s">
        <v>4660</v>
      </c>
      <c r="C1131" s="1348">
        <f t="shared" si="1560"/>
        <v>17</v>
      </c>
      <c r="D1131" s="1349">
        <v>42736</v>
      </c>
      <c r="E1131" s="1349">
        <f t="shared" si="1563"/>
        <v>43131</v>
      </c>
      <c r="F1131" s="1347" t="s">
        <v>72</v>
      </c>
      <c r="G1131" s="1347" t="s">
        <v>85</v>
      </c>
      <c r="H1131" s="1347" t="s">
        <v>72</v>
      </c>
      <c r="I1131" s="1347" t="s">
        <v>72</v>
      </c>
      <c r="J1131" s="1349" t="s">
        <v>4670</v>
      </c>
      <c r="K1131" s="1349" t="s">
        <v>254</v>
      </c>
      <c r="L1131" s="1350" t="s">
        <v>48</v>
      </c>
      <c r="M1131" s="1350" t="s">
        <v>253</v>
      </c>
      <c r="N1131" s="1390" t="s">
        <v>4703</v>
      </c>
      <c r="O1131" s="1352" t="s">
        <v>4783</v>
      </c>
      <c r="P1131" s="1352"/>
      <c r="Q1131" s="1354"/>
      <c r="R1131" s="1354"/>
      <c r="S1131" s="1354"/>
      <c r="T1131" s="1354"/>
      <c r="U1131" s="1354"/>
      <c r="V1131" s="1354"/>
      <c r="W1131" s="1354"/>
      <c r="X1131" s="1353">
        <v>43101</v>
      </c>
      <c r="Y1131" s="1353">
        <v>43466</v>
      </c>
      <c r="Z1131" s="1355"/>
      <c r="AA1131" s="1355" t="s">
        <v>4674</v>
      </c>
      <c r="AB1131" s="1356"/>
      <c r="AC1131" s="1356"/>
      <c r="AD1131" s="1422">
        <f>AH1131</f>
        <v>0</v>
      </c>
      <c r="AE1131" s="1422">
        <f t="shared" si="1561"/>
        <v>0</v>
      </c>
      <c r="AF1131" s="1423" t="str">
        <f t="shared" si="1562"/>
        <v/>
      </c>
      <c r="AG1131" s="1380"/>
      <c r="AH1131" s="1380">
        <v>0</v>
      </c>
      <c r="AI1131" s="1381">
        <v>0</v>
      </c>
      <c r="AJ1131" s="1382">
        <f t="shared" si="1564"/>
        <v>0</v>
      </c>
      <c r="AK1131" s="1383">
        <f t="shared" si="1565"/>
        <v>0</v>
      </c>
      <c r="AL1131" s="1384">
        <v>0</v>
      </c>
      <c r="AM1131" s="1363">
        <f t="shared" si="1566"/>
        <v>0</v>
      </c>
      <c r="AN1131" s="1364">
        <v>0</v>
      </c>
      <c r="AO1131" s="1365">
        <f t="shared" si="1567"/>
        <v>0</v>
      </c>
      <c r="AP1131" s="1366">
        <v>0</v>
      </c>
      <c r="AQ1131" s="1367">
        <f t="shared" si="1568"/>
        <v>0</v>
      </c>
      <c r="AR1131" s="1368">
        <v>0</v>
      </c>
      <c r="AS1131" s="1369">
        <f t="shared" si="1569"/>
        <v>0</v>
      </c>
      <c r="AT1131" s="1370">
        <v>0</v>
      </c>
      <c r="AU1131" s="1371">
        <f t="shared" si="1570"/>
        <v>0</v>
      </c>
      <c r="AV1131" s="1359">
        <f t="shared" si="1571"/>
        <v>0</v>
      </c>
      <c r="AW1131" s="1372">
        <f t="shared" si="1572"/>
        <v>0</v>
      </c>
      <c r="AX1131" s="1373">
        <f t="shared" si="1573"/>
        <v>0</v>
      </c>
      <c r="AY1131" s="1374">
        <f t="shared" si="1574"/>
        <v>0</v>
      </c>
      <c r="AZ1131" s="1375">
        <f t="shared" si="1575"/>
        <v>0</v>
      </c>
      <c r="BA1131" s="1376">
        <f t="shared" si="1576"/>
        <v>0</v>
      </c>
      <c r="BB1131" s="1377"/>
      <c r="BC1131" s="1820"/>
      <c r="BD1131" s="1820"/>
      <c r="BE1131" s="1823"/>
      <c r="BF1131" s="1826"/>
      <c r="BG1131" s="1829"/>
    </row>
    <row r="1132" spans="1:59" s="1378" customFormat="1" ht="38.25">
      <c r="A1132" s="1347" t="str">
        <f t="shared" si="1559"/>
        <v>Applied Proteomics Inc.</v>
      </c>
      <c r="B1132" s="1347" t="s">
        <v>4660</v>
      </c>
      <c r="C1132" s="1348">
        <f t="shared" si="1560"/>
        <v>17</v>
      </c>
      <c r="D1132" s="1349">
        <v>42736</v>
      </c>
      <c r="E1132" s="1349">
        <f t="shared" si="1563"/>
        <v>43131</v>
      </c>
      <c r="F1132" s="1347" t="s">
        <v>72</v>
      </c>
      <c r="G1132" s="1347" t="s">
        <v>85</v>
      </c>
      <c r="H1132" s="1347" t="s">
        <v>72</v>
      </c>
      <c r="I1132" s="1347" t="s">
        <v>72</v>
      </c>
      <c r="J1132" s="1349" t="s">
        <v>4670</v>
      </c>
      <c r="K1132" s="1349" t="s">
        <v>254</v>
      </c>
      <c r="L1132" s="1350" t="s">
        <v>49</v>
      </c>
      <c r="M1132" s="1350" t="s">
        <v>4705</v>
      </c>
      <c r="N1132" s="1390" t="s">
        <v>4706</v>
      </c>
      <c r="O1132" s="1352" t="s">
        <v>4707</v>
      </c>
      <c r="P1132" s="1352"/>
      <c r="Q1132" s="1354"/>
      <c r="R1132" s="1354"/>
      <c r="S1132" s="1354"/>
      <c r="T1132" s="1354"/>
      <c r="U1132" s="1354"/>
      <c r="V1132" s="1354"/>
      <c r="W1132" s="1354"/>
      <c r="X1132" s="1353">
        <v>43101</v>
      </c>
      <c r="Y1132" s="1353">
        <v>43466</v>
      </c>
      <c r="Z1132" s="1355"/>
      <c r="AA1132" s="1355" t="s">
        <v>4674</v>
      </c>
      <c r="AB1132" s="1356"/>
      <c r="AC1132" s="1356"/>
      <c r="AD1132" s="1422">
        <f>AH1132</f>
        <v>0</v>
      </c>
      <c r="AE1132" s="1422">
        <f t="shared" si="1561"/>
        <v>0</v>
      </c>
      <c r="AF1132" s="1423" t="str">
        <f t="shared" si="1562"/>
        <v/>
      </c>
      <c r="AG1132" s="1380"/>
      <c r="AH1132" s="1380">
        <v>0</v>
      </c>
      <c r="AI1132" s="1381">
        <v>0</v>
      </c>
      <c r="AJ1132" s="1382">
        <f t="shared" si="1564"/>
        <v>0</v>
      </c>
      <c r="AK1132" s="1383">
        <f t="shared" si="1565"/>
        <v>0</v>
      </c>
      <c r="AL1132" s="1384">
        <v>0</v>
      </c>
      <c r="AM1132" s="1363">
        <f t="shared" si="1566"/>
        <v>0</v>
      </c>
      <c r="AN1132" s="1364">
        <v>0</v>
      </c>
      <c r="AO1132" s="1365">
        <f t="shared" si="1567"/>
        <v>0</v>
      </c>
      <c r="AP1132" s="1366">
        <v>0</v>
      </c>
      <c r="AQ1132" s="1367">
        <f t="shared" si="1568"/>
        <v>0</v>
      </c>
      <c r="AR1132" s="1368">
        <v>0</v>
      </c>
      <c r="AS1132" s="1369">
        <f t="shared" si="1569"/>
        <v>0</v>
      </c>
      <c r="AT1132" s="1370">
        <v>0</v>
      </c>
      <c r="AU1132" s="1371">
        <f t="shared" si="1570"/>
        <v>0</v>
      </c>
      <c r="AV1132" s="1359">
        <f t="shared" si="1571"/>
        <v>0</v>
      </c>
      <c r="AW1132" s="1372">
        <f t="shared" si="1572"/>
        <v>0</v>
      </c>
      <c r="AX1132" s="1373">
        <f t="shared" si="1573"/>
        <v>0</v>
      </c>
      <c r="AY1132" s="1374">
        <f t="shared" si="1574"/>
        <v>0</v>
      </c>
      <c r="AZ1132" s="1375">
        <f t="shared" si="1575"/>
        <v>0</v>
      </c>
      <c r="BA1132" s="1376">
        <f t="shared" si="1576"/>
        <v>0</v>
      </c>
      <c r="BB1132" s="1377"/>
      <c r="BC1132" s="1820"/>
      <c r="BD1132" s="1820"/>
      <c r="BE1132" s="1823"/>
      <c r="BF1132" s="1826"/>
      <c r="BG1132" s="1829"/>
    </row>
    <row r="1133" spans="1:59" s="1378" customFormat="1" ht="22.5" customHeight="1">
      <c r="A1133" s="1347" t="str">
        <f>A1132</f>
        <v>Applied Proteomics Inc.</v>
      </c>
      <c r="B1133" s="1348" t="str">
        <f>B1132</f>
        <v xml:space="preserve">HUB SD </v>
      </c>
      <c r="C1133" s="1348">
        <f>C1132</f>
        <v>17</v>
      </c>
      <c r="D1133" s="1349">
        <v>42736</v>
      </c>
      <c r="E1133" s="1349">
        <f t="shared" si="1563"/>
        <v>43131</v>
      </c>
      <c r="F1133" s="1347" t="s">
        <v>72</v>
      </c>
      <c r="G1133" s="1347" t="s">
        <v>85</v>
      </c>
      <c r="H1133" s="1347" t="s">
        <v>72</v>
      </c>
      <c r="I1133" s="1347" t="s">
        <v>72</v>
      </c>
      <c r="J1133" s="1349" t="s">
        <v>4670</v>
      </c>
      <c r="K1133" s="1349" t="s">
        <v>254</v>
      </c>
      <c r="L1133" s="1350" t="s">
        <v>3056</v>
      </c>
      <c r="M1133" s="1350" t="s">
        <v>4708</v>
      </c>
      <c r="N1133" s="1390" t="s">
        <v>4709</v>
      </c>
      <c r="O1133" s="1352" t="s">
        <v>4710</v>
      </c>
      <c r="P1133" s="1352"/>
      <c r="Q1133" s="1354"/>
      <c r="R1133" s="1354"/>
      <c r="S1133" s="1354"/>
      <c r="T1133" s="1354"/>
      <c r="U1133" s="1354"/>
      <c r="V1133" s="1354"/>
      <c r="W1133" s="1354"/>
      <c r="X1133" s="1353">
        <v>43101</v>
      </c>
      <c r="Y1133" s="1353">
        <v>43466</v>
      </c>
      <c r="Z1133" s="1355"/>
      <c r="AA1133" s="1355" t="s">
        <v>4674</v>
      </c>
      <c r="AB1133" s="1356"/>
      <c r="AC1133" s="1356"/>
      <c r="AD1133" s="1422">
        <f>AH1133</f>
        <v>0</v>
      </c>
      <c r="AE1133" s="1422">
        <f t="shared" si="1561"/>
        <v>0</v>
      </c>
      <c r="AF1133" s="1423" t="str">
        <f t="shared" si="1562"/>
        <v/>
      </c>
      <c r="AG1133" s="1380"/>
      <c r="AH1133" s="1380">
        <v>0</v>
      </c>
      <c r="AI1133" s="1381">
        <v>0</v>
      </c>
      <c r="AJ1133" s="1382">
        <f t="shared" si="1564"/>
        <v>0</v>
      </c>
      <c r="AK1133" s="1383">
        <f t="shared" si="1565"/>
        <v>0</v>
      </c>
      <c r="AL1133" s="1384">
        <v>0</v>
      </c>
      <c r="AM1133" s="1363">
        <f t="shared" si="1566"/>
        <v>0</v>
      </c>
      <c r="AN1133" s="1364">
        <v>0</v>
      </c>
      <c r="AO1133" s="1365">
        <f t="shared" si="1567"/>
        <v>0</v>
      </c>
      <c r="AP1133" s="1366">
        <v>0</v>
      </c>
      <c r="AQ1133" s="1367">
        <f t="shared" si="1568"/>
        <v>0</v>
      </c>
      <c r="AR1133" s="1368">
        <v>0</v>
      </c>
      <c r="AS1133" s="1369">
        <f t="shared" si="1569"/>
        <v>0</v>
      </c>
      <c r="AT1133" s="1370">
        <v>0</v>
      </c>
      <c r="AU1133" s="1371">
        <f t="shared" si="1570"/>
        <v>0</v>
      </c>
      <c r="AV1133" s="1359">
        <f t="shared" si="1571"/>
        <v>0</v>
      </c>
      <c r="AW1133" s="1372">
        <f t="shared" si="1572"/>
        <v>0</v>
      </c>
      <c r="AX1133" s="1373">
        <f t="shared" si="1573"/>
        <v>0</v>
      </c>
      <c r="AY1133" s="1374">
        <f t="shared" si="1574"/>
        <v>0</v>
      </c>
      <c r="AZ1133" s="1375">
        <f t="shared" si="1575"/>
        <v>0</v>
      </c>
      <c r="BA1133" s="1376">
        <f t="shared" si="1576"/>
        <v>0</v>
      </c>
      <c r="BB1133" s="1391"/>
      <c r="BC1133" s="1821"/>
      <c r="BD1133" s="1821"/>
      <c r="BE1133" s="1824"/>
      <c r="BF1133" s="1827"/>
      <c r="BG1133" s="1830"/>
    </row>
    <row r="1136" spans="1:59">
      <c r="BD1136" s="1515"/>
      <c r="BE1136" s="1516"/>
    </row>
    <row r="1137" spans="1:59" s="1315" customFormat="1" ht="25.5">
      <c r="A1137" s="1277" t="str">
        <f>L1137</f>
        <v>Care Zone Inc.</v>
      </c>
      <c r="B1137" s="1316" t="str">
        <f>N1137</f>
        <v>HUB</v>
      </c>
      <c r="C1137" s="1316">
        <f>Z1137</f>
        <v>112</v>
      </c>
      <c r="D1137" s="1317">
        <v>42736</v>
      </c>
      <c r="E1137" s="1317">
        <v>43100</v>
      </c>
      <c r="F1137" s="1277" t="s">
        <v>72</v>
      </c>
      <c r="G1137" s="1277" t="s">
        <v>72</v>
      </c>
      <c r="H1137" s="1277" t="s">
        <v>72</v>
      </c>
      <c r="I1137" s="1277" t="s">
        <v>4711</v>
      </c>
      <c r="J1137" s="1317"/>
      <c r="K1137" s="1577"/>
      <c r="L1137" s="1319" t="s">
        <v>109</v>
      </c>
      <c r="M1137" s="1319"/>
      <c r="N1137" s="1578" t="s">
        <v>3653</v>
      </c>
      <c r="O1137" s="1392" t="s">
        <v>2473</v>
      </c>
      <c r="P1137" s="1392"/>
      <c r="Q1137" s="1349"/>
      <c r="R1137" s="1349"/>
      <c r="S1137" s="1349"/>
      <c r="T1137" s="1349"/>
      <c r="U1137" s="1349"/>
      <c r="V1137" s="1349"/>
      <c r="W1137" s="1349"/>
      <c r="X1137" s="1317">
        <v>42736</v>
      </c>
      <c r="Y1137" s="1317">
        <v>43101</v>
      </c>
      <c r="Z1137" s="1316">
        <f>89+23</f>
        <v>112</v>
      </c>
      <c r="AA1137" s="1316" t="s">
        <v>5437</v>
      </c>
      <c r="AB1137" s="1323">
        <f>SUM(AB1138:AB1148)</f>
        <v>0</v>
      </c>
      <c r="AC1137" s="1323">
        <f>SUM(AC1138:AC1148)</f>
        <v>0</v>
      </c>
      <c r="AD1137" s="1323">
        <f>SUM(AD1138:AD1148)</f>
        <v>0</v>
      </c>
      <c r="AE1137" s="1324">
        <f t="shared" ref="AE1137:AE1148" si="1578">AD1137-AB1137</f>
        <v>0</v>
      </c>
      <c r="AF1137" s="1325" t="str">
        <f t="shared" ref="AF1137:AF1148" si="1579">IFERROR((AE1137/AB1137),"")</f>
        <v/>
      </c>
      <c r="AG1137" s="1326"/>
      <c r="AH1137" s="1326">
        <f>SUM(AH1138:AH1148)</f>
        <v>0</v>
      </c>
      <c r="AI1137" s="1339"/>
      <c r="AJ1137" s="1328">
        <f>SUM(AJ1138:AJ1148)</f>
        <v>0</v>
      </c>
      <c r="AK1137" s="1328">
        <f>SUM(AK1138:AK1148)</f>
        <v>0</v>
      </c>
      <c r="AL1137" s="1329"/>
      <c r="AM1137" s="1330">
        <f>SUM(AM1138:AM1148)</f>
        <v>0</v>
      </c>
      <c r="AN1137" s="1331"/>
      <c r="AO1137" s="1332">
        <f>SUM(AO1138:AO1148)</f>
        <v>0</v>
      </c>
      <c r="AP1137" s="1333"/>
      <c r="AQ1137" s="1334">
        <f>SUM(AQ1138:AQ1148)</f>
        <v>0</v>
      </c>
      <c r="AR1137" s="1335"/>
      <c r="AS1137" s="1336">
        <f>SUM(AS1138:AS1148)</f>
        <v>0</v>
      </c>
      <c r="AT1137" s="1337"/>
      <c r="AU1137" s="1338">
        <f>SUM(AU1138:AU1148)</f>
        <v>0</v>
      </c>
      <c r="AV1137" s="1339"/>
      <c r="AW1137" s="1340">
        <f>SUM(AW1138:AW1148)</f>
        <v>0</v>
      </c>
      <c r="AX1137" s="1306"/>
      <c r="AY1137" s="1307">
        <f>SUM(AW1137+AS1137+AU1137)</f>
        <v>0</v>
      </c>
      <c r="AZ1137" s="1341"/>
      <c r="BA1137" s="1309">
        <f>SUM(AY1137+AQ1137)</f>
        <v>0</v>
      </c>
      <c r="BB1137" s="1342" t="e">
        <f>(AW1137+AU1137)/(AK1137-AM1137)</f>
        <v>#DIV/0!</v>
      </c>
      <c r="BC1137" s="1343"/>
      <c r="BD1137" s="1343"/>
      <c r="BE1137" s="1316"/>
      <c r="BF1137" s="1278" t="s">
        <v>5438</v>
      </c>
      <c r="BG1137" s="1346"/>
    </row>
    <row r="1138" spans="1:59" s="1396" customFormat="1" ht="140.25">
      <c r="A1138" s="1579" t="str">
        <f t="shared" ref="A1138:A1148" si="1580">$A$1137</f>
        <v>Care Zone Inc.</v>
      </c>
      <c r="B1138" s="1580" t="str">
        <f t="shared" ref="B1138:B1148" si="1581">$B$1137</f>
        <v>HUB</v>
      </c>
      <c r="C1138" s="1580">
        <f>C1137</f>
        <v>112</v>
      </c>
      <c r="D1138" s="1447">
        <v>42736</v>
      </c>
      <c r="E1138" s="1349">
        <f t="shared" ref="E1138:E1148" si="1582">$E$1137</f>
        <v>43100</v>
      </c>
      <c r="F1138" s="1579" t="s">
        <v>85</v>
      </c>
      <c r="G1138" s="1579" t="s">
        <v>85</v>
      </c>
      <c r="H1138" s="1579" t="s">
        <v>85</v>
      </c>
      <c r="I1138" s="1579" t="s">
        <v>85</v>
      </c>
      <c r="J1138" s="1447"/>
      <c r="K1138" s="1581"/>
      <c r="L1138" s="1582" t="s">
        <v>2661</v>
      </c>
      <c r="M1138" s="1583" t="s">
        <v>3647</v>
      </c>
      <c r="N1138" s="1584" t="s">
        <v>5439</v>
      </c>
      <c r="O1138" s="1449" t="s">
        <v>5440</v>
      </c>
      <c r="P1138" s="1449"/>
      <c r="Q1138" s="1445"/>
      <c r="R1138" s="1445"/>
      <c r="S1138" s="1445"/>
      <c r="T1138" s="1445"/>
      <c r="U1138" s="1445"/>
      <c r="V1138" s="1445"/>
      <c r="W1138" s="1445"/>
      <c r="X1138" s="1479">
        <v>42736</v>
      </c>
      <c r="Y1138" s="1479">
        <v>43101</v>
      </c>
      <c r="Z1138" s="1425"/>
      <c r="AA1138" s="1355" t="s">
        <v>5441</v>
      </c>
      <c r="AB1138" s="1585"/>
      <c r="AC1138" s="1585"/>
      <c r="AD1138" s="1585"/>
      <c r="AE1138" s="1585">
        <f t="shared" si="1578"/>
        <v>0</v>
      </c>
      <c r="AF1138" s="1586" t="str">
        <f t="shared" si="1579"/>
        <v/>
      </c>
      <c r="AG1138" s="1587"/>
      <c r="AH1138" s="1587"/>
      <c r="AI1138" s="1471">
        <v>7.0000000000000007E-2</v>
      </c>
      <c r="AJ1138" s="1360">
        <f t="shared" ref="AJ1138:AJ1148" si="1583">$AI1138*$AG1138</f>
        <v>0</v>
      </c>
      <c r="AK1138" s="1361">
        <f t="shared" ref="AK1138:AK1148" si="1584">AI1138*$AH1138</f>
        <v>0</v>
      </c>
      <c r="AL1138" s="1362">
        <v>5.0000000000000001E-3</v>
      </c>
      <c r="AM1138" s="1363">
        <f t="shared" ref="AM1138:AM1148" si="1585">AL1138*$AH1138</f>
        <v>0</v>
      </c>
      <c r="AN1138" s="1364">
        <v>0</v>
      </c>
      <c r="AO1138" s="1365">
        <f t="shared" ref="AO1138:AO1148" si="1586">AN1138*$AH1138</f>
        <v>0</v>
      </c>
      <c r="AP1138" s="1366">
        <v>0.04</v>
      </c>
      <c r="AQ1138" s="1367">
        <f t="shared" ref="AQ1138:AQ1148" si="1587">AP1138*$AH1138</f>
        <v>0</v>
      </c>
      <c r="AR1138" s="1368">
        <v>0</v>
      </c>
      <c r="AS1138" s="1369">
        <f t="shared" ref="AS1138:AS1148" si="1588">AR1138*$AH1138</f>
        <v>0</v>
      </c>
      <c r="AT1138" s="1370">
        <v>1.4999999999999999E-2</v>
      </c>
      <c r="AU1138" s="1371">
        <f t="shared" ref="AU1138:AU1148" si="1589">AT1138*$AH1138</f>
        <v>0</v>
      </c>
      <c r="AV1138" s="1359">
        <f t="shared" ref="AV1138:AV1148" si="1590">AZ1138-AR1138-AT1138-AP1138</f>
        <v>1.0000000000000002E-2</v>
      </c>
      <c r="AW1138" s="1372">
        <f t="shared" ref="AW1138:AW1148" si="1591">AV1138*$AH1138</f>
        <v>0</v>
      </c>
      <c r="AX1138" s="1373">
        <f t="shared" ref="AX1138:AX1148" si="1592">$AZ1138-$AP1138</f>
        <v>2.5000000000000001E-2</v>
      </c>
      <c r="AY1138" s="1374">
        <f t="shared" ref="AY1138:AY1148" si="1593">AX1138*$AH1138</f>
        <v>0</v>
      </c>
      <c r="AZ1138" s="1375">
        <f t="shared" ref="AZ1138:AZ1148" si="1594">$AI1138-$AL1138-$AN1138</f>
        <v>6.5000000000000002E-2</v>
      </c>
      <c r="BA1138" s="1376">
        <f t="shared" ref="BA1138:BA1148" si="1595">AZ1138*$AH1138</f>
        <v>0</v>
      </c>
      <c r="BB1138" s="1377"/>
      <c r="BC1138" s="1819" t="s">
        <v>110</v>
      </c>
      <c r="BD1138" s="1819" t="s">
        <v>235</v>
      </c>
      <c r="BE1138" s="1831" t="s">
        <v>234</v>
      </c>
      <c r="BF1138" s="1831" t="s">
        <v>229</v>
      </c>
      <c r="BG1138" s="1828">
        <v>272448036</v>
      </c>
    </row>
    <row r="1139" spans="1:59" s="1396" customFormat="1" ht="38.25">
      <c r="A1139" s="1579" t="str">
        <f t="shared" si="1580"/>
        <v>Care Zone Inc.</v>
      </c>
      <c r="B1139" s="1580" t="str">
        <f t="shared" si="1581"/>
        <v>HUB</v>
      </c>
      <c r="C1139" s="1580">
        <f t="shared" ref="C1139:C1148" si="1596">C1138</f>
        <v>112</v>
      </c>
      <c r="D1139" s="1447">
        <v>42736</v>
      </c>
      <c r="E1139" s="1349">
        <f t="shared" si="1582"/>
        <v>43100</v>
      </c>
      <c r="F1139" s="1579" t="s">
        <v>72</v>
      </c>
      <c r="G1139" s="1579" t="s">
        <v>85</v>
      </c>
      <c r="H1139" s="1579" t="s">
        <v>72</v>
      </c>
      <c r="I1139" s="1579" t="s">
        <v>113</v>
      </c>
      <c r="J1139" s="1447"/>
      <c r="K1139" s="1581"/>
      <c r="L1139" s="1582" t="s">
        <v>4671</v>
      </c>
      <c r="M1139" s="1583" t="s">
        <v>3649</v>
      </c>
      <c r="N1139" s="1588" t="s">
        <v>5442</v>
      </c>
      <c r="O1139" s="1449" t="s">
        <v>5443</v>
      </c>
      <c r="P1139" s="1449"/>
      <c r="Q1139" s="1445"/>
      <c r="R1139" s="1445"/>
      <c r="S1139" s="1445"/>
      <c r="T1139" s="1445"/>
      <c r="U1139" s="1445"/>
      <c r="V1139" s="1445"/>
      <c r="W1139" s="1445"/>
      <c r="X1139" s="1479">
        <v>42736</v>
      </c>
      <c r="Y1139" s="1479">
        <v>43101</v>
      </c>
      <c r="Z1139" s="1425"/>
      <c r="AA1139" s="1519"/>
      <c r="AB1139" s="1585"/>
      <c r="AC1139" s="1585"/>
      <c r="AD1139" s="1585"/>
      <c r="AE1139" s="1585">
        <f t="shared" si="1578"/>
        <v>0</v>
      </c>
      <c r="AF1139" s="1586" t="str">
        <f t="shared" si="1579"/>
        <v/>
      </c>
      <c r="AG1139" s="1587"/>
      <c r="AH1139" s="1587"/>
      <c r="AI1139" s="1471">
        <v>0</v>
      </c>
      <c r="AJ1139" s="1360">
        <f t="shared" si="1583"/>
        <v>0</v>
      </c>
      <c r="AK1139" s="1361">
        <f t="shared" si="1584"/>
        <v>0</v>
      </c>
      <c r="AL1139" s="1384">
        <v>0</v>
      </c>
      <c r="AM1139" s="1363">
        <f t="shared" si="1585"/>
        <v>0</v>
      </c>
      <c r="AN1139" s="1364">
        <v>0</v>
      </c>
      <c r="AO1139" s="1365">
        <f t="shared" si="1586"/>
        <v>0</v>
      </c>
      <c r="AP1139" s="1366">
        <v>0</v>
      </c>
      <c r="AQ1139" s="1367">
        <f t="shared" si="1587"/>
        <v>0</v>
      </c>
      <c r="AR1139" s="1368">
        <v>0</v>
      </c>
      <c r="AS1139" s="1369">
        <f t="shared" si="1588"/>
        <v>0</v>
      </c>
      <c r="AT1139" s="1370">
        <v>0</v>
      </c>
      <c r="AU1139" s="1371">
        <f t="shared" si="1589"/>
        <v>0</v>
      </c>
      <c r="AV1139" s="1359">
        <f t="shared" si="1590"/>
        <v>0</v>
      </c>
      <c r="AW1139" s="1372">
        <f t="shared" si="1591"/>
        <v>0</v>
      </c>
      <c r="AX1139" s="1373">
        <f t="shared" si="1592"/>
        <v>0</v>
      </c>
      <c r="AY1139" s="1374">
        <f t="shared" si="1593"/>
        <v>0</v>
      </c>
      <c r="AZ1139" s="1375">
        <f t="shared" si="1594"/>
        <v>0</v>
      </c>
      <c r="BA1139" s="1376">
        <f t="shared" si="1595"/>
        <v>0</v>
      </c>
      <c r="BB1139" s="1377"/>
      <c r="BC1139" s="1820"/>
      <c r="BD1139" s="1820"/>
      <c r="BE1139" s="1832"/>
      <c r="BF1139" s="1832"/>
      <c r="BG1139" s="1829"/>
    </row>
    <row r="1140" spans="1:59" s="1396" customFormat="1" ht="36" customHeight="1">
      <c r="A1140" s="1579" t="str">
        <f t="shared" si="1580"/>
        <v>Care Zone Inc.</v>
      </c>
      <c r="B1140" s="1580" t="str">
        <f t="shared" si="1581"/>
        <v>HUB</v>
      </c>
      <c r="C1140" s="1580">
        <f t="shared" si="1596"/>
        <v>112</v>
      </c>
      <c r="D1140" s="1447">
        <v>42736</v>
      </c>
      <c r="E1140" s="1349">
        <f t="shared" si="1582"/>
        <v>43100</v>
      </c>
      <c r="F1140" s="1579" t="s">
        <v>113</v>
      </c>
      <c r="G1140" s="1579" t="s">
        <v>85</v>
      </c>
      <c r="H1140" s="1579" t="s">
        <v>85</v>
      </c>
      <c r="I1140" s="1579" t="s">
        <v>85</v>
      </c>
      <c r="J1140" s="1447"/>
      <c r="K1140" s="1581"/>
      <c r="L1140" s="1582" t="s">
        <v>4675</v>
      </c>
      <c r="M1140" s="1583" t="s">
        <v>3650</v>
      </c>
      <c r="N1140" s="1589" t="s">
        <v>5444</v>
      </c>
      <c r="O1140" s="1449">
        <v>5941214</v>
      </c>
      <c r="P1140" s="1449"/>
      <c r="Q1140" s="1445"/>
      <c r="R1140" s="1445"/>
      <c r="S1140" s="1445"/>
      <c r="T1140" s="1445"/>
      <c r="U1140" s="1445"/>
      <c r="V1140" s="1445"/>
      <c r="W1140" s="1445"/>
      <c r="X1140" s="1479">
        <v>42736</v>
      </c>
      <c r="Y1140" s="1479">
        <v>43101</v>
      </c>
      <c r="Z1140" s="1425"/>
      <c r="AA1140" s="1355"/>
      <c r="AB1140" s="1585"/>
      <c r="AC1140" s="1585"/>
      <c r="AD1140" s="1585"/>
      <c r="AE1140" s="1585">
        <f t="shared" si="1578"/>
        <v>0</v>
      </c>
      <c r="AF1140" s="1586" t="str">
        <f t="shared" si="1579"/>
        <v/>
      </c>
      <c r="AG1140" s="1587"/>
      <c r="AH1140" s="1587"/>
      <c r="AI1140" s="1471">
        <v>0.1</v>
      </c>
      <c r="AJ1140" s="1360">
        <f t="shared" si="1583"/>
        <v>0</v>
      </c>
      <c r="AK1140" s="1361">
        <f t="shared" si="1584"/>
        <v>0</v>
      </c>
      <c r="AL1140" s="1384">
        <v>0</v>
      </c>
      <c r="AM1140" s="1363">
        <f t="shared" si="1585"/>
        <v>0</v>
      </c>
      <c r="AN1140" s="1364">
        <v>0</v>
      </c>
      <c r="AO1140" s="1365">
        <f t="shared" si="1586"/>
        <v>0</v>
      </c>
      <c r="AP1140" s="1366">
        <v>0.08</v>
      </c>
      <c r="AQ1140" s="1367">
        <f t="shared" si="1587"/>
        <v>0</v>
      </c>
      <c r="AR1140" s="1368">
        <v>0</v>
      </c>
      <c r="AS1140" s="1369">
        <f t="shared" si="1588"/>
        <v>0</v>
      </c>
      <c r="AT1140" s="1370">
        <v>0</v>
      </c>
      <c r="AU1140" s="1371">
        <f t="shared" si="1589"/>
        <v>0</v>
      </c>
      <c r="AV1140" s="1359">
        <f t="shared" si="1590"/>
        <v>2.0000000000000004E-2</v>
      </c>
      <c r="AW1140" s="1372">
        <f t="shared" si="1591"/>
        <v>0</v>
      </c>
      <c r="AX1140" s="1373">
        <f t="shared" si="1592"/>
        <v>2.0000000000000004E-2</v>
      </c>
      <c r="AY1140" s="1374">
        <f t="shared" si="1593"/>
        <v>0</v>
      </c>
      <c r="AZ1140" s="1375">
        <f t="shared" si="1594"/>
        <v>0.1</v>
      </c>
      <c r="BA1140" s="1376">
        <f t="shared" si="1595"/>
        <v>0</v>
      </c>
      <c r="BB1140" s="1377"/>
      <c r="BC1140" s="1820"/>
      <c r="BD1140" s="1820"/>
      <c r="BE1140" s="1832"/>
      <c r="BF1140" s="1832"/>
      <c r="BG1140" s="1829"/>
    </row>
    <row r="1141" spans="1:59" s="1396" customFormat="1" ht="36" customHeight="1">
      <c r="A1141" s="1579" t="str">
        <f t="shared" si="1580"/>
        <v>Care Zone Inc.</v>
      </c>
      <c r="B1141" s="1580" t="str">
        <f t="shared" si="1581"/>
        <v>HUB</v>
      </c>
      <c r="C1141" s="1580">
        <f t="shared" si="1596"/>
        <v>112</v>
      </c>
      <c r="D1141" s="1447">
        <v>42736</v>
      </c>
      <c r="E1141" s="1349">
        <f t="shared" si="1582"/>
        <v>43100</v>
      </c>
      <c r="F1141" s="1579" t="s">
        <v>113</v>
      </c>
      <c r="G1141" s="1579" t="s">
        <v>85</v>
      </c>
      <c r="H1141" s="1579" t="s">
        <v>85</v>
      </c>
      <c r="I1141" s="1579" t="s">
        <v>85</v>
      </c>
      <c r="J1141" s="1447"/>
      <c r="K1141" s="1581"/>
      <c r="L1141" s="1582" t="s">
        <v>4675</v>
      </c>
      <c r="M1141" s="1583" t="s">
        <v>3651</v>
      </c>
      <c r="N1141" s="1584" t="s">
        <v>5445</v>
      </c>
      <c r="O1141" s="1449">
        <v>5941214</v>
      </c>
      <c r="P1141" s="1449"/>
      <c r="Q1141" s="1445"/>
      <c r="R1141" s="1445"/>
      <c r="S1141" s="1445"/>
      <c r="T1141" s="1445"/>
      <c r="U1141" s="1445"/>
      <c r="V1141" s="1445"/>
      <c r="W1141" s="1445"/>
      <c r="X1141" s="1479">
        <v>42736</v>
      </c>
      <c r="Y1141" s="1479">
        <v>43101</v>
      </c>
      <c r="Z1141" s="1425"/>
      <c r="AA1141" s="1355"/>
      <c r="AB1141" s="1585"/>
      <c r="AC1141" s="1585"/>
      <c r="AD1141" s="1585"/>
      <c r="AE1141" s="1585">
        <f t="shared" si="1578"/>
        <v>0</v>
      </c>
      <c r="AF1141" s="1586" t="str">
        <f t="shared" si="1579"/>
        <v/>
      </c>
      <c r="AG1141" s="1587"/>
      <c r="AH1141" s="1587"/>
      <c r="AI1141" s="1471">
        <v>0.1</v>
      </c>
      <c r="AJ1141" s="1360">
        <f t="shared" si="1583"/>
        <v>0</v>
      </c>
      <c r="AK1141" s="1361">
        <f t="shared" si="1584"/>
        <v>0</v>
      </c>
      <c r="AL1141" s="1384">
        <v>0</v>
      </c>
      <c r="AM1141" s="1363">
        <f t="shared" si="1585"/>
        <v>0</v>
      </c>
      <c r="AN1141" s="1364">
        <v>0</v>
      </c>
      <c r="AO1141" s="1365">
        <f t="shared" si="1586"/>
        <v>0</v>
      </c>
      <c r="AP1141" s="1366">
        <v>0.08</v>
      </c>
      <c r="AQ1141" s="1367">
        <f t="shared" si="1587"/>
        <v>0</v>
      </c>
      <c r="AR1141" s="1368">
        <v>0</v>
      </c>
      <c r="AS1141" s="1369">
        <f t="shared" si="1588"/>
        <v>0</v>
      </c>
      <c r="AT1141" s="1370">
        <v>0</v>
      </c>
      <c r="AU1141" s="1371">
        <f t="shared" si="1589"/>
        <v>0</v>
      </c>
      <c r="AV1141" s="1359">
        <f t="shared" si="1590"/>
        <v>2.0000000000000004E-2</v>
      </c>
      <c r="AW1141" s="1372">
        <f t="shared" si="1591"/>
        <v>0</v>
      </c>
      <c r="AX1141" s="1373">
        <f t="shared" si="1592"/>
        <v>2.0000000000000004E-2</v>
      </c>
      <c r="AY1141" s="1374">
        <f t="shared" si="1593"/>
        <v>0</v>
      </c>
      <c r="AZ1141" s="1375">
        <f t="shared" si="1594"/>
        <v>0.1</v>
      </c>
      <c r="BA1141" s="1376">
        <f t="shared" si="1595"/>
        <v>0</v>
      </c>
      <c r="BB1141" s="1377"/>
      <c r="BC1141" s="1820"/>
      <c r="BD1141" s="1820"/>
      <c r="BE1141" s="1832"/>
      <c r="BF1141" s="1832"/>
      <c r="BG1141" s="1829"/>
    </row>
    <row r="1142" spans="1:59" s="1396" customFormat="1" ht="25.5">
      <c r="A1142" s="1579" t="str">
        <f t="shared" si="1580"/>
        <v>Care Zone Inc.</v>
      </c>
      <c r="B1142" s="1580" t="str">
        <f t="shared" si="1581"/>
        <v>HUB</v>
      </c>
      <c r="C1142" s="1580">
        <f t="shared" si="1596"/>
        <v>112</v>
      </c>
      <c r="D1142" s="1447">
        <v>42736</v>
      </c>
      <c r="E1142" s="1349">
        <f t="shared" si="1582"/>
        <v>43100</v>
      </c>
      <c r="F1142" s="1579" t="s">
        <v>113</v>
      </c>
      <c r="G1142" s="1579" t="s">
        <v>85</v>
      </c>
      <c r="H1142" s="1579" t="s">
        <v>85</v>
      </c>
      <c r="I1142" s="1579" t="s">
        <v>85</v>
      </c>
      <c r="J1142" s="1447"/>
      <c r="K1142" s="1581"/>
      <c r="L1142" s="1582" t="s">
        <v>4682</v>
      </c>
      <c r="M1142" s="1583" t="s">
        <v>4683</v>
      </c>
      <c r="N1142" s="1590" t="s">
        <v>1249</v>
      </c>
      <c r="O1142" s="1449" t="s">
        <v>4684</v>
      </c>
      <c r="P1142" s="1446"/>
      <c r="Q1142" s="1445"/>
      <c r="R1142" s="1445"/>
      <c r="S1142" s="1445"/>
      <c r="T1142" s="1445"/>
      <c r="U1142" s="1445"/>
      <c r="V1142" s="1445"/>
      <c r="W1142" s="1445"/>
      <c r="X1142" s="1479">
        <v>42736</v>
      </c>
      <c r="Y1142" s="1479">
        <v>43101</v>
      </c>
      <c r="Z1142" s="1425"/>
      <c r="AA1142" s="1355"/>
      <c r="AB1142" s="1585"/>
      <c r="AC1142" s="1585"/>
      <c r="AD1142" s="1585"/>
      <c r="AE1142" s="1585">
        <f t="shared" si="1578"/>
        <v>0</v>
      </c>
      <c r="AF1142" s="1586" t="str">
        <f t="shared" si="1579"/>
        <v/>
      </c>
      <c r="AG1142" s="1587"/>
      <c r="AH1142" s="1587"/>
      <c r="AI1142" s="1471">
        <v>0.15</v>
      </c>
      <c r="AJ1142" s="1360">
        <f t="shared" si="1583"/>
        <v>0</v>
      </c>
      <c r="AK1142" s="1361">
        <f t="shared" si="1584"/>
        <v>0</v>
      </c>
      <c r="AL1142" s="1384">
        <v>0</v>
      </c>
      <c r="AM1142" s="1363">
        <f t="shared" si="1585"/>
        <v>0</v>
      </c>
      <c r="AN1142" s="1364">
        <v>0</v>
      </c>
      <c r="AO1142" s="1365">
        <f t="shared" si="1586"/>
        <v>0</v>
      </c>
      <c r="AP1142" s="1366">
        <v>0.1</v>
      </c>
      <c r="AQ1142" s="1367">
        <f t="shared" si="1587"/>
        <v>0</v>
      </c>
      <c r="AR1142" s="1368">
        <v>0</v>
      </c>
      <c r="AS1142" s="1369">
        <f t="shared" si="1588"/>
        <v>0</v>
      </c>
      <c r="AT1142" s="1370">
        <v>0</v>
      </c>
      <c r="AU1142" s="1371">
        <f t="shared" si="1589"/>
        <v>0</v>
      </c>
      <c r="AV1142" s="1359">
        <f t="shared" si="1590"/>
        <v>4.9999999999999989E-2</v>
      </c>
      <c r="AW1142" s="1372">
        <f t="shared" si="1591"/>
        <v>0</v>
      </c>
      <c r="AX1142" s="1373">
        <f t="shared" si="1592"/>
        <v>4.9999999999999989E-2</v>
      </c>
      <c r="AY1142" s="1374">
        <f t="shared" si="1593"/>
        <v>0</v>
      </c>
      <c r="AZ1142" s="1375">
        <f t="shared" si="1594"/>
        <v>0.15</v>
      </c>
      <c r="BA1142" s="1376">
        <f t="shared" si="1595"/>
        <v>0</v>
      </c>
      <c r="BB1142" s="1377"/>
      <c r="BC1142" s="1820"/>
      <c r="BD1142" s="1820"/>
      <c r="BE1142" s="1832"/>
      <c r="BF1142" s="1832"/>
      <c r="BG1142" s="1829"/>
    </row>
    <row r="1143" spans="1:59" s="1396" customFormat="1" ht="25.5">
      <c r="A1143" s="1579" t="str">
        <f t="shared" si="1580"/>
        <v>Care Zone Inc.</v>
      </c>
      <c r="B1143" s="1580" t="str">
        <f t="shared" si="1581"/>
        <v>HUB</v>
      </c>
      <c r="C1143" s="1580">
        <f t="shared" si="1596"/>
        <v>112</v>
      </c>
      <c r="D1143" s="1447">
        <v>42736</v>
      </c>
      <c r="E1143" s="1349">
        <f t="shared" si="1582"/>
        <v>43100</v>
      </c>
      <c r="F1143" s="1579" t="s">
        <v>113</v>
      </c>
      <c r="G1143" s="1579" t="s">
        <v>85</v>
      </c>
      <c r="H1143" s="1579" t="s">
        <v>85</v>
      </c>
      <c r="I1143" s="1579" t="s">
        <v>113</v>
      </c>
      <c r="J1143" s="1447"/>
      <c r="K1143" s="1581"/>
      <c r="L1143" s="1582" t="s">
        <v>4682</v>
      </c>
      <c r="M1143" s="1583" t="s">
        <v>4686</v>
      </c>
      <c r="N1143" s="1590" t="s">
        <v>60</v>
      </c>
      <c r="O1143" s="1449" t="s">
        <v>4684</v>
      </c>
      <c r="P1143" s="1446"/>
      <c r="Q1143" s="1445"/>
      <c r="R1143" s="1445"/>
      <c r="S1143" s="1445"/>
      <c r="T1143" s="1445"/>
      <c r="U1143" s="1445"/>
      <c r="V1143" s="1445"/>
      <c r="W1143" s="1445"/>
      <c r="X1143" s="1479">
        <v>42736</v>
      </c>
      <c r="Y1143" s="1479">
        <v>43101</v>
      </c>
      <c r="Z1143" s="1425"/>
      <c r="AA1143" s="1355"/>
      <c r="AB1143" s="1585"/>
      <c r="AC1143" s="1585"/>
      <c r="AD1143" s="1585"/>
      <c r="AE1143" s="1585">
        <f t="shared" si="1578"/>
        <v>0</v>
      </c>
      <c r="AF1143" s="1586" t="str">
        <f t="shared" si="1579"/>
        <v/>
      </c>
      <c r="AG1143" s="1587"/>
      <c r="AH1143" s="1587"/>
      <c r="AI1143" s="1471">
        <v>0.15</v>
      </c>
      <c r="AJ1143" s="1360">
        <f t="shared" si="1583"/>
        <v>0</v>
      </c>
      <c r="AK1143" s="1361">
        <f t="shared" si="1584"/>
        <v>0</v>
      </c>
      <c r="AL1143" s="1384">
        <v>0</v>
      </c>
      <c r="AM1143" s="1363">
        <f t="shared" si="1585"/>
        <v>0</v>
      </c>
      <c r="AN1143" s="1364">
        <v>0</v>
      </c>
      <c r="AO1143" s="1365">
        <f t="shared" si="1586"/>
        <v>0</v>
      </c>
      <c r="AP1143" s="1366">
        <v>0.1</v>
      </c>
      <c r="AQ1143" s="1367">
        <f t="shared" si="1587"/>
        <v>0</v>
      </c>
      <c r="AR1143" s="1368">
        <v>0</v>
      </c>
      <c r="AS1143" s="1369">
        <f t="shared" si="1588"/>
        <v>0</v>
      </c>
      <c r="AT1143" s="1370">
        <v>0</v>
      </c>
      <c r="AU1143" s="1371">
        <f t="shared" si="1589"/>
        <v>0</v>
      </c>
      <c r="AV1143" s="1359">
        <f t="shared" si="1590"/>
        <v>4.9999999999999989E-2</v>
      </c>
      <c r="AW1143" s="1372">
        <f t="shared" si="1591"/>
        <v>0</v>
      </c>
      <c r="AX1143" s="1373">
        <f t="shared" si="1592"/>
        <v>4.9999999999999989E-2</v>
      </c>
      <c r="AY1143" s="1374">
        <f t="shared" si="1593"/>
        <v>0</v>
      </c>
      <c r="AZ1143" s="1375">
        <f t="shared" si="1594"/>
        <v>0.15</v>
      </c>
      <c r="BA1143" s="1376">
        <f t="shared" si="1595"/>
        <v>0</v>
      </c>
      <c r="BB1143" s="1377"/>
      <c r="BC1143" s="1820"/>
      <c r="BD1143" s="1820"/>
      <c r="BE1143" s="1832"/>
      <c r="BF1143" s="1832"/>
      <c r="BG1143" s="1829"/>
    </row>
    <row r="1144" spans="1:59" s="1396" customFormat="1" ht="61.5" customHeight="1">
      <c r="A1144" s="1579" t="str">
        <f t="shared" si="1580"/>
        <v>Care Zone Inc.</v>
      </c>
      <c r="B1144" s="1580" t="str">
        <f t="shared" si="1581"/>
        <v>HUB</v>
      </c>
      <c r="C1144" s="1580">
        <f t="shared" si="1596"/>
        <v>112</v>
      </c>
      <c r="D1144" s="1447">
        <v>42736</v>
      </c>
      <c r="E1144" s="1349">
        <f t="shared" si="1582"/>
        <v>43100</v>
      </c>
      <c r="F1144" s="1579" t="s">
        <v>113</v>
      </c>
      <c r="G1144" s="1579" t="s">
        <v>85</v>
      </c>
      <c r="H1144" s="1579" t="s">
        <v>85</v>
      </c>
      <c r="I1144" s="1579" t="s">
        <v>72</v>
      </c>
      <c r="J1144" s="1447"/>
      <c r="K1144" s="1581"/>
      <c r="L1144" s="1582" t="s">
        <v>4682</v>
      </c>
      <c r="M1144" s="1583" t="s">
        <v>62</v>
      </c>
      <c r="N1144" s="1584" t="s">
        <v>5446</v>
      </c>
      <c r="O1144" s="1449" t="s">
        <v>4688</v>
      </c>
      <c r="P1144" s="1449"/>
      <c r="Q1144" s="1445"/>
      <c r="R1144" s="1445"/>
      <c r="S1144" s="1445"/>
      <c r="T1144" s="1445"/>
      <c r="U1144" s="1445"/>
      <c r="V1144" s="1445"/>
      <c r="W1144" s="1445"/>
      <c r="X1144" s="1479">
        <v>42736</v>
      </c>
      <c r="Y1144" s="1479">
        <v>43101</v>
      </c>
      <c r="Z1144" s="1425"/>
      <c r="AA1144" s="1355" t="s">
        <v>5447</v>
      </c>
      <c r="AB1144" s="1585"/>
      <c r="AC1144" s="1585"/>
      <c r="AD1144" s="1585"/>
      <c r="AE1144" s="1585">
        <f t="shared" si="1578"/>
        <v>0</v>
      </c>
      <c r="AF1144" s="1586" t="str">
        <f t="shared" si="1579"/>
        <v/>
      </c>
      <c r="AG1144" s="1587"/>
      <c r="AH1144" s="1587"/>
      <c r="AI1144" s="1471">
        <v>0.15</v>
      </c>
      <c r="AJ1144" s="1360">
        <f t="shared" si="1583"/>
        <v>0</v>
      </c>
      <c r="AK1144" s="1361">
        <f t="shared" si="1584"/>
        <v>0</v>
      </c>
      <c r="AL1144" s="1384">
        <v>0</v>
      </c>
      <c r="AM1144" s="1363">
        <f t="shared" si="1585"/>
        <v>0</v>
      </c>
      <c r="AN1144" s="1364">
        <v>0</v>
      </c>
      <c r="AO1144" s="1365">
        <f t="shared" si="1586"/>
        <v>0</v>
      </c>
      <c r="AP1144" s="1366">
        <v>0.1</v>
      </c>
      <c r="AQ1144" s="1367">
        <f t="shared" si="1587"/>
        <v>0</v>
      </c>
      <c r="AR1144" s="1368">
        <v>0</v>
      </c>
      <c r="AS1144" s="1369">
        <f t="shared" si="1588"/>
        <v>0</v>
      </c>
      <c r="AT1144" s="1370">
        <v>0</v>
      </c>
      <c r="AU1144" s="1371">
        <f t="shared" si="1589"/>
        <v>0</v>
      </c>
      <c r="AV1144" s="1359">
        <f t="shared" si="1590"/>
        <v>4.9999999999999989E-2</v>
      </c>
      <c r="AW1144" s="1372">
        <f t="shared" si="1591"/>
        <v>0</v>
      </c>
      <c r="AX1144" s="1373">
        <f t="shared" si="1592"/>
        <v>4.9999999999999989E-2</v>
      </c>
      <c r="AY1144" s="1374">
        <f t="shared" si="1593"/>
        <v>0</v>
      </c>
      <c r="AZ1144" s="1375">
        <f t="shared" si="1594"/>
        <v>0.15</v>
      </c>
      <c r="BA1144" s="1376">
        <f t="shared" si="1595"/>
        <v>0</v>
      </c>
      <c r="BB1144" s="1377"/>
      <c r="BC1144" s="1820"/>
      <c r="BD1144" s="1820"/>
      <c r="BE1144" s="1832"/>
      <c r="BF1144" s="1832"/>
      <c r="BG1144" s="1829"/>
    </row>
    <row r="1145" spans="1:59" s="1396" customFormat="1" ht="25.5">
      <c r="A1145" s="1579" t="str">
        <f t="shared" si="1580"/>
        <v>Care Zone Inc.</v>
      </c>
      <c r="B1145" s="1580" t="str">
        <f t="shared" si="1581"/>
        <v>HUB</v>
      </c>
      <c r="C1145" s="1580">
        <f t="shared" si="1596"/>
        <v>112</v>
      </c>
      <c r="D1145" s="1447">
        <v>42736</v>
      </c>
      <c r="E1145" s="1349">
        <f t="shared" si="1582"/>
        <v>43100</v>
      </c>
      <c r="F1145" s="1579" t="s">
        <v>113</v>
      </c>
      <c r="G1145" s="1579" t="s">
        <v>85</v>
      </c>
      <c r="H1145" s="1579" t="s">
        <v>85</v>
      </c>
      <c r="I1145" s="1579" t="s">
        <v>85</v>
      </c>
      <c r="J1145" s="1447"/>
      <c r="K1145" s="1581"/>
      <c r="L1145" s="1582" t="s">
        <v>4682</v>
      </c>
      <c r="M1145" s="1583" t="s">
        <v>67</v>
      </c>
      <c r="N1145" s="1584" t="s">
        <v>82</v>
      </c>
      <c r="O1145" s="1449" t="s">
        <v>4689</v>
      </c>
      <c r="P1145" s="1449"/>
      <c r="Q1145" s="1445"/>
      <c r="R1145" s="1445"/>
      <c r="S1145" s="1445"/>
      <c r="T1145" s="1445"/>
      <c r="U1145" s="1445"/>
      <c r="V1145" s="1445"/>
      <c r="W1145" s="1445"/>
      <c r="X1145" s="1479">
        <v>42736</v>
      </c>
      <c r="Y1145" s="1479">
        <v>43101</v>
      </c>
      <c r="Z1145" s="1425"/>
      <c r="AA1145" s="1355"/>
      <c r="AB1145" s="1585"/>
      <c r="AC1145" s="1585"/>
      <c r="AD1145" s="1585"/>
      <c r="AE1145" s="1585">
        <f t="shared" si="1578"/>
        <v>0</v>
      </c>
      <c r="AF1145" s="1586" t="str">
        <f t="shared" si="1579"/>
        <v/>
      </c>
      <c r="AG1145" s="1587"/>
      <c r="AH1145" s="1587"/>
      <c r="AI1145" s="1471">
        <v>0.15</v>
      </c>
      <c r="AJ1145" s="1360">
        <f t="shared" si="1583"/>
        <v>0</v>
      </c>
      <c r="AK1145" s="1361">
        <f t="shared" si="1584"/>
        <v>0</v>
      </c>
      <c r="AL1145" s="1384">
        <v>0</v>
      </c>
      <c r="AM1145" s="1363">
        <f t="shared" si="1585"/>
        <v>0</v>
      </c>
      <c r="AN1145" s="1364">
        <v>0</v>
      </c>
      <c r="AO1145" s="1365">
        <f t="shared" si="1586"/>
        <v>0</v>
      </c>
      <c r="AP1145" s="1366">
        <v>0.1</v>
      </c>
      <c r="AQ1145" s="1367">
        <f t="shared" si="1587"/>
        <v>0</v>
      </c>
      <c r="AR1145" s="1368">
        <v>0</v>
      </c>
      <c r="AS1145" s="1369">
        <f t="shared" si="1588"/>
        <v>0</v>
      </c>
      <c r="AT1145" s="1370">
        <v>0</v>
      </c>
      <c r="AU1145" s="1371">
        <f t="shared" si="1589"/>
        <v>0</v>
      </c>
      <c r="AV1145" s="1359">
        <f t="shared" si="1590"/>
        <v>4.9999999999999989E-2</v>
      </c>
      <c r="AW1145" s="1372">
        <f t="shared" si="1591"/>
        <v>0</v>
      </c>
      <c r="AX1145" s="1373">
        <f t="shared" si="1592"/>
        <v>4.9999999999999989E-2</v>
      </c>
      <c r="AY1145" s="1374">
        <f t="shared" si="1593"/>
        <v>0</v>
      </c>
      <c r="AZ1145" s="1375">
        <f t="shared" si="1594"/>
        <v>0.15</v>
      </c>
      <c r="BA1145" s="1376">
        <f t="shared" si="1595"/>
        <v>0</v>
      </c>
      <c r="BB1145" s="1377"/>
      <c r="BC1145" s="1820"/>
      <c r="BD1145" s="1820"/>
      <c r="BE1145" s="1832"/>
      <c r="BF1145" s="1832"/>
      <c r="BG1145" s="1829"/>
    </row>
    <row r="1146" spans="1:59" s="1396" customFormat="1" ht="41.25" customHeight="1">
      <c r="A1146" s="1579" t="str">
        <f t="shared" si="1580"/>
        <v>Care Zone Inc.</v>
      </c>
      <c r="B1146" s="1580" t="str">
        <f t="shared" si="1581"/>
        <v>HUB</v>
      </c>
      <c r="C1146" s="1580">
        <f t="shared" si="1596"/>
        <v>112</v>
      </c>
      <c r="D1146" s="1447">
        <v>42736</v>
      </c>
      <c r="E1146" s="1349">
        <f t="shared" si="1582"/>
        <v>43100</v>
      </c>
      <c r="F1146" s="1579" t="s">
        <v>72</v>
      </c>
      <c r="G1146" s="1579" t="s">
        <v>113</v>
      </c>
      <c r="H1146" s="1579" t="s">
        <v>72</v>
      </c>
      <c r="I1146" s="1579" t="s">
        <v>113</v>
      </c>
      <c r="J1146" s="1447"/>
      <c r="K1146" s="1581"/>
      <c r="L1146" s="1591" t="s">
        <v>5448</v>
      </c>
      <c r="M1146" s="1592" t="s">
        <v>3652</v>
      </c>
      <c r="N1146" s="1593" t="s">
        <v>5449</v>
      </c>
      <c r="O1146" s="1594" t="s">
        <v>5450</v>
      </c>
      <c r="P1146" s="1594"/>
      <c r="Q1146" s="1445"/>
      <c r="R1146" s="1445"/>
      <c r="S1146" s="1445"/>
      <c r="T1146" s="1445"/>
      <c r="U1146" s="1445"/>
      <c r="V1146" s="1445"/>
      <c r="W1146" s="1445"/>
      <c r="X1146" s="1486">
        <v>42736</v>
      </c>
      <c r="Y1146" s="1486">
        <v>43101</v>
      </c>
      <c r="Z1146" s="1460"/>
      <c r="AA1146" s="1355" t="s">
        <v>5451</v>
      </c>
      <c r="AB1146" s="1402"/>
      <c r="AC1146" s="1402"/>
      <c r="AD1146" s="1402"/>
      <c r="AE1146" s="1402">
        <f t="shared" si="1578"/>
        <v>0</v>
      </c>
      <c r="AF1146" s="1448" t="str">
        <f t="shared" si="1579"/>
        <v/>
      </c>
      <c r="AG1146" s="1595"/>
      <c r="AH1146" s="1595"/>
      <c r="AI1146" s="1596">
        <v>0</v>
      </c>
      <c r="AJ1146" s="1411">
        <f t="shared" si="1583"/>
        <v>0</v>
      </c>
      <c r="AK1146" s="1406">
        <f t="shared" si="1584"/>
        <v>0</v>
      </c>
      <c r="AL1146" s="1384">
        <v>0</v>
      </c>
      <c r="AM1146" s="1363">
        <f t="shared" si="1585"/>
        <v>0</v>
      </c>
      <c r="AN1146" s="1364">
        <v>0</v>
      </c>
      <c r="AO1146" s="1365">
        <f t="shared" si="1586"/>
        <v>0</v>
      </c>
      <c r="AP1146" s="1366">
        <v>0</v>
      </c>
      <c r="AQ1146" s="1367">
        <f t="shared" si="1587"/>
        <v>0</v>
      </c>
      <c r="AR1146" s="1368">
        <v>0</v>
      </c>
      <c r="AS1146" s="1369">
        <f t="shared" si="1588"/>
        <v>0</v>
      </c>
      <c r="AT1146" s="1370">
        <v>0</v>
      </c>
      <c r="AU1146" s="1371">
        <f t="shared" si="1589"/>
        <v>0</v>
      </c>
      <c r="AV1146" s="1359">
        <f t="shared" si="1590"/>
        <v>0</v>
      </c>
      <c r="AW1146" s="1372">
        <f t="shared" si="1591"/>
        <v>0</v>
      </c>
      <c r="AX1146" s="1373">
        <f t="shared" si="1592"/>
        <v>0</v>
      </c>
      <c r="AY1146" s="1374">
        <f t="shared" si="1593"/>
        <v>0</v>
      </c>
      <c r="AZ1146" s="1375">
        <f t="shared" si="1594"/>
        <v>0</v>
      </c>
      <c r="BA1146" s="1376">
        <f t="shared" si="1595"/>
        <v>0</v>
      </c>
      <c r="BB1146" s="1377"/>
      <c r="BC1146" s="1820"/>
      <c r="BD1146" s="1820"/>
      <c r="BE1146" s="1832"/>
      <c r="BF1146" s="1832"/>
      <c r="BG1146" s="1829"/>
    </row>
    <row r="1147" spans="1:59" s="1396" customFormat="1" ht="25.5">
      <c r="A1147" s="1579" t="str">
        <f t="shared" si="1580"/>
        <v>Care Zone Inc.</v>
      </c>
      <c r="B1147" s="1580" t="str">
        <f t="shared" si="1581"/>
        <v>HUB</v>
      </c>
      <c r="C1147" s="1580">
        <f t="shared" si="1596"/>
        <v>112</v>
      </c>
      <c r="D1147" s="1447">
        <v>42736</v>
      </c>
      <c r="E1147" s="1349">
        <f t="shared" si="1582"/>
        <v>43100</v>
      </c>
      <c r="F1147" s="1579" t="s">
        <v>72</v>
      </c>
      <c r="G1147" s="1579" t="s">
        <v>113</v>
      </c>
      <c r="H1147" s="1579" t="s">
        <v>72</v>
      </c>
      <c r="I1147" s="1579" t="s">
        <v>113</v>
      </c>
      <c r="J1147" s="1447"/>
      <c r="K1147" s="1581"/>
      <c r="L1147" s="1591" t="s">
        <v>111</v>
      </c>
      <c r="M1147" s="1592" t="s">
        <v>253</v>
      </c>
      <c r="N1147" s="1593" t="s">
        <v>5452</v>
      </c>
      <c r="O1147" s="1594" t="s">
        <v>5453</v>
      </c>
      <c r="P1147" s="1594"/>
      <c r="Q1147" s="1445"/>
      <c r="R1147" s="1445"/>
      <c r="S1147" s="1445"/>
      <c r="T1147" s="1445"/>
      <c r="U1147" s="1445"/>
      <c r="V1147" s="1445"/>
      <c r="W1147" s="1445"/>
      <c r="X1147" s="1486">
        <v>42736</v>
      </c>
      <c r="Y1147" s="1486">
        <v>43101</v>
      </c>
      <c r="Z1147" s="1460"/>
      <c r="AA1147" s="1355"/>
      <c r="AB1147" s="1402"/>
      <c r="AC1147" s="1402"/>
      <c r="AD1147" s="1402"/>
      <c r="AE1147" s="1402">
        <f t="shared" si="1578"/>
        <v>0</v>
      </c>
      <c r="AF1147" s="1448" t="str">
        <f t="shared" si="1579"/>
        <v/>
      </c>
      <c r="AG1147" s="1595"/>
      <c r="AH1147" s="1595"/>
      <c r="AI1147" s="1596">
        <v>0</v>
      </c>
      <c r="AJ1147" s="1411">
        <f t="shared" si="1583"/>
        <v>0</v>
      </c>
      <c r="AK1147" s="1406">
        <f t="shared" si="1584"/>
        <v>0</v>
      </c>
      <c r="AL1147" s="1384">
        <v>0</v>
      </c>
      <c r="AM1147" s="1363">
        <f t="shared" si="1585"/>
        <v>0</v>
      </c>
      <c r="AN1147" s="1364">
        <v>0</v>
      </c>
      <c r="AO1147" s="1365">
        <f t="shared" si="1586"/>
        <v>0</v>
      </c>
      <c r="AP1147" s="1366">
        <v>0</v>
      </c>
      <c r="AQ1147" s="1367">
        <f t="shared" si="1587"/>
        <v>0</v>
      </c>
      <c r="AR1147" s="1368">
        <v>0</v>
      </c>
      <c r="AS1147" s="1369">
        <f t="shared" si="1588"/>
        <v>0</v>
      </c>
      <c r="AT1147" s="1370">
        <v>0</v>
      </c>
      <c r="AU1147" s="1371">
        <f t="shared" si="1589"/>
        <v>0</v>
      </c>
      <c r="AV1147" s="1359">
        <f t="shared" si="1590"/>
        <v>0</v>
      </c>
      <c r="AW1147" s="1372">
        <f t="shared" si="1591"/>
        <v>0</v>
      </c>
      <c r="AX1147" s="1373">
        <f t="shared" si="1592"/>
        <v>0</v>
      </c>
      <c r="AY1147" s="1374">
        <f t="shared" si="1593"/>
        <v>0</v>
      </c>
      <c r="AZ1147" s="1375">
        <f t="shared" si="1594"/>
        <v>0</v>
      </c>
      <c r="BA1147" s="1376">
        <f t="shared" si="1595"/>
        <v>0</v>
      </c>
      <c r="BB1147" s="1377"/>
      <c r="BC1147" s="1820"/>
      <c r="BD1147" s="1820"/>
      <c r="BE1147" s="1832"/>
      <c r="BF1147" s="1832"/>
      <c r="BG1147" s="1829"/>
    </row>
    <row r="1148" spans="1:59" s="1396" customFormat="1" ht="25.5">
      <c r="A1148" s="1579" t="str">
        <f t="shared" si="1580"/>
        <v>Care Zone Inc.</v>
      </c>
      <c r="B1148" s="1580" t="str">
        <f t="shared" si="1581"/>
        <v>HUB</v>
      </c>
      <c r="C1148" s="1580">
        <f t="shared" si="1596"/>
        <v>112</v>
      </c>
      <c r="D1148" s="1447">
        <v>42736</v>
      </c>
      <c r="E1148" s="1349">
        <f t="shared" si="1582"/>
        <v>43100</v>
      </c>
      <c r="F1148" s="1579" t="s">
        <v>72</v>
      </c>
      <c r="G1148" s="1579" t="s">
        <v>113</v>
      </c>
      <c r="H1148" s="1579" t="s">
        <v>72</v>
      </c>
      <c r="I1148" s="1579" t="s">
        <v>113</v>
      </c>
      <c r="J1148" s="1447"/>
      <c r="K1148" s="1581"/>
      <c r="L1148" s="1591" t="s">
        <v>112</v>
      </c>
      <c r="M1148" s="1592" t="s">
        <v>4705</v>
      </c>
      <c r="N1148" s="1593" t="s">
        <v>5454</v>
      </c>
      <c r="O1148" s="1594" t="s">
        <v>5455</v>
      </c>
      <c r="P1148" s="1594"/>
      <c r="Q1148" s="1445"/>
      <c r="R1148" s="1445"/>
      <c r="S1148" s="1445"/>
      <c r="T1148" s="1445"/>
      <c r="U1148" s="1445"/>
      <c r="V1148" s="1445"/>
      <c r="W1148" s="1445"/>
      <c r="X1148" s="1486">
        <v>42736</v>
      </c>
      <c r="Y1148" s="1486">
        <v>43101</v>
      </c>
      <c r="Z1148" s="1460"/>
      <c r="AA1148" s="1355"/>
      <c r="AB1148" s="1402"/>
      <c r="AC1148" s="1402"/>
      <c r="AD1148" s="1402"/>
      <c r="AE1148" s="1402">
        <f t="shared" si="1578"/>
        <v>0</v>
      </c>
      <c r="AF1148" s="1448" t="str">
        <f t="shared" si="1579"/>
        <v/>
      </c>
      <c r="AG1148" s="1595"/>
      <c r="AH1148" s="1595"/>
      <c r="AI1148" s="1596">
        <v>0</v>
      </c>
      <c r="AJ1148" s="1411">
        <f t="shared" si="1583"/>
        <v>0</v>
      </c>
      <c r="AK1148" s="1406">
        <f t="shared" si="1584"/>
        <v>0</v>
      </c>
      <c r="AL1148" s="1384">
        <v>0</v>
      </c>
      <c r="AM1148" s="1363">
        <f t="shared" si="1585"/>
        <v>0</v>
      </c>
      <c r="AN1148" s="1364">
        <v>0</v>
      </c>
      <c r="AO1148" s="1365">
        <f t="shared" si="1586"/>
        <v>0</v>
      </c>
      <c r="AP1148" s="1366">
        <v>0</v>
      </c>
      <c r="AQ1148" s="1367">
        <f t="shared" si="1587"/>
        <v>0</v>
      </c>
      <c r="AR1148" s="1368">
        <v>0</v>
      </c>
      <c r="AS1148" s="1369">
        <f t="shared" si="1588"/>
        <v>0</v>
      </c>
      <c r="AT1148" s="1370">
        <v>0</v>
      </c>
      <c r="AU1148" s="1371">
        <f t="shared" si="1589"/>
        <v>0</v>
      </c>
      <c r="AV1148" s="1359">
        <f t="shared" si="1590"/>
        <v>0</v>
      </c>
      <c r="AW1148" s="1372">
        <f t="shared" si="1591"/>
        <v>0</v>
      </c>
      <c r="AX1148" s="1373">
        <f t="shared" si="1592"/>
        <v>0</v>
      </c>
      <c r="AY1148" s="1374">
        <f t="shared" si="1593"/>
        <v>0</v>
      </c>
      <c r="AZ1148" s="1375">
        <f t="shared" si="1594"/>
        <v>0</v>
      </c>
      <c r="BA1148" s="1376">
        <f t="shared" si="1595"/>
        <v>0</v>
      </c>
      <c r="BB1148" s="1377"/>
      <c r="BC1148" s="1821"/>
      <c r="BD1148" s="1821"/>
      <c r="BE1148" s="1833"/>
      <c r="BF1148" s="1833"/>
      <c r="BG1148" s="1830"/>
    </row>
    <row r="1149" spans="1:59" s="1538" customFormat="1">
      <c r="A1149" s="1543"/>
      <c r="B1149" s="1543"/>
      <c r="C1149" s="1543"/>
      <c r="D1149" s="1543"/>
      <c r="E1149" s="1543"/>
      <c r="F1149" s="1543"/>
      <c r="G1149" s="1543"/>
      <c r="H1149" s="1543"/>
      <c r="I1149" s="1543"/>
      <c r="J1149" s="1543"/>
      <c r="L1149" s="1597"/>
      <c r="M1149" s="1597"/>
      <c r="N1149" s="1597"/>
      <c r="O1149" s="1528"/>
      <c r="P1149" s="1528"/>
      <c r="X1149" s="1598"/>
      <c r="Y1149" s="1598"/>
      <c r="Z1149" s="1599"/>
      <c r="AA1149" s="1599"/>
      <c r="AB1149" s="1600"/>
      <c r="AC1149" s="1600"/>
      <c r="AD1149" s="1600"/>
      <c r="AE1149" s="1600"/>
      <c r="AF1149" s="1601"/>
      <c r="AG1149" s="1602"/>
      <c r="AH1149" s="1602"/>
      <c r="AI1149" s="1603"/>
      <c r="AJ1149" s="1604"/>
      <c r="AK1149" s="1604"/>
      <c r="AL1149" s="1601"/>
      <c r="AM1149" s="1600"/>
      <c r="AN1149" s="1603"/>
      <c r="AO1149" s="1600"/>
      <c r="AP1149" s="1603"/>
      <c r="AQ1149" s="1600"/>
      <c r="AR1149" s="1603"/>
      <c r="AS1149" s="1600"/>
      <c r="AT1149" s="1603"/>
      <c r="AU1149" s="1600"/>
      <c r="AV1149" s="1603"/>
      <c r="AW1149" s="1600"/>
      <c r="AX1149" s="1603"/>
      <c r="AY1149" s="1600"/>
      <c r="AZ1149" s="1603"/>
      <c r="BA1149" s="1600"/>
      <c r="BB1149" s="1605"/>
      <c r="BC1149" s="1599"/>
      <c r="BD1149" s="1599"/>
      <c r="BE1149" s="1599"/>
      <c r="BF1149" s="1599"/>
      <c r="BG1149" s="1606"/>
    </row>
    <row r="1150" spans="1:59" s="1315" customFormat="1" ht="25.5">
      <c r="A1150" s="1277" t="str">
        <f>L1150</f>
        <v>Evotec (US), Inc.</v>
      </c>
      <c r="B1150" s="1316" t="str">
        <f>N1150</f>
        <v>HUB</v>
      </c>
      <c r="C1150" s="1316">
        <f>Z1150</f>
        <v>69</v>
      </c>
      <c r="D1150" s="1317">
        <v>42736</v>
      </c>
      <c r="E1150" s="1317">
        <v>43100</v>
      </c>
      <c r="F1150" s="1277" t="s">
        <v>72</v>
      </c>
      <c r="G1150" s="1277" t="s">
        <v>72</v>
      </c>
      <c r="H1150" s="1277" t="s">
        <v>72</v>
      </c>
      <c r="I1150" s="1277" t="s">
        <v>113</v>
      </c>
      <c r="J1150" s="1317"/>
      <c r="K1150" s="1577"/>
      <c r="L1150" s="1319" t="s">
        <v>135</v>
      </c>
      <c r="M1150" s="1319"/>
      <c r="N1150" s="1578" t="s">
        <v>3653</v>
      </c>
      <c r="O1150" s="1392" t="s">
        <v>2473</v>
      </c>
      <c r="P1150" s="1392"/>
      <c r="Q1150" s="1349"/>
      <c r="R1150" s="1349"/>
      <c r="S1150" s="1349"/>
      <c r="T1150" s="1349"/>
      <c r="U1150" s="1349"/>
      <c r="V1150" s="1349"/>
      <c r="W1150" s="1349"/>
      <c r="X1150" s="1317">
        <v>42736</v>
      </c>
      <c r="Y1150" s="1317">
        <v>43101</v>
      </c>
      <c r="Z1150" s="1316">
        <v>69</v>
      </c>
      <c r="AA1150" s="1316" t="s">
        <v>5076</v>
      </c>
      <c r="AB1150" s="1323">
        <f>SUM(AB1151:AB1162)</f>
        <v>0</v>
      </c>
      <c r="AC1150" s="1323">
        <f>SUM(AC1151:AC1162)</f>
        <v>0</v>
      </c>
      <c r="AD1150" s="1323">
        <f>SUM(AD1151:AD1162)</f>
        <v>0</v>
      </c>
      <c r="AE1150" s="1324">
        <f t="shared" ref="AE1150:AE1162" si="1597">AD1150-AB1150</f>
        <v>0</v>
      </c>
      <c r="AF1150" s="1325" t="str">
        <f t="shared" ref="AF1150:AF1162" si="1598">IFERROR((AE1150/AB1150),"")</f>
        <v/>
      </c>
      <c r="AG1150" s="1326"/>
      <c r="AH1150" s="1326">
        <f>SUM(AH1151:AH1162)</f>
        <v>0</v>
      </c>
      <c r="AI1150" s="1339"/>
      <c r="AJ1150" s="1328">
        <f>SUM(AJ1151:AJ1162)</f>
        <v>0</v>
      </c>
      <c r="AK1150" s="1328">
        <f>SUM(AK1151:AK1162)</f>
        <v>0</v>
      </c>
      <c r="AL1150" s="1329"/>
      <c r="AM1150" s="1330">
        <f>SUM(AM1151:AM1162)</f>
        <v>0</v>
      </c>
      <c r="AN1150" s="1331"/>
      <c r="AO1150" s="1332">
        <f>SUM(AO1151:AO1162)</f>
        <v>0</v>
      </c>
      <c r="AP1150" s="1333"/>
      <c r="AQ1150" s="1334">
        <f>SUM(AQ1151:AQ1162)</f>
        <v>0</v>
      </c>
      <c r="AR1150" s="1335"/>
      <c r="AS1150" s="1336">
        <f>SUM(AS1151:AS1162)</f>
        <v>0</v>
      </c>
      <c r="AT1150" s="1337"/>
      <c r="AU1150" s="1338">
        <f>SUM(AU1151:AU1162)</f>
        <v>0</v>
      </c>
      <c r="AV1150" s="1339"/>
      <c r="AW1150" s="1340">
        <f>SUM(AW1151:AW1162)</f>
        <v>0</v>
      </c>
      <c r="AX1150" s="1306"/>
      <c r="AY1150" s="1307">
        <f>SUM(AW1150+AS1150+AU1150)</f>
        <v>0</v>
      </c>
      <c r="AZ1150" s="1341"/>
      <c r="BA1150" s="1309">
        <f>SUM(AY1150+AQ1150)</f>
        <v>0</v>
      </c>
      <c r="BB1150" s="1342" t="e">
        <f>(AW1150+AU1150)/(AK1150-AM1150)</f>
        <v>#DIV/0!</v>
      </c>
      <c r="BC1150" s="1343"/>
      <c r="BD1150" s="1343"/>
      <c r="BE1150" s="1316"/>
      <c r="BF1150" s="1278" t="s">
        <v>5456</v>
      </c>
      <c r="BG1150" s="1346"/>
    </row>
    <row r="1151" spans="1:59" s="1378" customFormat="1" ht="45" customHeight="1">
      <c r="A1151" s="1347" t="str">
        <f t="shared" ref="A1151:A1162" si="1599">$A$1150</f>
        <v>Evotec (US), Inc.</v>
      </c>
      <c r="B1151" s="1348" t="str">
        <f t="shared" ref="B1151:B1162" si="1600">$B$1150</f>
        <v>HUB</v>
      </c>
      <c r="C1151" s="1348">
        <f t="shared" ref="C1151:C1162" si="1601">$C$1150</f>
        <v>69</v>
      </c>
      <c r="D1151" s="1349">
        <v>42736</v>
      </c>
      <c r="E1151" s="1349">
        <f t="shared" ref="E1151:E1162" si="1602">$E$1150</f>
        <v>43100</v>
      </c>
      <c r="F1151" s="1347" t="s">
        <v>113</v>
      </c>
      <c r="G1151" s="1347" t="s">
        <v>113</v>
      </c>
      <c r="H1151" s="1347" t="s">
        <v>113</v>
      </c>
      <c r="I1151" s="1347" t="s">
        <v>113</v>
      </c>
      <c r="J1151" s="1349"/>
      <c r="K1151" s="1607"/>
      <c r="L1151" s="1608" t="s">
        <v>4734</v>
      </c>
      <c r="M1151" s="1397" t="s">
        <v>3647</v>
      </c>
      <c r="N1151" s="1398" t="s">
        <v>5457</v>
      </c>
      <c r="O1151" s="1399">
        <v>702563</v>
      </c>
      <c r="P1151" s="1399"/>
      <c r="Q1151" s="1354"/>
      <c r="R1151" s="1354"/>
      <c r="S1151" s="1354"/>
      <c r="T1151" s="1354"/>
      <c r="U1151" s="1354"/>
      <c r="V1151" s="1354"/>
      <c r="W1151" s="1354"/>
      <c r="X1151" s="1482">
        <v>42705</v>
      </c>
      <c r="Y1151" s="1482">
        <v>43070</v>
      </c>
      <c r="Z1151" s="1401"/>
      <c r="AA1151" s="1355" t="s">
        <v>5458</v>
      </c>
      <c r="AB1151" s="1369"/>
      <c r="AC1151" s="1369"/>
      <c r="AD1151" s="1369"/>
      <c r="AE1151" s="1369">
        <f t="shared" si="1597"/>
        <v>0</v>
      </c>
      <c r="AF1151" s="1403" t="str">
        <f t="shared" si="1598"/>
        <v/>
      </c>
      <c r="AG1151" s="1404"/>
      <c r="AH1151" s="1404">
        <v>0</v>
      </c>
      <c r="AI1151" s="1405">
        <v>7.0000000000000007E-2</v>
      </c>
      <c r="AJ1151" s="1406">
        <v>0</v>
      </c>
      <c r="AK1151" s="1406">
        <v>0</v>
      </c>
      <c r="AL1151" s="1384">
        <v>0</v>
      </c>
      <c r="AM1151" s="1363">
        <f t="shared" ref="AM1151:AM1162" si="1603">AL1151*$AH1151</f>
        <v>0</v>
      </c>
      <c r="AN1151" s="1364">
        <v>0</v>
      </c>
      <c r="AO1151" s="1365">
        <f t="shared" ref="AO1151:AO1162" si="1604">AN1151*$AH1151</f>
        <v>0</v>
      </c>
      <c r="AP1151" s="1366">
        <v>7.0000000000000007E-2</v>
      </c>
      <c r="AQ1151" s="1367">
        <f t="shared" ref="AQ1151:AQ1162" si="1605">AP1151*$AH1151</f>
        <v>0</v>
      </c>
      <c r="AR1151" s="1368">
        <v>0</v>
      </c>
      <c r="AS1151" s="1369">
        <f t="shared" ref="AS1151:AS1162" si="1606">AR1151*$AH1151</f>
        <v>0</v>
      </c>
      <c r="AT1151" s="1407">
        <v>0</v>
      </c>
      <c r="AU1151" s="1371">
        <f t="shared" ref="AU1151:AU1162" si="1607">AT1151*$AH1151</f>
        <v>0</v>
      </c>
      <c r="AV1151" s="1408">
        <f t="shared" ref="AV1151:AV1162" si="1608">AZ1151-AR1151-AT1151-AP1151</f>
        <v>0</v>
      </c>
      <c r="AW1151" s="1372">
        <f t="shared" ref="AW1151:AW1162" si="1609">AV1151*$AH1151</f>
        <v>0</v>
      </c>
      <c r="AX1151" s="1409">
        <f t="shared" ref="AX1151:AX1162" si="1610">$AZ1151-$AP1151</f>
        <v>0</v>
      </c>
      <c r="AY1151" s="1374">
        <f t="shared" ref="AY1151:AY1162" si="1611">AX1151*$AH1151</f>
        <v>0</v>
      </c>
      <c r="AZ1151" s="1375">
        <f t="shared" ref="AZ1151:AZ1162" si="1612">$AI1151-$AL1151-$AN1151</f>
        <v>7.0000000000000007E-2</v>
      </c>
      <c r="BA1151" s="1376">
        <f t="shared" ref="BA1151:BA1162" si="1613">AZ1151*$AH1151</f>
        <v>0</v>
      </c>
      <c r="BB1151" s="1377"/>
      <c r="BC1151" s="1819" t="s">
        <v>349</v>
      </c>
      <c r="BD1151" s="1819" t="s">
        <v>350</v>
      </c>
      <c r="BE1151" s="1831" t="s">
        <v>238</v>
      </c>
      <c r="BF1151" s="1831" t="s">
        <v>76</v>
      </c>
      <c r="BG1151" s="1828">
        <v>943353740</v>
      </c>
    </row>
    <row r="1152" spans="1:59" s="1396" customFormat="1" ht="38.25">
      <c r="A1152" s="1347" t="str">
        <f t="shared" si="1599"/>
        <v>Evotec (US), Inc.</v>
      </c>
      <c r="B1152" s="1348" t="str">
        <f t="shared" si="1600"/>
        <v>HUB</v>
      </c>
      <c r="C1152" s="1348">
        <f t="shared" si="1601"/>
        <v>69</v>
      </c>
      <c r="D1152" s="1447">
        <v>42736</v>
      </c>
      <c r="E1152" s="1349">
        <f t="shared" si="1602"/>
        <v>43100</v>
      </c>
      <c r="F1152" s="1579" t="s">
        <v>85</v>
      </c>
      <c r="G1152" s="1579" t="s">
        <v>85</v>
      </c>
      <c r="H1152" s="1579" t="s">
        <v>85</v>
      </c>
      <c r="I1152" s="1579" t="s">
        <v>113</v>
      </c>
      <c r="J1152" s="1447"/>
      <c r="K1152" s="1581"/>
      <c r="L1152" s="1582" t="s">
        <v>4729</v>
      </c>
      <c r="M1152" s="1583" t="s">
        <v>3647</v>
      </c>
      <c r="N1152" s="1584" t="s">
        <v>5459</v>
      </c>
      <c r="O1152" s="1449" t="s">
        <v>5460</v>
      </c>
      <c r="P1152" s="1449"/>
      <c r="Q1152" s="1445"/>
      <c r="R1152" s="1445"/>
      <c r="S1152" s="1445"/>
      <c r="T1152" s="1445"/>
      <c r="U1152" s="1445"/>
      <c r="V1152" s="1445"/>
      <c r="W1152" s="1445"/>
      <c r="X1152" s="1479">
        <v>42736</v>
      </c>
      <c r="Y1152" s="1479">
        <v>43101</v>
      </c>
      <c r="Z1152" s="1425"/>
      <c r="AA1152" s="1355" t="s">
        <v>5278</v>
      </c>
      <c r="AB1152" s="1585"/>
      <c r="AC1152" s="1585"/>
      <c r="AD1152" s="1585"/>
      <c r="AE1152" s="1585">
        <f t="shared" si="1597"/>
        <v>0</v>
      </c>
      <c r="AF1152" s="1586" t="str">
        <f t="shared" si="1598"/>
        <v/>
      </c>
      <c r="AG1152" s="1587"/>
      <c r="AH1152" s="1587"/>
      <c r="AI1152" s="1471">
        <v>6.5000000000000002E-2</v>
      </c>
      <c r="AJ1152" s="1360">
        <f t="shared" ref="AJ1152:AJ1162" si="1614">$AI1152*$AG1152</f>
        <v>0</v>
      </c>
      <c r="AK1152" s="1361">
        <f t="shared" ref="AK1152:AK1162" si="1615">AI1152*$AH1152</f>
        <v>0</v>
      </c>
      <c r="AL1152" s="1362">
        <v>5.0000000000000001E-3</v>
      </c>
      <c r="AM1152" s="1363">
        <f t="shared" si="1603"/>
        <v>0</v>
      </c>
      <c r="AN1152" s="1364">
        <v>0</v>
      </c>
      <c r="AO1152" s="1365">
        <f t="shared" si="1604"/>
        <v>0</v>
      </c>
      <c r="AP1152" s="1366">
        <v>0.04</v>
      </c>
      <c r="AQ1152" s="1367">
        <f t="shared" si="1605"/>
        <v>0</v>
      </c>
      <c r="AR1152" s="1368">
        <v>0</v>
      </c>
      <c r="AS1152" s="1369">
        <f t="shared" si="1606"/>
        <v>0</v>
      </c>
      <c r="AT1152" s="1370">
        <v>0.01</v>
      </c>
      <c r="AU1152" s="1371">
        <f t="shared" si="1607"/>
        <v>0</v>
      </c>
      <c r="AV1152" s="1359">
        <f t="shared" si="1608"/>
        <v>1.0000000000000002E-2</v>
      </c>
      <c r="AW1152" s="1372">
        <f t="shared" si="1609"/>
        <v>0</v>
      </c>
      <c r="AX1152" s="1373">
        <f t="shared" si="1610"/>
        <v>2.0000000000000004E-2</v>
      </c>
      <c r="AY1152" s="1374">
        <f t="shared" si="1611"/>
        <v>0</v>
      </c>
      <c r="AZ1152" s="1375">
        <f t="shared" si="1612"/>
        <v>6.0000000000000005E-2</v>
      </c>
      <c r="BA1152" s="1376">
        <f t="shared" si="1613"/>
        <v>0</v>
      </c>
      <c r="BB1152" s="1377"/>
      <c r="BC1152" s="1820"/>
      <c r="BD1152" s="1820"/>
      <c r="BE1152" s="1832"/>
      <c r="BF1152" s="1832"/>
      <c r="BG1152" s="1829"/>
    </row>
    <row r="1153" spans="1:59" s="1396" customFormat="1" ht="38.25">
      <c r="A1153" s="1347" t="str">
        <f t="shared" si="1599"/>
        <v>Evotec (US), Inc.</v>
      </c>
      <c r="B1153" s="1348" t="str">
        <f t="shared" si="1600"/>
        <v>HUB</v>
      </c>
      <c r="C1153" s="1348">
        <f t="shared" si="1601"/>
        <v>69</v>
      </c>
      <c r="D1153" s="1447">
        <v>42736</v>
      </c>
      <c r="E1153" s="1349">
        <f t="shared" si="1602"/>
        <v>43100</v>
      </c>
      <c r="F1153" s="1579" t="s">
        <v>72</v>
      </c>
      <c r="G1153" s="1579" t="s">
        <v>113</v>
      </c>
      <c r="H1153" s="1579" t="s">
        <v>72</v>
      </c>
      <c r="I1153" s="1579" t="s">
        <v>113</v>
      </c>
      <c r="J1153" s="1447"/>
      <c r="K1153" s="1581"/>
      <c r="L1153" s="1582" t="s">
        <v>4737</v>
      </c>
      <c r="M1153" s="1583" t="s">
        <v>3649</v>
      </c>
      <c r="N1153" s="1588" t="s">
        <v>5461</v>
      </c>
      <c r="O1153" s="1449" t="s">
        <v>5462</v>
      </c>
      <c r="P1153" s="1449"/>
      <c r="Q1153" s="1445"/>
      <c r="R1153" s="1445"/>
      <c r="S1153" s="1445"/>
      <c r="T1153" s="1445"/>
      <c r="U1153" s="1445"/>
      <c r="V1153" s="1445"/>
      <c r="W1153" s="1445"/>
      <c r="X1153" s="1479">
        <v>42736</v>
      </c>
      <c r="Y1153" s="1479">
        <v>43101</v>
      </c>
      <c r="Z1153" s="1425"/>
      <c r="AA1153" s="1355"/>
      <c r="AB1153" s="1585"/>
      <c r="AC1153" s="1585"/>
      <c r="AD1153" s="1585"/>
      <c r="AE1153" s="1585">
        <f t="shared" si="1597"/>
        <v>0</v>
      </c>
      <c r="AF1153" s="1586" t="str">
        <f t="shared" si="1598"/>
        <v/>
      </c>
      <c r="AG1153" s="1587"/>
      <c r="AH1153" s="1587"/>
      <c r="AI1153" s="1471">
        <v>0</v>
      </c>
      <c r="AJ1153" s="1360">
        <f t="shared" si="1614"/>
        <v>0</v>
      </c>
      <c r="AK1153" s="1361">
        <f t="shared" si="1615"/>
        <v>0</v>
      </c>
      <c r="AL1153" s="1384">
        <v>0</v>
      </c>
      <c r="AM1153" s="1363">
        <f t="shared" si="1603"/>
        <v>0</v>
      </c>
      <c r="AN1153" s="1364">
        <v>0</v>
      </c>
      <c r="AO1153" s="1365">
        <f t="shared" si="1604"/>
        <v>0</v>
      </c>
      <c r="AP1153" s="1366">
        <v>0</v>
      </c>
      <c r="AQ1153" s="1367">
        <f t="shared" si="1605"/>
        <v>0</v>
      </c>
      <c r="AR1153" s="1368">
        <v>0</v>
      </c>
      <c r="AS1153" s="1369">
        <f t="shared" si="1606"/>
        <v>0</v>
      </c>
      <c r="AT1153" s="1370">
        <v>0</v>
      </c>
      <c r="AU1153" s="1371">
        <f t="shared" si="1607"/>
        <v>0</v>
      </c>
      <c r="AV1153" s="1359">
        <f t="shared" si="1608"/>
        <v>0</v>
      </c>
      <c r="AW1153" s="1372">
        <f t="shared" si="1609"/>
        <v>0</v>
      </c>
      <c r="AX1153" s="1373">
        <f t="shared" si="1610"/>
        <v>0</v>
      </c>
      <c r="AY1153" s="1374">
        <f t="shared" si="1611"/>
        <v>0</v>
      </c>
      <c r="AZ1153" s="1375">
        <f t="shared" si="1612"/>
        <v>0</v>
      </c>
      <c r="BA1153" s="1376">
        <f t="shared" si="1613"/>
        <v>0</v>
      </c>
      <c r="BB1153" s="1377"/>
      <c r="BC1153" s="1820"/>
      <c r="BD1153" s="1820"/>
      <c r="BE1153" s="1832"/>
      <c r="BF1153" s="1832"/>
      <c r="BG1153" s="1829"/>
    </row>
    <row r="1154" spans="1:59" s="1396" customFormat="1" ht="43.5" customHeight="1">
      <c r="A1154" s="1347" t="str">
        <f t="shared" si="1599"/>
        <v>Evotec (US), Inc.</v>
      </c>
      <c r="B1154" s="1348" t="str">
        <f t="shared" si="1600"/>
        <v>HUB</v>
      </c>
      <c r="C1154" s="1348">
        <f t="shared" si="1601"/>
        <v>69</v>
      </c>
      <c r="D1154" s="1447">
        <v>42736</v>
      </c>
      <c r="E1154" s="1349">
        <f t="shared" si="1602"/>
        <v>43100</v>
      </c>
      <c r="F1154" s="1579" t="s">
        <v>113</v>
      </c>
      <c r="G1154" s="1579" t="s">
        <v>85</v>
      </c>
      <c r="H1154" s="1579" t="s">
        <v>85</v>
      </c>
      <c r="I1154" s="1579" t="s">
        <v>113</v>
      </c>
      <c r="J1154" s="1447"/>
      <c r="K1154" s="1581"/>
      <c r="L1154" s="1582" t="s">
        <v>4675</v>
      </c>
      <c r="M1154" s="1583" t="s">
        <v>3650</v>
      </c>
      <c r="N1154" s="1584" t="s">
        <v>5463</v>
      </c>
      <c r="O1154" s="1449">
        <v>5939959</v>
      </c>
      <c r="P1154" s="1449"/>
      <c r="Q1154" s="1445"/>
      <c r="R1154" s="1445"/>
      <c r="S1154" s="1445"/>
      <c r="T1154" s="1445"/>
      <c r="U1154" s="1445"/>
      <c r="V1154" s="1445"/>
      <c r="W1154" s="1445"/>
      <c r="X1154" s="1479">
        <v>42736</v>
      </c>
      <c r="Y1154" s="1479">
        <v>43101</v>
      </c>
      <c r="Z1154" s="1425"/>
      <c r="AA1154" s="1355"/>
      <c r="AB1154" s="1585"/>
      <c r="AC1154" s="1585"/>
      <c r="AD1154" s="1585"/>
      <c r="AE1154" s="1585">
        <f t="shared" si="1597"/>
        <v>0</v>
      </c>
      <c r="AF1154" s="1586" t="str">
        <f t="shared" si="1598"/>
        <v/>
      </c>
      <c r="AG1154" s="1587"/>
      <c r="AH1154" s="1587"/>
      <c r="AI1154" s="1471">
        <v>0.1</v>
      </c>
      <c r="AJ1154" s="1360">
        <f t="shared" si="1614"/>
        <v>0</v>
      </c>
      <c r="AK1154" s="1361">
        <f t="shared" si="1615"/>
        <v>0</v>
      </c>
      <c r="AL1154" s="1384">
        <v>0</v>
      </c>
      <c r="AM1154" s="1363">
        <f t="shared" si="1603"/>
        <v>0</v>
      </c>
      <c r="AN1154" s="1364">
        <v>0</v>
      </c>
      <c r="AO1154" s="1365">
        <f t="shared" si="1604"/>
        <v>0</v>
      </c>
      <c r="AP1154" s="1366">
        <v>0.08</v>
      </c>
      <c r="AQ1154" s="1367">
        <f t="shared" si="1605"/>
        <v>0</v>
      </c>
      <c r="AR1154" s="1368">
        <v>0</v>
      </c>
      <c r="AS1154" s="1369">
        <f t="shared" si="1606"/>
        <v>0</v>
      </c>
      <c r="AT1154" s="1370">
        <v>0</v>
      </c>
      <c r="AU1154" s="1371">
        <f t="shared" si="1607"/>
        <v>0</v>
      </c>
      <c r="AV1154" s="1359">
        <f t="shared" si="1608"/>
        <v>2.0000000000000004E-2</v>
      </c>
      <c r="AW1154" s="1372">
        <f t="shared" si="1609"/>
        <v>0</v>
      </c>
      <c r="AX1154" s="1373">
        <f t="shared" si="1610"/>
        <v>2.0000000000000004E-2</v>
      </c>
      <c r="AY1154" s="1374">
        <f t="shared" si="1611"/>
        <v>0</v>
      </c>
      <c r="AZ1154" s="1375">
        <f t="shared" si="1612"/>
        <v>0.1</v>
      </c>
      <c r="BA1154" s="1376">
        <f t="shared" si="1613"/>
        <v>0</v>
      </c>
      <c r="BB1154" s="1377"/>
      <c r="BC1154" s="1820"/>
      <c r="BD1154" s="1820"/>
      <c r="BE1154" s="1832"/>
      <c r="BF1154" s="1832"/>
      <c r="BG1154" s="1829"/>
    </row>
    <row r="1155" spans="1:59" s="1396" customFormat="1" ht="25.5">
      <c r="A1155" s="1347" t="str">
        <f t="shared" si="1599"/>
        <v>Evotec (US), Inc.</v>
      </c>
      <c r="B1155" s="1348" t="str">
        <f t="shared" si="1600"/>
        <v>HUB</v>
      </c>
      <c r="C1155" s="1348">
        <f t="shared" si="1601"/>
        <v>69</v>
      </c>
      <c r="D1155" s="1447">
        <v>42736</v>
      </c>
      <c r="E1155" s="1349">
        <f t="shared" si="1602"/>
        <v>43100</v>
      </c>
      <c r="F1155" s="1579" t="s">
        <v>113</v>
      </c>
      <c r="G1155" s="1579" t="s">
        <v>85</v>
      </c>
      <c r="H1155" s="1579" t="s">
        <v>85</v>
      </c>
      <c r="I1155" s="1579" t="s">
        <v>113</v>
      </c>
      <c r="J1155" s="1447"/>
      <c r="K1155" s="1581"/>
      <c r="L1155" s="1582" t="s">
        <v>4675</v>
      </c>
      <c r="M1155" s="1583" t="s">
        <v>3651</v>
      </c>
      <c r="N1155" s="1584" t="s">
        <v>5464</v>
      </c>
      <c r="O1155" s="1449">
        <v>5939959</v>
      </c>
      <c r="P1155" s="1449"/>
      <c r="Q1155" s="1445"/>
      <c r="R1155" s="1445"/>
      <c r="S1155" s="1445"/>
      <c r="T1155" s="1445"/>
      <c r="U1155" s="1445"/>
      <c r="V1155" s="1445"/>
      <c r="W1155" s="1445"/>
      <c r="X1155" s="1479">
        <v>42736</v>
      </c>
      <c r="Y1155" s="1479">
        <v>43101</v>
      </c>
      <c r="Z1155" s="1425"/>
      <c r="AA1155" s="1355" t="s">
        <v>5465</v>
      </c>
      <c r="AB1155" s="1585"/>
      <c r="AC1155" s="1585"/>
      <c r="AD1155" s="1585"/>
      <c r="AE1155" s="1585">
        <f t="shared" si="1597"/>
        <v>0</v>
      </c>
      <c r="AF1155" s="1586" t="str">
        <f t="shared" si="1598"/>
        <v/>
      </c>
      <c r="AG1155" s="1587"/>
      <c r="AH1155" s="1587"/>
      <c r="AI1155" s="1471">
        <v>0.1</v>
      </c>
      <c r="AJ1155" s="1360">
        <f t="shared" si="1614"/>
        <v>0</v>
      </c>
      <c r="AK1155" s="1361">
        <f t="shared" si="1615"/>
        <v>0</v>
      </c>
      <c r="AL1155" s="1384">
        <v>0</v>
      </c>
      <c r="AM1155" s="1363">
        <f t="shared" si="1603"/>
        <v>0</v>
      </c>
      <c r="AN1155" s="1364">
        <v>0</v>
      </c>
      <c r="AO1155" s="1365">
        <f t="shared" si="1604"/>
        <v>0</v>
      </c>
      <c r="AP1155" s="1366">
        <v>0.08</v>
      </c>
      <c r="AQ1155" s="1367">
        <f t="shared" si="1605"/>
        <v>0</v>
      </c>
      <c r="AR1155" s="1368">
        <v>0</v>
      </c>
      <c r="AS1155" s="1369">
        <f t="shared" si="1606"/>
        <v>0</v>
      </c>
      <c r="AT1155" s="1370">
        <v>0</v>
      </c>
      <c r="AU1155" s="1371">
        <f t="shared" si="1607"/>
        <v>0</v>
      </c>
      <c r="AV1155" s="1359">
        <f t="shared" si="1608"/>
        <v>2.0000000000000004E-2</v>
      </c>
      <c r="AW1155" s="1372">
        <f t="shared" si="1609"/>
        <v>0</v>
      </c>
      <c r="AX1155" s="1373">
        <f t="shared" si="1610"/>
        <v>2.0000000000000004E-2</v>
      </c>
      <c r="AY1155" s="1374">
        <f t="shared" si="1611"/>
        <v>0</v>
      </c>
      <c r="AZ1155" s="1375">
        <f t="shared" si="1612"/>
        <v>0.1</v>
      </c>
      <c r="BA1155" s="1376">
        <f t="shared" si="1613"/>
        <v>0</v>
      </c>
      <c r="BB1155" s="1377"/>
      <c r="BC1155" s="1820"/>
      <c r="BD1155" s="1820"/>
      <c r="BE1155" s="1832"/>
      <c r="BF1155" s="1832"/>
      <c r="BG1155" s="1829"/>
    </row>
    <row r="1156" spans="1:59" s="1396" customFormat="1" ht="25.5">
      <c r="A1156" s="1347" t="str">
        <f t="shared" si="1599"/>
        <v>Evotec (US), Inc.</v>
      </c>
      <c r="B1156" s="1348" t="str">
        <f t="shared" si="1600"/>
        <v>HUB</v>
      </c>
      <c r="C1156" s="1348">
        <f t="shared" si="1601"/>
        <v>69</v>
      </c>
      <c r="D1156" s="1447">
        <v>42736</v>
      </c>
      <c r="E1156" s="1349">
        <f t="shared" si="1602"/>
        <v>43100</v>
      </c>
      <c r="F1156" s="1579" t="s">
        <v>113</v>
      </c>
      <c r="G1156" s="1579" t="s">
        <v>85</v>
      </c>
      <c r="H1156" s="1579" t="s">
        <v>85</v>
      </c>
      <c r="I1156" s="1579" t="s">
        <v>113</v>
      </c>
      <c r="J1156" s="1447"/>
      <c r="K1156" s="1581"/>
      <c r="L1156" s="1582" t="s">
        <v>4682</v>
      </c>
      <c r="M1156" s="1583" t="s">
        <v>4683</v>
      </c>
      <c r="N1156" s="1590" t="s">
        <v>57</v>
      </c>
      <c r="O1156" s="1449" t="s">
        <v>4684</v>
      </c>
      <c r="P1156" s="1446"/>
      <c r="Q1156" s="1445"/>
      <c r="R1156" s="1445"/>
      <c r="S1156" s="1445"/>
      <c r="T1156" s="1445"/>
      <c r="U1156" s="1445"/>
      <c r="V1156" s="1445"/>
      <c r="W1156" s="1445"/>
      <c r="X1156" s="1479">
        <v>42736</v>
      </c>
      <c r="Y1156" s="1479">
        <v>43101</v>
      </c>
      <c r="Z1156" s="1425"/>
      <c r="AA1156" s="1355"/>
      <c r="AB1156" s="1585"/>
      <c r="AC1156" s="1585"/>
      <c r="AD1156" s="1585"/>
      <c r="AE1156" s="1585">
        <f t="shared" si="1597"/>
        <v>0</v>
      </c>
      <c r="AF1156" s="1586" t="str">
        <f t="shared" si="1598"/>
        <v/>
      </c>
      <c r="AG1156" s="1587"/>
      <c r="AH1156" s="1587"/>
      <c r="AI1156" s="1471">
        <v>0.15</v>
      </c>
      <c r="AJ1156" s="1360">
        <f t="shared" si="1614"/>
        <v>0</v>
      </c>
      <c r="AK1156" s="1361">
        <f t="shared" si="1615"/>
        <v>0</v>
      </c>
      <c r="AL1156" s="1384">
        <v>0</v>
      </c>
      <c r="AM1156" s="1363">
        <f t="shared" si="1603"/>
        <v>0</v>
      </c>
      <c r="AN1156" s="1364">
        <v>0</v>
      </c>
      <c r="AO1156" s="1365">
        <f t="shared" si="1604"/>
        <v>0</v>
      </c>
      <c r="AP1156" s="1366">
        <v>0.1</v>
      </c>
      <c r="AQ1156" s="1367">
        <f t="shared" si="1605"/>
        <v>0</v>
      </c>
      <c r="AR1156" s="1368">
        <v>0</v>
      </c>
      <c r="AS1156" s="1369">
        <f t="shared" si="1606"/>
        <v>0</v>
      </c>
      <c r="AT1156" s="1370">
        <v>0</v>
      </c>
      <c r="AU1156" s="1371">
        <f t="shared" si="1607"/>
        <v>0</v>
      </c>
      <c r="AV1156" s="1359">
        <f t="shared" si="1608"/>
        <v>4.9999999999999989E-2</v>
      </c>
      <c r="AW1156" s="1372">
        <f t="shared" si="1609"/>
        <v>0</v>
      </c>
      <c r="AX1156" s="1373">
        <f t="shared" si="1610"/>
        <v>4.9999999999999989E-2</v>
      </c>
      <c r="AY1156" s="1374">
        <f t="shared" si="1611"/>
        <v>0</v>
      </c>
      <c r="AZ1156" s="1375">
        <f t="shared" si="1612"/>
        <v>0.15</v>
      </c>
      <c r="BA1156" s="1376">
        <f t="shared" si="1613"/>
        <v>0</v>
      </c>
      <c r="BB1156" s="1377"/>
      <c r="BC1156" s="1820"/>
      <c r="BD1156" s="1820"/>
      <c r="BE1156" s="1832"/>
      <c r="BF1156" s="1832"/>
      <c r="BG1156" s="1829"/>
    </row>
    <row r="1157" spans="1:59" s="1396" customFormat="1" ht="25.5">
      <c r="A1157" s="1347" t="str">
        <f t="shared" si="1599"/>
        <v>Evotec (US), Inc.</v>
      </c>
      <c r="B1157" s="1348" t="str">
        <f t="shared" si="1600"/>
        <v>HUB</v>
      </c>
      <c r="C1157" s="1348">
        <f t="shared" si="1601"/>
        <v>69</v>
      </c>
      <c r="D1157" s="1447">
        <v>42736</v>
      </c>
      <c r="E1157" s="1349">
        <f t="shared" si="1602"/>
        <v>43100</v>
      </c>
      <c r="F1157" s="1579" t="s">
        <v>113</v>
      </c>
      <c r="G1157" s="1579" t="s">
        <v>85</v>
      </c>
      <c r="H1157" s="1579" t="s">
        <v>85</v>
      </c>
      <c r="I1157" s="1579" t="s">
        <v>113</v>
      </c>
      <c r="J1157" s="1447"/>
      <c r="K1157" s="1581"/>
      <c r="L1157" s="1582" t="s">
        <v>4682</v>
      </c>
      <c r="M1157" s="1583" t="s">
        <v>4686</v>
      </c>
      <c r="N1157" s="1590" t="s">
        <v>60</v>
      </c>
      <c r="O1157" s="1449" t="s">
        <v>4684</v>
      </c>
      <c r="P1157" s="1446"/>
      <c r="Q1157" s="1445"/>
      <c r="R1157" s="1445"/>
      <c r="S1157" s="1445"/>
      <c r="T1157" s="1445"/>
      <c r="U1157" s="1445"/>
      <c r="V1157" s="1445"/>
      <c r="W1157" s="1445"/>
      <c r="X1157" s="1479">
        <v>42736</v>
      </c>
      <c r="Y1157" s="1479">
        <v>43101</v>
      </c>
      <c r="Z1157" s="1425"/>
      <c r="AA1157" s="1355"/>
      <c r="AB1157" s="1585"/>
      <c r="AC1157" s="1585"/>
      <c r="AD1157" s="1585"/>
      <c r="AE1157" s="1585">
        <f t="shared" si="1597"/>
        <v>0</v>
      </c>
      <c r="AF1157" s="1586" t="str">
        <f t="shared" si="1598"/>
        <v/>
      </c>
      <c r="AG1157" s="1587"/>
      <c r="AH1157" s="1587"/>
      <c r="AI1157" s="1471">
        <v>0.15</v>
      </c>
      <c r="AJ1157" s="1360">
        <f t="shared" si="1614"/>
        <v>0</v>
      </c>
      <c r="AK1157" s="1361">
        <f t="shared" si="1615"/>
        <v>0</v>
      </c>
      <c r="AL1157" s="1384">
        <v>0</v>
      </c>
      <c r="AM1157" s="1363">
        <f t="shared" si="1603"/>
        <v>0</v>
      </c>
      <c r="AN1157" s="1364">
        <v>0</v>
      </c>
      <c r="AO1157" s="1365">
        <f t="shared" si="1604"/>
        <v>0</v>
      </c>
      <c r="AP1157" s="1366">
        <v>0.1</v>
      </c>
      <c r="AQ1157" s="1367">
        <f t="shared" si="1605"/>
        <v>0</v>
      </c>
      <c r="AR1157" s="1368">
        <v>0</v>
      </c>
      <c r="AS1157" s="1369">
        <f t="shared" si="1606"/>
        <v>0</v>
      </c>
      <c r="AT1157" s="1370">
        <v>0</v>
      </c>
      <c r="AU1157" s="1371">
        <f t="shared" si="1607"/>
        <v>0</v>
      </c>
      <c r="AV1157" s="1359">
        <f t="shared" si="1608"/>
        <v>4.9999999999999989E-2</v>
      </c>
      <c r="AW1157" s="1372">
        <f t="shared" si="1609"/>
        <v>0</v>
      </c>
      <c r="AX1157" s="1373">
        <f t="shared" si="1610"/>
        <v>4.9999999999999989E-2</v>
      </c>
      <c r="AY1157" s="1374">
        <f t="shared" si="1611"/>
        <v>0</v>
      </c>
      <c r="AZ1157" s="1375">
        <f t="shared" si="1612"/>
        <v>0.15</v>
      </c>
      <c r="BA1157" s="1376">
        <f t="shared" si="1613"/>
        <v>0</v>
      </c>
      <c r="BB1157" s="1377"/>
      <c r="BC1157" s="1820"/>
      <c r="BD1157" s="1820"/>
      <c r="BE1157" s="1832"/>
      <c r="BF1157" s="1832"/>
      <c r="BG1157" s="1829"/>
    </row>
    <row r="1158" spans="1:59" s="1396" customFormat="1" ht="25.5">
      <c r="A1158" s="1347" t="str">
        <f t="shared" si="1599"/>
        <v>Evotec (US), Inc.</v>
      </c>
      <c r="B1158" s="1348" t="str">
        <f t="shared" si="1600"/>
        <v>HUB</v>
      </c>
      <c r="C1158" s="1348">
        <f t="shared" si="1601"/>
        <v>69</v>
      </c>
      <c r="D1158" s="1447">
        <v>42736</v>
      </c>
      <c r="E1158" s="1349">
        <f t="shared" si="1602"/>
        <v>43100</v>
      </c>
      <c r="F1158" s="1579" t="s">
        <v>113</v>
      </c>
      <c r="G1158" s="1579" t="s">
        <v>85</v>
      </c>
      <c r="H1158" s="1579" t="s">
        <v>85</v>
      </c>
      <c r="I1158" s="1579" t="s">
        <v>113</v>
      </c>
      <c r="J1158" s="1447"/>
      <c r="K1158" s="1581"/>
      <c r="L1158" s="1582" t="s">
        <v>4682</v>
      </c>
      <c r="M1158" s="1583" t="s">
        <v>62</v>
      </c>
      <c r="N1158" s="1584" t="s">
        <v>81</v>
      </c>
      <c r="O1158" s="1449" t="s">
        <v>4688</v>
      </c>
      <c r="P1158" s="1449"/>
      <c r="Q1158" s="1445"/>
      <c r="R1158" s="1445"/>
      <c r="S1158" s="1445"/>
      <c r="T1158" s="1445"/>
      <c r="U1158" s="1445"/>
      <c r="V1158" s="1445"/>
      <c r="W1158" s="1445"/>
      <c r="X1158" s="1479">
        <v>42736</v>
      </c>
      <c r="Y1158" s="1479">
        <v>43101</v>
      </c>
      <c r="Z1158" s="1425"/>
      <c r="AA1158" s="1355"/>
      <c r="AB1158" s="1585"/>
      <c r="AC1158" s="1585"/>
      <c r="AD1158" s="1585"/>
      <c r="AE1158" s="1585">
        <f t="shared" si="1597"/>
        <v>0</v>
      </c>
      <c r="AF1158" s="1586" t="str">
        <f t="shared" si="1598"/>
        <v/>
      </c>
      <c r="AG1158" s="1587"/>
      <c r="AH1158" s="1587"/>
      <c r="AI1158" s="1471">
        <v>0.15</v>
      </c>
      <c r="AJ1158" s="1360">
        <f t="shared" si="1614"/>
        <v>0</v>
      </c>
      <c r="AK1158" s="1361">
        <f t="shared" si="1615"/>
        <v>0</v>
      </c>
      <c r="AL1158" s="1384">
        <v>0</v>
      </c>
      <c r="AM1158" s="1363">
        <f t="shared" si="1603"/>
        <v>0</v>
      </c>
      <c r="AN1158" s="1364">
        <v>0</v>
      </c>
      <c r="AO1158" s="1365">
        <f t="shared" si="1604"/>
        <v>0</v>
      </c>
      <c r="AP1158" s="1366">
        <v>0.1</v>
      </c>
      <c r="AQ1158" s="1367">
        <f t="shared" si="1605"/>
        <v>0</v>
      </c>
      <c r="AR1158" s="1368">
        <v>0</v>
      </c>
      <c r="AS1158" s="1369">
        <f t="shared" si="1606"/>
        <v>0</v>
      </c>
      <c r="AT1158" s="1370">
        <v>0</v>
      </c>
      <c r="AU1158" s="1371">
        <f t="shared" si="1607"/>
        <v>0</v>
      </c>
      <c r="AV1158" s="1359">
        <f t="shared" si="1608"/>
        <v>4.9999999999999989E-2</v>
      </c>
      <c r="AW1158" s="1372">
        <f t="shared" si="1609"/>
        <v>0</v>
      </c>
      <c r="AX1158" s="1373">
        <f t="shared" si="1610"/>
        <v>4.9999999999999989E-2</v>
      </c>
      <c r="AY1158" s="1374">
        <f t="shared" si="1611"/>
        <v>0</v>
      </c>
      <c r="AZ1158" s="1375">
        <f t="shared" si="1612"/>
        <v>0.15</v>
      </c>
      <c r="BA1158" s="1376">
        <f t="shared" si="1613"/>
        <v>0</v>
      </c>
      <c r="BB1158" s="1377"/>
      <c r="BC1158" s="1820"/>
      <c r="BD1158" s="1820"/>
      <c r="BE1158" s="1832"/>
      <c r="BF1158" s="1832"/>
      <c r="BG1158" s="1829"/>
    </row>
    <row r="1159" spans="1:59" s="1396" customFormat="1" ht="25.5">
      <c r="A1159" s="1347" t="str">
        <f t="shared" si="1599"/>
        <v>Evotec (US), Inc.</v>
      </c>
      <c r="B1159" s="1348" t="str">
        <f t="shared" si="1600"/>
        <v>HUB</v>
      </c>
      <c r="C1159" s="1348">
        <f t="shared" si="1601"/>
        <v>69</v>
      </c>
      <c r="D1159" s="1447">
        <v>42736</v>
      </c>
      <c r="E1159" s="1349">
        <f t="shared" si="1602"/>
        <v>43100</v>
      </c>
      <c r="F1159" s="1579" t="s">
        <v>113</v>
      </c>
      <c r="G1159" s="1579" t="s">
        <v>85</v>
      </c>
      <c r="H1159" s="1579" t="s">
        <v>85</v>
      </c>
      <c r="I1159" s="1579" t="s">
        <v>113</v>
      </c>
      <c r="J1159" s="1447"/>
      <c r="K1159" s="1581"/>
      <c r="L1159" s="1582" t="s">
        <v>4682</v>
      </c>
      <c r="M1159" s="1583" t="s">
        <v>67</v>
      </c>
      <c r="N1159" s="1584" t="s">
        <v>82</v>
      </c>
      <c r="O1159" s="1449" t="s">
        <v>4689</v>
      </c>
      <c r="P1159" s="1449"/>
      <c r="Q1159" s="1445"/>
      <c r="R1159" s="1445"/>
      <c r="S1159" s="1445"/>
      <c r="T1159" s="1445"/>
      <c r="U1159" s="1445"/>
      <c r="V1159" s="1445"/>
      <c r="W1159" s="1445"/>
      <c r="X1159" s="1479">
        <v>42736</v>
      </c>
      <c r="Y1159" s="1479">
        <v>43101</v>
      </c>
      <c r="Z1159" s="1425"/>
      <c r="AA1159" s="1355"/>
      <c r="AB1159" s="1585"/>
      <c r="AC1159" s="1585"/>
      <c r="AD1159" s="1585"/>
      <c r="AE1159" s="1585">
        <f t="shared" si="1597"/>
        <v>0</v>
      </c>
      <c r="AF1159" s="1586" t="str">
        <f t="shared" si="1598"/>
        <v/>
      </c>
      <c r="AG1159" s="1587"/>
      <c r="AH1159" s="1587"/>
      <c r="AI1159" s="1471">
        <v>0.15</v>
      </c>
      <c r="AJ1159" s="1360">
        <f t="shared" si="1614"/>
        <v>0</v>
      </c>
      <c r="AK1159" s="1361">
        <f t="shared" si="1615"/>
        <v>0</v>
      </c>
      <c r="AL1159" s="1384">
        <v>0</v>
      </c>
      <c r="AM1159" s="1363">
        <f t="shared" si="1603"/>
        <v>0</v>
      </c>
      <c r="AN1159" s="1364">
        <v>0</v>
      </c>
      <c r="AO1159" s="1365">
        <f t="shared" si="1604"/>
        <v>0</v>
      </c>
      <c r="AP1159" s="1366">
        <v>0.1</v>
      </c>
      <c r="AQ1159" s="1367">
        <f t="shared" si="1605"/>
        <v>0</v>
      </c>
      <c r="AR1159" s="1368">
        <v>0</v>
      </c>
      <c r="AS1159" s="1369">
        <f t="shared" si="1606"/>
        <v>0</v>
      </c>
      <c r="AT1159" s="1370">
        <v>0</v>
      </c>
      <c r="AU1159" s="1371">
        <f t="shared" si="1607"/>
        <v>0</v>
      </c>
      <c r="AV1159" s="1359">
        <f t="shared" si="1608"/>
        <v>4.9999999999999989E-2</v>
      </c>
      <c r="AW1159" s="1372">
        <f t="shared" si="1609"/>
        <v>0</v>
      </c>
      <c r="AX1159" s="1373">
        <f t="shared" si="1610"/>
        <v>4.9999999999999989E-2</v>
      </c>
      <c r="AY1159" s="1374">
        <f t="shared" si="1611"/>
        <v>0</v>
      </c>
      <c r="AZ1159" s="1375">
        <f t="shared" si="1612"/>
        <v>0.15</v>
      </c>
      <c r="BA1159" s="1376">
        <f t="shared" si="1613"/>
        <v>0</v>
      </c>
      <c r="BB1159" s="1377"/>
      <c r="BC1159" s="1820"/>
      <c r="BD1159" s="1820"/>
      <c r="BE1159" s="1832"/>
      <c r="BF1159" s="1832"/>
      <c r="BG1159" s="1829"/>
    </row>
    <row r="1160" spans="1:59" s="1396" customFormat="1" ht="25.5">
      <c r="A1160" s="1347" t="str">
        <f t="shared" si="1599"/>
        <v>Evotec (US), Inc.</v>
      </c>
      <c r="B1160" s="1348" t="str">
        <f t="shared" si="1600"/>
        <v>HUB</v>
      </c>
      <c r="C1160" s="1348">
        <f t="shared" si="1601"/>
        <v>69</v>
      </c>
      <c r="D1160" s="1447">
        <v>42736</v>
      </c>
      <c r="E1160" s="1349">
        <f t="shared" si="1602"/>
        <v>43100</v>
      </c>
      <c r="F1160" s="1579" t="s">
        <v>72</v>
      </c>
      <c r="G1160" s="1579" t="s">
        <v>85</v>
      </c>
      <c r="H1160" s="1579" t="s">
        <v>72</v>
      </c>
      <c r="I1160" s="1579" t="s">
        <v>113</v>
      </c>
      <c r="J1160" s="1447"/>
      <c r="K1160" s="1581"/>
      <c r="L1160" s="1582" t="s">
        <v>48</v>
      </c>
      <c r="M1160" s="1583" t="s">
        <v>3652</v>
      </c>
      <c r="N1160" s="1609" t="s">
        <v>5466</v>
      </c>
      <c r="O1160" s="1449" t="s">
        <v>5467</v>
      </c>
      <c r="P1160" s="1449"/>
      <c r="Q1160" s="1445"/>
      <c r="R1160" s="1445"/>
      <c r="S1160" s="1445"/>
      <c r="T1160" s="1445"/>
      <c r="U1160" s="1445"/>
      <c r="V1160" s="1445"/>
      <c r="W1160" s="1445"/>
      <c r="X1160" s="1479">
        <v>42736</v>
      </c>
      <c r="Y1160" s="1479">
        <v>43101</v>
      </c>
      <c r="Z1160" s="1425"/>
      <c r="AA1160" s="1355"/>
      <c r="AB1160" s="1585"/>
      <c r="AC1160" s="1585"/>
      <c r="AD1160" s="1585"/>
      <c r="AE1160" s="1585">
        <f t="shared" si="1597"/>
        <v>0</v>
      </c>
      <c r="AF1160" s="1586" t="str">
        <f t="shared" si="1598"/>
        <v/>
      </c>
      <c r="AG1160" s="1587"/>
      <c r="AH1160" s="1587"/>
      <c r="AI1160" s="1471">
        <v>0</v>
      </c>
      <c r="AJ1160" s="1360">
        <f t="shared" si="1614"/>
        <v>0</v>
      </c>
      <c r="AK1160" s="1361">
        <f t="shared" si="1615"/>
        <v>0</v>
      </c>
      <c r="AL1160" s="1384">
        <v>0</v>
      </c>
      <c r="AM1160" s="1363">
        <f t="shared" si="1603"/>
        <v>0</v>
      </c>
      <c r="AN1160" s="1364">
        <v>0</v>
      </c>
      <c r="AO1160" s="1365">
        <f t="shared" si="1604"/>
        <v>0</v>
      </c>
      <c r="AP1160" s="1366">
        <v>0</v>
      </c>
      <c r="AQ1160" s="1367">
        <f t="shared" si="1605"/>
        <v>0</v>
      </c>
      <c r="AR1160" s="1368">
        <v>0</v>
      </c>
      <c r="AS1160" s="1369">
        <f t="shared" si="1606"/>
        <v>0</v>
      </c>
      <c r="AT1160" s="1370">
        <v>0</v>
      </c>
      <c r="AU1160" s="1371">
        <f t="shared" si="1607"/>
        <v>0</v>
      </c>
      <c r="AV1160" s="1359">
        <f t="shared" si="1608"/>
        <v>0</v>
      </c>
      <c r="AW1160" s="1372">
        <f t="shared" si="1609"/>
        <v>0</v>
      </c>
      <c r="AX1160" s="1373">
        <f t="shared" si="1610"/>
        <v>0</v>
      </c>
      <c r="AY1160" s="1374">
        <f t="shared" si="1611"/>
        <v>0</v>
      </c>
      <c r="AZ1160" s="1375">
        <f t="shared" si="1612"/>
        <v>0</v>
      </c>
      <c r="BA1160" s="1376">
        <f t="shared" si="1613"/>
        <v>0</v>
      </c>
      <c r="BB1160" s="1377"/>
      <c r="BC1160" s="1820"/>
      <c r="BD1160" s="1820"/>
      <c r="BE1160" s="1832"/>
      <c r="BF1160" s="1832"/>
      <c r="BG1160" s="1829"/>
    </row>
    <row r="1161" spans="1:59" s="1396" customFormat="1" ht="25.5">
      <c r="A1161" s="1347" t="str">
        <f t="shared" si="1599"/>
        <v>Evotec (US), Inc.</v>
      </c>
      <c r="B1161" s="1348" t="str">
        <f t="shared" si="1600"/>
        <v>HUB</v>
      </c>
      <c r="C1161" s="1348">
        <f t="shared" si="1601"/>
        <v>69</v>
      </c>
      <c r="D1161" s="1447">
        <v>42736</v>
      </c>
      <c r="E1161" s="1349">
        <f t="shared" si="1602"/>
        <v>43100</v>
      </c>
      <c r="F1161" s="1579" t="s">
        <v>72</v>
      </c>
      <c r="G1161" s="1579" t="s">
        <v>85</v>
      </c>
      <c r="H1161" s="1579" t="s">
        <v>72</v>
      </c>
      <c r="I1161" s="1579" t="s">
        <v>113</v>
      </c>
      <c r="J1161" s="1447"/>
      <c r="K1161" s="1581"/>
      <c r="L1161" s="1582" t="s">
        <v>48</v>
      </c>
      <c r="M1161" s="1583" t="s">
        <v>253</v>
      </c>
      <c r="N1161" s="1609" t="s">
        <v>5468</v>
      </c>
      <c r="O1161" s="1449" t="s">
        <v>5469</v>
      </c>
      <c r="P1161" s="1449"/>
      <c r="Q1161" s="1445"/>
      <c r="R1161" s="1445"/>
      <c r="S1161" s="1445"/>
      <c r="T1161" s="1445"/>
      <c r="U1161" s="1445"/>
      <c r="V1161" s="1445"/>
      <c r="W1161" s="1445"/>
      <c r="X1161" s="1479">
        <v>42736</v>
      </c>
      <c r="Y1161" s="1479">
        <v>43101</v>
      </c>
      <c r="Z1161" s="1425"/>
      <c r="AA1161" s="1355"/>
      <c r="AB1161" s="1585"/>
      <c r="AC1161" s="1585"/>
      <c r="AD1161" s="1585"/>
      <c r="AE1161" s="1585">
        <f t="shared" si="1597"/>
        <v>0</v>
      </c>
      <c r="AF1161" s="1586" t="str">
        <f t="shared" si="1598"/>
        <v/>
      </c>
      <c r="AG1161" s="1587"/>
      <c r="AH1161" s="1587"/>
      <c r="AI1161" s="1471">
        <v>0</v>
      </c>
      <c r="AJ1161" s="1360">
        <f t="shared" si="1614"/>
        <v>0</v>
      </c>
      <c r="AK1161" s="1361">
        <f t="shared" si="1615"/>
        <v>0</v>
      </c>
      <c r="AL1161" s="1384">
        <v>0</v>
      </c>
      <c r="AM1161" s="1363">
        <f t="shared" si="1603"/>
        <v>0</v>
      </c>
      <c r="AN1161" s="1364">
        <v>0</v>
      </c>
      <c r="AO1161" s="1365">
        <f t="shared" si="1604"/>
        <v>0</v>
      </c>
      <c r="AP1161" s="1366">
        <v>0</v>
      </c>
      <c r="AQ1161" s="1367">
        <f t="shared" si="1605"/>
        <v>0</v>
      </c>
      <c r="AR1161" s="1368">
        <v>0</v>
      </c>
      <c r="AS1161" s="1369">
        <f t="shared" si="1606"/>
        <v>0</v>
      </c>
      <c r="AT1161" s="1370">
        <v>0</v>
      </c>
      <c r="AU1161" s="1371">
        <f t="shared" si="1607"/>
        <v>0</v>
      </c>
      <c r="AV1161" s="1359">
        <f t="shared" si="1608"/>
        <v>0</v>
      </c>
      <c r="AW1161" s="1372">
        <f t="shared" si="1609"/>
        <v>0</v>
      </c>
      <c r="AX1161" s="1373">
        <f t="shared" si="1610"/>
        <v>0</v>
      </c>
      <c r="AY1161" s="1374">
        <f t="shared" si="1611"/>
        <v>0</v>
      </c>
      <c r="AZ1161" s="1375">
        <f t="shared" si="1612"/>
        <v>0</v>
      </c>
      <c r="BA1161" s="1376">
        <f t="shared" si="1613"/>
        <v>0</v>
      </c>
      <c r="BB1161" s="1377"/>
      <c r="BC1161" s="1820"/>
      <c r="BD1161" s="1820"/>
      <c r="BE1161" s="1832"/>
      <c r="BF1161" s="1832"/>
      <c r="BG1161" s="1829"/>
    </row>
    <row r="1162" spans="1:59" s="1396" customFormat="1" ht="25.5">
      <c r="A1162" s="1347" t="str">
        <f t="shared" si="1599"/>
        <v>Evotec (US), Inc.</v>
      </c>
      <c r="B1162" s="1348" t="str">
        <f t="shared" si="1600"/>
        <v>HUB</v>
      </c>
      <c r="C1162" s="1348">
        <f t="shared" si="1601"/>
        <v>69</v>
      </c>
      <c r="D1162" s="1447">
        <v>42736</v>
      </c>
      <c r="E1162" s="1349">
        <f t="shared" si="1602"/>
        <v>43100</v>
      </c>
      <c r="F1162" s="1579" t="s">
        <v>72</v>
      </c>
      <c r="G1162" s="1579" t="s">
        <v>85</v>
      </c>
      <c r="H1162" s="1579" t="s">
        <v>72</v>
      </c>
      <c r="I1162" s="1579" t="s">
        <v>113</v>
      </c>
      <c r="J1162" s="1447"/>
      <c r="K1162" s="1581"/>
      <c r="L1162" s="1582" t="s">
        <v>49</v>
      </c>
      <c r="M1162" s="1583" t="s">
        <v>4705</v>
      </c>
      <c r="N1162" s="1609" t="s">
        <v>5470</v>
      </c>
      <c r="O1162" s="1449" t="s">
        <v>5471</v>
      </c>
      <c r="P1162" s="1449"/>
      <c r="Q1162" s="1445"/>
      <c r="R1162" s="1445"/>
      <c r="S1162" s="1445"/>
      <c r="T1162" s="1445"/>
      <c r="U1162" s="1445"/>
      <c r="V1162" s="1445"/>
      <c r="W1162" s="1445"/>
      <c r="X1162" s="1479">
        <v>42736</v>
      </c>
      <c r="Y1162" s="1479">
        <v>43101</v>
      </c>
      <c r="Z1162" s="1425"/>
      <c r="AA1162" s="1355"/>
      <c r="AB1162" s="1585"/>
      <c r="AC1162" s="1585"/>
      <c r="AD1162" s="1585"/>
      <c r="AE1162" s="1585">
        <f t="shared" si="1597"/>
        <v>0</v>
      </c>
      <c r="AF1162" s="1586" t="str">
        <f t="shared" si="1598"/>
        <v/>
      </c>
      <c r="AG1162" s="1587"/>
      <c r="AH1162" s="1587"/>
      <c r="AI1162" s="1471">
        <v>0</v>
      </c>
      <c r="AJ1162" s="1360">
        <f t="shared" si="1614"/>
        <v>0</v>
      </c>
      <c r="AK1162" s="1361">
        <f t="shared" si="1615"/>
        <v>0</v>
      </c>
      <c r="AL1162" s="1384">
        <v>0</v>
      </c>
      <c r="AM1162" s="1363">
        <f t="shared" si="1603"/>
        <v>0</v>
      </c>
      <c r="AN1162" s="1364">
        <v>0</v>
      </c>
      <c r="AO1162" s="1365">
        <f t="shared" si="1604"/>
        <v>0</v>
      </c>
      <c r="AP1162" s="1366">
        <v>0</v>
      </c>
      <c r="AQ1162" s="1367">
        <f t="shared" si="1605"/>
        <v>0</v>
      </c>
      <c r="AR1162" s="1368">
        <v>0</v>
      </c>
      <c r="AS1162" s="1369">
        <f t="shared" si="1606"/>
        <v>0</v>
      </c>
      <c r="AT1162" s="1370">
        <v>0</v>
      </c>
      <c r="AU1162" s="1371">
        <f t="shared" si="1607"/>
        <v>0</v>
      </c>
      <c r="AV1162" s="1359">
        <f t="shared" si="1608"/>
        <v>0</v>
      </c>
      <c r="AW1162" s="1372">
        <f t="shared" si="1609"/>
        <v>0</v>
      </c>
      <c r="AX1162" s="1373">
        <f t="shared" si="1610"/>
        <v>0</v>
      </c>
      <c r="AY1162" s="1374">
        <f t="shared" si="1611"/>
        <v>0</v>
      </c>
      <c r="AZ1162" s="1375">
        <f t="shared" si="1612"/>
        <v>0</v>
      </c>
      <c r="BA1162" s="1376">
        <f t="shared" si="1613"/>
        <v>0</v>
      </c>
      <c r="BB1162" s="1377"/>
      <c r="BC1162" s="1821"/>
      <c r="BD1162" s="1821"/>
      <c r="BE1162" s="1833"/>
      <c r="BF1162" s="1833"/>
      <c r="BG1162" s="1830"/>
    </row>
    <row r="1163" spans="1:59" s="1538" customFormat="1">
      <c r="A1163" s="1543"/>
      <c r="B1163" s="1543"/>
      <c r="C1163" s="1543"/>
      <c r="D1163" s="1543"/>
      <c r="E1163" s="1543"/>
      <c r="F1163" s="1543"/>
      <c r="G1163" s="1543"/>
      <c r="H1163" s="1543"/>
      <c r="I1163" s="1543"/>
      <c r="J1163" s="1543"/>
      <c r="L1163" s="1597"/>
      <c r="M1163" s="1597"/>
      <c r="N1163" s="1597"/>
      <c r="O1163" s="1528"/>
      <c r="P1163" s="1528"/>
      <c r="X1163" s="1598"/>
      <c r="Y1163" s="1598"/>
      <c r="Z1163" s="1599"/>
      <c r="AA1163" s="1599"/>
      <c r="AB1163" s="1600"/>
      <c r="AC1163" s="1600"/>
      <c r="AD1163" s="1600"/>
      <c r="AE1163" s="1600"/>
      <c r="AF1163" s="1601"/>
      <c r="AG1163" s="1602"/>
      <c r="AH1163" s="1602"/>
      <c r="AI1163" s="1603"/>
      <c r="AJ1163" s="1604"/>
      <c r="AK1163" s="1604"/>
      <c r="AL1163" s="1601"/>
      <c r="AM1163" s="1600"/>
      <c r="AN1163" s="1603"/>
      <c r="AO1163" s="1600"/>
      <c r="AP1163" s="1603"/>
      <c r="AQ1163" s="1600"/>
      <c r="AR1163" s="1603"/>
      <c r="AS1163" s="1600"/>
      <c r="AT1163" s="1603"/>
      <c r="AU1163" s="1600"/>
      <c r="AV1163" s="1603"/>
      <c r="AW1163" s="1600"/>
      <c r="AX1163" s="1603"/>
      <c r="AY1163" s="1600"/>
      <c r="AZ1163" s="1603"/>
      <c r="BA1163" s="1600"/>
      <c r="BB1163" s="1605"/>
      <c r="BC1163" s="1599"/>
      <c r="BD1163" s="1599"/>
      <c r="BE1163" s="1599"/>
      <c r="BF1163" s="1599"/>
      <c r="BG1163" s="1606"/>
    </row>
    <row r="1164" spans="1:59" s="1315" customFormat="1" ht="25.5">
      <c r="A1164" s="1277" t="str">
        <f t="shared" ref="A1164:A1176" si="1616">$L$1164</f>
        <v>GRAIL, Inc.</v>
      </c>
      <c r="B1164" s="1277" t="s">
        <v>4835</v>
      </c>
      <c r="C1164" s="1316">
        <f t="shared" ref="C1164:C1176" si="1617">$Z$1164</f>
        <v>220</v>
      </c>
      <c r="D1164" s="1317">
        <v>42491</v>
      </c>
      <c r="E1164" s="1317">
        <v>43100</v>
      </c>
      <c r="F1164" s="1277" t="s">
        <v>72</v>
      </c>
      <c r="G1164" s="1277" t="s">
        <v>72</v>
      </c>
      <c r="H1164" s="1277" t="s">
        <v>72</v>
      </c>
      <c r="I1164" s="1277" t="s">
        <v>113</v>
      </c>
      <c r="J1164" s="1317"/>
      <c r="K1164" s="1577"/>
      <c r="L1164" s="1319" t="s">
        <v>138</v>
      </c>
      <c r="M1164" s="1319"/>
      <c r="N1164" s="1427" t="s">
        <v>4835</v>
      </c>
      <c r="O1164" s="1419" t="s">
        <v>2474</v>
      </c>
      <c r="P1164" s="1419"/>
      <c r="Q1164" s="1349"/>
      <c r="R1164" s="1349"/>
      <c r="S1164" s="1349"/>
      <c r="T1164" s="1349"/>
      <c r="U1164" s="1349"/>
      <c r="V1164" s="1349"/>
      <c r="W1164" s="1349"/>
      <c r="X1164" s="1317">
        <v>42736</v>
      </c>
      <c r="Y1164" s="1317">
        <v>43101</v>
      </c>
      <c r="Z1164" s="1316">
        <v>220</v>
      </c>
      <c r="AA1164" s="1316" t="s">
        <v>5472</v>
      </c>
      <c r="AB1164" s="1323">
        <f>SUM(AB1165:AB1180)</f>
        <v>0</v>
      </c>
      <c r="AC1164" s="1323">
        <f>SUM(AC1165:AC1180)</f>
        <v>0</v>
      </c>
      <c r="AD1164" s="1323">
        <f>SUM(AD1165:AD1180)</f>
        <v>0</v>
      </c>
      <c r="AE1164" s="1324">
        <f t="shared" ref="AE1164:AE1180" si="1618">AD1164-AB1164</f>
        <v>0</v>
      </c>
      <c r="AF1164" s="1325" t="str">
        <f t="shared" ref="AF1164:AF1180" si="1619">IFERROR((AE1164/AB1164),"")</f>
        <v/>
      </c>
      <c r="AG1164" s="1326"/>
      <c r="AH1164" s="1326">
        <f>SUM(AH1165:AH1180)</f>
        <v>0</v>
      </c>
      <c r="AI1164" s="1327"/>
      <c r="AJ1164" s="1328">
        <f>SUM(AJ1165:AJ1180)</f>
        <v>0</v>
      </c>
      <c r="AK1164" s="1328">
        <f>SUM(AK1165:AK1180)</f>
        <v>0</v>
      </c>
      <c r="AL1164" s="1329"/>
      <c r="AM1164" s="1330">
        <f>SUM(AM1165:AM1180)</f>
        <v>0</v>
      </c>
      <c r="AN1164" s="1331"/>
      <c r="AO1164" s="1332">
        <f>SUM(AO1165:AO1180)</f>
        <v>0</v>
      </c>
      <c r="AP1164" s="1333"/>
      <c r="AQ1164" s="1334">
        <f>SUM(AQ1165:AQ1180)</f>
        <v>0</v>
      </c>
      <c r="AR1164" s="1335"/>
      <c r="AS1164" s="1336">
        <f>SUM(AS1165:AS1180)</f>
        <v>0</v>
      </c>
      <c r="AT1164" s="1337"/>
      <c r="AU1164" s="1338">
        <f>SUM(AU1165:AU1180)</f>
        <v>0</v>
      </c>
      <c r="AV1164" s="1339"/>
      <c r="AW1164" s="1340">
        <f>SUM(AW1165:AW1180)</f>
        <v>0</v>
      </c>
      <c r="AX1164" s="1306"/>
      <c r="AY1164" s="1307">
        <f>SUM(AW1164+AS1164+AU1164)</f>
        <v>0</v>
      </c>
      <c r="AZ1164" s="1341"/>
      <c r="BA1164" s="1309">
        <f>SUM(AY1164+AQ1164)</f>
        <v>0</v>
      </c>
      <c r="BB1164" s="1342" t="e">
        <f>(AW1164+AU1164)/(AK1164-AM1164)</f>
        <v>#DIV/0!</v>
      </c>
      <c r="BC1164" s="1343"/>
      <c r="BD1164" s="1343"/>
      <c r="BE1164" s="1344"/>
      <c r="BF1164" s="1428" t="s">
        <v>4929</v>
      </c>
      <c r="BG1164" s="1346"/>
    </row>
    <row r="1165" spans="1:59" s="1396" customFormat="1" ht="38.25" customHeight="1">
      <c r="A1165" s="1579" t="str">
        <f t="shared" si="1616"/>
        <v>GRAIL, Inc.</v>
      </c>
      <c r="B1165" s="1579" t="s">
        <v>4835</v>
      </c>
      <c r="C1165" s="1580">
        <f t="shared" si="1617"/>
        <v>220</v>
      </c>
      <c r="D1165" s="1447">
        <v>42491</v>
      </c>
      <c r="E1165" s="1349">
        <f t="shared" ref="E1165:E1180" si="1620">$E$1164</f>
        <v>43100</v>
      </c>
      <c r="F1165" s="1579" t="s">
        <v>113</v>
      </c>
      <c r="G1165" s="1579" t="s">
        <v>113</v>
      </c>
      <c r="H1165" s="1579" t="s">
        <v>113</v>
      </c>
      <c r="I1165" s="1579" t="s">
        <v>113</v>
      </c>
      <c r="J1165" s="1447"/>
      <c r="K1165" s="1581"/>
      <c r="L1165" s="1591" t="s">
        <v>4734</v>
      </c>
      <c r="M1165" s="1592" t="s">
        <v>3647</v>
      </c>
      <c r="N1165" s="1610" t="s">
        <v>5473</v>
      </c>
      <c r="O1165" s="1594">
        <v>714085</v>
      </c>
      <c r="P1165" s="1594"/>
      <c r="Q1165" s="1445"/>
      <c r="R1165" s="1445"/>
      <c r="S1165" s="1445"/>
      <c r="T1165" s="1445"/>
      <c r="U1165" s="1445"/>
      <c r="V1165" s="1445"/>
      <c r="W1165" s="1445"/>
      <c r="X1165" s="1486">
        <v>42736</v>
      </c>
      <c r="Y1165" s="1486">
        <v>43101</v>
      </c>
      <c r="Z1165" s="1460"/>
      <c r="AA1165" s="1401" t="s">
        <v>4887</v>
      </c>
      <c r="AB1165" s="1394"/>
      <c r="AC1165" s="1394"/>
      <c r="AD1165" s="1369">
        <f t="shared" ref="AD1165:AD1180" si="1621">AH1165</f>
        <v>0</v>
      </c>
      <c r="AE1165" s="1402">
        <f t="shared" si="1618"/>
        <v>0</v>
      </c>
      <c r="AF1165" s="1448" t="str">
        <f t="shared" si="1619"/>
        <v/>
      </c>
      <c r="AG1165" s="1595"/>
      <c r="AH1165" s="1595"/>
      <c r="AI1165" s="1596">
        <v>6.5000000000000002E-2</v>
      </c>
      <c r="AJ1165" s="1406">
        <v>0</v>
      </c>
      <c r="AK1165" s="1406">
        <v>0</v>
      </c>
      <c r="AL1165" s="1384">
        <v>0</v>
      </c>
      <c r="AM1165" s="1363">
        <f t="shared" ref="AM1165:AM1180" si="1622">AL1165*$AH1165</f>
        <v>0</v>
      </c>
      <c r="AN1165" s="1364">
        <v>0</v>
      </c>
      <c r="AO1165" s="1365">
        <f t="shared" ref="AO1165:AO1180" si="1623">AN1165*$AH1165</f>
        <v>0</v>
      </c>
      <c r="AP1165" s="1366">
        <v>0</v>
      </c>
      <c r="AQ1165" s="1367">
        <f t="shared" ref="AQ1165:AQ1180" si="1624">AP1165*$AH1165</f>
        <v>0</v>
      </c>
      <c r="AR1165" s="1368">
        <v>0</v>
      </c>
      <c r="AS1165" s="1369">
        <f t="shared" ref="AS1165:AS1180" si="1625">AR1165*$AH1165</f>
        <v>0</v>
      </c>
      <c r="AT1165" s="1370">
        <v>0</v>
      </c>
      <c r="AU1165" s="1371">
        <f t="shared" ref="AU1165:AU1180" si="1626">AT1165*$AH1165</f>
        <v>0</v>
      </c>
      <c r="AV1165" s="1359">
        <f t="shared" ref="AV1165:AV1180" si="1627">AZ1165-AR1165-AT1165-AP1165</f>
        <v>6.5000000000000002E-2</v>
      </c>
      <c r="AW1165" s="1372">
        <f t="shared" ref="AW1165:AW1180" si="1628">AV1165*$AH1165</f>
        <v>0</v>
      </c>
      <c r="AX1165" s="1373">
        <f t="shared" ref="AX1165:AX1180" si="1629">$AZ1165-$AP1165</f>
        <v>6.5000000000000002E-2</v>
      </c>
      <c r="AY1165" s="1374">
        <f t="shared" ref="AY1165:AY1180" si="1630">AX1165*$AH1165</f>
        <v>0</v>
      </c>
      <c r="AZ1165" s="1375">
        <f t="shared" ref="AZ1165:AZ1180" si="1631">$AI1165-$AL1165-$AN1165</f>
        <v>6.5000000000000002E-2</v>
      </c>
      <c r="BA1165" s="1376">
        <f t="shared" ref="BA1165:BA1180" si="1632">AZ1165*$AH1165</f>
        <v>0</v>
      </c>
      <c r="BB1165" s="1377"/>
      <c r="BC1165" s="1819" t="s">
        <v>139</v>
      </c>
      <c r="BD1165" s="1819" t="s">
        <v>239</v>
      </c>
      <c r="BE1165" s="1822" t="s">
        <v>5474</v>
      </c>
      <c r="BF1165" s="1825" t="s">
        <v>230</v>
      </c>
      <c r="BG1165" s="1828">
        <v>475117880</v>
      </c>
    </row>
    <row r="1166" spans="1:59" s="1396" customFormat="1" ht="51">
      <c r="A1166" s="1579" t="str">
        <f t="shared" si="1616"/>
        <v>GRAIL, Inc.</v>
      </c>
      <c r="B1166" s="1579" t="s">
        <v>4835</v>
      </c>
      <c r="C1166" s="1580">
        <f t="shared" si="1617"/>
        <v>220</v>
      </c>
      <c r="D1166" s="1447">
        <v>42491</v>
      </c>
      <c r="E1166" s="1349">
        <f t="shared" si="1620"/>
        <v>43100</v>
      </c>
      <c r="F1166" s="1579" t="s">
        <v>85</v>
      </c>
      <c r="G1166" s="1579" t="s">
        <v>85</v>
      </c>
      <c r="H1166" s="1579" t="s">
        <v>85</v>
      </c>
      <c r="I1166" s="1579" t="s">
        <v>113</v>
      </c>
      <c r="J1166" s="1447"/>
      <c r="K1166" s="1581"/>
      <c r="L1166" s="1582" t="s">
        <v>4729</v>
      </c>
      <c r="M1166" s="1583" t="s">
        <v>3647</v>
      </c>
      <c r="N1166" s="1589" t="s">
        <v>5475</v>
      </c>
      <c r="O1166" s="1449" t="s">
        <v>5476</v>
      </c>
      <c r="P1166" s="1449"/>
      <c r="Q1166" s="1445"/>
      <c r="R1166" s="1445"/>
      <c r="S1166" s="1445"/>
      <c r="T1166" s="1445"/>
      <c r="U1166" s="1445"/>
      <c r="V1166" s="1445"/>
      <c r="W1166" s="1445"/>
      <c r="X1166" s="1479">
        <v>42736</v>
      </c>
      <c r="Y1166" s="1479">
        <v>43101</v>
      </c>
      <c r="Z1166" s="1425"/>
      <c r="AA1166" s="1355" t="s">
        <v>4841</v>
      </c>
      <c r="AB1166" s="1394"/>
      <c r="AC1166" s="1394"/>
      <c r="AD1166" s="1422">
        <f t="shared" si="1621"/>
        <v>0</v>
      </c>
      <c r="AE1166" s="1585">
        <f t="shared" si="1618"/>
        <v>0</v>
      </c>
      <c r="AF1166" s="1586" t="str">
        <f t="shared" si="1619"/>
        <v/>
      </c>
      <c r="AG1166" s="1587"/>
      <c r="AH1166" s="1587"/>
      <c r="AI1166" s="1471">
        <v>6.5000000000000002E-2</v>
      </c>
      <c r="AJ1166" s="1360">
        <f>$AI1166*$AG1166</f>
        <v>0</v>
      </c>
      <c r="AK1166" s="1361">
        <f>AI1166*$AH1166</f>
        <v>0</v>
      </c>
      <c r="AL1166" s="1362">
        <v>5.0000000000000001E-3</v>
      </c>
      <c r="AM1166" s="1363">
        <f t="shared" si="1622"/>
        <v>0</v>
      </c>
      <c r="AN1166" s="1364">
        <v>0</v>
      </c>
      <c r="AO1166" s="1365">
        <f t="shared" si="1623"/>
        <v>0</v>
      </c>
      <c r="AP1166" s="1366">
        <v>0</v>
      </c>
      <c r="AQ1166" s="1367">
        <f t="shared" si="1624"/>
        <v>0</v>
      </c>
      <c r="AR1166" s="1368">
        <v>0</v>
      </c>
      <c r="AS1166" s="1369">
        <f t="shared" si="1625"/>
        <v>0</v>
      </c>
      <c r="AT1166" s="1370">
        <v>0.01</v>
      </c>
      <c r="AU1166" s="1371">
        <f t="shared" si="1626"/>
        <v>0</v>
      </c>
      <c r="AV1166" s="1359">
        <f t="shared" si="1627"/>
        <v>0.05</v>
      </c>
      <c r="AW1166" s="1372">
        <f t="shared" si="1628"/>
        <v>0</v>
      </c>
      <c r="AX1166" s="1373">
        <f t="shared" si="1629"/>
        <v>6.0000000000000005E-2</v>
      </c>
      <c r="AY1166" s="1374">
        <f t="shared" si="1630"/>
        <v>0</v>
      </c>
      <c r="AZ1166" s="1375">
        <f t="shared" si="1631"/>
        <v>6.0000000000000005E-2</v>
      </c>
      <c r="BA1166" s="1376">
        <f t="shared" si="1632"/>
        <v>0</v>
      </c>
      <c r="BB1166" s="1377"/>
      <c r="BC1166" s="1820"/>
      <c r="BD1166" s="1820"/>
      <c r="BE1166" s="1823"/>
      <c r="BF1166" s="1826"/>
      <c r="BG1166" s="1829"/>
    </row>
    <row r="1167" spans="1:59" s="1396" customFormat="1" ht="38.25">
      <c r="A1167" s="1579" t="str">
        <f t="shared" si="1616"/>
        <v>GRAIL, Inc.</v>
      </c>
      <c r="B1167" s="1579" t="s">
        <v>4835</v>
      </c>
      <c r="C1167" s="1580">
        <f t="shared" si="1617"/>
        <v>220</v>
      </c>
      <c r="D1167" s="1447">
        <v>42491</v>
      </c>
      <c r="E1167" s="1349">
        <f t="shared" si="1620"/>
        <v>43100</v>
      </c>
      <c r="F1167" s="1579" t="s">
        <v>72</v>
      </c>
      <c r="G1167" s="1579" t="s">
        <v>113</v>
      </c>
      <c r="H1167" s="1579" t="s">
        <v>72</v>
      </c>
      <c r="I1167" s="1579" t="s">
        <v>113</v>
      </c>
      <c r="J1167" s="1447"/>
      <c r="K1167" s="1581"/>
      <c r="L1167" s="1591" t="s">
        <v>5448</v>
      </c>
      <c r="M1167" s="1592" t="s">
        <v>3649</v>
      </c>
      <c r="N1167" s="1611" t="s">
        <v>5477</v>
      </c>
      <c r="O1167" s="1594" t="s">
        <v>5478</v>
      </c>
      <c r="P1167" s="1594"/>
      <c r="Q1167" s="1445"/>
      <c r="R1167" s="1445"/>
      <c r="S1167" s="1445"/>
      <c r="T1167" s="1445"/>
      <c r="U1167" s="1445"/>
      <c r="V1167" s="1445"/>
      <c r="W1167" s="1445"/>
      <c r="X1167" s="1486">
        <v>42736</v>
      </c>
      <c r="Y1167" s="1486">
        <v>43101</v>
      </c>
      <c r="Z1167" s="1460"/>
      <c r="AA1167" s="1401" t="s">
        <v>4738</v>
      </c>
      <c r="AB1167" s="1394"/>
      <c r="AC1167" s="1394"/>
      <c r="AD1167" s="1369">
        <f t="shared" si="1621"/>
        <v>0</v>
      </c>
      <c r="AE1167" s="1402">
        <f t="shared" si="1618"/>
        <v>0</v>
      </c>
      <c r="AF1167" s="1448" t="str">
        <f t="shared" si="1619"/>
        <v/>
      </c>
      <c r="AG1167" s="1404"/>
      <c r="AH1167" s="1404">
        <v>0</v>
      </c>
      <c r="AI1167" s="1405">
        <v>0</v>
      </c>
      <c r="AJ1167" s="1406">
        <v>0</v>
      </c>
      <c r="AK1167" s="1406">
        <v>0</v>
      </c>
      <c r="AL1167" s="1384">
        <v>0</v>
      </c>
      <c r="AM1167" s="1363">
        <f t="shared" si="1622"/>
        <v>0</v>
      </c>
      <c r="AN1167" s="1364">
        <v>0</v>
      </c>
      <c r="AO1167" s="1365">
        <f t="shared" si="1623"/>
        <v>0</v>
      </c>
      <c r="AP1167" s="1366">
        <v>0</v>
      </c>
      <c r="AQ1167" s="1367">
        <f t="shared" si="1624"/>
        <v>0</v>
      </c>
      <c r="AR1167" s="1368">
        <v>0</v>
      </c>
      <c r="AS1167" s="1369">
        <f t="shared" si="1625"/>
        <v>0</v>
      </c>
      <c r="AT1167" s="1370">
        <v>0</v>
      </c>
      <c r="AU1167" s="1371">
        <f t="shared" si="1626"/>
        <v>0</v>
      </c>
      <c r="AV1167" s="1359">
        <f t="shared" si="1627"/>
        <v>0</v>
      </c>
      <c r="AW1167" s="1372">
        <f t="shared" si="1628"/>
        <v>0</v>
      </c>
      <c r="AX1167" s="1373">
        <f t="shared" si="1629"/>
        <v>0</v>
      </c>
      <c r="AY1167" s="1374">
        <f t="shared" si="1630"/>
        <v>0</v>
      </c>
      <c r="AZ1167" s="1375">
        <f t="shared" si="1631"/>
        <v>0</v>
      </c>
      <c r="BA1167" s="1376">
        <f t="shared" si="1632"/>
        <v>0</v>
      </c>
      <c r="BB1167" s="1377"/>
      <c r="BC1167" s="1820"/>
      <c r="BD1167" s="1820"/>
      <c r="BE1167" s="1823"/>
      <c r="BF1167" s="1826"/>
      <c r="BG1167" s="1829"/>
    </row>
    <row r="1168" spans="1:59" s="1396" customFormat="1" ht="38.25">
      <c r="A1168" s="1579" t="str">
        <f t="shared" si="1616"/>
        <v>GRAIL, Inc.</v>
      </c>
      <c r="B1168" s="1579" t="s">
        <v>4835</v>
      </c>
      <c r="C1168" s="1580">
        <f t="shared" si="1617"/>
        <v>220</v>
      </c>
      <c r="D1168" s="1447">
        <v>42491</v>
      </c>
      <c r="E1168" s="1349">
        <f t="shared" si="1620"/>
        <v>43100</v>
      </c>
      <c r="F1168" s="1579" t="s">
        <v>113</v>
      </c>
      <c r="G1168" s="1579" t="s">
        <v>85</v>
      </c>
      <c r="H1168" s="1579" t="s">
        <v>85</v>
      </c>
      <c r="I1168" s="1579" t="s">
        <v>113</v>
      </c>
      <c r="J1168" s="1447"/>
      <c r="K1168" s="1581"/>
      <c r="L1168" s="1582" t="s">
        <v>4675</v>
      </c>
      <c r="M1168" s="1583" t="s">
        <v>3650</v>
      </c>
      <c r="N1168" s="1584" t="s">
        <v>5479</v>
      </c>
      <c r="O1168" s="1449">
        <v>5936269</v>
      </c>
      <c r="P1168" s="1449"/>
      <c r="Q1168" s="1445"/>
      <c r="R1168" s="1445"/>
      <c r="S1168" s="1445"/>
      <c r="T1168" s="1445"/>
      <c r="U1168" s="1445"/>
      <c r="V1168" s="1445"/>
      <c r="W1168" s="1445"/>
      <c r="X1168" s="1479">
        <v>42736</v>
      </c>
      <c r="Y1168" s="1479">
        <v>43101</v>
      </c>
      <c r="Z1168" s="1425"/>
      <c r="AA1168" s="1355" t="s">
        <v>4846</v>
      </c>
      <c r="AB1168" s="1394"/>
      <c r="AC1168" s="1394"/>
      <c r="AD1168" s="1422">
        <f t="shared" si="1621"/>
        <v>0</v>
      </c>
      <c r="AE1168" s="1585">
        <f t="shared" si="1618"/>
        <v>0</v>
      </c>
      <c r="AF1168" s="1586" t="str">
        <f t="shared" si="1619"/>
        <v/>
      </c>
      <c r="AG1168" s="1587"/>
      <c r="AH1168" s="1587"/>
      <c r="AI1168" s="1471">
        <v>0.1</v>
      </c>
      <c r="AJ1168" s="1360">
        <f t="shared" ref="AJ1168:AJ1173" si="1633">$AI1168*$AG1168</f>
        <v>0</v>
      </c>
      <c r="AK1168" s="1361">
        <f t="shared" ref="AK1168:AK1173" si="1634">AI1168*$AH1168</f>
        <v>0</v>
      </c>
      <c r="AL1168" s="1384">
        <v>0</v>
      </c>
      <c r="AM1168" s="1363">
        <f t="shared" si="1622"/>
        <v>0</v>
      </c>
      <c r="AN1168" s="1364">
        <v>0</v>
      </c>
      <c r="AO1168" s="1365">
        <f t="shared" si="1623"/>
        <v>0</v>
      </c>
      <c r="AP1168" s="1366">
        <v>0</v>
      </c>
      <c r="AQ1168" s="1367">
        <f t="shared" si="1624"/>
        <v>0</v>
      </c>
      <c r="AR1168" s="1368">
        <v>0</v>
      </c>
      <c r="AS1168" s="1369">
        <f t="shared" si="1625"/>
        <v>0</v>
      </c>
      <c r="AT1168" s="1370">
        <v>0</v>
      </c>
      <c r="AU1168" s="1371">
        <f t="shared" si="1626"/>
        <v>0</v>
      </c>
      <c r="AV1168" s="1359">
        <f t="shared" si="1627"/>
        <v>0.1</v>
      </c>
      <c r="AW1168" s="1372">
        <f t="shared" si="1628"/>
        <v>0</v>
      </c>
      <c r="AX1168" s="1373">
        <f t="shared" si="1629"/>
        <v>0.1</v>
      </c>
      <c r="AY1168" s="1374">
        <f t="shared" si="1630"/>
        <v>0</v>
      </c>
      <c r="AZ1168" s="1375">
        <f t="shared" si="1631"/>
        <v>0.1</v>
      </c>
      <c r="BA1168" s="1376">
        <f t="shared" si="1632"/>
        <v>0</v>
      </c>
      <c r="BB1168" s="1377"/>
      <c r="BC1168" s="1820"/>
      <c r="BD1168" s="1820"/>
      <c r="BE1168" s="1823"/>
      <c r="BF1168" s="1826"/>
      <c r="BG1168" s="1829"/>
    </row>
    <row r="1169" spans="1:59" s="1396" customFormat="1" ht="25.5">
      <c r="A1169" s="1579" t="str">
        <f t="shared" si="1616"/>
        <v>GRAIL, Inc.</v>
      </c>
      <c r="B1169" s="1579" t="s">
        <v>4835</v>
      </c>
      <c r="C1169" s="1580">
        <f t="shared" si="1617"/>
        <v>220</v>
      </c>
      <c r="D1169" s="1447">
        <v>42491</v>
      </c>
      <c r="E1169" s="1349">
        <f t="shared" si="1620"/>
        <v>43100</v>
      </c>
      <c r="F1169" s="1579" t="s">
        <v>113</v>
      </c>
      <c r="G1169" s="1579" t="s">
        <v>85</v>
      </c>
      <c r="H1169" s="1579" t="s">
        <v>85</v>
      </c>
      <c r="I1169" s="1579" t="s">
        <v>113</v>
      </c>
      <c r="J1169" s="1447"/>
      <c r="K1169" s="1581"/>
      <c r="L1169" s="1582" t="s">
        <v>4675</v>
      </c>
      <c r="M1169" s="1583" t="s">
        <v>3651</v>
      </c>
      <c r="N1169" s="1584" t="s">
        <v>5480</v>
      </c>
      <c r="O1169" s="1449">
        <v>5936269</v>
      </c>
      <c r="P1169" s="1449"/>
      <c r="Q1169" s="1445"/>
      <c r="R1169" s="1445"/>
      <c r="S1169" s="1445"/>
      <c r="T1169" s="1445"/>
      <c r="U1169" s="1445"/>
      <c r="V1169" s="1445"/>
      <c r="W1169" s="1445"/>
      <c r="X1169" s="1479">
        <v>42736</v>
      </c>
      <c r="Y1169" s="1479">
        <v>43101</v>
      </c>
      <c r="Z1169" s="1425"/>
      <c r="AA1169" s="1355" t="s">
        <v>4846</v>
      </c>
      <c r="AB1169" s="1394"/>
      <c r="AC1169" s="1394"/>
      <c r="AD1169" s="1422">
        <f t="shared" si="1621"/>
        <v>0</v>
      </c>
      <c r="AE1169" s="1585">
        <f t="shared" si="1618"/>
        <v>0</v>
      </c>
      <c r="AF1169" s="1586" t="str">
        <f t="shared" si="1619"/>
        <v/>
      </c>
      <c r="AG1169" s="1587"/>
      <c r="AH1169" s="1587"/>
      <c r="AI1169" s="1471">
        <v>0.1</v>
      </c>
      <c r="AJ1169" s="1360">
        <f t="shared" si="1633"/>
        <v>0</v>
      </c>
      <c r="AK1169" s="1361">
        <f t="shared" si="1634"/>
        <v>0</v>
      </c>
      <c r="AL1169" s="1384">
        <v>0</v>
      </c>
      <c r="AM1169" s="1363">
        <f t="shared" si="1622"/>
        <v>0</v>
      </c>
      <c r="AN1169" s="1364">
        <v>0</v>
      </c>
      <c r="AO1169" s="1365">
        <f t="shared" si="1623"/>
        <v>0</v>
      </c>
      <c r="AP1169" s="1366">
        <v>0</v>
      </c>
      <c r="AQ1169" s="1367">
        <f t="shared" si="1624"/>
        <v>0</v>
      </c>
      <c r="AR1169" s="1368">
        <v>0</v>
      </c>
      <c r="AS1169" s="1369">
        <f t="shared" si="1625"/>
        <v>0</v>
      </c>
      <c r="AT1169" s="1370">
        <v>0</v>
      </c>
      <c r="AU1169" s="1371">
        <f t="shared" si="1626"/>
        <v>0</v>
      </c>
      <c r="AV1169" s="1359">
        <f t="shared" si="1627"/>
        <v>0.1</v>
      </c>
      <c r="AW1169" s="1372">
        <f t="shared" si="1628"/>
        <v>0</v>
      </c>
      <c r="AX1169" s="1373">
        <f t="shared" si="1629"/>
        <v>0.1</v>
      </c>
      <c r="AY1169" s="1374">
        <f t="shared" si="1630"/>
        <v>0</v>
      </c>
      <c r="AZ1169" s="1375">
        <f t="shared" si="1631"/>
        <v>0.1</v>
      </c>
      <c r="BA1169" s="1376">
        <f t="shared" si="1632"/>
        <v>0</v>
      </c>
      <c r="BB1169" s="1377"/>
      <c r="BC1169" s="1820"/>
      <c r="BD1169" s="1820"/>
      <c r="BE1169" s="1823"/>
      <c r="BF1169" s="1826"/>
      <c r="BG1169" s="1829"/>
    </row>
    <row r="1170" spans="1:59" s="1396" customFormat="1" ht="25.5">
      <c r="A1170" s="1579" t="str">
        <f t="shared" si="1616"/>
        <v>GRAIL, Inc.</v>
      </c>
      <c r="B1170" s="1579" t="s">
        <v>4835</v>
      </c>
      <c r="C1170" s="1580">
        <f t="shared" si="1617"/>
        <v>220</v>
      </c>
      <c r="D1170" s="1447">
        <v>42491</v>
      </c>
      <c r="E1170" s="1349">
        <f t="shared" si="1620"/>
        <v>43100</v>
      </c>
      <c r="F1170" s="1579" t="s">
        <v>113</v>
      </c>
      <c r="G1170" s="1579" t="s">
        <v>85</v>
      </c>
      <c r="H1170" s="1579" t="s">
        <v>85</v>
      </c>
      <c r="I1170" s="1579" t="s">
        <v>113</v>
      </c>
      <c r="J1170" s="1447"/>
      <c r="K1170" s="1581"/>
      <c r="L1170" s="1582" t="s">
        <v>4682</v>
      </c>
      <c r="M1170" s="1583" t="s">
        <v>4683</v>
      </c>
      <c r="N1170" s="1590" t="s">
        <v>57</v>
      </c>
      <c r="O1170" s="1449" t="s">
        <v>4684</v>
      </c>
      <c r="P1170" s="1446"/>
      <c r="Q1170" s="1445"/>
      <c r="R1170" s="1445"/>
      <c r="S1170" s="1445"/>
      <c r="T1170" s="1445"/>
      <c r="U1170" s="1445"/>
      <c r="V1170" s="1445"/>
      <c r="W1170" s="1445"/>
      <c r="X1170" s="1479">
        <v>42736</v>
      </c>
      <c r="Y1170" s="1479">
        <v>43101</v>
      </c>
      <c r="Z1170" s="1425"/>
      <c r="AA1170" s="1355" t="s">
        <v>4884</v>
      </c>
      <c r="AB1170" s="1394"/>
      <c r="AC1170" s="1394"/>
      <c r="AD1170" s="1422">
        <f t="shared" si="1621"/>
        <v>0</v>
      </c>
      <c r="AE1170" s="1585">
        <f t="shared" si="1618"/>
        <v>0</v>
      </c>
      <c r="AF1170" s="1586" t="str">
        <f t="shared" si="1619"/>
        <v/>
      </c>
      <c r="AG1170" s="1587"/>
      <c r="AH1170" s="1587"/>
      <c r="AI1170" s="1471">
        <v>0.15</v>
      </c>
      <c r="AJ1170" s="1360">
        <f t="shared" si="1633"/>
        <v>0</v>
      </c>
      <c r="AK1170" s="1361">
        <f t="shared" si="1634"/>
        <v>0</v>
      </c>
      <c r="AL1170" s="1384">
        <v>0</v>
      </c>
      <c r="AM1170" s="1363">
        <f t="shared" si="1622"/>
        <v>0</v>
      </c>
      <c r="AN1170" s="1364">
        <v>0</v>
      </c>
      <c r="AO1170" s="1365">
        <f t="shared" si="1623"/>
        <v>0</v>
      </c>
      <c r="AP1170" s="1366">
        <v>0</v>
      </c>
      <c r="AQ1170" s="1367">
        <f t="shared" si="1624"/>
        <v>0</v>
      </c>
      <c r="AR1170" s="1368">
        <v>0</v>
      </c>
      <c r="AS1170" s="1369">
        <f t="shared" si="1625"/>
        <v>0</v>
      </c>
      <c r="AT1170" s="1370">
        <v>0</v>
      </c>
      <c r="AU1170" s="1371">
        <f t="shared" si="1626"/>
        <v>0</v>
      </c>
      <c r="AV1170" s="1359">
        <f t="shared" si="1627"/>
        <v>0.15</v>
      </c>
      <c r="AW1170" s="1372">
        <f t="shared" si="1628"/>
        <v>0</v>
      </c>
      <c r="AX1170" s="1373">
        <f t="shared" si="1629"/>
        <v>0.15</v>
      </c>
      <c r="AY1170" s="1374">
        <f t="shared" si="1630"/>
        <v>0</v>
      </c>
      <c r="AZ1170" s="1375">
        <f t="shared" si="1631"/>
        <v>0.15</v>
      </c>
      <c r="BA1170" s="1376">
        <f t="shared" si="1632"/>
        <v>0</v>
      </c>
      <c r="BB1170" s="1377"/>
      <c r="BC1170" s="1820"/>
      <c r="BD1170" s="1820"/>
      <c r="BE1170" s="1823"/>
      <c r="BF1170" s="1826"/>
      <c r="BG1170" s="1829"/>
    </row>
    <row r="1171" spans="1:59" s="1396" customFormat="1" ht="25.5">
      <c r="A1171" s="1579" t="str">
        <f t="shared" si="1616"/>
        <v>GRAIL, Inc.</v>
      </c>
      <c r="B1171" s="1579" t="s">
        <v>4835</v>
      </c>
      <c r="C1171" s="1580">
        <f t="shared" si="1617"/>
        <v>220</v>
      </c>
      <c r="D1171" s="1447">
        <v>42491</v>
      </c>
      <c r="E1171" s="1349">
        <f t="shared" si="1620"/>
        <v>43100</v>
      </c>
      <c r="F1171" s="1579" t="s">
        <v>113</v>
      </c>
      <c r="G1171" s="1579" t="s">
        <v>85</v>
      </c>
      <c r="H1171" s="1579" t="s">
        <v>85</v>
      </c>
      <c r="I1171" s="1579" t="s">
        <v>113</v>
      </c>
      <c r="J1171" s="1447"/>
      <c r="K1171" s="1581"/>
      <c r="L1171" s="1582" t="s">
        <v>4682</v>
      </c>
      <c r="M1171" s="1583" t="s">
        <v>4686</v>
      </c>
      <c r="N1171" s="1590" t="s">
        <v>60</v>
      </c>
      <c r="O1171" s="1449" t="s">
        <v>4684</v>
      </c>
      <c r="P1171" s="1446"/>
      <c r="Q1171" s="1445"/>
      <c r="R1171" s="1445"/>
      <c r="S1171" s="1445"/>
      <c r="T1171" s="1445"/>
      <c r="U1171" s="1445"/>
      <c r="V1171" s="1445"/>
      <c r="W1171" s="1445"/>
      <c r="X1171" s="1479">
        <v>42736</v>
      </c>
      <c r="Y1171" s="1479">
        <v>43101</v>
      </c>
      <c r="Z1171" s="1425"/>
      <c r="AA1171" s="1355" t="s">
        <v>4884</v>
      </c>
      <c r="AB1171" s="1394"/>
      <c r="AC1171" s="1394"/>
      <c r="AD1171" s="1422">
        <f t="shared" si="1621"/>
        <v>0</v>
      </c>
      <c r="AE1171" s="1585">
        <f t="shared" si="1618"/>
        <v>0</v>
      </c>
      <c r="AF1171" s="1586" t="str">
        <f t="shared" si="1619"/>
        <v/>
      </c>
      <c r="AG1171" s="1587"/>
      <c r="AH1171" s="1587"/>
      <c r="AI1171" s="1471">
        <v>0.15</v>
      </c>
      <c r="AJ1171" s="1360">
        <f t="shared" si="1633"/>
        <v>0</v>
      </c>
      <c r="AK1171" s="1361">
        <f t="shared" si="1634"/>
        <v>0</v>
      </c>
      <c r="AL1171" s="1384">
        <v>0</v>
      </c>
      <c r="AM1171" s="1363">
        <f t="shared" si="1622"/>
        <v>0</v>
      </c>
      <c r="AN1171" s="1364">
        <v>0</v>
      </c>
      <c r="AO1171" s="1365">
        <f t="shared" si="1623"/>
        <v>0</v>
      </c>
      <c r="AP1171" s="1366">
        <v>0</v>
      </c>
      <c r="AQ1171" s="1367">
        <f t="shared" si="1624"/>
        <v>0</v>
      </c>
      <c r="AR1171" s="1368">
        <v>0</v>
      </c>
      <c r="AS1171" s="1369">
        <f t="shared" si="1625"/>
        <v>0</v>
      </c>
      <c r="AT1171" s="1370">
        <v>0</v>
      </c>
      <c r="AU1171" s="1371">
        <f t="shared" si="1626"/>
        <v>0</v>
      </c>
      <c r="AV1171" s="1359">
        <f t="shared" si="1627"/>
        <v>0.15</v>
      </c>
      <c r="AW1171" s="1372">
        <f t="shared" si="1628"/>
        <v>0</v>
      </c>
      <c r="AX1171" s="1373">
        <f t="shared" si="1629"/>
        <v>0.15</v>
      </c>
      <c r="AY1171" s="1374">
        <f t="shared" si="1630"/>
        <v>0</v>
      </c>
      <c r="AZ1171" s="1375">
        <f t="shared" si="1631"/>
        <v>0.15</v>
      </c>
      <c r="BA1171" s="1376">
        <f t="shared" si="1632"/>
        <v>0</v>
      </c>
      <c r="BB1171" s="1377"/>
      <c r="BC1171" s="1820"/>
      <c r="BD1171" s="1820"/>
      <c r="BE1171" s="1823"/>
      <c r="BF1171" s="1826"/>
      <c r="BG1171" s="1829"/>
    </row>
    <row r="1172" spans="1:59" s="1396" customFormat="1">
      <c r="A1172" s="1579" t="str">
        <f t="shared" si="1616"/>
        <v>GRAIL, Inc.</v>
      </c>
      <c r="B1172" s="1579" t="s">
        <v>4835</v>
      </c>
      <c r="C1172" s="1580">
        <f t="shared" si="1617"/>
        <v>220</v>
      </c>
      <c r="D1172" s="1447">
        <v>42491</v>
      </c>
      <c r="E1172" s="1349">
        <f t="shared" si="1620"/>
        <v>43100</v>
      </c>
      <c r="F1172" s="1579" t="s">
        <v>113</v>
      </c>
      <c r="G1172" s="1579" t="s">
        <v>85</v>
      </c>
      <c r="H1172" s="1579" t="s">
        <v>85</v>
      </c>
      <c r="I1172" s="1579" t="s">
        <v>113</v>
      </c>
      <c r="J1172" s="1447"/>
      <c r="K1172" s="1581"/>
      <c r="L1172" s="1582" t="s">
        <v>4682</v>
      </c>
      <c r="M1172" s="1583" t="s">
        <v>62</v>
      </c>
      <c r="N1172" s="1584" t="s">
        <v>256</v>
      </c>
      <c r="O1172" s="1449" t="s">
        <v>4688</v>
      </c>
      <c r="P1172" s="1449"/>
      <c r="Q1172" s="1445"/>
      <c r="R1172" s="1445"/>
      <c r="S1172" s="1445"/>
      <c r="T1172" s="1445"/>
      <c r="U1172" s="1445"/>
      <c r="V1172" s="1445"/>
      <c r="W1172" s="1445"/>
      <c r="X1172" s="1479">
        <v>42736</v>
      </c>
      <c r="Y1172" s="1479">
        <v>43101</v>
      </c>
      <c r="Z1172" s="1425"/>
      <c r="AA1172" s="1355" t="s">
        <v>4884</v>
      </c>
      <c r="AB1172" s="1394"/>
      <c r="AC1172" s="1394"/>
      <c r="AD1172" s="1422">
        <f t="shared" si="1621"/>
        <v>0</v>
      </c>
      <c r="AE1172" s="1585">
        <f t="shared" si="1618"/>
        <v>0</v>
      </c>
      <c r="AF1172" s="1586" t="str">
        <f t="shared" si="1619"/>
        <v/>
      </c>
      <c r="AG1172" s="1587"/>
      <c r="AH1172" s="1587"/>
      <c r="AI1172" s="1471">
        <v>0.15</v>
      </c>
      <c r="AJ1172" s="1360">
        <f t="shared" si="1633"/>
        <v>0</v>
      </c>
      <c r="AK1172" s="1361">
        <f t="shared" si="1634"/>
        <v>0</v>
      </c>
      <c r="AL1172" s="1384">
        <v>0</v>
      </c>
      <c r="AM1172" s="1363">
        <f t="shared" si="1622"/>
        <v>0</v>
      </c>
      <c r="AN1172" s="1364">
        <v>0</v>
      </c>
      <c r="AO1172" s="1365">
        <f t="shared" si="1623"/>
        <v>0</v>
      </c>
      <c r="AP1172" s="1366">
        <v>0</v>
      </c>
      <c r="AQ1172" s="1367">
        <f t="shared" si="1624"/>
        <v>0</v>
      </c>
      <c r="AR1172" s="1368">
        <v>0</v>
      </c>
      <c r="AS1172" s="1369">
        <f t="shared" si="1625"/>
        <v>0</v>
      </c>
      <c r="AT1172" s="1370">
        <v>0</v>
      </c>
      <c r="AU1172" s="1371">
        <f t="shared" si="1626"/>
        <v>0</v>
      </c>
      <c r="AV1172" s="1359">
        <f t="shared" si="1627"/>
        <v>0.15</v>
      </c>
      <c r="AW1172" s="1372">
        <f t="shared" si="1628"/>
        <v>0</v>
      </c>
      <c r="AX1172" s="1373">
        <f t="shared" si="1629"/>
        <v>0.15</v>
      </c>
      <c r="AY1172" s="1374">
        <f t="shared" si="1630"/>
        <v>0</v>
      </c>
      <c r="AZ1172" s="1375">
        <f t="shared" si="1631"/>
        <v>0.15</v>
      </c>
      <c r="BA1172" s="1376">
        <f t="shared" si="1632"/>
        <v>0</v>
      </c>
      <c r="BB1172" s="1377"/>
      <c r="BC1172" s="1820"/>
      <c r="BD1172" s="1820"/>
      <c r="BE1172" s="1823"/>
      <c r="BF1172" s="1826"/>
      <c r="BG1172" s="1829"/>
    </row>
    <row r="1173" spans="1:59" s="1396" customFormat="1">
      <c r="A1173" s="1579" t="str">
        <f t="shared" si="1616"/>
        <v>GRAIL, Inc.</v>
      </c>
      <c r="B1173" s="1579" t="s">
        <v>4835</v>
      </c>
      <c r="C1173" s="1580">
        <f t="shared" si="1617"/>
        <v>220</v>
      </c>
      <c r="D1173" s="1447">
        <v>42491</v>
      </c>
      <c r="E1173" s="1349">
        <f t="shared" si="1620"/>
        <v>43100</v>
      </c>
      <c r="F1173" s="1579" t="s">
        <v>113</v>
      </c>
      <c r="G1173" s="1579" t="s">
        <v>85</v>
      </c>
      <c r="H1173" s="1579" t="s">
        <v>85</v>
      </c>
      <c r="I1173" s="1579" t="s">
        <v>113</v>
      </c>
      <c r="J1173" s="1447"/>
      <c r="K1173" s="1581"/>
      <c r="L1173" s="1582" t="s">
        <v>4682</v>
      </c>
      <c r="M1173" s="1583" t="s">
        <v>67</v>
      </c>
      <c r="N1173" s="1584" t="s">
        <v>68</v>
      </c>
      <c r="O1173" s="1449" t="s">
        <v>4689</v>
      </c>
      <c r="P1173" s="1449"/>
      <c r="Q1173" s="1445"/>
      <c r="R1173" s="1445"/>
      <c r="S1173" s="1445"/>
      <c r="T1173" s="1445"/>
      <c r="U1173" s="1445"/>
      <c r="V1173" s="1445"/>
      <c r="W1173" s="1445"/>
      <c r="X1173" s="1479">
        <v>42736</v>
      </c>
      <c r="Y1173" s="1479">
        <v>43101</v>
      </c>
      <c r="Z1173" s="1425"/>
      <c r="AA1173" s="1355" t="s">
        <v>4884</v>
      </c>
      <c r="AB1173" s="1394"/>
      <c r="AC1173" s="1394"/>
      <c r="AD1173" s="1422">
        <f t="shared" si="1621"/>
        <v>0</v>
      </c>
      <c r="AE1173" s="1585">
        <f t="shared" si="1618"/>
        <v>0</v>
      </c>
      <c r="AF1173" s="1586" t="str">
        <f t="shared" si="1619"/>
        <v/>
      </c>
      <c r="AG1173" s="1587"/>
      <c r="AH1173" s="1587"/>
      <c r="AI1173" s="1471">
        <v>0.15</v>
      </c>
      <c r="AJ1173" s="1360">
        <f t="shared" si="1633"/>
        <v>0</v>
      </c>
      <c r="AK1173" s="1361">
        <f t="shared" si="1634"/>
        <v>0</v>
      </c>
      <c r="AL1173" s="1384">
        <v>0</v>
      </c>
      <c r="AM1173" s="1363">
        <f t="shared" si="1622"/>
        <v>0</v>
      </c>
      <c r="AN1173" s="1364">
        <v>0</v>
      </c>
      <c r="AO1173" s="1365">
        <f t="shared" si="1623"/>
        <v>0</v>
      </c>
      <c r="AP1173" s="1366">
        <v>0</v>
      </c>
      <c r="AQ1173" s="1367">
        <f t="shared" si="1624"/>
        <v>0</v>
      </c>
      <c r="AR1173" s="1368">
        <v>0</v>
      </c>
      <c r="AS1173" s="1369">
        <f t="shared" si="1625"/>
        <v>0</v>
      </c>
      <c r="AT1173" s="1370">
        <v>0</v>
      </c>
      <c r="AU1173" s="1371">
        <f t="shared" si="1626"/>
        <v>0</v>
      </c>
      <c r="AV1173" s="1359">
        <f t="shared" si="1627"/>
        <v>0.15</v>
      </c>
      <c r="AW1173" s="1372">
        <f t="shared" si="1628"/>
        <v>0</v>
      </c>
      <c r="AX1173" s="1373">
        <f t="shared" si="1629"/>
        <v>0.15</v>
      </c>
      <c r="AY1173" s="1374">
        <f t="shared" si="1630"/>
        <v>0</v>
      </c>
      <c r="AZ1173" s="1375">
        <f t="shared" si="1631"/>
        <v>0.15</v>
      </c>
      <c r="BA1173" s="1376">
        <f t="shared" si="1632"/>
        <v>0</v>
      </c>
      <c r="BB1173" s="1377"/>
      <c r="BC1173" s="1820"/>
      <c r="BD1173" s="1820"/>
      <c r="BE1173" s="1823"/>
      <c r="BF1173" s="1826"/>
      <c r="BG1173" s="1829"/>
    </row>
    <row r="1174" spans="1:59" s="1396" customFormat="1" ht="38.25">
      <c r="A1174" s="1579" t="str">
        <f t="shared" si="1616"/>
        <v>GRAIL, Inc.</v>
      </c>
      <c r="B1174" s="1579" t="s">
        <v>4835</v>
      </c>
      <c r="C1174" s="1580">
        <f t="shared" si="1617"/>
        <v>220</v>
      </c>
      <c r="D1174" s="1447">
        <v>42491</v>
      </c>
      <c r="E1174" s="1349">
        <f t="shared" si="1620"/>
        <v>43100</v>
      </c>
      <c r="F1174" s="1579" t="s">
        <v>113</v>
      </c>
      <c r="G1174" s="1579" t="s">
        <v>113</v>
      </c>
      <c r="H1174" s="1579" t="s">
        <v>113</v>
      </c>
      <c r="I1174" s="1579" t="s">
        <v>113</v>
      </c>
      <c r="J1174" s="1447"/>
      <c r="K1174" s="1581"/>
      <c r="L1174" s="1591" t="s">
        <v>5481</v>
      </c>
      <c r="M1174" s="1592" t="s">
        <v>5482</v>
      </c>
      <c r="N1174" s="1611" t="s">
        <v>5483</v>
      </c>
      <c r="O1174" s="1594">
        <v>2631</v>
      </c>
      <c r="P1174" s="1594"/>
      <c r="Q1174" s="1445"/>
      <c r="R1174" s="1445"/>
      <c r="S1174" s="1445"/>
      <c r="T1174" s="1445"/>
      <c r="U1174" s="1445"/>
      <c r="V1174" s="1445"/>
      <c r="W1174" s="1445"/>
      <c r="X1174" s="1486">
        <v>42736</v>
      </c>
      <c r="Y1174" s="1486">
        <v>43101</v>
      </c>
      <c r="Z1174" s="1460"/>
      <c r="AA1174" s="1401" t="s">
        <v>4887</v>
      </c>
      <c r="AB1174" s="1394"/>
      <c r="AC1174" s="1394"/>
      <c r="AD1174" s="1369">
        <f t="shared" si="1621"/>
        <v>0</v>
      </c>
      <c r="AE1174" s="1402">
        <f t="shared" si="1618"/>
        <v>0</v>
      </c>
      <c r="AF1174" s="1448" t="str">
        <f t="shared" si="1619"/>
        <v/>
      </c>
      <c r="AG1174" s="1595"/>
      <c r="AH1174" s="1595"/>
      <c r="AI1174" s="1596">
        <v>0.05</v>
      </c>
      <c r="AJ1174" s="1406">
        <v>0</v>
      </c>
      <c r="AK1174" s="1406">
        <v>0</v>
      </c>
      <c r="AL1174" s="1384">
        <v>0</v>
      </c>
      <c r="AM1174" s="1363">
        <f t="shared" si="1622"/>
        <v>0</v>
      </c>
      <c r="AN1174" s="1364">
        <v>0</v>
      </c>
      <c r="AO1174" s="1365">
        <f t="shared" si="1623"/>
        <v>0</v>
      </c>
      <c r="AP1174" s="1366">
        <v>0</v>
      </c>
      <c r="AQ1174" s="1367">
        <f t="shared" si="1624"/>
        <v>0</v>
      </c>
      <c r="AR1174" s="1368">
        <v>0</v>
      </c>
      <c r="AS1174" s="1369">
        <f t="shared" si="1625"/>
        <v>0</v>
      </c>
      <c r="AT1174" s="1370">
        <v>0</v>
      </c>
      <c r="AU1174" s="1371">
        <f t="shared" si="1626"/>
        <v>0</v>
      </c>
      <c r="AV1174" s="1359">
        <f t="shared" si="1627"/>
        <v>0.05</v>
      </c>
      <c r="AW1174" s="1372">
        <f t="shared" si="1628"/>
        <v>0</v>
      </c>
      <c r="AX1174" s="1373">
        <f t="shared" si="1629"/>
        <v>0.05</v>
      </c>
      <c r="AY1174" s="1374">
        <f t="shared" si="1630"/>
        <v>0</v>
      </c>
      <c r="AZ1174" s="1375">
        <f t="shared" si="1631"/>
        <v>0.05</v>
      </c>
      <c r="BA1174" s="1376">
        <f t="shared" si="1632"/>
        <v>0</v>
      </c>
      <c r="BB1174" s="1377"/>
      <c r="BC1174" s="1820"/>
      <c r="BD1174" s="1820"/>
      <c r="BE1174" s="1823"/>
      <c r="BF1174" s="1826"/>
      <c r="BG1174" s="1829"/>
    </row>
    <row r="1175" spans="1:59" s="1396" customFormat="1" ht="38.25">
      <c r="A1175" s="1579" t="str">
        <f t="shared" si="1616"/>
        <v>GRAIL, Inc.</v>
      </c>
      <c r="B1175" s="1579" t="s">
        <v>4835</v>
      </c>
      <c r="C1175" s="1580">
        <f t="shared" si="1617"/>
        <v>220</v>
      </c>
      <c r="D1175" s="1447">
        <v>42491</v>
      </c>
      <c r="E1175" s="1349">
        <f t="shared" si="1620"/>
        <v>43100</v>
      </c>
      <c r="F1175" s="1579" t="s">
        <v>72</v>
      </c>
      <c r="G1175" s="1579" t="s">
        <v>113</v>
      </c>
      <c r="H1175" s="1579" t="s">
        <v>72</v>
      </c>
      <c r="I1175" s="1579" t="s">
        <v>113</v>
      </c>
      <c r="J1175" s="1447"/>
      <c r="K1175" s="1581"/>
      <c r="L1175" s="1591" t="s">
        <v>5448</v>
      </c>
      <c r="M1175" s="1592" t="s">
        <v>3652</v>
      </c>
      <c r="N1175" s="1593" t="s">
        <v>5484</v>
      </c>
      <c r="O1175" s="1594" t="s">
        <v>5485</v>
      </c>
      <c r="P1175" s="1594"/>
      <c r="Q1175" s="1445"/>
      <c r="R1175" s="1445"/>
      <c r="S1175" s="1445"/>
      <c r="T1175" s="1445"/>
      <c r="U1175" s="1445"/>
      <c r="V1175" s="1445"/>
      <c r="W1175" s="1445"/>
      <c r="X1175" s="1486">
        <v>42736</v>
      </c>
      <c r="Y1175" s="1486">
        <v>43101</v>
      </c>
      <c r="Z1175" s="1460"/>
      <c r="AA1175" s="1401" t="s">
        <v>4738</v>
      </c>
      <c r="AB1175" s="1394"/>
      <c r="AC1175" s="1394"/>
      <c r="AD1175" s="1369">
        <f t="shared" si="1621"/>
        <v>0</v>
      </c>
      <c r="AE1175" s="1402">
        <f t="shared" si="1618"/>
        <v>0</v>
      </c>
      <c r="AF1175" s="1448" t="str">
        <f t="shared" si="1619"/>
        <v/>
      </c>
      <c r="AG1175" s="1404"/>
      <c r="AH1175" s="1404">
        <v>0</v>
      </c>
      <c r="AI1175" s="1405">
        <v>0</v>
      </c>
      <c r="AJ1175" s="1406">
        <v>0</v>
      </c>
      <c r="AK1175" s="1406">
        <v>0</v>
      </c>
      <c r="AL1175" s="1384">
        <v>0</v>
      </c>
      <c r="AM1175" s="1363">
        <f t="shared" si="1622"/>
        <v>0</v>
      </c>
      <c r="AN1175" s="1364">
        <v>0</v>
      </c>
      <c r="AO1175" s="1365">
        <f t="shared" si="1623"/>
        <v>0</v>
      </c>
      <c r="AP1175" s="1366">
        <v>0</v>
      </c>
      <c r="AQ1175" s="1367">
        <f t="shared" si="1624"/>
        <v>0</v>
      </c>
      <c r="AR1175" s="1368">
        <v>0</v>
      </c>
      <c r="AS1175" s="1369">
        <f t="shared" si="1625"/>
        <v>0</v>
      </c>
      <c r="AT1175" s="1370">
        <v>0</v>
      </c>
      <c r="AU1175" s="1371">
        <f t="shared" si="1626"/>
        <v>0</v>
      </c>
      <c r="AV1175" s="1359">
        <f t="shared" si="1627"/>
        <v>0</v>
      </c>
      <c r="AW1175" s="1372">
        <f t="shared" si="1628"/>
        <v>0</v>
      </c>
      <c r="AX1175" s="1373">
        <f t="shared" si="1629"/>
        <v>0</v>
      </c>
      <c r="AY1175" s="1374">
        <f t="shared" si="1630"/>
        <v>0</v>
      </c>
      <c r="AZ1175" s="1375">
        <f t="shared" si="1631"/>
        <v>0</v>
      </c>
      <c r="BA1175" s="1376">
        <f t="shared" si="1632"/>
        <v>0</v>
      </c>
      <c r="BB1175" s="1377"/>
      <c r="BC1175" s="1820"/>
      <c r="BD1175" s="1820"/>
      <c r="BE1175" s="1823"/>
      <c r="BF1175" s="1826"/>
      <c r="BG1175" s="1829"/>
    </row>
    <row r="1176" spans="1:59" s="1396" customFormat="1" ht="38.25">
      <c r="A1176" s="1579" t="str">
        <f t="shared" si="1616"/>
        <v>GRAIL, Inc.</v>
      </c>
      <c r="B1176" s="1579" t="s">
        <v>4835</v>
      </c>
      <c r="C1176" s="1580">
        <f t="shared" si="1617"/>
        <v>220</v>
      </c>
      <c r="D1176" s="1447">
        <v>42491</v>
      </c>
      <c r="E1176" s="1349">
        <f t="shared" si="1620"/>
        <v>43100</v>
      </c>
      <c r="F1176" s="1579" t="s">
        <v>72</v>
      </c>
      <c r="G1176" s="1579" t="s">
        <v>113</v>
      </c>
      <c r="H1176" s="1579" t="s">
        <v>72</v>
      </c>
      <c r="I1176" s="1579" t="s">
        <v>113</v>
      </c>
      <c r="J1176" s="1447"/>
      <c r="K1176" s="1581"/>
      <c r="L1176" s="1591" t="s">
        <v>5448</v>
      </c>
      <c r="M1176" s="1592" t="s">
        <v>3652</v>
      </c>
      <c r="N1176" s="1593" t="s">
        <v>5486</v>
      </c>
      <c r="O1176" s="1594" t="s">
        <v>5487</v>
      </c>
      <c r="P1176" s="1594"/>
      <c r="Q1176" s="1445"/>
      <c r="R1176" s="1445"/>
      <c r="S1176" s="1445"/>
      <c r="T1176" s="1445"/>
      <c r="U1176" s="1445"/>
      <c r="V1176" s="1445"/>
      <c r="W1176" s="1445"/>
      <c r="X1176" s="1486">
        <v>42736</v>
      </c>
      <c r="Y1176" s="1486">
        <v>43101</v>
      </c>
      <c r="Z1176" s="1460"/>
      <c r="AA1176" s="1401" t="s">
        <v>4738</v>
      </c>
      <c r="AB1176" s="1394"/>
      <c r="AC1176" s="1394"/>
      <c r="AD1176" s="1369">
        <f t="shared" si="1621"/>
        <v>0</v>
      </c>
      <c r="AE1176" s="1402">
        <f t="shared" si="1618"/>
        <v>0</v>
      </c>
      <c r="AF1176" s="1448" t="str">
        <f t="shared" si="1619"/>
        <v/>
      </c>
      <c r="AG1176" s="1404"/>
      <c r="AH1176" s="1404">
        <v>0</v>
      </c>
      <c r="AI1176" s="1405">
        <v>0</v>
      </c>
      <c r="AJ1176" s="1406">
        <v>0</v>
      </c>
      <c r="AK1176" s="1406">
        <v>0</v>
      </c>
      <c r="AL1176" s="1384">
        <v>0</v>
      </c>
      <c r="AM1176" s="1363">
        <f t="shared" si="1622"/>
        <v>0</v>
      </c>
      <c r="AN1176" s="1364">
        <v>0</v>
      </c>
      <c r="AO1176" s="1365">
        <f t="shared" si="1623"/>
        <v>0</v>
      </c>
      <c r="AP1176" s="1366">
        <v>0</v>
      </c>
      <c r="AQ1176" s="1367">
        <f t="shared" si="1624"/>
        <v>0</v>
      </c>
      <c r="AR1176" s="1368">
        <v>0</v>
      </c>
      <c r="AS1176" s="1369">
        <f t="shared" si="1625"/>
        <v>0</v>
      </c>
      <c r="AT1176" s="1370">
        <v>0</v>
      </c>
      <c r="AU1176" s="1371">
        <f t="shared" si="1626"/>
        <v>0</v>
      </c>
      <c r="AV1176" s="1359">
        <f>AZ1176-AR1176-AT1176-AP1176</f>
        <v>0</v>
      </c>
      <c r="AW1176" s="1372">
        <f t="shared" si="1628"/>
        <v>0</v>
      </c>
      <c r="AX1176" s="1373">
        <f t="shared" si="1629"/>
        <v>0</v>
      </c>
      <c r="AY1176" s="1374">
        <f t="shared" si="1630"/>
        <v>0</v>
      </c>
      <c r="AZ1176" s="1375">
        <f t="shared" si="1631"/>
        <v>0</v>
      </c>
      <c r="BA1176" s="1376">
        <f t="shared" si="1632"/>
        <v>0</v>
      </c>
      <c r="BB1176" s="1377"/>
      <c r="BC1176" s="1820"/>
      <c r="BD1176" s="1820"/>
      <c r="BE1176" s="1823"/>
      <c r="BF1176" s="1826"/>
      <c r="BG1176" s="1829"/>
    </row>
    <row r="1177" spans="1:59" s="1378" customFormat="1" ht="27.75" customHeight="1">
      <c r="A1177" s="1347" t="s">
        <v>138</v>
      </c>
      <c r="B1177" s="1348" t="s">
        <v>4835</v>
      </c>
      <c r="C1177" s="1348">
        <v>220</v>
      </c>
      <c r="D1177" s="1349">
        <v>42491</v>
      </c>
      <c r="E1177" s="1349">
        <f t="shared" si="1620"/>
        <v>43100</v>
      </c>
      <c r="F1177" s="1347" t="s">
        <v>72</v>
      </c>
      <c r="G1177" s="1347" t="s">
        <v>113</v>
      </c>
      <c r="H1177" s="1347" t="s">
        <v>72</v>
      </c>
      <c r="I1177" s="1347" t="s">
        <v>113</v>
      </c>
      <c r="J1177" s="1349"/>
      <c r="K1177" s="1607"/>
      <c r="L1177" s="1612" t="s">
        <v>4696</v>
      </c>
      <c r="M1177" s="1518" t="s">
        <v>4697</v>
      </c>
      <c r="N1177" s="1522" t="s">
        <v>5405</v>
      </c>
      <c r="O1177" s="1388" t="s">
        <v>4699</v>
      </c>
      <c r="P1177" s="1388"/>
      <c r="Q1177" s="1354"/>
      <c r="R1177" s="1354"/>
      <c r="S1177" s="1354"/>
      <c r="T1177" s="1354"/>
      <c r="U1177" s="1354"/>
      <c r="V1177" s="1354"/>
      <c r="W1177" s="1354"/>
      <c r="X1177" s="1353">
        <v>43101</v>
      </c>
      <c r="Y1177" s="1353">
        <v>43466</v>
      </c>
      <c r="Z1177" s="1355"/>
      <c r="AA1177" s="1355" t="s">
        <v>5488</v>
      </c>
      <c r="AB1177" s="1422">
        <v>0</v>
      </c>
      <c r="AC1177" s="1422">
        <v>0</v>
      </c>
      <c r="AD1177" s="1422">
        <v>0</v>
      </c>
      <c r="AE1177" s="1422">
        <f t="shared" si="1618"/>
        <v>0</v>
      </c>
      <c r="AF1177" s="1423" t="str">
        <f t="shared" si="1619"/>
        <v/>
      </c>
      <c r="AG1177" s="1358"/>
      <c r="AH1177" s="1358">
        <v>0</v>
      </c>
      <c r="AI1177" s="1359">
        <v>0</v>
      </c>
      <c r="AJ1177" s="1360">
        <f>$AI1177*$AG1177</f>
        <v>0</v>
      </c>
      <c r="AK1177" s="1361">
        <f>AI1177*$AH1177</f>
        <v>0</v>
      </c>
      <c r="AL1177" s="1384">
        <v>0</v>
      </c>
      <c r="AM1177" s="1363">
        <f t="shared" si="1622"/>
        <v>0</v>
      </c>
      <c r="AN1177" s="1364">
        <v>0</v>
      </c>
      <c r="AO1177" s="1365">
        <f t="shared" si="1623"/>
        <v>0</v>
      </c>
      <c r="AP1177" s="1366">
        <v>0</v>
      </c>
      <c r="AQ1177" s="1367">
        <f t="shared" si="1624"/>
        <v>0</v>
      </c>
      <c r="AR1177" s="1368">
        <v>0</v>
      </c>
      <c r="AS1177" s="1369">
        <f t="shared" si="1625"/>
        <v>0</v>
      </c>
      <c r="AT1177" s="1370">
        <v>0</v>
      </c>
      <c r="AU1177" s="1371">
        <f t="shared" si="1626"/>
        <v>0</v>
      </c>
      <c r="AV1177" s="1359">
        <f t="shared" ref="AV1177" si="1635">AZ1177-AR1177-AT1177-AP1177</f>
        <v>0</v>
      </c>
      <c r="AW1177" s="1372">
        <f t="shared" si="1628"/>
        <v>0</v>
      </c>
      <c r="AX1177" s="1373">
        <f t="shared" si="1629"/>
        <v>0</v>
      </c>
      <c r="AY1177" s="1374">
        <f t="shared" si="1630"/>
        <v>0</v>
      </c>
      <c r="AZ1177" s="1375">
        <f t="shared" si="1631"/>
        <v>0</v>
      </c>
      <c r="BA1177" s="1376">
        <f t="shared" si="1632"/>
        <v>0</v>
      </c>
      <c r="BB1177" s="1377"/>
      <c r="BC1177" s="1820"/>
      <c r="BD1177" s="1820"/>
      <c r="BE1177" s="1823"/>
      <c r="BF1177" s="1826"/>
      <c r="BG1177" s="1829"/>
    </row>
    <row r="1178" spans="1:59" s="1396" customFormat="1" ht="38.25">
      <c r="A1178" s="1579" t="str">
        <f>$L$1164</f>
        <v>GRAIL, Inc.</v>
      </c>
      <c r="B1178" s="1579" t="s">
        <v>4835</v>
      </c>
      <c r="C1178" s="1580">
        <f>$Z$1164</f>
        <v>220</v>
      </c>
      <c r="D1178" s="1447">
        <v>42491</v>
      </c>
      <c r="E1178" s="1349">
        <f t="shared" si="1620"/>
        <v>43100</v>
      </c>
      <c r="F1178" s="1579" t="s">
        <v>72</v>
      </c>
      <c r="G1178" s="1579" t="s">
        <v>113</v>
      </c>
      <c r="H1178" s="1579" t="s">
        <v>72</v>
      </c>
      <c r="I1178" s="1579" t="s">
        <v>113</v>
      </c>
      <c r="J1178" s="1447"/>
      <c r="K1178" s="1581"/>
      <c r="L1178" s="1591" t="s">
        <v>111</v>
      </c>
      <c r="M1178" s="1592" t="s">
        <v>253</v>
      </c>
      <c r="N1178" s="1593" t="s">
        <v>5452</v>
      </c>
      <c r="O1178" s="1594" t="s">
        <v>5489</v>
      </c>
      <c r="P1178" s="1594"/>
      <c r="Q1178" s="1445"/>
      <c r="R1178" s="1445"/>
      <c r="S1178" s="1445"/>
      <c r="T1178" s="1445"/>
      <c r="U1178" s="1445"/>
      <c r="V1178" s="1445"/>
      <c r="W1178" s="1445"/>
      <c r="X1178" s="1486">
        <v>42736</v>
      </c>
      <c r="Y1178" s="1486">
        <v>43101</v>
      </c>
      <c r="Z1178" s="1460"/>
      <c r="AA1178" s="1401" t="s">
        <v>4738</v>
      </c>
      <c r="AB1178" s="1394"/>
      <c r="AC1178" s="1394"/>
      <c r="AD1178" s="1369">
        <f t="shared" si="1621"/>
        <v>0</v>
      </c>
      <c r="AE1178" s="1402">
        <f t="shared" si="1618"/>
        <v>0</v>
      </c>
      <c r="AF1178" s="1448" t="str">
        <f t="shared" si="1619"/>
        <v/>
      </c>
      <c r="AG1178" s="1404"/>
      <c r="AH1178" s="1404">
        <v>0</v>
      </c>
      <c r="AI1178" s="1405">
        <v>0</v>
      </c>
      <c r="AJ1178" s="1406">
        <v>0</v>
      </c>
      <c r="AK1178" s="1406">
        <v>0</v>
      </c>
      <c r="AL1178" s="1384">
        <v>0</v>
      </c>
      <c r="AM1178" s="1363">
        <f t="shared" si="1622"/>
        <v>0</v>
      </c>
      <c r="AN1178" s="1364">
        <v>0</v>
      </c>
      <c r="AO1178" s="1365">
        <f t="shared" si="1623"/>
        <v>0</v>
      </c>
      <c r="AP1178" s="1366">
        <v>0</v>
      </c>
      <c r="AQ1178" s="1367">
        <f t="shared" si="1624"/>
        <v>0</v>
      </c>
      <c r="AR1178" s="1368">
        <v>0</v>
      </c>
      <c r="AS1178" s="1369">
        <f t="shared" si="1625"/>
        <v>0</v>
      </c>
      <c r="AT1178" s="1370">
        <v>0</v>
      </c>
      <c r="AU1178" s="1371">
        <f t="shared" si="1626"/>
        <v>0</v>
      </c>
      <c r="AV1178" s="1359">
        <f t="shared" si="1627"/>
        <v>0</v>
      </c>
      <c r="AW1178" s="1372">
        <f t="shared" si="1628"/>
        <v>0</v>
      </c>
      <c r="AX1178" s="1373">
        <f t="shared" si="1629"/>
        <v>0</v>
      </c>
      <c r="AY1178" s="1374">
        <f t="shared" si="1630"/>
        <v>0</v>
      </c>
      <c r="AZ1178" s="1375">
        <f t="shared" si="1631"/>
        <v>0</v>
      </c>
      <c r="BA1178" s="1376">
        <f t="shared" si="1632"/>
        <v>0</v>
      </c>
      <c r="BB1178" s="1377"/>
      <c r="BC1178" s="1820"/>
      <c r="BD1178" s="1820"/>
      <c r="BE1178" s="1823"/>
      <c r="BF1178" s="1826"/>
      <c r="BG1178" s="1829"/>
    </row>
    <row r="1179" spans="1:59" s="1396" customFormat="1" ht="38.25">
      <c r="A1179" s="1579" t="str">
        <f>$L$1164</f>
        <v>GRAIL, Inc.</v>
      </c>
      <c r="B1179" s="1579" t="s">
        <v>4835</v>
      </c>
      <c r="C1179" s="1580">
        <f>$Z$1164</f>
        <v>220</v>
      </c>
      <c r="D1179" s="1447">
        <v>42491</v>
      </c>
      <c r="E1179" s="1349">
        <f t="shared" si="1620"/>
        <v>43100</v>
      </c>
      <c r="F1179" s="1579" t="s">
        <v>72</v>
      </c>
      <c r="G1179" s="1579" t="s">
        <v>113</v>
      </c>
      <c r="H1179" s="1579" t="s">
        <v>72</v>
      </c>
      <c r="I1179" s="1579" t="s">
        <v>113</v>
      </c>
      <c r="J1179" s="1447"/>
      <c r="K1179" s="1581"/>
      <c r="L1179" s="1591" t="s">
        <v>112</v>
      </c>
      <c r="M1179" s="1592" t="s">
        <v>4705</v>
      </c>
      <c r="N1179" s="1593" t="s">
        <v>5490</v>
      </c>
      <c r="O1179" s="1594" t="s">
        <v>5491</v>
      </c>
      <c r="P1179" s="1594"/>
      <c r="Q1179" s="1445"/>
      <c r="R1179" s="1445"/>
      <c r="S1179" s="1445"/>
      <c r="T1179" s="1445"/>
      <c r="U1179" s="1445"/>
      <c r="V1179" s="1445"/>
      <c r="W1179" s="1445"/>
      <c r="X1179" s="1486">
        <v>42736</v>
      </c>
      <c r="Y1179" s="1486">
        <v>43101</v>
      </c>
      <c r="Z1179" s="1460"/>
      <c r="AA1179" s="1401" t="s">
        <v>4738</v>
      </c>
      <c r="AB1179" s="1394"/>
      <c r="AC1179" s="1394"/>
      <c r="AD1179" s="1369">
        <f t="shared" si="1621"/>
        <v>0</v>
      </c>
      <c r="AE1179" s="1402">
        <f t="shared" si="1618"/>
        <v>0</v>
      </c>
      <c r="AF1179" s="1448" t="str">
        <f t="shared" si="1619"/>
        <v/>
      </c>
      <c r="AG1179" s="1404"/>
      <c r="AH1179" s="1404">
        <v>0</v>
      </c>
      <c r="AI1179" s="1405">
        <v>0</v>
      </c>
      <c r="AJ1179" s="1406">
        <v>0</v>
      </c>
      <c r="AK1179" s="1406">
        <v>0</v>
      </c>
      <c r="AL1179" s="1384">
        <v>0</v>
      </c>
      <c r="AM1179" s="1363">
        <f t="shared" si="1622"/>
        <v>0</v>
      </c>
      <c r="AN1179" s="1364">
        <v>0</v>
      </c>
      <c r="AO1179" s="1365">
        <f t="shared" si="1623"/>
        <v>0</v>
      </c>
      <c r="AP1179" s="1366">
        <v>0</v>
      </c>
      <c r="AQ1179" s="1367">
        <f t="shared" si="1624"/>
        <v>0</v>
      </c>
      <c r="AR1179" s="1368">
        <v>0</v>
      </c>
      <c r="AS1179" s="1369">
        <f t="shared" si="1625"/>
        <v>0</v>
      </c>
      <c r="AT1179" s="1370">
        <v>0</v>
      </c>
      <c r="AU1179" s="1371">
        <f t="shared" si="1626"/>
        <v>0</v>
      </c>
      <c r="AV1179" s="1359">
        <f t="shared" si="1627"/>
        <v>0</v>
      </c>
      <c r="AW1179" s="1372">
        <f t="shared" si="1628"/>
        <v>0</v>
      </c>
      <c r="AX1179" s="1373">
        <f t="shared" si="1629"/>
        <v>0</v>
      </c>
      <c r="AY1179" s="1374">
        <f t="shared" si="1630"/>
        <v>0</v>
      </c>
      <c r="AZ1179" s="1375">
        <f t="shared" si="1631"/>
        <v>0</v>
      </c>
      <c r="BA1179" s="1376">
        <f t="shared" si="1632"/>
        <v>0</v>
      </c>
      <c r="BB1179" s="1377"/>
      <c r="BC1179" s="1820"/>
      <c r="BD1179" s="1820"/>
      <c r="BE1179" s="1823"/>
      <c r="BF1179" s="1826"/>
      <c r="BG1179" s="1829"/>
    </row>
    <row r="1180" spans="1:59" s="1378" customFormat="1" ht="21.75" customHeight="1">
      <c r="A1180" s="1347" t="str">
        <f>A1179</f>
        <v>GRAIL, Inc.</v>
      </c>
      <c r="B1180" s="1348" t="str">
        <f>B1179</f>
        <v>Duenas</v>
      </c>
      <c r="C1180" s="1348">
        <f>C1179</f>
        <v>220</v>
      </c>
      <c r="D1180" s="1349">
        <v>42491</v>
      </c>
      <c r="E1180" s="1349">
        <f t="shared" si="1620"/>
        <v>43100</v>
      </c>
      <c r="F1180" s="1347" t="s">
        <v>72</v>
      </c>
      <c r="G1180" s="1347" t="s">
        <v>85</v>
      </c>
      <c r="H1180" s="1347" t="s">
        <v>72</v>
      </c>
      <c r="I1180" s="1347" t="s">
        <v>113</v>
      </c>
      <c r="J1180" s="1349"/>
      <c r="K1180" s="1607"/>
      <c r="L1180" s="1612" t="s">
        <v>3056</v>
      </c>
      <c r="M1180" s="1518" t="s">
        <v>4708</v>
      </c>
      <c r="N1180" s="1523" t="s">
        <v>5410</v>
      </c>
      <c r="O1180" s="1388" t="s">
        <v>4710</v>
      </c>
      <c r="P1180" s="1388"/>
      <c r="Q1180" s="1354"/>
      <c r="R1180" s="1354"/>
      <c r="S1180" s="1354"/>
      <c r="T1180" s="1354"/>
      <c r="U1180" s="1354"/>
      <c r="V1180" s="1354"/>
      <c r="W1180" s="1354"/>
      <c r="X1180" s="1502">
        <v>43101</v>
      </c>
      <c r="Y1180" s="1502">
        <v>43466</v>
      </c>
      <c r="Z1180" s="1355"/>
      <c r="AA1180" s="1355" t="s">
        <v>4674</v>
      </c>
      <c r="AB1180" s="1356"/>
      <c r="AC1180" s="1356"/>
      <c r="AD1180" s="1422">
        <f t="shared" si="1621"/>
        <v>0</v>
      </c>
      <c r="AE1180" s="1422">
        <f t="shared" si="1618"/>
        <v>0</v>
      </c>
      <c r="AF1180" s="1423" t="str">
        <f t="shared" si="1619"/>
        <v/>
      </c>
      <c r="AG1180" s="1358"/>
      <c r="AH1180" s="1358">
        <v>0</v>
      </c>
      <c r="AI1180" s="1359">
        <v>0</v>
      </c>
      <c r="AJ1180" s="1360">
        <f>$AI1180*$AG1180</f>
        <v>0</v>
      </c>
      <c r="AK1180" s="1361">
        <f>AI1180*$AH1180</f>
        <v>0</v>
      </c>
      <c r="AL1180" s="1384">
        <v>0</v>
      </c>
      <c r="AM1180" s="1363">
        <f t="shared" si="1622"/>
        <v>0</v>
      </c>
      <c r="AN1180" s="1364">
        <v>0</v>
      </c>
      <c r="AO1180" s="1365">
        <f t="shared" si="1623"/>
        <v>0</v>
      </c>
      <c r="AP1180" s="1366">
        <v>0</v>
      </c>
      <c r="AQ1180" s="1367">
        <f t="shared" si="1624"/>
        <v>0</v>
      </c>
      <c r="AR1180" s="1368">
        <v>0</v>
      </c>
      <c r="AS1180" s="1369">
        <f t="shared" si="1625"/>
        <v>0</v>
      </c>
      <c r="AT1180" s="1370">
        <v>0</v>
      </c>
      <c r="AU1180" s="1371">
        <f t="shared" si="1626"/>
        <v>0</v>
      </c>
      <c r="AV1180" s="1359">
        <f t="shared" si="1627"/>
        <v>0</v>
      </c>
      <c r="AW1180" s="1372">
        <f t="shared" si="1628"/>
        <v>0</v>
      </c>
      <c r="AX1180" s="1373">
        <f t="shared" si="1629"/>
        <v>0</v>
      </c>
      <c r="AY1180" s="1374">
        <f t="shared" si="1630"/>
        <v>0</v>
      </c>
      <c r="AZ1180" s="1375">
        <f t="shared" si="1631"/>
        <v>0</v>
      </c>
      <c r="BA1180" s="1376">
        <f t="shared" si="1632"/>
        <v>0</v>
      </c>
      <c r="BB1180" s="1391"/>
      <c r="BC1180" s="1821"/>
      <c r="BD1180" s="1821"/>
      <c r="BE1180" s="1824"/>
      <c r="BF1180" s="1827"/>
      <c r="BG1180" s="1830"/>
    </row>
  </sheetData>
  <autoFilter ref="A3:BG967" xr:uid="{00000000-0009-0000-0000-000001000000}"/>
  <mergeCells count="453">
    <mergeCell ref="AI2:AK2"/>
    <mergeCell ref="AL2:AM2"/>
    <mergeCell ref="AN2:AO2"/>
    <mergeCell ref="AP2:AQ2"/>
    <mergeCell ref="AR2:AW2"/>
    <mergeCell ref="AX2:AY2"/>
    <mergeCell ref="BG5:BG20"/>
    <mergeCell ref="BC22:BC29"/>
    <mergeCell ref="BD22:BD29"/>
    <mergeCell ref="BE22:BE29"/>
    <mergeCell ref="BF22:BF29"/>
    <mergeCell ref="BG22:BG29"/>
    <mergeCell ref="AZ2:BA2"/>
    <mergeCell ref="BC2:BF2"/>
    <mergeCell ref="BC5:BC20"/>
    <mergeCell ref="BD5:BD20"/>
    <mergeCell ref="BE5:BE20"/>
    <mergeCell ref="BF5:BF20"/>
    <mergeCell ref="BC31:BC44"/>
    <mergeCell ref="BD31:BD44"/>
    <mergeCell ref="BE31:BE44"/>
    <mergeCell ref="BF31:BF44"/>
    <mergeCell ref="BG31:BG44"/>
    <mergeCell ref="BC47:BC57"/>
    <mergeCell ref="BD47:BD57"/>
    <mergeCell ref="BE47:BE57"/>
    <mergeCell ref="BF47:BF57"/>
    <mergeCell ref="BG47:BG57"/>
    <mergeCell ref="BC59:BC70"/>
    <mergeCell ref="BD59:BD70"/>
    <mergeCell ref="BE59:BE70"/>
    <mergeCell ref="BF59:BF70"/>
    <mergeCell ref="BG59:BG70"/>
    <mergeCell ref="BC72:BC77"/>
    <mergeCell ref="BD72:BD77"/>
    <mergeCell ref="BE72:BE77"/>
    <mergeCell ref="BF72:BF77"/>
    <mergeCell ref="BG72:BG77"/>
    <mergeCell ref="BC79:BC84"/>
    <mergeCell ref="BD79:BD84"/>
    <mergeCell ref="BE79:BE84"/>
    <mergeCell ref="BF79:BF84"/>
    <mergeCell ref="BG79:BG84"/>
    <mergeCell ref="BC86:BC98"/>
    <mergeCell ref="BD86:BD98"/>
    <mergeCell ref="BE86:BE98"/>
    <mergeCell ref="BF86:BF98"/>
    <mergeCell ref="BG86:BG98"/>
    <mergeCell ref="BC100:BC104"/>
    <mergeCell ref="BD100:BD104"/>
    <mergeCell ref="BE100:BE104"/>
    <mergeCell ref="BF100:BF104"/>
    <mergeCell ref="BG100:BG104"/>
    <mergeCell ref="BC106:BC120"/>
    <mergeCell ref="BD106:BD120"/>
    <mergeCell ref="BE106:BE120"/>
    <mergeCell ref="BF106:BF120"/>
    <mergeCell ref="BG106:BG120"/>
    <mergeCell ref="BC122:BC136"/>
    <mergeCell ref="BD122:BD136"/>
    <mergeCell ref="BE122:BE136"/>
    <mergeCell ref="BF122:BF136"/>
    <mergeCell ref="BG122:BG136"/>
    <mergeCell ref="BC138:BC143"/>
    <mergeCell ref="BD138:BD143"/>
    <mergeCell ref="BE138:BE143"/>
    <mergeCell ref="BF138:BF143"/>
    <mergeCell ref="BG138:BG143"/>
    <mergeCell ref="BC145:BC153"/>
    <mergeCell ref="BD145:BD153"/>
    <mergeCell ref="BE145:BE153"/>
    <mergeCell ref="BF145:BF153"/>
    <mergeCell ref="BG145:BG153"/>
    <mergeCell ref="BC155:BC166"/>
    <mergeCell ref="BD155:BD166"/>
    <mergeCell ref="BE155:BE166"/>
    <mergeCell ref="BF155:BF166"/>
    <mergeCell ref="BG155:BG166"/>
    <mergeCell ref="BC168:BC179"/>
    <mergeCell ref="BD168:BD179"/>
    <mergeCell ref="BE168:BE179"/>
    <mergeCell ref="BF168:BF179"/>
    <mergeCell ref="BG168:BG179"/>
    <mergeCell ref="BC181:BC195"/>
    <mergeCell ref="BD181:BD195"/>
    <mergeCell ref="BE181:BE195"/>
    <mergeCell ref="BF181:BF195"/>
    <mergeCell ref="BG181:BG195"/>
    <mergeCell ref="BC197:BC206"/>
    <mergeCell ref="BD197:BD206"/>
    <mergeCell ref="BE197:BE206"/>
    <mergeCell ref="BF197:BF206"/>
    <mergeCell ref="BG197:BG206"/>
    <mergeCell ref="BC208:BC224"/>
    <mergeCell ref="BD208:BD224"/>
    <mergeCell ref="BE208:BE224"/>
    <mergeCell ref="BF208:BF224"/>
    <mergeCell ref="BG208:BG224"/>
    <mergeCell ref="BC226:BC238"/>
    <mergeCell ref="BD226:BD238"/>
    <mergeCell ref="BE226:BE238"/>
    <mergeCell ref="BF226:BF238"/>
    <mergeCell ref="BG226:BG238"/>
    <mergeCell ref="BC240:BC247"/>
    <mergeCell ref="BD240:BD247"/>
    <mergeCell ref="BE240:BE247"/>
    <mergeCell ref="BF240:BF247"/>
    <mergeCell ref="BG240:BG247"/>
    <mergeCell ref="BC249:BC261"/>
    <mergeCell ref="BD249:BD261"/>
    <mergeCell ref="BE249:BE261"/>
    <mergeCell ref="BF249:BF261"/>
    <mergeCell ref="BG249:BG261"/>
    <mergeCell ref="BC263:BC275"/>
    <mergeCell ref="BD263:BD275"/>
    <mergeCell ref="BE263:BE275"/>
    <mergeCell ref="BF263:BF275"/>
    <mergeCell ref="BG263:BG275"/>
    <mergeCell ref="BC277:BC290"/>
    <mergeCell ref="BD277:BD290"/>
    <mergeCell ref="BE277:BE290"/>
    <mergeCell ref="BF277:BF290"/>
    <mergeCell ref="BG277:BG290"/>
    <mergeCell ref="BC292:BC301"/>
    <mergeCell ref="BD292:BD301"/>
    <mergeCell ref="BE292:BE301"/>
    <mergeCell ref="BF292:BF301"/>
    <mergeCell ref="BG292:BG301"/>
    <mergeCell ref="BC303:BC316"/>
    <mergeCell ref="BD303:BD316"/>
    <mergeCell ref="BE303:BE316"/>
    <mergeCell ref="BF303:BF316"/>
    <mergeCell ref="BG303:BG316"/>
    <mergeCell ref="BC318:BC328"/>
    <mergeCell ref="BD318:BD328"/>
    <mergeCell ref="BE318:BE328"/>
    <mergeCell ref="BF318:BF328"/>
    <mergeCell ref="BG318:BG328"/>
    <mergeCell ref="BC330:BC342"/>
    <mergeCell ref="BD330:BD342"/>
    <mergeCell ref="BE330:BE342"/>
    <mergeCell ref="BF330:BF342"/>
    <mergeCell ref="BG330:BG342"/>
    <mergeCell ref="BC344:BC351"/>
    <mergeCell ref="BD344:BD351"/>
    <mergeCell ref="BE344:BE351"/>
    <mergeCell ref="BF344:BF351"/>
    <mergeCell ref="BG344:BG351"/>
    <mergeCell ref="BC353:BC362"/>
    <mergeCell ref="BD353:BD362"/>
    <mergeCell ref="BE353:BE362"/>
    <mergeCell ref="BF353:BF362"/>
    <mergeCell ref="BG353:BG362"/>
    <mergeCell ref="BC364:BC375"/>
    <mergeCell ref="BD364:BD375"/>
    <mergeCell ref="BE364:BE375"/>
    <mergeCell ref="BF364:BF375"/>
    <mergeCell ref="BG364:BG375"/>
    <mergeCell ref="BC377:BC391"/>
    <mergeCell ref="BD377:BD391"/>
    <mergeCell ref="BE377:BE391"/>
    <mergeCell ref="BF377:BF391"/>
    <mergeCell ref="BG377:BG391"/>
    <mergeCell ref="BC393:BC404"/>
    <mergeCell ref="BD393:BD404"/>
    <mergeCell ref="BE393:BE404"/>
    <mergeCell ref="BF393:BF404"/>
    <mergeCell ref="BG393:BG404"/>
    <mergeCell ref="BC406:BC421"/>
    <mergeCell ref="BD406:BD421"/>
    <mergeCell ref="BE406:BE421"/>
    <mergeCell ref="BF406:BF421"/>
    <mergeCell ref="BG406:BG421"/>
    <mergeCell ref="BC423:BC434"/>
    <mergeCell ref="BD423:BD434"/>
    <mergeCell ref="BE423:BE434"/>
    <mergeCell ref="BF423:BF434"/>
    <mergeCell ref="BG423:BG434"/>
    <mergeCell ref="BC436:BC444"/>
    <mergeCell ref="BD436:BD444"/>
    <mergeCell ref="BE436:BE444"/>
    <mergeCell ref="BF436:BF444"/>
    <mergeCell ref="BG436:BG444"/>
    <mergeCell ref="BC446:BC454"/>
    <mergeCell ref="BD446:BD454"/>
    <mergeCell ref="BE446:BE454"/>
    <mergeCell ref="BF446:BF454"/>
    <mergeCell ref="BG446:BG454"/>
    <mergeCell ref="BC456:BC473"/>
    <mergeCell ref="BD456:BD473"/>
    <mergeCell ref="BE456:BE473"/>
    <mergeCell ref="BF456:BF473"/>
    <mergeCell ref="BG456:BG473"/>
    <mergeCell ref="BC475:BC481"/>
    <mergeCell ref="BD475:BD481"/>
    <mergeCell ref="BE475:BE481"/>
    <mergeCell ref="BF475:BF481"/>
    <mergeCell ref="BG475:BG481"/>
    <mergeCell ref="BC483:BC493"/>
    <mergeCell ref="BD483:BD493"/>
    <mergeCell ref="BE483:BE493"/>
    <mergeCell ref="BF483:BF493"/>
    <mergeCell ref="BG483:BG493"/>
    <mergeCell ref="BC495:BC509"/>
    <mergeCell ref="BD495:BD509"/>
    <mergeCell ref="BE495:BE509"/>
    <mergeCell ref="BF495:BF509"/>
    <mergeCell ref="BG495:BG509"/>
    <mergeCell ref="BC511:BC521"/>
    <mergeCell ref="BD511:BD521"/>
    <mergeCell ref="BE511:BE521"/>
    <mergeCell ref="BF511:BF521"/>
    <mergeCell ref="BG511:BG521"/>
    <mergeCell ref="BC523:BC528"/>
    <mergeCell ref="BD523:BD528"/>
    <mergeCell ref="BE523:BE528"/>
    <mergeCell ref="BF523:BF528"/>
    <mergeCell ref="BG523:BG528"/>
    <mergeCell ref="BC530:BC540"/>
    <mergeCell ref="BD530:BD540"/>
    <mergeCell ref="BE530:BE540"/>
    <mergeCell ref="BF530:BF540"/>
    <mergeCell ref="BG530:BG540"/>
    <mergeCell ref="BC542:BC552"/>
    <mergeCell ref="BD542:BD552"/>
    <mergeCell ref="BE542:BE552"/>
    <mergeCell ref="BF542:BF552"/>
    <mergeCell ref="BG542:BG552"/>
    <mergeCell ref="BC554:BC566"/>
    <mergeCell ref="BD554:BD566"/>
    <mergeCell ref="BE554:BE566"/>
    <mergeCell ref="BF554:BF566"/>
    <mergeCell ref="BG554:BG566"/>
    <mergeCell ref="BC568:BC580"/>
    <mergeCell ref="BD568:BD580"/>
    <mergeCell ref="BE568:BE580"/>
    <mergeCell ref="BF568:BF580"/>
    <mergeCell ref="BG568:BG580"/>
    <mergeCell ref="BC582:BC592"/>
    <mergeCell ref="BD582:BD592"/>
    <mergeCell ref="BE582:BE592"/>
    <mergeCell ref="BF582:BF592"/>
    <mergeCell ref="BG582:BG592"/>
    <mergeCell ref="BC594:BC606"/>
    <mergeCell ref="BD594:BD606"/>
    <mergeCell ref="BE594:BE606"/>
    <mergeCell ref="BF594:BF606"/>
    <mergeCell ref="BG594:BG606"/>
    <mergeCell ref="BC608:BC617"/>
    <mergeCell ref="BD608:BD617"/>
    <mergeCell ref="BE608:BE617"/>
    <mergeCell ref="BF608:BF617"/>
    <mergeCell ref="BG608:BG617"/>
    <mergeCell ref="BC619:BC624"/>
    <mergeCell ref="BD619:BD624"/>
    <mergeCell ref="BE619:BE624"/>
    <mergeCell ref="BF619:BF624"/>
    <mergeCell ref="BG619:BG624"/>
    <mergeCell ref="BC626:BC632"/>
    <mergeCell ref="BD626:BD632"/>
    <mergeCell ref="BE626:BE632"/>
    <mergeCell ref="BF626:BF632"/>
    <mergeCell ref="BG626:BG632"/>
    <mergeCell ref="BC634:BC644"/>
    <mergeCell ref="BD634:BD644"/>
    <mergeCell ref="BE634:BE644"/>
    <mergeCell ref="BF634:BF644"/>
    <mergeCell ref="BG634:BG644"/>
    <mergeCell ref="BC646:BC656"/>
    <mergeCell ref="BD646:BD656"/>
    <mergeCell ref="BE646:BE656"/>
    <mergeCell ref="BF646:BF656"/>
    <mergeCell ref="BG646:BG656"/>
    <mergeCell ref="BC658:BC670"/>
    <mergeCell ref="BD658:BD670"/>
    <mergeCell ref="BE658:BE670"/>
    <mergeCell ref="BF658:BF670"/>
    <mergeCell ref="BG658:BG670"/>
    <mergeCell ref="BC672:BC687"/>
    <mergeCell ref="BD672:BD687"/>
    <mergeCell ref="BE672:BE687"/>
    <mergeCell ref="BF672:BF687"/>
    <mergeCell ref="BG672:BG687"/>
    <mergeCell ref="BC689:BC700"/>
    <mergeCell ref="BD689:BD700"/>
    <mergeCell ref="BE689:BE700"/>
    <mergeCell ref="BF689:BF700"/>
    <mergeCell ref="BG689:BG700"/>
    <mergeCell ref="BC702:BC711"/>
    <mergeCell ref="BD702:BD711"/>
    <mergeCell ref="BE702:BE711"/>
    <mergeCell ref="BF702:BF711"/>
    <mergeCell ref="BG702:BG711"/>
    <mergeCell ref="BC713:BC719"/>
    <mergeCell ref="BD713:BD719"/>
    <mergeCell ref="BE713:BE719"/>
    <mergeCell ref="BF713:BF719"/>
    <mergeCell ref="BG713:BG719"/>
    <mergeCell ref="BC721:BC729"/>
    <mergeCell ref="BD721:BD729"/>
    <mergeCell ref="BE721:BE729"/>
    <mergeCell ref="BF721:BF729"/>
    <mergeCell ref="BG721:BG729"/>
    <mergeCell ref="BC731:BC746"/>
    <mergeCell ref="BD731:BD746"/>
    <mergeCell ref="BE731:BE746"/>
    <mergeCell ref="BF731:BF746"/>
    <mergeCell ref="BG731:BG746"/>
    <mergeCell ref="BC748:BC754"/>
    <mergeCell ref="BD748:BD754"/>
    <mergeCell ref="BE748:BE754"/>
    <mergeCell ref="BF748:BF754"/>
    <mergeCell ref="BG748:BG754"/>
    <mergeCell ref="BC756:BC770"/>
    <mergeCell ref="BD756:BD770"/>
    <mergeCell ref="BE756:BE770"/>
    <mergeCell ref="BF756:BF770"/>
    <mergeCell ref="BG756:BG770"/>
    <mergeCell ref="BC772:BC787"/>
    <mergeCell ref="BD772:BD787"/>
    <mergeCell ref="BE772:BE787"/>
    <mergeCell ref="BF772:BF787"/>
    <mergeCell ref="BG772:BG787"/>
    <mergeCell ref="BC789:BC799"/>
    <mergeCell ref="BD789:BD799"/>
    <mergeCell ref="BE789:BE799"/>
    <mergeCell ref="BF789:BF799"/>
    <mergeCell ref="BG789:BG799"/>
    <mergeCell ref="BC801:BC806"/>
    <mergeCell ref="BD801:BD806"/>
    <mergeCell ref="BE801:BE806"/>
    <mergeCell ref="BF801:BF806"/>
    <mergeCell ref="BG801:BG806"/>
    <mergeCell ref="BC808:BC821"/>
    <mergeCell ref="BD808:BD821"/>
    <mergeCell ref="BE808:BE821"/>
    <mergeCell ref="BF808:BF821"/>
    <mergeCell ref="BG808:BG821"/>
    <mergeCell ref="BC823:BC834"/>
    <mergeCell ref="BD823:BD834"/>
    <mergeCell ref="BE823:BE834"/>
    <mergeCell ref="BF823:BF834"/>
    <mergeCell ref="BG823:BG834"/>
    <mergeCell ref="BC836:BC848"/>
    <mergeCell ref="BD836:BD848"/>
    <mergeCell ref="BE836:BE848"/>
    <mergeCell ref="BF836:BF848"/>
    <mergeCell ref="BG836:BG848"/>
    <mergeCell ref="BC850:BC855"/>
    <mergeCell ref="BD850:BD855"/>
    <mergeCell ref="BE850:BE855"/>
    <mergeCell ref="BF850:BF855"/>
    <mergeCell ref="BG850:BG855"/>
    <mergeCell ref="BC857:BC866"/>
    <mergeCell ref="BD857:BD866"/>
    <mergeCell ref="BE857:BE866"/>
    <mergeCell ref="BF857:BF866"/>
    <mergeCell ref="BG857:BG866"/>
    <mergeCell ref="BC868:BC874"/>
    <mergeCell ref="BD868:BD874"/>
    <mergeCell ref="BE868:BE874"/>
    <mergeCell ref="BF868:BF874"/>
    <mergeCell ref="BG868:BG874"/>
    <mergeCell ref="BC876:BC886"/>
    <mergeCell ref="BD876:BD886"/>
    <mergeCell ref="BE876:BE886"/>
    <mergeCell ref="BF876:BF886"/>
    <mergeCell ref="BG876:BG886"/>
    <mergeCell ref="BC888:BC904"/>
    <mergeCell ref="BD888:BD904"/>
    <mergeCell ref="BE888:BE904"/>
    <mergeCell ref="BF888:BF904"/>
    <mergeCell ref="BG888:BG904"/>
    <mergeCell ref="BC906:BC919"/>
    <mergeCell ref="BD906:BD919"/>
    <mergeCell ref="BE906:BE919"/>
    <mergeCell ref="BF906:BF919"/>
    <mergeCell ref="BG906:BG919"/>
    <mergeCell ref="BC921:BC929"/>
    <mergeCell ref="BD921:BD929"/>
    <mergeCell ref="BE921:BE929"/>
    <mergeCell ref="BF921:BF929"/>
    <mergeCell ref="BG921:BG929"/>
    <mergeCell ref="BC931:BC943"/>
    <mergeCell ref="BD931:BD943"/>
    <mergeCell ref="BE931:BE943"/>
    <mergeCell ref="BF931:BF943"/>
    <mergeCell ref="BG931:BG943"/>
    <mergeCell ref="BC945:BC949"/>
    <mergeCell ref="BD945:BD949"/>
    <mergeCell ref="BE945:BE949"/>
    <mergeCell ref="BF945:BF949"/>
    <mergeCell ref="BG945:BG949"/>
    <mergeCell ref="BC951:BC966"/>
    <mergeCell ref="BD951:BD966"/>
    <mergeCell ref="BE951:BE966"/>
    <mergeCell ref="BF951:BF966"/>
    <mergeCell ref="BG951:BG966"/>
    <mergeCell ref="BC970:BC988"/>
    <mergeCell ref="BD970:BD988"/>
    <mergeCell ref="BE970:BE988"/>
    <mergeCell ref="BF970:BF988"/>
    <mergeCell ref="BG970:BG988"/>
    <mergeCell ref="BC991:BC1010"/>
    <mergeCell ref="BD991:BD1010"/>
    <mergeCell ref="BE991:BE1010"/>
    <mergeCell ref="BF991:BF1010"/>
    <mergeCell ref="BG991:BG1010"/>
    <mergeCell ref="BC1013:BC1032"/>
    <mergeCell ref="BD1013:BD1032"/>
    <mergeCell ref="BE1013:BE1032"/>
    <mergeCell ref="BF1013:BF1032"/>
    <mergeCell ref="BG1013:BG1032"/>
    <mergeCell ref="BC1035:BC1054"/>
    <mergeCell ref="BD1035:BD1054"/>
    <mergeCell ref="BE1035:BE1054"/>
    <mergeCell ref="BF1035:BF1054"/>
    <mergeCell ref="BG1035:BG1054"/>
    <mergeCell ref="BC1057:BC1076"/>
    <mergeCell ref="BD1057:BD1076"/>
    <mergeCell ref="BE1057:BE1076"/>
    <mergeCell ref="BF1057:BF1076"/>
    <mergeCell ref="BG1057:BG1076"/>
    <mergeCell ref="BC1079:BC1098"/>
    <mergeCell ref="BD1079:BD1098"/>
    <mergeCell ref="BE1079:BE1098"/>
    <mergeCell ref="BF1079:BF1098"/>
    <mergeCell ref="BG1079:BG1098"/>
    <mergeCell ref="BC1102:BC1116"/>
    <mergeCell ref="BD1102:BD1116"/>
    <mergeCell ref="BE1102:BE1116"/>
    <mergeCell ref="BF1102:BF1116"/>
    <mergeCell ref="BG1102:BG1116"/>
    <mergeCell ref="BC1119:BC1133"/>
    <mergeCell ref="BD1119:BD1133"/>
    <mergeCell ref="BE1119:BE1133"/>
    <mergeCell ref="BF1119:BF1133"/>
    <mergeCell ref="BG1119:BG1133"/>
    <mergeCell ref="BC1165:BC1180"/>
    <mergeCell ref="BD1165:BD1180"/>
    <mergeCell ref="BE1165:BE1180"/>
    <mergeCell ref="BF1165:BF1180"/>
    <mergeCell ref="BG1165:BG1180"/>
    <mergeCell ref="BC1138:BC1148"/>
    <mergeCell ref="BD1138:BD1148"/>
    <mergeCell ref="BE1138:BE1148"/>
    <mergeCell ref="BF1138:BF1148"/>
    <mergeCell ref="BG1138:BG1148"/>
    <mergeCell ref="BC1151:BC1162"/>
    <mergeCell ref="BD1151:BD1162"/>
    <mergeCell ref="BE1151:BE1162"/>
    <mergeCell ref="BF1151:BF1162"/>
    <mergeCell ref="BG1151:BG1162"/>
  </mergeCells>
  <phoneticPr fontId="88" type="noConversion"/>
  <conditionalFormatting sqref="AF2 AF1055 AF1077 AF229:AF233 AF608:AF613 AF529:AF534 AF593 AF302 AF181:AF187 AF193 AF204 AF510:AF517 AF79 AF4:AF12 AF21:AF25 AF730 AF771:AF779 AF788:AF794 AF822:AF830 AF849:AF851 AF30 AF99:AF100 AF196:AF200 AF225 AF317:AF319 AF329:AF336 AF422:AF425 AF522:AF524 AF618:AF620 AF645:AF652 AF582:AF588 AF428 AF432 AF713 AF884 AF71:AF72 AF292:AF294 AF299 AF85:AF93 AF596:AF600 AF146:AF148 AF1033 AF1011 AF1099:AF1100 AF1149 AF968 AF1163:AF1176 AF538 AF784:AF785 AF933:AF936 AF17:AF18 AF27 AF42:AF43 AF74:AF75 AF1130:AF1131 AF95:AF96 AF102 AF235:AF236 AF262 AF313:AF314 AF325:AF326 AF340 AF1178 AF519 AF526 AF590 AF615 AF654 AF667:AF668 AF743:AF744 AF796:AF797 AF832 AF853 AF1181:AF1048576 AF156:AF159 AF240:AF243 AF245 AF277:AF282 AF858:AF862 AF657 AF740 AF40 AF750 AF602:AF604 AF377:AF383 AF447:AF449 AF635:AF640 AF437:AF440 AF33:AF38 AF266:AF273 AF264 AF306:AF311 AF304 AF661:AF665 AF659 AF734:AF738 AF732 AF907 AF1134:AF1136 AF1118:AF1128 AF354:AF358">
    <cfRule type="cellIs" dxfId="1677" priority="1527" operator="greaterThan">
      <formula>0</formula>
    </cfRule>
    <cfRule type="cellIs" dxfId="1676" priority="1528" operator="lessThan">
      <formula>0</formula>
    </cfRule>
  </conditionalFormatting>
  <conditionalFormatting sqref="AF227">
    <cfRule type="cellIs" dxfId="1675" priority="1525" operator="greaterThan">
      <formula>0</formula>
    </cfRule>
    <cfRule type="cellIs" dxfId="1674" priority="1526" operator="lessThan">
      <formula>0</formula>
    </cfRule>
  </conditionalFormatting>
  <conditionalFormatting sqref="AF363:AF364 AF371 AF366:AF367 AF373">
    <cfRule type="cellIs" dxfId="1673" priority="1523" operator="greaterThan">
      <formula>0</formula>
    </cfRule>
    <cfRule type="cellIs" dxfId="1672" priority="1524" operator="lessThan">
      <formula>0</formula>
    </cfRule>
  </conditionalFormatting>
  <conditionalFormatting sqref="AF368:AF370">
    <cfRule type="cellIs" dxfId="1671" priority="1521" operator="greaterThan">
      <formula>0</formula>
    </cfRule>
    <cfRule type="cellIs" dxfId="1670" priority="1522" operator="lessThan">
      <formula>0</formula>
    </cfRule>
  </conditionalFormatting>
  <conditionalFormatting sqref="AF365">
    <cfRule type="cellIs" dxfId="1669" priority="1519" operator="greaterThan">
      <formula>0</formula>
    </cfRule>
    <cfRule type="cellIs" dxfId="1668" priority="1520" operator="lessThan">
      <formula>0</formula>
    </cfRule>
  </conditionalFormatting>
  <conditionalFormatting sqref="AF1014 AF1028 AF1030 AF1023 AF1016:AF1020">
    <cfRule type="cellIs" dxfId="1667" priority="1517" operator="greaterThan">
      <formula>0</formula>
    </cfRule>
    <cfRule type="cellIs" dxfId="1666" priority="1518" operator="lessThan">
      <formula>0</formula>
    </cfRule>
  </conditionalFormatting>
  <conditionalFormatting sqref="AF1058">
    <cfRule type="cellIs" dxfId="1665" priority="1511" operator="greaterThan">
      <formula>0</formula>
    </cfRule>
    <cfRule type="cellIs" dxfId="1664" priority="1512" operator="lessThan">
      <formula>0</formula>
    </cfRule>
  </conditionalFormatting>
  <conditionalFormatting sqref="AF1036 AF1050 AF1045 AF1052 AF1038:AF1042">
    <cfRule type="cellIs" dxfId="1663" priority="1515" operator="greaterThan">
      <formula>0</formula>
    </cfRule>
    <cfRule type="cellIs" dxfId="1662" priority="1516" operator="lessThan">
      <formula>0</formula>
    </cfRule>
  </conditionalFormatting>
  <conditionalFormatting sqref="AF1086">
    <cfRule type="cellIs" dxfId="1661" priority="1503" operator="greaterThan">
      <formula>0</formula>
    </cfRule>
    <cfRule type="cellIs" dxfId="1660" priority="1504" operator="lessThan">
      <formula>0</formula>
    </cfRule>
  </conditionalFormatting>
  <conditionalFormatting sqref="AF1012">
    <cfRule type="cellIs" dxfId="1659" priority="1495" operator="greaterThan">
      <formula>0</formula>
    </cfRule>
    <cfRule type="cellIs" dxfId="1658" priority="1496" operator="lessThan">
      <formula>0</formula>
    </cfRule>
  </conditionalFormatting>
  <conditionalFormatting sqref="AF1060:AF1063 AF1067 AF1072 AF1074">
    <cfRule type="cellIs" dxfId="1657" priority="1513" operator="greaterThan">
      <formula>0</formula>
    </cfRule>
    <cfRule type="cellIs" dxfId="1656" priority="1514" operator="lessThan">
      <formula>0</formula>
    </cfRule>
  </conditionalFormatting>
  <conditionalFormatting sqref="AF1064">
    <cfRule type="cellIs" dxfId="1655" priority="1509" operator="greaterThan">
      <formula>0</formula>
    </cfRule>
    <cfRule type="cellIs" dxfId="1654" priority="1510" operator="lessThan">
      <formula>0</formula>
    </cfRule>
  </conditionalFormatting>
  <conditionalFormatting sqref="AF1080">
    <cfRule type="cellIs" dxfId="1653" priority="1505" operator="greaterThan">
      <formula>0</formula>
    </cfRule>
    <cfRule type="cellIs" dxfId="1652" priority="1506" operator="lessThan">
      <formula>0</formula>
    </cfRule>
  </conditionalFormatting>
  <conditionalFormatting sqref="AF1082:AF1085 AF1089 AF1094 AF1096">
    <cfRule type="cellIs" dxfId="1651" priority="1507" operator="greaterThan">
      <formula>0</formula>
    </cfRule>
    <cfRule type="cellIs" dxfId="1650" priority="1508" operator="lessThan">
      <formula>0</formula>
    </cfRule>
  </conditionalFormatting>
  <conditionalFormatting sqref="AF1034">
    <cfRule type="cellIs" dxfId="1649" priority="1501" operator="greaterThan">
      <formula>0</formula>
    </cfRule>
    <cfRule type="cellIs" dxfId="1648" priority="1502" operator="lessThan">
      <formula>0</formula>
    </cfRule>
  </conditionalFormatting>
  <conditionalFormatting sqref="AF1056">
    <cfRule type="cellIs" dxfId="1647" priority="1499" operator="greaterThan">
      <formula>0</formula>
    </cfRule>
    <cfRule type="cellIs" dxfId="1646" priority="1500" operator="lessThan">
      <formula>0</formula>
    </cfRule>
  </conditionalFormatting>
  <conditionalFormatting sqref="AF1078">
    <cfRule type="cellIs" dxfId="1645" priority="1497" operator="greaterThan">
      <formula>0</formula>
    </cfRule>
    <cfRule type="cellIs" dxfId="1644" priority="1498" operator="lessThan">
      <formula>0</formula>
    </cfRule>
  </conditionalFormatting>
  <conditionalFormatting sqref="AF607">
    <cfRule type="cellIs" dxfId="1643" priority="1491" operator="greaterThan">
      <formula>0</formula>
    </cfRule>
    <cfRule type="cellIs" dxfId="1642" priority="1492" operator="lessThan">
      <formula>0</formula>
    </cfRule>
  </conditionalFormatting>
  <conditionalFormatting sqref="AF78">
    <cfRule type="cellIs" dxfId="1641" priority="1493" operator="greaterThan">
      <formula>0</formula>
    </cfRule>
    <cfRule type="cellIs" dxfId="1640" priority="1494" operator="lessThan">
      <formula>0</formula>
    </cfRule>
  </conditionalFormatting>
  <conditionalFormatting sqref="AF239">
    <cfRule type="cellIs" dxfId="1639" priority="1489" operator="greaterThan">
      <formula>0</formula>
    </cfRule>
    <cfRule type="cellIs" dxfId="1638" priority="1490" operator="lessThan">
      <formula>0</formula>
    </cfRule>
  </conditionalFormatting>
  <conditionalFormatting sqref="AF1024:AF1026">
    <cfRule type="cellIs" dxfId="1637" priority="1487" operator="greaterThan">
      <formula>0</formula>
    </cfRule>
    <cfRule type="cellIs" dxfId="1636" priority="1488" operator="lessThan">
      <formula>0</formula>
    </cfRule>
  </conditionalFormatting>
  <conditionalFormatting sqref="AF1046:AF1048">
    <cfRule type="cellIs" dxfId="1635" priority="1485" operator="greaterThan">
      <formula>0</formula>
    </cfRule>
    <cfRule type="cellIs" dxfId="1634" priority="1486" operator="lessThan">
      <formula>0</formula>
    </cfRule>
  </conditionalFormatting>
  <conditionalFormatting sqref="AF1068:AF1070">
    <cfRule type="cellIs" dxfId="1633" priority="1483" operator="greaterThan">
      <formula>0</formula>
    </cfRule>
    <cfRule type="cellIs" dxfId="1632" priority="1484" operator="lessThan">
      <formula>0</formula>
    </cfRule>
  </conditionalFormatting>
  <conditionalFormatting sqref="AF1090:AF1092">
    <cfRule type="cellIs" dxfId="1631" priority="1481" operator="greaterThan">
      <formula>0</formula>
    </cfRule>
    <cfRule type="cellIs" dxfId="1630" priority="1482" operator="lessThan">
      <formula>0</formula>
    </cfRule>
  </conditionalFormatting>
  <conditionalFormatting sqref="AF201:AF202">
    <cfRule type="cellIs" dxfId="1629" priority="1479" operator="greaterThan">
      <formula>0</formula>
    </cfRule>
    <cfRule type="cellIs" dxfId="1628" priority="1480" operator="lessThan">
      <formula>0</formula>
    </cfRule>
  </conditionalFormatting>
  <conditionalFormatting sqref="AF106:AF113 AF117:AF118">
    <cfRule type="cellIs" dxfId="1627" priority="1477" operator="greaterThan">
      <formula>0</formula>
    </cfRule>
    <cfRule type="cellIs" dxfId="1626" priority="1478" operator="lessThan">
      <formula>0</formula>
    </cfRule>
  </conditionalFormatting>
  <conditionalFormatting sqref="AF105">
    <cfRule type="cellIs" dxfId="1625" priority="1475" operator="greaterThan">
      <formula>0</formula>
    </cfRule>
    <cfRule type="cellIs" dxfId="1624" priority="1476" operator="lessThan">
      <formula>0</formula>
    </cfRule>
  </conditionalFormatting>
  <conditionalFormatting sqref="AF249:AF256 AF261 AF258:AF259">
    <cfRule type="cellIs" dxfId="1623" priority="1469" operator="greaterThan">
      <formula>0</formula>
    </cfRule>
    <cfRule type="cellIs" dxfId="1622" priority="1470" operator="lessThan">
      <formula>0</formula>
    </cfRule>
  </conditionalFormatting>
  <conditionalFormatting sqref="AF180">
    <cfRule type="cellIs" dxfId="1621" priority="1473" operator="greaterThan">
      <formula>0</formula>
    </cfRule>
    <cfRule type="cellIs" dxfId="1620" priority="1474" operator="lessThan">
      <formula>0</formula>
    </cfRule>
  </conditionalFormatting>
  <conditionalFormatting sqref="AF188:AF190">
    <cfRule type="cellIs" dxfId="1619" priority="1471" operator="greaterThan">
      <formula>0</formula>
    </cfRule>
    <cfRule type="cellIs" dxfId="1618" priority="1472" operator="lessThan">
      <formula>0</formula>
    </cfRule>
  </conditionalFormatting>
  <conditionalFormatting sqref="AF248">
    <cfRule type="cellIs" dxfId="1617" priority="1467" operator="greaterThan">
      <formula>0</formula>
    </cfRule>
    <cfRule type="cellIs" dxfId="1616" priority="1468" operator="lessThan">
      <formula>0</formula>
    </cfRule>
  </conditionalFormatting>
  <conditionalFormatting sqref="AF151">
    <cfRule type="cellIs" dxfId="1615" priority="1465" operator="greaterThan">
      <formula>0</formula>
    </cfRule>
    <cfRule type="cellIs" dxfId="1614" priority="1466" operator="lessThan">
      <formula>0</formula>
    </cfRule>
  </conditionalFormatting>
  <conditionalFormatting sqref="AF150">
    <cfRule type="cellIs" dxfId="1613" priority="1463" operator="greaterThan">
      <formula>0</formula>
    </cfRule>
    <cfRule type="cellIs" dxfId="1612" priority="1464" operator="lessThan">
      <formula>0</formula>
    </cfRule>
  </conditionalFormatting>
  <conditionalFormatting sqref="AF568:AF575 AF577:AF578">
    <cfRule type="cellIs" dxfId="1611" priority="1459" operator="greaterThan">
      <formula>0</formula>
    </cfRule>
    <cfRule type="cellIs" dxfId="1610" priority="1460" operator="lessThan">
      <formula>0</formula>
    </cfRule>
  </conditionalFormatting>
  <conditionalFormatting sqref="AF144">
    <cfRule type="cellIs" dxfId="1609" priority="1461" operator="greaterThan">
      <formula>0</formula>
    </cfRule>
    <cfRule type="cellIs" dxfId="1608" priority="1462" operator="lessThan">
      <formula>0</formula>
    </cfRule>
  </conditionalFormatting>
  <conditionalFormatting sqref="AF388:AF389">
    <cfRule type="cellIs" dxfId="1607" priority="1455" operator="greaterThan">
      <formula>0</formula>
    </cfRule>
    <cfRule type="cellIs" dxfId="1606" priority="1456" operator="lessThan">
      <formula>0</formula>
    </cfRule>
  </conditionalFormatting>
  <conditionalFormatting sqref="AF567">
    <cfRule type="cellIs" dxfId="1605" priority="1457" operator="greaterThan">
      <formula>0</formula>
    </cfRule>
    <cfRule type="cellIs" dxfId="1604" priority="1458" operator="lessThan">
      <formula>0</formula>
    </cfRule>
  </conditionalFormatting>
  <conditionalFormatting sqref="AF376">
    <cfRule type="cellIs" dxfId="1603" priority="1453" operator="greaterThan">
      <formula>0</formula>
    </cfRule>
    <cfRule type="cellIs" dxfId="1602" priority="1454" operator="lessThan">
      <formula>0</formula>
    </cfRule>
  </conditionalFormatting>
  <conditionalFormatting sqref="AF384:AF386">
    <cfRule type="cellIs" dxfId="1601" priority="1451" operator="greaterThan">
      <formula>0</formula>
    </cfRule>
    <cfRule type="cellIs" dxfId="1600" priority="1452" operator="lessThan">
      <formula>0</formula>
    </cfRule>
  </conditionalFormatting>
  <conditionalFormatting sqref="AF287:AF288">
    <cfRule type="cellIs" dxfId="1599" priority="1447" operator="greaterThan">
      <formula>0</formula>
    </cfRule>
    <cfRule type="cellIs" dxfId="1598" priority="1448" operator="lessThan">
      <formula>0</formula>
    </cfRule>
  </conditionalFormatting>
  <conditionalFormatting sqref="AF581">
    <cfRule type="cellIs" dxfId="1597" priority="1449" operator="greaterThan">
      <formula>0</formula>
    </cfRule>
    <cfRule type="cellIs" dxfId="1596" priority="1450" operator="lessThan">
      <formula>0</formula>
    </cfRule>
  </conditionalFormatting>
  <conditionalFormatting sqref="AF276">
    <cfRule type="cellIs" dxfId="1595" priority="1445" operator="greaterThan">
      <formula>0</formula>
    </cfRule>
    <cfRule type="cellIs" dxfId="1594" priority="1446" operator="lessThan">
      <formula>0</formula>
    </cfRule>
  </conditionalFormatting>
  <conditionalFormatting sqref="AF283:AF285">
    <cfRule type="cellIs" dxfId="1593" priority="1443" operator="greaterThan">
      <formula>0</formula>
    </cfRule>
    <cfRule type="cellIs" dxfId="1592" priority="1444" operator="lessThan">
      <formula>0</formula>
    </cfRule>
  </conditionalFormatting>
  <conditionalFormatting sqref="AF451:AF452">
    <cfRule type="cellIs" dxfId="1591" priority="1441" operator="greaterThan">
      <formula>0</formula>
    </cfRule>
    <cfRule type="cellIs" dxfId="1590" priority="1442" operator="lessThan">
      <formula>0</formula>
    </cfRule>
  </conditionalFormatting>
  <conditionalFormatting sqref="AF445">
    <cfRule type="cellIs" dxfId="1589" priority="1439" operator="greaterThan">
      <formula>0</formula>
    </cfRule>
    <cfRule type="cellIs" dxfId="1588" priority="1440" operator="lessThan">
      <formula>0</formula>
    </cfRule>
  </conditionalFormatting>
  <conditionalFormatting sqref="AF494">
    <cfRule type="cellIs" dxfId="1587" priority="1431" operator="greaterThan">
      <formula>0</formula>
    </cfRule>
    <cfRule type="cellIs" dxfId="1586" priority="1432" operator="lessThan">
      <formula>0</formula>
    </cfRule>
  </conditionalFormatting>
  <conditionalFormatting sqref="AF506:AF507 AF495:AF502">
    <cfRule type="cellIs" dxfId="1585" priority="1433" operator="greaterThan">
      <formula>0</formula>
    </cfRule>
    <cfRule type="cellIs" dxfId="1584" priority="1434" operator="lessThan">
      <formula>0</formula>
    </cfRule>
  </conditionalFormatting>
  <conditionalFormatting sqref="AF295:AF297">
    <cfRule type="cellIs" dxfId="1583" priority="1435" operator="greaterThan">
      <formula>0</formula>
    </cfRule>
    <cfRule type="cellIs" dxfId="1582" priority="1436" operator="lessThan">
      <formula>0</formula>
    </cfRule>
  </conditionalFormatting>
  <conditionalFormatting sqref="AF291">
    <cfRule type="cellIs" dxfId="1581" priority="1437" operator="greaterThan">
      <formula>0</formula>
    </cfRule>
    <cfRule type="cellIs" dxfId="1580" priority="1438" operator="lessThan">
      <formula>0</formula>
    </cfRule>
  </conditionalFormatting>
  <conditionalFormatting sqref="AF1031">
    <cfRule type="cellIs" dxfId="1579" priority="1417" operator="greaterThan">
      <formula>0</formula>
    </cfRule>
    <cfRule type="cellIs" dxfId="1578" priority="1418" operator="lessThan">
      <formula>0</formula>
    </cfRule>
  </conditionalFormatting>
  <conditionalFormatting sqref="AF1076">
    <cfRule type="cellIs" dxfId="1577" priority="1415" operator="greaterThan">
      <formula>0</formula>
    </cfRule>
    <cfRule type="cellIs" dxfId="1576" priority="1416" operator="lessThan">
      <formula>0</formula>
    </cfRule>
  </conditionalFormatting>
  <conditionalFormatting sqref="AF1075">
    <cfRule type="cellIs" dxfId="1575" priority="1413" operator="greaterThan">
      <formula>0</formula>
    </cfRule>
    <cfRule type="cellIs" dxfId="1574" priority="1414" operator="lessThan">
      <formula>0</formula>
    </cfRule>
  </conditionalFormatting>
  <conditionalFormatting sqref="AF503:AF504">
    <cfRule type="cellIs" dxfId="1573" priority="1429" operator="greaterThan">
      <formula>0</formula>
    </cfRule>
    <cfRule type="cellIs" dxfId="1572" priority="1430" operator="lessThan">
      <formula>0</formula>
    </cfRule>
  </conditionalFormatting>
  <conditionalFormatting sqref="AF741">
    <cfRule type="cellIs" dxfId="1571" priority="1427" operator="greaterThan">
      <formula>0</formula>
    </cfRule>
    <cfRule type="cellIs" dxfId="1570" priority="1428" operator="lessThan">
      <formula>0</formula>
    </cfRule>
  </conditionalFormatting>
  <conditionalFormatting sqref="AF260">
    <cfRule type="cellIs" dxfId="1569" priority="1425" operator="greaterThan">
      <formula>0</formula>
    </cfRule>
    <cfRule type="cellIs" dxfId="1568" priority="1426" operator="lessThan">
      <formula>0</formula>
    </cfRule>
  </conditionalFormatting>
  <conditionalFormatting sqref="AF1054">
    <cfRule type="cellIs" dxfId="1567" priority="1423" operator="greaterThan">
      <formula>0</formula>
    </cfRule>
    <cfRule type="cellIs" dxfId="1566" priority="1424" operator="lessThan">
      <formula>0</formula>
    </cfRule>
  </conditionalFormatting>
  <conditionalFormatting sqref="AF1053">
    <cfRule type="cellIs" dxfId="1565" priority="1421" operator="greaterThan">
      <formula>0</formula>
    </cfRule>
    <cfRule type="cellIs" dxfId="1564" priority="1422" operator="lessThan">
      <formula>0</formula>
    </cfRule>
  </conditionalFormatting>
  <conditionalFormatting sqref="AF1032">
    <cfRule type="cellIs" dxfId="1563" priority="1419" operator="greaterThan">
      <formula>0</formula>
    </cfRule>
    <cfRule type="cellIs" dxfId="1562" priority="1420" operator="lessThan">
      <formula>0</formula>
    </cfRule>
  </conditionalFormatting>
  <conditionalFormatting sqref="AF1098">
    <cfRule type="cellIs" dxfId="1561" priority="1411" operator="greaterThan">
      <formula>0</formula>
    </cfRule>
    <cfRule type="cellIs" dxfId="1560" priority="1412" operator="lessThan">
      <formula>0</formula>
    </cfRule>
  </conditionalFormatting>
  <conditionalFormatting sqref="AF1097">
    <cfRule type="cellIs" dxfId="1559" priority="1409" operator="greaterThan">
      <formula>0</formula>
    </cfRule>
    <cfRule type="cellIs" dxfId="1558" priority="1410" operator="lessThan">
      <formula>0</formula>
    </cfRule>
  </conditionalFormatting>
  <conditionalFormatting sqref="AF19">
    <cfRule type="cellIs" dxfId="1557" priority="1407" operator="greaterThan">
      <formula>0</formula>
    </cfRule>
    <cfRule type="cellIs" dxfId="1556" priority="1408" operator="lessThan">
      <formula>0</formula>
    </cfRule>
  </conditionalFormatting>
  <conditionalFormatting sqref="AF20">
    <cfRule type="cellIs" dxfId="1555" priority="1405" operator="greaterThan">
      <formula>0</formula>
    </cfRule>
    <cfRule type="cellIs" dxfId="1554" priority="1406" operator="lessThan">
      <formula>0</formula>
    </cfRule>
  </conditionalFormatting>
  <conditionalFormatting sqref="AF655">
    <cfRule type="cellIs" dxfId="1553" priority="1403" operator="greaterThan">
      <formula>0</formula>
    </cfRule>
    <cfRule type="cellIs" dxfId="1552" priority="1404" operator="lessThan">
      <formula>0</formula>
    </cfRule>
  </conditionalFormatting>
  <conditionalFormatting sqref="AF669">
    <cfRule type="cellIs" dxfId="1551" priority="1401" operator="greaterThan">
      <formula>0</formula>
    </cfRule>
    <cfRule type="cellIs" dxfId="1550" priority="1402" operator="lessThan">
      <formula>0</formula>
    </cfRule>
  </conditionalFormatting>
  <conditionalFormatting sqref="AF745">
    <cfRule type="cellIs" dxfId="1549" priority="1399" operator="greaterThan">
      <formula>0</formula>
    </cfRule>
    <cfRule type="cellIs" dxfId="1548" priority="1400" operator="lessThan">
      <formula>0</formula>
    </cfRule>
  </conditionalFormatting>
  <conditionalFormatting sqref="AF786">
    <cfRule type="cellIs" dxfId="1547" priority="1397" operator="greaterThan">
      <formula>0</formula>
    </cfRule>
    <cfRule type="cellIs" dxfId="1546" priority="1398" operator="lessThan">
      <formula>0</formula>
    </cfRule>
  </conditionalFormatting>
  <conditionalFormatting sqref="AF833">
    <cfRule type="cellIs" dxfId="1545" priority="1395" operator="greaterThan">
      <formula>0</formula>
    </cfRule>
    <cfRule type="cellIs" dxfId="1544" priority="1396" operator="lessThan">
      <formula>0</formula>
    </cfRule>
  </conditionalFormatting>
  <conditionalFormatting sqref="AF854">
    <cfRule type="cellIs" dxfId="1543" priority="1393" operator="greaterThan">
      <formula>0</formula>
    </cfRule>
    <cfRule type="cellIs" dxfId="1542" priority="1394" operator="lessThan">
      <formula>0</formula>
    </cfRule>
  </conditionalFormatting>
  <conditionalFormatting sqref="AF28">
    <cfRule type="cellIs" dxfId="1541" priority="1391" operator="greaterThan">
      <formula>0</formula>
    </cfRule>
    <cfRule type="cellIs" dxfId="1540" priority="1392" operator="lessThan">
      <formula>0</formula>
    </cfRule>
  </conditionalFormatting>
  <conditionalFormatting sqref="AF44">
    <cfRule type="cellIs" dxfId="1539" priority="1389" operator="greaterThan">
      <formula>0</formula>
    </cfRule>
    <cfRule type="cellIs" dxfId="1538" priority="1390" operator="lessThan">
      <formula>0</formula>
    </cfRule>
  </conditionalFormatting>
  <conditionalFormatting sqref="AF76">
    <cfRule type="cellIs" dxfId="1537" priority="1387" operator="greaterThan">
      <formula>0</formula>
    </cfRule>
    <cfRule type="cellIs" dxfId="1536" priority="1388" operator="lessThan">
      <formula>0</formula>
    </cfRule>
  </conditionalFormatting>
  <conditionalFormatting sqref="AF1132">
    <cfRule type="cellIs" dxfId="1535" priority="1385" operator="greaterThan">
      <formula>0</formula>
    </cfRule>
    <cfRule type="cellIs" dxfId="1534" priority="1386" operator="lessThan">
      <formula>0</formula>
    </cfRule>
  </conditionalFormatting>
  <conditionalFormatting sqref="AF83">
    <cfRule type="cellIs" dxfId="1533" priority="1383" operator="greaterThan">
      <formula>0</formula>
    </cfRule>
    <cfRule type="cellIs" dxfId="1532" priority="1384" operator="lessThan">
      <formula>0</formula>
    </cfRule>
  </conditionalFormatting>
  <conditionalFormatting sqref="AF97">
    <cfRule type="cellIs" dxfId="1531" priority="1381" operator="greaterThan">
      <formula>0</formula>
    </cfRule>
    <cfRule type="cellIs" dxfId="1530" priority="1382" operator="lessThan">
      <formula>0</formula>
    </cfRule>
  </conditionalFormatting>
  <conditionalFormatting sqref="AF103">
    <cfRule type="cellIs" dxfId="1529" priority="1379" operator="greaterThan">
      <formula>0</formula>
    </cfRule>
    <cfRule type="cellIs" dxfId="1528" priority="1380" operator="lessThan">
      <formula>0</formula>
    </cfRule>
  </conditionalFormatting>
  <conditionalFormatting sqref="AF119">
    <cfRule type="cellIs" dxfId="1527" priority="1377" operator="greaterThan">
      <formula>0</formula>
    </cfRule>
    <cfRule type="cellIs" dxfId="1526" priority="1378" operator="lessThan">
      <formula>0</formula>
    </cfRule>
  </conditionalFormatting>
  <conditionalFormatting sqref="AF152">
    <cfRule type="cellIs" dxfId="1525" priority="1375" operator="greaterThan">
      <formula>0</formula>
    </cfRule>
    <cfRule type="cellIs" dxfId="1524" priority="1376" operator="lessThan">
      <formula>0</formula>
    </cfRule>
  </conditionalFormatting>
  <conditionalFormatting sqref="AF194">
    <cfRule type="cellIs" dxfId="1523" priority="1373" operator="greaterThan">
      <formula>0</formula>
    </cfRule>
    <cfRule type="cellIs" dxfId="1522" priority="1374" operator="lessThan">
      <formula>0</formula>
    </cfRule>
  </conditionalFormatting>
  <conditionalFormatting sqref="AF205">
    <cfRule type="cellIs" dxfId="1521" priority="1371" operator="greaterThan">
      <formula>0</formula>
    </cfRule>
    <cfRule type="cellIs" dxfId="1520" priority="1372" operator="lessThan">
      <formula>0</formula>
    </cfRule>
  </conditionalFormatting>
  <conditionalFormatting sqref="AF237">
    <cfRule type="cellIs" dxfId="1519" priority="1369" operator="greaterThan">
      <formula>0</formula>
    </cfRule>
    <cfRule type="cellIs" dxfId="1518" priority="1370" operator="lessThan">
      <formula>0</formula>
    </cfRule>
  </conditionalFormatting>
  <conditionalFormatting sqref="AF246">
    <cfRule type="cellIs" dxfId="1517" priority="1367" operator="greaterThan">
      <formula>0</formula>
    </cfRule>
    <cfRule type="cellIs" dxfId="1516" priority="1368" operator="lessThan">
      <formula>0</formula>
    </cfRule>
  </conditionalFormatting>
  <conditionalFormatting sqref="AF274">
    <cfRule type="cellIs" dxfId="1515" priority="1365" operator="greaterThan">
      <formula>0</formula>
    </cfRule>
    <cfRule type="cellIs" dxfId="1514" priority="1366" operator="lessThan">
      <formula>0</formula>
    </cfRule>
  </conditionalFormatting>
  <conditionalFormatting sqref="AF289">
    <cfRule type="cellIs" dxfId="1513" priority="1363" operator="greaterThan">
      <formula>0</formula>
    </cfRule>
    <cfRule type="cellIs" dxfId="1512" priority="1364" operator="lessThan">
      <formula>0</formula>
    </cfRule>
  </conditionalFormatting>
  <conditionalFormatting sqref="AF300">
    <cfRule type="cellIs" dxfId="1511" priority="1361" operator="greaterThan">
      <formula>0</formula>
    </cfRule>
    <cfRule type="cellIs" dxfId="1510" priority="1362" operator="lessThan">
      <formula>0</formula>
    </cfRule>
  </conditionalFormatting>
  <conditionalFormatting sqref="AF327">
    <cfRule type="cellIs" dxfId="1509" priority="1359" operator="greaterThan">
      <formula>0</formula>
    </cfRule>
    <cfRule type="cellIs" dxfId="1508" priority="1360" operator="lessThan">
      <formula>0</formula>
    </cfRule>
  </conditionalFormatting>
  <conditionalFormatting sqref="AF341">
    <cfRule type="cellIs" dxfId="1507" priority="1357" operator="greaterThan">
      <formula>0</formula>
    </cfRule>
    <cfRule type="cellIs" dxfId="1506" priority="1358" operator="lessThan">
      <formula>0</formula>
    </cfRule>
  </conditionalFormatting>
  <conditionalFormatting sqref="AF374">
    <cfRule type="cellIs" dxfId="1505" priority="1355" operator="greaterThan">
      <formula>0</formula>
    </cfRule>
    <cfRule type="cellIs" dxfId="1504" priority="1356" operator="lessThan">
      <formula>0</formula>
    </cfRule>
  </conditionalFormatting>
  <conditionalFormatting sqref="AF390">
    <cfRule type="cellIs" dxfId="1503" priority="1353" operator="greaterThan">
      <formula>0</formula>
    </cfRule>
    <cfRule type="cellIs" dxfId="1502" priority="1354" operator="lessThan">
      <formula>0</formula>
    </cfRule>
  </conditionalFormatting>
  <conditionalFormatting sqref="AF433">
    <cfRule type="cellIs" dxfId="1501" priority="1351" operator="greaterThan">
      <formula>0</formula>
    </cfRule>
    <cfRule type="cellIs" dxfId="1500" priority="1352" operator="lessThan">
      <formula>0</formula>
    </cfRule>
  </conditionalFormatting>
  <conditionalFormatting sqref="AF453">
    <cfRule type="cellIs" dxfId="1499" priority="1349" operator="greaterThan">
      <formula>0</formula>
    </cfRule>
    <cfRule type="cellIs" dxfId="1498" priority="1350" operator="lessThan">
      <formula>0</formula>
    </cfRule>
  </conditionalFormatting>
  <conditionalFormatting sqref="AF1179">
    <cfRule type="cellIs" dxfId="1497" priority="1347" operator="greaterThan">
      <formula>0</formula>
    </cfRule>
    <cfRule type="cellIs" dxfId="1496" priority="1348" operator="lessThan">
      <formula>0</formula>
    </cfRule>
  </conditionalFormatting>
  <conditionalFormatting sqref="AF508">
    <cfRule type="cellIs" dxfId="1495" priority="1345" operator="greaterThan">
      <formula>0</formula>
    </cfRule>
    <cfRule type="cellIs" dxfId="1494" priority="1346" operator="lessThan">
      <formula>0</formula>
    </cfRule>
  </conditionalFormatting>
  <conditionalFormatting sqref="AF520">
    <cfRule type="cellIs" dxfId="1493" priority="1343" operator="greaterThan">
      <formula>0</formula>
    </cfRule>
    <cfRule type="cellIs" dxfId="1492" priority="1344" operator="lessThan">
      <formula>0</formula>
    </cfRule>
  </conditionalFormatting>
  <conditionalFormatting sqref="AF579">
    <cfRule type="cellIs" dxfId="1491" priority="1341" operator="greaterThan">
      <formula>0</formula>
    </cfRule>
    <cfRule type="cellIs" dxfId="1490" priority="1342" operator="lessThan">
      <formula>0</formula>
    </cfRule>
  </conditionalFormatting>
  <conditionalFormatting sqref="AF539">
    <cfRule type="cellIs" dxfId="1489" priority="1339" operator="greaterThan">
      <formula>0</formula>
    </cfRule>
    <cfRule type="cellIs" dxfId="1488" priority="1340" operator="lessThan">
      <formula>0</formula>
    </cfRule>
  </conditionalFormatting>
  <conditionalFormatting sqref="AF591">
    <cfRule type="cellIs" dxfId="1487" priority="1337" operator="greaterThan">
      <formula>0</formula>
    </cfRule>
    <cfRule type="cellIs" dxfId="1486" priority="1338" operator="lessThan">
      <formula>0</formula>
    </cfRule>
  </conditionalFormatting>
  <conditionalFormatting sqref="AF623">
    <cfRule type="cellIs" dxfId="1485" priority="1335" operator="greaterThan">
      <formula>0</formula>
    </cfRule>
    <cfRule type="cellIs" dxfId="1484" priority="1336" operator="lessThan">
      <formula>0</formula>
    </cfRule>
  </conditionalFormatting>
  <conditionalFormatting sqref="AF616">
    <cfRule type="cellIs" dxfId="1483" priority="1333" operator="greaterThan">
      <formula>0</formula>
    </cfRule>
    <cfRule type="cellIs" dxfId="1482" priority="1334" operator="lessThan">
      <formula>0</formula>
    </cfRule>
  </conditionalFormatting>
  <conditionalFormatting sqref="AF29">
    <cfRule type="cellIs" dxfId="1481" priority="1331" operator="greaterThan">
      <formula>0</formula>
    </cfRule>
    <cfRule type="cellIs" dxfId="1480" priority="1332" operator="lessThan">
      <formula>0</formula>
    </cfRule>
  </conditionalFormatting>
  <conditionalFormatting sqref="AF77">
    <cfRule type="cellIs" dxfId="1479" priority="1329" operator="greaterThan">
      <formula>0</formula>
    </cfRule>
    <cfRule type="cellIs" dxfId="1478" priority="1330" operator="lessThan">
      <formula>0</formula>
    </cfRule>
  </conditionalFormatting>
  <conditionalFormatting sqref="AF1133">
    <cfRule type="cellIs" dxfId="1477" priority="1327" operator="greaterThan">
      <formula>0</formula>
    </cfRule>
    <cfRule type="cellIs" dxfId="1476" priority="1328" operator="lessThan">
      <formula>0</formula>
    </cfRule>
  </conditionalFormatting>
  <conditionalFormatting sqref="AF84">
    <cfRule type="cellIs" dxfId="1475" priority="1325" operator="greaterThan">
      <formula>0</formula>
    </cfRule>
    <cfRule type="cellIs" dxfId="1474" priority="1326" operator="lessThan">
      <formula>0</formula>
    </cfRule>
  </conditionalFormatting>
  <conditionalFormatting sqref="AF98">
    <cfRule type="cellIs" dxfId="1473" priority="1323" operator="greaterThan">
      <formula>0</formula>
    </cfRule>
    <cfRule type="cellIs" dxfId="1472" priority="1324" operator="lessThan">
      <formula>0</formula>
    </cfRule>
  </conditionalFormatting>
  <conditionalFormatting sqref="AF104">
    <cfRule type="cellIs" dxfId="1471" priority="1321" operator="greaterThan">
      <formula>0</formula>
    </cfRule>
    <cfRule type="cellIs" dxfId="1470" priority="1322" operator="lessThan">
      <formula>0</formula>
    </cfRule>
  </conditionalFormatting>
  <conditionalFormatting sqref="AF120">
    <cfRule type="cellIs" dxfId="1469" priority="1319" operator="greaterThan">
      <formula>0</formula>
    </cfRule>
    <cfRule type="cellIs" dxfId="1468" priority="1320" operator="lessThan">
      <formula>0</formula>
    </cfRule>
  </conditionalFormatting>
  <conditionalFormatting sqref="AF153">
    <cfRule type="cellIs" dxfId="1467" priority="1317" operator="greaterThan">
      <formula>0</formula>
    </cfRule>
    <cfRule type="cellIs" dxfId="1466" priority="1318" operator="lessThan">
      <formula>0</formula>
    </cfRule>
  </conditionalFormatting>
  <conditionalFormatting sqref="AF195">
    <cfRule type="cellIs" dxfId="1465" priority="1315" operator="greaterThan">
      <formula>0</formula>
    </cfRule>
    <cfRule type="cellIs" dxfId="1464" priority="1316" operator="lessThan">
      <formula>0</formula>
    </cfRule>
  </conditionalFormatting>
  <conditionalFormatting sqref="AF206">
    <cfRule type="cellIs" dxfId="1463" priority="1313" operator="greaterThan">
      <formula>0</formula>
    </cfRule>
    <cfRule type="cellIs" dxfId="1462" priority="1314" operator="lessThan">
      <formula>0</formula>
    </cfRule>
  </conditionalFormatting>
  <conditionalFormatting sqref="AF238">
    <cfRule type="cellIs" dxfId="1461" priority="1311" operator="greaterThan">
      <formula>0</formula>
    </cfRule>
    <cfRule type="cellIs" dxfId="1460" priority="1312" operator="lessThan">
      <formula>0</formula>
    </cfRule>
  </conditionalFormatting>
  <conditionalFormatting sqref="AF247">
    <cfRule type="cellIs" dxfId="1459" priority="1309" operator="greaterThan">
      <formula>0</formula>
    </cfRule>
    <cfRule type="cellIs" dxfId="1458" priority="1310" operator="lessThan">
      <formula>0</formula>
    </cfRule>
  </conditionalFormatting>
  <conditionalFormatting sqref="AF275">
    <cfRule type="cellIs" dxfId="1457" priority="1307" operator="greaterThan">
      <formula>0</formula>
    </cfRule>
    <cfRule type="cellIs" dxfId="1456" priority="1308" operator="lessThan">
      <formula>0</formula>
    </cfRule>
  </conditionalFormatting>
  <conditionalFormatting sqref="AF290">
    <cfRule type="cellIs" dxfId="1455" priority="1305" operator="greaterThan">
      <formula>0</formula>
    </cfRule>
    <cfRule type="cellIs" dxfId="1454" priority="1306" operator="lessThan">
      <formula>0</formula>
    </cfRule>
  </conditionalFormatting>
  <conditionalFormatting sqref="AF301">
    <cfRule type="cellIs" dxfId="1453" priority="1303" operator="greaterThan">
      <formula>0</formula>
    </cfRule>
    <cfRule type="cellIs" dxfId="1452" priority="1304" operator="lessThan">
      <formula>0</formula>
    </cfRule>
  </conditionalFormatting>
  <conditionalFormatting sqref="AF316">
    <cfRule type="cellIs" dxfId="1451" priority="1301" operator="greaterThan">
      <formula>0</formula>
    </cfRule>
    <cfRule type="cellIs" dxfId="1450" priority="1302" operator="lessThan">
      <formula>0</formula>
    </cfRule>
  </conditionalFormatting>
  <conditionalFormatting sqref="AF328">
    <cfRule type="cellIs" dxfId="1449" priority="1299" operator="greaterThan">
      <formula>0</formula>
    </cfRule>
    <cfRule type="cellIs" dxfId="1448" priority="1300" operator="lessThan">
      <formula>0</formula>
    </cfRule>
  </conditionalFormatting>
  <conditionalFormatting sqref="AF342">
    <cfRule type="cellIs" dxfId="1447" priority="1297" operator="greaterThan">
      <formula>0</formula>
    </cfRule>
    <cfRule type="cellIs" dxfId="1446" priority="1298" operator="lessThan">
      <formula>0</formula>
    </cfRule>
  </conditionalFormatting>
  <conditionalFormatting sqref="AF375">
    <cfRule type="cellIs" dxfId="1445" priority="1295" operator="greaterThan">
      <formula>0</formula>
    </cfRule>
    <cfRule type="cellIs" dxfId="1444" priority="1296" operator="lessThan">
      <formula>0</formula>
    </cfRule>
  </conditionalFormatting>
  <conditionalFormatting sqref="AF391">
    <cfRule type="cellIs" dxfId="1443" priority="1293" operator="greaterThan">
      <formula>0</formula>
    </cfRule>
    <cfRule type="cellIs" dxfId="1442" priority="1294" operator="lessThan">
      <formula>0</formula>
    </cfRule>
  </conditionalFormatting>
  <conditionalFormatting sqref="AF434">
    <cfRule type="cellIs" dxfId="1441" priority="1291" operator="greaterThan">
      <formula>0</formula>
    </cfRule>
    <cfRule type="cellIs" dxfId="1440" priority="1292" operator="lessThan">
      <formula>0</formula>
    </cfRule>
  </conditionalFormatting>
  <conditionalFormatting sqref="AF454">
    <cfRule type="cellIs" dxfId="1439" priority="1289" operator="greaterThan">
      <formula>0</formula>
    </cfRule>
    <cfRule type="cellIs" dxfId="1438" priority="1290" operator="lessThan">
      <formula>0</formula>
    </cfRule>
  </conditionalFormatting>
  <conditionalFormatting sqref="AF1180">
    <cfRule type="cellIs" dxfId="1437" priority="1287" operator="greaterThan">
      <formula>0</formula>
    </cfRule>
    <cfRule type="cellIs" dxfId="1436" priority="1288" operator="lessThan">
      <formula>0</formula>
    </cfRule>
  </conditionalFormatting>
  <conditionalFormatting sqref="AF509">
    <cfRule type="cellIs" dxfId="1435" priority="1285" operator="greaterThan">
      <formula>0</formula>
    </cfRule>
    <cfRule type="cellIs" dxfId="1434" priority="1286" operator="lessThan">
      <formula>0</formula>
    </cfRule>
  </conditionalFormatting>
  <conditionalFormatting sqref="AF521">
    <cfRule type="cellIs" dxfId="1433" priority="1283" operator="greaterThan">
      <formula>0</formula>
    </cfRule>
    <cfRule type="cellIs" dxfId="1432" priority="1284" operator="lessThan">
      <formula>0</formula>
    </cfRule>
  </conditionalFormatting>
  <conditionalFormatting sqref="AF528">
    <cfRule type="cellIs" dxfId="1431" priority="1281" operator="greaterThan">
      <formula>0</formula>
    </cfRule>
    <cfRule type="cellIs" dxfId="1430" priority="1282" operator="lessThan">
      <formula>0</formula>
    </cfRule>
  </conditionalFormatting>
  <conditionalFormatting sqref="AF580">
    <cfRule type="cellIs" dxfId="1429" priority="1279" operator="greaterThan">
      <formula>0</formula>
    </cfRule>
    <cfRule type="cellIs" dxfId="1428" priority="1280" operator="lessThan">
      <formula>0</formula>
    </cfRule>
  </conditionalFormatting>
  <conditionalFormatting sqref="AF540">
    <cfRule type="cellIs" dxfId="1427" priority="1277" operator="greaterThan">
      <formula>0</formula>
    </cfRule>
    <cfRule type="cellIs" dxfId="1426" priority="1278" operator="lessThan">
      <formula>0</formula>
    </cfRule>
  </conditionalFormatting>
  <conditionalFormatting sqref="AF592">
    <cfRule type="cellIs" dxfId="1425" priority="1275" operator="greaterThan">
      <formula>0</formula>
    </cfRule>
    <cfRule type="cellIs" dxfId="1424" priority="1276" operator="lessThan">
      <formula>0</formula>
    </cfRule>
  </conditionalFormatting>
  <conditionalFormatting sqref="AF606">
    <cfRule type="cellIs" dxfId="1423" priority="1273" operator="greaterThan">
      <formula>0</formula>
    </cfRule>
    <cfRule type="cellIs" dxfId="1422" priority="1274" operator="lessThan">
      <formula>0</formula>
    </cfRule>
  </conditionalFormatting>
  <conditionalFormatting sqref="AF624">
    <cfRule type="cellIs" dxfId="1421" priority="1271" operator="greaterThan">
      <formula>0</formula>
    </cfRule>
    <cfRule type="cellIs" dxfId="1420" priority="1272" operator="lessThan">
      <formula>0</formula>
    </cfRule>
  </conditionalFormatting>
  <conditionalFormatting sqref="AF617">
    <cfRule type="cellIs" dxfId="1419" priority="1269" operator="greaterThan">
      <formula>0</formula>
    </cfRule>
    <cfRule type="cellIs" dxfId="1418" priority="1270" operator="lessThan">
      <formula>0</formula>
    </cfRule>
  </conditionalFormatting>
  <conditionalFormatting sqref="AF656">
    <cfRule type="cellIs" dxfId="1417" priority="1267" operator="greaterThan">
      <formula>0</formula>
    </cfRule>
    <cfRule type="cellIs" dxfId="1416" priority="1268" operator="lessThan">
      <formula>0</formula>
    </cfRule>
  </conditionalFormatting>
  <conditionalFormatting sqref="AF670">
    <cfRule type="cellIs" dxfId="1415" priority="1265" operator="greaterThan">
      <formula>0</formula>
    </cfRule>
    <cfRule type="cellIs" dxfId="1414" priority="1266" operator="lessThan">
      <formula>0</formula>
    </cfRule>
  </conditionalFormatting>
  <conditionalFormatting sqref="AF746">
    <cfRule type="cellIs" dxfId="1413" priority="1263" operator="greaterThan">
      <formula>0</formula>
    </cfRule>
    <cfRule type="cellIs" dxfId="1412" priority="1264" operator="lessThan">
      <formula>0</formula>
    </cfRule>
  </conditionalFormatting>
  <conditionalFormatting sqref="AF787">
    <cfRule type="cellIs" dxfId="1411" priority="1261" operator="greaterThan">
      <formula>0</formula>
    </cfRule>
    <cfRule type="cellIs" dxfId="1410" priority="1262" operator="lessThan">
      <formula>0</formula>
    </cfRule>
  </conditionalFormatting>
  <conditionalFormatting sqref="AF799">
    <cfRule type="cellIs" dxfId="1409" priority="1259" operator="greaterThan">
      <formula>0</formula>
    </cfRule>
    <cfRule type="cellIs" dxfId="1408" priority="1260" operator="lessThan">
      <formula>0</formula>
    </cfRule>
  </conditionalFormatting>
  <conditionalFormatting sqref="AF834">
    <cfRule type="cellIs" dxfId="1407" priority="1257" operator="greaterThan">
      <formula>0</formula>
    </cfRule>
    <cfRule type="cellIs" dxfId="1406" priority="1258" operator="lessThan">
      <formula>0</formula>
    </cfRule>
  </conditionalFormatting>
  <conditionalFormatting sqref="AF855">
    <cfRule type="cellIs" dxfId="1405" priority="1255" operator="greaterThan">
      <formula>0</formula>
    </cfRule>
    <cfRule type="cellIs" dxfId="1404" priority="1256" operator="lessThan">
      <formula>0</formula>
    </cfRule>
  </conditionalFormatting>
  <conditionalFormatting sqref="AF877">
    <cfRule type="cellIs" dxfId="1403" priority="1251" operator="greaterThan">
      <formula>0</formula>
    </cfRule>
    <cfRule type="cellIs" dxfId="1402" priority="1252" operator="lessThan">
      <formula>0</formula>
    </cfRule>
  </conditionalFormatting>
  <conditionalFormatting sqref="AF879:AF882">
    <cfRule type="cellIs" dxfId="1401" priority="1253" operator="greaterThan">
      <formula>0</formula>
    </cfRule>
    <cfRule type="cellIs" dxfId="1400" priority="1254" operator="lessThan">
      <formula>0</formula>
    </cfRule>
  </conditionalFormatting>
  <conditionalFormatting sqref="AF875">
    <cfRule type="cellIs" dxfId="1399" priority="1249" operator="greaterThan">
      <formula>0</formula>
    </cfRule>
    <cfRule type="cellIs" dxfId="1398" priority="1250" operator="lessThan">
      <formula>0</formula>
    </cfRule>
  </conditionalFormatting>
  <conditionalFormatting sqref="AF885">
    <cfRule type="cellIs" dxfId="1397" priority="1245" operator="greaterThan">
      <formula>0</formula>
    </cfRule>
    <cfRule type="cellIs" dxfId="1396" priority="1246" operator="lessThan">
      <formula>0</formula>
    </cfRule>
  </conditionalFormatting>
  <conditionalFormatting sqref="AF886">
    <cfRule type="cellIs" dxfId="1395" priority="1247" operator="greaterThan">
      <formula>0</formula>
    </cfRule>
    <cfRule type="cellIs" dxfId="1394" priority="1248" operator="lessThan">
      <formula>0</formula>
    </cfRule>
  </conditionalFormatting>
  <conditionalFormatting sqref="AF917 AF910:AF914">
    <cfRule type="cellIs" dxfId="1393" priority="1243" operator="greaterThan">
      <formula>0</formula>
    </cfRule>
    <cfRule type="cellIs" dxfId="1392" priority="1244" operator="lessThan">
      <formula>0</formula>
    </cfRule>
  </conditionalFormatting>
  <conditionalFormatting sqref="AF919">
    <cfRule type="cellIs" dxfId="1391" priority="1241" operator="greaterThan">
      <formula>0</formula>
    </cfRule>
    <cfRule type="cellIs" dxfId="1390" priority="1242" operator="lessThan">
      <formula>0</formula>
    </cfRule>
  </conditionalFormatting>
  <conditionalFormatting sqref="AF905">
    <cfRule type="cellIs" dxfId="1389" priority="1239" operator="greaterThan">
      <formula>0</formula>
    </cfRule>
    <cfRule type="cellIs" dxfId="1388" priority="1240" operator="lessThan">
      <formula>0</formula>
    </cfRule>
  </conditionalFormatting>
  <conditionalFormatting sqref="AF999">
    <cfRule type="cellIs" dxfId="1387" priority="1203" operator="greaterThan">
      <formula>0</formula>
    </cfRule>
    <cfRule type="cellIs" dxfId="1386" priority="1204" operator="lessThan">
      <formula>0</formula>
    </cfRule>
  </conditionalFormatting>
  <conditionalFormatting sqref="AF918">
    <cfRule type="cellIs" dxfId="1385" priority="1237" operator="greaterThan">
      <formula>0</formula>
    </cfRule>
    <cfRule type="cellIs" dxfId="1384" priority="1238" operator="lessThan">
      <formula>0</formula>
    </cfRule>
  </conditionalFormatting>
  <conditionalFormatting sqref="AF1008 AF992 AF1001 AF994:AF998">
    <cfRule type="cellIs" dxfId="1383" priority="1235" operator="greaterThan">
      <formula>0</formula>
    </cfRule>
    <cfRule type="cellIs" dxfId="1382" priority="1236" operator="lessThan">
      <formula>0</formula>
    </cfRule>
  </conditionalFormatting>
  <conditionalFormatting sqref="AF1006">
    <cfRule type="cellIs" dxfId="1381" priority="1233" operator="greaterThan">
      <formula>0</formula>
    </cfRule>
    <cfRule type="cellIs" dxfId="1380" priority="1234" operator="lessThan">
      <formula>0</formula>
    </cfRule>
  </conditionalFormatting>
  <conditionalFormatting sqref="AF1010">
    <cfRule type="cellIs" dxfId="1379" priority="1231" operator="greaterThan">
      <formula>0</formula>
    </cfRule>
    <cfRule type="cellIs" dxfId="1378" priority="1232" operator="lessThan">
      <formula>0</formula>
    </cfRule>
  </conditionalFormatting>
  <conditionalFormatting sqref="AF1002:AF1004">
    <cfRule type="cellIs" dxfId="1377" priority="1229" operator="greaterThan">
      <formula>0</formula>
    </cfRule>
    <cfRule type="cellIs" dxfId="1376" priority="1230" operator="lessThan">
      <formula>0</formula>
    </cfRule>
  </conditionalFormatting>
  <conditionalFormatting sqref="AF1009">
    <cfRule type="cellIs" dxfId="1375" priority="1227" operator="greaterThan">
      <formula>0</formula>
    </cfRule>
    <cfRule type="cellIs" dxfId="1374" priority="1228" operator="lessThan">
      <formula>0</formula>
    </cfRule>
  </conditionalFormatting>
  <conditionalFormatting sqref="AF990">
    <cfRule type="cellIs" dxfId="1373" priority="1225" operator="greaterThan">
      <formula>0</formula>
    </cfRule>
    <cfRule type="cellIs" dxfId="1372" priority="1226" operator="lessThan">
      <formula>0</formula>
    </cfRule>
  </conditionalFormatting>
  <conditionalFormatting sqref="N990">
    <cfRule type="containsText" dxfId="1371" priority="1221" operator="containsText" text="Action">
      <formula>NOT(ISERROR(SEARCH("Action",N990)))</formula>
    </cfRule>
    <cfRule type="containsText" dxfId="1370" priority="1222" operator="containsText" text="Completed">
      <formula>NOT(ISERROR(SEARCH("Completed",N990)))</formula>
    </cfRule>
    <cfRule type="containsText" dxfId="1369" priority="1223" operator="containsText" text="In Progress">
      <formula>NOT(ISERROR(SEARCH("In Progress",N990)))</formula>
    </cfRule>
    <cfRule type="containsText" dxfId="1368" priority="1224" operator="containsText" text="Not">
      <formula>NOT(ISERROR(SEARCH("Not",N990)))</formula>
    </cfRule>
  </conditionalFormatting>
  <conditionalFormatting sqref="N1012">
    <cfRule type="containsText" dxfId="1367" priority="1217" operator="containsText" text="Action">
      <formula>NOT(ISERROR(SEARCH("Action",N1012)))</formula>
    </cfRule>
    <cfRule type="containsText" dxfId="1366" priority="1218" operator="containsText" text="Completed">
      <formula>NOT(ISERROR(SEARCH("Completed",N1012)))</formula>
    </cfRule>
    <cfRule type="containsText" dxfId="1365" priority="1219" operator="containsText" text="In Progress">
      <formula>NOT(ISERROR(SEARCH("In Progress",N1012)))</formula>
    </cfRule>
    <cfRule type="containsText" dxfId="1364" priority="1220" operator="containsText" text="Not">
      <formula>NOT(ISERROR(SEARCH("Not",N1012)))</formula>
    </cfRule>
  </conditionalFormatting>
  <conditionalFormatting sqref="N1034">
    <cfRule type="containsText" dxfId="1363" priority="1213" operator="containsText" text="Action">
      <formula>NOT(ISERROR(SEARCH("Action",N1034)))</formula>
    </cfRule>
    <cfRule type="containsText" dxfId="1362" priority="1214" operator="containsText" text="Completed">
      <formula>NOT(ISERROR(SEARCH("Completed",N1034)))</formula>
    </cfRule>
    <cfRule type="containsText" dxfId="1361" priority="1215" operator="containsText" text="In Progress">
      <formula>NOT(ISERROR(SEARCH("In Progress",N1034)))</formula>
    </cfRule>
    <cfRule type="containsText" dxfId="1360" priority="1216" operator="containsText" text="Not">
      <formula>NOT(ISERROR(SEARCH("Not",N1034)))</formula>
    </cfRule>
  </conditionalFormatting>
  <conditionalFormatting sqref="N1056">
    <cfRule type="containsText" dxfId="1359" priority="1209" operator="containsText" text="Action">
      <formula>NOT(ISERROR(SEARCH("Action",N1056)))</formula>
    </cfRule>
    <cfRule type="containsText" dxfId="1358" priority="1210" operator="containsText" text="Completed">
      <formula>NOT(ISERROR(SEARCH("Completed",N1056)))</formula>
    </cfRule>
    <cfRule type="containsText" dxfId="1357" priority="1211" operator="containsText" text="In Progress">
      <formula>NOT(ISERROR(SEARCH("In Progress",N1056)))</formula>
    </cfRule>
    <cfRule type="containsText" dxfId="1356" priority="1212" operator="containsText" text="Not">
      <formula>NOT(ISERROR(SEARCH("Not",N1056)))</formula>
    </cfRule>
  </conditionalFormatting>
  <conditionalFormatting sqref="N1078">
    <cfRule type="containsText" dxfId="1355" priority="1205" operator="containsText" text="Action">
      <formula>NOT(ISERROR(SEARCH("Action",N1078)))</formula>
    </cfRule>
    <cfRule type="containsText" dxfId="1354" priority="1206" operator="containsText" text="Completed">
      <formula>NOT(ISERROR(SEARCH("Completed",N1078)))</formula>
    </cfRule>
    <cfRule type="containsText" dxfId="1353" priority="1207" operator="containsText" text="In Progress">
      <formula>NOT(ISERROR(SEARCH("In Progress",N1078)))</formula>
    </cfRule>
    <cfRule type="containsText" dxfId="1352" priority="1208" operator="containsText" text="Not">
      <formula>NOT(ISERROR(SEARCH("Not",N1078)))</formula>
    </cfRule>
  </conditionalFormatting>
  <conditionalFormatting sqref="AF1000">
    <cfRule type="cellIs" dxfId="1351" priority="1201" operator="greaterThan">
      <formula>0</formula>
    </cfRule>
    <cfRule type="cellIs" dxfId="1350" priority="1202" operator="lessThan">
      <formula>0</formula>
    </cfRule>
  </conditionalFormatting>
  <conditionalFormatting sqref="AF1007">
    <cfRule type="cellIs" dxfId="1349" priority="1199" operator="greaterThan">
      <formula>0</formula>
    </cfRule>
    <cfRule type="cellIs" dxfId="1348" priority="1200" operator="lessThan">
      <formula>0</formula>
    </cfRule>
  </conditionalFormatting>
  <conditionalFormatting sqref="AF1029">
    <cfRule type="cellIs" dxfId="1347" priority="1197" operator="greaterThan">
      <formula>0</formula>
    </cfRule>
    <cfRule type="cellIs" dxfId="1346" priority="1198" operator="lessThan">
      <formula>0</formula>
    </cfRule>
  </conditionalFormatting>
  <conditionalFormatting sqref="AF1021">
    <cfRule type="cellIs" dxfId="1345" priority="1195" operator="greaterThan">
      <formula>0</formula>
    </cfRule>
    <cfRule type="cellIs" dxfId="1344" priority="1196" operator="lessThan">
      <formula>0</formula>
    </cfRule>
  </conditionalFormatting>
  <conditionalFormatting sqref="AF1022">
    <cfRule type="cellIs" dxfId="1343" priority="1193" operator="greaterThan">
      <formula>0</formula>
    </cfRule>
    <cfRule type="cellIs" dxfId="1342" priority="1194" operator="lessThan">
      <formula>0</formula>
    </cfRule>
  </conditionalFormatting>
  <conditionalFormatting sqref="AF1044">
    <cfRule type="cellIs" dxfId="1341" priority="1191" operator="greaterThan">
      <formula>0</formula>
    </cfRule>
    <cfRule type="cellIs" dxfId="1340" priority="1192" operator="lessThan">
      <formula>0</formula>
    </cfRule>
  </conditionalFormatting>
  <conditionalFormatting sqref="AF1043">
    <cfRule type="cellIs" dxfId="1339" priority="1189" operator="greaterThan">
      <formula>0</formula>
    </cfRule>
    <cfRule type="cellIs" dxfId="1338" priority="1190" operator="lessThan">
      <formula>0</formula>
    </cfRule>
  </conditionalFormatting>
  <conditionalFormatting sqref="AF1051">
    <cfRule type="cellIs" dxfId="1337" priority="1187" operator="greaterThan">
      <formula>0</formula>
    </cfRule>
    <cfRule type="cellIs" dxfId="1336" priority="1188" operator="lessThan">
      <formula>0</formula>
    </cfRule>
  </conditionalFormatting>
  <conditionalFormatting sqref="AF1066">
    <cfRule type="cellIs" dxfId="1335" priority="1185" operator="greaterThan">
      <formula>0</formula>
    </cfRule>
    <cfRule type="cellIs" dxfId="1334" priority="1186" operator="lessThan">
      <formula>0</formula>
    </cfRule>
  </conditionalFormatting>
  <conditionalFormatting sqref="AF1065">
    <cfRule type="cellIs" dxfId="1333" priority="1183" operator="greaterThan">
      <formula>0</formula>
    </cfRule>
    <cfRule type="cellIs" dxfId="1332" priority="1184" operator="lessThan">
      <formula>0</formula>
    </cfRule>
  </conditionalFormatting>
  <conditionalFormatting sqref="AF1073">
    <cfRule type="cellIs" dxfId="1331" priority="1181" operator="greaterThan">
      <formula>0</formula>
    </cfRule>
    <cfRule type="cellIs" dxfId="1330" priority="1182" operator="lessThan">
      <formula>0</formula>
    </cfRule>
  </conditionalFormatting>
  <conditionalFormatting sqref="AF1087">
    <cfRule type="cellIs" dxfId="1329" priority="1179" operator="greaterThan">
      <formula>0</formula>
    </cfRule>
    <cfRule type="cellIs" dxfId="1328" priority="1180" operator="lessThan">
      <formula>0</formula>
    </cfRule>
  </conditionalFormatting>
  <conditionalFormatting sqref="AF1088">
    <cfRule type="cellIs" dxfId="1327" priority="1177" operator="greaterThan">
      <formula>0</formula>
    </cfRule>
    <cfRule type="cellIs" dxfId="1326" priority="1178" operator="lessThan">
      <formula>0</formula>
    </cfRule>
  </conditionalFormatting>
  <conditionalFormatting sqref="AF1095">
    <cfRule type="cellIs" dxfId="1325" priority="1175" operator="greaterThan">
      <formula>0</formula>
    </cfRule>
    <cfRule type="cellIs" dxfId="1324" priority="1176" operator="lessThan">
      <formula>0</formula>
    </cfRule>
  </conditionalFormatting>
  <conditionalFormatting sqref="N78">
    <cfRule type="containsText" dxfId="1323" priority="1171" operator="containsText" text="Action">
      <formula>NOT(ISERROR(SEARCH("Action",N78)))</formula>
    </cfRule>
    <cfRule type="containsText" dxfId="1322" priority="1172" operator="containsText" text="Completed">
      <formula>NOT(ISERROR(SEARCH("Completed",N78)))</formula>
    </cfRule>
    <cfRule type="containsText" dxfId="1321" priority="1173" operator="containsText" text="In Progress">
      <formula>NOT(ISERROR(SEARCH("In Progress",N78)))</formula>
    </cfRule>
    <cfRule type="containsText" dxfId="1320" priority="1174" operator="containsText" text="Not">
      <formula>NOT(ISERROR(SEARCH("Not",N78)))</formula>
    </cfRule>
  </conditionalFormatting>
  <conditionalFormatting sqref="N99">
    <cfRule type="containsText" dxfId="1319" priority="1167" operator="containsText" text="Action">
      <formula>NOT(ISERROR(SEARCH("Action",N99)))</formula>
    </cfRule>
    <cfRule type="containsText" dxfId="1318" priority="1168" operator="containsText" text="Completed">
      <formula>NOT(ISERROR(SEARCH("Completed",N99)))</formula>
    </cfRule>
    <cfRule type="containsText" dxfId="1317" priority="1169" operator="containsText" text="In Progress">
      <formula>NOT(ISERROR(SEARCH("In Progress",N99)))</formula>
    </cfRule>
    <cfRule type="containsText" dxfId="1316" priority="1170" operator="containsText" text="Not">
      <formula>NOT(ISERROR(SEARCH("Not",N99)))</formula>
    </cfRule>
  </conditionalFormatting>
  <conditionalFormatting sqref="N225">
    <cfRule type="containsText" dxfId="1315" priority="1163" operator="containsText" text="Action">
      <formula>NOT(ISERROR(SEARCH("Action",N225)))</formula>
    </cfRule>
    <cfRule type="containsText" dxfId="1314" priority="1164" operator="containsText" text="Completed">
      <formula>NOT(ISERROR(SEARCH("Completed",N225)))</formula>
    </cfRule>
    <cfRule type="containsText" dxfId="1313" priority="1165" operator="containsText" text="In Progress">
      <formula>NOT(ISERROR(SEARCH("In Progress",N225)))</formula>
    </cfRule>
    <cfRule type="containsText" dxfId="1312" priority="1166" operator="containsText" text="Not">
      <formula>NOT(ISERROR(SEARCH("Not",N225)))</formula>
    </cfRule>
  </conditionalFormatting>
  <conditionalFormatting sqref="N363">
    <cfRule type="containsText" dxfId="1311" priority="1159" operator="containsText" text="Action">
      <formula>NOT(ISERROR(SEARCH("Action",N363)))</formula>
    </cfRule>
    <cfRule type="containsText" dxfId="1310" priority="1160" operator="containsText" text="Completed">
      <formula>NOT(ISERROR(SEARCH("Completed",N363)))</formula>
    </cfRule>
    <cfRule type="containsText" dxfId="1309" priority="1161" operator="containsText" text="In Progress">
      <formula>NOT(ISERROR(SEARCH("In Progress",N363)))</formula>
    </cfRule>
    <cfRule type="containsText" dxfId="1308" priority="1162" operator="containsText" text="Not">
      <formula>NOT(ISERROR(SEARCH("Not",N363)))</formula>
    </cfRule>
  </conditionalFormatting>
  <conditionalFormatting sqref="N422">
    <cfRule type="containsText" dxfId="1307" priority="1155" operator="containsText" text="Action">
      <formula>NOT(ISERROR(SEARCH("Action",N422)))</formula>
    </cfRule>
    <cfRule type="containsText" dxfId="1306" priority="1156" operator="containsText" text="Completed">
      <formula>NOT(ISERROR(SEARCH("Completed",N422)))</formula>
    </cfRule>
    <cfRule type="containsText" dxfId="1305" priority="1157" operator="containsText" text="In Progress">
      <formula>NOT(ISERROR(SEARCH("In Progress",N422)))</formula>
    </cfRule>
    <cfRule type="containsText" dxfId="1304" priority="1158" operator="containsText" text="Not">
      <formula>NOT(ISERROR(SEARCH("Not",N422)))</formula>
    </cfRule>
  </conditionalFormatting>
  <conditionalFormatting sqref="N618">
    <cfRule type="containsText" dxfId="1303" priority="1151" operator="containsText" text="Action">
      <formula>NOT(ISERROR(SEARCH("Action",N618)))</formula>
    </cfRule>
    <cfRule type="containsText" dxfId="1302" priority="1152" operator="containsText" text="Completed">
      <formula>NOT(ISERROR(SEARCH("Completed",N618)))</formula>
    </cfRule>
    <cfRule type="containsText" dxfId="1301" priority="1153" operator="containsText" text="In Progress">
      <formula>NOT(ISERROR(SEARCH("In Progress",N618)))</formula>
    </cfRule>
    <cfRule type="containsText" dxfId="1300" priority="1154" operator="containsText" text="Not">
      <formula>NOT(ISERROR(SEARCH("Not",N618)))</formula>
    </cfRule>
  </conditionalFormatting>
  <conditionalFormatting sqref="N875">
    <cfRule type="containsText" dxfId="1299" priority="1147" operator="containsText" text="Action">
      <formula>NOT(ISERROR(SEARCH("Action",N875)))</formula>
    </cfRule>
    <cfRule type="containsText" dxfId="1298" priority="1148" operator="containsText" text="Completed">
      <formula>NOT(ISERROR(SEARCH("Completed",N875)))</formula>
    </cfRule>
    <cfRule type="containsText" dxfId="1297" priority="1149" operator="containsText" text="In Progress">
      <formula>NOT(ISERROR(SEARCH("In Progress",N875)))</formula>
    </cfRule>
    <cfRule type="containsText" dxfId="1296" priority="1150" operator="containsText" text="Not">
      <formula>NOT(ISERROR(SEARCH("Not",N875)))</formula>
    </cfRule>
  </conditionalFormatting>
  <conditionalFormatting sqref="N905">
    <cfRule type="containsText" dxfId="1295" priority="1143" operator="containsText" text="Action">
      <formula>NOT(ISERROR(SEARCH("Action",N905)))</formula>
    </cfRule>
    <cfRule type="containsText" dxfId="1294" priority="1144" operator="containsText" text="Completed">
      <formula>NOT(ISERROR(SEARCH("Completed",N905)))</formula>
    </cfRule>
    <cfRule type="containsText" dxfId="1293" priority="1145" operator="containsText" text="In Progress">
      <formula>NOT(ISERROR(SEARCH("In Progress",N905)))</formula>
    </cfRule>
    <cfRule type="containsText" dxfId="1292" priority="1146" operator="containsText" text="Not">
      <formula>NOT(ISERROR(SEARCH("Not",N905)))</formula>
    </cfRule>
  </conditionalFormatting>
  <conditionalFormatting sqref="N849">
    <cfRule type="containsText" dxfId="1291" priority="1139" operator="containsText" text="Action">
      <formula>NOT(ISERROR(SEARCH("Action",N849)))</formula>
    </cfRule>
    <cfRule type="containsText" dxfId="1290" priority="1140" operator="containsText" text="Completed">
      <formula>NOT(ISERROR(SEARCH("Completed",N849)))</formula>
    </cfRule>
    <cfRule type="containsText" dxfId="1289" priority="1141" operator="containsText" text="In Progress">
      <formula>NOT(ISERROR(SEARCH("In Progress",N849)))</formula>
    </cfRule>
    <cfRule type="containsText" dxfId="1288" priority="1142" operator="containsText" text="Not">
      <formula>NOT(ISERROR(SEARCH("Not",N849)))</formula>
    </cfRule>
  </conditionalFormatting>
  <conditionalFormatting sqref="N822">
    <cfRule type="containsText" dxfId="1287" priority="1135" operator="containsText" text="Action">
      <formula>NOT(ISERROR(SEARCH("Action",N822)))</formula>
    </cfRule>
    <cfRule type="containsText" dxfId="1286" priority="1136" operator="containsText" text="Completed">
      <formula>NOT(ISERROR(SEARCH("Completed",N822)))</formula>
    </cfRule>
    <cfRule type="containsText" dxfId="1285" priority="1137" operator="containsText" text="In Progress">
      <formula>NOT(ISERROR(SEARCH("In Progress",N822)))</formula>
    </cfRule>
    <cfRule type="containsText" dxfId="1284" priority="1138" operator="containsText" text="Not">
      <formula>NOT(ISERROR(SEARCH("Not",N822)))</formula>
    </cfRule>
  </conditionalFormatting>
  <conditionalFormatting sqref="N771">
    <cfRule type="containsText" dxfId="1283" priority="1131" operator="containsText" text="Action">
      <formula>NOT(ISERROR(SEARCH("Action",N771)))</formula>
    </cfRule>
    <cfRule type="containsText" dxfId="1282" priority="1132" operator="containsText" text="Completed">
      <formula>NOT(ISERROR(SEARCH("Completed",N771)))</formula>
    </cfRule>
    <cfRule type="containsText" dxfId="1281" priority="1133" operator="containsText" text="In Progress">
      <formula>NOT(ISERROR(SEARCH("In Progress",N771)))</formula>
    </cfRule>
    <cfRule type="containsText" dxfId="1280" priority="1134" operator="containsText" text="Not">
      <formula>NOT(ISERROR(SEARCH("Not",N771)))</formula>
    </cfRule>
  </conditionalFormatting>
  <conditionalFormatting sqref="N730">
    <cfRule type="containsText" dxfId="1279" priority="1127" operator="containsText" text="Action">
      <formula>NOT(ISERROR(SEARCH("Action",N730)))</formula>
    </cfRule>
    <cfRule type="containsText" dxfId="1278" priority="1128" operator="containsText" text="Completed">
      <formula>NOT(ISERROR(SEARCH("Completed",N730)))</formula>
    </cfRule>
    <cfRule type="containsText" dxfId="1277" priority="1129" operator="containsText" text="In Progress">
      <formula>NOT(ISERROR(SEARCH("In Progress",N730)))</formula>
    </cfRule>
    <cfRule type="containsText" dxfId="1276" priority="1130" operator="containsText" text="Not">
      <formula>NOT(ISERROR(SEARCH("Not",N730)))</formula>
    </cfRule>
  </conditionalFormatting>
  <conditionalFormatting sqref="N645">
    <cfRule type="containsText" dxfId="1275" priority="1123" operator="containsText" text="Action">
      <formula>NOT(ISERROR(SEARCH("Action",N645)))</formula>
    </cfRule>
    <cfRule type="containsText" dxfId="1274" priority="1124" operator="containsText" text="Completed">
      <formula>NOT(ISERROR(SEARCH("Completed",N645)))</formula>
    </cfRule>
    <cfRule type="containsText" dxfId="1273" priority="1125" operator="containsText" text="In Progress">
      <formula>NOT(ISERROR(SEARCH("In Progress",N645)))</formula>
    </cfRule>
    <cfRule type="containsText" dxfId="1272" priority="1126" operator="containsText" text="Not">
      <formula>NOT(ISERROR(SEARCH("Not",N645)))</formula>
    </cfRule>
  </conditionalFormatting>
  <conditionalFormatting sqref="N593">
    <cfRule type="containsText" dxfId="1271" priority="1119" operator="containsText" text="Action">
      <formula>NOT(ISERROR(SEARCH("Action",N593)))</formula>
    </cfRule>
    <cfRule type="containsText" dxfId="1270" priority="1120" operator="containsText" text="Completed">
      <formula>NOT(ISERROR(SEARCH("Completed",N593)))</formula>
    </cfRule>
    <cfRule type="containsText" dxfId="1269" priority="1121" operator="containsText" text="In Progress">
      <formula>NOT(ISERROR(SEARCH("In Progress",N593)))</formula>
    </cfRule>
    <cfRule type="containsText" dxfId="1268" priority="1122" operator="containsText" text="Not">
      <formula>NOT(ISERROR(SEARCH("Not",N593)))</formula>
    </cfRule>
  </conditionalFormatting>
  <conditionalFormatting sqref="N529">
    <cfRule type="containsText" dxfId="1267" priority="1115" operator="containsText" text="Action">
      <formula>NOT(ISERROR(SEARCH("Action",N529)))</formula>
    </cfRule>
    <cfRule type="containsText" dxfId="1266" priority="1116" operator="containsText" text="Completed">
      <formula>NOT(ISERROR(SEARCH("Completed",N529)))</formula>
    </cfRule>
    <cfRule type="containsText" dxfId="1265" priority="1117" operator="containsText" text="In Progress">
      <formula>NOT(ISERROR(SEARCH("In Progress",N529)))</formula>
    </cfRule>
    <cfRule type="containsText" dxfId="1264" priority="1118" operator="containsText" text="Not">
      <formula>NOT(ISERROR(SEARCH("Not",N529)))</formula>
    </cfRule>
  </conditionalFormatting>
  <conditionalFormatting sqref="N522">
    <cfRule type="containsText" dxfId="1263" priority="1111" operator="containsText" text="Action">
      <formula>NOT(ISERROR(SEARCH("Action",N522)))</formula>
    </cfRule>
    <cfRule type="containsText" dxfId="1262" priority="1112" operator="containsText" text="Completed">
      <formula>NOT(ISERROR(SEARCH("Completed",N522)))</formula>
    </cfRule>
    <cfRule type="containsText" dxfId="1261" priority="1113" operator="containsText" text="In Progress">
      <formula>NOT(ISERROR(SEARCH("In Progress",N522)))</formula>
    </cfRule>
    <cfRule type="containsText" dxfId="1260" priority="1114" operator="containsText" text="Not">
      <formula>NOT(ISERROR(SEARCH("Not",N522)))</formula>
    </cfRule>
  </conditionalFormatting>
  <conditionalFormatting sqref="N510">
    <cfRule type="containsText" dxfId="1259" priority="1107" operator="containsText" text="Action">
      <formula>NOT(ISERROR(SEARCH("Action",N510)))</formula>
    </cfRule>
    <cfRule type="containsText" dxfId="1258" priority="1108" operator="containsText" text="Completed">
      <formula>NOT(ISERROR(SEARCH("Completed",N510)))</formula>
    </cfRule>
    <cfRule type="containsText" dxfId="1257" priority="1109" operator="containsText" text="In Progress">
      <formula>NOT(ISERROR(SEARCH("In Progress",N510)))</formula>
    </cfRule>
    <cfRule type="containsText" dxfId="1256" priority="1110" operator="containsText" text="Not">
      <formula>NOT(ISERROR(SEARCH("Not",N510)))</formula>
    </cfRule>
  </conditionalFormatting>
  <conditionalFormatting sqref="N1164">
    <cfRule type="containsText" dxfId="1255" priority="1103" operator="containsText" text="Action">
      <formula>NOT(ISERROR(SEARCH("Action",N1164)))</formula>
    </cfRule>
    <cfRule type="containsText" dxfId="1254" priority="1104" operator="containsText" text="Completed">
      <formula>NOT(ISERROR(SEARCH("Completed",N1164)))</formula>
    </cfRule>
    <cfRule type="containsText" dxfId="1253" priority="1105" operator="containsText" text="In Progress">
      <formula>NOT(ISERROR(SEARCH("In Progress",N1164)))</formula>
    </cfRule>
    <cfRule type="containsText" dxfId="1252" priority="1106" operator="containsText" text="Not">
      <formula>NOT(ISERROR(SEARCH("Not",N1164)))</formula>
    </cfRule>
  </conditionalFormatting>
  <conditionalFormatting sqref="N262">
    <cfRule type="containsText" dxfId="1251" priority="1099" operator="containsText" text="Action">
      <formula>NOT(ISERROR(SEARCH("Action",N262)))</formula>
    </cfRule>
    <cfRule type="containsText" dxfId="1250" priority="1100" operator="containsText" text="Completed">
      <formula>NOT(ISERROR(SEARCH("Completed",N262)))</formula>
    </cfRule>
    <cfRule type="containsText" dxfId="1249" priority="1101" operator="containsText" text="In Progress">
      <formula>NOT(ISERROR(SEARCH("In Progress",N262)))</formula>
    </cfRule>
    <cfRule type="containsText" dxfId="1248" priority="1102" operator="containsText" text="Not">
      <formula>NOT(ISERROR(SEARCH("Not",N262)))</formula>
    </cfRule>
  </conditionalFormatting>
  <conditionalFormatting sqref="N196">
    <cfRule type="containsText" dxfId="1247" priority="1095" operator="containsText" text="Action">
      <formula>NOT(ISERROR(SEARCH("Action",N196)))</formula>
    </cfRule>
    <cfRule type="containsText" dxfId="1246" priority="1096" operator="containsText" text="Completed">
      <formula>NOT(ISERROR(SEARCH("Completed",N196)))</formula>
    </cfRule>
    <cfRule type="containsText" dxfId="1245" priority="1097" operator="containsText" text="In Progress">
      <formula>NOT(ISERROR(SEARCH("In Progress",N196)))</formula>
    </cfRule>
    <cfRule type="containsText" dxfId="1244" priority="1098" operator="containsText" text="Not">
      <formula>NOT(ISERROR(SEARCH("Not",N196)))</formula>
    </cfRule>
  </conditionalFormatting>
  <conditionalFormatting sqref="N144">
    <cfRule type="containsText" dxfId="1243" priority="1091" operator="containsText" text="Action">
      <formula>NOT(ISERROR(SEARCH("Action",N144)))</formula>
    </cfRule>
    <cfRule type="containsText" dxfId="1242" priority="1092" operator="containsText" text="Completed">
      <formula>NOT(ISERROR(SEARCH("Completed",N144)))</formula>
    </cfRule>
    <cfRule type="containsText" dxfId="1241" priority="1093" operator="containsText" text="In Progress">
      <formula>NOT(ISERROR(SEARCH("In Progress",N144)))</formula>
    </cfRule>
    <cfRule type="containsText" dxfId="1240" priority="1094" operator="containsText" text="Not">
      <formula>NOT(ISERROR(SEARCH("Not",N144)))</formula>
    </cfRule>
  </conditionalFormatting>
  <conditionalFormatting sqref="N657">
    <cfRule type="containsText" dxfId="1239" priority="1087" operator="containsText" text="Action">
      <formula>NOT(ISERROR(SEARCH("Action",N657)))</formula>
    </cfRule>
    <cfRule type="containsText" dxfId="1238" priority="1088" operator="containsText" text="Completed">
      <formula>NOT(ISERROR(SEARCH("Completed",N657)))</formula>
    </cfRule>
    <cfRule type="containsText" dxfId="1237" priority="1089" operator="containsText" text="In Progress">
      <formula>NOT(ISERROR(SEARCH("In Progress",N657)))</formula>
    </cfRule>
    <cfRule type="containsText" dxfId="1236" priority="1090" operator="containsText" text="Not">
      <formula>NOT(ISERROR(SEARCH("Not",N657)))</formula>
    </cfRule>
  </conditionalFormatting>
  <conditionalFormatting sqref="N607">
    <cfRule type="containsText" dxfId="1235" priority="1075" operator="containsText" text="Action">
      <formula>NOT(ISERROR(SEARCH("Action",N607)))</formula>
    </cfRule>
    <cfRule type="containsText" dxfId="1234" priority="1076" operator="containsText" text="Completed">
      <formula>NOT(ISERROR(SEARCH("Completed",N607)))</formula>
    </cfRule>
    <cfRule type="containsText" dxfId="1233" priority="1077" operator="containsText" text="In Progress">
      <formula>NOT(ISERROR(SEARCH("In Progress",N607)))</formula>
    </cfRule>
    <cfRule type="containsText" dxfId="1232" priority="1078" operator="containsText" text="Not">
      <formula>NOT(ISERROR(SEARCH("Not",N607)))</formula>
    </cfRule>
  </conditionalFormatting>
  <conditionalFormatting sqref="N30">
    <cfRule type="containsText" dxfId="1231" priority="1083" operator="containsText" text="Action">
      <formula>NOT(ISERROR(SEARCH("Action",N30)))</formula>
    </cfRule>
    <cfRule type="containsText" dxfId="1230" priority="1084" operator="containsText" text="Completed">
      <formula>NOT(ISERROR(SEARCH("Completed",N30)))</formula>
    </cfRule>
    <cfRule type="containsText" dxfId="1229" priority="1085" operator="containsText" text="In Progress">
      <formula>NOT(ISERROR(SEARCH("In Progress",N30)))</formula>
    </cfRule>
    <cfRule type="containsText" dxfId="1228" priority="1086" operator="containsText" text="Not">
      <formula>NOT(ISERROR(SEARCH("Not",N30)))</formula>
    </cfRule>
  </conditionalFormatting>
  <conditionalFormatting sqref="N788">
    <cfRule type="containsText" dxfId="1227" priority="1079" operator="containsText" text="Action">
      <formula>NOT(ISERROR(SEARCH("Action",N788)))</formula>
    </cfRule>
    <cfRule type="containsText" dxfId="1226" priority="1080" operator="containsText" text="Completed">
      <formula>NOT(ISERROR(SEARCH("Completed",N788)))</formula>
    </cfRule>
    <cfRule type="containsText" dxfId="1225" priority="1081" operator="containsText" text="In Progress">
      <formula>NOT(ISERROR(SEARCH("In Progress",N788)))</formula>
    </cfRule>
    <cfRule type="containsText" dxfId="1224" priority="1082" operator="containsText" text="Not">
      <formula>NOT(ISERROR(SEARCH("Not",N788)))</formula>
    </cfRule>
  </conditionalFormatting>
  <conditionalFormatting sqref="N581">
    <cfRule type="containsText" dxfId="1223" priority="1071" operator="containsText" text="Action">
      <formula>NOT(ISERROR(SEARCH("Action",N581)))</formula>
    </cfRule>
    <cfRule type="containsText" dxfId="1222" priority="1072" operator="containsText" text="Completed">
      <formula>NOT(ISERROR(SEARCH("Completed",N581)))</formula>
    </cfRule>
    <cfRule type="containsText" dxfId="1221" priority="1073" operator="containsText" text="In Progress">
      <formula>NOT(ISERROR(SEARCH("In Progress",N581)))</formula>
    </cfRule>
    <cfRule type="containsText" dxfId="1220" priority="1074" operator="containsText" text="Not">
      <formula>NOT(ISERROR(SEARCH("Not",N581)))</formula>
    </cfRule>
  </conditionalFormatting>
  <conditionalFormatting sqref="N567">
    <cfRule type="containsText" dxfId="1219" priority="1067" operator="containsText" text="Action">
      <formula>NOT(ISERROR(SEARCH("Action",N567)))</formula>
    </cfRule>
    <cfRule type="containsText" dxfId="1218" priority="1068" operator="containsText" text="Completed">
      <formula>NOT(ISERROR(SEARCH("Completed",N567)))</formula>
    </cfRule>
    <cfRule type="containsText" dxfId="1217" priority="1069" operator="containsText" text="In Progress">
      <formula>NOT(ISERROR(SEARCH("In Progress",N567)))</formula>
    </cfRule>
    <cfRule type="containsText" dxfId="1216" priority="1070" operator="containsText" text="Not">
      <formula>NOT(ISERROR(SEARCH("Not",N567)))</formula>
    </cfRule>
  </conditionalFormatting>
  <conditionalFormatting sqref="N494">
    <cfRule type="containsText" dxfId="1215" priority="1063" operator="containsText" text="Action">
      <formula>NOT(ISERROR(SEARCH("Action",N494)))</formula>
    </cfRule>
    <cfRule type="containsText" dxfId="1214" priority="1064" operator="containsText" text="Completed">
      <formula>NOT(ISERROR(SEARCH("Completed",N494)))</formula>
    </cfRule>
    <cfRule type="containsText" dxfId="1213" priority="1065" operator="containsText" text="In Progress">
      <formula>NOT(ISERROR(SEARCH("In Progress",N494)))</formula>
    </cfRule>
    <cfRule type="containsText" dxfId="1212" priority="1066" operator="containsText" text="Not">
      <formula>NOT(ISERROR(SEARCH("Not",N494)))</formula>
    </cfRule>
  </conditionalFormatting>
  <conditionalFormatting sqref="N445">
    <cfRule type="containsText" dxfId="1211" priority="1059" operator="containsText" text="Action">
      <formula>NOT(ISERROR(SEARCH("Action",N445)))</formula>
    </cfRule>
    <cfRule type="containsText" dxfId="1210" priority="1060" operator="containsText" text="Completed">
      <formula>NOT(ISERROR(SEARCH("Completed",N445)))</formula>
    </cfRule>
    <cfRule type="containsText" dxfId="1209" priority="1061" operator="containsText" text="In Progress">
      <formula>NOT(ISERROR(SEARCH("In Progress",N445)))</formula>
    </cfRule>
    <cfRule type="containsText" dxfId="1208" priority="1062" operator="containsText" text="Not">
      <formula>NOT(ISERROR(SEARCH("Not",N445)))</formula>
    </cfRule>
  </conditionalFormatting>
  <conditionalFormatting sqref="N376">
    <cfRule type="containsText" dxfId="1207" priority="1055" operator="containsText" text="Action">
      <formula>NOT(ISERROR(SEARCH("Action",N376)))</formula>
    </cfRule>
    <cfRule type="containsText" dxfId="1206" priority="1056" operator="containsText" text="Completed">
      <formula>NOT(ISERROR(SEARCH("Completed",N376)))</formula>
    </cfRule>
    <cfRule type="containsText" dxfId="1205" priority="1057" operator="containsText" text="In Progress">
      <formula>NOT(ISERROR(SEARCH("In Progress",N376)))</formula>
    </cfRule>
    <cfRule type="containsText" dxfId="1204" priority="1058" operator="containsText" text="Not">
      <formula>NOT(ISERROR(SEARCH("Not",N376)))</formula>
    </cfRule>
  </conditionalFormatting>
  <conditionalFormatting sqref="N329">
    <cfRule type="containsText" dxfId="1203" priority="1051" operator="containsText" text="Action">
      <formula>NOT(ISERROR(SEARCH("Action",N329)))</formula>
    </cfRule>
    <cfRule type="containsText" dxfId="1202" priority="1052" operator="containsText" text="Completed">
      <formula>NOT(ISERROR(SEARCH("Completed",N329)))</formula>
    </cfRule>
    <cfRule type="containsText" dxfId="1201" priority="1053" operator="containsText" text="In Progress">
      <formula>NOT(ISERROR(SEARCH("In Progress",N329)))</formula>
    </cfRule>
    <cfRule type="containsText" dxfId="1200" priority="1054" operator="containsText" text="Not">
      <formula>NOT(ISERROR(SEARCH("Not",N329)))</formula>
    </cfRule>
  </conditionalFormatting>
  <conditionalFormatting sqref="N317">
    <cfRule type="containsText" dxfId="1199" priority="1047" operator="containsText" text="Action">
      <formula>NOT(ISERROR(SEARCH("Action",N317)))</formula>
    </cfRule>
    <cfRule type="containsText" dxfId="1198" priority="1048" operator="containsText" text="Completed">
      <formula>NOT(ISERROR(SEARCH("Completed",N317)))</formula>
    </cfRule>
    <cfRule type="containsText" dxfId="1197" priority="1049" operator="containsText" text="In Progress">
      <formula>NOT(ISERROR(SEARCH("In Progress",N317)))</formula>
    </cfRule>
    <cfRule type="containsText" dxfId="1196" priority="1050" operator="containsText" text="Not">
      <formula>NOT(ISERROR(SEARCH("Not",N317)))</formula>
    </cfRule>
  </conditionalFormatting>
  <conditionalFormatting sqref="N276">
    <cfRule type="containsText" dxfId="1195" priority="1043" operator="containsText" text="Action">
      <formula>NOT(ISERROR(SEARCH("Action",N276)))</formula>
    </cfRule>
    <cfRule type="containsText" dxfId="1194" priority="1044" operator="containsText" text="Completed">
      <formula>NOT(ISERROR(SEARCH("Completed",N276)))</formula>
    </cfRule>
    <cfRule type="containsText" dxfId="1193" priority="1045" operator="containsText" text="In Progress">
      <formula>NOT(ISERROR(SEARCH("In Progress",N276)))</formula>
    </cfRule>
    <cfRule type="containsText" dxfId="1192" priority="1046" operator="containsText" text="Not">
      <formula>NOT(ISERROR(SEARCH("Not",N276)))</formula>
    </cfRule>
  </conditionalFormatting>
  <conditionalFormatting sqref="N248">
    <cfRule type="containsText" dxfId="1191" priority="1039" operator="containsText" text="Action">
      <formula>NOT(ISERROR(SEARCH("Action",N248)))</formula>
    </cfRule>
    <cfRule type="containsText" dxfId="1190" priority="1040" operator="containsText" text="Completed">
      <formula>NOT(ISERROR(SEARCH("Completed",N248)))</formula>
    </cfRule>
    <cfRule type="containsText" dxfId="1189" priority="1041" operator="containsText" text="In Progress">
      <formula>NOT(ISERROR(SEARCH("In Progress",N248)))</formula>
    </cfRule>
    <cfRule type="containsText" dxfId="1188" priority="1042" operator="containsText" text="Not">
      <formula>NOT(ISERROR(SEARCH("Not",N248)))</formula>
    </cfRule>
  </conditionalFormatting>
  <conditionalFormatting sqref="N180">
    <cfRule type="containsText" dxfId="1187" priority="1035" operator="containsText" text="Action">
      <formula>NOT(ISERROR(SEARCH("Action",N180)))</formula>
    </cfRule>
    <cfRule type="containsText" dxfId="1186" priority="1036" operator="containsText" text="Completed">
      <formula>NOT(ISERROR(SEARCH("Completed",N180)))</formula>
    </cfRule>
    <cfRule type="containsText" dxfId="1185" priority="1037" operator="containsText" text="In Progress">
      <formula>NOT(ISERROR(SEARCH("In Progress",N180)))</formula>
    </cfRule>
    <cfRule type="containsText" dxfId="1184" priority="1038" operator="containsText" text="Not">
      <formula>NOT(ISERROR(SEARCH("Not",N180)))</formula>
    </cfRule>
  </conditionalFormatting>
  <conditionalFormatting sqref="N105">
    <cfRule type="containsText" dxfId="1183" priority="1031" operator="containsText" text="Action">
      <formula>NOT(ISERROR(SEARCH("Action",N105)))</formula>
    </cfRule>
    <cfRule type="containsText" dxfId="1182" priority="1032" operator="containsText" text="Completed">
      <formula>NOT(ISERROR(SEARCH("Completed",N105)))</formula>
    </cfRule>
    <cfRule type="containsText" dxfId="1181" priority="1033" operator="containsText" text="In Progress">
      <formula>NOT(ISERROR(SEARCH("In Progress",N105)))</formula>
    </cfRule>
    <cfRule type="containsText" dxfId="1180" priority="1034" operator="containsText" text="Not">
      <formula>NOT(ISERROR(SEARCH("Not",N105)))</formula>
    </cfRule>
  </conditionalFormatting>
  <conditionalFormatting sqref="N85">
    <cfRule type="containsText" dxfId="1179" priority="1027" operator="containsText" text="Action">
      <formula>NOT(ISERROR(SEARCH("Action",N85)))</formula>
    </cfRule>
    <cfRule type="containsText" dxfId="1178" priority="1028" operator="containsText" text="Completed">
      <formula>NOT(ISERROR(SEARCH("Completed",N85)))</formula>
    </cfRule>
    <cfRule type="containsText" dxfId="1177" priority="1029" operator="containsText" text="In Progress">
      <formula>NOT(ISERROR(SEARCH("In Progress",N85)))</formula>
    </cfRule>
    <cfRule type="containsText" dxfId="1176" priority="1030" operator="containsText" text="Not">
      <formula>NOT(ISERROR(SEARCH("Not",N85)))</formula>
    </cfRule>
  </conditionalFormatting>
  <conditionalFormatting sqref="N1118">
    <cfRule type="containsText" dxfId="1175" priority="1023" operator="containsText" text="Action">
      <formula>NOT(ISERROR(SEARCH("Action",N1118)))</formula>
    </cfRule>
    <cfRule type="containsText" dxfId="1174" priority="1024" operator="containsText" text="Completed">
      <formula>NOT(ISERROR(SEARCH("Completed",N1118)))</formula>
    </cfRule>
    <cfRule type="containsText" dxfId="1173" priority="1025" operator="containsText" text="In Progress">
      <formula>NOT(ISERROR(SEARCH("In Progress",N1118)))</formula>
    </cfRule>
    <cfRule type="containsText" dxfId="1172" priority="1026" operator="containsText" text="Not">
      <formula>NOT(ISERROR(SEARCH("Not",N1118)))</formula>
    </cfRule>
  </conditionalFormatting>
  <conditionalFormatting sqref="N4">
    <cfRule type="containsText" dxfId="1171" priority="1019" operator="containsText" text="Action">
      <formula>NOT(ISERROR(SEARCH("Action",N4)))</formula>
    </cfRule>
    <cfRule type="containsText" dxfId="1170" priority="1020" operator="containsText" text="Completed">
      <formula>NOT(ISERROR(SEARCH("Completed",N4)))</formula>
    </cfRule>
    <cfRule type="containsText" dxfId="1169" priority="1021" operator="containsText" text="In Progress">
      <formula>NOT(ISERROR(SEARCH("In Progress",N4)))</formula>
    </cfRule>
    <cfRule type="containsText" dxfId="1168" priority="1022" operator="containsText" text="Not">
      <formula>NOT(ISERROR(SEARCH("Not",N4)))</formula>
    </cfRule>
  </conditionalFormatting>
  <conditionalFormatting sqref="N21">
    <cfRule type="containsText" dxfId="1167" priority="1015" operator="containsText" text="Action">
      <formula>NOT(ISERROR(SEARCH("Action",N21)))</formula>
    </cfRule>
    <cfRule type="containsText" dxfId="1166" priority="1016" operator="containsText" text="Completed">
      <formula>NOT(ISERROR(SEARCH("Completed",N21)))</formula>
    </cfRule>
    <cfRule type="containsText" dxfId="1165" priority="1017" operator="containsText" text="In Progress">
      <formula>NOT(ISERROR(SEARCH("In Progress",N21)))</formula>
    </cfRule>
    <cfRule type="containsText" dxfId="1164" priority="1018" operator="containsText" text="Not">
      <formula>NOT(ISERROR(SEARCH("Not",N21)))</formula>
    </cfRule>
  </conditionalFormatting>
  <conditionalFormatting sqref="AF426">
    <cfRule type="cellIs" dxfId="1163" priority="1013" operator="greaterThan">
      <formula>0</formula>
    </cfRule>
    <cfRule type="cellIs" dxfId="1162" priority="1014" operator="lessThan">
      <formula>0</formula>
    </cfRule>
  </conditionalFormatting>
  <conditionalFormatting sqref="AF427">
    <cfRule type="cellIs" dxfId="1161" priority="1011" operator="greaterThan">
      <formula>0</formula>
    </cfRule>
    <cfRule type="cellIs" dxfId="1160" priority="1012" operator="lessThan">
      <formula>0</formula>
    </cfRule>
  </conditionalFormatting>
  <conditionalFormatting sqref="AF430">
    <cfRule type="cellIs" dxfId="1159" priority="1009" operator="greaterThan">
      <formula>0</formula>
    </cfRule>
    <cfRule type="cellIs" dxfId="1158" priority="1010" operator="lessThan">
      <formula>0</formula>
    </cfRule>
  </conditionalFormatting>
  <conditionalFormatting sqref="AF559">
    <cfRule type="cellIs" dxfId="1157" priority="1003" operator="greaterThan">
      <formula>0</formula>
    </cfRule>
    <cfRule type="cellIs" dxfId="1156" priority="1004" operator="lessThan">
      <formula>0</formula>
    </cfRule>
  </conditionalFormatting>
  <conditionalFormatting sqref="AF555">
    <cfRule type="cellIs" dxfId="1155" priority="1005" operator="greaterThan">
      <formula>0</formula>
    </cfRule>
    <cfRule type="cellIs" dxfId="1154" priority="1006" operator="lessThan">
      <formula>0</formula>
    </cfRule>
  </conditionalFormatting>
  <conditionalFormatting sqref="AF558 AF560 AF564">
    <cfRule type="cellIs" dxfId="1153" priority="1007" operator="greaterThan">
      <formula>0</formula>
    </cfRule>
    <cfRule type="cellIs" dxfId="1152" priority="1008" operator="lessThan">
      <formula>0</formula>
    </cfRule>
  </conditionalFormatting>
  <conditionalFormatting sqref="AF553">
    <cfRule type="cellIs" dxfId="1151" priority="1001" operator="greaterThan">
      <formula>0</formula>
    </cfRule>
    <cfRule type="cellIs" dxfId="1150" priority="1002" operator="lessThan">
      <formula>0</formula>
    </cfRule>
  </conditionalFormatting>
  <conditionalFormatting sqref="AF566">
    <cfRule type="cellIs" dxfId="1149" priority="999" operator="greaterThan">
      <formula>0</formula>
    </cfRule>
    <cfRule type="cellIs" dxfId="1148" priority="1000" operator="lessThan">
      <formula>0</formula>
    </cfRule>
  </conditionalFormatting>
  <conditionalFormatting sqref="AF562">
    <cfRule type="cellIs" dxfId="1147" priority="991" operator="greaterThan">
      <formula>0</formula>
    </cfRule>
    <cfRule type="cellIs" dxfId="1146" priority="992" operator="lessThan">
      <formula>0</formula>
    </cfRule>
  </conditionalFormatting>
  <conditionalFormatting sqref="AF565">
    <cfRule type="cellIs" dxfId="1145" priority="997" operator="greaterThan">
      <formula>0</formula>
    </cfRule>
    <cfRule type="cellIs" dxfId="1144" priority="998" operator="lessThan">
      <formula>0</formula>
    </cfRule>
  </conditionalFormatting>
  <conditionalFormatting sqref="N553">
    <cfRule type="containsText" dxfId="1143" priority="993" operator="containsText" text="Action">
      <formula>NOT(ISERROR(SEARCH("Action",N553)))</formula>
    </cfRule>
    <cfRule type="containsText" dxfId="1142" priority="994" operator="containsText" text="Completed">
      <formula>NOT(ISERROR(SEARCH("Completed",N553)))</formula>
    </cfRule>
    <cfRule type="containsText" dxfId="1141" priority="995" operator="containsText" text="In Progress">
      <formula>NOT(ISERROR(SEARCH("In Progress",N553)))</formula>
    </cfRule>
    <cfRule type="containsText" dxfId="1140" priority="996" operator="containsText" text="Not">
      <formula>NOT(ISERROR(SEARCH("Not",N553)))</formula>
    </cfRule>
  </conditionalFormatting>
  <conditionalFormatting sqref="AF715 AF717">
    <cfRule type="cellIs" dxfId="1139" priority="989" operator="greaterThan">
      <formula>0</formula>
    </cfRule>
    <cfRule type="cellIs" dxfId="1138" priority="990" operator="lessThan">
      <formula>0</formula>
    </cfRule>
  </conditionalFormatting>
  <conditionalFormatting sqref="AF719">
    <cfRule type="cellIs" dxfId="1137" priority="985" operator="greaterThan">
      <formula>0</formula>
    </cfRule>
    <cfRule type="cellIs" dxfId="1136" priority="986" operator="lessThan">
      <formula>0</formula>
    </cfRule>
  </conditionalFormatting>
  <conditionalFormatting sqref="AF712">
    <cfRule type="cellIs" dxfId="1135" priority="987" operator="greaterThan">
      <formula>0</formula>
    </cfRule>
    <cfRule type="cellIs" dxfId="1134" priority="988" operator="lessThan">
      <formula>0</formula>
    </cfRule>
  </conditionalFormatting>
  <conditionalFormatting sqref="AF718">
    <cfRule type="cellIs" dxfId="1133" priority="983" operator="greaterThan">
      <formula>0</formula>
    </cfRule>
    <cfRule type="cellIs" dxfId="1132" priority="984" operator="lessThan">
      <formula>0</formula>
    </cfRule>
  </conditionalFormatting>
  <conditionalFormatting sqref="N712">
    <cfRule type="containsText" dxfId="1131" priority="979" operator="containsText" text="Action">
      <formula>NOT(ISERROR(SEARCH("Action",N712)))</formula>
    </cfRule>
    <cfRule type="containsText" dxfId="1130" priority="980" operator="containsText" text="Completed">
      <formula>NOT(ISERROR(SEARCH("Completed",N712)))</formula>
    </cfRule>
    <cfRule type="containsText" dxfId="1129" priority="981" operator="containsText" text="In Progress">
      <formula>NOT(ISERROR(SEARCH("In Progress",N712)))</formula>
    </cfRule>
    <cfRule type="containsText" dxfId="1128" priority="982" operator="containsText" text="Not">
      <formula>NOT(ISERROR(SEARCH("Not",N712)))</formula>
    </cfRule>
  </conditionalFormatting>
  <conditionalFormatting sqref="AF716">
    <cfRule type="cellIs" dxfId="1127" priority="977" operator="greaterThan">
      <formula>0</formula>
    </cfRule>
    <cfRule type="cellIs" dxfId="1126" priority="978" operator="lessThan">
      <formula>0</formula>
    </cfRule>
  </conditionalFormatting>
  <conditionalFormatting sqref="AF679">
    <cfRule type="cellIs" dxfId="1125" priority="971" operator="greaterThan">
      <formula>0</formula>
    </cfRule>
    <cfRule type="cellIs" dxfId="1124" priority="972" operator="lessThan">
      <formula>0</formula>
    </cfRule>
  </conditionalFormatting>
  <conditionalFormatting sqref="AF673">
    <cfRule type="cellIs" dxfId="1123" priority="973" operator="greaterThan">
      <formula>0</formula>
    </cfRule>
    <cfRule type="cellIs" dxfId="1122" priority="974" operator="lessThan">
      <formula>0</formula>
    </cfRule>
  </conditionalFormatting>
  <conditionalFormatting sqref="AF675:AF678 AF681 AF685 AF683">
    <cfRule type="cellIs" dxfId="1121" priority="975" operator="greaterThan">
      <formula>0</formula>
    </cfRule>
    <cfRule type="cellIs" dxfId="1120" priority="976" operator="lessThan">
      <formula>0</formula>
    </cfRule>
  </conditionalFormatting>
  <conditionalFormatting sqref="AF671">
    <cfRule type="cellIs" dxfId="1119" priority="969" operator="greaterThan">
      <formula>0</formula>
    </cfRule>
    <cfRule type="cellIs" dxfId="1118" priority="970" operator="lessThan">
      <formula>0</formula>
    </cfRule>
  </conditionalFormatting>
  <conditionalFormatting sqref="AF686">
    <cfRule type="cellIs" dxfId="1117" priority="965" operator="greaterThan">
      <formula>0</formula>
    </cfRule>
    <cfRule type="cellIs" dxfId="1116" priority="966" operator="lessThan">
      <formula>0</formula>
    </cfRule>
  </conditionalFormatting>
  <conditionalFormatting sqref="AF687">
    <cfRule type="cellIs" dxfId="1115" priority="967" operator="greaterThan">
      <formula>0</formula>
    </cfRule>
    <cfRule type="cellIs" dxfId="1114" priority="968" operator="lessThan">
      <formula>0</formula>
    </cfRule>
  </conditionalFormatting>
  <conditionalFormatting sqref="N671">
    <cfRule type="containsText" dxfId="1113" priority="961" operator="containsText" text="Action">
      <formula>NOT(ISERROR(SEARCH("Action",N671)))</formula>
    </cfRule>
    <cfRule type="containsText" dxfId="1112" priority="962" operator="containsText" text="Completed">
      <formula>NOT(ISERROR(SEARCH("Completed",N671)))</formula>
    </cfRule>
    <cfRule type="containsText" dxfId="1111" priority="963" operator="containsText" text="In Progress">
      <formula>NOT(ISERROR(SEARCH("In Progress",N671)))</formula>
    </cfRule>
    <cfRule type="containsText" dxfId="1110" priority="964" operator="containsText" text="Not">
      <formula>NOT(ISERROR(SEARCH("Not",N671)))</formula>
    </cfRule>
  </conditionalFormatting>
  <conditionalFormatting sqref="AF684">
    <cfRule type="cellIs" dxfId="1109" priority="959" operator="greaterThan">
      <formula>0</formula>
    </cfRule>
    <cfRule type="cellIs" dxfId="1108" priority="960" operator="lessThan">
      <formula>0</formula>
    </cfRule>
  </conditionalFormatting>
  <conditionalFormatting sqref="AF554">
    <cfRule type="cellIs" dxfId="1107" priority="957" operator="greaterThan">
      <formula>0</formula>
    </cfRule>
    <cfRule type="cellIs" dxfId="1106" priority="958" operator="lessThan">
      <formula>0</formula>
    </cfRule>
  </conditionalFormatting>
  <conditionalFormatting sqref="AF594">
    <cfRule type="cellIs" dxfId="1105" priority="955" operator="greaterThan">
      <formula>0</formula>
    </cfRule>
    <cfRule type="cellIs" dxfId="1104" priority="956" operator="lessThan">
      <formula>0</formula>
    </cfRule>
  </conditionalFormatting>
  <conditionalFormatting sqref="AF605">
    <cfRule type="cellIs" dxfId="1103" priority="953" operator="greaterThan">
      <formula>0</formula>
    </cfRule>
    <cfRule type="cellIs" dxfId="1102" priority="954" operator="lessThan">
      <formula>0</formula>
    </cfRule>
  </conditionalFormatting>
  <conditionalFormatting sqref="AF145">
    <cfRule type="cellIs" dxfId="1101" priority="951" operator="greaterThan">
      <formula>0</formula>
    </cfRule>
    <cfRule type="cellIs" dxfId="1100" priority="952" operator="lessThan">
      <formula>0</formula>
    </cfRule>
  </conditionalFormatting>
  <conditionalFormatting sqref="AF991">
    <cfRule type="cellIs" dxfId="1099" priority="949" operator="greaterThan">
      <formula>0</formula>
    </cfRule>
    <cfRule type="cellIs" dxfId="1098" priority="950" operator="lessThan">
      <formula>0</formula>
    </cfRule>
  </conditionalFormatting>
  <conditionalFormatting sqref="AF1013">
    <cfRule type="cellIs" dxfId="1097" priority="947" operator="greaterThan">
      <formula>0</formula>
    </cfRule>
    <cfRule type="cellIs" dxfId="1096" priority="948" operator="lessThan">
      <formula>0</formula>
    </cfRule>
  </conditionalFormatting>
  <conditionalFormatting sqref="AF943">
    <cfRule type="cellIs" dxfId="1095" priority="935" operator="greaterThan">
      <formula>0</formula>
    </cfRule>
    <cfRule type="cellIs" dxfId="1094" priority="936" operator="lessThan">
      <formula>0</formula>
    </cfRule>
  </conditionalFormatting>
  <conditionalFormatting sqref="AF1035">
    <cfRule type="cellIs" dxfId="1093" priority="945" operator="greaterThan">
      <formula>0</formula>
    </cfRule>
    <cfRule type="cellIs" dxfId="1092" priority="946" operator="lessThan">
      <formula>0</formula>
    </cfRule>
  </conditionalFormatting>
  <conditionalFormatting sqref="AF1057">
    <cfRule type="cellIs" dxfId="1091" priority="943" operator="greaterThan">
      <formula>0</formula>
    </cfRule>
    <cfRule type="cellIs" dxfId="1090" priority="944" operator="lessThan">
      <formula>0</formula>
    </cfRule>
  </conditionalFormatting>
  <conditionalFormatting sqref="AF1079">
    <cfRule type="cellIs" dxfId="1089" priority="941" operator="greaterThan">
      <formula>0</formula>
    </cfRule>
    <cfRule type="cellIs" dxfId="1088" priority="942" operator="lessThan">
      <formula>0</formula>
    </cfRule>
  </conditionalFormatting>
  <conditionalFormatting sqref="AF941 AF932 AF937">
    <cfRule type="cellIs" dxfId="1087" priority="939" operator="greaterThan">
      <formula>0</formula>
    </cfRule>
    <cfRule type="cellIs" dxfId="1086" priority="940" operator="lessThan">
      <formula>0</formula>
    </cfRule>
  </conditionalFormatting>
  <conditionalFormatting sqref="AF939">
    <cfRule type="cellIs" dxfId="1085" priority="937" operator="greaterThan">
      <formula>0</formula>
    </cfRule>
    <cfRule type="cellIs" dxfId="1084" priority="938" operator="lessThan">
      <formula>0</formula>
    </cfRule>
  </conditionalFormatting>
  <conditionalFormatting sqref="AF942">
    <cfRule type="cellIs" dxfId="1083" priority="933" operator="greaterThan">
      <formula>0</formula>
    </cfRule>
    <cfRule type="cellIs" dxfId="1082" priority="934" operator="lessThan">
      <formula>0</formula>
    </cfRule>
  </conditionalFormatting>
  <conditionalFormatting sqref="AF930">
    <cfRule type="cellIs" dxfId="1081" priority="931" operator="greaterThan">
      <formula>0</formula>
    </cfRule>
    <cfRule type="cellIs" dxfId="1080" priority="932" operator="lessThan">
      <formula>0</formula>
    </cfRule>
  </conditionalFormatting>
  <conditionalFormatting sqref="N930">
    <cfRule type="containsText" dxfId="1079" priority="927" operator="containsText" text="Action">
      <formula>NOT(ISERROR(SEARCH("Action",N930)))</formula>
    </cfRule>
    <cfRule type="containsText" dxfId="1078" priority="928" operator="containsText" text="Completed">
      <formula>NOT(ISERROR(SEARCH("Completed",N930)))</formula>
    </cfRule>
    <cfRule type="containsText" dxfId="1077" priority="929" operator="containsText" text="In Progress">
      <formula>NOT(ISERROR(SEARCH("In Progress",N930)))</formula>
    </cfRule>
    <cfRule type="containsText" dxfId="1076" priority="930" operator="containsText" text="Not">
      <formula>NOT(ISERROR(SEARCH("Not",N930)))</formula>
    </cfRule>
  </conditionalFormatting>
  <conditionalFormatting sqref="AF940">
    <cfRule type="cellIs" dxfId="1075" priority="925" operator="greaterThan">
      <formula>0</formula>
    </cfRule>
    <cfRule type="cellIs" dxfId="1074" priority="926" operator="lessThan">
      <formula>0</formula>
    </cfRule>
  </conditionalFormatting>
  <conditionalFormatting sqref="AF931">
    <cfRule type="cellIs" dxfId="1073" priority="923" operator="greaterThan">
      <formula>0</formula>
    </cfRule>
    <cfRule type="cellIs" dxfId="1072" priority="924" operator="lessThan">
      <formula>0</formula>
    </cfRule>
  </conditionalFormatting>
  <conditionalFormatting sqref="AF864">
    <cfRule type="cellIs" dxfId="1071" priority="921" operator="greaterThan">
      <formula>0</formula>
    </cfRule>
    <cfRule type="cellIs" dxfId="1070" priority="922" operator="lessThan">
      <formula>0</formula>
    </cfRule>
  </conditionalFormatting>
  <conditionalFormatting sqref="AF856">
    <cfRule type="cellIs" dxfId="1069" priority="919" operator="greaterThan">
      <formula>0</formula>
    </cfRule>
    <cfRule type="cellIs" dxfId="1068" priority="920" operator="lessThan">
      <formula>0</formula>
    </cfRule>
  </conditionalFormatting>
  <conditionalFormatting sqref="AF865">
    <cfRule type="cellIs" dxfId="1067" priority="915" operator="greaterThan">
      <formula>0</formula>
    </cfRule>
    <cfRule type="cellIs" dxfId="1066" priority="916" operator="lessThan">
      <formula>0</formula>
    </cfRule>
  </conditionalFormatting>
  <conditionalFormatting sqref="AF866">
    <cfRule type="cellIs" dxfId="1065" priority="917" operator="greaterThan">
      <formula>0</formula>
    </cfRule>
    <cfRule type="cellIs" dxfId="1064" priority="918" operator="lessThan">
      <formula>0</formula>
    </cfRule>
  </conditionalFormatting>
  <conditionalFormatting sqref="N856">
    <cfRule type="containsText" dxfId="1063" priority="911" operator="containsText" text="Action">
      <formula>NOT(ISERROR(SEARCH("Action",N856)))</formula>
    </cfRule>
    <cfRule type="containsText" dxfId="1062" priority="912" operator="containsText" text="Completed">
      <formula>NOT(ISERROR(SEARCH("Completed",N856)))</formula>
    </cfRule>
    <cfRule type="containsText" dxfId="1061" priority="913" operator="containsText" text="In Progress">
      <formula>NOT(ISERROR(SEARCH("In Progress",N856)))</formula>
    </cfRule>
    <cfRule type="containsText" dxfId="1060" priority="914" operator="containsText" text="Not">
      <formula>NOT(ISERROR(SEARCH("Not",N856)))</formula>
    </cfRule>
  </conditionalFormatting>
  <conditionalFormatting sqref="AF857">
    <cfRule type="cellIs" dxfId="1059" priority="909" operator="greaterThan">
      <formula>0</formula>
    </cfRule>
    <cfRule type="cellIs" dxfId="1058" priority="910" operator="lessThan">
      <formula>0</formula>
    </cfRule>
  </conditionalFormatting>
  <conditionalFormatting sqref="AF869">
    <cfRule type="cellIs" dxfId="1057" priority="905" operator="greaterThan">
      <formula>0</formula>
    </cfRule>
    <cfRule type="cellIs" dxfId="1056" priority="906" operator="lessThan">
      <formula>0</formula>
    </cfRule>
  </conditionalFormatting>
  <conditionalFormatting sqref="AF872">
    <cfRule type="cellIs" dxfId="1055" priority="907" operator="greaterThan">
      <formula>0</formula>
    </cfRule>
    <cfRule type="cellIs" dxfId="1054" priority="908" operator="lessThan">
      <formula>0</formula>
    </cfRule>
  </conditionalFormatting>
  <conditionalFormatting sqref="AF874">
    <cfRule type="cellIs" dxfId="1053" priority="903" operator="greaterThan">
      <formula>0</formula>
    </cfRule>
    <cfRule type="cellIs" dxfId="1052" priority="904" operator="lessThan">
      <formula>0</formula>
    </cfRule>
  </conditionalFormatting>
  <conditionalFormatting sqref="AF873">
    <cfRule type="cellIs" dxfId="1051" priority="901" operator="greaterThan">
      <formula>0</formula>
    </cfRule>
    <cfRule type="cellIs" dxfId="1050" priority="902" operator="lessThan">
      <formula>0</formula>
    </cfRule>
  </conditionalFormatting>
  <conditionalFormatting sqref="N867">
    <cfRule type="containsText" dxfId="1049" priority="897" operator="containsText" text="Action">
      <formula>NOT(ISERROR(SEARCH("Action",N867)))</formula>
    </cfRule>
    <cfRule type="containsText" dxfId="1048" priority="898" operator="containsText" text="Completed">
      <formula>NOT(ISERROR(SEARCH("Completed",N867)))</formula>
    </cfRule>
    <cfRule type="containsText" dxfId="1047" priority="899" operator="containsText" text="In Progress">
      <formula>NOT(ISERROR(SEARCH("In Progress",N867)))</formula>
    </cfRule>
    <cfRule type="containsText" dxfId="1046" priority="900" operator="containsText" text="Not">
      <formula>NOT(ISERROR(SEARCH("Not",N867)))</formula>
    </cfRule>
  </conditionalFormatting>
  <conditionalFormatting sqref="AF868">
    <cfRule type="cellIs" dxfId="1045" priority="895" operator="greaterThan">
      <formula>0</formula>
    </cfRule>
    <cfRule type="cellIs" dxfId="1044" priority="896" operator="lessThan">
      <formula>0</formula>
    </cfRule>
  </conditionalFormatting>
  <conditionalFormatting sqref="N302">
    <cfRule type="containsText" dxfId="1043" priority="891" operator="containsText" text="Action">
      <formula>NOT(ISERROR(SEARCH("Action",N302)))</formula>
    </cfRule>
    <cfRule type="containsText" dxfId="1042" priority="892" operator="containsText" text="Completed">
      <formula>NOT(ISERROR(SEARCH("Completed",N302)))</formula>
    </cfRule>
    <cfRule type="containsText" dxfId="1041" priority="893" operator="containsText" text="In Progress">
      <formula>NOT(ISERROR(SEARCH("In Progress",N302)))</formula>
    </cfRule>
    <cfRule type="containsText" dxfId="1040" priority="894" operator="containsText" text="Not">
      <formula>NOT(ISERROR(SEARCH("Not",N302)))</formula>
    </cfRule>
  </conditionalFormatting>
  <conditionalFormatting sqref="AF993">
    <cfRule type="cellIs" dxfId="1039" priority="889" operator="greaterThan">
      <formula>0</formula>
    </cfRule>
    <cfRule type="cellIs" dxfId="1038" priority="890" operator="lessThan">
      <formula>0</formula>
    </cfRule>
  </conditionalFormatting>
  <conditionalFormatting sqref="AF1015">
    <cfRule type="cellIs" dxfId="1037" priority="887" operator="greaterThan">
      <formula>0</formula>
    </cfRule>
    <cfRule type="cellIs" dxfId="1036" priority="888" operator="lessThan">
      <formula>0</formula>
    </cfRule>
  </conditionalFormatting>
  <conditionalFormatting sqref="AF946 AF948">
    <cfRule type="cellIs" dxfId="1035" priority="885" operator="greaterThan">
      <formula>0</formula>
    </cfRule>
    <cfRule type="cellIs" dxfId="1034" priority="886" operator="lessThan">
      <formula>0</formula>
    </cfRule>
  </conditionalFormatting>
  <conditionalFormatting sqref="AF944">
    <cfRule type="cellIs" dxfId="1033" priority="883" operator="greaterThan">
      <formula>0</formula>
    </cfRule>
    <cfRule type="cellIs" dxfId="1032" priority="884" operator="lessThan">
      <formula>0</formula>
    </cfRule>
  </conditionalFormatting>
  <conditionalFormatting sqref="AF949">
    <cfRule type="cellIs" dxfId="1031" priority="881" operator="greaterThan">
      <formula>0</formula>
    </cfRule>
    <cfRule type="cellIs" dxfId="1030" priority="882" operator="lessThan">
      <formula>0</formula>
    </cfRule>
  </conditionalFormatting>
  <conditionalFormatting sqref="N944">
    <cfRule type="containsText" dxfId="1029" priority="877" operator="containsText" text="Action">
      <formula>NOT(ISERROR(SEARCH("Action",N944)))</formula>
    </cfRule>
    <cfRule type="containsText" dxfId="1028" priority="878" operator="containsText" text="Completed">
      <formula>NOT(ISERROR(SEARCH("Completed",N944)))</formula>
    </cfRule>
    <cfRule type="containsText" dxfId="1027" priority="879" operator="containsText" text="In Progress">
      <formula>NOT(ISERROR(SEARCH("In Progress",N944)))</formula>
    </cfRule>
    <cfRule type="containsText" dxfId="1026" priority="880" operator="containsText" text="Not">
      <formula>NOT(ISERROR(SEARCH("Not",N944)))</formula>
    </cfRule>
  </conditionalFormatting>
  <conditionalFormatting sqref="AF945">
    <cfRule type="cellIs" dxfId="1025" priority="875" operator="greaterThan">
      <formula>0</formula>
    </cfRule>
    <cfRule type="cellIs" dxfId="1024" priority="876" operator="lessThan">
      <formula>0</formula>
    </cfRule>
  </conditionalFormatting>
  <conditionalFormatting sqref="AF1037">
    <cfRule type="cellIs" dxfId="1023" priority="873" operator="greaterThan">
      <formula>0</formula>
    </cfRule>
    <cfRule type="cellIs" dxfId="1022" priority="874" operator="lessThan">
      <formula>0</formula>
    </cfRule>
  </conditionalFormatting>
  <conditionalFormatting sqref="AF1059">
    <cfRule type="cellIs" dxfId="1021" priority="871" operator="greaterThan">
      <formula>0</formula>
    </cfRule>
    <cfRule type="cellIs" dxfId="1020" priority="872" operator="lessThan">
      <formula>0</formula>
    </cfRule>
  </conditionalFormatting>
  <conditionalFormatting sqref="AF1081">
    <cfRule type="cellIs" dxfId="1019" priority="869" operator="greaterThan">
      <formula>0</formula>
    </cfRule>
    <cfRule type="cellIs" dxfId="1018" priority="870" operator="lessThan">
      <formula>0</formula>
    </cfRule>
  </conditionalFormatting>
  <conditionalFormatting sqref="AF1137:AF1148">
    <cfRule type="cellIs" dxfId="1017" priority="867" operator="greaterThan">
      <formula>0</formula>
    </cfRule>
    <cfRule type="cellIs" dxfId="1016" priority="868" operator="lessThan">
      <formula>0</formula>
    </cfRule>
  </conditionalFormatting>
  <conditionalFormatting sqref="AF1150:AF1162">
    <cfRule type="cellIs" dxfId="1015" priority="865" operator="greaterThan">
      <formula>0</formula>
    </cfRule>
    <cfRule type="cellIs" dxfId="1014" priority="866" operator="lessThan">
      <formula>0</formula>
    </cfRule>
  </conditionalFormatting>
  <conditionalFormatting sqref="AF431">
    <cfRule type="cellIs" dxfId="1013" priority="863" operator="greaterThan">
      <formula>0</formula>
    </cfRule>
    <cfRule type="cellIs" dxfId="1012" priority="864" operator="lessThan">
      <formula>0</formula>
    </cfRule>
  </conditionalFormatting>
  <conditionalFormatting sqref="AF535:AF536">
    <cfRule type="cellIs" dxfId="1011" priority="861" operator="greaterThan">
      <formula>0</formula>
    </cfRule>
    <cfRule type="cellIs" dxfId="1010" priority="862" operator="lessThan">
      <formula>0</formula>
    </cfRule>
  </conditionalFormatting>
  <conditionalFormatting sqref="AF484:AF486 AF488 AF490:AF491">
    <cfRule type="cellIs" dxfId="1009" priority="859" operator="greaterThan">
      <formula>0</formula>
    </cfRule>
    <cfRule type="cellIs" dxfId="1008" priority="860" operator="lessThan">
      <formula>0</formula>
    </cfRule>
  </conditionalFormatting>
  <conditionalFormatting sqref="AF487">
    <cfRule type="cellIs" dxfId="1007" priority="857" operator="greaterThan">
      <formula>0</formula>
    </cfRule>
    <cfRule type="cellIs" dxfId="1006" priority="858" operator="lessThan">
      <formula>0</formula>
    </cfRule>
  </conditionalFormatting>
  <conditionalFormatting sqref="AF482">
    <cfRule type="cellIs" dxfId="1005" priority="855" operator="greaterThan">
      <formula>0</formula>
    </cfRule>
    <cfRule type="cellIs" dxfId="1004" priority="856" operator="lessThan">
      <formula>0</formula>
    </cfRule>
  </conditionalFormatting>
  <conditionalFormatting sqref="AF160:AF162">
    <cfRule type="cellIs" dxfId="1003" priority="839" operator="greaterThan">
      <formula>0</formula>
    </cfRule>
    <cfRule type="cellIs" dxfId="1002" priority="840" operator="lessThan">
      <formula>0</formula>
    </cfRule>
  </conditionalFormatting>
  <conditionalFormatting sqref="AF493">
    <cfRule type="cellIs" dxfId="1001" priority="853" operator="greaterThan">
      <formula>0</formula>
    </cfRule>
    <cfRule type="cellIs" dxfId="1000" priority="854" operator="lessThan">
      <formula>0</formula>
    </cfRule>
  </conditionalFormatting>
  <conditionalFormatting sqref="AF492">
    <cfRule type="cellIs" dxfId="999" priority="851" operator="greaterThan">
      <formula>0</formula>
    </cfRule>
    <cfRule type="cellIs" dxfId="998" priority="852" operator="lessThan">
      <formula>0</formula>
    </cfRule>
  </conditionalFormatting>
  <conditionalFormatting sqref="N482">
    <cfRule type="containsText" dxfId="997" priority="847" operator="containsText" text="Action">
      <formula>NOT(ISERROR(SEARCH("Action",N482)))</formula>
    </cfRule>
    <cfRule type="containsText" dxfId="996" priority="848" operator="containsText" text="Completed">
      <formula>NOT(ISERROR(SEARCH("Completed",N482)))</formula>
    </cfRule>
    <cfRule type="containsText" dxfId="995" priority="849" operator="containsText" text="In Progress">
      <formula>NOT(ISERROR(SEARCH("In Progress",N482)))</formula>
    </cfRule>
    <cfRule type="containsText" dxfId="994" priority="850" operator="containsText" text="Not">
      <formula>NOT(ISERROR(SEARCH("Not",N482)))</formula>
    </cfRule>
  </conditionalFormatting>
  <conditionalFormatting sqref="AF483">
    <cfRule type="cellIs" dxfId="993" priority="845" operator="greaterThan">
      <formula>0</formula>
    </cfRule>
    <cfRule type="cellIs" dxfId="992" priority="846" operator="lessThan">
      <formula>0</formula>
    </cfRule>
  </conditionalFormatting>
  <conditionalFormatting sqref="AF164">
    <cfRule type="cellIs" dxfId="991" priority="843" operator="greaterThan">
      <formula>0</formula>
    </cfRule>
    <cfRule type="cellIs" dxfId="990" priority="844" operator="lessThan">
      <formula>0</formula>
    </cfRule>
  </conditionalFormatting>
  <conditionalFormatting sqref="AF154">
    <cfRule type="cellIs" dxfId="989" priority="841" operator="greaterThan">
      <formula>0</formula>
    </cfRule>
    <cfRule type="cellIs" dxfId="988" priority="842" operator="lessThan">
      <formula>0</formula>
    </cfRule>
  </conditionalFormatting>
  <conditionalFormatting sqref="AF166">
    <cfRule type="cellIs" dxfId="987" priority="837" operator="greaterThan">
      <formula>0</formula>
    </cfRule>
    <cfRule type="cellIs" dxfId="986" priority="838" operator="lessThan">
      <formula>0</formula>
    </cfRule>
  </conditionalFormatting>
  <conditionalFormatting sqref="AF165">
    <cfRule type="cellIs" dxfId="985" priority="835" operator="greaterThan">
      <formula>0</formula>
    </cfRule>
    <cfRule type="cellIs" dxfId="984" priority="836" operator="lessThan">
      <formula>0</formula>
    </cfRule>
  </conditionalFormatting>
  <conditionalFormatting sqref="AF155">
    <cfRule type="cellIs" dxfId="983" priority="833" operator="greaterThan">
      <formula>0</formula>
    </cfRule>
    <cfRule type="cellIs" dxfId="982" priority="834" operator="lessThan">
      <formula>0</formula>
    </cfRule>
  </conditionalFormatting>
  <conditionalFormatting sqref="AF463">
    <cfRule type="cellIs" dxfId="981" priority="827" operator="greaterThan">
      <formula>0</formula>
    </cfRule>
    <cfRule type="cellIs" dxfId="980" priority="828" operator="lessThan">
      <formula>0</formula>
    </cfRule>
  </conditionalFormatting>
  <conditionalFormatting sqref="AF457">
    <cfRule type="cellIs" dxfId="979" priority="829" operator="greaterThan">
      <formula>0</formula>
    </cfRule>
    <cfRule type="cellIs" dxfId="978" priority="830" operator="lessThan">
      <formula>0</formula>
    </cfRule>
  </conditionalFormatting>
  <conditionalFormatting sqref="AF459:AF462 AF465 AF470:AF471">
    <cfRule type="cellIs" dxfId="977" priority="831" operator="greaterThan">
      <formula>0</formula>
    </cfRule>
    <cfRule type="cellIs" dxfId="976" priority="832" operator="lessThan">
      <formula>0</formula>
    </cfRule>
  </conditionalFormatting>
  <conditionalFormatting sqref="AF455">
    <cfRule type="cellIs" dxfId="975" priority="825" operator="greaterThan">
      <formula>0</formula>
    </cfRule>
    <cfRule type="cellIs" dxfId="974" priority="826" operator="lessThan">
      <formula>0</formula>
    </cfRule>
  </conditionalFormatting>
  <conditionalFormatting sqref="AF466:AF468">
    <cfRule type="cellIs" dxfId="973" priority="823" operator="greaterThan">
      <formula>0</formula>
    </cfRule>
    <cfRule type="cellIs" dxfId="972" priority="824" operator="lessThan">
      <formula>0</formula>
    </cfRule>
  </conditionalFormatting>
  <conditionalFormatting sqref="AF473">
    <cfRule type="cellIs" dxfId="971" priority="821" operator="greaterThan">
      <formula>0</formula>
    </cfRule>
    <cfRule type="cellIs" dxfId="970" priority="822" operator="lessThan">
      <formula>0</formula>
    </cfRule>
  </conditionalFormatting>
  <conditionalFormatting sqref="AF472">
    <cfRule type="cellIs" dxfId="969" priority="819" operator="greaterThan">
      <formula>0</formula>
    </cfRule>
    <cfRule type="cellIs" dxfId="968" priority="820" operator="lessThan">
      <formula>0</formula>
    </cfRule>
  </conditionalFormatting>
  <conditionalFormatting sqref="N455">
    <cfRule type="containsText" dxfId="967" priority="815" operator="containsText" text="Action">
      <formula>NOT(ISERROR(SEARCH("Action",N455)))</formula>
    </cfRule>
    <cfRule type="containsText" dxfId="966" priority="816" operator="containsText" text="Completed">
      <formula>NOT(ISERROR(SEARCH("Completed",N455)))</formula>
    </cfRule>
    <cfRule type="containsText" dxfId="965" priority="817" operator="containsText" text="In Progress">
      <formula>NOT(ISERROR(SEARCH("In Progress",N455)))</formula>
    </cfRule>
    <cfRule type="containsText" dxfId="964" priority="818" operator="containsText" text="Not">
      <formula>NOT(ISERROR(SEARCH("Not",N455)))</formula>
    </cfRule>
  </conditionalFormatting>
  <conditionalFormatting sqref="AF456">
    <cfRule type="cellIs" dxfId="963" priority="813" operator="greaterThan">
      <formula>0</formula>
    </cfRule>
    <cfRule type="cellIs" dxfId="962" priority="814" operator="lessThan">
      <formula>0</formula>
    </cfRule>
  </conditionalFormatting>
  <conditionalFormatting sqref="AF458">
    <cfRule type="cellIs" dxfId="961" priority="811" operator="greaterThan">
      <formula>0</formula>
    </cfRule>
    <cfRule type="cellIs" dxfId="960" priority="812" operator="lessThan">
      <formula>0</formula>
    </cfRule>
  </conditionalFormatting>
  <conditionalFormatting sqref="AF727 AF722:AF725">
    <cfRule type="cellIs" dxfId="959" priority="809" operator="greaterThan">
      <formula>0</formula>
    </cfRule>
    <cfRule type="cellIs" dxfId="958" priority="810" operator="lessThan">
      <formula>0</formula>
    </cfRule>
  </conditionalFormatting>
  <conditionalFormatting sqref="AF720">
    <cfRule type="cellIs" dxfId="957" priority="807" operator="greaterThan">
      <formula>0</formula>
    </cfRule>
    <cfRule type="cellIs" dxfId="956" priority="808" operator="lessThan">
      <formula>0</formula>
    </cfRule>
  </conditionalFormatting>
  <conditionalFormatting sqref="AF729">
    <cfRule type="cellIs" dxfId="955" priority="805" operator="greaterThan">
      <formula>0</formula>
    </cfRule>
    <cfRule type="cellIs" dxfId="954" priority="806" operator="lessThan">
      <formula>0</formula>
    </cfRule>
  </conditionalFormatting>
  <conditionalFormatting sqref="AF728">
    <cfRule type="cellIs" dxfId="953" priority="803" operator="greaterThan">
      <formula>0</formula>
    </cfRule>
    <cfRule type="cellIs" dxfId="952" priority="804" operator="lessThan">
      <formula>0</formula>
    </cfRule>
  </conditionalFormatting>
  <conditionalFormatting sqref="N720">
    <cfRule type="containsText" dxfId="951" priority="799" operator="containsText" text="Action">
      <formula>NOT(ISERROR(SEARCH("Action",N720)))</formula>
    </cfRule>
    <cfRule type="containsText" dxfId="950" priority="800" operator="containsText" text="Completed">
      <formula>NOT(ISERROR(SEARCH("Completed",N720)))</formula>
    </cfRule>
    <cfRule type="containsText" dxfId="949" priority="801" operator="containsText" text="In Progress">
      <formula>NOT(ISERROR(SEARCH("In Progress",N720)))</formula>
    </cfRule>
    <cfRule type="containsText" dxfId="948" priority="802" operator="containsText" text="Not">
      <formula>NOT(ISERROR(SEARCH("Not",N720)))</formula>
    </cfRule>
  </conditionalFormatting>
  <conditionalFormatting sqref="AF721">
    <cfRule type="cellIs" dxfId="947" priority="797" operator="greaterThan">
      <formula>0</formula>
    </cfRule>
    <cfRule type="cellIs" dxfId="946" priority="798" operator="lessThan">
      <formula>0</formula>
    </cfRule>
  </conditionalFormatting>
  <conditionalFormatting sqref="AF780:AF782">
    <cfRule type="cellIs" dxfId="945" priority="795" operator="greaterThan">
      <formula>0</formula>
    </cfRule>
    <cfRule type="cellIs" dxfId="944" priority="796" operator="lessThan">
      <formula>0</formula>
    </cfRule>
  </conditionalFormatting>
  <conditionalFormatting sqref="AF870">
    <cfRule type="cellIs" dxfId="943" priority="793" operator="greaterThan">
      <formula>0</formula>
    </cfRule>
    <cfRule type="cellIs" dxfId="942" priority="794" operator="lessThan">
      <formula>0</formula>
    </cfRule>
  </conditionalFormatting>
  <conditionalFormatting sqref="AF45">
    <cfRule type="cellIs" dxfId="941" priority="791" operator="greaterThan">
      <formula>0</formula>
    </cfRule>
    <cfRule type="cellIs" dxfId="940" priority="792" operator="lessThan">
      <formula>0</formula>
    </cfRule>
  </conditionalFormatting>
  <conditionalFormatting sqref="AF1005">
    <cfRule type="cellIs" dxfId="939" priority="789" operator="greaterThan">
      <formula>0</formula>
    </cfRule>
    <cfRule type="cellIs" dxfId="938" priority="790" operator="lessThan">
      <formula>0</formula>
    </cfRule>
  </conditionalFormatting>
  <conditionalFormatting sqref="AF1027">
    <cfRule type="cellIs" dxfId="937" priority="787" operator="greaterThan">
      <formula>0</formula>
    </cfRule>
    <cfRule type="cellIs" dxfId="936" priority="788" operator="lessThan">
      <formula>0</formula>
    </cfRule>
  </conditionalFormatting>
  <conditionalFormatting sqref="AF1049">
    <cfRule type="cellIs" dxfId="935" priority="785" operator="greaterThan">
      <formula>0</formula>
    </cfRule>
    <cfRule type="cellIs" dxfId="934" priority="786" operator="lessThan">
      <formula>0</formula>
    </cfRule>
  </conditionalFormatting>
  <conditionalFormatting sqref="AF1071">
    <cfRule type="cellIs" dxfId="933" priority="783" operator="greaterThan">
      <formula>0</formula>
    </cfRule>
    <cfRule type="cellIs" dxfId="932" priority="784" operator="lessThan">
      <formula>0</formula>
    </cfRule>
  </conditionalFormatting>
  <conditionalFormatting sqref="AF1093">
    <cfRule type="cellIs" dxfId="931" priority="781" operator="greaterThan">
      <formula>0</formula>
    </cfRule>
    <cfRule type="cellIs" dxfId="930" priority="782" operator="lessThan">
      <formula>0</formula>
    </cfRule>
  </conditionalFormatting>
  <conditionalFormatting sqref="AF16">
    <cfRule type="cellIs" dxfId="929" priority="779" operator="greaterThan">
      <formula>0</formula>
    </cfRule>
    <cfRule type="cellIs" dxfId="928" priority="780" operator="lessThan">
      <formula>0</formula>
    </cfRule>
  </conditionalFormatting>
  <conditionalFormatting sqref="AF26">
    <cfRule type="cellIs" dxfId="927" priority="777" operator="greaterThan">
      <formula>0</formula>
    </cfRule>
    <cfRule type="cellIs" dxfId="926" priority="778" operator="lessThan">
      <formula>0</formula>
    </cfRule>
  </conditionalFormatting>
  <conditionalFormatting sqref="AF41">
    <cfRule type="cellIs" dxfId="925" priority="775" operator="greaterThan">
      <formula>0</formula>
    </cfRule>
    <cfRule type="cellIs" dxfId="924" priority="776" operator="lessThan">
      <formula>0</formula>
    </cfRule>
  </conditionalFormatting>
  <conditionalFormatting sqref="AF73">
    <cfRule type="cellIs" dxfId="923" priority="773" operator="greaterThan">
      <formula>0</formula>
    </cfRule>
    <cfRule type="cellIs" dxfId="922" priority="774" operator="lessThan">
      <formula>0</formula>
    </cfRule>
  </conditionalFormatting>
  <conditionalFormatting sqref="AF1129">
    <cfRule type="cellIs" dxfId="921" priority="771" operator="greaterThan">
      <formula>0</formula>
    </cfRule>
    <cfRule type="cellIs" dxfId="920" priority="772" operator="lessThan">
      <formula>0</formula>
    </cfRule>
  </conditionalFormatting>
  <conditionalFormatting sqref="AF81">
    <cfRule type="cellIs" dxfId="919" priority="769" operator="greaterThan">
      <formula>0</formula>
    </cfRule>
    <cfRule type="cellIs" dxfId="918" priority="770" operator="lessThan">
      <formula>0</formula>
    </cfRule>
  </conditionalFormatting>
  <conditionalFormatting sqref="AF94">
    <cfRule type="cellIs" dxfId="917" priority="767" operator="greaterThan">
      <formula>0</formula>
    </cfRule>
    <cfRule type="cellIs" dxfId="916" priority="768" operator="lessThan">
      <formula>0</formula>
    </cfRule>
  </conditionalFormatting>
  <conditionalFormatting sqref="AF101">
    <cfRule type="cellIs" dxfId="915" priority="765" operator="greaterThan">
      <formula>0</formula>
    </cfRule>
    <cfRule type="cellIs" dxfId="914" priority="766" operator="lessThan">
      <formula>0</formula>
    </cfRule>
  </conditionalFormatting>
  <conditionalFormatting sqref="AF116">
    <cfRule type="cellIs" dxfId="913" priority="763" operator="greaterThan">
      <formula>0</formula>
    </cfRule>
    <cfRule type="cellIs" dxfId="912" priority="764" operator="lessThan">
      <formula>0</formula>
    </cfRule>
  </conditionalFormatting>
  <conditionalFormatting sqref="AF149">
    <cfRule type="cellIs" dxfId="911" priority="761" operator="greaterThan">
      <formula>0</formula>
    </cfRule>
    <cfRule type="cellIs" dxfId="910" priority="762" operator="lessThan">
      <formula>0</formula>
    </cfRule>
  </conditionalFormatting>
  <conditionalFormatting sqref="AF163">
    <cfRule type="cellIs" dxfId="909" priority="759" operator="greaterThan">
      <formula>0</formula>
    </cfRule>
    <cfRule type="cellIs" dxfId="908" priority="760" operator="lessThan">
      <formula>0</formula>
    </cfRule>
  </conditionalFormatting>
  <conditionalFormatting sqref="AF191">
    <cfRule type="cellIs" dxfId="907" priority="757" operator="greaterThan">
      <formula>0</formula>
    </cfRule>
    <cfRule type="cellIs" dxfId="906" priority="758" operator="lessThan">
      <formula>0</formula>
    </cfRule>
  </conditionalFormatting>
  <conditionalFormatting sqref="AF203">
    <cfRule type="cellIs" dxfId="905" priority="755" operator="greaterThan">
      <formula>0</formula>
    </cfRule>
    <cfRule type="cellIs" dxfId="904" priority="756" operator="lessThan">
      <formula>0</formula>
    </cfRule>
  </conditionalFormatting>
  <conditionalFormatting sqref="AF234">
    <cfRule type="cellIs" dxfId="903" priority="753" operator="greaterThan">
      <formula>0</formula>
    </cfRule>
    <cfRule type="cellIs" dxfId="902" priority="754" operator="lessThan">
      <formula>0</formula>
    </cfRule>
  </conditionalFormatting>
  <conditionalFormatting sqref="AF244">
    <cfRule type="cellIs" dxfId="901" priority="751" operator="greaterThan">
      <formula>0</formula>
    </cfRule>
    <cfRule type="cellIs" dxfId="900" priority="752" operator="lessThan">
      <formula>0</formula>
    </cfRule>
  </conditionalFormatting>
  <conditionalFormatting sqref="AF257">
    <cfRule type="cellIs" dxfId="899" priority="749" operator="greaterThan">
      <formula>0</formula>
    </cfRule>
    <cfRule type="cellIs" dxfId="898" priority="750" operator="lessThan">
      <formula>0</formula>
    </cfRule>
  </conditionalFormatting>
  <conditionalFormatting sqref="AF286">
    <cfRule type="cellIs" dxfId="897" priority="747" operator="greaterThan">
      <formula>0</formula>
    </cfRule>
    <cfRule type="cellIs" dxfId="896" priority="748" operator="lessThan">
      <formula>0</formula>
    </cfRule>
  </conditionalFormatting>
  <conditionalFormatting sqref="AF298">
    <cfRule type="cellIs" dxfId="895" priority="745" operator="greaterThan">
      <formula>0</formula>
    </cfRule>
    <cfRule type="cellIs" dxfId="894" priority="746" operator="lessThan">
      <formula>0</formula>
    </cfRule>
  </conditionalFormatting>
  <conditionalFormatting sqref="AF312">
    <cfRule type="cellIs" dxfId="893" priority="743" operator="greaterThan">
      <formula>0</formula>
    </cfRule>
    <cfRule type="cellIs" dxfId="892" priority="744" operator="lessThan">
      <formula>0</formula>
    </cfRule>
  </conditionalFormatting>
  <conditionalFormatting sqref="AF324">
    <cfRule type="cellIs" dxfId="891" priority="741" operator="greaterThan">
      <formula>0</formula>
    </cfRule>
    <cfRule type="cellIs" dxfId="890" priority="742" operator="lessThan">
      <formula>0</formula>
    </cfRule>
  </conditionalFormatting>
  <conditionalFormatting sqref="AF338">
    <cfRule type="cellIs" dxfId="889" priority="739" operator="greaterThan">
      <formula>0</formula>
    </cfRule>
    <cfRule type="cellIs" dxfId="888" priority="740" operator="lessThan">
      <formula>0</formula>
    </cfRule>
  </conditionalFormatting>
  <conditionalFormatting sqref="AF372">
    <cfRule type="cellIs" dxfId="887" priority="737" operator="greaterThan">
      <formula>0</formula>
    </cfRule>
    <cfRule type="cellIs" dxfId="886" priority="738" operator="lessThan">
      <formula>0</formula>
    </cfRule>
  </conditionalFormatting>
  <conditionalFormatting sqref="AF387">
    <cfRule type="cellIs" dxfId="885" priority="735" operator="greaterThan">
      <formula>0</formula>
    </cfRule>
    <cfRule type="cellIs" dxfId="884" priority="736" operator="lessThan">
      <formula>0</formula>
    </cfRule>
  </conditionalFormatting>
  <conditionalFormatting sqref="AF429">
    <cfRule type="cellIs" dxfId="883" priority="733" operator="greaterThan">
      <formula>0</formula>
    </cfRule>
    <cfRule type="cellIs" dxfId="882" priority="734" operator="lessThan">
      <formula>0</formula>
    </cfRule>
  </conditionalFormatting>
  <conditionalFormatting sqref="AF450">
    <cfRule type="cellIs" dxfId="881" priority="731" operator="greaterThan">
      <formula>0</formula>
    </cfRule>
    <cfRule type="cellIs" dxfId="880" priority="732" operator="lessThan">
      <formula>0</formula>
    </cfRule>
  </conditionalFormatting>
  <conditionalFormatting sqref="AF469">
    <cfRule type="cellIs" dxfId="879" priority="729" operator="greaterThan">
      <formula>0</formula>
    </cfRule>
    <cfRule type="cellIs" dxfId="878" priority="730" operator="lessThan">
      <formula>0</formula>
    </cfRule>
  </conditionalFormatting>
  <conditionalFormatting sqref="AF1177">
    <cfRule type="cellIs" dxfId="877" priority="727" operator="greaterThan">
      <formula>0</formula>
    </cfRule>
    <cfRule type="cellIs" dxfId="876" priority="728" operator="lessThan">
      <formula>0</formula>
    </cfRule>
  </conditionalFormatting>
  <conditionalFormatting sqref="AF489">
    <cfRule type="cellIs" dxfId="875" priority="725" operator="greaterThan">
      <formula>0</formula>
    </cfRule>
    <cfRule type="cellIs" dxfId="874" priority="726" operator="lessThan">
      <formula>0</formula>
    </cfRule>
  </conditionalFormatting>
  <conditionalFormatting sqref="AF505">
    <cfRule type="cellIs" dxfId="873" priority="723" operator="greaterThan">
      <formula>0</formula>
    </cfRule>
    <cfRule type="cellIs" dxfId="872" priority="724" operator="lessThan">
      <formula>0</formula>
    </cfRule>
  </conditionalFormatting>
  <conditionalFormatting sqref="AF518">
    <cfRule type="cellIs" dxfId="871" priority="721" operator="greaterThan">
      <formula>0</formula>
    </cfRule>
    <cfRule type="cellIs" dxfId="870" priority="722" operator="lessThan">
      <formula>0</formula>
    </cfRule>
  </conditionalFormatting>
  <conditionalFormatting sqref="AF525">
    <cfRule type="cellIs" dxfId="869" priority="719" operator="greaterThan">
      <formula>0</formula>
    </cfRule>
    <cfRule type="cellIs" dxfId="868" priority="720" operator="lessThan">
      <formula>0</formula>
    </cfRule>
  </conditionalFormatting>
  <conditionalFormatting sqref="AF576">
    <cfRule type="cellIs" dxfId="867" priority="717" operator="greaterThan">
      <formula>0</formula>
    </cfRule>
    <cfRule type="cellIs" dxfId="866" priority="718" operator="lessThan">
      <formula>0</formula>
    </cfRule>
  </conditionalFormatting>
  <conditionalFormatting sqref="AF537">
    <cfRule type="cellIs" dxfId="865" priority="715" operator="greaterThan">
      <formula>0</formula>
    </cfRule>
    <cfRule type="cellIs" dxfId="864" priority="716" operator="lessThan">
      <formula>0</formula>
    </cfRule>
  </conditionalFormatting>
  <conditionalFormatting sqref="AF563">
    <cfRule type="cellIs" dxfId="863" priority="713" operator="greaterThan">
      <formula>0</formula>
    </cfRule>
    <cfRule type="cellIs" dxfId="862" priority="714" operator="lessThan">
      <formula>0</formula>
    </cfRule>
  </conditionalFormatting>
  <conditionalFormatting sqref="AF589">
    <cfRule type="cellIs" dxfId="861" priority="711" operator="greaterThan">
      <formula>0</formula>
    </cfRule>
    <cfRule type="cellIs" dxfId="860" priority="712" operator="lessThan">
      <formula>0</formula>
    </cfRule>
  </conditionalFormatting>
  <conditionalFormatting sqref="AF601">
    <cfRule type="cellIs" dxfId="859" priority="709" operator="greaterThan">
      <formula>0</formula>
    </cfRule>
    <cfRule type="cellIs" dxfId="858" priority="710" operator="lessThan">
      <formula>0</formula>
    </cfRule>
  </conditionalFormatting>
  <conditionalFormatting sqref="AF621">
    <cfRule type="cellIs" dxfId="857" priority="707" operator="greaterThan">
      <formula>0</formula>
    </cfRule>
    <cfRule type="cellIs" dxfId="856" priority="708" operator="lessThan">
      <formula>0</formula>
    </cfRule>
  </conditionalFormatting>
  <conditionalFormatting sqref="AF614">
    <cfRule type="cellIs" dxfId="855" priority="705" operator="greaterThan">
      <formula>0</formula>
    </cfRule>
    <cfRule type="cellIs" dxfId="854" priority="706" operator="lessThan">
      <formula>0</formula>
    </cfRule>
  </conditionalFormatting>
  <conditionalFormatting sqref="AF653">
    <cfRule type="cellIs" dxfId="853" priority="703" operator="greaterThan">
      <formula>0</formula>
    </cfRule>
    <cfRule type="cellIs" dxfId="852" priority="704" operator="lessThan">
      <formula>0</formula>
    </cfRule>
  </conditionalFormatting>
  <conditionalFormatting sqref="AF666">
    <cfRule type="cellIs" dxfId="851" priority="701" operator="greaterThan">
      <formula>0</formula>
    </cfRule>
    <cfRule type="cellIs" dxfId="850" priority="702" operator="lessThan">
      <formula>0</formula>
    </cfRule>
  </conditionalFormatting>
  <conditionalFormatting sqref="AF714">
    <cfRule type="cellIs" dxfId="849" priority="699" operator="greaterThan">
      <formula>0</formula>
    </cfRule>
    <cfRule type="cellIs" dxfId="848" priority="700" operator="lessThan">
      <formula>0</formula>
    </cfRule>
  </conditionalFormatting>
  <conditionalFormatting sqref="AF682">
    <cfRule type="cellIs" dxfId="847" priority="697" operator="greaterThan">
      <formula>0</formula>
    </cfRule>
    <cfRule type="cellIs" dxfId="846" priority="698" operator="lessThan">
      <formula>0</formula>
    </cfRule>
  </conditionalFormatting>
  <conditionalFormatting sqref="AF726">
    <cfRule type="cellIs" dxfId="845" priority="695" operator="greaterThan">
      <formula>0</formula>
    </cfRule>
    <cfRule type="cellIs" dxfId="844" priority="696" operator="lessThan">
      <formula>0</formula>
    </cfRule>
  </conditionalFormatting>
  <conditionalFormatting sqref="AF742">
    <cfRule type="cellIs" dxfId="843" priority="693" operator="greaterThan">
      <formula>0</formula>
    </cfRule>
    <cfRule type="cellIs" dxfId="842" priority="694" operator="lessThan">
      <formula>0</formula>
    </cfRule>
  </conditionalFormatting>
  <conditionalFormatting sqref="AF783">
    <cfRule type="cellIs" dxfId="841" priority="691" operator="greaterThan">
      <formula>0</formula>
    </cfRule>
    <cfRule type="cellIs" dxfId="840" priority="692" operator="lessThan">
      <formula>0</formula>
    </cfRule>
  </conditionalFormatting>
  <conditionalFormatting sqref="AF795">
    <cfRule type="cellIs" dxfId="839" priority="689" operator="greaterThan">
      <formula>0</formula>
    </cfRule>
    <cfRule type="cellIs" dxfId="838" priority="690" operator="lessThan">
      <formula>0</formula>
    </cfRule>
  </conditionalFormatting>
  <conditionalFormatting sqref="AF831">
    <cfRule type="cellIs" dxfId="837" priority="687" operator="greaterThan">
      <formula>0</formula>
    </cfRule>
    <cfRule type="cellIs" dxfId="836" priority="688" operator="lessThan">
      <formula>0</formula>
    </cfRule>
  </conditionalFormatting>
  <conditionalFormatting sqref="AF852">
    <cfRule type="cellIs" dxfId="835" priority="685" operator="greaterThan">
      <formula>0</formula>
    </cfRule>
    <cfRule type="cellIs" dxfId="834" priority="686" operator="lessThan">
      <formula>0</formula>
    </cfRule>
  </conditionalFormatting>
  <conditionalFormatting sqref="AF863">
    <cfRule type="cellIs" dxfId="833" priority="683" operator="greaterThan">
      <formula>0</formula>
    </cfRule>
    <cfRule type="cellIs" dxfId="832" priority="684" operator="lessThan">
      <formula>0</formula>
    </cfRule>
  </conditionalFormatting>
  <conditionalFormatting sqref="AF883">
    <cfRule type="cellIs" dxfId="831" priority="681" operator="greaterThan">
      <formula>0</formula>
    </cfRule>
    <cfRule type="cellIs" dxfId="830" priority="682" operator="lessThan">
      <formula>0</formula>
    </cfRule>
  </conditionalFormatting>
  <conditionalFormatting sqref="AF871">
    <cfRule type="cellIs" dxfId="829" priority="679" operator="greaterThan">
      <formula>0</formula>
    </cfRule>
    <cfRule type="cellIs" dxfId="828" priority="680" operator="lessThan">
      <formula>0</formula>
    </cfRule>
  </conditionalFormatting>
  <conditionalFormatting sqref="AF915">
    <cfRule type="cellIs" dxfId="827" priority="677" operator="greaterThan">
      <formula>0</formula>
    </cfRule>
    <cfRule type="cellIs" dxfId="826" priority="678" operator="lessThan">
      <formula>0</formula>
    </cfRule>
  </conditionalFormatting>
  <conditionalFormatting sqref="AF938">
    <cfRule type="cellIs" dxfId="825" priority="675" operator="greaterThan">
      <formula>0</formula>
    </cfRule>
    <cfRule type="cellIs" dxfId="824" priority="676" operator="lessThan">
      <formula>0</formula>
    </cfRule>
  </conditionalFormatting>
  <conditionalFormatting sqref="AF947">
    <cfRule type="cellIs" dxfId="823" priority="673" operator="greaterThan">
      <formula>0</formula>
    </cfRule>
    <cfRule type="cellIs" dxfId="822" priority="674" operator="lessThan">
      <formula>0</formula>
    </cfRule>
  </conditionalFormatting>
  <conditionalFormatting sqref="AF60">
    <cfRule type="cellIs" dxfId="821" priority="669" operator="greaterThan">
      <formula>0</formula>
    </cfRule>
    <cfRule type="cellIs" dxfId="820" priority="670" operator="lessThan">
      <formula>0</formula>
    </cfRule>
  </conditionalFormatting>
  <conditionalFormatting sqref="AF68">
    <cfRule type="cellIs" dxfId="819" priority="671" operator="greaterThan">
      <formula>0</formula>
    </cfRule>
    <cfRule type="cellIs" dxfId="818" priority="672" operator="lessThan">
      <formula>0</formula>
    </cfRule>
  </conditionalFormatting>
  <conditionalFormatting sqref="AF58">
    <cfRule type="cellIs" dxfId="817" priority="667" operator="greaterThan">
      <formula>0</formula>
    </cfRule>
    <cfRule type="cellIs" dxfId="816" priority="668" operator="lessThan">
      <formula>0</formula>
    </cfRule>
  </conditionalFormatting>
  <conditionalFormatting sqref="AF70">
    <cfRule type="cellIs" dxfId="815" priority="665" operator="greaterThan">
      <formula>0</formula>
    </cfRule>
    <cfRule type="cellIs" dxfId="814" priority="666" operator="lessThan">
      <formula>0</formula>
    </cfRule>
  </conditionalFormatting>
  <conditionalFormatting sqref="AF69">
    <cfRule type="cellIs" dxfId="813" priority="663" operator="greaterThan">
      <formula>0</formula>
    </cfRule>
    <cfRule type="cellIs" dxfId="812" priority="664" operator="lessThan">
      <formula>0</formula>
    </cfRule>
  </conditionalFormatting>
  <conditionalFormatting sqref="N58">
    <cfRule type="containsText" dxfId="811" priority="659" operator="containsText" text="Action">
      <formula>NOT(ISERROR(SEARCH("Action",N58)))</formula>
    </cfRule>
    <cfRule type="containsText" dxfId="810" priority="660" operator="containsText" text="Completed">
      <formula>NOT(ISERROR(SEARCH("Completed",N58)))</formula>
    </cfRule>
    <cfRule type="containsText" dxfId="809" priority="661" operator="containsText" text="In Progress">
      <formula>NOT(ISERROR(SEARCH("In Progress",N58)))</formula>
    </cfRule>
    <cfRule type="containsText" dxfId="808" priority="662" operator="containsText" text="Not">
      <formula>NOT(ISERROR(SEARCH("Not",N58)))</formula>
    </cfRule>
  </conditionalFormatting>
  <conditionalFormatting sqref="AF59">
    <cfRule type="cellIs" dxfId="807" priority="657" operator="greaterThan">
      <formula>0</formula>
    </cfRule>
    <cfRule type="cellIs" dxfId="806" priority="658" operator="lessThan">
      <formula>0</formula>
    </cfRule>
  </conditionalFormatting>
  <conditionalFormatting sqref="AF61">
    <cfRule type="cellIs" dxfId="805" priority="655" operator="greaterThan">
      <formula>0</formula>
    </cfRule>
    <cfRule type="cellIs" dxfId="804" priority="656" operator="lessThan">
      <formula>0</formula>
    </cfRule>
  </conditionalFormatting>
  <conditionalFormatting sqref="AF67">
    <cfRule type="cellIs" dxfId="803" priority="653" operator="greaterThan">
      <formula>0</formula>
    </cfRule>
    <cfRule type="cellIs" dxfId="802" priority="654" operator="lessThan">
      <formula>0</formula>
    </cfRule>
  </conditionalFormatting>
  <conditionalFormatting sqref="AF80">
    <cfRule type="cellIs" dxfId="801" priority="651" operator="greaterThan">
      <formula>0</formula>
    </cfRule>
    <cfRule type="cellIs" dxfId="800" priority="652" operator="lessThan">
      <formula>0</formula>
    </cfRule>
  </conditionalFormatting>
  <conditionalFormatting sqref="AF622">
    <cfRule type="cellIs" dxfId="799" priority="649" operator="greaterThan">
      <formula>0</formula>
    </cfRule>
    <cfRule type="cellIs" dxfId="798" priority="650" operator="lessThan">
      <formula>0</formula>
    </cfRule>
  </conditionalFormatting>
  <conditionalFormatting sqref="AF703">
    <cfRule type="cellIs" dxfId="797" priority="645" operator="greaterThan">
      <formula>0</formula>
    </cfRule>
    <cfRule type="cellIs" dxfId="796" priority="646" operator="lessThan">
      <formula>0</formula>
    </cfRule>
  </conditionalFormatting>
  <conditionalFormatting sqref="AF704:AF707 AF709">
    <cfRule type="cellIs" dxfId="795" priority="647" operator="greaterThan">
      <formula>0</formula>
    </cfRule>
    <cfRule type="cellIs" dxfId="794" priority="648" operator="lessThan">
      <formula>0</formula>
    </cfRule>
  </conditionalFormatting>
  <conditionalFormatting sqref="AF701">
    <cfRule type="cellIs" dxfId="793" priority="643" operator="greaterThan">
      <formula>0</formula>
    </cfRule>
    <cfRule type="cellIs" dxfId="792" priority="644" operator="lessThan">
      <formula>0</formula>
    </cfRule>
  </conditionalFormatting>
  <conditionalFormatting sqref="AF711">
    <cfRule type="cellIs" dxfId="791" priority="641" operator="greaterThan">
      <formula>0</formula>
    </cfRule>
    <cfRule type="cellIs" dxfId="790" priority="642" operator="lessThan">
      <formula>0</formula>
    </cfRule>
  </conditionalFormatting>
  <conditionalFormatting sqref="AF710">
    <cfRule type="cellIs" dxfId="789" priority="639" operator="greaterThan">
      <formula>0</formula>
    </cfRule>
    <cfRule type="cellIs" dxfId="788" priority="640" operator="lessThan">
      <formula>0</formula>
    </cfRule>
  </conditionalFormatting>
  <conditionalFormatting sqref="N701">
    <cfRule type="containsText" dxfId="787" priority="635" operator="containsText" text="Action">
      <formula>NOT(ISERROR(SEARCH("Action",N701)))</formula>
    </cfRule>
    <cfRule type="containsText" dxfId="786" priority="636" operator="containsText" text="Completed">
      <formula>NOT(ISERROR(SEARCH("Completed",N701)))</formula>
    </cfRule>
    <cfRule type="containsText" dxfId="785" priority="637" operator="containsText" text="In Progress">
      <formula>NOT(ISERROR(SEARCH("In Progress",N701)))</formula>
    </cfRule>
    <cfRule type="containsText" dxfId="784" priority="638" operator="containsText" text="Not">
      <formula>NOT(ISERROR(SEARCH("Not",N701)))</formula>
    </cfRule>
  </conditionalFormatting>
  <conditionalFormatting sqref="AF702">
    <cfRule type="cellIs" dxfId="783" priority="633" operator="greaterThan">
      <formula>0</formula>
    </cfRule>
    <cfRule type="cellIs" dxfId="782" priority="634" operator="lessThan">
      <formula>0</formula>
    </cfRule>
  </conditionalFormatting>
  <conditionalFormatting sqref="AF708">
    <cfRule type="cellIs" dxfId="781" priority="631" operator="greaterThan">
      <formula>0</formula>
    </cfRule>
    <cfRule type="cellIs" dxfId="780" priority="632" operator="lessThan">
      <formula>0</formula>
    </cfRule>
  </conditionalFormatting>
  <conditionalFormatting sqref="AF952:AF955 AF957 AF962 AF964">
    <cfRule type="cellIs" dxfId="779" priority="629" operator="greaterThan">
      <formula>0</formula>
    </cfRule>
    <cfRule type="cellIs" dxfId="778" priority="630" operator="lessThan">
      <formula>0</formula>
    </cfRule>
  </conditionalFormatting>
  <conditionalFormatting sqref="AF956">
    <cfRule type="cellIs" dxfId="777" priority="627" operator="greaterThan">
      <formula>0</formula>
    </cfRule>
    <cfRule type="cellIs" dxfId="776" priority="628" operator="lessThan">
      <formula>0</formula>
    </cfRule>
  </conditionalFormatting>
  <conditionalFormatting sqref="AF950">
    <cfRule type="cellIs" dxfId="775" priority="625" operator="greaterThan">
      <formula>0</formula>
    </cfRule>
    <cfRule type="cellIs" dxfId="774" priority="626" operator="lessThan">
      <formula>0</formula>
    </cfRule>
  </conditionalFormatting>
  <conditionalFormatting sqref="AF958:AF960">
    <cfRule type="cellIs" dxfId="773" priority="623" operator="greaterThan">
      <formula>0</formula>
    </cfRule>
    <cfRule type="cellIs" dxfId="772" priority="624" operator="lessThan">
      <formula>0</formula>
    </cfRule>
  </conditionalFormatting>
  <conditionalFormatting sqref="AF966">
    <cfRule type="cellIs" dxfId="771" priority="621" operator="greaterThan">
      <formula>0</formula>
    </cfRule>
    <cfRule type="cellIs" dxfId="770" priority="622" operator="lessThan">
      <formula>0</formula>
    </cfRule>
  </conditionalFormatting>
  <conditionalFormatting sqref="AF965">
    <cfRule type="cellIs" dxfId="769" priority="619" operator="greaterThan">
      <formula>0</formula>
    </cfRule>
    <cfRule type="cellIs" dxfId="768" priority="620" operator="lessThan">
      <formula>0</formula>
    </cfRule>
  </conditionalFormatting>
  <conditionalFormatting sqref="N950">
    <cfRule type="containsText" dxfId="767" priority="615" operator="containsText" text="Action">
      <formula>NOT(ISERROR(SEARCH("Action",N950)))</formula>
    </cfRule>
    <cfRule type="containsText" dxfId="766" priority="616" operator="containsText" text="Completed">
      <formula>NOT(ISERROR(SEARCH("Completed",N950)))</formula>
    </cfRule>
    <cfRule type="containsText" dxfId="765" priority="617" operator="containsText" text="In Progress">
      <formula>NOT(ISERROR(SEARCH("In Progress",N950)))</formula>
    </cfRule>
    <cfRule type="containsText" dxfId="764" priority="618" operator="containsText" text="Not">
      <formula>NOT(ISERROR(SEARCH("Not",N950)))</formula>
    </cfRule>
  </conditionalFormatting>
  <conditionalFormatting sqref="AF963">
    <cfRule type="cellIs" dxfId="763" priority="613" operator="greaterThan">
      <formula>0</formula>
    </cfRule>
    <cfRule type="cellIs" dxfId="762" priority="614" operator="lessThan">
      <formula>0</formula>
    </cfRule>
  </conditionalFormatting>
  <conditionalFormatting sqref="AF951">
    <cfRule type="cellIs" dxfId="761" priority="611" operator="greaterThan">
      <formula>0</formula>
    </cfRule>
    <cfRule type="cellIs" dxfId="760" priority="612" operator="lessThan">
      <formula>0</formula>
    </cfRule>
  </conditionalFormatting>
  <conditionalFormatting sqref="AF961">
    <cfRule type="cellIs" dxfId="759" priority="609" operator="greaterThan">
      <formula>0</formula>
    </cfRule>
    <cfRule type="cellIs" dxfId="758" priority="610" operator="lessThan">
      <formula>0</formula>
    </cfRule>
  </conditionalFormatting>
  <conditionalFormatting sqref="AF627">
    <cfRule type="cellIs" dxfId="757" priority="605" operator="greaterThan">
      <formula>0</formula>
    </cfRule>
    <cfRule type="cellIs" dxfId="756" priority="606" operator="lessThan">
      <formula>0</formula>
    </cfRule>
  </conditionalFormatting>
  <conditionalFormatting sqref="AF630">
    <cfRule type="cellIs" dxfId="755" priority="607" operator="greaterThan">
      <formula>0</formula>
    </cfRule>
    <cfRule type="cellIs" dxfId="754" priority="608" operator="lessThan">
      <formula>0</formula>
    </cfRule>
  </conditionalFormatting>
  <conditionalFormatting sqref="AF625">
    <cfRule type="cellIs" dxfId="753" priority="603" operator="greaterThan">
      <formula>0</formula>
    </cfRule>
    <cfRule type="cellIs" dxfId="752" priority="604" operator="lessThan">
      <formula>0</formula>
    </cfRule>
  </conditionalFormatting>
  <conditionalFormatting sqref="AF632">
    <cfRule type="cellIs" dxfId="751" priority="601" operator="greaterThan">
      <formula>0</formula>
    </cfRule>
    <cfRule type="cellIs" dxfId="750" priority="602" operator="lessThan">
      <formula>0</formula>
    </cfRule>
  </conditionalFormatting>
  <conditionalFormatting sqref="AF631">
    <cfRule type="cellIs" dxfId="749" priority="599" operator="greaterThan">
      <formula>0</formula>
    </cfRule>
    <cfRule type="cellIs" dxfId="748" priority="600" operator="lessThan">
      <formula>0</formula>
    </cfRule>
  </conditionalFormatting>
  <conditionalFormatting sqref="N625">
    <cfRule type="containsText" dxfId="747" priority="595" operator="containsText" text="Action">
      <formula>NOT(ISERROR(SEARCH("Action",N625)))</formula>
    </cfRule>
    <cfRule type="containsText" dxfId="746" priority="596" operator="containsText" text="Completed">
      <formula>NOT(ISERROR(SEARCH("Completed",N625)))</formula>
    </cfRule>
    <cfRule type="containsText" dxfId="745" priority="597" operator="containsText" text="In Progress">
      <formula>NOT(ISERROR(SEARCH("In Progress",N625)))</formula>
    </cfRule>
    <cfRule type="containsText" dxfId="744" priority="598" operator="containsText" text="Not">
      <formula>NOT(ISERROR(SEARCH("Not",N625)))</formula>
    </cfRule>
  </conditionalFormatting>
  <conditionalFormatting sqref="AF626">
    <cfRule type="cellIs" dxfId="743" priority="593" operator="greaterThan">
      <formula>0</formula>
    </cfRule>
    <cfRule type="cellIs" dxfId="742" priority="594" operator="lessThan">
      <formula>0</formula>
    </cfRule>
  </conditionalFormatting>
  <conditionalFormatting sqref="AF628">
    <cfRule type="cellIs" dxfId="741" priority="591" operator="greaterThan">
      <formula>0</formula>
    </cfRule>
    <cfRule type="cellIs" dxfId="740" priority="592" operator="lessThan">
      <formula>0</formula>
    </cfRule>
  </conditionalFormatting>
  <conditionalFormatting sqref="AF629">
    <cfRule type="cellIs" dxfId="739" priority="589" operator="greaterThan">
      <formula>0</formula>
    </cfRule>
    <cfRule type="cellIs" dxfId="738" priority="590" operator="lessThan">
      <formula>0</formula>
    </cfRule>
  </conditionalFormatting>
  <conditionalFormatting sqref="AF642">
    <cfRule type="cellIs" dxfId="737" priority="587" operator="greaterThan">
      <formula>0</formula>
    </cfRule>
    <cfRule type="cellIs" dxfId="736" priority="588" operator="lessThan">
      <formula>0</formula>
    </cfRule>
  </conditionalFormatting>
  <conditionalFormatting sqref="AF633">
    <cfRule type="cellIs" dxfId="735" priority="585" operator="greaterThan">
      <formula>0</formula>
    </cfRule>
    <cfRule type="cellIs" dxfId="734" priority="586" operator="lessThan">
      <formula>0</formula>
    </cfRule>
  </conditionalFormatting>
  <conditionalFormatting sqref="AF643">
    <cfRule type="cellIs" dxfId="733" priority="581" operator="greaterThan">
      <formula>0</formula>
    </cfRule>
    <cfRule type="cellIs" dxfId="732" priority="582" operator="lessThan">
      <formula>0</formula>
    </cfRule>
  </conditionalFormatting>
  <conditionalFormatting sqref="AF644">
    <cfRule type="cellIs" dxfId="731" priority="583" operator="greaterThan">
      <formula>0</formula>
    </cfRule>
    <cfRule type="cellIs" dxfId="730" priority="584" operator="lessThan">
      <formula>0</formula>
    </cfRule>
  </conditionalFormatting>
  <conditionalFormatting sqref="N633">
    <cfRule type="containsText" dxfId="729" priority="577" operator="containsText" text="Action">
      <formula>NOT(ISERROR(SEARCH("Action",N633)))</formula>
    </cfRule>
    <cfRule type="containsText" dxfId="728" priority="578" operator="containsText" text="Completed">
      <formula>NOT(ISERROR(SEARCH("Completed",N633)))</formula>
    </cfRule>
    <cfRule type="containsText" dxfId="727" priority="579" operator="containsText" text="In Progress">
      <formula>NOT(ISERROR(SEARCH("In Progress",N633)))</formula>
    </cfRule>
    <cfRule type="containsText" dxfId="726" priority="580" operator="containsText" text="Not">
      <formula>NOT(ISERROR(SEARCH("Not",N633)))</formula>
    </cfRule>
  </conditionalFormatting>
  <conditionalFormatting sqref="AF634">
    <cfRule type="cellIs" dxfId="725" priority="575" operator="greaterThan">
      <formula>0</formula>
    </cfRule>
    <cfRule type="cellIs" dxfId="724" priority="576" operator="lessThan">
      <formula>0</formula>
    </cfRule>
  </conditionalFormatting>
  <conditionalFormatting sqref="AF641">
    <cfRule type="cellIs" dxfId="723" priority="573" operator="greaterThan">
      <formula>0</formula>
    </cfRule>
    <cfRule type="cellIs" dxfId="722" priority="574" operator="lessThan">
      <formula>0</formula>
    </cfRule>
  </conditionalFormatting>
  <conditionalFormatting sqref="N71">
    <cfRule type="containsText" dxfId="721" priority="569" operator="containsText" text="Action">
      <formula>NOT(ISERROR(SEARCH("Action",N71)))</formula>
    </cfRule>
    <cfRule type="containsText" dxfId="720" priority="570" operator="containsText" text="Completed">
      <formula>NOT(ISERROR(SEARCH("Completed",N71)))</formula>
    </cfRule>
    <cfRule type="containsText" dxfId="719" priority="571" operator="containsText" text="In Progress">
      <formula>NOT(ISERROR(SEARCH("In Progress",N71)))</formula>
    </cfRule>
    <cfRule type="containsText" dxfId="718" priority="572" operator="containsText" text="Not">
      <formula>NOT(ISERROR(SEARCH("Not",N71)))</formula>
    </cfRule>
  </conditionalFormatting>
  <conditionalFormatting sqref="N154">
    <cfRule type="containsText" dxfId="717" priority="565" operator="containsText" text="Action">
      <formula>NOT(ISERROR(SEARCH("Action",N154)))</formula>
    </cfRule>
    <cfRule type="containsText" dxfId="716" priority="566" operator="containsText" text="Completed">
      <formula>NOT(ISERROR(SEARCH("Completed",N154)))</formula>
    </cfRule>
    <cfRule type="containsText" dxfId="715" priority="567" operator="containsText" text="In Progress">
      <formula>NOT(ISERROR(SEARCH("In Progress",N154)))</formula>
    </cfRule>
    <cfRule type="containsText" dxfId="714" priority="568" operator="containsText" text="Not">
      <formula>NOT(ISERROR(SEARCH("Not",N154)))</formula>
    </cfRule>
  </conditionalFormatting>
  <conditionalFormatting sqref="N239">
    <cfRule type="containsText" dxfId="713" priority="561" operator="containsText" text="Action">
      <formula>NOT(ISERROR(SEARCH("Action",N239)))</formula>
    </cfRule>
    <cfRule type="containsText" dxfId="712" priority="562" operator="containsText" text="Completed">
      <formula>NOT(ISERROR(SEARCH("Completed",N239)))</formula>
    </cfRule>
    <cfRule type="containsText" dxfId="711" priority="563" operator="containsText" text="In Progress">
      <formula>NOT(ISERROR(SEARCH("In Progress",N239)))</formula>
    </cfRule>
    <cfRule type="containsText" dxfId="710" priority="564" operator="containsText" text="Not">
      <formula>NOT(ISERROR(SEARCH("Not",N239)))</formula>
    </cfRule>
  </conditionalFormatting>
  <conditionalFormatting sqref="N291">
    <cfRule type="containsText" dxfId="709" priority="557" operator="containsText" text="Action">
      <formula>NOT(ISERROR(SEARCH("Action",N291)))</formula>
    </cfRule>
    <cfRule type="containsText" dxfId="708" priority="558" operator="containsText" text="Completed">
      <formula>NOT(ISERROR(SEARCH("Completed",N291)))</formula>
    </cfRule>
    <cfRule type="containsText" dxfId="707" priority="559" operator="containsText" text="In Progress">
      <formula>NOT(ISERROR(SEARCH("In Progress",N291)))</formula>
    </cfRule>
    <cfRule type="containsText" dxfId="706" priority="560" operator="containsText" text="Not">
      <formula>NOT(ISERROR(SEARCH("Not",N291)))</formula>
    </cfRule>
  </conditionalFormatting>
  <conditionalFormatting sqref="AF192">
    <cfRule type="cellIs" dxfId="705" priority="555" operator="greaterThan">
      <formula>0</formula>
    </cfRule>
    <cfRule type="cellIs" dxfId="704" priority="556" operator="lessThan">
      <formula>0</formula>
    </cfRule>
  </conditionalFormatting>
  <conditionalFormatting sqref="AF114:AF115">
    <cfRule type="cellIs" dxfId="703" priority="553" operator="greaterThan">
      <formula>0</formula>
    </cfRule>
    <cfRule type="cellIs" dxfId="702" priority="554" operator="lessThan">
      <formula>0</formula>
    </cfRule>
  </conditionalFormatting>
  <conditionalFormatting sqref="AF680">
    <cfRule type="cellIs" dxfId="701" priority="551" operator="greaterThan">
      <formula>0</formula>
    </cfRule>
    <cfRule type="cellIs" dxfId="700" priority="552" operator="lessThan">
      <formula>0</formula>
    </cfRule>
  </conditionalFormatting>
  <conditionalFormatting sqref="AF337">
    <cfRule type="cellIs" dxfId="699" priority="549" operator="greaterThan">
      <formula>0</formula>
    </cfRule>
    <cfRule type="cellIs" dxfId="698" priority="550" operator="lessThan">
      <formula>0</formula>
    </cfRule>
  </conditionalFormatting>
  <conditionalFormatting sqref="AF339">
    <cfRule type="cellIs" dxfId="697" priority="547" operator="greaterThan">
      <formula>0</formula>
    </cfRule>
    <cfRule type="cellIs" dxfId="696" priority="548" operator="lessThan">
      <formula>0</formula>
    </cfRule>
  </conditionalFormatting>
  <conditionalFormatting sqref="AF561">
    <cfRule type="cellIs" dxfId="695" priority="545" operator="greaterThan">
      <formula>0</formula>
    </cfRule>
    <cfRule type="cellIs" dxfId="694" priority="546" operator="lessThan">
      <formula>0</formula>
    </cfRule>
  </conditionalFormatting>
  <conditionalFormatting sqref="AF749">
    <cfRule type="cellIs" dxfId="693" priority="541" operator="greaterThan">
      <formula>0</formula>
    </cfRule>
    <cfRule type="cellIs" dxfId="692" priority="542" operator="lessThan">
      <formula>0</formula>
    </cfRule>
  </conditionalFormatting>
  <conditionalFormatting sqref="AF752">
    <cfRule type="cellIs" dxfId="691" priority="543" operator="greaterThan">
      <formula>0</formula>
    </cfRule>
    <cfRule type="cellIs" dxfId="690" priority="544" operator="lessThan">
      <formula>0</formula>
    </cfRule>
  </conditionalFormatting>
  <conditionalFormatting sqref="AF747">
    <cfRule type="cellIs" dxfId="689" priority="539" operator="greaterThan">
      <formula>0</formula>
    </cfRule>
    <cfRule type="cellIs" dxfId="688" priority="540" operator="lessThan">
      <formula>0</formula>
    </cfRule>
  </conditionalFormatting>
  <conditionalFormatting sqref="AF754">
    <cfRule type="cellIs" dxfId="687" priority="537" operator="greaterThan">
      <formula>0</formula>
    </cfRule>
    <cfRule type="cellIs" dxfId="686" priority="538" operator="lessThan">
      <formula>0</formula>
    </cfRule>
  </conditionalFormatting>
  <conditionalFormatting sqref="AF753">
    <cfRule type="cellIs" dxfId="685" priority="535" operator="greaterThan">
      <formula>0</formula>
    </cfRule>
    <cfRule type="cellIs" dxfId="684" priority="536" operator="lessThan">
      <formula>0</formula>
    </cfRule>
  </conditionalFormatting>
  <conditionalFormatting sqref="N747">
    <cfRule type="containsText" dxfId="683" priority="531" operator="containsText" text="Action">
      <formula>NOT(ISERROR(SEARCH("Action",N747)))</formula>
    </cfRule>
    <cfRule type="containsText" dxfId="682" priority="532" operator="containsText" text="Completed">
      <formula>NOT(ISERROR(SEARCH("Completed",N747)))</formula>
    </cfRule>
    <cfRule type="containsText" dxfId="681" priority="533" operator="containsText" text="In Progress">
      <formula>NOT(ISERROR(SEARCH("In Progress",N747)))</formula>
    </cfRule>
    <cfRule type="containsText" dxfId="680" priority="534" operator="containsText" text="Not">
      <formula>NOT(ISERROR(SEARCH("Not",N747)))</formula>
    </cfRule>
  </conditionalFormatting>
  <conditionalFormatting sqref="AF748">
    <cfRule type="cellIs" dxfId="679" priority="529" operator="greaterThan">
      <formula>0</formula>
    </cfRule>
    <cfRule type="cellIs" dxfId="678" priority="530" operator="lessThan">
      <formula>0</formula>
    </cfRule>
  </conditionalFormatting>
  <conditionalFormatting sqref="AF751">
    <cfRule type="cellIs" dxfId="677" priority="527" operator="greaterThan">
      <formula>0</formula>
    </cfRule>
    <cfRule type="cellIs" dxfId="676" priority="528" operator="lessThan">
      <formula>0</formula>
    </cfRule>
  </conditionalFormatting>
  <conditionalFormatting sqref="AF221:AF222 AF209:AF214 AF216">
    <cfRule type="cellIs" dxfId="675" priority="525" operator="greaterThan">
      <formula>0</formula>
    </cfRule>
    <cfRule type="cellIs" dxfId="674" priority="526" operator="lessThan">
      <formula>0</formula>
    </cfRule>
  </conditionalFormatting>
  <conditionalFormatting sqref="AF207">
    <cfRule type="cellIs" dxfId="673" priority="523" operator="greaterThan">
      <formula>0</formula>
    </cfRule>
    <cfRule type="cellIs" dxfId="672" priority="524" operator="lessThan">
      <formula>0</formula>
    </cfRule>
  </conditionalFormatting>
  <conditionalFormatting sqref="AF217:AF219">
    <cfRule type="cellIs" dxfId="671" priority="521" operator="greaterThan">
      <formula>0</formula>
    </cfRule>
    <cfRule type="cellIs" dxfId="670" priority="522" operator="lessThan">
      <formula>0</formula>
    </cfRule>
  </conditionalFormatting>
  <conditionalFormatting sqref="AF223">
    <cfRule type="cellIs" dxfId="669" priority="517" operator="greaterThan">
      <formula>0</formula>
    </cfRule>
    <cfRule type="cellIs" dxfId="668" priority="518" operator="lessThan">
      <formula>0</formula>
    </cfRule>
  </conditionalFormatting>
  <conditionalFormatting sqref="AF224">
    <cfRule type="cellIs" dxfId="667" priority="519" operator="greaterThan">
      <formula>0</formula>
    </cfRule>
    <cfRule type="cellIs" dxfId="666" priority="520" operator="lessThan">
      <formula>0</formula>
    </cfRule>
  </conditionalFormatting>
  <conditionalFormatting sqref="N207">
    <cfRule type="containsText" dxfId="665" priority="513" operator="containsText" text="Action">
      <formula>NOT(ISERROR(SEARCH("Action",N207)))</formula>
    </cfRule>
    <cfRule type="containsText" dxfId="664" priority="514" operator="containsText" text="Completed">
      <formula>NOT(ISERROR(SEARCH("Completed",N207)))</formula>
    </cfRule>
    <cfRule type="containsText" dxfId="663" priority="515" operator="containsText" text="In Progress">
      <formula>NOT(ISERROR(SEARCH("In Progress",N207)))</formula>
    </cfRule>
    <cfRule type="containsText" dxfId="662" priority="516" operator="containsText" text="Not">
      <formula>NOT(ISERROR(SEARCH("Not",N207)))</formula>
    </cfRule>
  </conditionalFormatting>
  <conditionalFormatting sqref="AF208">
    <cfRule type="cellIs" dxfId="661" priority="511" operator="greaterThan">
      <formula>0</formula>
    </cfRule>
    <cfRule type="cellIs" dxfId="660" priority="512" operator="lessThan">
      <formula>0</formula>
    </cfRule>
  </conditionalFormatting>
  <conditionalFormatting sqref="AF220">
    <cfRule type="cellIs" dxfId="659" priority="509" operator="greaterThan">
      <formula>0</formula>
    </cfRule>
    <cfRule type="cellIs" dxfId="658" priority="510" operator="lessThan">
      <formula>0</formula>
    </cfRule>
  </conditionalFormatting>
  <conditionalFormatting sqref="AF215">
    <cfRule type="cellIs" dxfId="657" priority="507" operator="greaterThan">
      <formula>0</formula>
    </cfRule>
    <cfRule type="cellIs" dxfId="656" priority="508" operator="lessThan">
      <formula>0</formula>
    </cfRule>
  </conditionalFormatting>
  <conditionalFormatting sqref="AF177 AF169:AF175">
    <cfRule type="cellIs" dxfId="655" priority="505" operator="greaterThan">
      <formula>0</formula>
    </cfRule>
    <cfRule type="cellIs" dxfId="654" priority="506" operator="lessThan">
      <formula>0</formula>
    </cfRule>
  </conditionalFormatting>
  <conditionalFormatting sqref="AF167">
    <cfRule type="cellIs" dxfId="653" priority="503" operator="greaterThan">
      <formula>0</formula>
    </cfRule>
    <cfRule type="cellIs" dxfId="652" priority="504" operator="lessThan">
      <formula>0</formula>
    </cfRule>
  </conditionalFormatting>
  <conditionalFormatting sqref="AF178">
    <cfRule type="cellIs" dxfId="651" priority="499" operator="greaterThan">
      <formula>0</formula>
    </cfRule>
    <cfRule type="cellIs" dxfId="650" priority="500" operator="lessThan">
      <formula>0</formula>
    </cfRule>
  </conditionalFormatting>
  <conditionalFormatting sqref="AF179">
    <cfRule type="cellIs" dxfId="649" priority="501" operator="greaterThan">
      <formula>0</formula>
    </cfRule>
    <cfRule type="cellIs" dxfId="648" priority="502" operator="lessThan">
      <formula>0</formula>
    </cfRule>
  </conditionalFormatting>
  <conditionalFormatting sqref="N167">
    <cfRule type="containsText" dxfId="647" priority="495" operator="containsText" text="Action">
      <formula>NOT(ISERROR(SEARCH("Action",N167)))</formula>
    </cfRule>
    <cfRule type="containsText" dxfId="646" priority="496" operator="containsText" text="Completed">
      <formula>NOT(ISERROR(SEARCH("Completed",N167)))</formula>
    </cfRule>
    <cfRule type="containsText" dxfId="645" priority="497" operator="containsText" text="In Progress">
      <formula>NOT(ISERROR(SEARCH("In Progress",N167)))</formula>
    </cfRule>
    <cfRule type="containsText" dxfId="644" priority="498" operator="containsText" text="Not">
      <formula>NOT(ISERROR(SEARCH("Not",N167)))</formula>
    </cfRule>
  </conditionalFormatting>
  <conditionalFormatting sqref="AF168">
    <cfRule type="cellIs" dxfId="643" priority="493" operator="greaterThan">
      <formula>0</formula>
    </cfRule>
    <cfRule type="cellIs" dxfId="642" priority="494" operator="lessThan">
      <formula>0</formula>
    </cfRule>
  </conditionalFormatting>
  <conditionalFormatting sqref="AF176">
    <cfRule type="cellIs" dxfId="641" priority="491" operator="greaterThan">
      <formula>0</formula>
    </cfRule>
    <cfRule type="cellIs" dxfId="640" priority="492" operator="lessThan">
      <formula>0</formula>
    </cfRule>
  </conditionalFormatting>
  <conditionalFormatting sqref="AF739">
    <cfRule type="cellIs" dxfId="639" priority="489" operator="greaterThan">
      <formula>0</formula>
    </cfRule>
    <cfRule type="cellIs" dxfId="638" priority="490" operator="lessThan">
      <formula>0</formula>
    </cfRule>
  </conditionalFormatting>
  <conditionalFormatting sqref="AF39">
    <cfRule type="cellIs" dxfId="637" priority="487" operator="greaterThan">
      <formula>0</formula>
    </cfRule>
    <cfRule type="cellIs" dxfId="636" priority="488" operator="lessThan">
      <formula>0</formula>
    </cfRule>
  </conditionalFormatting>
  <conditionalFormatting sqref="AF798">
    <cfRule type="cellIs" dxfId="635" priority="485" operator="greaterThan">
      <formula>0</formula>
    </cfRule>
    <cfRule type="cellIs" dxfId="634" priority="486" operator="lessThan">
      <formula>0</formula>
    </cfRule>
  </conditionalFormatting>
  <conditionalFormatting sqref="AF837">
    <cfRule type="cellIs" dxfId="633" priority="481" operator="greaterThan">
      <formula>0</formula>
    </cfRule>
    <cfRule type="cellIs" dxfId="632" priority="482" operator="lessThan">
      <formula>0</formula>
    </cfRule>
  </conditionalFormatting>
  <conditionalFormatting sqref="AF838:AF840 AF842 AF844 AF846">
    <cfRule type="cellIs" dxfId="631" priority="483" operator="greaterThan">
      <formula>0</formula>
    </cfRule>
    <cfRule type="cellIs" dxfId="630" priority="484" operator="lessThan">
      <formula>0</formula>
    </cfRule>
  </conditionalFormatting>
  <conditionalFormatting sqref="AF841">
    <cfRule type="cellIs" dxfId="629" priority="479" operator="greaterThan">
      <formula>0</formula>
    </cfRule>
    <cfRule type="cellIs" dxfId="628" priority="480" operator="lessThan">
      <formula>0</formula>
    </cfRule>
  </conditionalFormatting>
  <conditionalFormatting sqref="AF835">
    <cfRule type="cellIs" dxfId="627" priority="477" operator="greaterThan">
      <formula>0</formula>
    </cfRule>
    <cfRule type="cellIs" dxfId="626" priority="478" operator="lessThan">
      <formula>0</formula>
    </cfRule>
  </conditionalFormatting>
  <conditionalFormatting sqref="AF848">
    <cfRule type="cellIs" dxfId="625" priority="475" operator="greaterThan">
      <formula>0</formula>
    </cfRule>
    <cfRule type="cellIs" dxfId="624" priority="476" operator="lessThan">
      <formula>0</formula>
    </cfRule>
  </conditionalFormatting>
  <conditionalFormatting sqref="AF847">
    <cfRule type="cellIs" dxfId="623" priority="473" operator="greaterThan">
      <formula>0</formula>
    </cfRule>
    <cfRule type="cellIs" dxfId="622" priority="474" operator="lessThan">
      <formula>0</formula>
    </cfRule>
  </conditionalFormatting>
  <conditionalFormatting sqref="N835">
    <cfRule type="containsText" dxfId="621" priority="469" operator="containsText" text="Action">
      <formula>NOT(ISERROR(SEARCH("Action",N835)))</formula>
    </cfRule>
    <cfRule type="containsText" dxfId="620" priority="470" operator="containsText" text="Completed">
      <formula>NOT(ISERROR(SEARCH("Completed",N835)))</formula>
    </cfRule>
    <cfRule type="containsText" dxfId="619" priority="471" operator="containsText" text="In Progress">
      <formula>NOT(ISERROR(SEARCH("In Progress",N835)))</formula>
    </cfRule>
    <cfRule type="containsText" dxfId="618" priority="472" operator="containsText" text="Not">
      <formula>NOT(ISERROR(SEARCH("Not",N835)))</formula>
    </cfRule>
  </conditionalFormatting>
  <conditionalFormatting sqref="AF845">
    <cfRule type="cellIs" dxfId="617" priority="467" operator="greaterThan">
      <formula>0</formula>
    </cfRule>
    <cfRule type="cellIs" dxfId="616" priority="468" operator="lessThan">
      <formula>0</formula>
    </cfRule>
  </conditionalFormatting>
  <conditionalFormatting sqref="AF836">
    <cfRule type="cellIs" dxfId="615" priority="465" operator="greaterThan">
      <formula>0</formula>
    </cfRule>
    <cfRule type="cellIs" dxfId="614" priority="466" operator="lessThan">
      <formula>0</formula>
    </cfRule>
  </conditionalFormatting>
  <conditionalFormatting sqref="AF843">
    <cfRule type="cellIs" dxfId="613" priority="463" operator="greaterThan">
      <formula>0</formula>
    </cfRule>
    <cfRule type="cellIs" dxfId="612" priority="464" operator="lessThan">
      <formula>0</formula>
    </cfRule>
  </conditionalFormatting>
  <conditionalFormatting sqref="AF62:AF63 AF66">
    <cfRule type="cellIs" dxfId="611" priority="461" operator="greaterThan">
      <formula>0</formula>
    </cfRule>
    <cfRule type="cellIs" dxfId="610" priority="462" operator="lessThan">
      <formula>0</formula>
    </cfRule>
  </conditionalFormatting>
  <conditionalFormatting sqref="AF64">
    <cfRule type="cellIs" dxfId="609" priority="459" operator="greaterThan">
      <formula>0</formula>
    </cfRule>
    <cfRule type="cellIs" dxfId="608" priority="460" operator="lessThan">
      <formula>0</formula>
    </cfRule>
  </conditionalFormatting>
  <conditionalFormatting sqref="AF65">
    <cfRule type="cellIs" dxfId="607" priority="457" operator="greaterThan">
      <formula>0</formula>
    </cfRule>
    <cfRule type="cellIs" dxfId="606" priority="458" operator="lessThan">
      <formula>0</formula>
    </cfRule>
  </conditionalFormatting>
  <conditionalFormatting sqref="AF82">
    <cfRule type="cellIs" dxfId="605" priority="455" operator="greaterThan">
      <formula>0</formula>
    </cfRule>
    <cfRule type="cellIs" dxfId="604" priority="456" operator="lessThan">
      <formula>0</formula>
    </cfRule>
  </conditionalFormatting>
  <conditionalFormatting sqref="AF315">
    <cfRule type="cellIs" dxfId="603" priority="453" operator="greaterThan">
      <formula>0</formula>
    </cfRule>
    <cfRule type="cellIs" dxfId="602" priority="454" operator="lessThan">
      <formula>0</formula>
    </cfRule>
  </conditionalFormatting>
  <conditionalFormatting sqref="AF927 AF922:AF925">
    <cfRule type="cellIs" dxfId="601" priority="451" operator="greaterThan">
      <formula>0</formula>
    </cfRule>
    <cfRule type="cellIs" dxfId="600" priority="452" operator="lessThan">
      <formula>0</formula>
    </cfRule>
  </conditionalFormatting>
  <conditionalFormatting sqref="AF920">
    <cfRule type="cellIs" dxfId="599" priority="449" operator="greaterThan">
      <formula>0</formula>
    </cfRule>
    <cfRule type="cellIs" dxfId="598" priority="450" operator="lessThan">
      <formula>0</formula>
    </cfRule>
  </conditionalFormatting>
  <conditionalFormatting sqref="AF928">
    <cfRule type="cellIs" dxfId="597" priority="445" operator="greaterThan">
      <formula>0</formula>
    </cfRule>
    <cfRule type="cellIs" dxfId="596" priority="446" operator="lessThan">
      <formula>0</formula>
    </cfRule>
  </conditionalFormatting>
  <conditionalFormatting sqref="AF929">
    <cfRule type="cellIs" dxfId="595" priority="447" operator="greaterThan">
      <formula>0</formula>
    </cfRule>
    <cfRule type="cellIs" dxfId="594" priority="448" operator="lessThan">
      <formula>0</formula>
    </cfRule>
  </conditionalFormatting>
  <conditionalFormatting sqref="N920">
    <cfRule type="containsText" dxfId="593" priority="441" operator="containsText" text="Action">
      <formula>NOT(ISERROR(SEARCH("Action",N920)))</formula>
    </cfRule>
    <cfRule type="containsText" dxfId="592" priority="442" operator="containsText" text="Completed">
      <formula>NOT(ISERROR(SEARCH("Completed",N920)))</formula>
    </cfRule>
    <cfRule type="containsText" dxfId="591" priority="443" operator="containsText" text="In Progress">
      <formula>NOT(ISERROR(SEARCH("In Progress",N920)))</formula>
    </cfRule>
    <cfRule type="containsText" dxfId="590" priority="444" operator="containsText" text="Not">
      <formula>NOT(ISERROR(SEARCH("Not",N920)))</formula>
    </cfRule>
  </conditionalFormatting>
  <conditionalFormatting sqref="AF921">
    <cfRule type="cellIs" dxfId="589" priority="439" operator="greaterThan">
      <formula>0</formula>
    </cfRule>
    <cfRule type="cellIs" dxfId="588" priority="440" operator="lessThan">
      <formula>0</formula>
    </cfRule>
  </conditionalFormatting>
  <conditionalFormatting sqref="AF926">
    <cfRule type="cellIs" dxfId="587" priority="437" operator="greaterThan">
      <formula>0</formula>
    </cfRule>
    <cfRule type="cellIs" dxfId="586" priority="438" operator="lessThan">
      <formula>0</formula>
    </cfRule>
  </conditionalFormatting>
  <conditionalFormatting sqref="S1:S2 S4:S12 S16:S30 S447:S463 S229:S262 S227 S266:S302 S264 S304 S661:S671 S659 S673 S732 S877 S910:S915 S907 S465:S476 S478:S526 S734:S875 S440:S445 S879:S905 S596:S657 S528:S550 S552:S594 S990:S1048576 S917:S988 S675:S730 S306:S435 S33:S225">
    <cfRule type="containsText" dxfId="585" priority="436" operator="containsText" text="Access">
      <formula>NOT(ISERROR(SEARCH("Access",S1)))</formula>
    </cfRule>
  </conditionalFormatting>
  <conditionalFormatting sqref="T1:T2 T4:T12 T16:T30 T447:T463 T229:T262 T227 T266:T302 T264 T304 T661:T671 T659 T673 T732 T877 T910:T915 T907 T465:T476 T478:T526 T734:T875 T440:T445 T879:T905 T596:T657 T528:T550 T552:T594 T990:T1048576 T917:T988 T675:T730 T306:T435 T33:T225">
    <cfRule type="containsText" dxfId="584" priority="435" operator="containsText" text="Yes">
      <formula>NOT(ISERROR(SEARCH("Yes",T1)))</formula>
    </cfRule>
  </conditionalFormatting>
  <conditionalFormatting sqref="AF13:AF15">
    <cfRule type="cellIs" dxfId="583" priority="433" operator="greaterThan">
      <formula>0</formula>
    </cfRule>
    <cfRule type="cellIs" dxfId="582" priority="434" operator="lessThan">
      <formula>0</formula>
    </cfRule>
  </conditionalFormatting>
  <conditionalFormatting sqref="S13:S15">
    <cfRule type="containsText" dxfId="581" priority="432" operator="containsText" text="Access">
      <formula>NOT(ISERROR(SEARCH("Access",S13)))</formula>
    </cfRule>
  </conditionalFormatting>
  <conditionalFormatting sqref="T13:T15">
    <cfRule type="containsText" dxfId="580" priority="431" operator="containsText" text="Yes">
      <formula>NOT(ISERROR(SEARCH("Yes",T13)))</formula>
    </cfRule>
  </conditionalFormatting>
  <conditionalFormatting sqref="AF474">
    <cfRule type="cellIs" dxfId="579" priority="427" operator="greaterThan">
      <formula>0</formula>
    </cfRule>
    <cfRule type="cellIs" dxfId="578" priority="428" operator="lessThan">
      <formula>0</formula>
    </cfRule>
  </conditionalFormatting>
  <conditionalFormatting sqref="AF481">
    <cfRule type="cellIs" dxfId="577" priority="425" operator="greaterThan">
      <formula>0</formula>
    </cfRule>
    <cfRule type="cellIs" dxfId="576" priority="426" operator="lessThan">
      <formula>0</formula>
    </cfRule>
  </conditionalFormatting>
  <conditionalFormatting sqref="AF475">
    <cfRule type="cellIs" dxfId="575" priority="417" operator="greaterThan">
      <formula>0</formula>
    </cfRule>
    <cfRule type="cellIs" dxfId="574" priority="418" operator="lessThan">
      <formula>0</formula>
    </cfRule>
  </conditionalFormatting>
  <conditionalFormatting sqref="AF478">
    <cfRule type="cellIs" dxfId="573" priority="415" operator="greaterThan">
      <formula>0</formula>
    </cfRule>
    <cfRule type="cellIs" dxfId="572" priority="416" operator="lessThan">
      <formula>0</formula>
    </cfRule>
  </conditionalFormatting>
  <conditionalFormatting sqref="AF476 AF479">
    <cfRule type="cellIs" dxfId="571" priority="429" operator="greaterThan">
      <formula>0</formula>
    </cfRule>
    <cfRule type="cellIs" dxfId="570" priority="430" operator="lessThan">
      <formula>0</formula>
    </cfRule>
  </conditionalFormatting>
  <conditionalFormatting sqref="AF480">
    <cfRule type="cellIs" dxfId="569" priority="423" operator="greaterThan">
      <formula>0</formula>
    </cfRule>
    <cfRule type="cellIs" dxfId="568" priority="424" operator="lessThan">
      <formula>0</formula>
    </cfRule>
  </conditionalFormatting>
  <conditionalFormatting sqref="N474">
    <cfRule type="containsText" dxfId="567" priority="419" operator="containsText" text="Action">
      <formula>NOT(ISERROR(SEARCH("Action",N474)))</formula>
    </cfRule>
    <cfRule type="containsText" dxfId="566" priority="420" operator="containsText" text="Completed">
      <formula>NOT(ISERROR(SEARCH("Completed",N474)))</formula>
    </cfRule>
    <cfRule type="containsText" dxfId="565" priority="421" operator="containsText" text="In Progress">
      <formula>NOT(ISERROR(SEARCH("In Progress",N474)))</formula>
    </cfRule>
    <cfRule type="containsText" dxfId="564" priority="422" operator="containsText" text="Not">
      <formula>NOT(ISERROR(SEARCH("Not",N474)))</formula>
    </cfRule>
  </conditionalFormatting>
  <conditionalFormatting sqref="AF767:AF768 AF757:AF762">
    <cfRule type="cellIs" dxfId="563" priority="413" operator="greaterThan">
      <formula>0</formula>
    </cfRule>
    <cfRule type="cellIs" dxfId="562" priority="414" operator="lessThan">
      <formula>0</formula>
    </cfRule>
  </conditionalFormatting>
  <conditionalFormatting sqref="AF755">
    <cfRule type="cellIs" dxfId="561" priority="411" operator="greaterThan">
      <formula>0</formula>
    </cfRule>
    <cfRule type="cellIs" dxfId="560" priority="412" operator="lessThan">
      <formula>0</formula>
    </cfRule>
  </conditionalFormatting>
  <conditionalFormatting sqref="AF763:AF765">
    <cfRule type="cellIs" dxfId="559" priority="409" operator="greaterThan">
      <formula>0</formula>
    </cfRule>
    <cfRule type="cellIs" dxfId="558" priority="410" operator="lessThan">
      <formula>0</formula>
    </cfRule>
  </conditionalFormatting>
  <conditionalFormatting sqref="AF769">
    <cfRule type="cellIs" dxfId="557" priority="405" operator="greaterThan">
      <formula>0</formula>
    </cfRule>
    <cfRule type="cellIs" dxfId="556" priority="406" operator="lessThan">
      <formula>0</formula>
    </cfRule>
  </conditionalFormatting>
  <conditionalFormatting sqref="AF770">
    <cfRule type="cellIs" dxfId="555" priority="407" operator="greaterThan">
      <formula>0</formula>
    </cfRule>
    <cfRule type="cellIs" dxfId="554" priority="408" operator="lessThan">
      <formula>0</formula>
    </cfRule>
  </conditionalFormatting>
  <conditionalFormatting sqref="N755">
    <cfRule type="containsText" dxfId="553" priority="401" operator="containsText" text="Action">
      <formula>NOT(ISERROR(SEARCH("Action",N755)))</formula>
    </cfRule>
    <cfRule type="containsText" dxfId="552" priority="402" operator="containsText" text="Completed">
      <formula>NOT(ISERROR(SEARCH("Completed",N755)))</formula>
    </cfRule>
    <cfRule type="containsText" dxfId="551" priority="403" operator="containsText" text="In Progress">
      <formula>NOT(ISERROR(SEARCH("In Progress",N755)))</formula>
    </cfRule>
    <cfRule type="containsText" dxfId="550" priority="404" operator="containsText" text="Not">
      <formula>NOT(ISERROR(SEARCH("Not",N755)))</formula>
    </cfRule>
  </conditionalFormatting>
  <conditionalFormatting sqref="AF756">
    <cfRule type="cellIs" dxfId="549" priority="399" operator="greaterThan">
      <formula>0</formula>
    </cfRule>
    <cfRule type="cellIs" dxfId="548" priority="400" operator="lessThan">
      <formula>0</formula>
    </cfRule>
  </conditionalFormatting>
  <conditionalFormatting sqref="AF766">
    <cfRule type="cellIs" dxfId="547" priority="397" operator="greaterThan">
      <formula>0</formula>
    </cfRule>
    <cfRule type="cellIs" dxfId="546" priority="398" operator="lessThan">
      <formula>0</formula>
    </cfRule>
  </conditionalFormatting>
  <conditionalFormatting sqref="AF320:AF323">
    <cfRule type="cellIs" dxfId="545" priority="395" operator="greaterThan">
      <formula>0</formula>
    </cfRule>
    <cfRule type="cellIs" dxfId="544" priority="396" operator="lessThan">
      <formula>0</formula>
    </cfRule>
  </conditionalFormatting>
  <conditionalFormatting sqref="AF446">
    <cfRule type="cellIs" dxfId="543" priority="393" operator="greaterThan">
      <formula>0</formula>
    </cfRule>
    <cfRule type="cellIs" dxfId="542" priority="394" operator="lessThan">
      <formula>0</formula>
    </cfRule>
  </conditionalFormatting>
  <conditionalFormatting sqref="S446">
    <cfRule type="containsText" dxfId="541" priority="392" operator="containsText" text="Access">
      <formula>NOT(ISERROR(SEARCH("Access",S446)))</formula>
    </cfRule>
  </conditionalFormatting>
  <conditionalFormatting sqref="T446">
    <cfRule type="containsText" dxfId="540" priority="391" operator="containsText" text="Yes">
      <formula>NOT(ISERROR(SEARCH("Yes",T446)))</formula>
    </cfRule>
  </conditionalFormatting>
  <conditionalFormatting sqref="AF595">
    <cfRule type="cellIs" dxfId="539" priority="389" operator="greaterThan">
      <formula>0</formula>
    </cfRule>
    <cfRule type="cellIs" dxfId="538" priority="390" operator="lessThan">
      <formula>0</formula>
    </cfRule>
  </conditionalFormatting>
  <conditionalFormatting sqref="AF442">
    <cfRule type="cellIs" dxfId="537" priority="387" operator="greaterThan">
      <formula>0</formula>
    </cfRule>
    <cfRule type="cellIs" dxfId="536" priority="388" operator="lessThan">
      <formula>0</formula>
    </cfRule>
  </conditionalFormatting>
  <conditionalFormatting sqref="AF435">
    <cfRule type="cellIs" dxfId="535" priority="385" operator="greaterThan">
      <formula>0</formula>
    </cfRule>
    <cfRule type="cellIs" dxfId="534" priority="386" operator="lessThan">
      <formula>0</formula>
    </cfRule>
  </conditionalFormatting>
  <conditionalFormatting sqref="AF443">
    <cfRule type="cellIs" dxfId="533" priority="381" operator="greaterThan">
      <formula>0</formula>
    </cfRule>
    <cfRule type="cellIs" dxfId="532" priority="382" operator="lessThan">
      <formula>0</formula>
    </cfRule>
  </conditionalFormatting>
  <conditionalFormatting sqref="AF444">
    <cfRule type="cellIs" dxfId="531" priority="383" operator="greaterThan">
      <formula>0</formula>
    </cfRule>
    <cfRule type="cellIs" dxfId="530" priority="384" operator="lessThan">
      <formula>0</formula>
    </cfRule>
  </conditionalFormatting>
  <conditionalFormatting sqref="AF436">
    <cfRule type="cellIs" dxfId="529" priority="379" operator="greaterThan">
      <formula>0</formula>
    </cfRule>
    <cfRule type="cellIs" dxfId="528" priority="380" operator="lessThan">
      <formula>0</formula>
    </cfRule>
  </conditionalFormatting>
  <conditionalFormatting sqref="AF441">
    <cfRule type="cellIs" dxfId="527" priority="377" operator="greaterThan">
      <formula>0</formula>
    </cfRule>
    <cfRule type="cellIs" dxfId="526" priority="378" operator="lessThan">
      <formula>0</formula>
    </cfRule>
  </conditionalFormatting>
  <conditionalFormatting sqref="N435">
    <cfRule type="containsText" dxfId="525" priority="373" operator="containsText" text="Action">
      <formula>NOT(ISERROR(SEARCH("Action",N435)))</formula>
    </cfRule>
    <cfRule type="containsText" dxfId="524" priority="374" operator="containsText" text="Completed">
      <formula>NOT(ISERROR(SEARCH("Completed",N435)))</formula>
    </cfRule>
    <cfRule type="containsText" dxfId="523" priority="375" operator="containsText" text="In Progress">
      <formula>NOT(ISERROR(SEARCH("In Progress",N435)))</formula>
    </cfRule>
    <cfRule type="containsText" dxfId="522" priority="376" operator="containsText" text="Not">
      <formula>NOT(ISERROR(SEARCH("Not",N435)))</formula>
    </cfRule>
  </conditionalFormatting>
  <conditionalFormatting sqref="S436:S439">
    <cfRule type="containsText" dxfId="521" priority="372" operator="containsText" text="Access">
      <formula>NOT(ISERROR(SEARCH("Access",S436)))</formula>
    </cfRule>
  </conditionalFormatting>
  <conditionalFormatting sqref="T436:T439">
    <cfRule type="containsText" dxfId="520" priority="371" operator="containsText" text="Yes">
      <formula>NOT(ISERROR(SEARCH("Yes",T436)))</formula>
    </cfRule>
  </conditionalFormatting>
  <conditionalFormatting sqref="AF527">
    <cfRule type="cellIs" dxfId="519" priority="369" operator="greaterThan">
      <formula>0</formula>
    </cfRule>
    <cfRule type="cellIs" dxfId="518" priority="370" operator="lessThan">
      <formula>0</formula>
    </cfRule>
  </conditionalFormatting>
  <conditionalFormatting sqref="S527">
    <cfRule type="containsText" dxfId="517" priority="368" operator="containsText" text="Access">
      <formula>NOT(ISERROR(SEARCH("Access",S527)))</formula>
    </cfRule>
  </conditionalFormatting>
  <conditionalFormatting sqref="T527">
    <cfRule type="containsText" dxfId="516" priority="367" operator="containsText" text="Yes">
      <formula>NOT(ISERROR(SEARCH("Yes",T527)))</formula>
    </cfRule>
  </conditionalFormatting>
  <conditionalFormatting sqref="AF916">
    <cfRule type="cellIs" dxfId="515" priority="365" operator="greaterThan">
      <formula>0</formula>
    </cfRule>
    <cfRule type="cellIs" dxfId="514" priority="366" operator="lessThan">
      <formula>0</formula>
    </cfRule>
  </conditionalFormatting>
  <conditionalFormatting sqref="S916">
    <cfRule type="containsText" dxfId="513" priority="364" operator="containsText" text="Access">
      <formula>NOT(ISERROR(SEARCH("Access",S916)))</formula>
    </cfRule>
  </conditionalFormatting>
  <conditionalFormatting sqref="T916">
    <cfRule type="containsText" dxfId="512" priority="363" operator="containsText" text="Yes">
      <formula>NOT(ISERROR(SEARCH("Yes",T916)))</formula>
    </cfRule>
  </conditionalFormatting>
  <conditionalFormatting sqref="AF32">
    <cfRule type="cellIs" dxfId="511" priority="361" operator="greaterThan">
      <formula>0</formula>
    </cfRule>
    <cfRule type="cellIs" dxfId="510" priority="362" operator="lessThan">
      <formula>0</formula>
    </cfRule>
  </conditionalFormatting>
  <conditionalFormatting sqref="S32">
    <cfRule type="containsText" dxfId="509" priority="360" operator="containsText" text="Access">
      <formula>NOT(ISERROR(SEARCH("Access",S32)))</formula>
    </cfRule>
  </conditionalFormatting>
  <conditionalFormatting sqref="T32">
    <cfRule type="containsText" dxfId="508" priority="359" operator="containsText" text="Yes">
      <formula>NOT(ISERROR(SEARCH("Yes",T32)))</formula>
    </cfRule>
  </conditionalFormatting>
  <conditionalFormatting sqref="AF31">
    <cfRule type="cellIs" dxfId="507" priority="357" operator="greaterThan">
      <formula>0</formula>
    </cfRule>
    <cfRule type="cellIs" dxfId="506" priority="358" operator="lessThan">
      <formula>0</formula>
    </cfRule>
  </conditionalFormatting>
  <conditionalFormatting sqref="S31">
    <cfRule type="containsText" dxfId="505" priority="356" operator="containsText" text="Access">
      <formula>NOT(ISERROR(SEARCH("Access",S31)))</formula>
    </cfRule>
  </conditionalFormatting>
  <conditionalFormatting sqref="T31">
    <cfRule type="containsText" dxfId="504" priority="355" operator="containsText" text="Yes">
      <formula>NOT(ISERROR(SEARCH("Yes",T31)))</formula>
    </cfRule>
  </conditionalFormatting>
  <conditionalFormatting sqref="AF228">
    <cfRule type="cellIs" dxfId="503" priority="353" operator="greaterThan">
      <formula>0</formula>
    </cfRule>
    <cfRule type="cellIs" dxfId="502" priority="354" operator="lessThan">
      <formula>0</formula>
    </cfRule>
  </conditionalFormatting>
  <conditionalFormatting sqref="S228">
    <cfRule type="containsText" dxfId="501" priority="352" operator="containsText" text="Access">
      <formula>NOT(ISERROR(SEARCH("Access",S228)))</formula>
    </cfRule>
  </conditionalFormatting>
  <conditionalFormatting sqref="T228">
    <cfRule type="containsText" dxfId="500" priority="351" operator="containsText" text="Yes">
      <formula>NOT(ISERROR(SEARCH("Yes",T228)))</formula>
    </cfRule>
  </conditionalFormatting>
  <conditionalFormatting sqref="AF226">
    <cfRule type="cellIs" dxfId="499" priority="349" operator="greaterThan">
      <formula>0</formula>
    </cfRule>
    <cfRule type="cellIs" dxfId="498" priority="350" operator="lessThan">
      <formula>0</formula>
    </cfRule>
  </conditionalFormatting>
  <conditionalFormatting sqref="S226">
    <cfRule type="containsText" dxfId="497" priority="348" operator="containsText" text="Access">
      <formula>NOT(ISERROR(SEARCH("Access",S226)))</formula>
    </cfRule>
  </conditionalFormatting>
  <conditionalFormatting sqref="T226">
    <cfRule type="containsText" dxfId="496" priority="347" operator="containsText" text="Yes">
      <formula>NOT(ISERROR(SEARCH("Yes",T226)))</formula>
    </cfRule>
  </conditionalFormatting>
  <conditionalFormatting sqref="AF265">
    <cfRule type="cellIs" dxfId="495" priority="345" operator="greaterThan">
      <formula>0</formula>
    </cfRule>
    <cfRule type="cellIs" dxfId="494" priority="346" operator="lessThan">
      <formula>0</formula>
    </cfRule>
  </conditionalFormatting>
  <conditionalFormatting sqref="S265">
    <cfRule type="containsText" dxfId="493" priority="344" operator="containsText" text="Access">
      <formula>NOT(ISERROR(SEARCH("Access",S265)))</formula>
    </cfRule>
  </conditionalFormatting>
  <conditionalFormatting sqref="T265">
    <cfRule type="containsText" dxfId="492" priority="343" operator="containsText" text="Yes">
      <formula>NOT(ISERROR(SEARCH("Yes",T265)))</formula>
    </cfRule>
  </conditionalFormatting>
  <conditionalFormatting sqref="T263">
    <cfRule type="containsText" dxfId="491" priority="339" operator="containsText" text="Yes">
      <formula>NOT(ISERROR(SEARCH("Yes",T263)))</formula>
    </cfRule>
  </conditionalFormatting>
  <conditionalFormatting sqref="AF263">
    <cfRule type="cellIs" dxfId="490" priority="341" operator="greaterThan">
      <formula>0</formula>
    </cfRule>
    <cfRule type="cellIs" dxfId="489" priority="342" operator="lessThan">
      <formula>0</formula>
    </cfRule>
  </conditionalFormatting>
  <conditionalFormatting sqref="S263">
    <cfRule type="containsText" dxfId="488" priority="340" operator="containsText" text="Access">
      <formula>NOT(ISERROR(SEARCH("Access",S263)))</formula>
    </cfRule>
  </conditionalFormatting>
  <conditionalFormatting sqref="AF305">
    <cfRule type="cellIs" dxfId="487" priority="337" operator="greaterThan">
      <formula>0</formula>
    </cfRule>
    <cfRule type="cellIs" dxfId="486" priority="338" operator="lessThan">
      <formula>0</formula>
    </cfRule>
  </conditionalFormatting>
  <conditionalFormatting sqref="S305">
    <cfRule type="containsText" dxfId="485" priority="336" operator="containsText" text="Access">
      <formula>NOT(ISERROR(SEARCH("Access",S305)))</formula>
    </cfRule>
  </conditionalFormatting>
  <conditionalFormatting sqref="T305">
    <cfRule type="containsText" dxfId="484" priority="335" operator="containsText" text="Yes">
      <formula>NOT(ISERROR(SEARCH("Yes",T305)))</formula>
    </cfRule>
  </conditionalFormatting>
  <conditionalFormatting sqref="AF303">
    <cfRule type="cellIs" dxfId="483" priority="333" operator="greaterThan">
      <formula>0</formula>
    </cfRule>
    <cfRule type="cellIs" dxfId="482" priority="334" operator="lessThan">
      <formula>0</formula>
    </cfRule>
  </conditionalFormatting>
  <conditionalFormatting sqref="S303">
    <cfRule type="containsText" dxfId="481" priority="332" operator="containsText" text="Access">
      <formula>NOT(ISERROR(SEARCH("Access",S303)))</formula>
    </cfRule>
  </conditionalFormatting>
  <conditionalFormatting sqref="T303">
    <cfRule type="containsText" dxfId="480" priority="331" operator="containsText" text="Yes">
      <formula>NOT(ISERROR(SEARCH("Yes",T303)))</formula>
    </cfRule>
  </conditionalFormatting>
  <conditionalFormatting sqref="AF660">
    <cfRule type="cellIs" dxfId="479" priority="329" operator="greaterThan">
      <formula>0</formula>
    </cfRule>
    <cfRule type="cellIs" dxfId="478" priority="330" operator="lessThan">
      <formula>0</formula>
    </cfRule>
  </conditionalFormatting>
  <conditionalFormatting sqref="S660">
    <cfRule type="containsText" dxfId="477" priority="328" operator="containsText" text="Access">
      <formula>NOT(ISERROR(SEARCH("Access",S660)))</formula>
    </cfRule>
  </conditionalFormatting>
  <conditionalFormatting sqref="T660">
    <cfRule type="containsText" dxfId="476" priority="327" operator="containsText" text="Yes">
      <formula>NOT(ISERROR(SEARCH("Yes",T660)))</formula>
    </cfRule>
  </conditionalFormatting>
  <conditionalFormatting sqref="AF658">
    <cfRule type="cellIs" dxfId="475" priority="325" operator="greaterThan">
      <formula>0</formula>
    </cfRule>
    <cfRule type="cellIs" dxfId="474" priority="326" operator="lessThan">
      <formula>0</formula>
    </cfRule>
  </conditionalFormatting>
  <conditionalFormatting sqref="S658">
    <cfRule type="containsText" dxfId="473" priority="324" operator="containsText" text="Access">
      <formula>NOT(ISERROR(SEARCH("Access",S658)))</formula>
    </cfRule>
  </conditionalFormatting>
  <conditionalFormatting sqref="T658">
    <cfRule type="containsText" dxfId="472" priority="323" operator="containsText" text="Yes">
      <formula>NOT(ISERROR(SEARCH("Yes",T658)))</formula>
    </cfRule>
  </conditionalFormatting>
  <conditionalFormatting sqref="AF674">
    <cfRule type="cellIs" dxfId="471" priority="321" operator="greaterThan">
      <formula>0</formula>
    </cfRule>
    <cfRule type="cellIs" dxfId="470" priority="322" operator="lessThan">
      <formula>0</formula>
    </cfRule>
  </conditionalFormatting>
  <conditionalFormatting sqref="S674">
    <cfRule type="containsText" dxfId="469" priority="320" operator="containsText" text="Access">
      <formula>NOT(ISERROR(SEARCH("Access",S674)))</formula>
    </cfRule>
  </conditionalFormatting>
  <conditionalFormatting sqref="T674">
    <cfRule type="containsText" dxfId="468" priority="319" operator="containsText" text="Yes">
      <formula>NOT(ISERROR(SEARCH("Yes",T674)))</formula>
    </cfRule>
  </conditionalFormatting>
  <conditionalFormatting sqref="T672">
    <cfRule type="containsText" dxfId="467" priority="315" operator="containsText" text="Yes">
      <formula>NOT(ISERROR(SEARCH("Yes",T672)))</formula>
    </cfRule>
  </conditionalFormatting>
  <conditionalFormatting sqref="AF672">
    <cfRule type="cellIs" dxfId="466" priority="317" operator="greaterThan">
      <formula>0</formula>
    </cfRule>
    <cfRule type="cellIs" dxfId="465" priority="318" operator="lessThan">
      <formula>0</formula>
    </cfRule>
  </conditionalFormatting>
  <conditionalFormatting sqref="S672">
    <cfRule type="containsText" dxfId="464" priority="316" operator="containsText" text="Access">
      <formula>NOT(ISERROR(SEARCH("Access",S672)))</formula>
    </cfRule>
  </conditionalFormatting>
  <conditionalFormatting sqref="AF733">
    <cfRule type="cellIs" dxfId="463" priority="313" operator="greaterThan">
      <formula>0</formula>
    </cfRule>
    <cfRule type="cellIs" dxfId="462" priority="314" operator="lessThan">
      <formula>0</formula>
    </cfRule>
  </conditionalFormatting>
  <conditionalFormatting sqref="S733">
    <cfRule type="containsText" dxfId="461" priority="312" operator="containsText" text="Access">
      <formula>NOT(ISERROR(SEARCH("Access",S733)))</formula>
    </cfRule>
  </conditionalFormatting>
  <conditionalFormatting sqref="T733">
    <cfRule type="containsText" dxfId="460" priority="311" operator="containsText" text="Yes">
      <formula>NOT(ISERROR(SEARCH("Yes",T733)))</formula>
    </cfRule>
  </conditionalFormatting>
  <conditionalFormatting sqref="AF731">
    <cfRule type="cellIs" dxfId="459" priority="309" operator="greaterThan">
      <formula>0</formula>
    </cfRule>
    <cfRule type="cellIs" dxfId="458" priority="310" operator="lessThan">
      <formula>0</formula>
    </cfRule>
  </conditionalFormatting>
  <conditionalFormatting sqref="S731">
    <cfRule type="containsText" dxfId="457" priority="308" operator="containsText" text="Access">
      <formula>NOT(ISERROR(SEARCH("Access",S731)))</formula>
    </cfRule>
  </conditionalFormatting>
  <conditionalFormatting sqref="T731">
    <cfRule type="containsText" dxfId="456" priority="307" operator="containsText" text="Yes">
      <formula>NOT(ISERROR(SEARCH("Yes",T731)))</formula>
    </cfRule>
  </conditionalFormatting>
  <conditionalFormatting sqref="AF878">
    <cfRule type="cellIs" dxfId="455" priority="305" operator="greaterThan">
      <formula>0</formula>
    </cfRule>
    <cfRule type="cellIs" dxfId="454" priority="306" operator="lessThan">
      <formula>0</formula>
    </cfRule>
  </conditionalFormatting>
  <conditionalFormatting sqref="S878">
    <cfRule type="containsText" dxfId="453" priority="304" operator="containsText" text="Access">
      <formula>NOT(ISERROR(SEARCH("Access",S878)))</formula>
    </cfRule>
  </conditionalFormatting>
  <conditionalFormatting sqref="T878">
    <cfRule type="containsText" dxfId="452" priority="303" operator="containsText" text="Yes">
      <formula>NOT(ISERROR(SEARCH("Yes",T878)))</formula>
    </cfRule>
  </conditionalFormatting>
  <conditionalFormatting sqref="AF876">
    <cfRule type="cellIs" dxfId="451" priority="301" operator="greaterThan">
      <formula>0</formula>
    </cfRule>
    <cfRule type="cellIs" dxfId="450" priority="302" operator="lessThan">
      <formula>0</formula>
    </cfRule>
  </conditionalFormatting>
  <conditionalFormatting sqref="S876">
    <cfRule type="containsText" dxfId="449" priority="300" operator="containsText" text="Access">
      <formula>NOT(ISERROR(SEARCH("Access",S876)))</formula>
    </cfRule>
  </conditionalFormatting>
  <conditionalFormatting sqref="T876">
    <cfRule type="containsText" dxfId="448" priority="299" operator="containsText" text="Yes">
      <formula>NOT(ISERROR(SEARCH("Yes",T876)))</formula>
    </cfRule>
  </conditionalFormatting>
  <conditionalFormatting sqref="AF908">
    <cfRule type="cellIs" dxfId="447" priority="297" operator="greaterThan">
      <formula>0</formula>
    </cfRule>
    <cfRule type="cellIs" dxfId="446" priority="298" operator="lessThan">
      <formula>0</formula>
    </cfRule>
  </conditionalFormatting>
  <conditionalFormatting sqref="S908">
    <cfRule type="containsText" dxfId="445" priority="296" operator="containsText" text="Access">
      <formula>NOT(ISERROR(SEARCH("Access",S908)))</formula>
    </cfRule>
  </conditionalFormatting>
  <conditionalFormatting sqref="T908">
    <cfRule type="containsText" dxfId="444" priority="295" operator="containsText" text="Yes">
      <formula>NOT(ISERROR(SEARCH("Yes",T908)))</formula>
    </cfRule>
  </conditionalFormatting>
  <conditionalFormatting sqref="AF906">
    <cfRule type="cellIs" dxfId="443" priority="293" operator="greaterThan">
      <formula>0</formula>
    </cfRule>
    <cfRule type="cellIs" dxfId="442" priority="294" operator="lessThan">
      <formula>0</formula>
    </cfRule>
  </conditionalFormatting>
  <conditionalFormatting sqref="S906">
    <cfRule type="containsText" dxfId="441" priority="292" operator="containsText" text="Access">
      <formula>NOT(ISERROR(SEARCH("Access",S906)))</formula>
    </cfRule>
  </conditionalFormatting>
  <conditionalFormatting sqref="T906">
    <cfRule type="containsText" dxfId="440" priority="291" operator="containsText" text="Yes">
      <formula>NOT(ISERROR(SEARCH("Yes",T906)))</formula>
    </cfRule>
  </conditionalFormatting>
  <conditionalFormatting sqref="AF464">
    <cfRule type="cellIs" dxfId="439" priority="289" operator="greaterThan">
      <formula>0</formula>
    </cfRule>
    <cfRule type="cellIs" dxfId="438" priority="290" operator="lessThan">
      <formula>0</formula>
    </cfRule>
  </conditionalFormatting>
  <conditionalFormatting sqref="S464">
    <cfRule type="containsText" dxfId="437" priority="288" operator="containsText" text="Access">
      <formula>NOT(ISERROR(SEARCH("Access",S464)))</formula>
    </cfRule>
  </conditionalFormatting>
  <conditionalFormatting sqref="T464">
    <cfRule type="containsText" dxfId="436" priority="287" operator="containsText" text="Yes">
      <formula>NOT(ISERROR(SEARCH("Yes",T464)))</formula>
    </cfRule>
  </conditionalFormatting>
  <conditionalFormatting sqref="AF804 AF802">
    <cfRule type="cellIs" dxfId="435" priority="285" operator="greaterThan">
      <formula>0</formula>
    </cfRule>
    <cfRule type="cellIs" dxfId="434" priority="286" operator="lessThan">
      <formula>0</formula>
    </cfRule>
  </conditionalFormatting>
  <conditionalFormatting sqref="AF800">
    <cfRule type="cellIs" dxfId="433" priority="283" operator="greaterThan">
      <formula>0</formula>
    </cfRule>
    <cfRule type="cellIs" dxfId="432" priority="284" operator="lessThan">
      <formula>0</formula>
    </cfRule>
  </conditionalFormatting>
  <conditionalFormatting sqref="AF805">
    <cfRule type="cellIs" dxfId="431" priority="279" operator="greaterThan">
      <formula>0</formula>
    </cfRule>
    <cfRule type="cellIs" dxfId="430" priority="280" operator="lessThan">
      <formula>0</formula>
    </cfRule>
  </conditionalFormatting>
  <conditionalFormatting sqref="AF806">
    <cfRule type="cellIs" dxfId="429" priority="281" operator="greaterThan">
      <formula>0</formula>
    </cfRule>
    <cfRule type="cellIs" dxfId="428" priority="282" operator="lessThan">
      <formula>0</formula>
    </cfRule>
  </conditionalFormatting>
  <conditionalFormatting sqref="N800">
    <cfRule type="containsText" dxfId="427" priority="275" operator="containsText" text="Action">
      <formula>NOT(ISERROR(SEARCH("Action",N800)))</formula>
    </cfRule>
    <cfRule type="containsText" dxfId="426" priority="276" operator="containsText" text="Completed">
      <formula>NOT(ISERROR(SEARCH("Completed",N800)))</formula>
    </cfRule>
    <cfRule type="containsText" dxfId="425" priority="277" operator="containsText" text="In Progress">
      <formula>NOT(ISERROR(SEARCH("In Progress",N800)))</formula>
    </cfRule>
    <cfRule type="containsText" dxfId="424" priority="278" operator="containsText" text="Not">
      <formula>NOT(ISERROR(SEARCH("Not",N800)))</formula>
    </cfRule>
  </conditionalFormatting>
  <conditionalFormatting sqref="AF801">
    <cfRule type="cellIs" dxfId="423" priority="273" operator="greaterThan">
      <formula>0</formula>
    </cfRule>
    <cfRule type="cellIs" dxfId="422" priority="274" operator="lessThan">
      <formula>0</formula>
    </cfRule>
  </conditionalFormatting>
  <conditionalFormatting sqref="AF803">
    <cfRule type="cellIs" dxfId="421" priority="271" operator="greaterThan">
      <formula>0</formula>
    </cfRule>
    <cfRule type="cellIs" dxfId="420" priority="272" operator="lessThan">
      <formula>0</formula>
    </cfRule>
  </conditionalFormatting>
  <conditionalFormatting sqref="AF818:AF819 AF816 AF810 AF812:AF814">
    <cfRule type="cellIs" dxfId="419" priority="269" operator="greaterThan">
      <formula>0</formula>
    </cfRule>
    <cfRule type="cellIs" dxfId="418" priority="270" operator="lessThan">
      <formula>0</formula>
    </cfRule>
  </conditionalFormatting>
  <conditionalFormatting sqref="AF807">
    <cfRule type="cellIs" dxfId="417" priority="267" operator="greaterThan">
      <formula>0</formula>
    </cfRule>
    <cfRule type="cellIs" dxfId="416" priority="268" operator="lessThan">
      <formula>0</formula>
    </cfRule>
  </conditionalFormatting>
  <conditionalFormatting sqref="AF820">
    <cfRule type="cellIs" dxfId="415" priority="263" operator="greaterThan">
      <formula>0</formula>
    </cfRule>
    <cfRule type="cellIs" dxfId="414" priority="264" operator="lessThan">
      <formula>0</formula>
    </cfRule>
  </conditionalFormatting>
  <conditionalFormatting sqref="AF821">
    <cfRule type="cellIs" dxfId="413" priority="265" operator="greaterThan">
      <formula>0</formula>
    </cfRule>
    <cfRule type="cellIs" dxfId="412" priority="266" operator="lessThan">
      <formula>0</formula>
    </cfRule>
  </conditionalFormatting>
  <conditionalFormatting sqref="N807">
    <cfRule type="containsText" dxfId="411" priority="259" operator="containsText" text="Action">
      <formula>NOT(ISERROR(SEARCH("Action",N807)))</formula>
    </cfRule>
    <cfRule type="containsText" dxfId="410" priority="260" operator="containsText" text="Completed">
      <formula>NOT(ISERROR(SEARCH("Completed",N807)))</formula>
    </cfRule>
    <cfRule type="containsText" dxfId="409" priority="261" operator="containsText" text="In Progress">
      <formula>NOT(ISERROR(SEARCH("In Progress",N807)))</formula>
    </cfRule>
    <cfRule type="containsText" dxfId="408" priority="262" operator="containsText" text="Not">
      <formula>NOT(ISERROR(SEARCH("Not",N807)))</formula>
    </cfRule>
  </conditionalFormatting>
  <conditionalFormatting sqref="AF815">
    <cfRule type="cellIs" dxfId="407" priority="257" operator="greaterThan">
      <formula>0</formula>
    </cfRule>
    <cfRule type="cellIs" dxfId="406" priority="258" operator="lessThan">
      <formula>0</formula>
    </cfRule>
  </conditionalFormatting>
  <conditionalFormatting sqref="AF808">
    <cfRule type="cellIs" dxfId="405" priority="255" operator="greaterThan">
      <formula>0</formula>
    </cfRule>
    <cfRule type="cellIs" dxfId="404" priority="256" operator="lessThan">
      <formula>0</formula>
    </cfRule>
  </conditionalFormatting>
  <conditionalFormatting sqref="AF809">
    <cfRule type="cellIs" dxfId="403" priority="253" operator="greaterThan">
      <formula>0</formula>
    </cfRule>
    <cfRule type="cellIs" dxfId="402" priority="254" operator="lessThan">
      <formula>0</formula>
    </cfRule>
  </conditionalFormatting>
  <conditionalFormatting sqref="AF817">
    <cfRule type="cellIs" dxfId="401" priority="251" operator="greaterThan">
      <formula>0</formula>
    </cfRule>
    <cfRule type="cellIs" dxfId="400" priority="252" operator="lessThan">
      <formula>0</formula>
    </cfRule>
  </conditionalFormatting>
  <conditionalFormatting sqref="S477">
    <cfRule type="containsText" dxfId="399" priority="250" operator="containsText" text="Access">
      <formula>NOT(ISERROR(SEARCH("Access",S477)))</formula>
    </cfRule>
  </conditionalFormatting>
  <conditionalFormatting sqref="T477">
    <cfRule type="containsText" dxfId="398" priority="249" operator="containsText" text="Yes">
      <formula>NOT(ISERROR(SEARCH("Yes",T477)))</formula>
    </cfRule>
  </conditionalFormatting>
  <conditionalFormatting sqref="AF477">
    <cfRule type="cellIs" dxfId="397" priority="247" operator="greaterThan">
      <formula>0</formula>
    </cfRule>
    <cfRule type="cellIs" dxfId="396" priority="248" operator="lessThan">
      <formula>0</formula>
    </cfRule>
  </conditionalFormatting>
  <conditionalFormatting sqref="AF1113:AF1114 AF1103:AF1109">
    <cfRule type="cellIs" dxfId="395" priority="245" operator="greaterThan">
      <formula>0</formula>
    </cfRule>
    <cfRule type="cellIs" dxfId="394" priority="246" operator="lessThan">
      <formula>0</formula>
    </cfRule>
  </conditionalFormatting>
  <conditionalFormatting sqref="AF1101">
    <cfRule type="cellIs" dxfId="393" priority="243" operator="greaterThan">
      <formula>0</formula>
    </cfRule>
    <cfRule type="cellIs" dxfId="392" priority="244" operator="lessThan">
      <formula>0</formula>
    </cfRule>
  </conditionalFormatting>
  <conditionalFormatting sqref="AF1110:AF1111">
    <cfRule type="cellIs" dxfId="391" priority="241" operator="greaterThan">
      <formula>0</formula>
    </cfRule>
    <cfRule type="cellIs" dxfId="390" priority="242" operator="lessThan">
      <formula>0</formula>
    </cfRule>
  </conditionalFormatting>
  <conditionalFormatting sqref="AF1115">
    <cfRule type="cellIs" dxfId="389" priority="237" operator="greaterThan">
      <formula>0</formula>
    </cfRule>
    <cfRule type="cellIs" dxfId="388" priority="238" operator="lessThan">
      <formula>0</formula>
    </cfRule>
  </conditionalFormatting>
  <conditionalFormatting sqref="AF1116:AF1117">
    <cfRule type="cellIs" dxfId="387" priority="239" operator="greaterThan">
      <formula>0</formula>
    </cfRule>
    <cfRule type="cellIs" dxfId="386" priority="240" operator="lessThan">
      <formula>0</formula>
    </cfRule>
  </conditionalFormatting>
  <conditionalFormatting sqref="N1101">
    <cfRule type="containsText" dxfId="385" priority="233" operator="containsText" text="Action">
      <formula>NOT(ISERROR(SEARCH("Action",N1101)))</formula>
    </cfRule>
    <cfRule type="containsText" dxfId="384" priority="234" operator="containsText" text="Completed">
      <formula>NOT(ISERROR(SEARCH("Completed",N1101)))</formula>
    </cfRule>
    <cfRule type="containsText" dxfId="383" priority="235" operator="containsText" text="In Progress">
      <formula>NOT(ISERROR(SEARCH("In Progress",N1101)))</formula>
    </cfRule>
    <cfRule type="containsText" dxfId="382" priority="236" operator="containsText" text="Not">
      <formula>NOT(ISERROR(SEARCH("Not",N1101)))</formula>
    </cfRule>
  </conditionalFormatting>
  <conditionalFormatting sqref="AF1102">
    <cfRule type="cellIs" dxfId="381" priority="231" operator="greaterThan">
      <formula>0</formula>
    </cfRule>
    <cfRule type="cellIs" dxfId="380" priority="232" operator="lessThan">
      <formula>0</formula>
    </cfRule>
  </conditionalFormatting>
  <conditionalFormatting sqref="AF1112">
    <cfRule type="cellIs" dxfId="379" priority="229" operator="greaterThan">
      <formula>0</formula>
    </cfRule>
    <cfRule type="cellIs" dxfId="378" priority="230" operator="lessThan">
      <formula>0</formula>
    </cfRule>
  </conditionalFormatting>
  <conditionalFormatting sqref="S595">
    <cfRule type="containsText" dxfId="377" priority="228" operator="containsText" text="Access">
      <formula>NOT(ISERROR(SEARCH("Access",S595)))</formula>
    </cfRule>
  </conditionalFormatting>
  <conditionalFormatting sqref="T595">
    <cfRule type="containsText" dxfId="376" priority="227" operator="containsText" text="Yes">
      <formula>NOT(ISERROR(SEARCH("Yes",T595)))</formula>
    </cfRule>
  </conditionalFormatting>
  <conditionalFormatting sqref="AF909">
    <cfRule type="cellIs" dxfId="375" priority="225" operator="greaterThan">
      <formula>0</formula>
    </cfRule>
    <cfRule type="cellIs" dxfId="374" priority="226" operator="lessThan">
      <formula>0</formula>
    </cfRule>
  </conditionalFormatting>
  <conditionalFormatting sqref="S909">
    <cfRule type="containsText" dxfId="373" priority="224" operator="containsText" text="Access">
      <formula>NOT(ISERROR(SEARCH("Access",S909)))</formula>
    </cfRule>
  </conditionalFormatting>
  <conditionalFormatting sqref="T909">
    <cfRule type="containsText" dxfId="372" priority="223" operator="containsText" text="Yes">
      <formula>NOT(ISERROR(SEARCH("Yes",T909)))</formula>
    </cfRule>
  </conditionalFormatting>
  <conditionalFormatting sqref="AF900 AF902 AF889:AF895">
    <cfRule type="cellIs" dxfId="371" priority="221" operator="greaterThan">
      <formula>0</formula>
    </cfRule>
    <cfRule type="cellIs" dxfId="370" priority="222" operator="lessThan">
      <formula>0</formula>
    </cfRule>
  </conditionalFormatting>
  <conditionalFormatting sqref="AF887">
    <cfRule type="cellIs" dxfId="369" priority="219" operator="greaterThan">
      <formula>0</formula>
    </cfRule>
    <cfRule type="cellIs" dxfId="368" priority="220" operator="lessThan">
      <formula>0</formula>
    </cfRule>
  </conditionalFormatting>
  <conditionalFormatting sqref="AF896:AF898">
    <cfRule type="cellIs" dxfId="367" priority="217" operator="greaterThan">
      <formula>0</formula>
    </cfRule>
    <cfRule type="cellIs" dxfId="366" priority="218" operator="lessThan">
      <formula>0</formula>
    </cfRule>
  </conditionalFormatting>
  <conditionalFormatting sqref="AF904">
    <cfRule type="cellIs" dxfId="365" priority="215" operator="greaterThan">
      <formula>0</formula>
    </cfRule>
    <cfRule type="cellIs" dxfId="364" priority="216" operator="lessThan">
      <formula>0</formula>
    </cfRule>
  </conditionalFormatting>
  <conditionalFormatting sqref="N887">
    <cfRule type="containsText" dxfId="363" priority="211" operator="containsText" text="Action">
      <formula>NOT(ISERROR(SEARCH("Action",N887)))</formula>
    </cfRule>
    <cfRule type="containsText" dxfId="362" priority="212" operator="containsText" text="Completed">
      <formula>NOT(ISERROR(SEARCH("Completed",N887)))</formula>
    </cfRule>
    <cfRule type="containsText" dxfId="361" priority="213" operator="containsText" text="In Progress">
      <formula>NOT(ISERROR(SEARCH("In Progress",N887)))</formula>
    </cfRule>
    <cfRule type="containsText" dxfId="360" priority="214" operator="containsText" text="Not">
      <formula>NOT(ISERROR(SEARCH("Not",N887)))</formula>
    </cfRule>
  </conditionalFormatting>
  <conditionalFormatting sqref="AF901">
    <cfRule type="cellIs" dxfId="359" priority="209" operator="greaterThan">
      <formula>0</formula>
    </cfRule>
    <cfRule type="cellIs" dxfId="358" priority="210" operator="lessThan">
      <formula>0</formula>
    </cfRule>
  </conditionalFormatting>
  <conditionalFormatting sqref="AF888">
    <cfRule type="cellIs" dxfId="357" priority="207" operator="greaterThan">
      <formula>0</formula>
    </cfRule>
    <cfRule type="cellIs" dxfId="356" priority="208" operator="lessThan">
      <formula>0</formula>
    </cfRule>
  </conditionalFormatting>
  <conditionalFormatting sqref="AF899">
    <cfRule type="cellIs" dxfId="355" priority="205" operator="greaterThan">
      <formula>0</formula>
    </cfRule>
    <cfRule type="cellIs" dxfId="354" priority="206" operator="lessThan">
      <formula>0</formula>
    </cfRule>
  </conditionalFormatting>
  <conditionalFormatting sqref="AF48">
    <cfRule type="cellIs" dxfId="353" priority="201" operator="greaterThan">
      <formula>0</formula>
    </cfRule>
    <cfRule type="cellIs" dxfId="352" priority="202" operator="lessThan">
      <formula>0</formula>
    </cfRule>
  </conditionalFormatting>
  <conditionalFormatting sqref="AF49:AF51 AF53 AF55">
    <cfRule type="cellIs" dxfId="351" priority="203" operator="greaterThan">
      <formula>0</formula>
    </cfRule>
    <cfRule type="cellIs" dxfId="350" priority="204" operator="lessThan">
      <formula>0</formula>
    </cfRule>
  </conditionalFormatting>
  <conditionalFormatting sqref="AF52">
    <cfRule type="cellIs" dxfId="349" priority="199" operator="greaterThan">
      <formula>0</formula>
    </cfRule>
    <cfRule type="cellIs" dxfId="348" priority="200" operator="lessThan">
      <formula>0</formula>
    </cfRule>
  </conditionalFormatting>
  <conditionalFormatting sqref="AF46">
    <cfRule type="cellIs" dxfId="347" priority="197" operator="greaterThan">
      <formula>0</formula>
    </cfRule>
    <cfRule type="cellIs" dxfId="346" priority="198" operator="lessThan">
      <formula>0</formula>
    </cfRule>
  </conditionalFormatting>
  <conditionalFormatting sqref="AF57">
    <cfRule type="cellIs" dxfId="345" priority="195" operator="greaterThan">
      <formula>0</formula>
    </cfRule>
    <cfRule type="cellIs" dxfId="344" priority="196" operator="lessThan">
      <formula>0</formula>
    </cfRule>
  </conditionalFormatting>
  <conditionalFormatting sqref="AF56">
    <cfRule type="cellIs" dxfId="343" priority="193" operator="greaterThan">
      <formula>0</formula>
    </cfRule>
    <cfRule type="cellIs" dxfId="342" priority="194" operator="lessThan">
      <formula>0</formula>
    </cfRule>
  </conditionalFormatting>
  <conditionalFormatting sqref="N46">
    <cfRule type="containsText" dxfId="341" priority="189" operator="containsText" text="Action">
      <formula>NOT(ISERROR(SEARCH("Action",N46)))</formula>
    </cfRule>
    <cfRule type="containsText" dxfId="340" priority="190" operator="containsText" text="Completed">
      <formula>NOT(ISERROR(SEARCH("Completed",N46)))</formula>
    </cfRule>
    <cfRule type="containsText" dxfId="339" priority="191" operator="containsText" text="In Progress">
      <formula>NOT(ISERROR(SEARCH("In Progress",N46)))</formula>
    </cfRule>
    <cfRule type="containsText" dxfId="338" priority="192" operator="containsText" text="Not">
      <formula>NOT(ISERROR(SEARCH("Not",N46)))</formula>
    </cfRule>
  </conditionalFormatting>
  <conditionalFormatting sqref="AF47">
    <cfRule type="cellIs" dxfId="337" priority="187" operator="greaterThan">
      <formula>0</formula>
    </cfRule>
    <cfRule type="cellIs" dxfId="336" priority="188" operator="lessThan">
      <formula>0</formula>
    </cfRule>
  </conditionalFormatting>
  <conditionalFormatting sqref="AF54">
    <cfRule type="cellIs" dxfId="335" priority="185" operator="greaterThan">
      <formula>0</formula>
    </cfRule>
    <cfRule type="cellIs" dxfId="334" priority="186" operator="lessThan">
      <formula>0</formula>
    </cfRule>
  </conditionalFormatting>
  <conditionalFormatting sqref="AF345">
    <cfRule type="cellIs" dxfId="333" priority="181" operator="greaterThan">
      <formula>0</formula>
    </cfRule>
    <cfRule type="cellIs" dxfId="332" priority="182" operator="lessThan">
      <formula>0</formula>
    </cfRule>
  </conditionalFormatting>
  <conditionalFormatting sqref="AF346:AF347 AF349">
    <cfRule type="cellIs" dxfId="331" priority="183" operator="greaterThan">
      <formula>0</formula>
    </cfRule>
    <cfRule type="cellIs" dxfId="330" priority="184" operator="lessThan">
      <formula>0</formula>
    </cfRule>
  </conditionalFormatting>
  <conditionalFormatting sqref="AF343">
    <cfRule type="cellIs" dxfId="329" priority="179" operator="greaterThan">
      <formula>0</formula>
    </cfRule>
    <cfRule type="cellIs" dxfId="328" priority="180" operator="lessThan">
      <formula>0</formula>
    </cfRule>
  </conditionalFormatting>
  <conditionalFormatting sqref="AF351">
    <cfRule type="cellIs" dxfId="327" priority="177" operator="greaterThan">
      <formula>0</formula>
    </cfRule>
    <cfRule type="cellIs" dxfId="326" priority="178" operator="lessThan">
      <formula>0</formula>
    </cfRule>
  </conditionalFormatting>
  <conditionalFormatting sqref="AF350">
    <cfRule type="cellIs" dxfId="325" priority="175" operator="greaterThan">
      <formula>0</formula>
    </cfRule>
    <cfRule type="cellIs" dxfId="324" priority="176" operator="lessThan">
      <formula>0</formula>
    </cfRule>
  </conditionalFormatting>
  <conditionalFormatting sqref="N343">
    <cfRule type="containsText" dxfId="323" priority="171" operator="containsText" text="Action">
      <formula>NOT(ISERROR(SEARCH("Action",N343)))</formula>
    </cfRule>
    <cfRule type="containsText" dxfId="322" priority="172" operator="containsText" text="Completed">
      <formula>NOT(ISERROR(SEARCH("Completed",N343)))</formula>
    </cfRule>
    <cfRule type="containsText" dxfId="321" priority="173" operator="containsText" text="In Progress">
      <formula>NOT(ISERROR(SEARCH("In Progress",N343)))</formula>
    </cfRule>
    <cfRule type="containsText" dxfId="320" priority="174" operator="containsText" text="Not">
      <formula>NOT(ISERROR(SEARCH("Not",N343)))</formula>
    </cfRule>
  </conditionalFormatting>
  <conditionalFormatting sqref="AF344">
    <cfRule type="cellIs" dxfId="319" priority="169" operator="greaterThan">
      <formula>0</formula>
    </cfRule>
    <cfRule type="cellIs" dxfId="318" priority="170" operator="lessThan">
      <formula>0</formula>
    </cfRule>
  </conditionalFormatting>
  <conditionalFormatting sqref="AF348">
    <cfRule type="cellIs" dxfId="317" priority="167" operator="greaterThan">
      <formula>0</formula>
    </cfRule>
    <cfRule type="cellIs" dxfId="316" priority="168" operator="lessThan">
      <formula>0</formula>
    </cfRule>
  </conditionalFormatting>
  <conditionalFormatting sqref="AF903">
    <cfRule type="cellIs" dxfId="315" priority="165" operator="greaterThan">
      <formula>0</formula>
    </cfRule>
    <cfRule type="cellIs" dxfId="314" priority="166" operator="lessThan">
      <formula>0</formula>
    </cfRule>
  </conditionalFormatting>
  <conditionalFormatting sqref="AF867">
    <cfRule type="cellIs" dxfId="313" priority="163" operator="greaterThan">
      <formula>0</formula>
    </cfRule>
    <cfRule type="cellIs" dxfId="312" priority="164" operator="lessThan">
      <formula>0</formula>
    </cfRule>
  </conditionalFormatting>
  <conditionalFormatting sqref="AF556">
    <cfRule type="cellIs" dxfId="311" priority="161" operator="greaterThan">
      <formula>0</formula>
    </cfRule>
    <cfRule type="cellIs" dxfId="310" priority="162" operator="lessThan">
      <formula>0</formula>
    </cfRule>
  </conditionalFormatting>
  <conditionalFormatting sqref="AF557">
    <cfRule type="cellIs" dxfId="309" priority="159" operator="greaterThan">
      <formula>0</formula>
    </cfRule>
    <cfRule type="cellIs" dxfId="308" priority="160" operator="lessThan">
      <formula>0</formula>
    </cfRule>
  </conditionalFormatting>
  <conditionalFormatting sqref="AF811">
    <cfRule type="cellIs" dxfId="307" priority="157" operator="greaterThan">
      <formula>0</formula>
    </cfRule>
    <cfRule type="cellIs" dxfId="306" priority="158" operator="lessThan">
      <formula>0</formula>
    </cfRule>
  </conditionalFormatting>
  <conditionalFormatting sqref="AF698 AF690:AF696">
    <cfRule type="cellIs" dxfId="305" priority="155" operator="greaterThan">
      <formula>0</formula>
    </cfRule>
    <cfRule type="cellIs" dxfId="304" priority="156" operator="lessThan">
      <formula>0</formula>
    </cfRule>
  </conditionalFormatting>
  <conditionalFormatting sqref="AF688">
    <cfRule type="cellIs" dxfId="303" priority="153" operator="greaterThan">
      <formula>0</formula>
    </cfRule>
    <cfRule type="cellIs" dxfId="302" priority="154" operator="lessThan">
      <formula>0</formula>
    </cfRule>
  </conditionalFormatting>
  <conditionalFormatting sqref="AF699">
    <cfRule type="cellIs" dxfId="301" priority="149" operator="greaterThan">
      <formula>0</formula>
    </cfRule>
    <cfRule type="cellIs" dxfId="300" priority="150" operator="lessThan">
      <formula>0</formula>
    </cfRule>
  </conditionalFormatting>
  <conditionalFormatting sqref="AF700">
    <cfRule type="cellIs" dxfId="299" priority="151" operator="greaterThan">
      <formula>0</formula>
    </cfRule>
    <cfRule type="cellIs" dxfId="298" priority="152" operator="lessThan">
      <formula>0</formula>
    </cfRule>
  </conditionalFormatting>
  <conditionalFormatting sqref="N688">
    <cfRule type="containsText" dxfId="297" priority="145" operator="containsText" text="Action">
      <formula>NOT(ISERROR(SEARCH("Action",N688)))</formula>
    </cfRule>
    <cfRule type="containsText" dxfId="296" priority="146" operator="containsText" text="Completed">
      <formula>NOT(ISERROR(SEARCH("Completed",N688)))</formula>
    </cfRule>
    <cfRule type="containsText" dxfId="295" priority="147" operator="containsText" text="In Progress">
      <formula>NOT(ISERROR(SEARCH("In Progress",N688)))</formula>
    </cfRule>
    <cfRule type="containsText" dxfId="294" priority="148" operator="containsText" text="Not">
      <formula>NOT(ISERROR(SEARCH("Not",N688)))</formula>
    </cfRule>
  </conditionalFormatting>
  <conditionalFormatting sqref="AF689">
    <cfRule type="cellIs" dxfId="293" priority="143" operator="greaterThan">
      <formula>0</formula>
    </cfRule>
    <cfRule type="cellIs" dxfId="292" priority="144" operator="lessThan">
      <formula>0</formula>
    </cfRule>
  </conditionalFormatting>
  <conditionalFormatting sqref="AF697">
    <cfRule type="cellIs" dxfId="291" priority="141" operator="greaterThan">
      <formula>0</formula>
    </cfRule>
    <cfRule type="cellIs" dxfId="290" priority="142" operator="lessThan">
      <formula>0</formula>
    </cfRule>
  </conditionalFormatting>
  <conditionalFormatting sqref="AF543">
    <cfRule type="cellIs" dxfId="289" priority="137" operator="greaterThan">
      <formula>0</formula>
    </cfRule>
    <cfRule type="cellIs" dxfId="288" priority="138" operator="lessThan">
      <formula>0</formula>
    </cfRule>
  </conditionalFormatting>
  <conditionalFormatting sqref="AF544:AF546 AF548 AF550">
    <cfRule type="cellIs" dxfId="287" priority="139" operator="greaterThan">
      <formula>0</formula>
    </cfRule>
    <cfRule type="cellIs" dxfId="286" priority="140" operator="lessThan">
      <formula>0</formula>
    </cfRule>
  </conditionalFormatting>
  <conditionalFormatting sqref="AF547">
    <cfRule type="cellIs" dxfId="285" priority="135" operator="greaterThan">
      <formula>0</formula>
    </cfRule>
    <cfRule type="cellIs" dxfId="284" priority="136" operator="lessThan">
      <formula>0</formula>
    </cfRule>
  </conditionalFormatting>
  <conditionalFormatting sqref="AF541">
    <cfRule type="cellIs" dxfId="283" priority="133" operator="greaterThan">
      <formula>0</formula>
    </cfRule>
    <cfRule type="cellIs" dxfId="282" priority="134" operator="lessThan">
      <formula>0</formula>
    </cfRule>
  </conditionalFormatting>
  <conditionalFormatting sqref="AF552">
    <cfRule type="cellIs" dxfId="281" priority="131" operator="greaterThan">
      <formula>0</formula>
    </cfRule>
    <cfRule type="cellIs" dxfId="280" priority="132" operator="lessThan">
      <formula>0</formula>
    </cfRule>
  </conditionalFormatting>
  <conditionalFormatting sqref="AF551">
    <cfRule type="cellIs" dxfId="279" priority="129" operator="greaterThan">
      <formula>0</formula>
    </cfRule>
    <cfRule type="cellIs" dxfId="278" priority="130" operator="lessThan">
      <formula>0</formula>
    </cfRule>
  </conditionalFormatting>
  <conditionalFormatting sqref="N541">
    <cfRule type="containsText" dxfId="277" priority="125" operator="containsText" text="Action">
      <formula>NOT(ISERROR(SEARCH("Action",N541)))</formula>
    </cfRule>
    <cfRule type="containsText" dxfId="276" priority="126" operator="containsText" text="Completed">
      <formula>NOT(ISERROR(SEARCH("Completed",N541)))</formula>
    </cfRule>
    <cfRule type="containsText" dxfId="275" priority="127" operator="containsText" text="In Progress">
      <formula>NOT(ISERROR(SEARCH("In Progress",N541)))</formula>
    </cfRule>
    <cfRule type="containsText" dxfId="274" priority="128" operator="containsText" text="Not">
      <formula>NOT(ISERROR(SEARCH("Not",N541)))</formula>
    </cfRule>
  </conditionalFormatting>
  <conditionalFormatting sqref="AF542">
    <cfRule type="cellIs" dxfId="273" priority="123" operator="greaterThan">
      <formula>0</formula>
    </cfRule>
    <cfRule type="cellIs" dxfId="272" priority="124" operator="lessThan">
      <formula>0</formula>
    </cfRule>
  </conditionalFormatting>
  <conditionalFormatting sqref="AF549">
    <cfRule type="cellIs" dxfId="271" priority="121" operator="greaterThan">
      <formula>0</formula>
    </cfRule>
    <cfRule type="cellIs" dxfId="270" priority="122" operator="lessThan">
      <formula>0</formula>
    </cfRule>
  </conditionalFormatting>
  <conditionalFormatting sqref="S551">
    <cfRule type="containsText" dxfId="269" priority="120" operator="containsText" text="Access">
      <formula>NOT(ISERROR(SEARCH("Access",S551)))</formula>
    </cfRule>
  </conditionalFormatting>
  <conditionalFormatting sqref="T551">
    <cfRule type="containsText" dxfId="268" priority="119" operator="containsText" text="Yes">
      <formula>NOT(ISERROR(SEARCH("Yes",T551)))</formula>
    </cfRule>
  </conditionalFormatting>
  <conditionalFormatting sqref="AF977">
    <cfRule type="cellIs" dxfId="267" priority="101" operator="greaterThan">
      <formula>0</formula>
    </cfRule>
    <cfRule type="cellIs" dxfId="266" priority="102" operator="lessThan">
      <formula>0</formula>
    </cfRule>
  </conditionalFormatting>
  <conditionalFormatting sqref="AF986 AF979 AF971:AF976">
    <cfRule type="cellIs" dxfId="265" priority="117" operator="greaterThan">
      <formula>0</formula>
    </cfRule>
    <cfRule type="cellIs" dxfId="264" priority="118" operator="lessThan">
      <formula>0</formula>
    </cfRule>
  </conditionalFormatting>
  <conditionalFormatting sqref="AF984">
    <cfRule type="cellIs" dxfId="263" priority="115" operator="greaterThan">
      <formula>0</formula>
    </cfRule>
    <cfRule type="cellIs" dxfId="262" priority="116" operator="lessThan">
      <formula>0</formula>
    </cfRule>
  </conditionalFormatting>
  <conditionalFormatting sqref="AF988">
    <cfRule type="cellIs" dxfId="261" priority="113" operator="greaterThan">
      <formula>0</formula>
    </cfRule>
    <cfRule type="cellIs" dxfId="260" priority="114" operator="lessThan">
      <formula>0</formula>
    </cfRule>
  </conditionalFormatting>
  <conditionalFormatting sqref="AF980:AF982">
    <cfRule type="cellIs" dxfId="259" priority="111" operator="greaterThan">
      <formula>0</formula>
    </cfRule>
    <cfRule type="cellIs" dxfId="258" priority="112" operator="lessThan">
      <formula>0</formula>
    </cfRule>
  </conditionalFormatting>
  <conditionalFormatting sqref="AF987">
    <cfRule type="cellIs" dxfId="257" priority="109" operator="greaterThan">
      <formula>0</formula>
    </cfRule>
    <cfRule type="cellIs" dxfId="256" priority="110" operator="lessThan">
      <formula>0</formula>
    </cfRule>
  </conditionalFormatting>
  <conditionalFormatting sqref="AF969">
    <cfRule type="cellIs" dxfId="255" priority="107" operator="greaterThan">
      <formula>0</formula>
    </cfRule>
    <cfRule type="cellIs" dxfId="254" priority="108" operator="lessThan">
      <formula>0</formula>
    </cfRule>
  </conditionalFormatting>
  <conditionalFormatting sqref="N969">
    <cfRule type="containsText" dxfId="253" priority="103" operator="containsText" text="Action">
      <formula>NOT(ISERROR(SEARCH("Action",N969)))</formula>
    </cfRule>
    <cfRule type="containsText" dxfId="252" priority="104" operator="containsText" text="Completed">
      <formula>NOT(ISERROR(SEARCH("Completed",N969)))</formula>
    </cfRule>
    <cfRule type="containsText" dxfId="251" priority="105" operator="containsText" text="In Progress">
      <formula>NOT(ISERROR(SEARCH("In Progress",N969)))</formula>
    </cfRule>
    <cfRule type="containsText" dxfId="250" priority="106" operator="containsText" text="Not">
      <formula>NOT(ISERROR(SEARCH("Not",N969)))</formula>
    </cfRule>
  </conditionalFormatting>
  <conditionalFormatting sqref="AF978">
    <cfRule type="cellIs" dxfId="249" priority="99" operator="greaterThan">
      <formula>0</formula>
    </cfRule>
    <cfRule type="cellIs" dxfId="248" priority="100" operator="lessThan">
      <formula>0</formula>
    </cfRule>
  </conditionalFormatting>
  <conditionalFormatting sqref="AF985">
    <cfRule type="cellIs" dxfId="247" priority="97" operator="greaterThan">
      <formula>0</formula>
    </cfRule>
    <cfRule type="cellIs" dxfId="246" priority="98" operator="lessThan">
      <formula>0</formula>
    </cfRule>
  </conditionalFormatting>
  <conditionalFormatting sqref="AF970">
    <cfRule type="cellIs" dxfId="245" priority="95" operator="greaterThan">
      <formula>0</formula>
    </cfRule>
    <cfRule type="cellIs" dxfId="244" priority="96" operator="lessThan">
      <formula>0</formula>
    </cfRule>
  </conditionalFormatting>
  <conditionalFormatting sqref="AF983">
    <cfRule type="cellIs" dxfId="243" priority="93" operator="greaterThan">
      <formula>0</formula>
    </cfRule>
    <cfRule type="cellIs" dxfId="242" priority="94" operator="lessThan">
      <formula>0</formula>
    </cfRule>
  </conditionalFormatting>
  <conditionalFormatting sqref="AF989">
    <cfRule type="cellIs" dxfId="241" priority="91" operator="greaterThan">
      <formula>0</formula>
    </cfRule>
    <cfRule type="cellIs" dxfId="240" priority="92" operator="lessThan">
      <formula>0</formula>
    </cfRule>
  </conditionalFormatting>
  <conditionalFormatting sqref="S989">
    <cfRule type="containsText" dxfId="239" priority="90" operator="containsText" text="Access">
      <formula>NOT(ISERROR(SEARCH("Access",S989)))</formula>
    </cfRule>
  </conditionalFormatting>
  <conditionalFormatting sqref="T989">
    <cfRule type="containsText" dxfId="238" priority="89" operator="containsText" text="Yes">
      <formula>NOT(ISERROR(SEARCH("Yes",T989)))</formula>
    </cfRule>
  </conditionalFormatting>
  <conditionalFormatting sqref="AF360">
    <cfRule type="cellIs" dxfId="237" priority="87" operator="greaterThan">
      <formula>0</formula>
    </cfRule>
    <cfRule type="cellIs" dxfId="236" priority="88" operator="lessThan">
      <formula>0</formula>
    </cfRule>
  </conditionalFormatting>
  <conditionalFormatting sqref="AF362">
    <cfRule type="cellIs" dxfId="235" priority="85" operator="greaterThan">
      <formula>0</formula>
    </cfRule>
    <cfRule type="cellIs" dxfId="234" priority="86" operator="lessThan">
      <formula>0</formula>
    </cfRule>
  </conditionalFormatting>
  <conditionalFormatting sqref="AF361">
    <cfRule type="cellIs" dxfId="233" priority="83" operator="greaterThan">
      <formula>0</formula>
    </cfRule>
    <cfRule type="cellIs" dxfId="232" priority="84" operator="lessThan">
      <formula>0</formula>
    </cfRule>
  </conditionalFormatting>
  <conditionalFormatting sqref="AF352">
    <cfRule type="cellIs" dxfId="231" priority="81" operator="greaterThan">
      <formula>0</formula>
    </cfRule>
    <cfRule type="cellIs" dxfId="230" priority="82" operator="lessThan">
      <formula>0</formula>
    </cfRule>
  </conditionalFormatting>
  <conditionalFormatting sqref="N352">
    <cfRule type="containsText" dxfId="229" priority="77" operator="containsText" text="Action">
      <formula>NOT(ISERROR(SEARCH("Action",N352)))</formula>
    </cfRule>
    <cfRule type="containsText" dxfId="228" priority="78" operator="containsText" text="Completed">
      <formula>NOT(ISERROR(SEARCH("Completed",N352)))</formula>
    </cfRule>
    <cfRule type="containsText" dxfId="227" priority="79" operator="containsText" text="In Progress">
      <formula>NOT(ISERROR(SEARCH("In Progress",N352)))</formula>
    </cfRule>
    <cfRule type="containsText" dxfId="226" priority="80" operator="containsText" text="Not">
      <formula>NOT(ISERROR(SEARCH("Not",N352)))</formula>
    </cfRule>
  </conditionalFormatting>
  <conditionalFormatting sqref="AF353">
    <cfRule type="cellIs" dxfId="225" priority="75" operator="greaterThan">
      <formula>0</formula>
    </cfRule>
    <cfRule type="cellIs" dxfId="224" priority="76" operator="lessThan">
      <formula>0</formula>
    </cfRule>
  </conditionalFormatting>
  <conditionalFormatting sqref="AF359">
    <cfRule type="cellIs" dxfId="223" priority="73" operator="greaterThan">
      <formula>0</formula>
    </cfRule>
    <cfRule type="cellIs" dxfId="222" priority="74" operator="lessThan">
      <formula>0</formula>
    </cfRule>
  </conditionalFormatting>
  <conditionalFormatting sqref="AF402 AF394:AF400">
    <cfRule type="cellIs" dxfId="221" priority="71" operator="greaterThan">
      <formula>0</formula>
    </cfRule>
    <cfRule type="cellIs" dxfId="220" priority="72" operator="lessThan">
      <formula>0</formula>
    </cfRule>
  </conditionalFormatting>
  <conditionalFormatting sqref="AF404">
    <cfRule type="cellIs" dxfId="219" priority="69" operator="greaterThan">
      <formula>0</formula>
    </cfRule>
    <cfRule type="cellIs" dxfId="218" priority="70" operator="lessThan">
      <formula>0</formula>
    </cfRule>
  </conditionalFormatting>
  <conditionalFormatting sqref="AF403">
    <cfRule type="cellIs" dxfId="217" priority="67" operator="greaterThan">
      <formula>0</formula>
    </cfRule>
    <cfRule type="cellIs" dxfId="216" priority="68" operator="lessThan">
      <formula>0</formula>
    </cfRule>
  </conditionalFormatting>
  <conditionalFormatting sqref="AF392">
    <cfRule type="cellIs" dxfId="215" priority="65" operator="greaterThan">
      <formula>0</formula>
    </cfRule>
    <cfRule type="cellIs" dxfId="214" priority="66" operator="lessThan">
      <formula>0</formula>
    </cfRule>
  </conditionalFormatting>
  <conditionalFormatting sqref="N392">
    <cfRule type="containsText" dxfId="213" priority="61" operator="containsText" text="Action">
      <formula>NOT(ISERROR(SEARCH("Action",N392)))</formula>
    </cfRule>
    <cfRule type="containsText" dxfId="212" priority="62" operator="containsText" text="Completed">
      <formula>NOT(ISERROR(SEARCH("Completed",N392)))</formula>
    </cfRule>
    <cfRule type="containsText" dxfId="211" priority="63" operator="containsText" text="In Progress">
      <formula>NOT(ISERROR(SEARCH("In Progress",N392)))</formula>
    </cfRule>
    <cfRule type="containsText" dxfId="210" priority="64" operator="containsText" text="Not">
      <formula>NOT(ISERROR(SEARCH("Not",N392)))</formula>
    </cfRule>
  </conditionalFormatting>
  <conditionalFormatting sqref="AF393">
    <cfRule type="cellIs" dxfId="209" priority="59" operator="greaterThan">
      <formula>0</formula>
    </cfRule>
    <cfRule type="cellIs" dxfId="208" priority="60" operator="lessThan">
      <formula>0</formula>
    </cfRule>
  </conditionalFormatting>
  <conditionalFormatting sqref="AF401">
    <cfRule type="cellIs" dxfId="207" priority="57" operator="greaterThan">
      <formula>0</formula>
    </cfRule>
    <cfRule type="cellIs" dxfId="206" priority="58" operator="lessThan">
      <formula>0</formula>
    </cfRule>
  </conditionalFormatting>
  <conditionalFormatting sqref="AF412">
    <cfRule type="cellIs" dxfId="205" priority="51" operator="greaterThan">
      <formula>0</formula>
    </cfRule>
    <cfRule type="cellIs" dxfId="204" priority="52" operator="lessThan">
      <formula>0</formula>
    </cfRule>
  </conditionalFormatting>
  <conditionalFormatting sqref="AF407">
    <cfRule type="cellIs" dxfId="203" priority="53" operator="greaterThan">
      <formula>0</formula>
    </cfRule>
    <cfRule type="cellIs" dxfId="202" priority="54" operator="lessThan">
      <formula>0</formula>
    </cfRule>
  </conditionalFormatting>
  <conditionalFormatting sqref="AF408:AF411 AF413 AF418:AF419">
    <cfRule type="cellIs" dxfId="201" priority="55" operator="greaterThan">
      <formula>0</formula>
    </cfRule>
    <cfRule type="cellIs" dxfId="200" priority="56" operator="lessThan">
      <formula>0</formula>
    </cfRule>
  </conditionalFormatting>
  <conditionalFormatting sqref="AF405">
    <cfRule type="cellIs" dxfId="199" priority="49" operator="greaterThan">
      <formula>0</formula>
    </cfRule>
    <cfRule type="cellIs" dxfId="198" priority="50" operator="lessThan">
      <formula>0</formula>
    </cfRule>
  </conditionalFormatting>
  <conditionalFormatting sqref="AF414:AF416">
    <cfRule type="cellIs" dxfId="197" priority="47" operator="greaterThan">
      <formula>0</formula>
    </cfRule>
    <cfRule type="cellIs" dxfId="196" priority="48" operator="lessThan">
      <formula>0</formula>
    </cfRule>
  </conditionalFormatting>
  <conditionalFormatting sqref="AF421">
    <cfRule type="cellIs" dxfId="195" priority="45" operator="greaterThan">
      <formula>0</formula>
    </cfRule>
    <cfRule type="cellIs" dxfId="194" priority="46" operator="lessThan">
      <formula>0</formula>
    </cfRule>
  </conditionalFormatting>
  <conditionalFormatting sqref="AF420">
    <cfRule type="cellIs" dxfId="193" priority="43" operator="greaterThan">
      <formula>0</formula>
    </cfRule>
    <cfRule type="cellIs" dxfId="192" priority="44" operator="lessThan">
      <formula>0</formula>
    </cfRule>
  </conditionalFormatting>
  <conditionalFormatting sqref="N405">
    <cfRule type="containsText" dxfId="191" priority="39" operator="containsText" text="Action">
      <formula>NOT(ISERROR(SEARCH("Action",N405)))</formula>
    </cfRule>
    <cfRule type="containsText" dxfId="190" priority="40" operator="containsText" text="Completed">
      <formula>NOT(ISERROR(SEARCH("Completed",N405)))</formula>
    </cfRule>
    <cfRule type="containsText" dxfId="189" priority="41" operator="containsText" text="In Progress">
      <formula>NOT(ISERROR(SEARCH("In Progress",N405)))</formula>
    </cfRule>
    <cfRule type="containsText" dxfId="188" priority="42" operator="containsText" text="Not">
      <formula>NOT(ISERROR(SEARCH("Not",N405)))</formula>
    </cfRule>
  </conditionalFormatting>
  <conditionalFormatting sqref="AF406">
    <cfRule type="cellIs" dxfId="187" priority="37" operator="greaterThan">
      <formula>0</formula>
    </cfRule>
    <cfRule type="cellIs" dxfId="186" priority="38" operator="lessThan">
      <formula>0</formula>
    </cfRule>
  </conditionalFormatting>
  <conditionalFormatting sqref="AF417">
    <cfRule type="cellIs" dxfId="185" priority="35" operator="greaterThan">
      <formula>0</formula>
    </cfRule>
    <cfRule type="cellIs" dxfId="184" priority="36" operator="lessThan">
      <formula>0</formula>
    </cfRule>
  </conditionalFormatting>
  <conditionalFormatting sqref="AF133:AF134 AF123:AF128">
    <cfRule type="cellIs" dxfId="183" priority="33" operator="greaterThan">
      <formula>0</formula>
    </cfRule>
    <cfRule type="cellIs" dxfId="182" priority="34" operator="lessThan">
      <formula>0</formula>
    </cfRule>
  </conditionalFormatting>
  <conditionalFormatting sqref="AF121">
    <cfRule type="cellIs" dxfId="181" priority="31" operator="greaterThan">
      <formula>0</formula>
    </cfRule>
    <cfRule type="cellIs" dxfId="180" priority="32" operator="lessThan">
      <formula>0</formula>
    </cfRule>
  </conditionalFormatting>
  <conditionalFormatting sqref="AF129:AF131">
    <cfRule type="cellIs" dxfId="179" priority="29" operator="greaterThan">
      <formula>0</formula>
    </cfRule>
    <cfRule type="cellIs" dxfId="178" priority="30" operator="lessThan">
      <formula>0</formula>
    </cfRule>
  </conditionalFormatting>
  <conditionalFormatting sqref="AF135">
    <cfRule type="cellIs" dxfId="177" priority="25" operator="greaterThan">
      <formula>0</formula>
    </cfRule>
    <cfRule type="cellIs" dxfId="176" priority="26" operator="lessThan">
      <formula>0</formula>
    </cfRule>
  </conditionalFormatting>
  <conditionalFormatting sqref="AF136">
    <cfRule type="cellIs" dxfId="175" priority="27" operator="greaterThan">
      <formula>0</formula>
    </cfRule>
    <cfRule type="cellIs" dxfId="174" priority="28" operator="lessThan">
      <formula>0</formula>
    </cfRule>
  </conditionalFormatting>
  <conditionalFormatting sqref="N121">
    <cfRule type="containsText" dxfId="173" priority="21" operator="containsText" text="Action">
      <formula>NOT(ISERROR(SEARCH("Action",N121)))</formula>
    </cfRule>
    <cfRule type="containsText" dxfId="172" priority="22" operator="containsText" text="Completed">
      <formula>NOT(ISERROR(SEARCH("Completed",N121)))</formula>
    </cfRule>
    <cfRule type="containsText" dxfId="171" priority="23" operator="containsText" text="In Progress">
      <formula>NOT(ISERROR(SEARCH("In Progress",N121)))</formula>
    </cfRule>
    <cfRule type="containsText" dxfId="170" priority="24" operator="containsText" text="Not">
      <formula>NOT(ISERROR(SEARCH("Not",N121)))</formula>
    </cfRule>
  </conditionalFormatting>
  <conditionalFormatting sqref="AF122">
    <cfRule type="cellIs" dxfId="169" priority="19" operator="greaterThan">
      <formula>0</formula>
    </cfRule>
    <cfRule type="cellIs" dxfId="168" priority="20" operator="lessThan">
      <formula>0</formula>
    </cfRule>
  </conditionalFormatting>
  <conditionalFormatting sqref="AF132">
    <cfRule type="cellIs" dxfId="167" priority="17" operator="greaterThan">
      <formula>0</formula>
    </cfRule>
    <cfRule type="cellIs" dxfId="166" priority="18" operator="lessThan">
      <formula>0</formula>
    </cfRule>
  </conditionalFormatting>
  <conditionalFormatting sqref="AF141 AF139">
    <cfRule type="cellIs" dxfId="165" priority="15" operator="greaterThan">
      <formula>0</formula>
    </cfRule>
    <cfRule type="cellIs" dxfId="164" priority="16" operator="lessThan">
      <formula>0</formula>
    </cfRule>
  </conditionalFormatting>
  <conditionalFormatting sqref="AF143">
    <cfRule type="cellIs" dxfId="163" priority="13" operator="greaterThan">
      <formula>0</formula>
    </cfRule>
    <cfRule type="cellIs" dxfId="162" priority="14" operator="lessThan">
      <formula>0</formula>
    </cfRule>
  </conditionalFormatting>
  <conditionalFormatting sqref="AF142">
    <cfRule type="cellIs" dxfId="161" priority="11" operator="greaterThan">
      <formula>0</formula>
    </cfRule>
    <cfRule type="cellIs" dxfId="160" priority="12" operator="lessThan">
      <formula>0</formula>
    </cfRule>
  </conditionalFormatting>
  <conditionalFormatting sqref="AF137">
    <cfRule type="cellIs" dxfId="159" priority="9" operator="greaterThan">
      <formula>0</formula>
    </cfRule>
    <cfRule type="cellIs" dxfId="158" priority="10" operator="lessThan">
      <formula>0</formula>
    </cfRule>
  </conditionalFormatting>
  <conditionalFormatting sqref="N137">
    <cfRule type="containsText" dxfId="157" priority="5" operator="containsText" text="Action">
      <formula>NOT(ISERROR(SEARCH("Action",N137)))</formula>
    </cfRule>
    <cfRule type="containsText" dxfId="156" priority="6" operator="containsText" text="Completed">
      <formula>NOT(ISERROR(SEARCH("Completed",N137)))</formula>
    </cfRule>
    <cfRule type="containsText" dxfId="155" priority="7" operator="containsText" text="In Progress">
      <formula>NOT(ISERROR(SEARCH("In Progress",N137)))</formula>
    </cfRule>
    <cfRule type="containsText" dxfId="154" priority="8" operator="containsText" text="Not">
      <formula>NOT(ISERROR(SEARCH("Not",N137)))</formula>
    </cfRule>
  </conditionalFormatting>
  <conditionalFormatting sqref="AF138">
    <cfRule type="cellIs" dxfId="153" priority="3" operator="greaterThan">
      <formula>0</formula>
    </cfRule>
    <cfRule type="cellIs" dxfId="152" priority="4" operator="lessThan">
      <formula>0</formula>
    </cfRule>
  </conditionalFormatting>
  <conditionalFormatting sqref="AF140">
    <cfRule type="cellIs" dxfId="151" priority="1" operator="greaterThan">
      <formula>0</formula>
    </cfRule>
    <cfRule type="cellIs" dxfId="150" priority="2" operator="lessThan">
      <formula>0</formula>
    </cfRule>
  </conditionalFormatting>
  <printOptions horizontalCentered="1"/>
  <pageMargins left="0.5" right="0.5" top="1.56" bottom="0.5" header="0.5" footer="0.25"/>
  <pageSetup scale="45" fitToHeight="35" orientation="landscape" r:id="rId1"/>
  <headerFooter>
    <oddHeader xml:space="preserve">&amp;L&amp;G&amp;C&amp;"Arial Black,Bold"&amp;24&amp;K04+000CLSA Trust
&amp;12 &amp;K05+0002018 Client List&amp;R&amp;"Arial,Regular"&amp;12&amp;K04+000
Page | &amp;"Arial,Bold"&amp;P
</oddHeader>
    <oddFooter>&amp;L&amp;D&amp;C&amp;K04+000© 2017 California Life Sciences Association. All rights reserved.   |   &amp;"-,Bold"clsatrust.com</oddFooter>
  </headerFooter>
  <legacyDrawing r:id="rId2"/>
  <legacyDrawingHF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2060"/>
  </sheetPr>
  <dimension ref="A1:AW514"/>
  <sheetViews>
    <sheetView zoomScale="85" zoomScaleNormal="85" workbookViewId="0">
      <pane xSplit="2" ySplit="1" topLeftCell="C51" activePane="bottomRight" state="frozen"/>
      <selection activeCell="D1" sqref="D1:E1048576"/>
      <selection pane="topRight" activeCell="D1" sqref="D1:E1048576"/>
      <selection pane="bottomLeft" activeCell="D1" sqref="D1:E1048576"/>
      <selection pane="bottomRight" activeCell="D59" sqref="D59"/>
    </sheetView>
  </sheetViews>
  <sheetFormatPr defaultColWidth="9" defaultRowHeight="15"/>
  <cols>
    <col min="1" max="1" width="3.125" style="729" customWidth="1"/>
    <col min="2" max="2" width="26.125" style="729" customWidth="1"/>
    <col min="3" max="3" width="8" style="729" customWidth="1"/>
    <col min="4" max="4" width="14.625" style="729" customWidth="1"/>
    <col min="5" max="5" width="16.5" style="729" customWidth="1"/>
    <col min="6" max="6" width="16.625" style="1060" hidden="1" customWidth="1"/>
    <col min="7" max="9" width="16.625" style="729" hidden="1" customWidth="1"/>
    <col min="10" max="10" width="8.125" style="729" hidden="1" customWidth="1"/>
    <col min="11" max="11" width="48.375" style="729" hidden="1" customWidth="1"/>
    <col min="12" max="12" width="10.875" style="742" hidden="1" customWidth="1"/>
    <col min="13" max="13" width="16.625" style="1068" hidden="1" customWidth="1"/>
    <col min="14" max="14" width="1" style="742" hidden="1" customWidth="1"/>
    <col min="15" max="15" width="9" style="729" customWidth="1"/>
    <col min="16" max="16" width="10.125" style="729" customWidth="1"/>
    <col min="17" max="17" width="8.625" style="729" hidden="1" customWidth="1"/>
    <col min="18" max="18" width="12.125" style="729" hidden="1" customWidth="1"/>
    <col min="19" max="19" width="8.125" style="742" hidden="1" customWidth="1"/>
    <col min="20" max="20" width="12.875" style="742" hidden="1" customWidth="1"/>
    <col min="21" max="21" width="11.125" style="742" hidden="1" customWidth="1"/>
    <col min="22" max="22" width="10.875" style="742" hidden="1" customWidth="1"/>
    <col min="23" max="23" width="9.375" style="742" hidden="1" customWidth="1"/>
    <col min="24" max="24" width="8.625" style="742" hidden="1" customWidth="1"/>
    <col min="25" max="25" width="10.125" style="742" hidden="1" customWidth="1"/>
    <col min="26" max="26" width="10.625" style="742" hidden="1" customWidth="1"/>
    <col min="27" max="27" width="5.375" style="729" customWidth="1"/>
    <col min="28" max="28" width="9.625" style="743" customWidth="1"/>
    <col min="29" max="29" width="7.375" style="742" customWidth="1"/>
    <col min="30" max="31" width="12" style="742" customWidth="1"/>
    <col min="32" max="32" width="10.5" style="742" customWidth="1"/>
    <col min="33" max="33" width="11.125" style="729" customWidth="1"/>
    <col min="34" max="34" width="15" style="729" customWidth="1"/>
    <col min="35" max="35" width="6.625" style="742" customWidth="1"/>
    <col min="36" max="36" width="19.875" style="729" customWidth="1"/>
    <col min="37" max="37" width="10.5" style="743" customWidth="1"/>
    <col min="38" max="38" width="8.125" style="744" customWidth="1"/>
    <col min="39" max="39" width="10.5" style="743" customWidth="1"/>
    <col min="40" max="40" width="8.125" style="744" customWidth="1"/>
    <col min="41" max="42" width="8.125" style="744" hidden="1" customWidth="1"/>
    <col min="43" max="43" width="24.375" style="729" customWidth="1"/>
    <col min="44" max="44" width="6.625" style="729" customWidth="1"/>
    <col min="45" max="45" width="27.875" style="729" customWidth="1"/>
    <col min="46" max="46" width="8.625" style="729" customWidth="1"/>
    <col min="47" max="47" width="6.375" style="729" customWidth="1"/>
    <col min="48" max="48" width="40.625" style="729" customWidth="1"/>
    <col min="49" max="49" width="8.625" style="729" customWidth="1"/>
    <col min="50" max="16384" width="9" style="729"/>
  </cols>
  <sheetData>
    <row r="1" spans="1:49" s="725" customFormat="1" ht="35.25" customHeight="1">
      <c r="A1" s="1065" t="s">
        <v>4380</v>
      </c>
      <c r="B1" s="720" t="s">
        <v>3641</v>
      </c>
      <c r="C1" s="720" t="s">
        <v>4171</v>
      </c>
      <c r="D1" s="785" t="s">
        <v>4199</v>
      </c>
      <c r="E1" s="785" t="s">
        <v>4198</v>
      </c>
      <c r="F1" s="1058" t="s">
        <v>17</v>
      </c>
      <c r="G1" s="1057" t="s">
        <v>1</v>
      </c>
      <c r="H1" s="1057" t="s">
        <v>20</v>
      </c>
      <c r="I1" s="1057" t="s">
        <v>21</v>
      </c>
      <c r="J1" s="1057" t="s">
        <v>3663</v>
      </c>
      <c r="K1" s="1057" t="s">
        <v>22</v>
      </c>
      <c r="L1" s="1061" t="s">
        <v>2472</v>
      </c>
      <c r="M1" s="1066" t="s">
        <v>4381</v>
      </c>
      <c r="N1" s="1061" t="s">
        <v>8</v>
      </c>
      <c r="O1" s="1057" t="s">
        <v>4488</v>
      </c>
      <c r="P1" s="1057" t="s">
        <v>14</v>
      </c>
      <c r="Q1" s="1057" t="s">
        <v>23</v>
      </c>
      <c r="R1" s="1057" t="s">
        <v>24</v>
      </c>
      <c r="S1" s="1061" t="s">
        <v>2475</v>
      </c>
      <c r="T1" s="1061" t="s">
        <v>2476</v>
      </c>
      <c r="U1" s="1061" t="s">
        <v>251</v>
      </c>
      <c r="V1" s="1061" t="s">
        <v>379</v>
      </c>
      <c r="W1" s="1061" t="s">
        <v>380</v>
      </c>
      <c r="X1" s="1061" t="s">
        <v>2478</v>
      </c>
      <c r="Y1" s="1061" t="s">
        <v>2479</v>
      </c>
      <c r="Z1" s="1061" t="s">
        <v>4377</v>
      </c>
      <c r="AA1" s="721" t="s">
        <v>283</v>
      </c>
      <c r="AB1" s="722" t="s">
        <v>3949</v>
      </c>
      <c r="AC1" s="723" t="s">
        <v>2475</v>
      </c>
      <c r="AD1" s="723" t="s">
        <v>3642</v>
      </c>
      <c r="AE1" s="723" t="s">
        <v>3643</v>
      </c>
      <c r="AF1" s="723" t="s">
        <v>3644</v>
      </c>
      <c r="AG1" s="724" t="s">
        <v>284</v>
      </c>
      <c r="AH1" s="724" t="s">
        <v>3950</v>
      </c>
      <c r="AI1" s="723" t="s">
        <v>4146</v>
      </c>
      <c r="AJ1" s="746" t="s">
        <v>3951</v>
      </c>
      <c r="AK1" s="751" t="s">
        <v>3952</v>
      </c>
      <c r="AL1" s="752" t="s">
        <v>3953</v>
      </c>
      <c r="AM1" s="767" t="s">
        <v>3954</v>
      </c>
      <c r="AN1" s="768" t="s">
        <v>3955</v>
      </c>
      <c r="AO1" s="774" t="s">
        <v>4168</v>
      </c>
      <c r="AP1" s="775" t="s">
        <v>4169</v>
      </c>
      <c r="AQ1" s="769" t="s">
        <v>3956</v>
      </c>
      <c r="AR1" s="720" t="s">
        <v>3957</v>
      </c>
      <c r="AS1" s="720" t="s">
        <v>3958</v>
      </c>
      <c r="AT1" s="720" t="s">
        <v>3959</v>
      </c>
      <c r="AU1" s="720" t="s">
        <v>253</v>
      </c>
      <c r="AV1" s="720" t="s">
        <v>3960</v>
      </c>
      <c r="AW1" s="720" t="s">
        <v>3961</v>
      </c>
    </row>
    <row r="2" spans="1:49">
      <c r="A2" s="726" t="s">
        <v>3608</v>
      </c>
      <c r="B2" s="726" t="s">
        <v>3608</v>
      </c>
      <c r="C2" s="726"/>
      <c r="D2" s="726" t="s">
        <v>3608</v>
      </c>
      <c r="E2" s="726" t="s">
        <v>3608</v>
      </c>
      <c r="F2" s="1059">
        <f>IFERROR(VLOOKUP($A2,'2018'!$A:$BB,3,FALSE),"")</f>
        <v>330831285</v>
      </c>
      <c r="G2" s="1055" t="str">
        <f>IFERROR(VLOOKUP($A2,'2018'!$A:$BB,4,FALSE),"")</f>
        <v xml:space="preserve">11025 N. Torrey Pines Road, Suite 120
La Jolla, CA 92037 </v>
      </c>
      <c r="H2" s="1055" t="str">
        <f>IFERROR(VLOOKUP($A2,'2018'!$A:$BB,5,FALSE),"")</f>
        <v>Lorrie Daggett
(858) 526-2505
lorried@ACTIVX.com</v>
      </c>
      <c r="I2" s="1055" t="str">
        <f>IFERROR(VLOOKUP($A2,'2018'!$A:$BB,6,FALSE),"")</f>
        <v>Lorrie Daggett
(858) 526-2505
lorried@ACTIVX.com</v>
      </c>
      <c r="J2" s="1055" t="str">
        <f>IFERROR(VLOOKUP($A2,'2018'!$A:$BB,7,FALSE),"")</f>
        <v>HUB (San Diego)</v>
      </c>
      <c r="K2" s="1055" t="str">
        <f>IFERROR(VLOOKUP($A2,'2018'!$A:$BB,8,FALSE),"")</f>
        <v>Account Managed by HUB SD Team
Producer - Neal Cook
Service Lead - Lydia Frazer
AR-Jonathan Visano
BA-Ben Hendricks</v>
      </c>
      <c r="L2" s="1062" t="str">
        <f>IFERROR(VLOOKUP($A2,'2018'!$A:$BB,9,FALSE),"")</f>
        <v>Renewal</v>
      </c>
      <c r="M2" s="1067">
        <f>IFERROR(VLOOKUP($A2,'2018'!$A:$BB,10,FALSE),"")</f>
        <v>42736</v>
      </c>
      <c r="N2" s="1062">
        <f>IFERROR(VLOOKUP($A2,'2018'!$A:$BB,12,FALSE),"")</f>
        <v>31</v>
      </c>
      <c r="O2" s="1055" t="str">
        <f>IFERROR(VLOOKUP($A2,'2018'!$A:$BB,13,FALSE),"")</f>
        <v xml:space="preserve">IGOE </v>
      </c>
      <c r="P2" s="1055" t="str">
        <f>IFERROR(VLOOKUP($A2,'2018'!$A:$BB,14,FALSE),"")</f>
        <v xml:space="preserve">Maestro </v>
      </c>
      <c r="Q2" s="1055" t="str">
        <f>IFERROR(VLOOKUP($A2,'2018'!$A:$BB,16,FALSE),"")</f>
        <v>IGOE</v>
      </c>
      <c r="R2" s="1055" t="str">
        <f>IFERROR(VLOOKUP($A2,'2018'!$A:$BB,17,FALSE),"")</f>
        <v>Optum Health</v>
      </c>
      <c r="S2" s="1062" t="str">
        <f>IFERROR(VLOOKUP($A2,'2018'!$A:$BB,20,FALSE),"")</f>
        <v>SCAL</v>
      </c>
      <c r="T2" s="1062" t="str">
        <f>IFERROR(VLOOKUP($A2,'2018'!$A:$BB,21,FALSE),"")</f>
        <v>Group B (34-44)</v>
      </c>
      <c r="U2" s="1062" t="str">
        <f>IFERROR(VLOOKUP($A2,'2018'!$A:$BB,22,FALSE),"")</f>
        <v>Expanded</v>
      </c>
      <c r="V2" s="1062" t="str">
        <f>IFERROR(VLOOKUP($A2,'2018'!$A:$BB,23,FALSE),"")</f>
        <v>Advantage</v>
      </c>
      <c r="W2" s="1062" t="str">
        <f>IFERROR(VLOOKUP($A2,'2018'!$A:$BB,24,FALSE),"")</f>
        <v>No</v>
      </c>
      <c r="X2" s="1062" t="str">
        <f>IFERROR(VLOOKUP($A2,'2018'!$A:$BB,41,FALSE),"")</f>
        <v>Region 1</v>
      </c>
      <c r="Y2" s="1062" t="str">
        <f>IFERROR(VLOOKUP($A2,'2018'!$A:$BB,42,FALSE),"")</f>
        <v>(25-49)</v>
      </c>
      <c r="Z2" s="1062" t="str">
        <f>IFERROR(VLOOKUP($A2,'2018'!$A:$BB,45,FALSE),"")</f>
        <v>(50-99)</v>
      </c>
      <c r="AA2" s="727">
        <v>2018</v>
      </c>
      <c r="AB2" s="728" t="s">
        <v>3759</v>
      </c>
      <c r="AC2" s="727" t="s">
        <v>317</v>
      </c>
      <c r="AD2" s="727" t="s">
        <v>3648</v>
      </c>
      <c r="AE2" s="727" t="s">
        <v>307</v>
      </c>
      <c r="AF2" s="727" t="s">
        <v>113</v>
      </c>
      <c r="AG2" s="726" t="s">
        <v>3962</v>
      </c>
      <c r="AH2" s="726" t="s">
        <v>3963</v>
      </c>
      <c r="AI2" s="727">
        <v>2</v>
      </c>
      <c r="AJ2" s="747" t="s">
        <v>3964</v>
      </c>
      <c r="AK2" s="753">
        <v>260089</v>
      </c>
      <c r="AL2" s="754">
        <v>190</v>
      </c>
      <c r="AM2" s="753">
        <v>260090</v>
      </c>
      <c r="AN2" s="754">
        <v>191</v>
      </c>
      <c r="AO2" s="776">
        <f>AM2+1</f>
        <v>260091</v>
      </c>
      <c r="AP2" s="754">
        <f>AN2+1</f>
        <v>192</v>
      </c>
      <c r="AQ2" s="770"/>
      <c r="AR2" s="726" t="s">
        <v>2661</v>
      </c>
      <c r="AS2" s="726" t="s">
        <v>3965</v>
      </c>
      <c r="AT2" s="726">
        <v>1900190</v>
      </c>
      <c r="AU2" s="726" t="s">
        <v>3966</v>
      </c>
      <c r="AV2" s="726" t="s">
        <v>3967</v>
      </c>
      <c r="AW2" s="726">
        <v>1910191</v>
      </c>
    </row>
    <row r="3" spans="1:49">
      <c r="A3" s="726" t="s">
        <v>3608</v>
      </c>
      <c r="B3" s="726" t="s">
        <v>3608</v>
      </c>
      <c r="C3" s="726"/>
      <c r="D3" s="726" t="s">
        <v>3608</v>
      </c>
      <c r="E3" s="726" t="s">
        <v>3608</v>
      </c>
      <c r="F3" s="1059">
        <f>IFERROR(VLOOKUP($A3,'2018'!$A:$BB,3,FALSE),"")</f>
        <v>330831285</v>
      </c>
      <c r="G3" s="1055" t="str">
        <f>IFERROR(VLOOKUP($A3,'2018'!$A:$BB,4,FALSE),"")</f>
        <v xml:space="preserve">11025 N. Torrey Pines Road, Suite 120
La Jolla, CA 92037 </v>
      </c>
      <c r="H3" s="1055" t="str">
        <f>IFERROR(VLOOKUP($A3,'2018'!$A:$BB,5,FALSE),"")</f>
        <v>Lorrie Daggett
(858) 526-2505
lorried@ACTIVX.com</v>
      </c>
      <c r="I3" s="1055" t="str">
        <f>IFERROR(VLOOKUP($A3,'2018'!$A:$BB,6,FALSE),"")</f>
        <v>Lorrie Daggett
(858) 526-2505
lorried@ACTIVX.com</v>
      </c>
      <c r="J3" s="1055" t="str">
        <f>IFERROR(VLOOKUP($A3,'2018'!$A:$BB,7,FALSE),"")</f>
        <v>HUB (San Diego)</v>
      </c>
      <c r="K3" s="1055" t="str">
        <f>IFERROR(VLOOKUP($A3,'2018'!$A:$BB,8,FALSE),"")</f>
        <v>Account Managed by HUB SD Team
Producer - Neal Cook
Service Lead - Lydia Frazer
AR-Jonathan Visano
BA-Ben Hendricks</v>
      </c>
      <c r="L3" s="1062" t="str">
        <f>IFERROR(VLOOKUP($A3,'2018'!$A:$BB,9,FALSE),"")</f>
        <v>Renewal</v>
      </c>
      <c r="M3" s="1067">
        <f>IFERROR(VLOOKUP($A3,'2018'!$A:$BB,10,FALSE),"")</f>
        <v>42736</v>
      </c>
      <c r="N3" s="1062">
        <f>IFERROR(VLOOKUP($A3,'2018'!$A:$BB,12,FALSE),"")</f>
        <v>31</v>
      </c>
      <c r="O3" s="1055" t="str">
        <f>IFERROR(VLOOKUP($A3,'2018'!$A:$BB,13,FALSE),"")</f>
        <v xml:space="preserve">IGOE </v>
      </c>
      <c r="P3" s="1055" t="str">
        <f>IFERROR(VLOOKUP($A3,'2018'!$A:$BB,14,FALSE),"")</f>
        <v xml:space="preserve">Maestro </v>
      </c>
      <c r="Q3" s="1055" t="str">
        <f>IFERROR(VLOOKUP($A3,'2018'!$A:$BB,16,FALSE),"")</f>
        <v>IGOE</v>
      </c>
      <c r="R3" s="1055" t="str">
        <f>IFERROR(VLOOKUP($A3,'2018'!$A:$BB,17,FALSE),"")</f>
        <v>Optum Health</v>
      </c>
      <c r="S3" s="1062" t="str">
        <f>IFERROR(VLOOKUP($A3,'2018'!$A:$BB,20,FALSE),"")</f>
        <v>SCAL</v>
      </c>
      <c r="T3" s="1062" t="str">
        <f>IFERROR(VLOOKUP($A3,'2018'!$A:$BB,21,FALSE),"")</f>
        <v>Group B (34-44)</v>
      </c>
      <c r="U3" s="1062" t="str">
        <f>IFERROR(VLOOKUP($A3,'2018'!$A:$BB,22,FALSE),"")</f>
        <v>Expanded</v>
      </c>
      <c r="V3" s="1062" t="str">
        <f>IFERROR(VLOOKUP($A3,'2018'!$A:$BB,23,FALSE),"")</f>
        <v>Advantage</v>
      </c>
      <c r="W3" s="1062" t="str">
        <f>IFERROR(VLOOKUP($A3,'2018'!$A:$BB,24,FALSE),"")</f>
        <v>No</v>
      </c>
      <c r="X3" s="1062" t="str">
        <f>IFERROR(VLOOKUP($A3,'2018'!$A:$BB,41,FALSE),"")</f>
        <v>Region 1</v>
      </c>
      <c r="Y3" s="1062" t="str">
        <f>IFERROR(VLOOKUP($A3,'2018'!$A:$BB,42,FALSE),"")</f>
        <v>(25-49)</v>
      </c>
      <c r="Z3" s="1062" t="str">
        <f>IFERROR(VLOOKUP($A3,'2018'!$A:$BB,45,FALSE),"")</f>
        <v>(50-99)</v>
      </c>
      <c r="AA3" s="730">
        <v>2018</v>
      </c>
      <c r="AB3" s="728" t="s">
        <v>3759</v>
      </c>
      <c r="AC3" s="727" t="s">
        <v>317</v>
      </c>
      <c r="AD3" s="727" t="s">
        <v>3648</v>
      </c>
      <c r="AE3" s="727" t="s">
        <v>307</v>
      </c>
      <c r="AF3" s="727" t="s">
        <v>113</v>
      </c>
      <c r="AG3" s="726" t="s">
        <v>3962</v>
      </c>
      <c r="AH3" s="726" t="s">
        <v>3968</v>
      </c>
      <c r="AI3" s="727">
        <v>5</v>
      </c>
      <c r="AJ3" s="747" t="s">
        <v>3969</v>
      </c>
      <c r="AK3" s="753">
        <v>260161</v>
      </c>
      <c r="AL3" s="754">
        <v>262</v>
      </c>
      <c r="AM3" s="753">
        <v>260162</v>
      </c>
      <c r="AN3" s="754">
        <v>263</v>
      </c>
      <c r="AO3" s="776">
        <f t="shared" ref="AO3:AO83" si="0">AM3+1</f>
        <v>260163</v>
      </c>
      <c r="AP3" s="754">
        <f t="shared" ref="AP3:AP85" si="1">AN3+1</f>
        <v>264</v>
      </c>
      <c r="AQ3" s="770"/>
      <c r="AR3" s="726" t="s">
        <v>2661</v>
      </c>
      <c r="AS3" s="726" t="s">
        <v>3970</v>
      </c>
      <c r="AT3" s="726">
        <v>2620262</v>
      </c>
      <c r="AU3" s="726" t="s">
        <v>3966</v>
      </c>
      <c r="AV3" s="726" t="s">
        <v>3971</v>
      </c>
      <c r="AW3" s="726">
        <v>2630263</v>
      </c>
    </row>
    <row r="4" spans="1:49">
      <c r="A4" s="726" t="s">
        <v>3608</v>
      </c>
      <c r="B4" s="726" t="s">
        <v>3608</v>
      </c>
      <c r="C4" s="726"/>
      <c r="D4" s="726" t="s">
        <v>3608</v>
      </c>
      <c r="E4" s="726" t="s">
        <v>3608</v>
      </c>
      <c r="F4" s="1059">
        <f>IFERROR(VLOOKUP($A4,'2018'!$A:$BB,3,FALSE),"")</f>
        <v>330831285</v>
      </c>
      <c r="G4" s="1055" t="str">
        <f>IFERROR(VLOOKUP($A4,'2018'!$A:$BB,4,FALSE),"")</f>
        <v xml:space="preserve">11025 N. Torrey Pines Road, Suite 120
La Jolla, CA 92037 </v>
      </c>
      <c r="H4" s="1055" t="str">
        <f>IFERROR(VLOOKUP($A4,'2018'!$A:$BB,5,FALSE),"")</f>
        <v>Lorrie Daggett
(858) 526-2505
lorried@ACTIVX.com</v>
      </c>
      <c r="I4" s="1055" t="str">
        <f>IFERROR(VLOOKUP($A4,'2018'!$A:$BB,6,FALSE),"")</f>
        <v>Lorrie Daggett
(858) 526-2505
lorried@ACTIVX.com</v>
      </c>
      <c r="J4" s="1055" t="str">
        <f>IFERROR(VLOOKUP($A4,'2018'!$A:$BB,7,FALSE),"")</f>
        <v>HUB (San Diego)</v>
      </c>
      <c r="K4" s="1055" t="str">
        <f>IFERROR(VLOOKUP($A4,'2018'!$A:$BB,8,FALSE),"")</f>
        <v>Account Managed by HUB SD Team
Producer - Neal Cook
Service Lead - Lydia Frazer
AR-Jonathan Visano
BA-Ben Hendricks</v>
      </c>
      <c r="L4" s="1062" t="str">
        <f>IFERROR(VLOOKUP($A4,'2018'!$A:$BB,9,FALSE),"")</f>
        <v>Renewal</v>
      </c>
      <c r="M4" s="1067">
        <f>IFERROR(VLOOKUP($A4,'2018'!$A:$BB,10,FALSE),"")</f>
        <v>42736</v>
      </c>
      <c r="N4" s="1062">
        <f>IFERROR(VLOOKUP($A4,'2018'!$A:$BB,12,FALSE),"")</f>
        <v>31</v>
      </c>
      <c r="O4" s="1055" t="str">
        <f>IFERROR(VLOOKUP($A4,'2018'!$A:$BB,13,FALSE),"")</f>
        <v xml:space="preserve">IGOE </v>
      </c>
      <c r="P4" s="1055" t="str">
        <f>IFERROR(VLOOKUP($A4,'2018'!$A:$BB,14,FALSE),"")</f>
        <v xml:space="preserve">Maestro </v>
      </c>
      <c r="Q4" s="1055" t="str">
        <f>IFERROR(VLOOKUP($A4,'2018'!$A:$BB,16,FALSE),"")</f>
        <v>IGOE</v>
      </c>
      <c r="R4" s="1055" t="str">
        <f>IFERROR(VLOOKUP($A4,'2018'!$A:$BB,17,FALSE),"")</f>
        <v>Optum Health</v>
      </c>
      <c r="S4" s="1062" t="str">
        <f>IFERROR(VLOOKUP($A4,'2018'!$A:$BB,20,FALSE),"")</f>
        <v>SCAL</v>
      </c>
      <c r="T4" s="1062" t="str">
        <f>IFERROR(VLOOKUP($A4,'2018'!$A:$BB,21,FALSE),"")</f>
        <v>Group B (34-44)</v>
      </c>
      <c r="U4" s="1062" t="str">
        <f>IFERROR(VLOOKUP($A4,'2018'!$A:$BB,22,FALSE),"")</f>
        <v>Expanded</v>
      </c>
      <c r="V4" s="1062" t="str">
        <f>IFERROR(VLOOKUP($A4,'2018'!$A:$BB,23,FALSE),"")</f>
        <v>Advantage</v>
      </c>
      <c r="W4" s="1062" t="str">
        <f>IFERROR(VLOOKUP($A4,'2018'!$A:$BB,24,FALSE),"")</f>
        <v>No</v>
      </c>
      <c r="X4" s="1062" t="str">
        <f>IFERROR(VLOOKUP($A4,'2018'!$A:$BB,41,FALSE),"")</f>
        <v>Region 1</v>
      </c>
      <c r="Y4" s="1062" t="str">
        <f>IFERROR(VLOOKUP($A4,'2018'!$A:$BB,42,FALSE),"")</f>
        <v>(25-49)</v>
      </c>
      <c r="Z4" s="1062" t="str">
        <f>IFERROR(VLOOKUP($A4,'2018'!$A:$BB,45,FALSE),"")</f>
        <v>(50-99)</v>
      </c>
      <c r="AA4" s="730">
        <v>2018</v>
      </c>
      <c r="AB4" s="728" t="s">
        <v>3759</v>
      </c>
      <c r="AC4" s="727" t="s">
        <v>317</v>
      </c>
      <c r="AD4" s="727" t="s">
        <v>3648</v>
      </c>
      <c r="AE4" s="727" t="s">
        <v>307</v>
      </c>
      <c r="AF4" s="727" t="s">
        <v>113</v>
      </c>
      <c r="AG4" s="726" t="s">
        <v>3972</v>
      </c>
      <c r="AH4" s="726" t="s">
        <v>3973</v>
      </c>
      <c r="AI4" s="727">
        <v>9</v>
      </c>
      <c r="AJ4" s="747" t="s">
        <v>3974</v>
      </c>
      <c r="AK4" s="755">
        <v>909678</v>
      </c>
      <c r="AL4" s="754">
        <v>409</v>
      </c>
      <c r="AM4" s="755">
        <v>909678</v>
      </c>
      <c r="AN4" s="754">
        <v>410</v>
      </c>
      <c r="AO4" s="776">
        <f>AM4</f>
        <v>909678</v>
      </c>
      <c r="AP4" s="754">
        <f t="shared" si="1"/>
        <v>411</v>
      </c>
      <c r="AQ4" s="770"/>
      <c r="AR4" s="726" t="s">
        <v>2661</v>
      </c>
      <c r="AS4" s="726" t="s">
        <v>3975</v>
      </c>
      <c r="AT4" s="726">
        <v>4090409</v>
      </c>
      <c r="AU4" s="726" t="s">
        <v>3966</v>
      </c>
      <c r="AV4" s="726" t="s">
        <v>3976</v>
      </c>
      <c r="AW4" s="726">
        <v>4100410</v>
      </c>
    </row>
    <row r="5" spans="1:49">
      <c r="A5" s="736" t="s">
        <v>3608</v>
      </c>
      <c r="B5" s="736" t="s">
        <v>3608</v>
      </c>
      <c r="C5" s="736"/>
      <c r="D5" s="738" t="s">
        <v>3608</v>
      </c>
      <c r="E5" s="738" t="s">
        <v>3608</v>
      </c>
      <c r="F5" s="1059">
        <f>IFERROR(VLOOKUP($A5,'2018'!$A:$BB,3,FALSE),"")</f>
        <v>330831285</v>
      </c>
      <c r="G5" s="1055" t="str">
        <f>IFERROR(VLOOKUP($A5,'2018'!$A:$BB,4,FALSE),"")</f>
        <v xml:space="preserve">11025 N. Torrey Pines Road, Suite 120
La Jolla, CA 92037 </v>
      </c>
      <c r="H5" s="1055" t="str">
        <f>IFERROR(VLOOKUP($A5,'2018'!$A:$BB,5,FALSE),"")</f>
        <v>Lorrie Daggett
(858) 526-2505
lorried@ACTIVX.com</v>
      </c>
      <c r="I5" s="1055" t="str">
        <f>IFERROR(VLOOKUP($A5,'2018'!$A:$BB,6,FALSE),"")</f>
        <v>Lorrie Daggett
(858) 526-2505
lorried@ACTIVX.com</v>
      </c>
      <c r="J5" s="1055" t="str">
        <f>IFERROR(VLOOKUP($A5,'2018'!$A:$BB,7,FALSE),"")</f>
        <v>HUB (San Diego)</v>
      </c>
      <c r="K5" s="1055" t="str">
        <f>IFERROR(VLOOKUP($A5,'2018'!$A:$BB,8,FALSE),"")</f>
        <v>Account Managed by HUB SD Team
Producer - Neal Cook
Service Lead - Lydia Frazer
AR-Jonathan Visano
BA-Ben Hendricks</v>
      </c>
      <c r="L5" s="1062" t="str">
        <f>IFERROR(VLOOKUP($A5,'2018'!$A:$BB,9,FALSE),"")</f>
        <v>Renewal</v>
      </c>
      <c r="M5" s="1067">
        <f>IFERROR(VLOOKUP($A5,'2018'!$A:$BB,10,FALSE),"")</f>
        <v>42736</v>
      </c>
      <c r="N5" s="1062">
        <f>IFERROR(VLOOKUP($A5,'2018'!$A:$BB,12,FALSE),"")</f>
        <v>31</v>
      </c>
      <c r="O5" s="1055" t="str">
        <f>IFERROR(VLOOKUP($A5,'2018'!$A:$BB,13,FALSE),"")</f>
        <v xml:space="preserve">IGOE </v>
      </c>
      <c r="P5" s="1055" t="str">
        <f>IFERROR(VLOOKUP($A5,'2018'!$A:$BB,14,FALSE),"")</f>
        <v xml:space="preserve">Maestro </v>
      </c>
      <c r="Q5" s="1055" t="str">
        <f>IFERROR(VLOOKUP($A5,'2018'!$A:$BB,16,FALSE),"")</f>
        <v>IGOE</v>
      </c>
      <c r="R5" s="1055" t="str">
        <f>IFERROR(VLOOKUP($A5,'2018'!$A:$BB,17,FALSE),"")</f>
        <v>Optum Health</v>
      </c>
      <c r="S5" s="1062" t="str">
        <f>IFERROR(VLOOKUP($A5,'2018'!$A:$BB,20,FALSE),"")</f>
        <v>SCAL</v>
      </c>
      <c r="T5" s="1062" t="str">
        <f>IFERROR(VLOOKUP($A5,'2018'!$A:$BB,21,FALSE),"")</f>
        <v>Group B (34-44)</v>
      </c>
      <c r="U5" s="1062" t="str">
        <f>IFERROR(VLOOKUP($A5,'2018'!$A:$BB,22,FALSE),"")</f>
        <v>Expanded</v>
      </c>
      <c r="V5" s="1062" t="str">
        <f>IFERROR(VLOOKUP($A5,'2018'!$A:$BB,23,FALSE),"")</f>
        <v>Advantage</v>
      </c>
      <c r="W5" s="1062" t="str">
        <f>IFERROR(VLOOKUP($A5,'2018'!$A:$BB,24,FALSE),"")</f>
        <v>No</v>
      </c>
      <c r="X5" s="1062" t="str">
        <f>IFERROR(VLOOKUP($A5,'2018'!$A:$BB,41,FALSE),"")</f>
        <v>Region 1</v>
      </c>
      <c r="Y5" s="1062" t="str">
        <f>IFERROR(VLOOKUP($A5,'2018'!$A:$BB,42,FALSE),"")</f>
        <v>(25-49)</v>
      </c>
      <c r="Z5" s="1062" t="str">
        <f>IFERROR(VLOOKUP($A5,'2018'!$A:$BB,45,FALSE),"")</f>
        <v>(50-99)</v>
      </c>
      <c r="AA5" s="731">
        <v>2018</v>
      </c>
      <c r="AB5" s="733" t="s">
        <v>3759</v>
      </c>
      <c r="AC5" s="734" t="s">
        <v>317</v>
      </c>
      <c r="AD5" s="734" t="s">
        <v>3648</v>
      </c>
      <c r="AE5" s="734" t="s">
        <v>307</v>
      </c>
      <c r="AF5" s="734" t="s">
        <v>113</v>
      </c>
      <c r="AG5" s="732" t="s">
        <v>3972</v>
      </c>
      <c r="AH5" s="732" t="s">
        <v>3977</v>
      </c>
      <c r="AI5" s="734">
        <v>15</v>
      </c>
      <c r="AJ5" s="748" t="s">
        <v>3978</v>
      </c>
      <c r="AK5" s="755">
        <v>909678</v>
      </c>
      <c r="AL5" s="756">
        <v>661</v>
      </c>
      <c r="AM5" s="755">
        <v>909678</v>
      </c>
      <c r="AN5" s="756">
        <v>662</v>
      </c>
      <c r="AO5" s="776">
        <f t="shared" ref="AO5:AO7" si="2">AM5</f>
        <v>909678</v>
      </c>
      <c r="AP5" s="754">
        <f t="shared" si="1"/>
        <v>663</v>
      </c>
      <c r="AQ5" s="771" t="s">
        <v>3979</v>
      </c>
      <c r="AR5" s="732" t="s">
        <v>2661</v>
      </c>
      <c r="AS5" s="735"/>
      <c r="AT5" s="735"/>
      <c r="AU5" s="732" t="s">
        <v>3980</v>
      </c>
      <c r="AV5" s="735"/>
      <c r="AW5" s="735"/>
    </row>
    <row r="6" spans="1:49">
      <c r="A6" s="738" t="s">
        <v>3608</v>
      </c>
      <c r="B6" s="738" t="s">
        <v>3608</v>
      </c>
      <c r="C6" s="738"/>
      <c r="D6" s="738" t="s">
        <v>3608</v>
      </c>
      <c r="E6" s="738" t="s">
        <v>3608</v>
      </c>
      <c r="F6" s="1059">
        <f>IFERROR(VLOOKUP($A6,'2018'!$A:$BB,3,FALSE),"")</f>
        <v>330831285</v>
      </c>
      <c r="G6" s="1055" t="str">
        <f>IFERROR(VLOOKUP($A6,'2018'!$A:$BB,4,FALSE),"")</f>
        <v xml:space="preserve">11025 N. Torrey Pines Road, Suite 120
La Jolla, CA 92037 </v>
      </c>
      <c r="H6" s="1055" t="str">
        <f>IFERROR(VLOOKUP($A6,'2018'!$A:$BB,5,FALSE),"")</f>
        <v>Lorrie Daggett
(858) 526-2505
lorried@ACTIVX.com</v>
      </c>
      <c r="I6" s="1055" t="str">
        <f>IFERROR(VLOOKUP($A6,'2018'!$A:$BB,6,FALSE),"")</f>
        <v>Lorrie Daggett
(858) 526-2505
lorried@ACTIVX.com</v>
      </c>
      <c r="J6" s="1055" t="str">
        <f>IFERROR(VLOOKUP($A6,'2018'!$A:$BB,7,FALSE),"")</f>
        <v>HUB (San Diego)</v>
      </c>
      <c r="K6" s="1055" t="str">
        <f>IFERROR(VLOOKUP($A6,'2018'!$A:$BB,8,FALSE),"")</f>
        <v>Account Managed by HUB SD Team
Producer - Neal Cook
Service Lead - Lydia Frazer
AR-Jonathan Visano
BA-Ben Hendricks</v>
      </c>
      <c r="L6" s="1062" t="str">
        <f>IFERROR(VLOOKUP($A6,'2018'!$A:$BB,9,FALSE),"")</f>
        <v>Renewal</v>
      </c>
      <c r="M6" s="1067">
        <f>IFERROR(VLOOKUP($A6,'2018'!$A:$BB,10,FALSE),"")</f>
        <v>42736</v>
      </c>
      <c r="N6" s="1062">
        <f>IFERROR(VLOOKUP($A6,'2018'!$A:$BB,12,FALSE),"")</f>
        <v>31</v>
      </c>
      <c r="O6" s="1055" t="str">
        <f>IFERROR(VLOOKUP($A6,'2018'!$A:$BB,13,FALSE),"")</f>
        <v xml:space="preserve">IGOE </v>
      </c>
      <c r="P6" s="1055" t="str">
        <f>IFERROR(VLOOKUP($A6,'2018'!$A:$BB,14,FALSE),"")</f>
        <v xml:space="preserve">Maestro </v>
      </c>
      <c r="Q6" s="1055" t="str">
        <f>IFERROR(VLOOKUP($A6,'2018'!$A:$BB,16,FALSE),"")</f>
        <v>IGOE</v>
      </c>
      <c r="R6" s="1055" t="str">
        <f>IFERROR(VLOOKUP($A6,'2018'!$A:$BB,17,FALSE),"")</f>
        <v>Optum Health</v>
      </c>
      <c r="S6" s="1062" t="str">
        <f>IFERROR(VLOOKUP($A6,'2018'!$A:$BB,20,FALSE),"")</f>
        <v>SCAL</v>
      </c>
      <c r="T6" s="1062" t="str">
        <f>IFERROR(VLOOKUP($A6,'2018'!$A:$BB,21,FALSE),"")</f>
        <v>Group B (34-44)</v>
      </c>
      <c r="U6" s="1062" t="str">
        <f>IFERROR(VLOOKUP($A6,'2018'!$A:$BB,22,FALSE),"")</f>
        <v>Expanded</v>
      </c>
      <c r="V6" s="1062" t="str">
        <f>IFERROR(VLOOKUP($A6,'2018'!$A:$BB,23,FALSE),"")</f>
        <v>Advantage</v>
      </c>
      <c r="W6" s="1062" t="str">
        <f>IFERROR(VLOOKUP($A6,'2018'!$A:$BB,24,FALSE),"")</f>
        <v>No</v>
      </c>
      <c r="X6" s="1062" t="str">
        <f>IFERROR(VLOOKUP($A6,'2018'!$A:$BB,41,FALSE),"")</f>
        <v>Region 1</v>
      </c>
      <c r="Y6" s="1062" t="str">
        <f>IFERROR(VLOOKUP($A6,'2018'!$A:$BB,42,FALSE),"")</f>
        <v>(25-49)</v>
      </c>
      <c r="Z6" s="1062" t="str">
        <f>IFERROR(VLOOKUP($A6,'2018'!$A:$BB,45,FALSE),"")</f>
        <v>(50-99)</v>
      </c>
      <c r="AA6" s="730">
        <v>2018</v>
      </c>
      <c r="AB6" s="728" t="s">
        <v>3759</v>
      </c>
      <c r="AC6" s="727" t="s">
        <v>317</v>
      </c>
      <c r="AD6" s="727" t="s">
        <v>3648</v>
      </c>
      <c r="AE6" s="727" t="s">
        <v>307</v>
      </c>
      <c r="AF6" s="727" t="s">
        <v>113</v>
      </c>
      <c r="AG6" s="726" t="s">
        <v>3981</v>
      </c>
      <c r="AH6" s="726" t="s">
        <v>3973</v>
      </c>
      <c r="AI6" s="727">
        <v>11</v>
      </c>
      <c r="AJ6" s="747" t="s">
        <v>3982</v>
      </c>
      <c r="AK6" s="755">
        <v>909678</v>
      </c>
      <c r="AL6" s="754">
        <v>481</v>
      </c>
      <c r="AM6" s="755">
        <v>909678</v>
      </c>
      <c r="AN6" s="754">
        <v>482</v>
      </c>
      <c r="AO6" s="776">
        <f t="shared" si="2"/>
        <v>909678</v>
      </c>
      <c r="AP6" s="754">
        <f t="shared" si="1"/>
        <v>483</v>
      </c>
      <c r="AQ6" s="770"/>
      <c r="AR6" s="726" t="s">
        <v>2661</v>
      </c>
      <c r="AS6" s="726" t="s">
        <v>3983</v>
      </c>
      <c r="AT6" s="726">
        <v>4810481</v>
      </c>
      <c r="AU6" s="726" t="s">
        <v>3966</v>
      </c>
      <c r="AV6" s="726" t="s">
        <v>3984</v>
      </c>
      <c r="AW6" s="726">
        <v>4820482</v>
      </c>
    </row>
    <row r="7" spans="1:49">
      <c r="A7" s="736" t="s">
        <v>3608</v>
      </c>
      <c r="B7" s="736" t="s">
        <v>3608</v>
      </c>
      <c r="C7" s="736"/>
      <c r="D7" s="738" t="s">
        <v>3608</v>
      </c>
      <c r="E7" s="738" t="s">
        <v>3608</v>
      </c>
      <c r="F7" s="1059">
        <f>IFERROR(VLOOKUP($A7,'2018'!$A:$BB,3,FALSE),"")</f>
        <v>330831285</v>
      </c>
      <c r="G7" s="1055" t="str">
        <f>IFERROR(VLOOKUP($A7,'2018'!$A:$BB,4,FALSE),"")</f>
        <v xml:space="preserve">11025 N. Torrey Pines Road, Suite 120
La Jolla, CA 92037 </v>
      </c>
      <c r="H7" s="1055" t="str">
        <f>IFERROR(VLOOKUP($A7,'2018'!$A:$BB,5,FALSE),"")</f>
        <v>Lorrie Daggett
(858) 526-2505
lorried@ACTIVX.com</v>
      </c>
      <c r="I7" s="1055" t="str">
        <f>IFERROR(VLOOKUP($A7,'2018'!$A:$BB,6,FALSE),"")</f>
        <v>Lorrie Daggett
(858) 526-2505
lorried@ACTIVX.com</v>
      </c>
      <c r="J7" s="1055" t="str">
        <f>IFERROR(VLOOKUP($A7,'2018'!$A:$BB,7,FALSE),"")</f>
        <v>HUB (San Diego)</v>
      </c>
      <c r="K7" s="1055" t="str">
        <f>IFERROR(VLOOKUP($A7,'2018'!$A:$BB,8,FALSE),"")</f>
        <v>Account Managed by HUB SD Team
Producer - Neal Cook
Service Lead - Lydia Frazer
AR-Jonathan Visano
BA-Ben Hendricks</v>
      </c>
      <c r="L7" s="1062" t="str">
        <f>IFERROR(VLOOKUP($A7,'2018'!$A:$BB,9,FALSE),"")</f>
        <v>Renewal</v>
      </c>
      <c r="M7" s="1067">
        <f>IFERROR(VLOOKUP($A7,'2018'!$A:$BB,10,FALSE),"")</f>
        <v>42736</v>
      </c>
      <c r="N7" s="1062">
        <f>IFERROR(VLOOKUP($A7,'2018'!$A:$BB,12,FALSE),"")</f>
        <v>31</v>
      </c>
      <c r="O7" s="1055" t="str">
        <f>IFERROR(VLOOKUP($A7,'2018'!$A:$BB,13,FALSE),"")</f>
        <v xml:space="preserve">IGOE </v>
      </c>
      <c r="P7" s="1055" t="str">
        <f>IFERROR(VLOOKUP($A7,'2018'!$A:$BB,14,FALSE),"")</f>
        <v xml:space="preserve">Maestro </v>
      </c>
      <c r="Q7" s="1055" t="str">
        <f>IFERROR(VLOOKUP($A7,'2018'!$A:$BB,16,FALSE),"")</f>
        <v>IGOE</v>
      </c>
      <c r="R7" s="1055" t="str">
        <f>IFERROR(VLOOKUP($A7,'2018'!$A:$BB,17,FALSE),"")</f>
        <v>Optum Health</v>
      </c>
      <c r="S7" s="1062" t="str">
        <f>IFERROR(VLOOKUP($A7,'2018'!$A:$BB,20,FALSE),"")</f>
        <v>SCAL</v>
      </c>
      <c r="T7" s="1062" t="str">
        <f>IFERROR(VLOOKUP($A7,'2018'!$A:$BB,21,FALSE),"")</f>
        <v>Group B (34-44)</v>
      </c>
      <c r="U7" s="1062" t="str">
        <f>IFERROR(VLOOKUP($A7,'2018'!$A:$BB,22,FALSE),"")</f>
        <v>Expanded</v>
      </c>
      <c r="V7" s="1062" t="str">
        <f>IFERROR(VLOOKUP($A7,'2018'!$A:$BB,23,FALSE),"")</f>
        <v>Advantage</v>
      </c>
      <c r="W7" s="1062" t="str">
        <f>IFERROR(VLOOKUP($A7,'2018'!$A:$BB,24,FALSE),"")</f>
        <v>No</v>
      </c>
      <c r="X7" s="1062" t="str">
        <f>IFERROR(VLOOKUP($A7,'2018'!$A:$BB,41,FALSE),"")</f>
        <v>Region 1</v>
      </c>
      <c r="Y7" s="1062" t="str">
        <f>IFERROR(VLOOKUP($A7,'2018'!$A:$BB,42,FALSE),"")</f>
        <v>(25-49)</v>
      </c>
      <c r="Z7" s="1062" t="str">
        <f>IFERROR(VLOOKUP($A7,'2018'!$A:$BB,45,FALSE),"")</f>
        <v>(50-99)</v>
      </c>
      <c r="AA7" s="731">
        <v>2018</v>
      </c>
      <c r="AB7" s="733" t="s">
        <v>3759</v>
      </c>
      <c r="AC7" s="734" t="s">
        <v>317</v>
      </c>
      <c r="AD7" s="734" t="s">
        <v>3648</v>
      </c>
      <c r="AE7" s="734" t="s">
        <v>307</v>
      </c>
      <c r="AF7" s="734" t="s">
        <v>113</v>
      </c>
      <c r="AG7" s="732" t="s">
        <v>3981</v>
      </c>
      <c r="AH7" s="732" t="s">
        <v>3977</v>
      </c>
      <c r="AI7" s="734">
        <v>16</v>
      </c>
      <c r="AJ7" s="748" t="s">
        <v>3985</v>
      </c>
      <c r="AK7" s="755">
        <v>909678</v>
      </c>
      <c r="AL7" s="756">
        <v>733</v>
      </c>
      <c r="AM7" s="755">
        <v>909678</v>
      </c>
      <c r="AN7" s="756">
        <v>734</v>
      </c>
      <c r="AO7" s="776">
        <f t="shared" si="2"/>
        <v>909678</v>
      </c>
      <c r="AP7" s="754">
        <f t="shared" si="1"/>
        <v>735</v>
      </c>
      <c r="AQ7" s="771" t="s">
        <v>3979</v>
      </c>
      <c r="AR7" s="732" t="s">
        <v>2661</v>
      </c>
      <c r="AS7" s="735"/>
      <c r="AT7" s="735"/>
      <c r="AU7" s="732" t="s">
        <v>3980</v>
      </c>
      <c r="AV7" s="735"/>
      <c r="AW7" s="735"/>
    </row>
    <row r="8" spans="1:49">
      <c r="A8" s="738"/>
      <c r="B8" s="738"/>
      <c r="C8" s="738"/>
      <c r="D8" s="738"/>
      <c r="E8" s="738"/>
      <c r="F8" s="1059" t="str">
        <f>IFERROR(VLOOKUP($A8,'2018'!$A:$BB,3,FALSE),"")</f>
        <v/>
      </c>
      <c r="G8" s="1055" t="str">
        <f>IFERROR(VLOOKUP($A8,'2018'!$A:$BB,4,FALSE),"")</f>
        <v/>
      </c>
      <c r="H8" s="1055" t="str">
        <f>IFERROR(VLOOKUP($A8,'2018'!$A:$BB,5,FALSE),"")</f>
        <v/>
      </c>
      <c r="I8" s="1055" t="str">
        <f>IFERROR(VLOOKUP($A8,'2018'!$A:$BB,6,FALSE),"")</f>
        <v/>
      </c>
      <c r="J8" s="1055" t="str">
        <f>IFERROR(VLOOKUP($A8,'2018'!$A:$BB,7,FALSE),"")</f>
        <v/>
      </c>
      <c r="K8" s="1055" t="str">
        <f>IFERROR(VLOOKUP($A8,'2018'!$A:$BB,8,FALSE),"")</f>
        <v/>
      </c>
      <c r="L8" s="1062" t="str">
        <f>IFERROR(VLOOKUP($A8,'2018'!$A:$BB,9,FALSE),"")</f>
        <v/>
      </c>
      <c r="M8" s="1067" t="str">
        <f>IFERROR(VLOOKUP($A8,'2018'!$A:$BB,10,FALSE),"")</f>
        <v/>
      </c>
      <c r="N8" s="1062" t="str">
        <f>IFERROR(VLOOKUP($A8,'2018'!$A:$BB,12,FALSE),"")</f>
        <v/>
      </c>
      <c r="O8" s="1055" t="str">
        <f>IFERROR(VLOOKUP($A8,'2018'!$A:$BB,13,FALSE),"")</f>
        <v/>
      </c>
      <c r="P8" s="1055" t="str">
        <f>IFERROR(VLOOKUP($A8,'2018'!$A:$BB,14,FALSE),"")</f>
        <v/>
      </c>
      <c r="Q8" s="1055" t="str">
        <f>IFERROR(VLOOKUP($A8,'2018'!$A:$BB,16,FALSE),"")</f>
        <v/>
      </c>
      <c r="R8" s="1055" t="str">
        <f>IFERROR(VLOOKUP($A8,'2018'!$A:$BB,17,FALSE),"")</f>
        <v/>
      </c>
      <c r="S8" s="1062" t="str">
        <f>IFERROR(VLOOKUP($A8,'2018'!$A:$BB,20,FALSE),"")</f>
        <v/>
      </c>
      <c r="T8" s="1062" t="str">
        <f>IFERROR(VLOOKUP($A8,'2018'!$A:$BB,21,FALSE),"")</f>
        <v/>
      </c>
      <c r="U8" s="1062" t="str">
        <f>IFERROR(VLOOKUP($A8,'2018'!$A:$BB,22,FALSE),"")</f>
        <v/>
      </c>
      <c r="V8" s="1062" t="str">
        <f>IFERROR(VLOOKUP($A8,'2018'!$A:$BB,23,FALSE),"")</f>
        <v/>
      </c>
      <c r="W8" s="1062" t="str">
        <f>IFERROR(VLOOKUP($A8,'2018'!$A:$BB,24,FALSE),"")</f>
        <v/>
      </c>
      <c r="X8" s="1062" t="str">
        <f>IFERROR(VLOOKUP($A8,'2018'!$A:$BB,41,FALSE),"")</f>
        <v/>
      </c>
      <c r="Y8" s="1062" t="str">
        <f>IFERROR(VLOOKUP($A8,'2018'!$A:$BB,42,FALSE),"")</f>
        <v/>
      </c>
      <c r="Z8" s="1062" t="str">
        <f>IFERROR(VLOOKUP($A8,'2018'!$A:$BB,45,FALSE),"")</f>
        <v/>
      </c>
      <c r="AA8" s="727"/>
      <c r="AB8" s="728"/>
      <c r="AC8" s="727"/>
      <c r="AD8" s="727"/>
      <c r="AE8" s="727"/>
      <c r="AF8" s="727"/>
      <c r="AG8" s="726"/>
      <c r="AH8" s="726"/>
      <c r="AI8" s="727"/>
      <c r="AJ8" s="747"/>
      <c r="AK8" s="753"/>
      <c r="AL8" s="754"/>
      <c r="AM8" s="753"/>
      <c r="AN8" s="754"/>
      <c r="AO8" s="776"/>
      <c r="AP8" s="754"/>
      <c r="AQ8" s="770"/>
      <c r="AR8" s="726"/>
      <c r="AS8" s="726"/>
      <c r="AT8" s="726"/>
      <c r="AU8" s="726"/>
      <c r="AV8" s="726"/>
      <c r="AW8" s="726"/>
    </row>
    <row r="9" spans="1:49">
      <c r="A9" s="738" t="s">
        <v>70</v>
      </c>
      <c r="B9" s="738" t="s">
        <v>70</v>
      </c>
      <c r="C9" s="738"/>
      <c r="D9" s="738" t="s">
        <v>4175</v>
      </c>
      <c r="E9" s="738" t="s">
        <v>4175</v>
      </c>
      <c r="F9" s="1059">
        <f>IFERROR(VLOOKUP($A9,'2018'!$A:$BB,3,FALSE),"")</f>
        <v>330886301</v>
      </c>
      <c r="G9" s="1055" t="str">
        <f>IFERROR(VLOOKUP($A9,'2018'!$A:$BB,4,FALSE),"")</f>
        <v xml:space="preserve">2237 Faraday Ave 
Suite 100 
Carlsbad, CA 92008 </v>
      </c>
      <c r="H9" s="1055" t="str">
        <f>IFERROR(VLOOKUP($A9,'2018'!$A:$BB,5,FALSE),"")</f>
        <v xml:space="preserve">Lynne Krauss
(760) 752-0009 x 6038
Lkrauss@b-alert.com </v>
      </c>
      <c r="I9" s="1055" t="str">
        <f>IFERROR(VLOOKUP($A9,'2018'!$A:$BB,6,FALSE),"")</f>
        <v xml:space="preserve">Lynne Krauss
(760) 752-0009 x 6038
Lkrauss@b-alert.com </v>
      </c>
      <c r="J9" s="1055" t="str">
        <f>IFERROR(VLOOKUP($A9,'2018'!$A:$BB,7,FALSE),"")</f>
        <v>HUB</v>
      </c>
      <c r="K9" s="1055" t="str">
        <f>IFERROR(VLOOKUP($A9,'2018'!$A:$BB,8,FALSE),"")</f>
        <v>Account Managed by HUB Team
Producer - Kevin Lewis-Grenz
Service Lead - Amy Decker
Note: Does not use MBC (have their own call center)</v>
      </c>
      <c r="L9" s="1062" t="str">
        <f>IFERROR(VLOOKUP($A9,'2018'!$A:$BB,9,FALSE),"")</f>
        <v>Renewal</v>
      </c>
      <c r="M9" s="1067">
        <f>IFERROR(VLOOKUP($A9,'2018'!$A:$BB,10,FALSE),"")</f>
        <v>42705</v>
      </c>
      <c r="N9" s="1062">
        <f>IFERROR(VLOOKUP($A9,'2018'!$A:$BB,12,FALSE),"")</f>
        <v>25</v>
      </c>
      <c r="O9" s="1055" t="str">
        <f>IFERROR(VLOOKUP($A9,'2018'!$A:$BB,13,FALSE),"")</f>
        <v xml:space="preserve">IGOE </v>
      </c>
      <c r="P9" s="1055" t="str">
        <f>IFERROR(VLOOKUP($A9,'2018'!$A:$BB,14,FALSE),"")</f>
        <v xml:space="preserve">Maestro </v>
      </c>
      <c r="Q9" s="1055" t="str">
        <f>IFERROR(VLOOKUP($A9,'2018'!$A:$BB,16,FALSE),"")</f>
        <v>N/A</v>
      </c>
      <c r="R9" s="1055" t="str">
        <f>IFERROR(VLOOKUP($A9,'2018'!$A:$BB,17,FALSE),"")</f>
        <v>Optum Health</v>
      </c>
      <c r="S9" s="1062" t="str">
        <f>IFERROR(VLOOKUP($A9,'2018'!$A:$BB,20,FALSE),"")</f>
        <v>SCAL</v>
      </c>
      <c r="T9" s="1062" t="str">
        <f>IFERROR(VLOOKUP($A9,'2018'!$A:$BB,21,FALSE),"")</f>
        <v>Group B (34-44)</v>
      </c>
      <c r="U9" s="1062" t="str">
        <f>IFERROR(VLOOKUP($A9,'2018'!$A:$BB,22,FALSE),"")</f>
        <v>Expanded</v>
      </c>
      <c r="V9" s="1062" t="str">
        <f>IFERROR(VLOOKUP($A9,'2018'!$A:$BB,23,FALSE),"")</f>
        <v>Advantage</v>
      </c>
      <c r="W9" s="1062" t="str">
        <f>IFERROR(VLOOKUP($A9,'2018'!$A:$BB,24,FALSE),"")</f>
        <v>No</v>
      </c>
      <c r="X9" s="1062" t="str">
        <f>IFERROR(VLOOKUP($A9,'2018'!$A:$BB,41,FALSE),"")</f>
        <v>Region 3</v>
      </c>
      <c r="Y9" s="1062" t="str">
        <f>IFERROR(VLOOKUP($A9,'2018'!$A:$BB,42,FALSE),"")</f>
        <v xml:space="preserve"> (25-49)</v>
      </c>
      <c r="Z9" s="1062" t="str">
        <f>IFERROR(VLOOKUP($A9,'2018'!$A:$BB,45,FALSE),"")</f>
        <v xml:space="preserve"> (2-49)</v>
      </c>
      <c r="AA9" s="730">
        <v>2018</v>
      </c>
      <c r="AB9" s="728" t="s">
        <v>3763</v>
      </c>
      <c r="AC9" s="727" t="s">
        <v>317</v>
      </c>
      <c r="AD9" s="727" t="s">
        <v>3648</v>
      </c>
      <c r="AE9" s="727" t="s">
        <v>307</v>
      </c>
      <c r="AF9" s="727" t="s">
        <v>113</v>
      </c>
      <c r="AG9" s="726" t="s">
        <v>3986</v>
      </c>
      <c r="AH9" s="726" t="s">
        <v>3968</v>
      </c>
      <c r="AI9" s="727">
        <v>10</v>
      </c>
      <c r="AJ9" s="747" t="s">
        <v>3987</v>
      </c>
      <c r="AK9" s="753">
        <v>260209</v>
      </c>
      <c r="AL9" s="754">
        <v>310</v>
      </c>
      <c r="AM9" s="753">
        <v>260210</v>
      </c>
      <c r="AN9" s="754">
        <v>311</v>
      </c>
      <c r="AO9" s="776">
        <f t="shared" si="0"/>
        <v>260211</v>
      </c>
      <c r="AP9" s="754">
        <f t="shared" si="1"/>
        <v>312</v>
      </c>
      <c r="AQ9" s="770"/>
      <c r="AR9" s="726" t="s">
        <v>2661</v>
      </c>
      <c r="AS9" s="726" t="s">
        <v>3988</v>
      </c>
      <c r="AT9" s="726">
        <v>3100310</v>
      </c>
      <c r="AU9" s="726" t="s">
        <v>3966</v>
      </c>
      <c r="AV9" s="726" t="s">
        <v>3989</v>
      </c>
      <c r="AW9" s="726">
        <v>3110311</v>
      </c>
    </row>
    <row r="10" spans="1:49">
      <c r="A10" s="738" t="s">
        <v>70</v>
      </c>
      <c r="B10" s="738" t="s">
        <v>70</v>
      </c>
      <c r="C10" s="738"/>
      <c r="D10" s="738" t="s">
        <v>4175</v>
      </c>
      <c r="E10" s="738" t="s">
        <v>4175</v>
      </c>
      <c r="F10" s="1059">
        <f>IFERROR(VLOOKUP($A10,'2018'!$A:$BB,3,FALSE),"")</f>
        <v>330886301</v>
      </c>
      <c r="G10" s="1055" t="str">
        <f>IFERROR(VLOOKUP($A10,'2018'!$A:$BB,4,FALSE),"")</f>
        <v xml:space="preserve">2237 Faraday Ave 
Suite 100 
Carlsbad, CA 92008 </v>
      </c>
      <c r="H10" s="1055" t="str">
        <f>IFERROR(VLOOKUP($A10,'2018'!$A:$BB,5,FALSE),"")</f>
        <v xml:space="preserve">Lynne Krauss
(760) 752-0009 x 6038
Lkrauss@b-alert.com </v>
      </c>
      <c r="I10" s="1055" t="str">
        <f>IFERROR(VLOOKUP($A10,'2018'!$A:$BB,6,FALSE),"")</f>
        <v xml:space="preserve">Lynne Krauss
(760) 752-0009 x 6038
Lkrauss@b-alert.com </v>
      </c>
      <c r="J10" s="1055" t="str">
        <f>IFERROR(VLOOKUP($A10,'2018'!$A:$BB,7,FALSE),"")</f>
        <v>HUB</v>
      </c>
      <c r="K10" s="1055" t="str">
        <f>IFERROR(VLOOKUP($A10,'2018'!$A:$BB,8,FALSE),"")</f>
        <v>Account Managed by HUB Team
Producer - Kevin Lewis-Grenz
Service Lead - Amy Decker
Note: Does not use MBC (have their own call center)</v>
      </c>
      <c r="L10" s="1062" t="str">
        <f>IFERROR(VLOOKUP($A10,'2018'!$A:$BB,9,FALSE),"")</f>
        <v>Renewal</v>
      </c>
      <c r="M10" s="1067">
        <f>IFERROR(VLOOKUP($A10,'2018'!$A:$BB,10,FALSE),"")</f>
        <v>42705</v>
      </c>
      <c r="N10" s="1062">
        <f>IFERROR(VLOOKUP($A10,'2018'!$A:$BB,12,FALSE),"")</f>
        <v>25</v>
      </c>
      <c r="O10" s="1055" t="str">
        <f>IFERROR(VLOOKUP($A10,'2018'!$A:$BB,13,FALSE),"")</f>
        <v xml:space="preserve">IGOE </v>
      </c>
      <c r="P10" s="1055" t="str">
        <f>IFERROR(VLOOKUP($A10,'2018'!$A:$BB,14,FALSE),"")</f>
        <v xml:space="preserve">Maestro </v>
      </c>
      <c r="Q10" s="1055" t="str">
        <f>IFERROR(VLOOKUP($A10,'2018'!$A:$BB,16,FALSE),"")</f>
        <v>N/A</v>
      </c>
      <c r="R10" s="1055" t="str">
        <f>IFERROR(VLOOKUP($A10,'2018'!$A:$BB,17,FALSE),"")</f>
        <v>Optum Health</v>
      </c>
      <c r="S10" s="1062" t="str">
        <f>IFERROR(VLOOKUP($A10,'2018'!$A:$BB,20,FALSE),"")</f>
        <v>SCAL</v>
      </c>
      <c r="T10" s="1062" t="str">
        <f>IFERROR(VLOOKUP($A10,'2018'!$A:$BB,21,FALSE),"")</f>
        <v>Group B (34-44)</v>
      </c>
      <c r="U10" s="1062" t="str">
        <f>IFERROR(VLOOKUP($A10,'2018'!$A:$BB,22,FALSE),"")</f>
        <v>Expanded</v>
      </c>
      <c r="V10" s="1062" t="str">
        <f>IFERROR(VLOOKUP($A10,'2018'!$A:$BB,23,FALSE),"")</f>
        <v>Advantage</v>
      </c>
      <c r="W10" s="1062" t="str">
        <f>IFERROR(VLOOKUP($A10,'2018'!$A:$BB,24,FALSE),"")</f>
        <v>No</v>
      </c>
      <c r="X10" s="1062" t="str">
        <f>IFERROR(VLOOKUP($A10,'2018'!$A:$BB,41,FALSE),"")</f>
        <v>Region 3</v>
      </c>
      <c r="Y10" s="1062" t="str">
        <f>IFERROR(VLOOKUP($A10,'2018'!$A:$BB,42,FALSE),"")</f>
        <v xml:space="preserve"> (25-49)</v>
      </c>
      <c r="Z10" s="1062" t="str">
        <f>IFERROR(VLOOKUP($A10,'2018'!$A:$BB,45,FALSE),"")</f>
        <v xml:space="preserve"> (2-49)</v>
      </c>
      <c r="AA10" s="730">
        <v>2018</v>
      </c>
      <c r="AB10" s="728" t="s">
        <v>3763</v>
      </c>
      <c r="AC10" s="727" t="s">
        <v>317</v>
      </c>
      <c r="AD10" s="727" t="s">
        <v>3648</v>
      </c>
      <c r="AE10" s="727" t="s">
        <v>307</v>
      </c>
      <c r="AF10" s="727" t="s">
        <v>113</v>
      </c>
      <c r="AG10" s="726" t="s">
        <v>3981</v>
      </c>
      <c r="AH10" s="726" t="s">
        <v>3973</v>
      </c>
      <c r="AI10" s="727">
        <v>11</v>
      </c>
      <c r="AJ10" s="747" t="s">
        <v>3982</v>
      </c>
      <c r="AK10" s="755">
        <v>909678</v>
      </c>
      <c r="AL10" s="754">
        <v>481</v>
      </c>
      <c r="AM10" s="755">
        <v>909678</v>
      </c>
      <c r="AN10" s="754">
        <v>482</v>
      </c>
      <c r="AO10" s="776">
        <f t="shared" ref="AO10:AO11" si="3">AM10</f>
        <v>909678</v>
      </c>
      <c r="AP10" s="754">
        <f t="shared" si="1"/>
        <v>483</v>
      </c>
      <c r="AQ10" s="770"/>
      <c r="AR10" s="726" t="s">
        <v>2661</v>
      </c>
      <c r="AS10" s="726" t="s">
        <v>3983</v>
      </c>
      <c r="AT10" s="726">
        <v>4810481</v>
      </c>
      <c r="AU10" s="726" t="s">
        <v>3966</v>
      </c>
      <c r="AV10" s="726" t="s">
        <v>3990</v>
      </c>
      <c r="AW10" s="726">
        <v>4820482</v>
      </c>
    </row>
    <row r="11" spans="1:49">
      <c r="A11" s="736" t="s">
        <v>70</v>
      </c>
      <c r="B11" s="736" t="s">
        <v>70</v>
      </c>
      <c r="C11" s="736"/>
      <c r="D11" s="736" t="s">
        <v>4175</v>
      </c>
      <c r="E11" s="736" t="s">
        <v>4175</v>
      </c>
      <c r="F11" s="1059">
        <f>IFERROR(VLOOKUP($A11,'2018'!$A:$BB,3,FALSE),"")</f>
        <v>330886301</v>
      </c>
      <c r="G11" s="1055" t="str">
        <f>IFERROR(VLOOKUP($A11,'2018'!$A:$BB,4,FALSE),"")</f>
        <v xml:space="preserve">2237 Faraday Ave 
Suite 100 
Carlsbad, CA 92008 </v>
      </c>
      <c r="H11" s="1055" t="str">
        <f>IFERROR(VLOOKUP($A11,'2018'!$A:$BB,5,FALSE),"")</f>
        <v xml:space="preserve">Lynne Krauss
(760) 752-0009 x 6038
Lkrauss@b-alert.com </v>
      </c>
      <c r="I11" s="1055" t="str">
        <f>IFERROR(VLOOKUP($A11,'2018'!$A:$BB,6,FALSE),"")</f>
        <v xml:space="preserve">Lynne Krauss
(760) 752-0009 x 6038
Lkrauss@b-alert.com </v>
      </c>
      <c r="J11" s="1055" t="str">
        <f>IFERROR(VLOOKUP($A11,'2018'!$A:$BB,7,FALSE),"")</f>
        <v>HUB</v>
      </c>
      <c r="K11" s="1055" t="str">
        <f>IFERROR(VLOOKUP($A11,'2018'!$A:$BB,8,FALSE),"")</f>
        <v>Account Managed by HUB Team
Producer - Kevin Lewis-Grenz
Service Lead - Amy Decker
Note: Does not use MBC (have their own call center)</v>
      </c>
      <c r="L11" s="1062" t="str">
        <f>IFERROR(VLOOKUP($A11,'2018'!$A:$BB,9,FALSE),"")</f>
        <v>Renewal</v>
      </c>
      <c r="M11" s="1067">
        <f>IFERROR(VLOOKUP($A11,'2018'!$A:$BB,10,FALSE),"")</f>
        <v>42705</v>
      </c>
      <c r="N11" s="1062">
        <f>IFERROR(VLOOKUP($A11,'2018'!$A:$BB,12,FALSE),"")</f>
        <v>25</v>
      </c>
      <c r="O11" s="1055" t="str">
        <f>IFERROR(VLOOKUP($A11,'2018'!$A:$BB,13,FALSE),"")</f>
        <v xml:space="preserve">IGOE </v>
      </c>
      <c r="P11" s="1055" t="str">
        <f>IFERROR(VLOOKUP($A11,'2018'!$A:$BB,14,FALSE),"")</f>
        <v xml:space="preserve">Maestro </v>
      </c>
      <c r="Q11" s="1055" t="str">
        <f>IFERROR(VLOOKUP($A11,'2018'!$A:$BB,16,FALSE),"")</f>
        <v>N/A</v>
      </c>
      <c r="R11" s="1055" t="str">
        <f>IFERROR(VLOOKUP($A11,'2018'!$A:$BB,17,FALSE),"")</f>
        <v>Optum Health</v>
      </c>
      <c r="S11" s="1062" t="str">
        <f>IFERROR(VLOOKUP($A11,'2018'!$A:$BB,20,FALSE),"")</f>
        <v>SCAL</v>
      </c>
      <c r="T11" s="1062" t="str">
        <f>IFERROR(VLOOKUP($A11,'2018'!$A:$BB,21,FALSE),"")</f>
        <v>Group B (34-44)</v>
      </c>
      <c r="U11" s="1062" t="str">
        <f>IFERROR(VLOOKUP($A11,'2018'!$A:$BB,22,FALSE),"")</f>
        <v>Expanded</v>
      </c>
      <c r="V11" s="1062" t="str">
        <f>IFERROR(VLOOKUP($A11,'2018'!$A:$BB,23,FALSE),"")</f>
        <v>Advantage</v>
      </c>
      <c r="W11" s="1062" t="str">
        <f>IFERROR(VLOOKUP($A11,'2018'!$A:$BB,24,FALSE),"")</f>
        <v>No</v>
      </c>
      <c r="X11" s="1062" t="str">
        <f>IFERROR(VLOOKUP($A11,'2018'!$A:$BB,41,FALSE),"")</f>
        <v>Region 3</v>
      </c>
      <c r="Y11" s="1062" t="str">
        <f>IFERROR(VLOOKUP($A11,'2018'!$A:$BB,42,FALSE),"")</f>
        <v xml:space="preserve"> (25-49)</v>
      </c>
      <c r="Z11" s="1062" t="str">
        <f>IFERROR(VLOOKUP($A11,'2018'!$A:$BB,45,FALSE),"")</f>
        <v xml:space="preserve"> (2-49)</v>
      </c>
      <c r="AA11" s="731">
        <v>2018</v>
      </c>
      <c r="AB11" s="733" t="s">
        <v>3763</v>
      </c>
      <c r="AC11" s="734" t="s">
        <v>317</v>
      </c>
      <c r="AD11" s="734" t="s">
        <v>3648</v>
      </c>
      <c r="AE11" s="734" t="s">
        <v>307</v>
      </c>
      <c r="AF11" s="734" t="s">
        <v>113</v>
      </c>
      <c r="AG11" s="732" t="s">
        <v>3981</v>
      </c>
      <c r="AH11" s="732" t="s">
        <v>3977</v>
      </c>
      <c r="AI11" s="734">
        <v>16</v>
      </c>
      <c r="AJ11" s="748" t="s">
        <v>3985</v>
      </c>
      <c r="AK11" s="755">
        <v>909678</v>
      </c>
      <c r="AL11" s="756">
        <v>733</v>
      </c>
      <c r="AM11" s="755">
        <v>909678</v>
      </c>
      <c r="AN11" s="756">
        <v>734</v>
      </c>
      <c r="AO11" s="776">
        <f t="shared" si="3"/>
        <v>909678</v>
      </c>
      <c r="AP11" s="754">
        <f t="shared" si="1"/>
        <v>735</v>
      </c>
      <c r="AQ11" s="771" t="s">
        <v>3979</v>
      </c>
      <c r="AR11" s="732" t="s">
        <v>2661</v>
      </c>
      <c r="AS11" s="735"/>
      <c r="AT11" s="735"/>
      <c r="AU11" s="732" t="s">
        <v>3980</v>
      </c>
      <c r="AV11" s="735"/>
      <c r="AW11" s="735"/>
    </row>
    <row r="12" spans="1:49">
      <c r="A12" s="738"/>
      <c r="B12" s="738"/>
      <c r="C12" s="738"/>
      <c r="D12" s="738"/>
      <c r="E12" s="738"/>
      <c r="F12" s="1059" t="str">
        <f>IFERROR(VLOOKUP($A12,'2018'!$A:$BB,3,FALSE),"")</f>
        <v/>
      </c>
      <c r="G12" s="1055" t="str">
        <f>IFERROR(VLOOKUP($A12,'2018'!$A:$BB,4,FALSE),"")</f>
        <v/>
      </c>
      <c r="H12" s="1055" t="str">
        <f>IFERROR(VLOOKUP($A12,'2018'!$A:$BB,5,FALSE),"")</f>
        <v/>
      </c>
      <c r="I12" s="1055" t="str">
        <f>IFERROR(VLOOKUP($A12,'2018'!$A:$BB,6,FALSE),"")</f>
        <v/>
      </c>
      <c r="J12" s="1055" t="str">
        <f>IFERROR(VLOOKUP($A12,'2018'!$A:$BB,7,FALSE),"")</f>
        <v/>
      </c>
      <c r="K12" s="1055" t="str">
        <f>IFERROR(VLOOKUP($A12,'2018'!$A:$BB,8,FALSE),"")</f>
        <v/>
      </c>
      <c r="L12" s="1062" t="str">
        <f>IFERROR(VLOOKUP($A12,'2018'!$A:$BB,9,FALSE),"")</f>
        <v/>
      </c>
      <c r="M12" s="1067" t="str">
        <f>IFERROR(VLOOKUP($A12,'2018'!$A:$BB,10,FALSE),"")</f>
        <v/>
      </c>
      <c r="N12" s="1062" t="str">
        <f>IFERROR(VLOOKUP($A12,'2018'!$A:$BB,12,FALSE),"")</f>
        <v/>
      </c>
      <c r="O12" s="1055" t="str">
        <f>IFERROR(VLOOKUP($A12,'2018'!$A:$BB,13,FALSE),"")</f>
        <v/>
      </c>
      <c r="P12" s="1055" t="str">
        <f>IFERROR(VLOOKUP($A12,'2018'!$A:$BB,14,FALSE),"")</f>
        <v/>
      </c>
      <c r="Q12" s="1055" t="str">
        <f>IFERROR(VLOOKUP($A12,'2018'!$A:$BB,16,FALSE),"")</f>
        <v/>
      </c>
      <c r="R12" s="1055" t="str">
        <f>IFERROR(VLOOKUP($A12,'2018'!$A:$BB,17,FALSE),"")</f>
        <v/>
      </c>
      <c r="S12" s="1062" t="str">
        <f>IFERROR(VLOOKUP($A12,'2018'!$A:$BB,20,FALSE),"")</f>
        <v/>
      </c>
      <c r="T12" s="1062" t="str">
        <f>IFERROR(VLOOKUP($A12,'2018'!$A:$BB,21,FALSE),"")</f>
        <v/>
      </c>
      <c r="U12" s="1062" t="str">
        <f>IFERROR(VLOOKUP($A12,'2018'!$A:$BB,22,FALSE),"")</f>
        <v/>
      </c>
      <c r="V12" s="1062" t="str">
        <f>IFERROR(VLOOKUP($A12,'2018'!$A:$BB,23,FALSE),"")</f>
        <v/>
      </c>
      <c r="W12" s="1062" t="str">
        <f>IFERROR(VLOOKUP($A12,'2018'!$A:$BB,24,FALSE),"")</f>
        <v/>
      </c>
      <c r="X12" s="1062" t="str">
        <f>IFERROR(VLOOKUP($A12,'2018'!$A:$BB,41,FALSE),"")</f>
        <v/>
      </c>
      <c r="Y12" s="1062" t="str">
        <f>IFERROR(VLOOKUP($A12,'2018'!$A:$BB,42,FALSE),"")</f>
        <v/>
      </c>
      <c r="Z12" s="1062" t="str">
        <f>IFERROR(VLOOKUP($A12,'2018'!$A:$BB,45,FALSE),"")</f>
        <v/>
      </c>
      <c r="AA12" s="727"/>
      <c r="AB12" s="728"/>
      <c r="AC12" s="727"/>
      <c r="AD12" s="727"/>
      <c r="AE12" s="727"/>
      <c r="AF12" s="727"/>
      <c r="AG12" s="726"/>
      <c r="AH12" s="726"/>
      <c r="AI12" s="727"/>
      <c r="AJ12" s="747"/>
      <c r="AK12" s="753"/>
      <c r="AL12" s="754"/>
      <c r="AM12" s="753"/>
      <c r="AN12" s="754"/>
      <c r="AO12" s="776"/>
      <c r="AP12" s="754"/>
      <c r="AQ12" s="770"/>
      <c r="AR12" s="726"/>
      <c r="AS12" s="726"/>
      <c r="AT12" s="726"/>
      <c r="AU12" s="726"/>
      <c r="AV12" s="726"/>
      <c r="AW12" s="726"/>
    </row>
    <row r="13" spans="1:49">
      <c r="A13" s="736" t="s">
        <v>4321</v>
      </c>
      <c r="B13" s="736" t="s">
        <v>4321</v>
      </c>
      <c r="C13" s="736"/>
      <c r="D13" s="736"/>
      <c r="E13" s="736"/>
      <c r="F13" s="1059">
        <f>IFERROR(VLOOKUP($A13,'2018'!$A:$BB,3,FALSE),"")</f>
        <v>824724808</v>
      </c>
      <c r="G13" s="1055" t="str">
        <f>IFERROR(VLOOKUP($A13,'2018'!$A:$BB,4,FALSE),"")</f>
        <v>156 2nd Avenue
San Francisco, CA 94118
*Quoted under Provided Zip: 94080 (and Address will be changing again soon)</v>
      </c>
      <c r="H13" s="1055" t="str">
        <f>IFERROR(VLOOKUP($A13,'2018'!$A:$BB,5,FALSE),"")</f>
        <v>Bharath Kumandan
917-603-0493
bkumandan@aligos.com</v>
      </c>
      <c r="I13" s="1055" t="str">
        <f>IFERROR(VLOOKUP($A13,'2018'!$A:$BB,6,FALSE),"")</f>
        <v>Bharath Kumandan
917-603-0493
bkumandan@aligos.com</v>
      </c>
      <c r="J13" s="1055" t="str">
        <f>IFERROR(VLOOKUP($A13,'2018'!$A:$BB,7,FALSE),"")</f>
        <v>ABD</v>
      </c>
      <c r="K13" s="1055" t="str">
        <f>IFERROR(VLOOKUP($A13,'2018'!$A:$BB,8,FALSE),"")</f>
        <v xml:space="preserve">Account Managed by ABD Team
Mark Anderson
Mark.Anderson@theabdteam.com
Angie Lopez
angie.lopez@theabdteam.com </v>
      </c>
      <c r="L13" s="1062" t="str">
        <f>IFERROR(VLOOKUP($A13,'2018'!$A:$BB,9,FALSE),"")</f>
        <v>New</v>
      </c>
      <c r="M13" s="1067">
        <f>IFERROR(VLOOKUP($A13,'2018'!$A:$BB,10,FALSE),"")</f>
        <v>43191</v>
      </c>
      <c r="N13" s="1062">
        <f>IFERROR(VLOOKUP($A13,'2018'!$A:$BB,12,FALSE),"")</f>
        <v>5</v>
      </c>
      <c r="O13" s="1055" t="str">
        <f>IFERROR(VLOOKUP($A13,'2018'!$A:$BB,13,FALSE),"")</f>
        <v xml:space="preserve">IGOE </v>
      </c>
      <c r="P13" s="1055" t="str">
        <f>IFERROR(VLOOKUP($A13,'2018'!$A:$BB,14,FALSE),"")</f>
        <v>Maestro</v>
      </c>
      <c r="Q13" s="1055" t="str">
        <f>IFERROR(VLOOKUP($A13,'2018'!$A:$BB,16,FALSE),"")</f>
        <v>N/A</v>
      </c>
      <c r="R13" s="1055" t="str">
        <f>IFERROR(VLOOKUP($A13,'2018'!$A:$BB,17,FALSE),"")</f>
        <v>Optum Health</v>
      </c>
      <c r="S13" s="1062" t="str">
        <f>IFERROR(VLOOKUP($A13,'2018'!$A:$BB,20,FALSE),"")</f>
        <v>NCAL</v>
      </c>
      <c r="T13" s="1062" t="str">
        <f>IFERROR(VLOOKUP($A13,'2018'!$A:$BB,21,FALSE),"")</f>
        <v>Group C (44-54)</v>
      </c>
      <c r="U13" s="1062" t="str">
        <f>IFERROR(VLOOKUP($A13,'2018'!$A:$BB,22,FALSE),"")</f>
        <v>Expanded</v>
      </c>
      <c r="V13" s="1062" t="str">
        <f>IFERROR(VLOOKUP($A13,'2018'!$A:$BB,23,FALSE),"")</f>
        <v>Advantage</v>
      </c>
      <c r="W13" s="1062" t="str">
        <f>IFERROR(VLOOKUP($A13,'2018'!$A:$BB,24,FALSE),"")</f>
        <v>No</v>
      </c>
      <c r="X13" s="1062" t="str">
        <f>IFERROR(VLOOKUP($A13,'2018'!$A:$BB,41,FALSE),"")</f>
        <v>Region 3</v>
      </c>
      <c r="Y13" s="1062" t="str">
        <f>IFERROR(VLOOKUP($A13,'2018'!$A:$BB,42,FALSE),"")</f>
        <v>(2-9)</v>
      </c>
      <c r="Z13" s="1062" t="str">
        <f>IFERROR(VLOOKUP($A13,'2018'!$A:$BB,45,FALSE),"")</f>
        <v>(2-49)</v>
      </c>
      <c r="AA13" s="731">
        <v>2018</v>
      </c>
      <c r="AB13" s="1020" t="s">
        <v>4344</v>
      </c>
      <c r="AC13" s="734" t="s">
        <v>303</v>
      </c>
      <c r="AD13" s="734" t="s">
        <v>3656</v>
      </c>
      <c r="AE13" s="734" t="s">
        <v>307</v>
      </c>
      <c r="AF13" s="734" t="s">
        <v>113</v>
      </c>
      <c r="AG13" s="732" t="s">
        <v>3972</v>
      </c>
      <c r="AH13" s="732" t="s">
        <v>4096</v>
      </c>
      <c r="AI13" s="734">
        <v>7</v>
      </c>
      <c r="AJ13" s="748" t="s">
        <v>4001</v>
      </c>
      <c r="AK13" s="763">
        <v>909678</v>
      </c>
      <c r="AL13" s="754">
        <v>328</v>
      </c>
      <c r="AM13" s="755">
        <v>909678</v>
      </c>
      <c r="AN13" s="754">
        <v>329</v>
      </c>
      <c r="AO13" s="776">
        <f t="shared" ref="AO13:AO16" si="4">AM13</f>
        <v>909678</v>
      </c>
      <c r="AP13" s="754">
        <f t="shared" si="1"/>
        <v>330</v>
      </c>
      <c r="AQ13" s="771"/>
      <c r="AR13" s="732" t="s">
        <v>2661</v>
      </c>
      <c r="AS13" s="732" t="s">
        <v>4120</v>
      </c>
      <c r="AT13" s="732">
        <v>3280328</v>
      </c>
      <c r="AU13" s="732" t="s">
        <v>3966</v>
      </c>
      <c r="AV13" s="732" t="s">
        <v>4026</v>
      </c>
      <c r="AW13" s="726">
        <v>3290329</v>
      </c>
    </row>
    <row r="14" spans="1:49">
      <c r="A14" s="736" t="s">
        <v>4321</v>
      </c>
      <c r="B14" s="736" t="s">
        <v>4321</v>
      </c>
      <c r="C14" s="736"/>
      <c r="D14" s="736"/>
      <c r="E14" s="736"/>
      <c r="F14" s="1059">
        <f>IFERROR(VLOOKUP($A14,'2018'!$A:$BB,3,FALSE),"")</f>
        <v>824724808</v>
      </c>
      <c r="G14" s="1055" t="str">
        <f>IFERROR(VLOOKUP($A14,'2018'!$A:$BB,4,FALSE),"")</f>
        <v>156 2nd Avenue
San Francisco, CA 94118
*Quoted under Provided Zip: 94080 (and Address will be changing again soon)</v>
      </c>
      <c r="H14" s="1055" t="str">
        <f>IFERROR(VLOOKUP($A14,'2018'!$A:$BB,5,FALSE),"")</f>
        <v>Bharath Kumandan
917-603-0493
bkumandan@aligos.com</v>
      </c>
      <c r="I14" s="1055" t="str">
        <f>IFERROR(VLOOKUP($A14,'2018'!$A:$BB,6,FALSE),"")</f>
        <v>Bharath Kumandan
917-603-0493
bkumandan@aligos.com</v>
      </c>
      <c r="J14" s="1055" t="str">
        <f>IFERROR(VLOOKUP($A14,'2018'!$A:$BB,7,FALSE),"")</f>
        <v>ABD</v>
      </c>
      <c r="K14" s="1055" t="str">
        <f>IFERROR(VLOOKUP($A14,'2018'!$A:$BB,8,FALSE),"")</f>
        <v xml:space="preserve">Account Managed by ABD Team
Mark Anderson
Mark.Anderson@theabdteam.com
Angie Lopez
angie.lopez@theabdteam.com </v>
      </c>
      <c r="L14" s="1062" t="str">
        <f>IFERROR(VLOOKUP($A14,'2018'!$A:$BB,9,FALSE),"")</f>
        <v>New</v>
      </c>
      <c r="M14" s="1067">
        <f>IFERROR(VLOOKUP($A14,'2018'!$A:$BB,10,FALSE),"")</f>
        <v>43191</v>
      </c>
      <c r="N14" s="1062">
        <f>IFERROR(VLOOKUP($A14,'2018'!$A:$BB,12,FALSE),"")</f>
        <v>5</v>
      </c>
      <c r="O14" s="1055" t="str">
        <f>IFERROR(VLOOKUP($A14,'2018'!$A:$BB,13,FALSE),"")</f>
        <v xml:space="preserve">IGOE </v>
      </c>
      <c r="P14" s="1055" t="str">
        <f>IFERROR(VLOOKUP($A14,'2018'!$A:$BB,14,FALSE),"")</f>
        <v>Maestro</v>
      </c>
      <c r="Q14" s="1055" t="str">
        <f>IFERROR(VLOOKUP($A14,'2018'!$A:$BB,16,FALSE),"")</f>
        <v>N/A</v>
      </c>
      <c r="R14" s="1055" t="str">
        <f>IFERROR(VLOOKUP($A14,'2018'!$A:$BB,17,FALSE),"")</f>
        <v>Optum Health</v>
      </c>
      <c r="S14" s="1062" t="str">
        <f>IFERROR(VLOOKUP($A14,'2018'!$A:$BB,20,FALSE),"")</f>
        <v>NCAL</v>
      </c>
      <c r="T14" s="1062" t="str">
        <f>IFERROR(VLOOKUP($A14,'2018'!$A:$BB,21,FALSE),"")</f>
        <v>Group C (44-54)</v>
      </c>
      <c r="U14" s="1062" t="str">
        <f>IFERROR(VLOOKUP($A14,'2018'!$A:$BB,22,FALSE),"")</f>
        <v>Expanded</v>
      </c>
      <c r="V14" s="1062" t="str">
        <f>IFERROR(VLOOKUP($A14,'2018'!$A:$BB,23,FALSE),"")</f>
        <v>Advantage</v>
      </c>
      <c r="W14" s="1062" t="str">
        <f>IFERROR(VLOOKUP($A14,'2018'!$A:$BB,24,FALSE),"")</f>
        <v>No</v>
      </c>
      <c r="X14" s="1062" t="str">
        <f>IFERROR(VLOOKUP($A14,'2018'!$A:$BB,41,FALSE),"")</f>
        <v>Region 3</v>
      </c>
      <c r="Y14" s="1062" t="str">
        <f>IFERROR(VLOOKUP($A14,'2018'!$A:$BB,42,FALSE),"")</f>
        <v>(2-9)</v>
      </c>
      <c r="Z14" s="1062" t="str">
        <f>IFERROR(VLOOKUP($A14,'2018'!$A:$BB,45,FALSE),"")</f>
        <v>(2-49)</v>
      </c>
      <c r="AA14" s="731">
        <v>2018</v>
      </c>
      <c r="AB14" s="1020" t="s">
        <v>4344</v>
      </c>
      <c r="AC14" s="734" t="s">
        <v>303</v>
      </c>
      <c r="AD14" s="734" t="s">
        <v>3656</v>
      </c>
      <c r="AE14" s="734" t="s">
        <v>307</v>
      </c>
      <c r="AF14" s="734" t="s">
        <v>113</v>
      </c>
      <c r="AG14" s="732" t="s">
        <v>3972</v>
      </c>
      <c r="AH14" s="732" t="s">
        <v>4099</v>
      </c>
      <c r="AI14" s="734">
        <v>13</v>
      </c>
      <c r="AJ14" s="748" t="s">
        <v>4004</v>
      </c>
      <c r="AK14" s="763">
        <v>909678</v>
      </c>
      <c r="AL14" s="756">
        <v>580</v>
      </c>
      <c r="AM14" s="755">
        <v>909678</v>
      </c>
      <c r="AN14" s="756">
        <v>581</v>
      </c>
      <c r="AO14" s="776">
        <f t="shared" si="4"/>
        <v>909678</v>
      </c>
      <c r="AP14" s="754">
        <f t="shared" si="1"/>
        <v>582</v>
      </c>
      <c r="AQ14" s="771"/>
      <c r="AR14" s="732" t="s">
        <v>2661</v>
      </c>
      <c r="AS14" s="735"/>
      <c r="AT14" s="735"/>
      <c r="AU14" s="732" t="s">
        <v>3980</v>
      </c>
      <c r="AV14" s="735"/>
      <c r="AW14" s="735"/>
    </row>
    <row r="15" spans="1:49">
      <c r="A15" s="736" t="s">
        <v>4321</v>
      </c>
      <c r="B15" s="736" t="s">
        <v>4321</v>
      </c>
      <c r="C15" s="736"/>
      <c r="D15" s="736"/>
      <c r="E15" s="736"/>
      <c r="F15" s="1059">
        <f>IFERROR(VLOOKUP($A15,'2018'!$A:$BB,3,FALSE),"")</f>
        <v>824724808</v>
      </c>
      <c r="G15" s="1055" t="str">
        <f>IFERROR(VLOOKUP($A15,'2018'!$A:$BB,4,FALSE),"")</f>
        <v>156 2nd Avenue
San Francisco, CA 94118
*Quoted under Provided Zip: 94080 (and Address will be changing again soon)</v>
      </c>
      <c r="H15" s="1055" t="str">
        <f>IFERROR(VLOOKUP($A15,'2018'!$A:$BB,5,FALSE),"")</f>
        <v>Bharath Kumandan
917-603-0493
bkumandan@aligos.com</v>
      </c>
      <c r="I15" s="1055" t="str">
        <f>IFERROR(VLOOKUP($A15,'2018'!$A:$BB,6,FALSE),"")</f>
        <v>Bharath Kumandan
917-603-0493
bkumandan@aligos.com</v>
      </c>
      <c r="J15" s="1055" t="str">
        <f>IFERROR(VLOOKUP($A15,'2018'!$A:$BB,7,FALSE),"")</f>
        <v>ABD</v>
      </c>
      <c r="K15" s="1055" t="str">
        <f>IFERROR(VLOOKUP($A15,'2018'!$A:$BB,8,FALSE),"")</f>
        <v xml:space="preserve">Account Managed by ABD Team
Mark Anderson
Mark.Anderson@theabdteam.com
Angie Lopez
angie.lopez@theabdteam.com </v>
      </c>
      <c r="L15" s="1062" t="str">
        <f>IFERROR(VLOOKUP($A15,'2018'!$A:$BB,9,FALSE),"")</f>
        <v>New</v>
      </c>
      <c r="M15" s="1067">
        <f>IFERROR(VLOOKUP($A15,'2018'!$A:$BB,10,FALSE),"")</f>
        <v>43191</v>
      </c>
      <c r="N15" s="1062">
        <f>IFERROR(VLOOKUP($A15,'2018'!$A:$BB,12,FALSE),"")</f>
        <v>5</v>
      </c>
      <c r="O15" s="1055" t="str">
        <f>IFERROR(VLOOKUP($A15,'2018'!$A:$BB,13,FALSE),"")</f>
        <v xml:space="preserve">IGOE </v>
      </c>
      <c r="P15" s="1055" t="str">
        <f>IFERROR(VLOOKUP($A15,'2018'!$A:$BB,14,FALSE),"")</f>
        <v>Maestro</v>
      </c>
      <c r="Q15" s="1055" t="str">
        <f>IFERROR(VLOOKUP($A15,'2018'!$A:$BB,16,FALSE),"")</f>
        <v>N/A</v>
      </c>
      <c r="R15" s="1055" t="str">
        <f>IFERROR(VLOOKUP($A15,'2018'!$A:$BB,17,FALSE),"")</f>
        <v>Optum Health</v>
      </c>
      <c r="S15" s="1062" t="str">
        <f>IFERROR(VLOOKUP($A15,'2018'!$A:$BB,20,FALSE),"")</f>
        <v>NCAL</v>
      </c>
      <c r="T15" s="1062" t="str">
        <f>IFERROR(VLOOKUP($A15,'2018'!$A:$BB,21,FALSE),"")</f>
        <v>Group C (44-54)</v>
      </c>
      <c r="U15" s="1062" t="str">
        <f>IFERROR(VLOOKUP($A15,'2018'!$A:$BB,22,FALSE),"")</f>
        <v>Expanded</v>
      </c>
      <c r="V15" s="1062" t="str">
        <f>IFERROR(VLOOKUP($A15,'2018'!$A:$BB,23,FALSE),"")</f>
        <v>Advantage</v>
      </c>
      <c r="W15" s="1062" t="str">
        <f>IFERROR(VLOOKUP($A15,'2018'!$A:$BB,24,FALSE),"")</f>
        <v>No</v>
      </c>
      <c r="X15" s="1062" t="str">
        <f>IFERROR(VLOOKUP($A15,'2018'!$A:$BB,41,FALSE),"")</f>
        <v>Region 3</v>
      </c>
      <c r="Y15" s="1062" t="str">
        <f>IFERROR(VLOOKUP($A15,'2018'!$A:$BB,42,FALSE),"")</f>
        <v>(2-9)</v>
      </c>
      <c r="Z15" s="1062" t="str">
        <f>IFERROR(VLOOKUP($A15,'2018'!$A:$BB,45,FALSE),"")</f>
        <v>(2-49)</v>
      </c>
      <c r="AA15" s="731">
        <v>2018</v>
      </c>
      <c r="AB15" s="1020" t="s">
        <v>4344</v>
      </c>
      <c r="AC15" s="734" t="s">
        <v>303</v>
      </c>
      <c r="AD15" s="734" t="s">
        <v>3656</v>
      </c>
      <c r="AE15" s="734" t="s">
        <v>307</v>
      </c>
      <c r="AF15" s="734" t="s">
        <v>113</v>
      </c>
      <c r="AG15" s="732" t="s">
        <v>3981</v>
      </c>
      <c r="AH15" s="732" t="s">
        <v>3973</v>
      </c>
      <c r="AI15" s="734">
        <v>11</v>
      </c>
      <c r="AJ15" s="748" t="s">
        <v>3982</v>
      </c>
      <c r="AK15" s="763">
        <v>909678</v>
      </c>
      <c r="AL15" s="754">
        <v>472</v>
      </c>
      <c r="AM15" s="755">
        <v>909678</v>
      </c>
      <c r="AN15" s="754">
        <v>473</v>
      </c>
      <c r="AO15" s="776">
        <f t="shared" si="4"/>
        <v>909678</v>
      </c>
      <c r="AP15" s="754">
        <f t="shared" si="1"/>
        <v>474</v>
      </c>
      <c r="AQ15" s="771"/>
      <c r="AR15" s="732" t="s">
        <v>2661</v>
      </c>
      <c r="AS15" s="732" t="s">
        <v>4121</v>
      </c>
      <c r="AT15" s="732">
        <v>4720472</v>
      </c>
      <c r="AU15" s="732" t="s">
        <v>3966</v>
      </c>
      <c r="AV15" s="732" t="s">
        <v>4122</v>
      </c>
      <c r="AW15" s="726">
        <v>4730473</v>
      </c>
    </row>
    <row r="16" spans="1:49">
      <c r="A16" s="736" t="s">
        <v>4321</v>
      </c>
      <c r="B16" s="736" t="s">
        <v>4321</v>
      </c>
      <c r="C16" s="736"/>
      <c r="D16" s="736"/>
      <c r="E16" s="736"/>
      <c r="F16" s="1059">
        <f>IFERROR(VLOOKUP($A16,'2018'!$A:$BB,3,FALSE),"")</f>
        <v>824724808</v>
      </c>
      <c r="G16" s="1055" t="str">
        <f>IFERROR(VLOOKUP($A16,'2018'!$A:$BB,4,FALSE),"")</f>
        <v>156 2nd Avenue
San Francisco, CA 94118
*Quoted under Provided Zip: 94080 (and Address will be changing again soon)</v>
      </c>
      <c r="H16" s="1055" t="str">
        <f>IFERROR(VLOOKUP($A16,'2018'!$A:$BB,5,FALSE),"")</f>
        <v>Bharath Kumandan
917-603-0493
bkumandan@aligos.com</v>
      </c>
      <c r="I16" s="1055" t="str">
        <f>IFERROR(VLOOKUP($A16,'2018'!$A:$BB,6,FALSE),"")</f>
        <v>Bharath Kumandan
917-603-0493
bkumandan@aligos.com</v>
      </c>
      <c r="J16" s="1055" t="str">
        <f>IFERROR(VLOOKUP($A16,'2018'!$A:$BB,7,FALSE),"")</f>
        <v>ABD</v>
      </c>
      <c r="K16" s="1055" t="str">
        <f>IFERROR(VLOOKUP($A16,'2018'!$A:$BB,8,FALSE),"")</f>
        <v xml:space="preserve">Account Managed by ABD Team
Mark Anderson
Mark.Anderson@theabdteam.com
Angie Lopez
angie.lopez@theabdteam.com </v>
      </c>
      <c r="L16" s="1062" t="str">
        <f>IFERROR(VLOOKUP($A16,'2018'!$A:$BB,9,FALSE),"")</f>
        <v>New</v>
      </c>
      <c r="M16" s="1067">
        <f>IFERROR(VLOOKUP($A16,'2018'!$A:$BB,10,FALSE),"")</f>
        <v>43191</v>
      </c>
      <c r="N16" s="1062">
        <f>IFERROR(VLOOKUP($A16,'2018'!$A:$BB,12,FALSE),"")</f>
        <v>5</v>
      </c>
      <c r="O16" s="1055" t="str">
        <f>IFERROR(VLOOKUP($A16,'2018'!$A:$BB,13,FALSE),"")</f>
        <v xml:space="preserve">IGOE </v>
      </c>
      <c r="P16" s="1055" t="str">
        <f>IFERROR(VLOOKUP($A16,'2018'!$A:$BB,14,FALSE),"")</f>
        <v>Maestro</v>
      </c>
      <c r="Q16" s="1055" t="str">
        <f>IFERROR(VLOOKUP($A16,'2018'!$A:$BB,16,FALSE),"")</f>
        <v>N/A</v>
      </c>
      <c r="R16" s="1055" t="str">
        <f>IFERROR(VLOOKUP($A16,'2018'!$A:$BB,17,FALSE),"")</f>
        <v>Optum Health</v>
      </c>
      <c r="S16" s="1062" t="str">
        <f>IFERROR(VLOOKUP($A16,'2018'!$A:$BB,20,FALSE),"")</f>
        <v>NCAL</v>
      </c>
      <c r="T16" s="1062" t="str">
        <f>IFERROR(VLOOKUP($A16,'2018'!$A:$BB,21,FALSE),"")</f>
        <v>Group C (44-54)</v>
      </c>
      <c r="U16" s="1062" t="str">
        <f>IFERROR(VLOOKUP($A16,'2018'!$A:$BB,22,FALSE),"")</f>
        <v>Expanded</v>
      </c>
      <c r="V16" s="1062" t="str">
        <f>IFERROR(VLOOKUP($A16,'2018'!$A:$BB,23,FALSE),"")</f>
        <v>Advantage</v>
      </c>
      <c r="W16" s="1062" t="str">
        <f>IFERROR(VLOOKUP($A16,'2018'!$A:$BB,24,FALSE),"")</f>
        <v>No</v>
      </c>
      <c r="X16" s="1062" t="str">
        <f>IFERROR(VLOOKUP($A16,'2018'!$A:$BB,41,FALSE),"")</f>
        <v>Region 3</v>
      </c>
      <c r="Y16" s="1062" t="str">
        <f>IFERROR(VLOOKUP($A16,'2018'!$A:$BB,42,FALSE),"")</f>
        <v>(2-9)</v>
      </c>
      <c r="Z16" s="1062" t="str">
        <f>IFERROR(VLOOKUP($A16,'2018'!$A:$BB,45,FALSE),"")</f>
        <v>(2-49)</v>
      </c>
      <c r="AA16" s="731">
        <v>2018</v>
      </c>
      <c r="AB16" s="1020" t="s">
        <v>4344</v>
      </c>
      <c r="AC16" s="734" t="s">
        <v>303</v>
      </c>
      <c r="AD16" s="734" t="s">
        <v>3656</v>
      </c>
      <c r="AE16" s="734" t="s">
        <v>307</v>
      </c>
      <c r="AF16" s="734" t="s">
        <v>113</v>
      </c>
      <c r="AG16" s="732" t="s">
        <v>3981</v>
      </c>
      <c r="AH16" s="732" t="s">
        <v>3977</v>
      </c>
      <c r="AI16" s="734">
        <v>16</v>
      </c>
      <c r="AJ16" s="748" t="s">
        <v>3985</v>
      </c>
      <c r="AK16" s="763">
        <v>909678</v>
      </c>
      <c r="AL16" s="756">
        <v>724</v>
      </c>
      <c r="AM16" s="755">
        <v>909678</v>
      </c>
      <c r="AN16" s="756">
        <v>725</v>
      </c>
      <c r="AO16" s="776">
        <f t="shared" si="4"/>
        <v>909678</v>
      </c>
      <c r="AP16" s="754">
        <f t="shared" si="1"/>
        <v>726</v>
      </c>
      <c r="AQ16" s="771"/>
      <c r="AR16" s="732" t="s">
        <v>2661</v>
      </c>
      <c r="AS16" s="735"/>
      <c r="AT16" s="735"/>
      <c r="AU16" s="732" t="s">
        <v>3980</v>
      </c>
      <c r="AV16" s="735"/>
      <c r="AW16" s="735"/>
    </row>
    <row r="17" spans="1:49">
      <c r="A17" s="738"/>
      <c r="B17" s="738"/>
      <c r="C17" s="738"/>
      <c r="D17" s="738"/>
      <c r="E17" s="738"/>
      <c r="F17" s="1059" t="str">
        <f>IFERROR(VLOOKUP($A17,'2018'!$A:$BB,3,FALSE),"")</f>
        <v/>
      </c>
      <c r="G17" s="1055" t="str">
        <f>IFERROR(VLOOKUP($A17,'2018'!$A:$BB,4,FALSE),"")</f>
        <v/>
      </c>
      <c r="H17" s="1055" t="str">
        <f>IFERROR(VLOOKUP($A17,'2018'!$A:$BB,5,FALSE),"")</f>
        <v/>
      </c>
      <c r="I17" s="1055" t="str">
        <f>IFERROR(VLOOKUP($A17,'2018'!$A:$BB,6,FALSE),"")</f>
        <v/>
      </c>
      <c r="J17" s="1055" t="str">
        <f>IFERROR(VLOOKUP($A17,'2018'!$A:$BB,7,FALSE),"")</f>
        <v/>
      </c>
      <c r="K17" s="1055" t="str">
        <f>IFERROR(VLOOKUP($A17,'2018'!$A:$BB,8,FALSE),"")</f>
        <v/>
      </c>
      <c r="L17" s="1062" t="str">
        <f>IFERROR(VLOOKUP($A17,'2018'!$A:$BB,9,FALSE),"")</f>
        <v/>
      </c>
      <c r="M17" s="1067" t="str">
        <f>IFERROR(VLOOKUP($A17,'2018'!$A:$BB,10,FALSE),"")</f>
        <v/>
      </c>
      <c r="N17" s="1062" t="str">
        <f>IFERROR(VLOOKUP($A17,'2018'!$A:$BB,12,FALSE),"")</f>
        <v/>
      </c>
      <c r="O17" s="1055" t="str">
        <f>IFERROR(VLOOKUP($A17,'2018'!$A:$BB,13,FALSE),"")</f>
        <v/>
      </c>
      <c r="P17" s="1055" t="str">
        <f>IFERROR(VLOOKUP($A17,'2018'!$A:$BB,14,FALSE),"")</f>
        <v/>
      </c>
      <c r="Q17" s="1055" t="str">
        <f>IFERROR(VLOOKUP($A17,'2018'!$A:$BB,16,FALSE),"")</f>
        <v/>
      </c>
      <c r="R17" s="1055" t="str">
        <f>IFERROR(VLOOKUP($A17,'2018'!$A:$BB,17,FALSE),"")</f>
        <v/>
      </c>
      <c r="S17" s="1062" t="str">
        <f>IFERROR(VLOOKUP($A17,'2018'!$A:$BB,20,FALSE),"")</f>
        <v/>
      </c>
      <c r="T17" s="1062" t="str">
        <f>IFERROR(VLOOKUP($A17,'2018'!$A:$BB,21,FALSE),"")</f>
        <v/>
      </c>
      <c r="U17" s="1062" t="str">
        <f>IFERROR(VLOOKUP($A17,'2018'!$A:$BB,22,FALSE),"")</f>
        <v/>
      </c>
      <c r="V17" s="1062" t="str">
        <f>IFERROR(VLOOKUP($A17,'2018'!$A:$BB,23,FALSE),"")</f>
        <v/>
      </c>
      <c r="W17" s="1062" t="str">
        <f>IFERROR(VLOOKUP($A17,'2018'!$A:$BB,24,FALSE),"")</f>
        <v/>
      </c>
      <c r="X17" s="1062" t="str">
        <f>IFERROR(VLOOKUP($A17,'2018'!$A:$BB,41,FALSE),"")</f>
        <v/>
      </c>
      <c r="Y17" s="1062" t="str">
        <f>IFERROR(VLOOKUP($A17,'2018'!$A:$BB,42,FALSE),"")</f>
        <v/>
      </c>
      <c r="Z17" s="1062" t="str">
        <f>IFERROR(VLOOKUP($A17,'2018'!$A:$BB,45,FALSE),"")</f>
        <v/>
      </c>
      <c r="AA17" s="727"/>
      <c r="AB17" s="728"/>
      <c r="AC17" s="727"/>
      <c r="AD17" s="727"/>
      <c r="AE17" s="727"/>
      <c r="AF17" s="727"/>
      <c r="AG17" s="726"/>
      <c r="AH17" s="726"/>
      <c r="AI17" s="727"/>
      <c r="AJ17" s="747"/>
      <c r="AK17" s="753"/>
      <c r="AL17" s="754"/>
      <c r="AM17" s="753"/>
      <c r="AN17" s="754"/>
      <c r="AO17" s="776"/>
      <c r="AP17" s="754"/>
      <c r="AQ17" s="770"/>
      <c r="AR17" s="726"/>
      <c r="AS17" s="726"/>
      <c r="AT17" s="726"/>
      <c r="AU17" s="726"/>
      <c r="AV17" s="726"/>
      <c r="AW17" s="726"/>
    </row>
    <row r="18" spans="1:49">
      <c r="A18" s="738" t="s">
        <v>1271</v>
      </c>
      <c r="B18" s="738" t="s">
        <v>3991</v>
      </c>
      <c r="C18" s="738"/>
      <c r="D18" s="738"/>
      <c r="E18" s="738"/>
      <c r="F18" s="1059">
        <f>IFERROR(VLOOKUP($A18,'2018'!$A:$BB,3,FALSE),"")</f>
        <v>412179246</v>
      </c>
      <c r="G18" s="1055" t="str">
        <f>IFERROR(VLOOKUP($A18,'2018'!$A:$BB,4,FALSE),"")</f>
        <v>48438 Milmont Drive
Freemont, CA 94538</v>
      </c>
      <c r="H18" s="1055" t="str">
        <f>IFERROR(VLOOKUP($A18,'2018'!$A:$BB,5,FALSE),"")</f>
        <v>Heidi Remsberg
510-270-5882
hremsberg@alterg.com</v>
      </c>
      <c r="I18" s="1055" t="str">
        <f>IFERROR(VLOOKUP($A18,'2018'!$A:$BB,6,FALSE),"")</f>
        <v>Bryan Cass
510.270.5903
bcass@alterg.com</v>
      </c>
      <c r="J18" s="1055" t="str">
        <f>IFERROR(VLOOKUP($A18,'2018'!$A:$BB,7,FALSE),"")</f>
        <v>ABD</v>
      </c>
      <c r="K18" s="1055" t="str">
        <f>IFERROR(VLOOKUP($A18,'2018'!$A:$BB,8,FALSE),"")</f>
        <v xml:space="preserve">Account Managed by ABD Team
Mark Anderson
Mark.Anderson@theabdteam.com
Angie Lopez
angie.lopez@theabdteam.com </v>
      </c>
      <c r="L18" s="1062" t="str">
        <f>IFERROR(VLOOKUP($A18,'2018'!$A:$BB,9,FALSE),"")</f>
        <v>New</v>
      </c>
      <c r="M18" s="1067">
        <f>IFERROR(VLOOKUP($A18,'2018'!$A:$BB,10,FALSE),"")</f>
        <v>43101</v>
      </c>
      <c r="N18" s="1062">
        <f>IFERROR(VLOOKUP($A18,'2018'!$A:$BB,12,FALSE),"")</f>
        <v>57</v>
      </c>
      <c r="O18" s="1055" t="str">
        <f>IFERROR(VLOOKUP($A18,'2018'!$A:$BB,13,FALSE),"")</f>
        <v>Navia Benefit Solutions</v>
      </c>
      <c r="P18" s="1055" t="str">
        <f>IFERROR(VLOOKUP($A18,'2018'!$A:$BB,14,FALSE),"")</f>
        <v>Paycom</v>
      </c>
      <c r="Q18" s="1055" t="str">
        <f>IFERROR(VLOOKUP($A18,'2018'!$A:$BB,16,FALSE),"")</f>
        <v>N/A</v>
      </c>
      <c r="R18" s="1055" t="str">
        <f>IFERROR(VLOOKUP($A18,'2018'!$A:$BB,17,FALSE),"")</f>
        <v>Navia Benefit Solutions</v>
      </c>
      <c r="S18" s="1062" t="str">
        <f>IFERROR(VLOOKUP($A18,'2018'!$A:$BB,20,FALSE),"")</f>
        <v>NCAL</v>
      </c>
      <c r="T18" s="1062" t="str">
        <f>IFERROR(VLOOKUP($A18,'2018'!$A:$BB,21,FALSE),"")</f>
        <v>Group A (&lt;34)</v>
      </c>
      <c r="U18" s="1062" t="str">
        <f>IFERROR(VLOOKUP($A18,'2018'!$A:$BB,22,FALSE),"")</f>
        <v>Expanded</v>
      </c>
      <c r="V18" s="1062" t="str">
        <f>IFERROR(VLOOKUP($A18,'2018'!$A:$BB,23,FALSE),"")</f>
        <v>Advantage</v>
      </c>
      <c r="W18" s="1062" t="str">
        <f>IFERROR(VLOOKUP($A18,'2018'!$A:$BB,24,FALSE),"")</f>
        <v>No</v>
      </c>
      <c r="X18" s="1062" t="str">
        <f>IFERROR(VLOOKUP($A18,'2018'!$A:$BB,41,FALSE),"")</f>
        <v>N/A</v>
      </c>
      <c r="Y18" s="1062" t="str">
        <f>IFERROR(VLOOKUP($A18,'2018'!$A:$BB,42,FALSE),"")</f>
        <v>N/A</v>
      </c>
      <c r="Z18" s="1062" t="str">
        <f>IFERROR(VLOOKUP($A18,'2018'!$A:$BB,45,FALSE),"")</f>
        <v>N/A</v>
      </c>
      <c r="AA18" s="730">
        <v>2018</v>
      </c>
      <c r="AB18" s="728" t="s">
        <v>3768</v>
      </c>
      <c r="AC18" s="727" t="s">
        <v>303</v>
      </c>
      <c r="AD18" s="727" t="s">
        <v>3655</v>
      </c>
      <c r="AE18" s="727" t="s">
        <v>307</v>
      </c>
      <c r="AF18" s="727" t="s">
        <v>113</v>
      </c>
      <c r="AG18" s="726" t="s">
        <v>3972</v>
      </c>
      <c r="AH18" s="726" t="s">
        <v>3973</v>
      </c>
      <c r="AI18" s="727">
        <v>8</v>
      </c>
      <c r="AJ18" s="747" t="s">
        <v>3992</v>
      </c>
      <c r="AK18" s="755">
        <v>909678</v>
      </c>
      <c r="AL18" s="754">
        <v>358</v>
      </c>
      <c r="AM18" s="755">
        <v>909678</v>
      </c>
      <c r="AN18" s="754">
        <v>359</v>
      </c>
      <c r="AO18" s="776">
        <f t="shared" ref="AO18:AO21" si="5">AM18</f>
        <v>909678</v>
      </c>
      <c r="AP18" s="754">
        <f t="shared" si="1"/>
        <v>360</v>
      </c>
      <c r="AQ18" s="770"/>
      <c r="AR18" s="726" t="s">
        <v>2661</v>
      </c>
      <c r="AS18" s="726" t="s">
        <v>3993</v>
      </c>
      <c r="AT18" s="726">
        <v>3580358</v>
      </c>
      <c r="AU18" s="726" t="s">
        <v>3980</v>
      </c>
      <c r="AV18" s="726"/>
      <c r="AW18" s="726"/>
    </row>
    <row r="19" spans="1:49">
      <c r="A19" s="738" t="s">
        <v>1271</v>
      </c>
      <c r="B19" s="738" t="s">
        <v>3991</v>
      </c>
      <c r="C19" s="738"/>
      <c r="D19" s="738"/>
      <c r="E19" s="738"/>
      <c r="F19" s="1059">
        <f>IFERROR(VLOOKUP($A19,'2018'!$A:$BB,3,FALSE),"")</f>
        <v>412179246</v>
      </c>
      <c r="G19" s="1055" t="str">
        <f>IFERROR(VLOOKUP($A19,'2018'!$A:$BB,4,FALSE),"")</f>
        <v>48438 Milmont Drive
Freemont, CA 94538</v>
      </c>
      <c r="H19" s="1055" t="str">
        <f>IFERROR(VLOOKUP($A19,'2018'!$A:$BB,5,FALSE),"")</f>
        <v>Heidi Remsberg
510-270-5882
hremsberg@alterg.com</v>
      </c>
      <c r="I19" s="1055" t="str">
        <f>IFERROR(VLOOKUP($A19,'2018'!$A:$BB,6,FALSE),"")</f>
        <v>Bryan Cass
510.270.5903
bcass@alterg.com</v>
      </c>
      <c r="J19" s="1055" t="str">
        <f>IFERROR(VLOOKUP($A19,'2018'!$A:$BB,7,FALSE),"")</f>
        <v>ABD</v>
      </c>
      <c r="K19" s="1055" t="str">
        <f>IFERROR(VLOOKUP($A19,'2018'!$A:$BB,8,FALSE),"")</f>
        <v xml:space="preserve">Account Managed by ABD Team
Mark Anderson
Mark.Anderson@theabdteam.com
Angie Lopez
angie.lopez@theabdteam.com </v>
      </c>
      <c r="L19" s="1062" t="str">
        <f>IFERROR(VLOOKUP($A19,'2018'!$A:$BB,9,FALSE),"")</f>
        <v>New</v>
      </c>
      <c r="M19" s="1067">
        <f>IFERROR(VLOOKUP($A19,'2018'!$A:$BB,10,FALSE),"")</f>
        <v>43101</v>
      </c>
      <c r="N19" s="1062">
        <f>IFERROR(VLOOKUP($A19,'2018'!$A:$BB,12,FALSE),"")</f>
        <v>57</v>
      </c>
      <c r="O19" s="1055" t="str">
        <f>IFERROR(VLOOKUP($A19,'2018'!$A:$BB,13,FALSE),"")</f>
        <v>Navia Benefit Solutions</v>
      </c>
      <c r="P19" s="1055" t="str">
        <f>IFERROR(VLOOKUP($A19,'2018'!$A:$BB,14,FALSE),"")</f>
        <v>Paycom</v>
      </c>
      <c r="Q19" s="1055" t="str">
        <f>IFERROR(VLOOKUP($A19,'2018'!$A:$BB,16,FALSE),"")</f>
        <v>N/A</v>
      </c>
      <c r="R19" s="1055" t="str">
        <f>IFERROR(VLOOKUP($A19,'2018'!$A:$BB,17,FALSE),"")</f>
        <v>Navia Benefit Solutions</v>
      </c>
      <c r="S19" s="1062" t="str">
        <f>IFERROR(VLOOKUP($A19,'2018'!$A:$BB,20,FALSE),"")</f>
        <v>NCAL</v>
      </c>
      <c r="T19" s="1062" t="str">
        <f>IFERROR(VLOOKUP($A19,'2018'!$A:$BB,21,FALSE),"")</f>
        <v>Group A (&lt;34)</v>
      </c>
      <c r="U19" s="1062" t="str">
        <f>IFERROR(VLOOKUP($A19,'2018'!$A:$BB,22,FALSE),"")</f>
        <v>Expanded</v>
      </c>
      <c r="V19" s="1062" t="str">
        <f>IFERROR(VLOOKUP($A19,'2018'!$A:$BB,23,FALSE),"")</f>
        <v>Advantage</v>
      </c>
      <c r="W19" s="1062" t="str">
        <f>IFERROR(VLOOKUP($A19,'2018'!$A:$BB,24,FALSE),"")</f>
        <v>No</v>
      </c>
      <c r="X19" s="1062" t="str">
        <f>IFERROR(VLOOKUP($A19,'2018'!$A:$BB,41,FALSE),"")</f>
        <v>N/A</v>
      </c>
      <c r="Y19" s="1062" t="str">
        <f>IFERROR(VLOOKUP($A19,'2018'!$A:$BB,42,FALSE),"")</f>
        <v>N/A</v>
      </c>
      <c r="Z19" s="1062" t="str">
        <f>IFERROR(VLOOKUP($A19,'2018'!$A:$BB,45,FALSE),"")</f>
        <v>N/A</v>
      </c>
      <c r="AA19" s="730">
        <v>2018</v>
      </c>
      <c r="AB19" s="728" t="s">
        <v>3768</v>
      </c>
      <c r="AC19" s="727" t="s">
        <v>303</v>
      </c>
      <c r="AD19" s="727" t="s">
        <v>3655</v>
      </c>
      <c r="AE19" s="727" t="s">
        <v>307</v>
      </c>
      <c r="AF19" s="727" t="s">
        <v>113</v>
      </c>
      <c r="AG19" s="726" t="s">
        <v>3972</v>
      </c>
      <c r="AH19" s="726" t="s">
        <v>3977</v>
      </c>
      <c r="AI19" s="727">
        <v>14</v>
      </c>
      <c r="AJ19" s="747" t="s">
        <v>3994</v>
      </c>
      <c r="AK19" s="755">
        <v>909678</v>
      </c>
      <c r="AL19" s="754">
        <v>610</v>
      </c>
      <c r="AM19" s="755">
        <v>909678</v>
      </c>
      <c r="AN19" s="754">
        <v>611</v>
      </c>
      <c r="AO19" s="776">
        <f t="shared" si="5"/>
        <v>909678</v>
      </c>
      <c r="AP19" s="754">
        <f t="shared" si="1"/>
        <v>612</v>
      </c>
      <c r="AQ19" s="770"/>
      <c r="AR19" s="726" t="s">
        <v>2661</v>
      </c>
      <c r="AS19" s="726" t="s">
        <v>3995</v>
      </c>
      <c r="AT19" s="726">
        <v>6100610</v>
      </c>
      <c r="AU19" s="726" t="s">
        <v>3980</v>
      </c>
      <c r="AV19" s="726"/>
      <c r="AW19" s="726"/>
    </row>
    <row r="20" spans="1:49">
      <c r="A20" s="738" t="s">
        <v>1271</v>
      </c>
      <c r="B20" s="738" t="s">
        <v>3991</v>
      </c>
      <c r="C20" s="738"/>
      <c r="D20" s="738"/>
      <c r="E20" s="738"/>
      <c r="F20" s="1059">
        <f>IFERROR(VLOOKUP($A20,'2018'!$A:$BB,3,FALSE),"")</f>
        <v>412179246</v>
      </c>
      <c r="G20" s="1055" t="str">
        <f>IFERROR(VLOOKUP($A20,'2018'!$A:$BB,4,FALSE),"")</f>
        <v>48438 Milmont Drive
Freemont, CA 94538</v>
      </c>
      <c r="H20" s="1055" t="str">
        <f>IFERROR(VLOOKUP($A20,'2018'!$A:$BB,5,FALSE),"")</f>
        <v>Heidi Remsberg
510-270-5882
hremsberg@alterg.com</v>
      </c>
      <c r="I20" s="1055" t="str">
        <f>IFERROR(VLOOKUP($A20,'2018'!$A:$BB,6,FALSE),"")</f>
        <v>Bryan Cass
510.270.5903
bcass@alterg.com</v>
      </c>
      <c r="J20" s="1055" t="str">
        <f>IFERROR(VLOOKUP($A20,'2018'!$A:$BB,7,FALSE),"")</f>
        <v>ABD</v>
      </c>
      <c r="K20" s="1055" t="str">
        <f>IFERROR(VLOOKUP($A20,'2018'!$A:$BB,8,FALSE),"")</f>
        <v xml:space="preserve">Account Managed by ABD Team
Mark Anderson
Mark.Anderson@theabdteam.com
Angie Lopez
angie.lopez@theabdteam.com </v>
      </c>
      <c r="L20" s="1062" t="str">
        <f>IFERROR(VLOOKUP($A20,'2018'!$A:$BB,9,FALSE),"")</f>
        <v>New</v>
      </c>
      <c r="M20" s="1067">
        <f>IFERROR(VLOOKUP($A20,'2018'!$A:$BB,10,FALSE),"")</f>
        <v>43101</v>
      </c>
      <c r="N20" s="1062">
        <f>IFERROR(VLOOKUP($A20,'2018'!$A:$BB,12,FALSE),"")</f>
        <v>57</v>
      </c>
      <c r="O20" s="1055" t="str">
        <f>IFERROR(VLOOKUP($A20,'2018'!$A:$BB,13,FALSE),"")</f>
        <v>Navia Benefit Solutions</v>
      </c>
      <c r="P20" s="1055" t="str">
        <f>IFERROR(VLOOKUP($A20,'2018'!$A:$BB,14,FALSE),"")</f>
        <v>Paycom</v>
      </c>
      <c r="Q20" s="1055" t="str">
        <f>IFERROR(VLOOKUP($A20,'2018'!$A:$BB,16,FALSE),"")</f>
        <v>N/A</v>
      </c>
      <c r="R20" s="1055" t="str">
        <f>IFERROR(VLOOKUP($A20,'2018'!$A:$BB,17,FALSE),"")</f>
        <v>Navia Benefit Solutions</v>
      </c>
      <c r="S20" s="1062" t="str">
        <f>IFERROR(VLOOKUP($A20,'2018'!$A:$BB,20,FALSE),"")</f>
        <v>NCAL</v>
      </c>
      <c r="T20" s="1062" t="str">
        <f>IFERROR(VLOOKUP($A20,'2018'!$A:$BB,21,FALSE),"")</f>
        <v>Group A (&lt;34)</v>
      </c>
      <c r="U20" s="1062" t="str">
        <f>IFERROR(VLOOKUP($A20,'2018'!$A:$BB,22,FALSE),"")</f>
        <v>Expanded</v>
      </c>
      <c r="V20" s="1062" t="str">
        <f>IFERROR(VLOOKUP($A20,'2018'!$A:$BB,23,FALSE),"")</f>
        <v>Advantage</v>
      </c>
      <c r="W20" s="1062" t="str">
        <f>IFERROR(VLOOKUP($A20,'2018'!$A:$BB,24,FALSE),"")</f>
        <v>No</v>
      </c>
      <c r="X20" s="1062" t="str">
        <f>IFERROR(VLOOKUP($A20,'2018'!$A:$BB,41,FALSE),"")</f>
        <v>N/A</v>
      </c>
      <c r="Y20" s="1062" t="str">
        <f>IFERROR(VLOOKUP($A20,'2018'!$A:$BB,42,FALSE),"")</f>
        <v>N/A</v>
      </c>
      <c r="Z20" s="1062" t="str">
        <f>IFERROR(VLOOKUP($A20,'2018'!$A:$BB,45,FALSE),"")</f>
        <v>N/A</v>
      </c>
      <c r="AA20" s="730">
        <v>2018</v>
      </c>
      <c r="AB20" s="728" t="s">
        <v>3768</v>
      </c>
      <c r="AC20" s="727" t="s">
        <v>303</v>
      </c>
      <c r="AD20" s="727" t="s">
        <v>3655</v>
      </c>
      <c r="AE20" s="727" t="s">
        <v>307</v>
      </c>
      <c r="AF20" s="727" t="s">
        <v>113</v>
      </c>
      <c r="AG20" s="726" t="s">
        <v>3981</v>
      </c>
      <c r="AH20" s="726" t="s">
        <v>3973</v>
      </c>
      <c r="AI20" s="727">
        <v>11</v>
      </c>
      <c r="AJ20" s="747" t="s">
        <v>3982</v>
      </c>
      <c r="AK20" s="755">
        <v>909678</v>
      </c>
      <c r="AL20" s="754">
        <v>466</v>
      </c>
      <c r="AM20" s="755">
        <v>909678</v>
      </c>
      <c r="AN20" s="754">
        <v>467</v>
      </c>
      <c r="AO20" s="776">
        <f t="shared" si="5"/>
        <v>909678</v>
      </c>
      <c r="AP20" s="754">
        <f t="shared" si="1"/>
        <v>468</v>
      </c>
      <c r="AQ20" s="770"/>
      <c r="AR20" s="726" t="s">
        <v>2661</v>
      </c>
      <c r="AS20" s="726" t="s">
        <v>3996</v>
      </c>
      <c r="AT20" s="726">
        <v>4660466</v>
      </c>
      <c r="AU20" s="726" t="s">
        <v>3980</v>
      </c>
      <c r="AV20" s="726"/>
      <c r="AW20" s="726"/>
    </row>
    <row r="21" spans="1:49">
      <c r="A21" s="738" t="s">
        <v>1271</v>
      </c>
      <c r="B21" s="738" t="s">
        <v>3991</v>
      </c>
      <c r="C21" s="738"/>
      <c r="D21" s="738"/>
      <c r="E21" s="738"/>
      <c r="F21" s="1059">
        <f>IFERROR(VLOOKUP($A21,'2018'!$A:$BB,3,FALSE),"")</f>
        <v>412179246</v>
      </c>
      <c r="G21" s="1055" t="str">
        <f>IFERROR(VLOOKUP($A21,'2018'!$A:$BB,4,FALSE),"")</f>
        <v>48438 Milmont Drive
Freemont, CA 94538</v>
      </c>
      <c r="H21" s="1055" t="str">
        <f>IFERROR(VLOOKUP($A21,'2018'!$A:$BB,5,FALSE),"")</f>
        <v>Heidi Remsberg
510-270-5882
hremsberg@alterg.com</v>
      </c>
      <c r="I21" s="1055" t="str">
        <f>IFERROR(VLOOKUP($A21,'2018'!$A:$BB,6,FALSE),"")</f>
        <v>Bryan Cass
510.270.5903
bcass@alterg.com</v>
      </c>
      <c r="J21" s="1055" t="str">
        <f>IFERROR(VLOOKUP($A21,'2018'!$A:$BB,7,FALSE),"")</f>
        <v>ABD</v>
      </c>
      <c r="K21" s="1055" t="str">
        <f>IFERROR(VLOOKUP($A21,'2018'!$A:$BB,8,FALSE),"")</f>
        <v xml:space="preserve">Account Managed by ABD Team
Mark Anderson
Mark.Anderson@theabdteam.com
Angie Lopez
angie.lopez@theabdteam.com </v>
      </c>
      <c r="L21" s="1062" t="str">
        <f>IFERROR(VLOOKUP($A21,'2018'!$A:$BB,9,FALSE),"")</f>
        <v>New</v>
      </c>
      <c r="M21" s="1067">
        <f>IFERROR(VLOOKUP($A21,'2018'!$A:$BB,10,FALSE),"")</f>
        <v>43101</v>
      </c>
      <c r="N21" s="1062">
        <f>IFERROR(VLOOKUP($A21,'2018'!$A:$BB,12,FALSE),"")</f>
        <v>57</v>
      </c>
      <c r="O21" s="1055" t="str">
        <f>IFERROR(VLOOKUP($A21,'2018'!$A:$BB,13,FALSE),"")</f>
        <v>Navia Benefit Solutions</v>
      </c>
      <c r="P21" s="1055" t="str">
        <f>IFERROR(VLOOKUP($A21,'2018'!$A:$BB,14,FALSE),"")</f>
        <v>Paycom</v>
      </c>
      <c r="Q21" s="1055" t="str">
        <f>IFERROR(VLOOKUP($A21,'2018'!$A:$BB,16,FALSE),"")</f>
        <v>N/A</v>
      </c>
      <c r="R21" s="1055" t="str">
        <f>IFERROR(VLOOKUP($A21,'2018'!$A:$BB,17,FALSE),"")</f>
        <v>Navia Benefit Solutions</v>
      </c>
      <c r="S21" s="1062" t="str">
        <f>IFERROR(VLOOKUP($A21,'2018'!$A:$BB,20,FALSE),"")</f>
        <v>NCAL</v>
      </c>
      <c r="T21" s="1062" t="str">
        <f>IFERROR(VLOOKUP($A21,'2018'!$A:$BB,21,FALSE),"")</f>
        <v>Group A (&lt;34)</v>
      </c>
      <c r="U21" s="1062" t="str">
        <f>IFERROR(VLOOKUP($A21,'2018'!$A:$BB,22,FALSE),"")</f>
        <v>Expanded</v>
      </c>
      <c r="V21" s="1062" t="str">
        <f>IFERROR(VLOOKUP($A21,'2018'!$A:$BB,23,FALSE),"")</f>
        <v>Advantage</v>
      </c>
      <c r="W21" s="1062" t="str">
        <f>IFERROR(VLOOKUP($A21,'2018'!$A:$BB,24,FALSE),"")</f>
        <v>No</v>
      </c>
      <c r="X21" s="1062" t="str">
        <f>IFERROR(VLOOKUP($A21,'2018'!$A:$BB,41,FALSE),"")</f>
        <v>N/A</v>
      </c>
      <c r="Y21" s="1062" t="str">
        <f>IFERROR(VLOOKUP($A21,'2018'!$A:$BB,42,FALSE),"")</f>
        <v>N/A</v>
      </c>
      <c r="Z21" s="1062" t="str">
        <f>IFERROR(VLOOKUP($A21,'2018'!$A:$BB,45,FALSE),"")</f>
        <v>N/A</v>
      </c>
      <c r="AA21" s="730">
        <v>2018</v>
      </c>
      <c r="AB21" s="728" t="s">
        <v>3768</v>
      </c>
      <c r="AC21" s="727" t="s">
        <v>303</v>
      </c>
      <c r="AD21" s="727" t="s">
        <v>3655</v>
      </c>
      <c r="AE21" s="727" t="s">
        <v>307</v>
      </c>
      <c r="AF21" s="727" t="s">
        <v>113</v>
      </c>
      <c r="AG21" s="726" t="s">
        <v>3981</v>
      </c>
      <c r="AH21" s="726" t="s">
        <v>3977</v>
      </c>
      <c r="AI21" s="727">
        <v>16</v>
      </c>
      <c r="AJ21" s="747" t="s">
        <v>3985</v>
      </c>
      <c r="AK21" s="755">
        <v>909678</v>
      </c>
      <c r="AL21" s="754">
        <v>718</v>
      </c>
      <c r="AM21" s="755">
        <v>909678</v>
      </c>
      <c r="AN21" s="754">
        <v>719</v>
      </c>
      <c r="AO21" s="776">
        <f t="shared" si="5"/>
        <v>909678</v>
      </c>
      <c r="AP21" s="754">
        <f t="shared" si="1"/>
        <v>720</v>
      </c>
      <c r="AQ21" s="770"/>
      <c r="AR21" s="726" t="s">
        <v>2661</v>
      </c>
      <c r="AS21" s="726" t="s">
        <v>3997</v>
      </c>
      <c r="AT21" s="726">
        <v>7180718</v>
      </c>
      <c r="AU21" s="726" t="s">
        <v>3980</v>
      </c>
      <c r="AV21" s="726"/>
      <c r="AW21" s="726"/>
    </row>
    <row r="22" spans="1:49">
      <c r="A22" s="738"/>
      <c r="B22" s="738"/>
      <c r="C22" s="738"/>
      <c r="D22" s="738"/>
      <c r="E22" s="738"/>
      <c r="F22" s="1059" t="str">
        <f>IFERROR(VLOOKUP($A22,'2018'!$A:$BB,3,FALSE),"")</f>
        <v/>
      </c>
      <c r="G22" s="1055" t="str">
        <f>IFERROR(VLOOKUP($A22,'2018'!$A:$BB,4,FALSE),"")</f>
        <v/>
      </c>
      <c r="H22" s="1055" t="str">
        <f>IFERROR(VLOOKUP($A22,'2018'!$A:$BB,5,FALSE),"")</f>
        <v/>
      </c>
      <c r="I22" s="1055" t="str">
        <f>IFERROR(VLOOKUP($A22,'2018'!$A:$BB,6,FALSE),"")</f>
        <v/>
      </c>
      <c r="J22" s="1055" t="str">
        <f>IFERROR(VLOOKUP($A22,'2018'!$A:$BB,7,FALSE),"")</f>
        <v/>
      </c>
      <c r="K22" s="1055" t="str">
        <f>IFERROR(VLOOKUP($A22,'2018'!$A:$BB,8,FALSE),"")</f>
        <v/>
      </c>
      <c r="L22" s="1062" t="str">
        <f>IFERROR(VLOOKUP($A22,'2018'!$A:$BB,9,FALSE),"")</f>
        <v/>
      </c>
      <c r="M22" s="1067" t="str">
        <f>IFERROR(VLOOKUP($A22,'2018'!$A:$BB,10,FALSE),"")</f>
        <v/>
      </c>
      <c r="N22" s="1062" t="str">
        <f>IFERROR(VLOOKUP($A22,'2018'!$A:$BB,12,FALSE),"")</f>
        <v/>
      </c>
      <c r="O22" s="1055" t="str">
        <f>IFERROR(VLOOKUP($A22,'2018'!$A:$BB,13,FALSE),"")</f>
        <v/>
      </c>
      <c r="P22" s="1055" t="str">
        <f>IFERROR(VLOOKUP($A22,'2018'!$A:$BB,14,FALSE),"")</f>
        <v/>
      </c>
      <c r="Q22" s="1055" t="str">
        <f>IFERROR(VLOOKUP($A22,'2018'!$A:$BB,16,FALSE),"")</f>
        <v/>
      </c>
      <c r="R22" s="1055" t="str">
        <f>IFERROR(VLOOKUP($A22,'2018'!$A:$BB,17,FALSE),"")</f>
        <v/>
      </c>
      <c r="S22" s="1062" t="str">
        <f>IFERROR(VLOOKUP($A22,'2018'!$A:$BB,20,FALSE),"")</f>
        <v/>
      </c>
      <c r="T22" s="1062" t="str">
        <f>IFERROR(VLOOKUP($A22,'2018'!$A:$BB,21,FALSE),"")</f>
        <v/>
      </c>
      <c r="U22" s="1062" t="str">
        <f>IFERROR(VLOOKUP($A22,'2018'!$A:$BB,22,FALSE),"")</f>
        <v/>
      </c>
      <c r="V22" s="1062" t="str">
        <f>IFERROR(VLOOKUP($A22,'2018'!$A:$BB,23,FALSE),"")</f>
        <v/>
      </c>
      <c r="W22" s="1062" t="str">
        <f>IFERROR(VLOOKUP($A22,'2018'!$A:$BB,24,FALSE),"")</f>
        <v/>
      </c>
      <c r="X22" s="1062" t="str">
        <f>IFERROR(VLOOKUP($A22,'2018'!$A:$BB,41,FALSE),"")</f>
        <v/>
      </c>
      <c r="Y22" s="1062" t="str">
        <f>IFERROR(VLOOKUP($A22,'2018'!$A:$BB,42,FALSE),"")</f>
        <v/>
      </c>
      <c r="Z22" s="1062" t="str">
        <f>IFERROR(VLOOKUP($A22,'2018'!$A:$BB,45,FALSE),"")</f>
        <v/>
      </c>
      <c r="AA22" s="727"/>
      <c r="AB22" s="728"/>
      <c r="AC22" s="727"/>
      <c r="AD22" s="727"/>
      <c r="AE22" s="727"/>
      <c r="AF22" s="727"/>
      <c r="AG22" s="726"/>
      <c r="AH22" s="726"/>
      <c r="AI22" s="727"/>
      <c r="AJ22" s="747"/>
      <c r="AK22" s="753"/>
      <c r="AL22" s="754"/>
      <c r="AM22" s="753"/>
      <c r="AN22" s="754"/>
      <c r="AO22" s="776"/>
      <c r="AP22" s="754"/>
      <c r="AQ22" s="770"/>
      <c r="AR22" s="726"/>
      <c r="AS22" s="726"/>
      <c r="AT22" s="726"/>
      <c r="AU22" s="726"/>
      <c r="AV22" s="726"/>
      <c r="AW22" s="726"/>
    </row>
    <row r="23" spans="1:49">
      <c r="A23" s="738" t="s">
        <v>83</v>
      </c>
      <c r="B23" s="738" t="s">
        <v>83</v>
      </c>
      <c r="C23" s="738"/>
      <c r="D23" s="738" t="s">
        <v>83</v>
      </c>
      <c r="E23" s="738" t="s">
        <v>83</v>
      </c>
      <c r="F23" s="1059">
        <f>IFERROR(VLOOKUP($A23,'2018'!$A:$BB,3,FALSE),"")</f>
        <v>571147346</v>
      </c>
      <c r="G23" s="1055" t="str">
        <f>IFERROR(VLOOKUP($A23,'2018'!$A:$BB,4,FALSE),"")</f>
        <v xml:space="preserve">10975 North Torrey Pines Road 
 La Jolla, CA 92037 </v>
      </c>
      <c r="H23" s="1055" t="str">
        <f>IFERROR(VLOOKUP($A23,'2018'!$A:$BB,5,FALSE),"")</f>
        <v xml:space="preserve">Lisa Be
858-875-2479
Lisa.be@ambrx.com </v>
      </c>
      <c r="I23" s="1055" t="str">
        <f>IFERROR(VLOOKUP($A23,'2018'!$A:$BB,6,FALSE),"")</f>
        <v xml:space="preserve">Lisa Be
858-875-2479
Lisa.be@ambrx.com </v>
      </c>
      <c r="J23" s="1055" t="str">
        <f>IFERROR(VLOOKUP($A23,'2018'!$A:$BB,7,FALSE),"")</f>
        <v>HUB (Carlsbad)</v>
      </c>
      <c r="K23" s="1055" t="str">
        <f>IFERROR(VLOOKUP($A23,'2018'!$A:$BB,8,FALSE),"")</f>
        <v>Account Managed by HUB Carlsbad Team
Producer - Neal Stehly
Service Lead - Sara Barba
Primary Contact -Tierney Watson
Admin - Lisa Cameron</v>
      </c>
      <c r="L23" s="1062" t="str">
        <f>IFERROR(VLOOKUP($A23,'2018'!$A:$BB,9,FALSE),"")</f>
        <v>Renewal</v>
      </c>
      <c r="M23" s="1067">
        <f>IFERROR(VLOOKUP($A23,'2018'!$A:$BB,10,FALSE),"")</f>
        <v>42795</v>
      </c>
      <c r="N23" s="1062">
        <f>IFERROR(VLOOKUP($A23,'2018'!$A:$BB,12,FALSE),"")</f>
        <v>50</v>
      </c>
      <c r="O23" s="1055" t="str">
        <f>IFERROR(VLOOKUP($A23,'2018'!$A:$BB,13,FALSE),"")</f>
        <v>IGOE</v>
      </c>
      <c r="P23" s="1055" t="str">
        <f>IFERROR(VLOOKUP($A23,'2018'!$A:$BB,14,FALSE),"")</f>
        <v xml:space="preserve">Maestro </v>
      </c>
      <c r="Q23" s="1055" t="str">
        <f>IFERROR(VLOOKUP($A23,'2018'!$A:$BB,16,FALSE),"")</f>
        <v>IGOE - Not part of Trust</v>
      </c>
      <c r="R23" s="1055" t="str">
        <f>IFERROR(VLOOKUP($A23,'2018'!$A:$BB,17,FALSE),"")</f>
        <v>N/A</v>
      </c>
      <c r="S23" s="1062" t="str">
        <f>IFERROR(VLOOKUP($A23,'2018'!$A:$BB,20,FALSE),"")</f>
        <v>SCAL</v>
      </c>
      <c r="T23" s="1062" t="str">
        <f>IFERROR(VLOOKUP($A23,'2018'!$A:$BB,21,FALSE),"")</f>
        <v>Group B (34-44)</v>
      </c>
      <c r="U23" s="1062" t="str">
        <f>IFERROR(VLOOKUP($A23,'2018'!$A:$BB,22,FALSE),"")</f>
        <v>Expanded</v>
      </c>
      <c r="V23" s="1062" t="str">
        <f>IFERROR(VLOOKUP($A23,'2018'!$A:$BB,23,FALSE),"")</f>
        <v>Advantage</v>
      </c>
      <c r="W23" s="1062" t="str">
        <f>IFERROR(VLOOKUP($A23,'2018'!$A:$BB,24,FALSE),"")</f>
        <v>No</v>
      </c>
      <c r="X23" s="1062" t="str">
        <f>IFERROR(VLOOKUP($A23,'2018'!$A:$BB,41,FALSE),"")</f>
        <v>N/A</v>
      </c>
      <c r="Y23" s="1062" t="str">
        <f>IFERROR(VLOOKUP($A23,'2018'!$A:$BB,42,FALSE),"")</f>
        <v>N/A</v>
      </c>
      <c r="Z23" s="1062" t="str">
        <f>IFERROR(VLOOKUP($A23,'2018'!$A:$BB,45,FALSE),"")</f>
        <v>N/A</v>
      </c>
      <c r="AA23" s="730">
        <v>2018</v>
      </c>
      <c r="AB23" s="728" t="s">
        <v>3772</v>
      </c>
      <c r="AC23" s="727" t="s">
        <v>317</v>
      </c>
      <c r="AD23" s="727" t="s">
        <v>3648</v>
      </c>
      <c r="AE23" s="727" t="s">
        <v>307</v>
      </c>
      <c r="AF23" s="727" t="s">
        <v>113</v>
      </c>
      <c r="AG23" s="726" t="s">
        <v>3962</v>
      </c>
      <c r="AH23" s="726" t="s">
        <v>3963</v>
      </c>
      <c r="AI23" s="727">
        <v>1</v>
      </c>
      <c r="AJ23" s="747" t="s">
        <v>3998</v>
      </c>
      <c r="AK23" s="753">
        <v>260065</v>
      </c>
      <c r="AL23" s="754">
        <v>166</v>
      </c>
      <c r="AM23" s="753">
        <v>260066</v>
      </c>
      <c r="AN23" s="754">
        <v>167</v>
      </c>
      <c r="AO23" s="776">
        <f t="shared" si="0"/>
        <v>260067</v>
      </c>
      <c r="AP23" s="754">
        <f t="shared" si="1"/>
        <v>168</v>
      </c>
      <c r="AQ23" s="770"/>
      <c r="AR23" s="726" t="s">
        <v>2661</v>
      </c>
      <c r="AS23" s="726" t="s">
        <v>3999</v>
      </c>
      <c r="AT23" s="726">
        <v>1660166</v>
      </c>
      <c r="AU23" s="726" t="s">
        <v>3966</v>
      </c>
      <c r="AV23" s="726" t="s">
        <v>4000</v>
      </c>
      <c r="AW23" s="726">
        <v>1670167</v>
      </c>
    </row>
    <row r="24" spans="1:49">
      <c r="A24" s="738" t="s">
        <v>83</v>
      </c>
      <c r="B24" s="738" t="s">
        <v>83</v>
      </c>
      <c r="C24" s="738"/>
      <c r="D24" s="738" t="s">
        <v>83</v>
      </c>
      <c r="E24" s="738" t="s">
        <v>83</v>
      </c>
      <c r="F24" s="1059">
        <f>IFERROR(VLOOKUP($A24,'2018'!$A:$BB,3,FALSE),"")</f>
        <v>571147346</v>
      </c>
      <c r="G24" s="1055" t="str">
        <f>IFERROR(VLOOKUP($A24,'2018'!$A:$BB,4,FALSE),"")</f>
        <v xml:space="preserve">10975 North Torrey Pines Road 
 La Jolla, CA 92037 </v>
      </c>
      <c r="H24" s="1055" t="str">
        <f>IFERROR(VLOOKUP($A24,'2018'!$A:$BB,5,FALSE),"")</f>
        <v xml:space="preserve">Lisa Be
858-875-2479
Lisa.be@ambrx.com </v>
      </c>
      <c r="I24" s="1055" t="str">
        <f>IFERROR(VLOOKUP($A24,'2018'!$A:$BB,6,FALSE),"")</f>
        <v xml:space="preserve">Lisa Be
858-875-2479
Lisa.be@ambrx.com </v>
      </c>
      <c r="J24" s="1055" t="str">
        <f>IFERROR(VLOOKUP($A24,'2018'!$A:$BB,7,FALSE),"")</f>
        <v>HUB (Carlsbad)</v>
      </c>
      <c r="K24" s="1055" t="str">
        <f>IFERROR(VLOOKUP($A24,'2018'!$A:$BB,8,FALSE),"")</f>
        <v>Account Managed by HUB Carlsbad Team
Producer - Neal Stehly
Service Lead - Sara Barba
Primary Contact -Tierney Watson
Admin - Lisa Cameron</v>
      </c>
      <c r="L24" s="1062" t="str">
        <f>IFERROR(VLOOKUP($A24,'2018'!$A:$BB,9,FALSE),"")</f>
        <v>Renewal</v>
      </c>
      <c r="M24" s="1067">
        <f>IFERROR(VLOOKUP($A24,'2018'!$A:$BB,10,FALSE),"")</f>
        <v>42795</v>
      </c>
      <c r="N24" s="1062">
        <f>IFERROR(VLOOKUP($A24,'2018'!$A:$BB,12,FALSE),"")</f>
        <v>50</v>
      </c>
      <c r="O24" s="1055" t="str">
        <f>IFERROR(VLOOKUP($A24,'2018'!$A:$BB,13,FALSE),"")</f>
        <v>IGOE</v>
      </c>
      <c r="P24" s="1055" t="str">
        <f>IFERROR(VLOOKUP($A24,'2018'!$A:$BB,14,FALSE),"")</f>
        <v xml:space="preserve">Maestro </v>
      </c>
      <c r="Q24" s="1055" t="str">
        <f>IFERROR(VLOOKUP($A24,'2018'!$A:$BB,16,FALSE),"")</f>
        <v>IGOE - Not part of Trust</v>
      </c>
      <c r="R24" s="1055" t="str">
        <f>IFERROR(VLOOKUP($A24,'2018'!$A:$BB,17,FALSE),"")</f>
        <v>N/A</v>
      </c>
      <c r="S24" s="1062" t="str">
        <f>IFERROR(VLOOKUP($A24,'2018'!$A:$BB,20,FALSE),"")</f>
        <v>SCAL</v>
      </c>
      <c r="T24" s="1062" t="str">
        <f>IFERROR(VLOOKUP($A24,'2018'!$A:$BB,21,FALSE),"")</f>
        <v>Group B (34-44)</v>
      </c>
      <c r="U24" s="1062" t="str">
        <f>IFERROR(VLOOKUP($A24,'2018'!$A:$BB,22,FALSE),"")</f>
        <v>Expanded</v>
      </c>
      <c r="V24" s="1062" t="str">
        <f>IFERROR(VLOOKUP($A24,'2018'!$A:$BB,23,FALSE),"")</f>
        <v>Advantage</v>
      </c>
      <c r="W24" s="1062" t="str">
        <f>IFERROR(VLOOKUP($A24,'2018'!$A:$BB,24,FALSE),"")</f>
        <v>No</v>
      </c>
      <c r="X24" s="1062" t="str">
        <f>IFERROR(VLOOKUP($A24,'2018'!$A:$BB,41,FALSE),"")</f>
        <v>N/A</v>
      </c>
      <c r="Y24" s="1062" t="str">
        <f>IFERROR(VLOOKUP($A24,'2018'!$A:$BB,42,FALSE),"")</f>
        <v>N/A</v>
      </c>
      <c r="Z24" s="1062" t="str">
        <f>IFERROR(VLOOKUP($A24,'2018'!$A:$BB,45,FALSE),"")</f>
        <v>N/A</v>
      </c>
      <c r="AA24" s="730">
        <v>2018</v>
      </c>
      <c r="AB24" s="728" t="s">
        <v>3772</v>
      </c>
      <c r="AC24" s="727" t="s">
        <v>317</v>
      </c>
      <c r="AD24" s="727" t="s">
        <v>3648</v>
      </c>
      <c r="AE24" s="727" t="s">
        <v>307</v>
      </c>
      <c r="AF24" s="727" t="s">
        <v>113</v>
      </c>
      <c r="AG24" s="726" t="s">
        <v>3972</v>
      </c>
      <c r="AH24" s="726" t="s">
        <v>3973</v>
      </c>
      <c r="AI24" s="727">
        <v>7</v>
      </c>
      <c r="AJ24" s="747" t="s">
        <v>4001</v>
      </c>
      <c r="AK24" s="755">
        <v>909678</v>
      </c>
      <c r="AL24" s="754">
        <v>337</v>
      </c>
      <c r="AM24" s="755">
        <v>909678</v>
      </c>
      <c r="AN24" s="754">
        <v>338</v>
      </c>
      <c r="AO24" s="776">
        <f t="shared" ref="AO24:AO25" si="6">AM24</f>
        <v>909678</v>
      </c>
      <c r="AP24" s="754">
        <f t="shared" si="1"/>
        <v>339</v>
      </c>
      <c r="AQ24" s="770"/>
      <c r="AR24" s="726" t="s">
        <v>2661</v>
      </c>
      <c r="AS24" s="726" t="s">
        <v>4002</v>
      </c>
      <c r="AT24" s="726">
        <v>3370337</v>
      </c>
      <c r="AU24" s="726" t="s">
        <v>3966</v>
      </c>
      <c r="AV24" s="726" t="s">
        <v>4003</v>
      </c>
      <c r="AW24" s="726">
        <v>3380338</v>
      </c>
    </row>
    <row r="25" spans="1:49">
      <c r="A25" s="736" t="s">
        <v>83</v>
      </c>
      <c r="B25" s="736" t="s">
        <v>83</v>
      </c>
      <c r="C25" s="736"/>
      <c r="D25" s="736" t="s">
        <v>83</v>
      </c>
      <c r="E25" s="736" t="s">
        <v>83</v>
      </c>
      <c r="F25" s="1059">
        <f>IFERROR(VLOOKUP($A25,'2018'!$A:$BB,3,FALSE),"")</f>
        <v>571147346</v>
      </c>
      <c r="G25" s="1055" t="str">
        <f>IFERROR(VLOOKUP($A25,'2018'!$A:$BB,4,FALSE),"")</f>
        <v xml:space="preserve">10975 North Torrey Pines Road 
 La Jolla, CA 92037 </v>
      </c>
      <c r="H25" s="1055" t="str">
        <f>IFERROR(VLOOKUP($A25,'2018'!$A:$BB,5,FALSE),"")</f>
        <v xml:space="preserve">Lisa Be
858-875-2479
Lisa.be@ambrx.com </v>
      </c>
      <c r="I25" s="1055" t="str">
        <f>IFERROR(VLOOKUP($A25,'2018'!$A:$BB,6,FALSE),"")</f>
        <v xml:space="preserve">Lisa Be
858-875-2479
Lisa.be@ambrx.com </v>
      </c>
      <c r="J25" s="1055" t="str">
        <f>IFERROR(VLOOKUP($A25,'2018'!$A:$BB,7,FALSE),"")</f>
        <v>HUB (Carlsbad)</v>
      </c>
      <c r="K25" s="1055" t="str">
        <f>IFERROR(VLOOKUP($A25,'2018'!$A:$BB,8,FALSE),"")</f>
        <v>Account Managed by HUB Carlsbad Team
Producer - Neal Stehly
Service Lead - Sara Barba
Primary Contact -Tierney Watson
Admin - Lisa Cameron</v>
      </c>
      <c r="L25" s="1062" t="str">
        <f>IFERROR(VLOOKUP($A25,'2018'!$A:$BB,9,FALSE),"")</f>
        <v>Renewal</v>
      </c>
      <c r="M25" s="1067">
        <f>IFERROR(VLOOKUP($A25,'2018'!$A:$BB,10,FALSE),"")</f>
        <v>42795</v>
      </c>
      <c r="N25" s="1062">
        <f>IFERROR(VLOOKUP($A25,'2018'!$A:$BB,12,FALSE),"")</f>
        <v>50</v>
      </c>
      <c r="O25" s="1055" t="str">
        <f>IFERROR(VLOOKUP($A25,'2018'!$A:$BB,13,FALSE),"")</f>
        <v>IGOE</v>
      </c>
      <c r="P25" s="1055" t="str">
        <f>IFERROR(VLOOKUP($A25,'2018'!$A:$BB,14,FALSE),"")</f>
        <v xml:space="preserve">Maestro </v>
      </c>
      <c r="Q25" s="1055" t="str">
        <f>IFERROR(VLOOKUP($A25,'2018'!$A:$BB,16,FALSE),"")</f>
        <v>IGOE - Not part of Trust</v>
      </c>
      <c r="R25" s="1055" t="str">
        <f>IFERROR(VLOOKUP($A25,'2018'!$A:$BB,17,FALSE),"")</f>
        <v>N/A</v>
      </c>
      <c r="S25" s="1062" t="str">
        <f>IFERROR(VLOOKUP($A25,'2018'!$A:$BB,20,FALSE),"")</f>
        <v>SCAL</v>
      </c>
      <c r="T25" s="1062" t="str">
        <f>IFERROR(VLOOKUP($A25,'2018'!$A:$BB,21,FALSE),"")</f>
        <v>Group B (34-44)</v>
      </c>
      <c r="U25" s="1062" t="str">
        <f>IFERROR(VLOOKUP($A25,'2018'!$A:$BB,22,FALSE),"")</f>
        <v>Expanded</v>
      </c>
      <c r="V25" s="1062" t="str">
        <f>IFERROR(VLOOKUP($A25,'2018'!$A:$BB,23,FALSE),"")</f>
        <v>Advantage</v>
      </c>
      <c r="W25" s="1062" t="str">
        <f>IFERROR(VLOOKUP($A25,'2018'!$A:$BB,24,FALSE),"")</f>
        <v>No</v>
      </c>
      <c r="X25" s="1062" t="str">
        <f>IFERROR(VLOOKUP($A25,'2018'!$A:$BB,41,FALSE),"")</f>
        <v>N/A</v>
      </c>
      <c r="Y25" s="1062" t="str">
        <f>IFERROR(VLOOKUP($A25,'2018'!$A:$BB,42,FALSE),"")</f>
        <v>N/A</v>
      </c>
      <c r="Z25" s="1062" t="str">
        <f>IFERROR(VLOOKUP($A25,'2018'!$A:$BB,45,FALSE),"")</f>
        <v>N/A</v>
      </c>
      <c r="AA25" s="731">
        <v>2018</v>
      </c>
      <c r="AB25" s="733" t="s">
        <v>3772</v>
      </c>
      <c r="AC25" s="734" t="s">
        <v>317</v>
      </c>
      <c r="AD25" s="734" t="s">
        <v>3648</v>
      </c>
      <c r="AE25" s="734" t="s">
        <v>307</v>
      </c>
      <c r="AF25" s="734" t="s">
        <v>113</v>
      </c>
      <c r="AG25" s="732" t="s">
        <v>3972</v>
      </c>
      <c r="AH25" s="732" t="s">
        <v>3977</v>
      </c>
      <c r="AI25" s="734">
        <v>13</v>
      </c>
      <c r="AJ25" s="748" t="s">
        <v>4004</v>
      </c>
      <c r="AK25" s="755">
        <v>909678</v>
      </c>
      <c r="AL25" s="756">
        <v>589</v>
      </c>
      <c r="AM25" s="755">
        <v>909678</v>
      </c>
      <c r="AN25" s="756">
        <v>590</v>
      </c>
      <c r="AO25" s="776">
        <f t="shared" si="6"/>
        <v>909678</v>
      </c>
      <c r="AP25" s="754">
        <f t="shared" si="1"/>
        <v>591</v>
      </c>
      <c r="AQ25" s="771" t="s">
        <v>3979</v>
      </c>
      <c r="AR25" s="732" t="s">
        <v>2661</v>
      </c>
      <c r="AS25" s="735"/>
      <c r="AT25" s="735"/>
      <c r="AU25" s="732" t="s">
        <v>3980</v>
      </c>
      <c r="AV25" s="735"/>
      <c r="AW25" s="735"/>
    </row>
    <row r="26" spans="1:49">
      <c r="A26" s="738"/>
      <c r="B26" s="738"/>
      <c r="C26" s="738"/>
      <c r="D26" s="738"/>
      <c r="E26" s="738"/>
      <c r="F26" s="1059" t="str">
        <f>IFERROR(VLOOKUP($A26,'2018'!$A:$BB,3,FALSE),"")</f>
        <v/>
      </c>
      <c r="G26" s="1055" t="str">
        <f>IFERROR(VLOOKUP($A26,'2018'!$A:$BB,4,FALSE),"")</f>
        <v/>
      </c>
      <c r="H26" s="1055" t="str">
        <f>IFERROR(VLOOKUP($A26,'2018'!$A:$BB,5,FALSE),"")</f>
        <v/>
      </c>
      <c r="I26" s="1055" t="str">
        <f>IFERROR(VLOOKUP($A26,'2018'!$A:$BB,6,FALSE),"")</f>
        <v/>
      </c>
      <c r="J26" s="1055" t="str">
        <f>IFERROR(VLOOKUP($A26,'2018'!$A:$BB,7,FALSE),"")</f>
        <v/>
      </c>
      <c r="K26" s="1055" t="str">
        <f>IFERROR(VLOOKUP($A26,'2018'!$A:$BB,8,FALSE),"")</f>
        <v/>
      </c>
      <c r="L26" s="1062" t="str">
        <f>IFERROR(VLOOKUP($A26,'2018'!$A:$BB,9,FALSE),"")</f>
        <v/>
      </c>
      <c r="M26" s="1067" t="str">
        <f>IFERROR(VLOOKUP($A26,'2018'!$A:$BB,10,FALSE),"")</f>
        <v/>
      </c>
      <c r="N26" s="1062" t="str">
        <f>IFERROR(VLOOKUP($A26,'2018'!$A:$BB,12,FALSE),"")</f>
        <v/>
      </c>
      <c r="O26" s="1055" t="str">
        <f>IFERROR(VLOOKUP($A26,'2018'!$A:$BB,13,FALSE),"")</f>
        <v/>
      </c>
      <c r="P26" s="1055" t="str">
        <f>IFERROR(VLOOKUP($A26,'2018'!$A:$BB,14,FALSE),"")</f>
        <v/>
      </c>
      <c r="Q26" s="1055" t="str">
        <f>IFERROR(VLOOKUP($A26,'2018'!$A:$BB,16,FALSE),"")</f>
        <v/>
      </c>
      <c r="R26" s="1055" t="str">
        <f>IFERROR(VLOOKUP($A26,'2018'!$A:$BB,17,FALSE),"")</f>
        <v/>
      </c>
      <c r="S26" s="1062" t="str">
        <f>IFERROR(VLOOKUP($A26,'2018'!$A:$BB,20,FALSE),"")</f>
        <v/>
      </c>
      <c r="T26" s="1062" t="str">
        <f>IFERROR(VLOOKUP($A26,'2018'!$A:$BB,21,FALSE),"")</f>
        <v/>
      </c>
      <c r="U26" s="1062" t="str">
        <f>IFERROR(VLOOKUP($A26,'2018'!$A:$BB,22,FALSE),"")</f>
        <v/>
      </c>
      <c r="V26" s="1062" t="str">
        <f>IFERROR(VLOOKUP($A26,'2018'!$A:$BB,23,FALSE),"")</f>
        <v/>
      </c>
      <c r="W26" s="1062" t="str">
        <f>IFERROR(VLOOKUP($A26,'2018'!$A:$BB,24,FALSE),"")</f>
        <v/>
      </c>
      <c r="X26" s="1062" t="str">
        <f>IFERROR(VLOOKUP($A26,'2018'!$A:$BB,41,FALSE),"")</f>
        <v/>
      </c>
      <c r="Y26" s="1062" t="str">
        <f>IFERROR(VLOOKUP($A26,'2018'!$A:$BB,42,FALSE),"")</f>
        <v/>
      </c>
      <c r="Z26" s="1062" t="str">
        <f>IFERROR(VLOOKUP($A26,'2018'!$A:$BB,45,FALSE),"")</f>
        <v/>
      </c>
      <c r="AA26" s="727"/>
      <c r="AB26" s="728"/>
      <c r="AC26" s="727"/>
      <c r="AD26" s="727"/>
      <c r="AE26" s="727"/>
      <c r="AF26" s="727"/>
      <c r="AG26" s="726"/>
      <c r="AH26" s="726"/>
      <c r="AI26" s="727"/>
      <c r="AJ26" s="747"/>
      <c r="AK26" s="753"/>
      <c r="AL26" s="754"/>
      <c r="AM26" s="753"/>
      <c r="AN26" s="754"/>
      <c r="AO26" s="776"/>
      <c r="AP26" s="754"/>
      <c r="AQ26" s="770"/>
      <c r="AR26" s="726"/>
      <c r="AS26" s="726"/>
      <c r="AT26" s="726"/>
      <c r="AU26" s="726"/>
      <c r="AV26" s="726"/>
      <c r="AW26" s="726"/>
    </row>
    <row r="27" spans="1:49" s="953" customFormat="1">
      <c r="A27" s="737" t="s">
        <v>90</v>
      </c>
      <c r="B27" s="737" t="s">
        <v>4005</v>
      </c>
      <c r="C27" s="737"/>
      <c r="D27" s="737" t="s">
        <v>4005</v>
      </c>
      <c r="E27" s="737" t="s">
        <v>4005</v>
      </c>
      <c r="F27" s="1090">
        <f>IFERROR(VLOOKUP($A27,'2018'!$A:$BB,3,FALSE),"")</f>
        <v>208116497</v>
      </c>
      <c r="G27" s="1091" t="str">
        <f>IFERROR(VLOOKUP($A27,'2018'!$A:$BB,4,FALSE),"")</f>
        <v xml:space="preserve">3545 John Hopkins Court 
Suite 150 
San Diego, CA 92121 </v>
      </c>
      <c r="H27" s="1091" t="str">
        <f>IFERROR(VLOOKUP($A27,'2018'!$A:$BB,5,FALSE),"")</f>
        <v xml:space="preserve">Irma Galvan
760 814-1415 
IGalvan@appliedproteomics.com </v>
      </c>
      <c r="I27" s="1091" t="str">
        <f>IFERROR(VLOOKUP($A27,'2018'!$A:$BB,6,FALSE),"")</f>
        <v xml:space="preserve">Irma Galvan
760 814-1415 
IGalvan@appliedproteomics.com </v>
      </c>
      <c r="J27" s="1091" t="str">
        <f>IFERROR(VLOOKUP($A27,'2018'!$A:$BB,7,FALSE),"")</f>
        <v>HUB (San Diego)</v>
      </c>
      <c r="K27" s="1091" t="str">
        <f>IFERROR(VLOOKUP($A27,'2018'!$A:$BB,8,FALSE),"")</f>
        <v>Account Managed by HUB SD Team
Producer - Matt Creighton
Service Lead - Brent Simmons</v>
      </c>
      <c r="L27" s="1092" t="str">
        <f>IFERROR(VLOOKUP($A27,'2018'!$A:$BB,9,FALSE),"")</f>
        <v>Renewal</v>
      </c>
      <c r="M27" s="1093">
        <f>IFERROR(VLOOKUP($A27,'2018'!$A:$BB,10,FALSE),"")</f>
        <v>42736</v>
      </c>
      <c r="N27" s="1092">
        <f>IFERROR(VLOOKUP($A27,'2018'!$A:$BB,12,FALSE),"")</f>
        <v>17</v>
      </c>
      <c r="O27" s="1091" t="str">
        <f>IFERROR(VLOOKUP($A27,'2018'!$A:$BB,13,FALSE),"")</f>
        <v xml:space="preserve">IGOE </v>
      </c>
      <c r="P27" s="1091" t="str">
        <f>IFERROR(VLOOKUP($A27,'2018'!$A:$BB,14,FALSE),"")</f>
        <v xml:space="preserve">Maestro </v>
      </c>
      <c r="Q27" s="1091" t="str">
        <f>IFERROR(VLOOKUP($A27,'2018'!$A:$BB,16,FALSE),"")</f>
        <v>IGOE</v>
      </c>
      <c r="R27" s="1091" t="str">
        <f>IFERROR(VLOOKUP($A27,'2018'!$A:$BB,17,FALSE),"")</f>
        <v>Optum Health</v>
      </c>
      <c r="S27" s="1092" t="str">
        <f>IFERROR(VLOOKUP($A27,'2018'!$A:$BB,20,FALSE),"")</f>
        <v>SCAL</v>
      </c>
      <c r="T27" s="1092" t="str">
        <f>IFERROR(VLOOKUP($A27,'2018'!$A:$BB,21,FALSE),"")</f>
        <v>Group B (34-44)</v>
      </c>
      <c r="U27" s="1092" t="str">
        <f>IFERROR(VLOOKUP($A27,'2018'!$A:$BB,22,FALSE),"")</f>
        <v>Expanded</v>
      </c>
      <c r="V27" s="1092" t="str">
        <f>IFERROR(VLOOKUP($A27,'2018'!$A:$BB,23,FALSE),"")</f>
        <v>Advantage</v>
      </c>
      <c r="W27" s="1092" t="str">
        <f>IFERROR(VLOOKUP($A27,'2018'!$A:$BB,24,FALSE),"")</f>
        <v>No</v>
      </c>
      <c r="X27" s="1092" t="str">
        <f>IFERROR(VLOOKUP($A27,'2018'!$A:$BB,41,FALSE),"")</f>
        <v xml:space="preserve">Region 3 </v>
      </c>
      <c r="Y27" s="1092" t="str">
        <f>IFERROR(VLOOKUP($A27,'2018'!$A:$BB,42,FALSE),"")</f>
        <v>(50-99)</v>
      </c>
      <c r="Z27" s="1092" t="str">
        <f>IFERROR(VLOOKUP($A27,'2018'!$A:$BB,45,FALSE),"")</f>
        <v xml:space="preserve"> (2-49)</v>
      </c>
      <c r="AA27" s="1094">
        <v>2018</v>
      </c>
      <c r="AB27" s="1095" t="s">
        <v>3775</v>
      </c>
      <c r="AC27" s="1094" t="s">
        <v>317</v>
      </c>
      <c r="AD27" s="1094" t="s">
        <v>3648</v>
      </c>
      <c r="AE27" s="1094" t="s">
        <v>307</v>
      </c>
      <c r="AF27" s="1094" t="s">
        <v>113</v>
      </c>
      <c r="AG27" s="737" t="s">
        <v>3962</v>
      </c>
      <c r="AH27" s="737" t="s">
        <v>3963</v>
      </c>
      <c r="AI27" s="1094">
        <v>1</v>
      </c>
      <c r="AJ27" s="1096" t="s">
        <v>3998</v>
      </c>
      <c r="AK27" s="1097">
        <v>260065</v>
      </c>
      <c r="AL27" s="1098">
        <v>166</v>
      </c>
      <c r="AM27" s="1097">
        <v>260066</v>
      </c>
      <c r="AN27" s="1098">
        <v>167</v>
      </c>
      <c r="AO27" s="1099">
        <f>AM27+1</f>
        <v>260067</v>
      </c>
      <c r="AP27" s="1098">
        <f>AN27+1</f>
        <v>168</v>
      </c>
      <c r="AQ27" s="772"/>
      <c r="AR27" s="737" t="s">
        <v>2661</v>
      </c>
      <c r="AS27" s="737" t="s">
        <v>3999</v>
      </c>
      <c r="AT27" s="737">
        <v>1660166</v>
      </c>
      <c r="AU27" s="737" t="s">
        <v>3966</v>
      </c>
      <c r="AV27" s="737" t="s">
        <v>4006</v>
      </c>
      <c r="AW27" s="737">
        <v>1670167</v>
      </c>
    </row>
    <row r="28" spans="1:49" s="953" customFormat="1">
      <c r="A28" s="737" t="s">
        <v>90</v>
      </c>
      <c r="B28" s="737" t="s">
        <v>4005</v>
      </c>
      <c r="C28" s="737"/>
      <c r="D28" s="737" t="s">
        <v>4005</v>
      </c>
      <c r="E28" s="737" t="s">
        <v>4005</v>
      </c>
      <c r="F28" s="1090">
        <f>IFERROR(VLOOKUP($A28,'2018'!$A:$BB,3,FALSE),"")</f>
        <v>208116497</v>
      </c>
      <c r="G28" s="1091" t="str">
        <f>IFERROR(VLOOKUP($A28,'2018'!$A:$BB,4,FALSE),"")</f>
        <v xml:space="preserve">3545 John Hopkins Court 
Suite 150 
San Diego, CA 92121 </v>
      </c>
      <c r="H28" s="1091" t="str">
        <f>IFERROR(VLOOKUP($A28,'2018'!$A:$BB,5,FALSE),"")</f>
        <v xml:space="preserve">Irma Galvan
760 814-1415 
IGalvan@appliedproteomics.com </v>
      </c>
      <c r="I28" s="1091" t="str">
        <f>IFERROR(VLOOKUP($A28,'2018'!$A:$BB,6,FALSE),"")</f>
        <v xml:space="preserve">Irma Galvan
760 814-1415 
IGalvan@appliedproteomics.com </v>
      </c>
      <c r="J28" s="1091" t="str">
        <f>IFERROR(VLOOKUP($A28,'2018'!$A:$BB,7,FALSE),"")</f>
        <v>HUB (San Diego)</v>
      </c>
      <c r="K28" s="1091" t="str">
        <f>IFERROR(VLOOKUP($A28,'2018'!$A:$BB,8,FALSE),"")</f>
        <v>Account Managed by HUB SD Team
Producer - Matt Creighton
Service Lead - Brent Simmons</v>
      </c>
      <c r="L28" s="1092" t="str">
        <f>IFERROR(VLOOKUP($A28,'2018'!$A:$BB,9,FALSE),"")</f>
        <v>Renewal</v>
      </c>
      <c r="M28" s="1093">
        <f>IFERROR(VLOOKUP($A28,'2018'!$A:$BB,10,FALSE),"")</f>
        <v>42736</v>
      </c>
      <c r="N28" s="1092">
        <f>IFERROR(VLOOKUP($A28,'2018'!$A:$BB,12,FALSE),"")</f>
        <v>17</v>
      </c>
      <c r="O28" s="1091" t="str">
        <f>IFERROR(VLOOKUP($A28,'2018'!$A:$BB,13,FALSE),"")</f>
        <v xml:space="preserve">IGOE </v>
      </c>
      <c r="P28" s="1091" t="str">
        <f>IFERROR(VLOOKUP($A28,'2018'!$A:$BB,14,FALSE),"")</f>
        <v xml:space="preserve">Maestro </v>
      </c>
      <c r="Q28" s="1091" t="str">
        <f>IFERROR(VLOOKUP($A28,'2018'!$A:$BB,16,FALSE),"")</f>
        <v>IGOE</v>
      </c>
      <c r="R28" s="1091" t="str">
        <f>IFERROR(VLOOKUP($A28,'2018'!$A:$BB,17,FALSE),"")</f>
        <v>Optum Health</v>
      </c>
      <c r="S28" s="1092" t="str">
        <f>IFERROR(VLOOKUP($A28,'2018'!$A:$BB,20,FALSE),"")</f>
        <v>SCAL</v>
      </c>
      <c r="T28" s="1092" t="str">
        <f>IFERROR(VLOOKUP($A28,'2018'!$A:$BB,21,FALSE),"")</f>
        <v>Group B (34-44)</v>
      </c>
      <c r="U28" s="1092" t="str">
        <f>IFERROR(VLOOKUP($A28,'2018'!$A:$BB,22,FALSE),"")</f>
        <v>Expanded</v>
      </c>
      <c r="V28" s="1092" t="str">
        <f>IFERROR(VLOOKUP($A28,'2018'!$A:$BB,23,FALSE),"")</f>
        <v>Advantage</v>
      </c>
      <c r="W28" s="1092" t="str">
        <f>IFERROR(VLOOKUP($A28,'2018'!$A:$BB,24,FALSE),"")</f>
        <v>No</v>
      </c>
      <c r="X28" s="1092" t="str">
        <f>IFERROR(VLOOKUP($A28,'2018'!$A:$BB,41,FALSE),"")</f>
        <v xml:space="preserve">Region 3 </v>
      </c>
      <c r="Y28" s="1092" t="str">
        <f>IFERROR(VLOOKUP($A28,'2018'!$A:$BB,42,FALSE),"")</f>
        <v>(50-99)</v>
      </c>
      <c r="Z28" s="1092" t="str">
        <f>IFERROR(VLOOKUP($A28,'2018'!$A:$BB,45,FALSE),"")</f>
        <v xml:space="preserve"> (2-49)</v>
      </c>
      <c r="AA28" s="1094">
        <v>2018</v>
      </c>
      <c r="AB28" s="1095" t="s">
        <v>3775</v>
      </c>
      <c r="AC28" s="1094" t="s">
        <v>317</v>
      </c>
      <c r="AD28" s="1094" t="s">
        <v>3648</v>
      </c>
      <c r="AE28" s="1094" t="s">
        <v>307</v>
      </c>
      <c r="AF28" s="1094" t="s">
        <v>113</v>
      </c>
      <c r="AG28" s="737" t="s">
        <v>3972</v>
      </c>
      <c r="AH28" s="737" t="s">
        <v>3973</v>
      </c>
      <c r="AI28" s="1094">
        <v>8</v>
      </c>
      <c r="AJ28" s="1096" t="s">
        <v>3992</v>
      </c>
      <c r="AK28" s="1100">
        <v>909678</v>
      </c>
      <c r="AL28" s="1098">
        <v>373</v>
      </c>
      <c r="AM28" s="1100">
        <v>909678</v>
      </c>
      <c r="AN28" s="1098">
        <v>374</v>
      </c>
      <c r="AO28" s="1099">
        <f t="shared" ref="AO28:AO31" si="7">AM28</f>
        <v>909678</v>
      </c>
      <c r="AP28" s="1098">
        <f>AN28+1</f>
        <v>375</v>
      </c>
      <c r="AQ28" s="772"/>
      <c r="AR28" s="737" t="s">
        <v>2661</v>
      </c>
      <c r="AS28" s="737" t="s">
        <v>4007</v>
      </c>
      <c r="AT28" s="737">
        <v>3730373</v>
      </c>
      <c r="AU28" s="737" t="s">
        <v>3966</v>
      </c>
      <c r="AV28" s="737" t="s">
        <v>4008</v>
      </c>
      <c r="AW28" s="737">
        <v>3740374</v>
      </c>
    </row>
    <row r="29" spans="1:49" s="953" customFormat="1">
      <c r="A29" s="737" t="s">
        <v>90</v>
      </c>
      <c r="B29" s="740" t="s">
        <v>4005</v>
      </c>
      <c r="C29" s="740"/>
      <c r="D29" s="740" t="s">
        <v>4005</v>
      </c>
      <c r="E29" s="740" t="s">
        <v>4005</v>
      </c>
      <c r="F29" s="1090">
        <f>IFERROR(VLOOKUP($A29,'2018'!$A:$BB,3,FALSE),"")</f>
        <v>208116497</v>
      </c>
      <c r="G29" s="1091" t="str">
        <f>IFERROR(VLOOKUP($A29,'2018'!$A:$BB,4,FALSE),"")</f>
        <v xml:space="preserve">3545 John Hopkins Court 
Suite 150 
San Diego, CA 92121 </v>
      </c>
      <c r="H29" s="1091" t="str">
        <f>IFERROR(VLOOKUP($A29,'2018'!$A:$BB,5,FALSE),"")</f>
        <v xml:space="preserve">Irma Galvan
760 814-1415 
IGalvan@appliedproteomics.com </v>
      </c>
      <c r="I29" s="1091" t="str">
        <f>IFERROR(VLOOKUP($A29,'2018'!$A:$BB,6,FALSE),"")</f>
        <v xml:space="preserve">Irma Galvan
760 814-1415 
IGalvan@appliedproteomics.com </v>
      </c>
      <c r="J29" s="1091" t="str">
        <f>IFERROR(VLOOKUP($A29,'2018'!$A:$BB,7,FALSE),"")</f>
        <v>HUB (San Diego)</v>
      </c>
      <c r="K29" s="1091" t="str">
        <f>IFERROR(VLOOKUP($A29,'2018'!$A:$BB,8,FALSE),"")</f>
        <v>Account Managed by HUB SD Team
Producer - Matt Creighton
Service Lead - Brent Simmons</v>
      </c>
      <c r="L29" s="1092" t="str">
        <f>IFERROR(VLOOKUP($A29,'2018'!$A:$BB,9,FALSE),"")</f>
        <v>Renewal</v>
      </c>
      <c r="M29" s="1093">
        <f>IFERROR(VLOOKUP($A29,'2018'!$A:$BB,10,FALSE),"")</f>
        <v>42736</v>
      </c>
      <c r="N29" s="1092">
        <f>IFERROR(VLOOKUP($A29,'2018'!$A:$BB,12,FALSE),"")</f>
        <v>17</v>
      </c>
      <c r="O29" s="1091" t="str">
        <f>IFERROR(VLOOKUP($A29,'2018'!$A:$BB,13,FALSE),"")</f>
        <v xml:space="preserve">IGOE </v>
      </c>
      <c r="P29" s="1091" t="str">
        <f>IFERROR(VLOOKUP($A29,'2018'!$A:$BB,14,FALSE),"")</f>
        <v xml:space="preserve">Maestro </v>
      </c>
      <c r="Q29" s="1091" t="str">
        <f>IFERROR(VLOOKUP($A29,'2018'!$A:$BB,16,FALSE),"")</f>
        <v>IGOE</v>
      </c>
      <c r="R29" s="1091" t="str">
        <f>IFERROR(VLOOKUP($A29,'2018'!$A:$BB,17,FALSE),"")</f>
        <v>Optum Health</v>
      </c>
      <c r="S29" s="1092" t="str">
        <f>IFERROR(VLOOKUP($A29,'2018'!$A:$BB,20,FALSE),"")</f>
        <v>SCAL</v>
      </c>
      <c r="T29" s="1092" t="str">
        <f>IFERROR(VLOOKUP($A29,'2018'!$A:$BB,21,FALSE),"")</f>
        <v>Group B (34-44)</v>
      </c>
      <c r="U29" s="1092" t="str">
        <f>IFERROR(VLOOKUP($A29,'2018'!$A:$BB,22,FALSE),"")</f>
        <v>Expanded</v>
      </c>
      <c r="V29" s="1092" t="str">
        <f>IFERROR(VLOOKUP($A29,'2018'!$A:$BB,23,FALSE),"")</f>
        <v>Advantage</v>
      </c>
      <c r="W29" s="1092" t="str">
        <f>IFERROR(VLOOKUP($A29,'2018'!$A:$BB,24,FALSE),"")</f>
        <v>No</v>
      </c>
      <c r="X29" s="1092" t="str">
        <f>IFERROR(VLOOKUP($A29,'2018'!$A:$BB,41,FALSE),"")</f>
        <v xml:space="preserve">Region 3 </v>
      </c>
      <c r="Y29" s="1092" t="str">
        <f>IFERROR(VLOOKUP($A29,'2018'!$A:$BB,42,FALSE),"")</f>
        <v>(50-99)</v>
      </c>
      <c r="Z29" s="1092" t="str">
        <f>IFERROR(VLOOKUP($A29,'2018'!$A:$BB,45,FALSE),"")</f>
        <v xml:space="preserve"> (2-49)</v>
      </c>
      <c r="AA29" s="741">
        <v>2018</v>
      </c>
      <c r="AB29" s="1101" t="s">
        <v>3775</v>
      </c>
      <c r="AC29" s="741" t="s">
        <v>317</v>
      </c>
      <c r="AD29" s="741" t="s">
        <v>3648</v>
      </c>
      <c r="AE29" s="741" t="s">
        <v>307</v>
      </c>
      <c r="AF29" s="741" t="s">
        <v>113</v>
      </c>
      <c r="AG29" s="740" t="s">
        <v>3972</v>
      </c>
      <c r="AH29" s="740" t="s">
        <v>3977</v>
      </c>
      <c r="AI29" s="741">
        <v>14</v>
      </c>
      <c r="AJ29" s="1102" t="s">
        <v>3994</v>
      </c>
      <c r="AK29" s="1100">
        <v>909678</v>
      </c>
      <c r="AL29" s="1103">
        <v>625</v>
      </c>
      <c r="AM29" s="1100">
        <v>909678</v>
      </c>
      <c r="AN29" s="1103">
        <v>626</v>
      </c>
      <c r="AO29" s="1099">
        <f t="shared" si="7"/>
        <v>909678</v>
      </c>
      <c r="AP29" s="1098">
        <f>AN29+1</f>
        <v>627</v>
      </c>
      <c r="AQ29" s="951" t="s">
        <v>3979</v>
      </c>
      <c r="AR29" s="740" t="s">
        <v>2661</v>
      </c>
      <c r="AS29" s="952"/>
      <c r="AT29" s="952"/>
      <c r="AU29" s="740" t="s">
        <v>3980</v>
      </c>
      <c r="AV29" s="952"/>
      <c r="AW29" s="952"/>
    </row>
    <row r="30" spans="1:49" s="953" customFormat="1">
      <c r="A30" s="737" t="s">
        <v>90</v>
      </c>
      <c r="B30" s="737" t="s">
        <v>4005</v>
      </c>
      <c r="C30" s="737"/>
      <c r="D30" s="737" t="s">
        <v>4005</v>
      </c>
      <c r="E30" s="737" t="s">
        <v>4005</v>
      </c>
      <c r="F30" s="1090">
        <f>IFERROR(VLOOKUP($A30,'2018'!$A:$BB,3,FALSE),"")</f>
        <v>208116497</v>
      </c>
      <c r="G30" s="1091" t="str">
        <f>IFERROR(VLOOKUP($A30,'2018'!$A:$BB,4,FALSE),"")</f>
        <v xml:space="preserve">3545 John Hopkins Court 
Suite 150 
San Diego, CA 92121 </v>
      </c>
      <c r="H30" s="1091" t="str">
        <f>IFERROR(VLOOKUP($A30,'2018'!$A:$BB,5,FALSE),"")</f>
        <v xml:space="preserve">Irma Galvan
760 814-1415 
IGalvan@appliedproteomics.com </v>
      </c>
      <c r="I30" s="1091" t="str">
        <f>IFERROR(VLOOKUP($A30,'2018'!$A:$BB,6,FALSE),"")</f>
        <v xml:space="preserve">Irma Galvan
760 814-1415 
IGalvan@appliedproteomics.com </v>
      </c>
      <c r="J30" s="1091" t="str">
        <f>IFERROR(VLOOKUP($A30,'2018'!$A:$BB,7,FALSE),"")</f>
        <v>HUB (San Diego)</v>
      </c>
      <c r="K30" s="1091" t="str">
        <f>IFERROR(VLOOKUP($A30,'2018'!$A:$BB,8,FALSE),"")</f>
        <v>Account Managed by HUB SD Team
Producer - Matt Creighton
Service Lead - Brent Simmons</v>
      </c>
      <c r="L30" s="1092" t="str">
        <f>IFERROR(VLOOKUP($A30,'2018'!$A:$BB,9,FALSE),"")</f>
        <v>Renewal</v>
      </c>
      <c r="M30" s="1093">
        <f>IFERROR(VLOOKUP($A30,'2018'!$A:$BB,10,FALSE),"")</f>
        <v>42736</v>
      </c>
      <c r="N30" s="1092">
        <f>IFERROR(VLOOKUP($A30,'2018'!$A:$BB,12,FALSE),"")</f>
        <v>17</v>
      </c>
      <c r="O30" s="1091" t="str">
        <f>IFERROR(VLOOKUP($A30,'2018'!$A:$BB,13,FALSE),"")</f>
        <v xml:space="preserve">IGOE </v>
      </c>
      <c r="P30" s="1091" t="str">
        <f>IFERROR(VLOOKUP($A30,'2018'!$A:$BB,14,FALSE),"")</f>
        <v xml:space="preserve">Maestro </v>
      </c>
      <c r="Q30" s="1091" t="str">
        <f>IFERROR(VLOOKUP($A30,'2018'!$A:$BB,16,FALSE),"")</f>
        <v>IGOE</v>
      </c>
      <c r="R30" s="1091" t="str">
        <f>IFERROR(VLOOKUP($A30,'2018'!$A:$BB,17,FALSE),"")</f>
        <v>Optum Health</v>
      </c>
      <c r="S30" s="1092" t="str">
        <f>IFERROR(VLOOKUP($A30,'2018'!$A:$BB,20,FALSE),"")</f>
        <v>SCAL</v>
      </c>
      <c r="T30" s="1092" t="str">
        <f>IFERROR(VLOOKUP($A30,'2018'!$A:$BB,21,FALSE),"")</f>
        <v>Group B (34-44)</v>
      </c>
      <c r="U30" s="1092" t="str">
        <f>IFERROR(VLOOKUP($A30,'2018'!$A:$BB,22,FALSE),"")</f>
        <v>Expanded</v>
      </c>
      <c r="V30" s="1092" t="str">
        <f>IFERROR(VLOOKUP($A30,'2018'!$A:$BB,23,FALSE),"")</f>
        <v>Advantage</v>
      </c>
      <c r="W30" s="1092" t="str">
        <f>IFERROR(VLOOKUP($A30,'2018'!$A:$BB,24,FALSE),"")</f>
        <v>No</v>
      </c>
      <c r="X30" s="1092" t="str">
        <f>IFERROR(VLOOKUP($A30,'2018'!$A:$BB,41,FALSE),"")</f>
        <v xml:space="preserve">Region 3 </v>
      </c>
      <c r="Y30" s="1092" t="str">
        <f>IFERROR(VLOOKUP($A30,'2018'!$A:$BB,42,FALSE),"")</f>
        <v>(50-99)</v>
      </c>
      <c r="Z30" s="1092" t="str">
        <f>IFERROR(VLOOKUP($A30,'2018'!$A:$BB,45,FALSE),"")</f>
        <v xml:space="preserve"> (2-49)</v>
      </c>
      <c r="AA30" s="1094">
        <v>2018</v>
      </c>
      <c r="AB30" s="1095" t="s">
        <v>3775</v>
      </c>
      <c r="AC30" s="1094" t="s">
        <v>317</v>
      </c>
      <c r="AD30" s="1094" t="s">
        <v>3648</v>
      </c>
      <c r="AE30" s="1094" t="s">
        <v>307</v>
      </c>
      <c r="AF30" s="1094" t="s">
        <v>113</v>
      </c>
      <c r="AG30" s="737" t="s">
        <v>3981</v>
      </c>
      <c r="AH30" s="737" t="s">
        <v>3973</v>
      </c>
      <c r="AI30" s="1094">
        <v>11</v>
      </c>
      <c r="AJ30" s="1096" t="s">
        <v>3982</v>
      </c>
      <c r="AK30" s="1100">
        <v>909678</v>
      </c>
      <c r="AL30" s="1098">
        <v>481</v>
      </c>
      <c r="AM30" s="1100">
        <v>909678</v>
      </c>
      <c r="AN30" s="1098">
        <v>482</v>
      </c>
      <c r="AO30" s="1099">
        <f t="shared" si="7"/>
        <v>909678</v>
      </c>
      <c r="AP30" s="1098">
        <f>AN30+1</f>
        <v>483</v>
      </c>
      <c r="AQ30" s="772"/>
      <c r="AR30" s="737" t="s">
        <v>2661</v>
      </c>
      <c r="AS30" s="737" t="s">
        <v>3983</v>
      </c>
      <c r="AT30" s="737">
        <v>4810481</v>
      </c>
      <c r="AU30" s="737" t="s">
        <v>3966</v>
      </c>
      <c r="AV30" s="737" t="s">
        <v>4009</v>
      </c>
      <c r="AW30" s="737">
        <v>4820482</v>
      </c>
    </row>
    <row r="31" spans="1:49" s="953" customFormat="1">
      <c r="A31" s="737" t="s">
        <v>90</v>
      </c>
      <c r="B31" s="740" t="s">
        <v>4005</v>
      </c>
      <c r="C31" s="740"/>
      <c r="D31" s="740" t="s">
        <v>4005</v>
      </c>
      <c r="E31" s="740" t="s">
        <v>4005</v>
      </c>
      <c r="F31" s="1090">
        <f>IFERROR(VLOOKUP($A31,'2018'!$A:$BB,3,FALSE),"")</f>
        <v>208116497</v>
      </c>
      <c r="G31" s="1091" t="str">
        <f>IFERROR(VLOOKUP($A31,'2018'!$A:$BB,4,FALSE),"")</f>
        <v xml:space="preserve">3545 John Hopkins Court 
Suite 150 
San Diego, CA 92121 </v>
      </c>
      <c r="H31" s="1091" t="str">
        <f>IFERROR(VLOOKUP($A31,'2018'!$A:$BB,5,FALSE),"")</f>
        <v xml:space="preserve">Irma Galvan
760 814-1415 
IGalvan@appliedproteomics.com </v>
      </c>
      <c r="I31" s="1091" t="str">
        <f>IFERROR(VLOOKUP($A31,'2018'!$A:$BB,6,FALSE),"")</f>
        <v xml:space="preserve">Irma Galvan
760 814-1415 
IGalvan@appliedproteomics.com </v>
      </c>
      <c r="J31" s="1091" t="str">
        <f>IFERROR(VLOOKUP($A31,'2018'!$A:$BB,7,FALSE),"")</f>
        <v>HUB (San Diego)</v>
      </c>
      <c r="K31" s="1091" t="str">
        <f>IFERROR(VLOOKUP($A31,'2018'!$A:$BB,8,FALSE),"")</f>
        <v>Account Managed by HUB SD Team
Producer - Matt Creighton
Service Lead - Brent Simmons</v>
      </c>
      <c r="L31" s="1092" t="str">
        <f>IFERROR(VLOOKUP($A31,'2018'!$A:$BB,9,FALSE),"")</f>
        <v>Renewal</v>
      </c>
      <c r="M31" s="1093">
        <f>IFERROR(VLOOKUP($A31,'2018'!$A:$BB,10,FALSE),"")</f>
        <v>42736</v>
      </c>
      <c r="N31" s="1092">
        <f>IFERROR(VLOOKUP($A31,'2018'!$A:$BB,12,FALSE),"")</f>
        <v>17</v>
      </c>
      <c r="O31" s="1091" t="str">
        <f>IFERROR(VLOOKUP($A31,'2018'!$A:$BB,13,FALSE),"")</f>
        <v xml:space="preserve">IGOE </v>
      </c>
      <c r="P31" s="1091" t="str">
        <f>IFERROR(VLOOKUP($A31,'2018'!$A:$BB,14,FALSE),"")</f>
        <v xml:space="preserve">Maestro </v>
      </c>
      <c r="Q31" s="1091" t="str">
        <f>IFERROR(VLOOKUP($A31,'2018'!$A:$BB,16,FALSE),"")</f>
        <v>IGOE</v>
      </c>
      <c r="R31" s="1091" t="str">
        <f>IFERROR(VLOOKUP($A31,'2018'!$A:$BB,17,FALSE),"")</f>
        <v>Optum Health</v>
      </c>
      <c r="S31" s="1092" t="str">
        <f>IFERROR(VLOOKUP($A31,'2018'!$A:$BB,20,FALSE),"")</f>
        <v>SCAL</v>
      </c>
      <c r="T31" s="1092" t="str">
        <f>IFERROR(VLOOKUP($A31,'2018'!$A:$BB,21,FALSE),"")</f>
        <v>Group B (34-44)</v>
      </c>
      <c r="U31" s="1092" t="str">
        <f>IFERROR(VLOOKUP($A31,'2018'!$A:$BB,22,FALSE),"")</f>
        <v>Expanded</v>
      </c>
      <c r="V31" s="1092" t="str">
        <f>IFERROR(VLOOKUP($A31,'2018'!$A:$BB,23,FALSE),"")</f>
        <v>Advantage</v>
      </c>
      <c r="W31" s="1092" t="str">
        <f>IFERROR(VLOOKUP($A31,'2018'!$A:$BB,24,FALSE),"")</f>
        <v>No</v>
      </c>
      <c r="X31" s="1092" t="str">
        <f>IFERROR(VLOOKUP($A31,'2018'!$A:$BB,41,FALSE),"")</f>
        <v xml:space="preserve">Region 3 </v>
      </c>
      <c r="Y31" s="1092" t="str">
        <f>IFERROR(VLOOKUP($A31,'2018'!$A:$BB,42,FALSE),"")</f>
        <v>(50-99)</v>
      </c>
      <c r="Z31" s="1092" t="str">
        <f>IFERROR(VLOOKUP($A31,'2018'!$A:$BB,45,FALSE),"")</f>
        <v xml:space="preserve"> (2-49)</v>
      </c>
      <c r="AA31" s="741">
        <v>2018</v>
      </c>
      <c r="AB31" s="1101" t="s">
        <v>3775</v>
      </c>
      <c r="AC31" s="741" t="s">
        <v>317</v>
      </c>
      <c r="AD31" s="741" t="s">
        <v>3648</v>
      </c>
      <c r="AE31" s="741" t="s">
        <v>307</v>
      </c>
      <c r="AF31" s="741" t="s">
        <v>113</v>
      </c>
      <c r="AG31" s="740" t="s">
        <v>3981</v>
      </c>
      <c r="AH31" s="740" t="s">
        <v>3977</v>
      </c>
      <c r="AI31" s="741">
        <v>16</v>
      </c>
      <c r="AJ31" s="1102" t="s">
        <v>3985</v>
      </c>
      <c r="AK31" s="1100">
        <v>909678</v>
      </c>
      <c r="AL31" s="1103">
        <v>733</v>
      </c>
      <c r="AM31" s="1100">
        <v>909678</v>
      </c>
      <c r="AN31" s="1103">
        <v>734</v>
      </c>
      <c r="AO31" s="1099">
        <f t="shared" si="7"/>
        <v>909678</v>
      </c>
      <c r="AP31" s="1098">
        <f>AN31+1</f>
        <v>735</v>
      </c>
      <c r="AQ31" s="951" t="s">
        <v>3979</v>
      </c>
      <c r="AR31" s="740" t="s">
        <v>2661</v>
      </c>
      <c r="AS31" s="952"/>
      <c r="AT31" s="952"/>
      <c r="AU31" s="740" t="s">
        <v>3980</v>
      </c>
      <c r="AV31" s="952"/>
      <c r="AW31" s="952"/>
    </row>
    <row r="32" spans="1:49">
      <c r="A32" s="738"/>
      <c r="B32" s="738"/>
      <c r="C32" s="738"/>
      <c r="D32" s="738"/>
      <c r="E32" s="738"/>
      <c r="F32" s="1059" t="str">
        <f>IFERROR(VLOOKUP($A32,'2018'!$A:$BB,3,FALSE),"")</f>
        <v/>
      </c>
      <c r="G32" s="1055" t="str">
        <f>IFERROR(VLOOKUP($A32,'2018'!$A:$BB,4,FALSE),"")</f>
        <v/>
      </c>
      <c r="H32" s="1055" t="str">
        <f>IFERROR(VLOOKUP($A32,'2018'!$A:$BB,5,FALSE),"")</f>
        <v/>
      </c>
      <c r="I32" s="1055" t="str">
        <f>IFERROR(VLOOKUP($A32,'2018'!$A:$BB,6,FALSE),"")</f>
        <v/>
      </c>
      <c r="J32" s="1055" t="str">
        <f>IFERROR(VLOOKUP($A32,'2018'!$A:$BB,7,FALSE),"")</f>
        <v/>
      </c>
      <c r="K32" s="1055" t="str">
        <f>IFERROR(VLOOKUP($A32,'2018'!$A:$BB,8,FALSE),"")</f>
        <v/>
      </c>
      <c r="L32" s="1062" t="str">
        <f>IFERROR(VLOOKUP($A32,'2018'!$A:$BB,9,FALSE),"")</f>
        <v/>
      </c>
      <c r="M32" s="1067" t="str">
        <f>IFERROR(VLOOKUP($A32,'2018'!$A:$BB,10,FALSE),"")</f>
        <v/>
      </c>
      <c r="N32" s="1062" t="str">
        <f>IFERROR(VLOOKUP($A32,'2018'!$A:$BB,12,FALSE),"")</f>
        <v/>
      </c>
      <c r="O32" s="1055" t="str">
        <f>IFERROR(VLOOKUP($A32,'2018'!$A:$BB,13,FALSE),"")</f>
        <v/>
      </c>
      <c r="P32" s="1055" t="str">
        <f>IFERROR(VLOOKUP($A32,'2018'!$A:$BB,14,FALSE),"")</f>
        <v/>
      </c>
      <c r="Q32" s="1055" t="str">
        <f>IFERROR(VLOOKUP($A32,'2018'!$A:$BB,16,FALSE),"")</f>
        <v/>
      </c>
      <c r="R32" s="1055" t="str">
        <f>IFERROR(VLOOKUP($A32,'2018'!$A:$BB,17,FALSE),"")</f>
        <v/>
      </c>
      <c r="S32" s="1062" t="str">
        <f>IFERROR(VLOOKUP($A32,'2018'!$A:$BB,20,FALSE),"")</f>
        <v/>
      </c>
      <c r="T32" s="1062" t="str">
        <f>IFERROR(VLOOKUP($A32,'2018'!$A:$BB,21,FALSE),"")</f>
        <v/>
      </c>
      <c r="U32" s="1062" t="str">
        <f>IFERROR(VLOOKUP($A32,'2018'!$A:$BB,22,FALSE),"")</f>
        <v/>
      </c>
      <c r="V32" s="1062" t="str">
        <f>IFERROR(VLOOKUP($A32,'2018'!$A:$BB,23,FALSE),"")</f>
        <v/>
      </c>
      <c r="W32" s="1062" t="str">
        <f>IFERROR(VLOOKUP($A32,'2018'!$A:$BB,24,FALSE),"")</f>
        <v/>
      </c>
      <c r="X32" s="1062" t="str">
        <f>IFERROR(VLOOKUP($A32,'2018'!$A:$BB,41,FALSE),"")</f>
        <v/>
      </c>
      <c r="Y32" s="1062" t="str">
        <f>IFERROR(VLOOKUP($A32,'2018'!$A:$BB,42,FALSE),"")</f>
        <v/>
      </c>
      <c r="Z32" s="1062" t="str">
        <f>IFERROR(VLOOKUP($A32,'2018'!$A:$BB,45,FALSE),"")</f>
        <v/>
      </c>
      <c r="AA32" s="727"/>
      <c r="AB32" s="728"/>
      <c r="AC32" s="727"/>
      <c r="AD32" s="727"/>
      <c r="AE32" s="727"/>
      <c r="AF32" s="727"/>
      <c r="AG32" s="726"/>
      <c r="AH32" s="726"/>
      <c r="AI32" s="727"/>
      <c r="AJ32" s="747"/>
      <c r="AK32" s="753"/>
      <c r="AL32" s="754"/>
      <c r="AM32" s="753"/>
      <c r="AN32" s="754"/>
      <c r="AO32" s="776"/>
      <c r="AP32" s="754"/>
      <c r="AQ32" s="770"/>
      <c r="AR32" s="726"/>
      <c r="AS32" s="726"/>
      <c r="AT32" s="726"/>
      <c r="AU32" s="726"/>
      <c r="AV32" s="726"/>
      <c r="AW32" s="726"/>
    </row>
    <row r="33" spans="1:49">
      <c r="A33" s="738" t="s">
        <v>90</v>
      </c>
      <c r="B33" s="738" t="s">
        <v>4005</v>
      </c>
      <c r="C33" s="738"/>
      <c r="D33" s="1089" t="s">
        <v>4349</v>
      </c>
      <c r="E33" s="738" t="s">
        <v>4005</v>
      </c>
      <c r="F33" s="1059">
        <f>IFERROR(VLOOKUP($A33,'2018'!$A:$BB,3,FALSE),"")</f>
        <v>208116497</v>
      </c>
      <c r="G33" s="1055" t="str">
        <f>IFERROR(VLOOKUP($A33,'2018'!$A:$BB,4,FALSE),"")</f>
        <v xml:space="preserve">3545 John Hopkins Court 
Suite 150 
San Diego, CA 92121 </v>
      </c>
      <c r="H33" s="1055" t="str">
        <f>IFERROR(VLOOKUP($A33,'2018'!$A:$BB,5,FALSE),"")</f>
        <v xml:space="preserve">Irma Galvan
760 814-1415 
IGalvan@appliedproteomics.com </v>
      </c>
      <c r="I33" s="1055" t="str">
        <f>IFERROR(VLOOKUP($A33,'2018'!$A:$BB,6,FALSE),"")</f>
        <v xml:space="preserve">Irma Galvan
760 814-1415 
IGalvan@appliedproteomics.com </v>
      </c>
      <c r="J33" s="1055" t="str">
        <f>IFERROR(VLOOKUP($A33,'2018'!$A:$BB,7,FALSE),"")</f>
        <v>HUB (San Diego)</v>
      </c>
      <c r="K33" s="1055" t="str">
        <f>IFERROR(VLOOKUP($A33,'2018'!$A:$BB,8,FALSE),"")</f>
        <v>Account Managed by HUB SD Team
Producer - Matt Creighton
Service Lead - Brent Simmons</v>
      </c>
      <c r="L33" s="1062" t="str">
        <f>IFERROR(VLOOKUP($A33,'2018'!$A:$BB,9,FALSE),"")</f>
        <v>Renewal</v>
      </c>
      <c r="M33" s="1067">
        <f>IFERROR(VLOOKUP($A33,'2018'!$A:$BB,10,FALSE),"")</f>
        <v>42736</v>
      </c>
      <c r="N33" s="1062">
        <f>IFERROR(VLOOKUP($A33,'2018'!$A:$BB,12,FALSE),"")</f>
        <v>17</v>
      </c>
      <c r="O33" s="1055" t="str">
        <f>IFERROR(VLOOKUP($A33,'2018'!$A:$BB,13,FALSE),"")</f>
        <v xml:space="preserve">IGOE </v>
      </c>
      <c r="P33" s="1055" t="str">
        <f>IFERROR(VLOOKUP($A33,'2018'!$A:$BB,14,FALSE),"")</f>
        <v xml:space="preserve">Maestro </v>
      </c>
      <c r="Q33" s="1055" t="str">
        <f>IFERROR(VLOOKUP($A33,'2018'!$A:$BB,16,FALSE),"")</f>
        <v>IGOE</v>
      </c>
      <c r="R33" s="1055" t="str">
        <f>IFERROR(VLOOKUP($A33,'2018'!$A:$BB,17,FALSE),"")</f>
        <v>Optum Health</v>
      </c>
      <c r="S33" s="1062" t="str">
        <f>IFERROR(VLOOKUP($A33,'2018'!$A:$BB,20,FALSE),"")</f>
        <v>SCAL</v>
      </c>
      <c r="T33" s="1062" t="str">
        <f>IFERROR(VLOOKUP($A33,'2018'!$A:$BB,21,FALSE),"")</f>
        <v>Group B (34-44)</v>
      </c>
      <c r="U33" s="1062" t="str">
        <f>IFERROR(VLOOKUP($A33,'2018'!$A:$BB,22,FALSE),"")</f>
        <v>Expanded</v>
      </c>
      <c r="V33" s="1062" t="str">
        <f>IFERROR(VLOOKUP($A33,'2018'!$A:$BB,23,FALSE),"")</f>
        <v>Advantage</v>
      </c>
      <c r="W33" s="1062" t="str">
        <f>IFERROR(VLOOKUP($A33,'2018'!$A:$BB,24,FALSE),"")</f>
        <v>No</v>
      </c>
      <c r="X33" s="1062" t="str">
        <f>IFERROR(VLOOKUP($A33,'2018'!$A:$BB,41,FALSE),"")</f>
        <v xml:space="preserve">Region 3 </v>
      </c>
      <c r="Y33" s="1062" t="str">
        <f>IFERROR(VLOOKUP($A33,'2018'!$A:$BB,42,FALSE),"")</f>
        <v>(50-99)</v>
      </c>
      <c r="Z33" s="1062" t="str">
        <f>IFERROR(VLOOKUP($A33,'2018'!$A:$BB,45,FALSE),"")</f>
        <v xml:space="preserve"> (2-49)</v>
      </c>
      <c r="AA33" s="730">
        <v>2018</v>
      </c>
      <c r="AB33" s="1170" t="s">
        <v>4548</v>
      </c>
      <c r="AC33" s="727" t="s">
        <v>317</v>
      </c>
      <c r="AD33" s="727" t="s">
        <v>3648</v>
      </c>
      <c r="AE33" s="727" t="s">
        <v>307</v>
      </c>
      <c r="AF33" s="727" t="s">
        <v>113</v>
      </c>
      <c r="AG33" s="726" t="s">
        <v>3962</v>
      </c>
      <c r="AH33" s="726" t="s">
        <v>3963</v>
      </c>
      <c r="AI33" s="727">
        <v>1</v>
      </c>
      <c r="AJ33" s="747" t="s">
        <v>3998</v>
      </c>
      <c r="AK33" s="753">
        <v>260065</v>
      </c>
      <c r="AL33" s="754">
        <v>166</v>
      </c>
      <c r="AM33" s="753">
        <v>260066</v>
      </c>
      <c r="AN33" s="754">
        <v>167</v>
      </c>
      <c r="AO33" s="776">
        <f t="shared" si="0"/>
        <v>260067</v>
      </c>
      <c r="AP33" s="754">
        <f t="shared" si="1"/>
        <v>168</v>
      </c>
      <c r="AQ33" s="770"/>
      <c r="AR33" s="726" t="s">
        <v>2661</v>
      </c>
      <c r="AS33" s="726" t="s">
        <v>3999</v>
      </c>
      <c r="AT33" s="726">
        <v>1660166</v>
      </c>
      <c r="AU33" s="726" t="s">
        <v>3966</v>
      </c>
      <c r="AV33" s="726" t="s">
        <v>4006</v>
      </c>
      <c r="AW33" s="726">
        <v>1670167</v>
      </c>
    </row>
    <row r="34" spans="1:49">
      <c r="A34" s="738" t="s">
        <v>90</v>
      </c>
      <c r="B34" s="738" t="s">
        <v>4005</v>
      </c>
      <c r="C34" s="738"/>
      <c r="D34" s="1089" t="s">
        <v>4349</v>
      </c>
      <c r="E34" s="738" t="s">
        <v>4005</v>
      </c>
      <c r="F34" s="1059">
        <f>IFERROR(VLOOKUP($A34,'2018'!$A:$BB,3,FALSE),"")</f>
        <v>208116497</v>
      </c>
      <c r="G34" s="1055" t="str">
        <f>IFERROR(VLOOKUP($A34,'2018'!$A:$BB,4,FALSE),"")</f>
        <v xml:space="preserve">3545 John Hopkins Court 
Suite 150 
San Diego, CA 92121 </v>
      </c>
      <c r="H34" s="1055" t="str">
        <f>IFERROR(VLOOKUP($A34,'2018'!$A:$BB,5,FALSE),"")</f>
        <v xml:space="preserve">Irma Galvan
760 814-1415 
IGalvan@appliedproteomics.com </v>
      </c>
      <c r="I34" s="1055" t="str">
        <f>IFERROR(VLOOKUP($A34,'2018'!$A:$BB,6,FALSE),"")</f>
        <v xml:space="preserve">Irma Galvan
760 814-1415 
IGalvan@appliedproteomics.com </v>
      </c>
      <c r="J34" s="1055" t="str">
        <f>IFERROR(VLOOKUP($A34,'2018'!$A:$BB,7,FALSE),"")</f>
        <v>HUB (San Diego)</v>
      </c>
      <c r="K34" s="1055" t="str">
        <f>IFERROR(VLOOKUP($A34,'2018'!$A:$BB,8,FALSE),"")</f>
        <v>Account Managed by HUB SD Team
Producer - Matt Creighton
Service Lead - Brent Simmons</v>
      </c>
      <c r="L34" s="1062" t="str">
        <f>IFERROR(VLOOKUP($A34,'2018'!$A:$BB,9,FALSE),"")</f>
        <v>Renewal</v>
      </c>
      <c r="M34" s="1067">
        <f>IFERROR(VLOOKUP($A34,'2018'!$A:$BB,10,FALSE),"")</f>
        <v>42736</v>
      </c>
      <c r="N34" s="1062">
        <f>IFERROR(VLOOKUP($A34,'2018'!$A:$BB,12,FALSE),"")</f>
        <v>17</v>
      </c>
      <c r="O34" s="1055" t="str">
        <f>IFERROR(VLOOKUP($A34,'2018'!$A:$BB,13,FALSE),"")</f>
        <v xml:space="preserve">IGOE </v>
      </c>
      <c r="P34" s="1055" t="str">
        <f>IFERROR(VLOOKUP($A34,'2018'!$A:$BB,14,FALSE),"")</f>
        <v xml:space="preserve">Maestro </v>
      </c>
      <c r="Q34" s="1055" t="str">
        <f>IFERROR(VLOOKUP($A34,'2018'!$A:$BB,16,FALSE),"")</f>
        <v>IGOE</v>
      </c>
      <c r="R34" s="1055" t="str">
        <f>IFERROR(VLOOKUP($A34,'2018'!$A:$BB,17,FALSE),"")</f>
        <v>Optum Health</v>
      </c>
      <c r="S34" s="1062" t="str">
        <f>IFERROR(VLOOKUP($A34,'2018'!$A:$BB,20,FALSE),"")</f>
        <v>SCAL</v>
      </c>
      <c r="T34" s="1062" t="str">
        <f>IFERROR(VLOOKUP($A34,'2018'!$A:$BB,21,FALSE),"")</f>
        <v>Group B (34-44)</v>
      </c>
      <c r="U34" s="1062" t="str">
        <f>IFERROR(VLOOKUP($A34,'2018'!$A:$BB,22,FALSE),"")</f>
        <v>Expanded</v>
      </c>
      <c r="V34" s="1062" t="str">
        <f>IFERROR(VLOOKUP($A34,'2018'!$A:$BB,23,FALSE),"")</f>
        <v>Advantage</v>
      </c>
      <c r="W34" s="1062" t="str">
        <f>IFERROR(VLOOKUP($A34,'2018'!$A:$BB,24,FALSE),"")</f>
        <v>No</v>
      </c>
      <c r="X34" s="1062" t="str">
        <f>IFERROR(VLOOKUP($A34,'2018'!$A:$BB,41,FALSE),"")</f>
        <v xml:space="preserve">Region 3 </v>
      </c>
      <c r="Y34" s="1062" t="str">
        <f>IFERROR(VLOOKUP($A34,'2018'!$A:$BB,42,FALSE),"")</f>
        <v>(50-99)</v>
      </c>
      <c r="Z34" s="1062" t="str">
        <f>IFERROR(VLOOKUP($A34,'2018'!$A:$BB,45,FALSE),"")</f>
        <v xml:space="preserve"> (2-49)</v>
      </c>
      <c r="AA34" s="730">
        <v>2018</v>
      </c>
      <c r="AB34" s="1170" t="s">
        <v>4548</v>
      </c>
      <c r="AC34" s="727" t="s">
        <v>317</v>
      </c>
      <c r="AD34" s="727" t="s">
        <v>3648</v>
      </c>
      <c r="AE34" s="727" t="s">
        <v>307</v>
      </c>
      <c r="AF34" s="727" t="s">
        <v>113</v>
      </c>
      <c r="AG34" s="726" t="s">
        <v>3972</v>
      </c>
      <c r="AH34" s="726" t="s">
        <v>3973</v>
      </c>
      <c r="AI34" s="727">
        <v>8</v>
      </c>
      <c r="AJ34" s="747" t="s">
        <v>3992</v>
      </c>
      <c r="AK34" s="755">
        <v>909678</v>
      </c>
      <c r="AL34" s="754">
        <v>373</v>
      </c>
      <c r="AM34" s="755">
        <v>909678</v>
      </c>
      <c r="AN34" s="754">
        <v>374</v>
      </c>
      <c r="AO34" s="776">
        <f t="shared" ref="AO34:AO37" si="8">AM34</f>
        <v>909678</v>
      </c>
      <c r="AP34" s="754">
        <f t="shared" si="1"/>
        <v>375</v>
      </c>
      <c r="AQ34" s="770"/>
      <c r="AR34" s="726" t="s">
        <v>2661</v>
      </c>
      <c r="AS34" s="726" t="s">
        <v>4007</v>
      </c>
      <c r="AT34" s="726">
        <v>3730373</v>
      </c>
      <c r="AU34" s="726" t="s">
        <v>3966</v>
      </c>
      <c r="AV34" s="726" t="s">
        <v>4008</v>
      </c>
      <c r="AW34" s="726">
        <v>3740374</v>
      </c>
    </row>
    <row r="35" spans="1:49">
      <c r="A35" s="738" t="s">
        <v>90</v>
      </c>
      <c r="B35" s="736" t="s">
        <v>4005</v>
      </c>
      <c r="C35" s="736"/>
      <c r="D35" s="1089" t="s">
        <v>4349</v>
      </c>
      <c r="E35" s="738" t="s">
        <v>4005</v>
      </c>
      <c r="F35" s="1059">
        <f>IFERROR(VLOOKUP($A35,'2018'!$A:$BB,3,FALSE),"")</f>
        <v>208116497</v>
      </c>
      <c r="G35" s="1055" t="str">
        <f>IFERROR(VLOOKUP($A35,'2018'!$A:$BB,4,FALSE),"")</f>
        <v xml:space="preserve">3545 John Hopkins Court 
Suite 150 
San Diego, CA 92121 </v>
      </c>
      <c r="H35" s="1055" t="str">
        <f>IFERROR(VLOOKUP($A35,'2018'!$A:$BB,5,FALSE),"")</f>
        <v xml:space="preserve">Irma Galvan
760 814-1415 
IGalvan@appliedproteomics.com </v>
      </c>
      <c r="I35" s="1055" t="str">
        <f>IFERROR(VLOOKUP($A35,'2018'!$A:$BB,6,FALSE),"")</f>
        <v xml:space="preserve">Irma Galvan
760 814-1415 
IGalvan@appliedproteomics.com </v>
      </c>
      <c r="J35" s="1055" t="str">
        <f>IFERROR(VLOOKUP($A35,'2018'!$A:$BB,7,FALSE),"")</f>
        <v>HUB (San Diego)</v>
      </c>
      <c r="K35" s="1055" t="str">
        <f>IFERROR(VLOOKUP($A35,'2018'!$A:$BB,8,FALSE),"")</f>
        <v>Account Managed by HUB SD Team
Producer - Matt Creighton
Service Lead - Brent Simmons</v>
      </c>
      <c r="L35" s="1062" t="str">
        <f>IFERROR(VLOOKUP($A35,'2018'!$A:$BB,9,FALSE),"")</f>
        <v>Renewal</v>
      </c>
      <c r="M35" s="1067">
        <f>IFERROR(VLOOKUP($A35,'2018'!$A:$BB,10,FALSE),"")</f>
        <v>42736</v>
      </c>
      <c r="N35" s="1062">
        <f>IFERROR(VLOOKUP($A35,'2018'!$A:$BB,12,FALSE),"")</f>
        <v>17</v>
      </c>
      <c r="O35" s="1055" t="str">
        <f>IFERROR(VLOOKUP($A35,'2018'!$A:$BB,13,FALSE),"")</f>
        <v xml:space="preserve">IGOE </v>
      </c>
      <c r="P35" s="1055" t="str">
        <f>IFERROR(VLOOKUP($A35,'2018'!$A:$BB,14,FALSE),"")</f>
        <v xml:space="preserve">Maestro </v>
      </c>
      <c r="Q35" s="1055" t="str">
        <f>IFERROR(VLOOKUP($A35,'2018'!$A:$BB,16,FALSE),"")</f>
        <v>IGOE</v>
      </c>
      <c r="R35" s="1055" t="str">
        <f>IFERROR(VLOOKUP($A35,'2018'!$A:$BB,17,FALSE),"")</f>
        <v>Optum Health</v>
      </c>
      <c r="S35" s="1062" t="str">
        <f>IFERROR(VLOOKUP($A35,'2018'!$A:$BB,20,FALSE),"")</f>
        <v>SCAL</v>
      </c>
      <c r="T35" s="1062" t="str">
        <f>IFERROR(VLOOKUP($A35,'2018'!$A:$BB,21,FALSE),"")</f>
        <v>Group B (34-44)</v>
      </c>
      <c r="U35" s="1062" t="str">
        <f>IFERROR(VLOOKUP($A35,'2018'!$A:$BB,22,FALSE),"")</f>
        <v>Expanded</v>
      </c>
      <c r="V35" s="1062" t="str">
        <f>IFERROR(VLOOKUP($A35,'2018'!$A:$BB,23,FALSE),"")</f>
        <v>Advantage</v>
      </c>
      <c r="W35" s="1062" t="str">
        <f>IFERROR(VLOOKUP($A35,'2018'!$A:$BB,24,FALSE),"")</f>
        <v>No</v>
      </c>
      <c r="X35" s="1062" t="str">
        <f>IFERROR(VLOOKUP($A35,'2018'!$A:$BB,41,FALSE),"")</f>
        <v xml:space="preserve">Region 3 </v>
      </c>
      <c r="Y35" s="1062" t="str">
        <f>IFERROR(VLOOKUP($A35,'2018'!$A:$BB,42,FALSE),"")</f>
        <v>(50-99)</v>
      </c>
      <c r="Z35" s="1062" t="str">
        <f>IFERROR(VLOOKUP($A35,'2018'!$A:$BB,45,FALSE),"")</f>
        <v xml:space="preserve"> (2-49)</v>
      </c>
      <c r="AA35" s="731">
        <v>2018</v>
      </c>
      <c r="AB35" s="1170" t="s">
        <v>4548</v>
      </c>
      <c r="AC35" s="734" t="s">
        <v>317</v>
      </c>
      <c r="AD35" s="734" t="s">
        <v>3648</v>
      </c>
      <c r="AE35" s="734" t="s">
        <v>307</v>
      </c>
      <c r="AF35" s="734" t="s">
        <v>113</v>
      </c>
      <c r="AG35" s="732" t="s">
        <v>3972</v>
      </c>
      <c r="AH35" s="732" t="s">
        <v>3977</v>
      </c>
      <c r="AI35" s="734">
        <v>14</v>
      </c>
      <c r="AJ35" s="748" t="s">
        <v>3994</v>
      </c>
      <c r="AK35" s="755">
        <v>909678</v>
      </c>
      <c r="AL35" s="756">
        <v>625</v>
      </c>
      <c r="AM35" s="755">
        <v>909678</v>
      </c>
      <c r="AN35" s="756">
        <v>626</v>
      </c>
      <c r="AO35" s="776">
        <f t="shared" si="8"/>
        <v>909678</v>
      </c>
      <c r="AP35" s="754">
        <f t="shared" si="1"/>
        <v>627</v>
      </c>
      <c r="AQ35" s="771" t="s">
        <v>3979</v>
      </c>
      <c r="AR35" s="732" t="s">
        <v>2661</v>
      </c>
      <c r="AS35" s="735"/>
      <c r="AT35" s="735"/>
      <c r="AU35" s="732" t="s">
        <v>3980</v>
      </c>
      <c r="AV35" s="735"/>
      <c r="AW35" s="735"/>
    </row>
    <row r="36" spans="1:49">
      <c r="A36" s="738" t="s">
        <v>90</v>
      </c>
      <c r="B36" s="738" t="s">
        <v>4005</v>
      </c>
      <c r="C36" s="738"/>
      <c r="D36" s="1089" t="s">
        <v>4349</v>
      </c>
      <c r="E36" s="738" t="s">
        <v>4005</v>
      </c>
      <c r="F36" s="1059">
        <f>IFERROR(VLOOKUP($A36,'2018'!$A:$BB,3,FALSE),"")</f>
        <v>208116497</v>
      </c>
      <c r="G36" s="1055" t="str">
        <f>IFERROR(VLOOKUP($A36,'2018'!$A:$BB,4,FALSE),"")</f>
        <v xml:space="preserve">3545 John Hopkins Court 
Suite 150 
San Diego, CA 92121 </v>
      </c>
      <c r="H36" s="1055" t="str">
        <f>IFERROR(VLOOKUP($A36,'2018'!$A:$BB,5,FALSE),"")</f>
        <v xml:space="preserve">Irma Galvan
760 814-1415 
IGalvan@appliedproteomics.com </v>
      </c>
      <c r="I36" s="1055" t="str">
        <f>IFERROR(VLOOKUP($A36,'2018'!$A:$BB,6,FALSE),"")</f>
        <v xml:space="preserve">Irma Galvan
760 814-1415 
IGalvan@appliedproteomics.com </v>
      </c>
      <c r="J36" s="1055" t="str">
        <f>IFERROR(VLOOKUP($A36,'2018'!$A:$BB,7,FALSE),"")</f>
        <v>HUB (San Diego)</v>
      </c>
      <c r="K36" s="1055" t="str">
        <f>IFERROR(VLOOKUP($A36,'2018'!$A:$BB,8,FALSE),"")</f>
        <v>Account Managed by HUB SD Team
Producer - Matt Creighton
Service Lead - Brent Simmons</v>
      </c>
      <c r="L36" s="1062" t="str">
        <f>IFERROR(VLOOKUP($A36,'2018'!$A:$BB,9,FALSE),"")</f>
        <v>Renewal</v>
      </c>
      <c r="M36" s="1067">
        <f>IFERROR(VLOOKUP($A36,'2018'!$A:$BB,10,FALSE),"")</f>
        <v>42736</v>
      </c>
      <c r="N36" s="1062">
        <f>IFERROR(VLOOKUP($A36,'2018'!$A:$BB,12,FALSE),"")</f>
        <v>17</v>
      </c>
      <c r="O36" s="1055" t="str">
        <f>IFERROR(VLOOKUP($A36,'2018'!$A:$BB,13,FALSE),"")</f>
        <v xml:space="preserve">IGOE </v>
      </c>
      <c r="P36" s="1055" t="str">
        <f>IFERROR(VLOOKUP($A36,'2018'!$A:$BB,14,FALSE),"")</f>
        <v xml:space="preserve">Maestro </v>
      </c>
      <c r="Q36" s="1055" t="str">
        <f>IFERROR(VLOOKUP($A36,'2018'!$A:$BB,16,FALSE),"")</f>
        <v>IGOE</v>
      </c>
      <c r="R36" s="1055" t="str">
        <f>IFERROR(VLOOKUP($A36,'2018'!$A:$BB,17,FALSE),"")</f>
        <v>Optum Health</v>
      </c>
      <c r="S36" s="1062" t="str">
        <f>IFERROR(VLOOKUP($A36,'2018'!$A:$BB,20,FALSE),"")</f>
        <v>SCAL</v>
      </c>
      <c r="T36" s="1062" t="str">
        <f>IFERROR(VLOOKUP($A36,'2018'!$A:$BB,21,FALSE),"")</f>
        <v>Group B (34-44)</v>
      </c>
      <c r="U36" s="1062" t="str">
        <f>IFERROR(VLOOKUP($A36,'2018'!$A:$BB,22,FALSE),"")</f>
        <v>Expanded</v>
      </c>
      <c r="V36" s="1062" t="str">
        <f>IFERROR(VLOOKUP($A36,'2018'!$A:$BB,23,FALSE),"")</f>
        <v>Advantage</v>
      </c>
      <c r="W36" s="1062" t="str">
        <f>IFERROR(VLOOKUP($A36,'2018'!$A:$BB,24,FALSE),"")</f>
        <v>No</v>
      </c>
      <c r="X36" s="1062" t="str">
        <f>IFERROR(VLOOKUP($A36,'2018'!$A:$BB,41,FALSE),"")</f>
        <v xml:space="preserve">Region 3 </v>
      </c>
      <c r="Y36" s="1062" t="str">
        <f>IFERROR(VLOOKUP($A36,'2018'!$A:$BB,42,FALSE),"")</f>
        <v>(50-99)</v>
      </c>
      <c r="Z36" s="1062" t="str">
        <f>IFERROR(VLOOKUP($A36,'2018'!$A:$BB,45,FALSE),"")</f>
        <v xml:space="preserve"> (2-49)</v>
      </c>
      <c r="AA36" s="730">
        <v>2018</v>
      </c>
      <c r="AB36" s="1170" t="s">
        <v>4548</v>
      </c>
      <c r="AC36" s="727" t="s">
        <v>317</v>
      </c>
      <c r="AD36" s="727" t="s">
        <v>3648</v>
      </c>
      <c r="AE36" s="727" t="s">
        <v>307</v>
      </c>
      <c r="AF36" s="727" t="s">
        <v>113</v>
      </c>
      <c r="AG36" s="726" t="s">
        <v>3981</v>
      </c>
      <c r="AH36" s="726" t="s">
        <v>3973</v>
      </c>
      <c r="AI36" s="727">
        <v>11</v>
      </c>
      <c r="AJ36" s="747" t="s">
        <v>3982</v>
      </c>
      <c r="AK36" s="755">
        <v>909678</v>
      </c>
      <c r="AL36" s="754">
        <v>481</v>
      </c>
      <c r="AM36" s="755">
        <v>909678</v>
      </c>
      <c r="AN36" s="754">
        <v>482</v>
      </c>
      <c r="AO36" s="776">
        <f t="shared" si="8"/>
        <v>909678</v>
      </c>
      <c r="AP36" s="754">
        <f t="shared" si="1"/>
        <v>483</v>
      </c>
      <c r="AQ36" s="770"/>
      <c r="AR36" s="726" t="s">
        <v>2661</v>
      </c>
      <c r="AS36" s="726" t="s">
        <v>3983</v>
      </c>
      <c r="AT36" s="726">
        <v>4810481</v>
      </c>
      <c r="AU36" s="726" t="s">
        <v>3966</v>
      </c>
      <c r="AV36" s="726" t="s">
        <v>4009</v>
      </c>
      <c r="AW36" s="726">
        <v>4820482</v>
      </c>
    </row>
    <row r="37" spans="1:49">
      <c r="A37" s="738" t="s">
        <v>90</v>
      </c>
      <c r="B37" s="736" t="s">
        <v>4005</v>
      </c>
      <c r="C37" s="736"/>
      <c r="D37" s="1089" t="s">
        <v>4349</v>
      </c>
      <c r="E37" s="738" t="s">
        <v>4005</v>
      </c>
      <c r="F37" s="1059">
        <f>IFERROR(VLOOKUP($A37,'2018'!$A:$BB,3,FALSE),"")</f>
        <v>208116497</v>
      </c>
      <c r="G37" s="1055" t="str">
        <f>IFERROR(VLOOKUP($A37,'2018'!$A:$BB,4,FALSE),"")</f>
        <v xml:space="preserve">3545 John Hopkins Court 
Suite 150 
San Diego, CA 92121 </v>
      </c>
      <c r="H37" s="1055" t="str">
        <f>IFERROR(VLOOKUP($A37,'2018'!$A:$BB,5,FALSE),"")</f>
        <v xml:space="preserve">Irma Galvan
760 814-1415 
IGalvan@appliedproteomics.com </v>
      </c>
      <c r="I37" s="1055" t="str">
        <f>IFERROR(VLOOKUP($A37,'2018'!$A:$BB,6,FALSE),"")</f>
        <v xml:space="preserve">Irma Galvan
760 814-1415 
IGalvan@appliedproteomics.com </v>
      </c>
      <c r="J37" s="1055" t="str">
        <f>IFERROR(VLOOKUP($A37,'2018'!$A:$BB,7,FALSE),"")</f>
        <v>HUB (San Diego)</v>
      </c>
      <c r="K37" s="1055" t="str">
        <f>IFERROR(VLOOKUP($A37,'2018'!$A:$BB,8,FALSE),"")</f>
        <v>Account Managed by HUB SD Team
Producer - Matt Creighton
Service Lead - Brent Simmons</v>
      </c>
      <c r="L37" s="1062" t="str">
        <f>IFERROR(VLOOKUP($A37,'2018'!$A:$BB,9,FALSE),"")</f>
        <v>Renewal</v>
      </c>
      <c r="M37" s="1067">
        <f>IFERROR(VLOOKUP($A37,'2018'!$A:$BB,10,FALSE),"")</f>
        <v>42736</v>
      </c>
      <c r="N37" s="1062">
        <f>IFERROR(VLOOKUP($A37,'2018'!$A:$BB,12,FALSE),"")</f>
        <v>17</v>
      </c>
      <c r="O37" s="1055" t="str">
        <f>IFERROR(VLOOKUP($A37,'2018'!$A:$BB,13,FALSE),"")</f>
        <v xml:space="preserve">IGOE </v>
      </c>
      <c r="P37" s="1055" t="str">
        <f>IFERROR(VLOOKUP($A37,'2018'!$A:$BB,14,FALSE),"")</f>
        <v xml:space="preserve">Maestro </v>
      </c>
      <c r="Q37" s="1055" t="str">
        <f>IFERROR(VLOOKUP($A37,'2018'!$A:$BB,16,FALSE),"")</f>
        <v>IGOE</v>
      </c>
      <c r="R37" s="1055" t="str">
        <f>IFERROR(VLOOKUP($A37,'2018'!$A:$BB,17,FALSE),"")</f>
        <v>Optum Health</v>
      </c>
      <c r="S37" s="1062" t="str">
        <f>IFERROR(VLOOKUP($A37,'2018'!$A:$BB,20,FALSE),"")</f>
        <v>SCAL</v>
      </c>
      <c r="T37" s="1062" t="str">
        <f>IFERROR(VLOOKUP($A37,'2018'!$A:$BB,21,FALSE),"")</f>
        <v>Group B (34-44)</v>
      </c>
      <c r="U37" s="1062" t="str">
        <f>IFERROR(VLOOKUP($A37,'2018'!$A:$BB,22,FALSE),"")</f>
        <v>Expanded</v>
      </c>
      <c r="V37" s="1062" t="str">
        <f>IFERROR(VLOOKUP($A37,'2018'!$A:$BB,23,FALSE),"")</f>
        <v>Advantage</v>
      </c>
      <c r="W37" s="1062" t="str">
        <f>IFERROR(VLOOKUP($A37,'2018'!$A:$BB,24,FALSE),"")</f>
        <v>No</v>
      </c>
      <c r="X37" s="1062" t="str">
        <f>IFERROR(VLOOKUP($A37,'2018'!$A:$BB,41,FALSE),"")</f>
        <v xml:space="preserve">Region 3 </v>
      </c>
      <c r="Y37" s="1062" t="str">
        <f>IFERROR(VLOOKUP($A37,'2018'!$A:$BB,42,FALSE),"")</f>
        <v>(50-99)</v>
      </c>
      <c r="Z37" s="1062" t="str">
        <f>IFERROR(VLOOKUP($A37,'2018'!$A:$BB,45,FALSE),"")</f>
        <v xml:space="preserve"> (2-49)</v>
      </c>
      <c r="AA37" s="731">
        <v>2018</v>
      </c>
      <c r="AB37" s="1170" t="s">
        <v>4548</v>
      </c>
      <c r="AC37" s="734" t="s">
        <v>317</v>
      </c>
      <c r="AD37" s="734" t="s">
        <v>3648</v>
      </c>
      <c r="AE37" s="734" t="s">
        <v>307</v>
      </c>
      <c r="AF37" s="734" t="s">
        <v>113</v>
      </c>
      <c r="AG37" s="732" t="s">
        <v>3981</v>
      </c>
      <c r="AH37" s="732" t="s">
        <v>3977</v>
      </c>
      <c r="AI37" s="734">
        <v>16</v>
      </c>
      <c r="AJ37" s="748" t="s">
        <v>3985</v>
      </c>
      <c r="AK37" s="755">
        <v>909678</v>
      </c>
      <c r="AL37" s="756">
        <v>733</v>
      </c>
      <c r="AM37" s="755">
        <v>909678</v>
      </c>
      <c r="AN37" s="756">
        <v>734</v>
      </c>
      <c r="AO37" s="776">
        <f t="shared" si="8"/>
        <v>909678</v>
      </c>
      <c r="AP37" s="754">
        <f t="shared" si="1"/>
        <v>735</v>
      </c>
      <c r="AQ37" s="771" t="s">
        <v>3979</v>
      </c>
      <c r="AR37" s="732" t="s">
        <v>2661</v>
      </c>
      <c r="AS37" s="735"/>
      <c r="AT37" s="735"/>
      <c r="AU37" s="732" t="s">
        <v>3980</v>
      </c>
      <c r="AV37" s="735"/>
      <c r="AW37" s="735"/>
    </row>
    <row r="38" spans="1:49">
      <c r="A38" s="738"/>
      <c r="B38" s="738"/>
      <c r="C38" s="738"/>
      <c r="D38" s="738"/>
      <c r="E38" s="738"/>
      <c r="F38" s="1059" t="str">
        <f>IFERROR(VLOOKUP($A38,'2018'!$A:$BB,3,FALSE),"")</f>
        <v/>
      </c>
      <c r="G38" s="1055" t="str">
        <f>IFERROR(VLOOKUP($A38,'2018'!$A:$BB,4,FALSE),"")</f>
        <v/>
      </c>
      <c r="H38" s="1055" t="str">
        <f>IFERROR(VLOOKUP($A38,'2018'!$A:$BB,5,FALSE),"")</f>
        <v/>
      </c>
      <c r="I38" s="1055" t="str">
        <f>IFERROR(VLOOKUP($A38,'2018'!$A:$BB,6,FALSE),"")</f>
        <v/>
      </c>
      <c r="J38" s="1055" t="str">
        <f>IFERROR(VLOOKUP($A38,'2018'!$A:$BB,7,FALSE),"")</f>
        <v/>
      </c>
      <c r="K38" s="1055" t="str">
        <f>IFERROR(VLOOKUP($A38,'2018'!$A:$BB,8,FALSE),"")</f>
        <v/>
      </c>
      <c r="L38" s="1062" t="str">
        <f>IFERROR(VLOOKUP($A38,'2018'!$A:$BB,9,FALSE),"")</f>
        <v/>
      </c>
      <c r="M38" s="1067" t="str">
        <f>IFERROR(VLOOKUP($A38,'2018'!$A:$BB,10,FALSE),"")</f>
        <v/>
      </c>
      <c r="N38" s="1062" t="str">
        <f>IFERROR(VLOOKUP($A38,'2018'!$A:$BB,12,FALSE),"")</f>
        <v/>
      </c>
      <c r="O38" s="1055" t="str">
        <f>IFERROR(VLOOKUP($A38,'2018'!$A:$BB,13,FALSE),"")</f>
        <v/>
      </c>
      <c r="P38" s="1055" t="str">
        <f>IFERROR(VLOOKUP($A38,'2018'!$A:$BB,14,FALSE),"")</f>
        <v/>
      </c>
      <c r="Q38" s="1055" t="str">
        <f>IFERROR(VLOOKUP($A38,'2018'!$A:$BB,16,FALSE),"")</f>
        <v/>
      </c>
      <c r="R38" s="1055" t="str">
        <f>IFERROR(VLOOKUP($A38,'2018'!$A:$BB,17,FALSE),"")</f>
        <v/>
      </c>
      <c r="S38" s="1062" t="str">
        <f>IFERROR(VLOOKUP($A38,'2018'!$A:$BB,20,FALSE),"")</f>
        <v/>
      </c>
      <c r="T38" s="1062" t="str">
        <f>IFERROR(VLOOKUP($A38,'2018'!$A:$BB,21,FALSE),"")</f>
        <v/>
      </c>
      <c r="U38" s="1062" t="str">
        <f>IFERROR(VLOOKUP($A38,'2018'!$A:$BB,22,FALSE),"")</f>
        <v/>
      </c>
      <c r="V38" s="1062" t="str">
        <f>IFERROR(VLOOKUP($A38,'2018'!$A:$BB,23,FALSE),"")</f>
        <v/>
      </c>
      <c r="W38" s="1062" t="str">
        <f>IFERROR(VLOOKUP($A38,'2018'!$A:$BB,24,FALSE),"")</f>
        <v/>
      </c>
      <c r="X38" s="1062" t="str">
        <f>IFERROR(VLOOKUP($A38,'2018'!$A:$BB,41,FALSE),"")</f>
        <v/>
      </c>
      <c r="Y38" s="1062" t="str">
        <f>IFERROR(VLOOKUP($A38,'2018'!$A:$BB,42,FALSE),"")</f>
        <v/>
      </c>
      <c r="Z38" s="1062" t="str">
        <f>IFERROR(VLOOKUP($A38,'2018'!$A:$BB,45,FALSE),"")</f>
        <v/>
      </c>
      <c r="AA38" s="727"/>
      <c r="AB38" s="728"/>
      <c r="AC38" s="727"/>
      <c r="AD38" s="727"/>
      <c r="AE38" s="727"/>
      <c r="AF38" s="727"/>
      <c r="AG38" s="726"/>
      <c r="AH38" s="726"/>
      <c r="AI38" s="727"/>
      <c r="AJ38" s="747"/>
      <c r="AK38" s="753"/>
      <c r="AL38" s="754"/>
      <c r="AM38" s="753"/>
      <c r="AN38" s="754"/>
      <c r="AO38" s="776"/>
      <c r="AP38" s="754"/>
      <c r="AQ38" s="770"/>
      <c r="AR38" s="726"/>
      <c r="AS38" s="726"/>
      <c r="AT38" s="726"/>
      <c r="AU38" s="726"/>
      <c r="AV38" s="726"/>
      <c r="AW38" s="726"/>
    </row>
    <row r="39" spans="1:49">
      <c r="A39" s="736" t="s">
        <v>319</v>
      </c>
      <c r="B39" s="736" t="s">
        <v>4010</v>
      </c>
      <c r="C39" s="736"/>
      <c r="D39" s="736" t="s">
        <v>4176</v>
      </c>
      <c r="E39" s="736" t="s">
        <v>4176</v>
      </c>
      <c r="F39" s="1059">
        <f>IFERROR(VLOOKUP($A39,'2018'!$A:$BB,3,FALSE),"")</f>
        <v>262120522</v>
      </c>
      <c r="G39" s="1055" t="str">
        <f>IFERROR(VLOOKUP($A39,'2018'!$A:$BB,4,FALSE),"")</f>
        <v xml:space="preserve">521 Cottonwood Dr 
Suite #111 
Milpitas, CA 95035 </v>
      </c>
      <c r="H39" s="1055" t="str">
        <f>IFERROR(VLOOKUP($A39,'2018'!$A:$BB,5,FALSE),"")</f>
        <v xml:space="preserve">Lucy Gu (legal name - Yiping Gu)
408-773-8807
lucy.gu@appliedstemcell.com </v>
      </c>
      <c r="I39" s="1055" t="str">
        <f>IFERROR(VLOOKUP($A39,'2018'!$A:$BB,6,FALSE),"")</f>
        <v xml:space="preserve">Lucy Gu (legal name - Yiping Gu)
408-773-8807
lucy.gu@appliedstemcell.com </v>
      </c>
      <c r="J39" s="1055" t="str">
        <f>IFERROR(VLOOKUP($A39,'2018'!$A:$BB,7,FALSE),"")</f>
        <v>ABD</v>
      </c>
      <c r="K39" s="1055" t="str">
        <f>IFERROR(VLOOKUP($A39,'2018'!$A:$BB,8,FALSE),"")</f>
        <v xml:space="preserve">Account Managed by ABD Team
Mark Anderson
Mark.Anderson@theabdteam.com
Angie Lopez
angie.lopez@theabdteam.com </v>
      </c>
      <c r="L39" s="1062" t="str">
        <f>IFERROR(VLOOKUP($A39,'2018'!$A:$BB,9,FALSE),"")</f>
        <v>New</v>
      </c>
      <c r="M39" s="1067">
        <f>IFERROR(VLOOKUP($A39,'2018'!$A:$BB,10,FALSE),"")</f>
        <v>43009</v>
      </c>
      <c r="N39" s="1062">
        <f>IFERROR(VLOOKUP($A39,'2018'!$A:$BB,12,FALSE),"")</f>
        <v>54</v>
      </c>
      <c r="O39" s="1055" t="str">
        <f>IFERROR(VLOOKUP($A39,'2018'!$A:$BB,13,FALSE),"")</f>
        <v>IGOE</v>
      </c>
      <c r="P39" s="1055" t="str">
        <f>IFERROR(VLOOKUP($A39,'2018'!$A:$BB,14,FALSE),"")</f>
        <v>Flock</v>
      </c>
      <c r="Q39" s="1055" t="str">
        <f>IFERROR(VLOOKUP($A39,'2018'!$A:$BB,16,FALSE),"")</f>
        <v>N/A</v>
      </c>
      <c r="R39" s="1055" t="str">
        <f>IFERROR(VLOOKUP($A39,'2018'!$A:$BB,17,FALSE),"")</f>
        <v>N/A - Don't want to Set-up</v>
      </c>
      <c r="S39" s="1062" t="str">
        <f>IFERROR(VLOOKUP($A39,'2018'!$A:$BB,20,FALSE),"")</f>
        <v>NCAL</v>
      </c>
      <c r="T39" s="1062" t="str">
        <f>IFERROR(VLOOKUP($A39,'2018'!$A:$BB,21,FALSE),"")</f>
        <v>Group B (34-44)</v>
      </c>
      <c r="U39" s="1062" t="str">
        <f>IFERROR(VLOOKUP($A39,'2018'!$A:$BB,22,FALSE),"")</f>
        <v>Expanded</v>
      </c>
      <c r="V39" s="1062" t="str">
        <f>IFERROR(VLOOKUP($A39,'2018'!$A:$BB,23,FALSE),"")</f>
        <v>Advantage</v>
      </c>
      <c r="W39" s="1062" t="str">
        <f>IFERROR(VLOOKUP($A39,'2018'!$A:$BB,24,FALSE),"")</f>
        <v>No</v>
      </c>
      <c r="X39" s="1062">
        <f>IFERROR(VLOOKUP($A39,'2018'!$A:$BB,41,FALSE),"")</f>
        <v>0</v>
      </c>
      <c r="Y39" s="1062">
        <f>IFERROR(VLOOKUP($A39,'2018'!$A:$BB,42,FALSE),"")</f>
        <v>0</v>
      </c>
      <c r="Z39" s="1062">
        <f>IFERROR(VLOOKUP($A39,'2018'!$A:$BB,45,FALSE),"")</f>
        <v>0</v>
      </c>
      <c r="AA39" s="731">
        <v>2018</v>
      </c>
      <c r="AB39" s="728" t="s">
        <v>3779</v>
      </c>
      <c r="AC39" s="727" t="s">
        <v>303</v>
      </c>
      <c r="AD39" s="727" t="s">
        <v>3648</v>
      </c>
      <c r="AE39" s="727" t="s">
        <v>307</v>
      </c>
      <c r="AF39" s="727" t="s">
        <v>113</v>
      </c>
      <c r="AG39" s="726" t="s">
        <v>3981</v>
      </c>
      <c r="AH39" s="726" t="s">
        <v>3973</v>
      </c>
      <c r="AI39" s="727">
        <v>11</v>
      </c>
      <c r="AJ39" s="747" t="s">
        <v>3982</v>
      </c>
      <c r="AK39" s="755">
        <v>909678</v>
      </c>
      <c r="AL39" s="754">
        <v>469</v>
      </c>
      <c r="AM39" s="755">
        <v>909678</v>
      </c>
      <c r="AN39" s="754">
        <v>470</v>
      </c>
      <c r="AO39" s="776">
        <f t="shared" ref="AO39:AO40" si="9">AM39</f>
        <v>909678</v>
      </c>
      <c r="AP39" s="754">
        <f t="shared" si="1"/>
        <v>471</v>
      </c>
      <c r="AQ39" s="770"/>
      <c r="AR39" s="726" t="s">
        <v>2661</v>
      </c>
      <c r="AS39" s="726" t="s">
        <v>4011</v>
      </c>
      <c r="AT39" s="726">
        <v>4690469</v>
      </c>
      <c r="AU39" s="726" t="s">
        <v>3980</v>
      </c>
      <c r="AV39" s="726"/>
      <c r="AW39" s="726"/>
    </row>
    <row r="40" spans="1:49">
      <c r="A40" s="736" t="s">
        <v>319</v>
      </c>
      <c r="B40" s="736" t="s">
        <v>4010</v>
      </c>
      <c r="C40" s="736"/>
      <c r="D40" s="736" t="s">
        <v>4176</v>
      </c>
      <c r="E40" s="736" t="s">
        <v>4176</v>
      </c>
      <c r="F40" s="1059">
        <f>IFERROR(VLOOKUP($A40,'2018'!$A:$BB,3,FALSE),"")</f>
        <v>262120522</v>
      </c>
      <c r="G40" s="1055" t="str">
        <f>IFERROR(VLOOKUP($A40,'2018'!$A:$BB,4,FALSE),"")</f>
        <v xml:space="preserve">521 Cottonwood Dr 
Suite #111 
Milpitas, CA 95035 </v>
      </c>
      <c r="H40" s="1055" t="str">
        <f>IFERROR(VLOOKUP($A40,'2018'!$A:$BB,5,FALSE),"")</f>
        <v xml:space="preserve">Lucy Gu (legal name - Yiping Gu)
408-773-8807
lucy.gu@appliedstemcell.com </v>
      </c>
      <c r="I40" s="1055" t="str">
        <f>IFERROR(VLOOKUP($A40,'2018'!$A:$BB,6,FALSE),"")</f>
        <v xml:space="preserve">Lucy Gu (legal name - Yiping Gu)
408-773-8807
lucy.gu@appliedstemcell.com </v>
      </c>
      <c r="J40" s="1055" t="str">
        <f>IFERROR(VLOOKUP($A40,'2018'!$A:$BB,7,FALSE),"")</f>
        <v>ABD</v>
      </c>
      <c r="K40" s="1055" t="str">
        <f>IFERROR(VLOOKUP($A40,'2018'!$A:$BB,8,FALSE),"")</f>
        <v xml:space="preserve">Account Managed by ABD Team
Mark Anderson
Mark.Anderson@theabdteam.com
Angie Lopez
angie.lopez@theabdteam.com </v>
      </c>
      <c r="L40" s="1062" t="str">
        <f>IFERROR(VLOOKUP($A40,'2018'!$A:$BB,9,FALSE),"")</f>
        <v>New</v>
      </c>
      <c r="M40" s="1067">
        <f>IFERROR(VLOOKUP($A40,'2018'!$A:$BB,10,FALSE),"")</f>
        <v>43009</v>
      </c>
      <c r="N40" s="1062">
        <f>IFERROR(VLOOKUP($A40,'2018'!$A:$BB,12,FALSE),"")</f>
        <v>54</v>
      </c>
      <c r="O40" s="1055" t="str">
        <f>IFERROR(VLOOKUP($A40,'2018'!$A:$BB,13,FALSE),"")</f>
        <v>IGOE</v>
      </c>
      <c r="P40" s="1055" t="str">
        <f>IFERROR(VLOOKUP($A40,'2018'!$A:$BB,14,FALSE),"")</f>
        <v>Flock</v>
      </c>
      <c r="Q40" s="1055" t="str">
        <f>IFERROR(VLOOKUP($A40,'2018'!$A:$BB,16,FALSE),"")</f>
        <v>N/A</v>
      </c>
      <c r="R40" s="1055" t="str">
        <f>IFERROR(VLOOKUP($A40,'2018'!$A:$BB,17,FALSE),"")</f>
        <v>N/A - Don't want to Set-up</v>
      </c>
      <c r="S40" s="1062" t="str">
        <f>IFERROR(VLOOKUP($A40,'2018'!$A:$BB,20,FALSE),"")</f>
        <v>NCAL</v>
      </c>
      <c r="T40" s="1062" t="str">
        <f>IFERROR(VLOOKUP($A40,'2018'!$A:$BB,21,FALSE),"")</f>
        <v>Group B (34-44)</v>
      </c>
      <c r="U40" s="1062" t="str">
        <f>IFERROR(VLOOKUP($A40,'2018'!$A:$BB,22,FALSE),"")</f>
        <v>Expanded</v>
      </c>
      <c r="V40" s="1062" t="str">
        <f>IFERROR(VLOOKUP($A40,'2018'!$A:$BB,23,FALSE),"")</f>
        <v>Advantage</v>
      </c>
      <c r="W40" s="1062" t="str">
        <f>IFERROR(VLOOKUP($A40,'2018'!$A:$BB,24,FALSE),"")</f>
        <v>No</v>
      </c>
      <c r="X40" s="1062">
        <f>IFERROR(VLOOKUP($A40,'2018'!$A:$BB,41,FALSE),"")</f>
        <v>0</v>
      </c>
      <c r="Y40" s="1062">
        <f>IFERROR(VLOOKUP($A40,'2018'!$A:$BB,42,FALSE),"")</f>
        <v>0</v>
      </c>
      <c r="Z40" s="1062">
        <f>IFERROR(VLOOKUP($A40,'2018'!$A:$BB,45,FALSE),"")</f>
        <v>0</v>
      </c>
      <c r="AA40" s="731">
        <v>2018</v>
      </c>
      <c r="AB40" s="733" t="s">
        <v>3779</v>
      </c>
      <c r="AC40" s="734" t="s">
        <v>303</v>
      </c>
      <c r="AD40" s="734" t="s">
        <v>3648</v>
      </c>
      <c r="AE40" s="734" t="s">
        <v>307</v>
      </c>
      <c r="AF40" s="734" t="s">
        <v>113</v>
      </c>
      <c r="AG40" s="732" t="s">
        <v>3981</v>
      </c>
      <c r="AH40" s="732" t="s">
        <v>3977</v>
      </c>
      <c r="AI40" s="734">
        <v>16</v>
      </c>
      <c r="AJ40" s="748" t="s">
        <v>3985</v>
      </c>
      <c r="AK40" s="755">
        <v>909678</v>
      </c>
      <c r="AL40" s="756">
        <v>721</v>
      </c>
      <c r="AM40" s="755">
        <v>909678</v>
      </c>
      <c r="AN40" s="756">
        <v>722</v>
      </c>
      <c r="AO40" s="776">
        <f t="shared" si="9"/>
        <v>909678</v>
      </c>
      <c r="AP40" s="754">
        <f t="shared" si="1"/>
        <v>723</v>
      </c>
      <c r="AQ40" s="771" t="s">
        <v>3979</v>
      </c>
      <c r="AR40" s="732" t="s">
        <v>2661</v>
      </c>
      <c r="AS40" s="735"/>
      <c r="AT40" s="735"/>
      <c r="AU40" s="732" t="s">
        <v>3980</v>
      </c>
      <c r="AV40" s="735"/>
      <c r="AW40" s="735"/>
    </row>
    <row r="41" spans="1:49">
      <c r="A41" s="736"/>
      <c r="B41" s="736"/>
      <c r="C41" s="736"/>
      <c r="D41" s="736"/>
      <c r="E41" s="736"/>
      <c r="F41" s="1059" t="str">
        <f>IFERROR(VLOOKUP($A41,'2018'!$A:$BB,3,FALSE),"")</f>
        <v/>
      </c>
      <c r="G41" s="1055" t="str">
        <f>IFERROR(VLOOKUP($A41,'2018'!$A:$BB,4,FALSE),"")</f>
        <v/>
      </c>
      <c r="H41" s="1055" t="str">
        <f>IFERROR(VLOOKUP($A41,'2018'!$A:$BB,5,FALSE),"")</f>
        <v/>
      </c>
      <c r="I41" s="1055" t="str">
        <f>IFERROR(VLOOKUP($A41,'2018'!$A:$BB,6,FALSE),"")</f>
        <v/>
      </c>
      <c r="J41" s="1055" t="str">
        <f>IFERROR(VLOOKUP($A41,'2018'!$A:$BB,7,FALSE),"")</f>
        <v/>
      </c>
      <c r="K41" s="1055" t="str">
        <f>IFERROR(VLOOKUP($A41,'2018'!$A:$BB,8,FALSE),"")</f>
        <v/>
      </c>
      <c r="L41" s="1062" t="str">
        <f>IFERROR(VLOOKUP($A41,'2018'!$A:$BB,9,FALSE),"")</f>
        <v/>
      </c>
      <c r="M41" s="1067" t="str">
        <f>IFERROR(VLOOKUP($A41,'2018'!$A:$BB,10,FALSE),"")</f>
        <v/>
      </c>
      <c r="N41" s="1062" t="str">
        <f>IFERROR(VLOOKUP($A41,'2018'!$A:$BB,12,FALSE),"")</f>
        <v/>
      </c>
      <c r="O41" s="1055" t="str">
        <f>IFERROR(VLOOKUP($A41,'2018'!$A:$BB,13,FALSE),"")</f>
        <v/>
      </c>
      <c r="P41" s="1055" t="str">
        <f>IFERROR(VLOOKUP($A41,'2018'!$A:$BB,14,FALSE),"")</f>
        <v/>
      </c>
      <c r="Q41" s="1055" t="str">
        <f>IFERROR(VLOOKUP($A41,'2018'!$A:$BB,16,FALSE),"")</f>
        <v/>
      </c>
      <c r="R41" s="1055" t="str">
        <f>IFERROR(VLOOKUP($A41,'2018'!$A:$BB,17,FALSE),"")</f>
        <v/>
      </c>
      <c r="S41" s="1062" t="str">
        <f>IFERROR(VLOOKUP($A41,'2018'!$A:$BB,20,FALSE),"")</f>
        <v/>
      </c>
      <c r="T41" s="1062" t="str">
        <f>IFERROR(VLOOKUP($A41,'2018'!$A:$BB,21,FALSE),"")</f>
        <v/>
      </c>
      <c r="U41" s="1062" t="str">
        <f>IFERROR(VLOOKUP($A41,'2018'!$A:$BB,22,FALSE),"")</f>
        <v/>
      </c>
      <c r="V41" s="1062" t="str">
        <f>IFERROR(VLOOKUP($A41,'2018'!$A:$BB,23,FALSE),"")</f>
        <v/>
      </c>
      <c r="W41" s="1062" t="str">
        <f>IFERROR(VLOOKUP($A41,'2018'!$A:$BB,24,FALSE),"")</f>
        <v/>
      </c>
      <c r="X41" s="1062" t="str">
        <f>IFERROR(VLOOKUP($A41,'2018'!$A:$BB,41,FALSE),"")</f>
        <v/>
      </c>
      <c r="Y41" s="1062" t="str">
        <f>IFERROR(VLOOKUP($A41,'2018'!$A:$BB,42,FALSE),"")</f>
        <v/>
      </c>
      <c r="Z41" s="1062" t="str">
        <f>IFERROR(VLOOKUP($A41,'2018'!$A:$BB,45,FALSE),"")</f>
        <v/>
      </c>
      <c r="AA41" s="734"/>
      <c r="AB41" s="728"/>
      <c r="AC41" s="727"/>
      <c r="AD41" s="727"/>
      <c r="AE41" s="727"/>
      <c r="AF41" s="727"/>
      <c r="AG41" s="726"/>
      <c r="AH41" s="726"/>
      <c r="AI41" s="727"/>
      <c r="AJ41" s="747"/>
      <c r="AK41" s="753"/>
      <c r="AL41" s="754"/>
      <c r="AM41" s="753"/>
      <c r="AN41" s="754"/>
      <c r="AO41" s="776"/>
      <c r="AP41" s="754"/>
      <c r="AQ41" s="770"/>
      <c r="AR41" s="726"/>
      <c r="AS41" s="726"/>
      <c r="AT41" s="726"/>
      <c r="AU41" s="726"/>
      <c r="AV41" s="726"/>
      <c r="AW41" s="726"/>
    </row>
    <row r="42" spans="1:49">
      <c r="A42" s="738" t="s">
        <v>4378</v>
      </c>
      <c r="B42" s="738" t="s">
        <v>4012</v>
      </c>
      <c r="C42" s="738"/>
      <c r="D42" s="738" t="s">
        <v>4177</v>
      </c>
      <c r="E42" s="738" t="s">
        <v>4177</v>
      </c>
      <c r="F42" s="1059">
        <f>IFERROR(VLOOKUP($A42,'2018'!$A:$BB,3,FALSE),"")</f>
        <v>232908305</v>
      </c>
      <c r="G42" s="1055" t="str">
        <f>IFERROR(VLOOKUP($A42,'2018'!$A:$BB,4,FALSE),"")</f>
        <v xml:space="preserve">6154 Nancy Ridge Drive 
San Diego, CA 92121 </v>
      </c>
      <c r="H42" s="1055" t="str">
        <f>IFERROR(VLOOKUP($A42,'2018'!$A:$BB,5,FALSE),"")</f>
        <v xml:space="preserve">Nicole Semonis
858 210-3617 
nsemonis@arenapharm.com </v>
      </c>
      <c r="I42" s="1055" t="str">
        <f>IFERROR(VLOOKUP($A42,'2018'!$A:$BB,6,FALSE),"")</f>
        <v xml:space="preserve">Nicole Semonis
858 210-3617 
nsemonis@arenapharm.com </v>
      </c>
      <c r="J42" s="1055" t="str">
        <f>IFERROR(VLOOKUP($A42,'2018'!$A:$BB,7,FALSE),"")</f>
        <v>HUB (San Diego)</v>
      </c>
      <c r="K42" s="1055" t="str">
        <f>IFERROR(VLOOKUP($A42,'2018'!$A:$BB,8,FALSE),"")</f>
        <v>Account Managed by HUB SD Team
Producer - Matt Creighton
Service Lead - Ben Hendricks
AM - Yvonne Bello</v>
      </c>
      <c r="L42" s="1062" t="str">
        <f>IFERROR(VLOOKUP($A42,'2018'!$A:$BB,9,FALSE),"")</f>
        <v>Renewal</v>
      </c>
      <c r="M42" s="1067">
        <f>IFERROR(VLOOKUP($A42,'2018'!$A:$BB,10,FALSE),"")</f>
        <v>42736</v>
      </c>
      <c r="N42" s="1062">
        <f>IFERROR(VLOOKUP($A42,'2018'!$A:$BB,12,FALSE),"")</f>
        <v>79</v>
      </c>
      <c r="O42" s="1055" t="str">
        <f>IFERROR(VLOOKUP($A42,'2018'!$A:$BB,13,FALSE),"")</f>
        <v xml:space="preserve">IGOE </v>
      </c>
      <c r="P42" s="1055" t="str">
        <f>IFERROR(VLOOKUP($A42,'2018'!$A:$BB,14,FALSE),"")</f>
        <v xml:space="preserve">ADP </v>
      </c>
      <c r="Q42" s="1055" t="str">
        <f>IFERROR(VLOOKUP($A42,'2018'!$A:$BB,16,FALSE),"")</f>
        <v>IGOE</v>
      </c>
      <c r="R42" s="1055" t="str">
        <f>IFERROR(VLOOKUP($A42,'2018'!$A:$BB,17,FALSE),"")</f>
        <v>Optum Health</v>
      </c>
      <c r="S42" s="1062" t="str">
        <f>IFERROR(VLOOKUP($A42,'2018'!$A:$BB,20,FALSE),"")</f>
        <v>SCAL</v>
      </c>
      <c r="T42" s="1062" t="str">
        <f>IFERROR(VLOOKUP($A42,'2018'!$A:$BB,21,FALSE),"")</f>
        <v>Group C (44-54)</v>
      </c>
      <c r="U42" s="1062" t="str">
        <f>IFERROR(VLOOKUP($A42,'2018'!$A:$BB,22,FALSE),"")</f>
        <v>Expanded</v>
      </c>
      <c r="V42" s="1062" t="str">
        <f>IFERROR(VLOOKUP($A42,'2018'!$A:$BB,23,FALSE),"")</f>
        <v>Advantage</v>
      </c>
      <c r="W42" s="1062" t="str">
        <f>IFERROR(VLOOKUP($A42,'2018'!$A:$BB,24,FALSE),"")</f>
        <v>No</v>
      </c>
      <c r="X42" s="1062" t="str">
        <f>IFERROR(VLOOKUP($A42,'2018'!$A:$BB,41,FALSE),"")</f>
        <v>Region 2</v>
      </c>
      <c r="Y42" s="1062" t="str">
        <f>IFERROR(VLOOKUP($A42,'2018'!$A:$BB,42,FALSE),"")</f>
        <v>(25-49)</v>
      </c>
      <c r="Z42" s="1062" t="str">
        <f>IFERROR(VLOOKUP($A42,'2018'!$A:$BB,45,FALSE),"")</f>
        <v xml:space="preserve"> (50-99)</v>
      </c>
      <c r="AA42" s="730">
        <v>2018</v>
      </c>
      <c r="AB42" s="728" t="s">
        <v>3782</v>
      </c>
      <c r="AC42" s="727" t="s">
        <v>317</v>
      </c>
      <c r="AD42" s="727" t="s">
        <v>3656</v>
      </c>
      <c r="AE42" s="727" t="s">
        <v>307</v>
      </c>
      <c r="AF42" s="727" t="s">
        <v>113</v>
      </c>
      <c r="AG42" s="726" t="s">
        <v>3962</v>
      </c>
      <c r="AH42" s="726" t="s">
        <v>3963</v>
      </c>
      <c r="AI42" s="727">
        <v>1</v>
      </c>
      <c r="AJ42" s="747" t="s">
        <v>3998</v>
      </c>
      <c r="AK42" s="753">
        <v>260068</v>
      </c>
      <c r="AL42" s="754">
        <v>169</v>
      </c>
      <c r="AM42" s="753">
        <v>260069</v>
      </c>
      <c r="AN42" s="754">
        <v>170</v>
      </c>
      <c r="AO42" s="776">
        <f t="shared" si="0"/>
        <v>260070</v>
      </c>
      <c r="AP42" s="754">
        <f t="shared" si="1"/>
        <v>171</v>
      </c>
      <c r="AQ42" s="770"/>
      <c r="AR42" s="726" t="s">
        <v>2661</v>
      </c>
      <c r="AS42" s="726" t="s">
        <v>3962</v>
      </c>
      <c r="AT42" s="726">
        <v>1690169</v>
      </c>
      <c r="AU42" s="726" t="s">
        <v>3966</v>
      </c>
      <c r="AV42" s="726" t="s">
        <v>4013</v>
      </c>
      <c r="AW42" s="726">
        <v>1700170</v>
      </c>
    </row>
    <row r="43" spans="1:49">
      <c r="A43" s="738" t="s">
        <v>4378</v>
      </c>
      <c r="B43" s="738" t="s">
        <v>4012</v>
      </c>
      <c r="C43" s="738"/>
      <c r="D43" s="738" t="s">
        <v>4177</v>
      </c>
      <c r="E43" s="738" t="s">
        <v>4177</v>
      </c>
      <c r="F43" s="1059">
        <f>IFERROR(VLOOKUP($A43,'2018'!$A:$BB,3,FALSE),"")</f>
        <v>232908305</v>
      </c>
      <c r="G43" s="1055" t="str">
        <f>IFERROR(VLOOKUP($A43,'2018'!$A:$BB,4,FALSE),"")</f>
        <v xml:space="preserve">6154 Nancy Ridge Drive 
San Diego, CA 92121 </v>
      </c>
      <c r="H43" s="1055" t="str">
        <f>IFERROR(VLOOKUP($A43,'2018'!$A:$BB,5,FALSE),"")</f>
        <v xml:space="preserve">Nicole Semonis
858 210-3617 
nsemonis@arenapharm.com </v>
      </c>
      <c r="I43" s="1055" t="str">
        <f>IFERROR(VLOOKUP($A43,'2018'!$A:$BB,6,FALSE),"")</f>
        <v xml:space="preserve">Nicole Semonis
858 210-3617 
nsemonis@arenapharm.com </v>
      </c>
      <c r="J43" s="1055" t="str">
        <f>IFERROR(VLOOKUP($A43,'2018'!$A:$BB,7,FALSE),"")</f>
        <v>HUB (San Diego)</v>
      </c>
      <c r="K43" s="1055" t="str">
        <f>IFERROR(VLOOKUP($A43,'2018'!$A:$BB,8,FALSE),"")</f>
        <v>Account Managed by HUB SD Team
Producer - Matt Creighton
Service Lead - Ben Hendricks
AM - Yvonne Bello</v>
      </c>
      <c r="L43" s="1062" t="str">
        <f>IFERROR(VLOOKUP($A43,'2018'!$A:$BB,9,FALSE),"")</f>
        <v>Renewal</v>
      </c>
      <c r="M43" s="1067">
        <f>IFERROR(VLOOKUP($A43,'2018'!$A:$BB,10,FALSE),"")</f>
        <v>42736</v>
      </c>
      <c r="N43" s="1062">
        <f>IFERROR(VLOOKUP($A43,'2018'!$A:$BB,12,FALSE),"")</f>
        <v>79</v>
      </c>
      <c r="O43" s="1055" t="str">
        <f>IFERROR(VLOOKUP($A43,'2018'!$A:$BB,13,FALSE),"")</f>
        <v xml:space="preserve">IGOE </v>
      </c>
      <c r="P43" s="1055" t="str">
        <f>IFERROR(VLOOKUP($A43,'2018'!$A:$BB,14,FALSE),"")</f>
        <v xml:space="preserve">ADP </v>
      </c>
      <c r="Q43" s="1055" t="str">
        <f>IFERROR(VLOOKUP($A43,'2018'!$A:$BB,16,FALSE),"")</f>
        <v>IGOE</v>
      </c>
      <c r="R43" s="1055" t="str">
        <f>IFERROR(VLOOKUP($A43,'2018'!$A:$BB,17,FALSE),"")</f>
        <v>Optum Health</v>
      </c>
      <c r="S43" s="1062" t="str">
        <f>IFERROR(VLOOKUP($A43,'2018'!$A:$BB,20,FALSE),"")</f>
        <v>SCAL</v>
      </c>
      <c r="T43" s="1062" t="str">
        <f>IFERROR(VLOOKUP($A43,'2018'!$A:$BB,21,FALSE),"")</f>
        <v>Group C (44-54)</v>
      </c>
      <c r="U43" s="1062" t="str">
        <f>IFERROR(VLOOKUP($A43,'2018'!$A:$BB,22,FALSE),"")</f>
        <v>Expanded</v>
      </c>
      <c r="V43" s="1062" t="str">
        <f>IFERROR(VLOOKUP($A43,'2018'!$A:$BB,23,FALSE),"")</f>
        <v>Advantage</v>
      </c>
      <c r="W43" s="1062" t="str">
        <f>IFERROR(VLOOKUP($A43,'2018'!$A:$BB,24,FALSE),"")</f>
        <v>No</v>
      </c>
      <c r="X43" s="1062" t="str">
        <f>IFERROR(VLOOKUP($A43,'2018'!$A:$BB,41,FALSE),"")</f>
        <v>Region 2</v>
      </c>
      <c r="Y43" s="1062" t="str">
        <f>IFERROR(VLOOKUP($A43,'2018'!$A:$BB,42,FALSE),"")</f>
        <v>(25-49)</v>
      </c>
      <c r="Z43" s="1062" t="str">
        <f>IFERROR(VLOOKUP($A43,'2018'!$A:$BB,45,FALSE),"")</f>
        <v xml:space="preserve"> (50-99)</v>
      </c>
      <c r="AA43" s="730">
        <v>2018</v>
      </c>
      <c r="AB43" s="728" t="s">
        <v>3782</v>
      </c>
      <c r="AC43" s="727" t="s">
        <v>317</v>
      </c>
      <c r="AD43" s="727" t="s">
        <v>3656</v>
      </c>
      <c r="AE43" s="727" t="s">
        <v>307</v>
      </c>
      <c r="AF43" s="727" t="s">
        <v>113</v>
      </c>
      <c r="AG43" s="726" t="s">
        <v>3962</v>
      </c>
      <c r="AH43" s="726" t="s">
        <v>3968</v>
      </c>
      <c r="AI43" s="727">
        <v>4</v>
      </c>
      <c r="AJ43" s="747" t="s">
        <v>4014</v>
      </c>
      <c r="AK43" s="753">
        <v>260140</v>
      </c>
      <c r="AL43" s="754">
        <v>241</v>
      </c>
      <c r="AM43" s="753">
        <v>260141</v>
      </c>
      <c r="AN43" s="754">
        <v>242</v>
      </c>
      <c r="AO43" s="776">
        <f t="shared" si="0"/>
        <v>260142</v>
      </c>
      <c r="AP43" s="754">
        <f t="shared" si="1"/>
        <v>243</v>
      </c>
      <c r="AQ43" s="770"/>
      <c r="AR43" s="726" t="s">
        <v>2661</v>
      </c>
      <c r="AS43" s="726" t="s">
        <v>4015</v>
      </c>
      <c r="AT43" s="726">
        <v>2410241</v>
      </c>
      <c r="AU43" s="726" t="s">
        <v>3966</v>
      </c>
      <c r="AV43" s="726" t="s">
        <v>4016</v>
      </c>
      <c r="AW43" s="726">
        <v>2420242</v>
      </c>
    </row>
    <row r="44" spans="1:49">
      <c r="A44" s="738" t="s">
        <v>4378</v>
      </c>
      <c r="B44" s="738" t="s">
        <v>4012</v>
      </c>
      <c r="C44" s="738"/>
      <c r="D44" s="738" t="s">
        <v>4177</v>
      </c>
      <c r="E44" s="738" t="s">
        <v>4177</v>
      </c>
      <c r="F44" s="1059">
        <f>IFERROR(VLOOKUP($A44,'2018'!$A:$BB,3,FALSE),"")</f>
        <v>232908305</v>
      </c>
      <c r="G44" s="1055" t="str">
        <f>IFERROR(VLOOKUP($A44,'2018'!$A:$BB,4,FALSE),"")</f>
        <v xml:space="preserve">6154 Nancy Ridge Drive 
San Diego, CA 92121 </v>
      </c>
      <c r="H44" s="1055" t="str">
        <f>IFERROR(VLOOKUP($A44,'2018'!$A:$BB,5,FALSE),"")</f>
        <v xml:space="preserve">Nicole Semonis
858 210-3617 
nsemonis@arenapharm.com </v>
      </c>
      <c r="I44" s="1055" t="str">
        <f>IFERROR(VLOOKUP($A44,'2018'!$A:$BB,6,FALSE),"")</f>
        <v xml:space="preserve">Nicole Semonis
858 210-3617 
nsemonis@arenapharm.com </v>
      </c>
      <c r="J44" s="1055" t="str">
        <f>IFERROR(VLOOKUP($A44,'2018'!$A:$BB,7,FALSE),"")</f>
        <v>HUB (San Diego)</v>
      </c>
      <c r="K44" s="1055" t="str">
        <f>IFERROR(VLOOKUP($A44,'2018'!$A:$BB,8,FALSE),"")</f>
        <v>Account Managed by HUB SD Team
Producer - Matt Creighton
Service Lead - Ben Hendricks
AM - Yvonne Bello</v>
      </c>
      <c r="L44" s="1062" t="str">
        <f>IFERROR(VLOOKUP($A44,'2018'!$A:$BB,9,FALSE),"")</f>
        <v>Renewal</v>
      </c>
      <c r="M44" s="1067">
        <f>IFERROR(VLOOKUP($A44,'2018'!$A:$BB,10,FALSE),"")</f>
        <v>42736</v>
      </c>
      <c r="N44" s="1062">
        <f>IFERROR(VLOOKUP($A44,'2018'!$A:$BB,12,FALSE),"")</f>
        <v>79</v>
      </c>
      <c r="O44" s="1055" t="str">
        <f>IFERROR(VLOOKUP($A44,'2018'!$A:$BB,13,FALSE),"")</f>
        <v xml:space="preserve">IGOE </v>
      </c>
      <c r="P44" s="1055" t="str">
        <f>IFERROR(VLOOKUP($A44,'2018'!$A:$BB,14,FALSE),"")</f>
        <v xml:space="preserve">ADP </v>
      </c>
      <c r="Q44" s="1055" t="str">
        <f>IFERROR(VLOOKUP($A44,'2018'!$A:$BB,16,FALSE),"")</f>
        <v>IGOE</v>
      </c>
      <c r="R44" s="1055" t="str">
        <f>IFERROR(VLOOKUP($A44,'2018'!$A:$BB,17,FALSE),"")</f>
        <v>Optum Health</v>
      </c>
      <c r="S44" s="1062" t="str">
        <f>IFERROR(VLOOKUP($A44,'2018'!$A:$BB,20,FALSE),"")</f>
        <v>SCAL</v>
      </c>
      <c r="T44" s="1062" t="str">
        <f>IFERROR(VLOOKUP($A44,'2018'!$A:$BB,21,FALSE),"")</f>
        <v>Group C (44-54)</v>
      </c>
      <c r="U44" s="1062" t="str">
        <f>IFERROR(VLOOKUP($A44,'2018'!$A:$BB,22,FALSE),"")</f>
        <v>Expanded</v>
      </c>
      <c r="V44" s="1062" t="str">
        <f>IFERROR(VLOOKUP($A44,'2018'!$A:$BB,23,FALSE),"")</f>
        <v>Advantage</v>
      </c>
      <c r="W44" s="1062" t="str">
        <f>IFERROR(VLOOKUP($A44,'2018'!$A:$BB,24,FALSE),"")</f>
        <v>No</v>
      </c>
      <c r="X44" s="1062" t="str">
        <f>IFERROR(VLOOKUP($A44,'2018'!$A:$BB,41,FALSE),"")</f>
        <v>Region 2</v>
      </c>
      <c r="Y44" s="1062" t="str">
        <f>IFERROR(VLOOKUP($A44,'2018'!$A:$BB,42,FALSE),"")</f>
        <v>(25-49)</v>
      </c>
      <c r="Z44" s="1062" t="str">
        <f>IFERROR(VLOOKUP($A44,'2018'!$A:$BB,45,FALSE),"")</f>
        <v xml:space="preserve"> (50-99)</v>
      </c>
      <c r="AA44" s="730">
        <v>2018</v>
      </c>
      <c r="AB44" s="728" t="s">
        <v>3782</v>
      </c>
      <c r="AC44" s="727" t="s">
        <v>317</v>
      </c>
      <c r="AD44" s="727" t="s">
        <v>3656</v>
      </c>
      <c r="AE44" s="727" t="s">
        <v>307</v>
      </c>
      <c r="AF44" s="727" t="s">
        <v>113</v>
      </c>
      <c r="AG44" s="726" t="s">
        <v>3972</v>
      </c>
      <c r="AH44" s="726" t="s">
        <v>3973</v>
      </c>
      <c r="AI44" s="727">
        <v>8</v>
      </c>
      <c r="AJ44" s="747" t="s">
        <v>3992</v>
      </c>
      <c r="AK44" s="757">
        <v>909678</v>
      </c>
      <c r="AL44" s="754">
        <v>376</v>
      </c>
      <c r="AM44" s="755">
        <v>909678</v>
      </c>
      <c r="AN44" s="754">
        <v>377</v>
      </c>
      <c r="AO44" s="776">
        <f t="shared" ref="AO44:AO47" si="10">AM44</f>
        <v>909678</v>
      </c>
      <c r="AP44" s="754">
        <f t="shared" si="1"/>
        <v>378</v>
      </c>
      <c r="AQ44" s="770"/>
      <c r="AR44" s="726" t="s">
        <v>2661</v>
      </c>
      <c r="AS44" s="726" t="s">
        <v>3972</v>
      </c>
      <c r="AT44" s="726">
        <v>3760376</v>
      </c>
      <c r="AU44" s="726" t="s">
        <v>3966</v>
      </c>
      <c r="AV44" s="726" t="s">
        <v>4017</v>
      </c>
      <c r="AW44" s="726">
        <v>3770377</v>
      </c>
    </row>
    <row r="45" spans="1:49">
      <c r="A45" s="738" t="s">
        <v>4378</v>
      </c>
      <c r="B45" s="736" t="s">
        <v>4012</v>
      </c>
      <c r="C45" s="736"/>
      <c r="D45" s="736" t="s">
        <v>4177</v>
      </c>
      <c r="E45" s="736" t="s">
        <v>4177</v>
      </c>
      <c r="F45" s="1059">
        <f>IFERROR(VLOOKUP($A45,'2018'!$A:$BB,3,FALSE),"")</f>
        <v>232908305</v>
      </c>
      <c r="G45" s="1055" t="str">
        <f>IFERROR(VLOOKUP($A45,'2018'!$A:$BB,4,FALSE),"")</f>
        <v xml:space="preserve">6154 Nancy Ridge Drive 
San Diego, CA 92121 </v>
      </c>
      <c r="H45" s="1055" t="str">
        <f>IFERROR(VLOOKUP($A45,'2018'!$A:$BB,5,FALSE),"")</f>
        <v xml:space="preserve">Nicole Semonis
858 210-3617 
nsemonis@arenapharm.com </v>
      </c>
      <c r="I45" s="1055" t="str">
        <f>IFERROR(VLOOKUP($A45,'2018'!$A:$BB,6,FALSE),"")</f>
        <v xml:space="preserve">Nicole Semonis
858 210-3617 
nsemonis@arenapharm.com </v>
      </c>
      <c r="J45" s="1055" t="str">
        <f>IFERROR(VLOOKUP($A45,'2018'!$A:$BB,7,FALSE),"")</f>
        <v>HUB (San Diego)</v>
      </c>
      <c r="K45" s="1055" t="str">
        <f>IFERROR(VLOOKUP($A45,'2018'!$A:$BB,8,FALSE),"")</f>
        <v>Account Managed by HUB SD Team
Producer - Matt Creighton
Service Lead - Ben Hendricks
AM - Yvonne Bello</v>
      </c>
      <c r="L45" s="1062" t="str">
        <f>IFERROR(VLOOKUP($A45,'2018'!$A:$BB,9,FALSE),"")</f>
        <v>Renewal</v>
      </c>
      <c r="M45" s="1067">
        <f>IFERROR(VLOOKUP($A45,'2018'!$A:$BB,10,FALSE),"")</f>
        <v>42736</v>
      </c>
      <c r="N45" s="1062">
        <f>IFERROR(VLOOKUP($A45,'2018'!$A:$BB,12,FALSE),"")</f>
        <v>79</v>
      </c>
      <c r="O45" s="1055" t="str">
        <f>IFERROR(VLOOKUP($A45,'2018'!$A:$BB,13,FALSE),"")</f>
        <v xml:space="preserve">IGOE </v>
      </c>
      <c r="P45" s="1055" t="str">
        <f>IFERROR(VLOOKUP($A45,'2018'!$A:$BB,14,FALSE),"")</f>
        <v xml:space="preserve">ADP </v>
      </c>
      <c r="Q45" s="1055" t="str">
        <f>IFERROR(VLOOKUP($A45,'2018'!$A:$BB,16,FALSE),"")</f>
        <v>IGOE</v>
      </c>
      <c r="R45" s="1055" t="str">
        <f>IFERROR(VLOOKUP($A45,'2018'!$A:$BB,17,FALSE),"")</f>
        <v>Optum Health</v>
      </c>
      <c r="S45" s="1062" t="str">
        <f>IFERROR(VLOOKUP($A45,'2018'!$A:$BB,20,FALSE),"")</f>
        <v>SCAL</v>
      </c>
      <c r="T45" s="1062" t="str">
        <f>IFERROR(VLOOKUP($A45,'2018'!$A:$BB,21,FALSE),"")</f>
        <v>Group C (44-54)</v>
      </c>
      <c r="U45" s="1062" t="str">
        <f>IFERROR(VLOOKUP($A45,'2018'!$A:$BB,22,FALSE),"")</f>
        <v>Expanded</v>
      </c>
      <c r="V45" s="1062" t="str">
        <f>IFERROR(VLOOKUP($A45,'2018'!$A:$BB,23,FALSE),"")</f>
        <v>Advantage</v>
      </c>
      <c r="W45" s="1062" t="str">
        <f>IFERROR(VLOOKUP($A45,'2018'!$A:$BB,24,FALSE),"")</f>
        <v>No</v>
      </c>
      <c r="X45" s="1062" t="str">
        <f>IFERROR(VLOOKUP($A45,'2018'!$A:$BB,41,FALSE),"")</f>
        <v>Region 2</v>
      </c>
      <c r="Y45" s="1062" t="str">
        <f>IFERROR(VLOOKUP($A45,'2018'!$A:$BB,42,FALSE),"")</f>
        <v>(25-49)</v>
      </c>
      <c r="Z45" s="1062" t="str">
        <f>IFERROR(VLOOKUP($A45,'2018'!$A:$BB,45,FALSE),"")</f>
        <v xml:space="preserve"> (50-99)</v>
      </c>
      <c r="AA45" s="731">
        <v>2018</v>
      </c>
      <c r="AB45" s="733" t="s">
        <v>3782</v>
      </c>
      <c r="AC45" s="734" t="s">
        <v>317</v>
      </c>
      <c r="AD45" s="734" t="s">
        <v>3656</v>
      </c>
      <c r="AE45" s="734" t="s">
        <v>307</v>
      </c>
      <c r="AF45" s="734" t="s">
        <v>113</v>
      </c>
      <c r="AG45" s="732" t="s">
        <v>3972</v>
      </c>
      <c r="AH45" s="732" t="s">
        <v>3977</v>
      </c>
      <c r="AI45" s="734">
        <v>14</v>
      </c>
      <c r="AJ45" s="748" t="s">
        <v>3994</v>
      </c>
      <c r="AK45" s="757">
        <v>909678</v>
      </c>
      <c r="AL45" s="756">
        <v>628</v>
      </c>
      <c r="AM45" s="755">
        <v>909678</v>
      </c>
      <c r="AN45" s="756">
        <v>629</v>
      </c>
      <c r="AO45" s="776">
        <f t="shared" si="10"/>
        <v>909678</v>
      </c>
      <c r="AP45" s="754">
        <f t="shared" si="1"/>
        <v>630</v>
      </c>
      <c r="AQ45" s="771" t="s">
        <v>3979</v>
      </c>
      <c r="AR45" s="732" t="s">
        <v>2661</v>
      </c>
      <c r="AS45" s="735"/>
      <c r="AT45" s="735"/>
      <c r="AU45" s="732" t="s">
        <v>3980</v>
      </c>
      <c r="AV45" s="735"/>
      <c r="AW45" s="735"/>
    </row>
    <row r="46" spans="1:49">
      <c r="A46" s="738" t="s">
        <v>4378</v>
      </c>
      <c r="B46" s="738" t="s">
        <v>4012</v>
      </c>
      <c r="C46" s="738"/>
      <c r="D46" s="738" t="s">
        <v>4177</v>
      </c>
      <c r="E46" s="738" t="s">
        <v>4177</v>
      </c>
      <c r="F46" s="1059">
        <f>IFERROR(VLOOKUP($A46,'2018'!$A:$BB,3,FALSE),"")</f>
        <v>232908305</v>
      </c>
      <c r="G46" s="1055" t="str">
        <f>IFERROR(VLOOKUP($A46,'2018'!$A:$BB,4,FALSE),"")</f>
        <v xml:space="preserve">6154 Nancy Ridge Drive 
San Diego, CA 92121 </v>
      </c>
      <c r="H46" s="1055" t="str">
        <f>IFERROR(VLOOKUP($A46,'2018'!$A:$BB,5,FALSE),"")</f>
        <v xml:space="preserve">Nicole Semonis
858 210-3617 
nsemonis@arenapharm.com </v>
      </c>
      <c r="I46" s="1055" t="str">
        <f>IFERROR(VLOOKUP($A46,'2018'!$A:$BB,6,FALSE),"")</f>
        <v xml:space="preserve">Nicole Semonis
858 210-3617 
nsemonis@arenapharm.com </v>
      </c>
      <c r="J46" s="1055" t="str">
        <f>IFERROR(VLOOKUP($A46,'2018'!$A:$BB,7,FALSE),"")</f>
        <v>HUB (San Diego)</v>
      </c>
      <c r="K46" s="1055" t="str">
        <f>IFERROR(VLOOKUP($A46,'2018'!$A:$BB,8,FALSE),"")</f>
        <v>Account Managed by HUB SD Team
Producer - Matt Creighton
Service Lead - Ben Hendricks
AM - Yvonne Bello</v>
      </c>
      <c r="L46" s="1062" t="str">
        <f>IFERROR(VLOOKUP($A46,'2018'!$A:$BB,9,FALSE),"")</f>
        <v>Renewal</v>
      </c>
      <c r="M46" s="1067">
        <f>IFERROR(VLOOKUP($A46,'2018'!$A:$BB,10,FALSE),"")</f>
        <v>42736</v>
      </c>
      <c r="N46" s="1062">
        <f>IFERROR(VLOOKUP($A46,'2018'!$A:$BB,12,FALSE),"")</f>
        <v>79</v>
      </c>
      <c r="O46" s="1055" t="str">
        <f>IFERROR(VLOOKUP($A46,'2018'!$A:$BB,13,FALSE),"")</f>
        <v xml:space="preserve">IGOE </v>
      </c>
      <c r="P46" s="1055" t="str">
        <f>IFERROR(VLOOKUP($A46,'2018'!$A:$BB,14,FALSE),"")</f>
        <v xml:space="preserve">ADP </v>
      </c>
      <c r="Q46" s="1055" t="str">
        <f>IFERROR(VLOOKUP($A46,'2018'!$A:$BB,16,FALSE),"")</f>
        <v>IGOE</v>
      </c>
      <c r="R46" s="1055" t="str">
        <f>IFERROR(VLOOKUP($A46,'2018'!$A:$BB,17,FALSE),"")</f>
        <v>Optum Health</v>
      </c>
      <c r="S46" s="1062" t="str">
        <f>IFERROR(VLOOKUP($A46,'2018'!$A:$BB,20,FALSE),"")</f>
        <v>SCAL</v>
      </c>
      <c r="T46" s="1062" t="str">
        <f>IFERROR(VLOOKUP($A46,'2018'!$A:$BB,21,FALSE),"")</f>
        <v>Group C (44-54)</v>
      </c>
      <c r="U46" s="1062" t="str">
        <f>IFERROR(VLOOKUP($A46,'2018'!$A:$BB,22,FALSE),"")</f>
        <v>Expanded</v>
      </c>
      <c r="V46" s="1062" t="str">
        <f>IFERROR(VLOOKUP($A46,'2018'!$A:$BB,23,FALSE),"")</f>
        <v>Advantage</v>
      </c>
      <c r="W46" s="1062" t="str">
        <f>IFERROR(VLOOKUP($A46,'2018'!$A:$BB,24,FALSE),"")</f>
        <v>No</v>
      </c>
      <c r="X46" s="1062" t="str">
        <f>IFERROR(VLOOKUP($A46,'2018'!$A:$BB,41,FALSE),"")</f>
        <v>Region 2</v>
      </c>
      <c r="Y46" s="1062" t="str">
        <f>IFERROR(VLOOKUP($A46,'2018'!$A:$BB,42,FALSE),"")</f>
        <v>(25-49)</v>
      </c>
      <c r="Z46" s="1062" t="str">
        <f>IFERROR(VLOOKUP($A46,'2018'!$A:$BB,45,FALSE),"")</f>
        <v xml:space="preserve"> (50-99)</v>
      </c>
      <c r="AA46" s="730">
        <v>2018</v>
      </c>
      <c r="AB46" s="728" t="s">
        <v>3782</v>
      </c>
      <c r="AC46" s="727" t="s">
        <v>317</v>
      </c>
      <c r="AD46" s="727" t="s">
        <v>3656</v>
      </c>
      <c r="AE46" s="727" t="s">
        <v>307</v>
      </c>
      <c r="AF46" s="727" t="s">
        <v>113</v>
      </c>
      <c r="AG46" s="726" t="s">
        <v>3981</v>
      </c>
      <c r="AH46" s="726" t="s">
        <v>3973</v>
      </c>
      <c r="AI46" s="727">
        <v>11</v>
      </c>
      <c r="AJ46" s="747" t="s">
        <v>3982</v>
      </c>
      <c r="AK46" s="757">
        <v>909678</v>
      </c>
      <c r="AL46" s="754">
        <v>484</v>
      </c>
      <c r="AM46" s="755">
        <v>909678</v>
      </c>
      <c r="AN46" s="754">
        <v>485</v>
      </c>
      <c r="AO46" s="776">
        <f t="shared" si="10"/>
        <v>909678</v>
      </c>
      <c r="AP46" s="754">
        <f t="shared" si="1"/>
        <v>486</v>
      </c>
      <c r="AQ46" s="770"/>
      <c r="AR46" s="726" t="s">
        <v>2661</v>
      </c>
      <c r="AS46" s="726" t="s">
        <v>4018</v>
      </c>
      <c r="AT46" s="726">
        <v>4840484</v>
      </c>
      <c r="AU46" s="726" t="s">
        <v>3966</v>
      </c>
      <c r="AV46" s="726" t="s">
        <v>4019</v>
      </c>
      <c r="AW46" s="726">
        <v>4850485</v>
      </c>
    </row>
    <row r="47" spans="1:49">
      <c r="A47" s="738" t="s">
        <v>4378</v>
      </c>
      <c r="B47" s="736" t="s">
        <v>4012</v>
      </c>
      <c r="C47" s="736"/>
      <c r="D47" s="736" t="s">
        <v>4177</v>
      </c>
      <c r="E47" s="736" t="s">
        <v>4177</v>
      </c>
      <c r="F47" s="1059">
        <f>IFERROR(VLOOKUP($A47,'2018'!$A:$BB,3,FALSE),"")</f>
        <v>232908305</v>
      </c>
      <c r="G47" s="1055" t="str">
        <f>IFERROR(VLOOKUP($A47,'2018'!$A:$BB,4,FALSE),"")</f>
        <v xml:space="preserve">6154 Nancy Ridge Drive 
San Diego, CA 92121 </v>
      </c>
      <c r="H47" s="1055" t="str">
        <f>IFERROR(VLOOKUP($A47,'2018'!$A:$BB,5,FALSE),"")</f>
        <v xml:space="preserve">Nicole Semonis
858 210-3617 
nsemonis@arenapharm.com </v>
      </c>
      <c r="I47" s="1055" t="str">
        <f>IFERROR(VLOOKUP($A47,'2018'!$A:$BB,6,FALSE),"")</f>
        <v xml:space="preserve">Nicole Semonis
858 210-3617 
nsemonis@arenapharm.com </v>
      </c>
      <c r="J47" s="1055" t="str">
        <f>IFERROR(VLOOKUP($A47,'2018'!$A:$BB,7,FALSE),"")</f>
        <v>HUB (San Diego)</v>
      </c>
      <c r="K47" s="1055" t="str">
        <f>IFERROR(VLOOKUP($A47,'2018'!$A:$BB,8,FALSE),"")</f>
        <v>Account Managed by HUB SD Team
Producer - Matt Creighton
Service Lead - Ben Hendricks
AM - Yvonne Bello</v>
      </c>
      <c r="L47" s="1062" t="str">
        <f>IFERROR(VLOOKUP($A47,'2018'!$A:$BB,9,FALSE),"")</f>
        <v>Renewal</v>
      </c>
      <c r="M47" s="1067">
        <f>IFERROR(VLOOKUP($A47,'2018'!$A:$BB,10,FALSE),"")</f>
        <v>42736</v>
      </c>
      <c r="N47" s="1062">
        <f>IFERROR(VLOOKUP($A47,'2018'!$A:$BB,12,FALSE),"")</f>
        <v>79</v>
      </c>
      <c r="O47" s="1055" t="str">
        <f>IFERROR(VLOOKUP($A47,'2018'!$A:$BB,13,FALSE),"")</f>
        <v xml:space="preserve">IGOE </v>
      </c>
      <c r="P47" s="1055" t="str">
        <f>IFERROR(VLOOKUP($A47,'2018'!$A:$BB,14,FALSE),"")</f>
        <v xml:space="preserve">ADP </v>
      </c>
      <c r="Q47" s="1055" t="str">
        <f>IFERROR(VLOOKUP($A47,'2018'!$A:$BB,16,FALSE),"")</f>
        <v>IGOE</v>
      </c>
      <c r="R47" s="1055" t="str">
        <f>IFERROR(VLOOKUP($A47,'2018'!$A:$BB,17,FALSE),"")</f>
        <v>Optum Health</v>
      </c>
      <c r="S47" s="1062" t="str">
        <f>IFERROR(VLOOKUP($A47,'2018'!$A:$BB,20,FALSE),"")</f>
        <v>SCAL</v>
      </c>
      <c r="T47" s="1062" t="str">
        <f>IFERROR(VLOOKUP($A47,'2018'!$A:$BB,21,FALSE),"")</f>
        <v>Group C (44-54)</v>
      </c>
      <c r="U47" s="1062" t="str">
        <f>IFERROR(VLOOKUP($A47,'2018'!$A:$BB,22,FALSE),"")</f>
        <v>Expanded</v>
      </c>
      <c r="V47" s="1062" t="str">
        <f>IFERROR(VLOOKUP($A47,'2018'!$A:$BB,23,FALSE),"")</f>
        <v>Advantage</v>
      </c>
      <c r="W47" s="1062" t="str">
        <f>IFERROR(VLOOKUP($A47,'2018'!$A:$BB,24,FALSE),"")</f>
        <v>No</v>
      </c>
      <c r="X47" s="1062" t="str">
        <f>IFERROR(VLOOKUP($A47,'2018'!$A:$BB,41,FALSE),"")</f>
        <v>Region 2</v>
      </c>
      <c r="Y47" s="1062" t="str">
        <f>IFERROR(VLOOKUP($A47,'2018'!$A:$BB,42,FALSE),"")</f>
        <v>(25-49)</v>
      </c>
      <c r="Z47" s="1062" t="str">
        <f>IFERROR(VLOOKUP($A47,'2018'!$A:$BB,45,FALSE),"")</f>
        <v xml:space="preserve"> (50-99)</v>
      </c>
      <c r="AA47" s="731">
        <v>2018</v>
      </c>
      <c r="AB47" s="733" t="s">
        <v>3782</v>
      </c>
      <c r="AC47" s="734" t="s">
        <v>317</v>
      </c>
      <c r="AD47" s="734" t="s">
        <v>3656</v>
      </c>
      <c r="AE47" s="734" t="s">
        <v>307</v>
      </c>
      <c r="AF47" s="734" t="s">
        <v>113</v>
      </c>
      <c r="AG47" s="732" t="s">
        <v>3981</v>
      </c>
      <c r="AH47" s="732" t="s">
        <v>3977</v>
      </c>
      <c r="AI47" s="734">
        <v>16</v>
      </c>
      <c r="AJ47" s="748" t="s">
        <v>3985</v>
      </c>
      <c r="AK47" s="757">
        <v>909678</v>
      </c>
      <c r="AL47" s="756">
        <v>736</v>
      </c>
      <c r="AM47" s="755">
        <v>909678</v>
      </c>
      <c r="AN47" s="756">
        <v>737</v>
      </c>
      <c r="AO47" s="776">
        <f t="shared" si="10"/>
        <v>909678</v>
      </c>
      <c r="AP47" s="754">
        <f t="shared" si="1"/>
        <v>738</v>
      </c>
      <c r="AQ47" s="771" t="s">
        <v>3979</v>
      </c>
      <c r="AR47" s="732" t="s">
        <v>2661</v>
      </c>
      <c r="AS47" s="735"/>
      <c r="AT47" s="735"/>
      <c r="AU47" s="732" t="s">
        <v>3980</v>
      </c>
      <c r="AV47" s="735"/>
      <c r="AW47" s="735"/>
    </row>
    <row r="48" spans="1:49">
      <c r="A48" s="738"/>
      <c r="B48" s="738"/>
      <c r="C48" s="738"/>
      <c r="D48" s="738"/>
      <c r="E48" s="738"/>
      <c r="F48" s="1059" t="str">
        <f>IFERROR(VLOOKUP($A48,'2018'!$A:$BB,3,FALSE),"")</f>
        <v/>
      </c>
      <c r="G48" s="1055" t="str">
        <f>IFERROR(VLOOKUP($A48,'2018'!$A:$BB,4,FALSE),"")</f>
        <v/>
      </c>
      <c r="H48" s="1055" t="str">
        <f>IFERROR(VLOOKUP($A48,'2018'!$A:$BB,5,FALSE),"")</f>
        <v/>
      </c>
      <c r="I48" s="1055" t="str">
        <f>IFERROR(VLOOKUP($A48,'2018'!$A:$BB,6,FALSE),"")</f>
        <v/>
      </c>
      <c r="J48" s="1055" t="str">
        <f>IFERROR(VLOOKUP($A48,'2018'!$A:$BB,7,FALSE),"")</f>
        <v/>
      </c>
      <c r="K48" s="1055" t="str">
        <f>IFERROR(VLOOKUP($A48,'2018'!$A:$BB,8,FALSE),"")</f>
        <v/>
      </c>
      <c r="L48" s="1062" t="str">
        <f>IFERROR(VLOOKUP($A48,'2018'!$A:$BB,9,FALSE),"")</f>
        <v/>
      </c>
      <c r="M48" s="1067" t="str">
        <f>IFERROR(VLOOKUP($A48,'2018'!$A:$BB,10,FALSE),"")</f>
        <v/>
      </c>
      <c r="N48" s="1062" t="str">
        <f>IFERROR(VLOOKUP($A48,'2018'!$A:$BB,12,FALSE),"")</f>
        <v/>
      </c>
      <c r="O48" s="1055" t="str">
        <f>IFERROR(VLOOKUP($A48,'2018'!$A:$BB,13,FALSE),"")</f>
        <v/>
      </c>
      <c r="P48" s="1055" t="str">
        <f>IFERROR(VLOOKUP($A48,'2018'!$A:$BB,14,FALSE),"")</f>
        <v/>
      </c>
      <c r="Q48" s="1055" t="str">
        <f>IFERROR(VLOOKUP($A48,'2018'!$A:$BB,16,FALSE),"")</f>
        <v/>
      </c>
      <c r="R48" s="1055" t="str">
        <f>IFERROR(VLOOKUP($A48,'2018'!$A:$BB,17,FALSE),"")</f>
        <v/>
      </c>
      <c r="S48" s="1062" t="str">
        <f>IFERROR(VLOOKUP($A48,'2018'!$A:$BB,20,FALSE),"")</f>
        <v/>
      </c>
      <c r="T48" s="1062" t="str">
        <f>IFERROR(VLOOKUP($A48,'2018'!$A:$BB,21,FALSE),"")</f>
        <v/>
      </c>
      <c r="U48" s="1062" t="str">
        <f>IFERROR(VLOOKUP($A48,'2018'!$A:$BB,22,FALSE),"")</f>
        <v/>
      </c>
      <c r="V48" s="1062" t="str">
        <f>IFERROR(VLOOKUP($A48,'2018'!$A:$BB,23,FALSE),"")</f>
        <v/>
      </c>
      <c r="W48" s="1062" t="str">
        <f>IFERROR(VLOOKUP($A48,'2018'!$A:$BB,24,FALSE),"")</f>
        <v/>
      </c>
      <c r="X48" s="1062" t="str">
        <f>IFERROR(VLOOKUP($A48,'2018'!$A:$BB,41,FALSE),"")</f>
        <v/>
      </c>
      <c r="Y48" s="1062" t="str">
        <f>IFERROR(VLOOKUP($A48,'2018'!$A:$BB,42,FALSE),"")</f>
        <v/>
      </c>
      <c r="Z48" s="1062" t="str">
        <f>IFERROR(VLOOKUP($A48,'2018'!$A:$BB,45,FALSE),"")</f>
        <v/>
      </c>
      <c r="AA48" s="727"/>
      <c r="AB48" s="728"/>
      <c r="AC48" s="727"/>
      <c r="AD48" s="727"/>
      <c r="AE48" s="727"/>
      <c r="AF48" s="727"/>
      <c r="AG48" s="726"/>
      <c r="AH48" s="726"/>
      <c r="AI48" s="727"/>
      <c r="AJ48" s="747"/>
      <c r="AK48" s="753"/>
      <c r="AL48" s="754"/>
      <c r="AM48" s="753"/>
      <c r="AN48" s="754"/>
      <c r="AO48" s="776"/>
      <c r="AP48" s="754"/>
      <c r="AQ48" s="770"/>
      <c r="AR48" s="726"/>
      <c r="AS48" s="726"/>
      <c r="AT48" s="726"/>
      <c r="AU48" s="726"/>
      <c r="AV48" s="726"/>
      <c r="AW48" s="726"/>
    </row>
    <row r="49" spans="1:49">
      <c r="A49" s="738" t="s">
        <v>4379</v>
      </c>
      <c r="B49" s="738" t="s">
        <v>4020</v>
      </c>
      <c r="C49" s="738"/>
      <c r="D49" s="738"/>
      <c r="E49" s="738"/>
      <c r="F49" s="1059">
        <f>IFERROR(VLOOKUP($A49,'2018'!$A:$BB,3,FALSE),"")</f>
        <v>743076460</v>
      </c>
      <c r="G49" s="1055" t="str">
        <f>IFERROR(VLOOKUP($A49,'2018'!$A:$BB,4,FALSE),"")</f>
        <v xml:space="preserve">37950 Central Court 
Newark, CA 94560 </v>
      </c>
      <c r="H49" s="1055" t="str">
        <f>IFERROR(VLOOKUP($A49,'2018'!$A:$BB,5,FALSE),"")</f>
        <v xml:space="preserve">Frances Steingrimsson
877-362-8646
frances@atum.bio </v>
      </c>
      <c r="I49" s="1055" t="str">
        <f>IFERROR(VLOOKUP($A49,'2018'!$A:$BB,6,FALSE),"")</f>
        <v xml:space="preserve">Frances Steingrimsson
877-362-8646
frances@atum.bio </v>
      </c>
      <c r="J49" s="1055" t="str">
        <f>IFERROR(VLOOKUP($A49,'2018'!$A:$BB,7,FALSE),"")</f>
        <v>ABD</v>
      </c>
      <c r="K49" s="1055" t="str">
        <f>IFERROR(VLOOKUP($A49,'2018'!$A:$BB,8,FALSE),"")</f>
        <v>Account Managed by ABD Team
Producer - Faye Lewis
Faye.Lewis@theabdteam.com
Service Lead-Michelle Parker
Michelle.Parker@theabdteam.com</v>
      </c>
      <c r="L49" s="1062" t="str">
        <f>IFERROR(VLOOKUP($A49,'2018'!$A:$BB,9,FALSE),"")</f>
        <v>Renewal</v>
      </c>
      <c r="M49" s="1067">
        <f>IFERROR(VLOOKUP($A49,'2018'!$A:$BB,10,FALSE),"")</f>
        <v>42736</v>
      </c>
      <c r="N49" s="1062">
        <f>IFERROR(VLOOKUP($A49,'2018'!$A:$BB,12,FALSE),"")</f>
        <v>50</v>
      </c>
      <c r="O49" s="1055" t="str">
        <f>IFERROR(VLOOKUP($A49,'2018'!$A:$BB,13,FALSE),"")</f>
        <v xml:space="preserve">Navia Benefit Solutions </v>
      </c>
      <c r="P49" s="1055" t="str">
        <f>IFERROR(VLOOKUP($A49,'2018'!$A:$BB,14,FALSE),"")</f>
        <v>Namely</v>
      </c>
      <c r="Q49" s="1055" t="str">
        <f>IFERROR(VLOOKUP($A49,'2018'!$A:$BB,16,FALSE),"")</f>
        <v>N/A</v>
      </c>
      <c r="R49" s="1055" t="str">
        <f>IFERROR(VLOOKUP($A49,'2018'!$A:$BB,17,FALSE),"")</f>
        <v>N/A</v>
      </c>
      <c r="S49" s="1062" t="str">
        <f>IFERROR(VLOOKUP($A49,'2018'!$A:$BB,20,FALSE),"")</f>
        <v>NCAL</v>
      </c>
      <c r="T49" s="1062" t="str">
        <f>IFERROR(VLOOKUP($A49,'2018'!$A:$BB,21,FALSE),"")</f>
        <v>Group B (34-44)</v>
      </c>
      <c r="U49" s="1062" t="str">
        <f>IFERROR(VLOOKUP($A49,'2018'!$A:$BB,22,FALSE),"")</f>
        <v>Expanded</v>
      </c>
      <c r="V49" s="1062" t="str">
        <f>IFERROR(VLOOKUP($A49,'2018'!$A:$BB,23,FALSE),"")</f>
        <v>Advantage</v>
      </c>
      <c r="W49" s="1062" t="str">
        <f>IFERROR(VLOOKUP($A49,'2018'!$A:$BB,24,FALSE),"")</f>
        <v>No</v>
      </c>
      <c r="X49" s="1062" t="str">
        <f>IFERROR(VLOOKUP($A49,'2018'!$A:$BB,41,FALSE),"")</f>
        <v>N/A</v>
      </c>
      <c r="Y49" s="1062" t="str">
        <f>IFERROR(VLOOKUP($A49,'2018'!$A:$BB,42,FALSE),"")</f>
        <v>N/A</v>
      </c>
      <c r="Z49" s="1062" t="str">
        <f>IFERROR(VLOOKUP($A49,'2018'!$A:$BB,45,FALSE),"")</f>
        <v>N/A</v>
      </c>
      <c r="AA49" s="730">
        <v>2018</v>
      </c>
      <c r="AB49" s="728" t="s">
        <v>3785</v>
      </c>
      <c r="AC49" s="727" t="s">
        <v>303</v>
      </c>
      <c r="AD49" s="727" t="s">
        <v>3648</v>
      </c>
      <c r="AE49" s="727" t="s">
        <v>307</v>
      </c>
      <c r="AF49" s="727" t="s">
        <v>113</v>
      </c>
      <c r="AG49" s="726" t="s">
        <v>3962</v>
      </c>
      <c r="AH49" s="726" t="s">
        <v>3963</v>
      </c>
      <c r="AI49" s="727">
        <v>3</v>
      </c>
      <c r="AJ49" s="747" t="s">
        <v>4021</v>
      </c>
      <c r="AK49" s="753">
        <v>260101</v>
      </c>
      <c r="AL49" s="754">
        <v>202</v>
      </c>
      <c r="AM49" s="753">
        <v>260102</v>
      </c>
      <c r="AN49" s="754">
        <v>203</v>
      </c>
      <c r="AO49" s="776">
        <f t="shared" si="0"/>
        <v>260103</v>
      </c>
      <c r="AP49" s="754">
        <f t="shared" si="1"/>
        <v>204</v>
      </c>
      <c r="AQ49" s="770"/>
      <c r="AR49" s="726" t="s">
        <v>2661</v>
      </c>
      <c r="AS49" s="726" t="s">
        <v>4022</v>
      </c>
      <c r="AT49" s="726">
        <v>2020202</v>
      </c>
      <c r="AU49" s="726" t="s">
        <v>3980</v>
      </c>
      <c r="AV49" s="726"/>
      <c r="AW49" s="726"/>
    </row>
    <row r="50" spans="1:49">
      <c r="A50" s="738" t="s">
        <v>4379</v>
      </c>
      <c r="B50" s="738" t="s">
        <v>4020</v>
      </c>
      <c r="C50" s="738"/>
      <c r="D50" s="738"/>
      <c r="E50" s="738"/>
      <c r="F50" s="1059">
        <f>IFERROR(VLOOKUP($A50,'2018'!$A:$BB,3,FALSE),"")</f>
        <v>743076460</v>
      </c>
      <c r="G50" s="1055" t="str">
        <f>IFERROR(VLOOKUP($A50,'2018'!$A:$BB,4,FALSE),"")</f>
        <v xml:space="preserve">37950 Central Court 
Newark, CA 94560 </v>
      </c>
      <c r="H50" s="1055" t="str">
        <f>IFERROR(VLOOKUP($A50,'2018'!$A:$BB,5,FALSE),"")</f>
        <v xml:space="preserve">Frances Steingrimsson
877-362-8646
frances@atum.bio </v>
      </c>
      <c r="I50" s="1055" t="str">
        <f>IFERROR(VLOOKUP($A50,'2018'!$A:$BB,6,FALSE),"")</f>
        <v xml:space="preserve">Frances Steingrimsson
877-362-8646
frances@atum.bio </v>
      </c>
      <c r="J50" s="1055" t="str">
        <f>IFERROR(VLOOKUP($A50,'2018'!$A:$BB,7,FALSE),"")</f>
        <v>ABD</v>
      </c>
      <c r="K50" s="1055" t="str">
        <f>IFERROR(VLOOKUP($A50,'2018'!$A:$BB,8,FALSE),"")</f>
        <v>Account Managed by ABD Team
Producer - Faye Lewis
Faye.Lewis@theabdteam.com
Service Lead-Michelle Parker
Michelle.Parker@theabdteam.com</v>
      </c>
      <c r="L50" s="1062" t="str">
        <f>IFERROR(VLOOKUP($A50,'2018'!$A:$BB,9,FALSE),"")</f>
        <v>Renewal</v>
      </c>
      <c r="M50" s="1067">
        <f>IFERROR(VLOOKUP($A50,'2018'!$A:$BB,10,FALSE),"")</f>
        <v>42736</v>
      </c>
      <c r="N50" s="1062">
        <f>IFERROR(VLOOKUP($A50,'2018'!$A:$BB,12,FALSE),"")</f>
        <v>50</v>
      </c>
      <c r="O50" s="1055" t="str">
        <f>IFERROR(VLOOKUP($A50,'2018'!$A:$BB,13,FALSE),"")</f>
        <v xml:space="preserve">Navia Benefit Solutions </v>
      </c>
      <c r="P50" s="1055" t="str">
        <f>IFERROR(VLOOKUP($A50,'2018'!$A:$BB,14,FALSE),"")</f>
        <v>Namely</v>
      </c>
      <c r="Q50" s="1055" t="str">
        <f>IFERROR(VLOOKUP($A50,'2018'!$A:$BB,16,FALSE),"")</f>
        <v>N/A</v>
      </c>
      <c r="R50" s="1055" t="str">
        <f>IFERROR(VLOOKUP($A50,'2018'!$A:$BB,17,FALSE),"")</f>
        <v>N/A</v>
      </c>
      <c r="S50" s="1062" t="str">
        <f>IFERROR(VLOOKUP($A50,'2018'!$A:$BB,20,FALSE),"")</f>
        <v>NCAL</v>
      </c>
      <c r="T50" s="1062" t="str">
        <f>IFERROR(VLOOKUP($A50,'2018'!$A:$BB,21,FALSE),"")</f>
        <v>Group B (34-44)</v>
      </c>
      <c r="U50" s="1062" t="str">
        <f>IFERROR(VLOOKUP($A50,'2018'!$A:$BB,22,FALSE),"")</f>
        <v>Expanded</v>
      </c>
      <c r="V50" s="1062" t="str">
        <f>IFERROR(VLOOKUP($A50,'2018'!$A:$BB,23,FALSE),"")</f>
        <v>Advantage</v>
      </c>
      <c r="W50" s="1062" t="str">
        <f>IFERROR(VLOOKUP($A50,'2018'!$A:$BB,24,FALSE),"")</f>
        <v>No</v>
      </c>
      <c r="X50" s="1062" t="str">
        <f>IFERROR(VLOOKUP($A50,'2018'!$A:$BB,41,FALSE),"")</f>
        <v>N/A</v>
      </c>
      <c r="Y50" s="1062" t="str">
        <f>IFERROR(VLOOKUP($A50,'2018'!$A:$BB,42,FALSE),"")</f>
        <v>N/A</v>
      </c>
      <c r="Z50" s="1062" t="str">
        <f>IFERROR(VLOOKUP($A50,'2018'!$A:$BB,45,FALSE),"")</f>
        <v>N/A</v>
      </c>
      <c r="AA50" s="730">
        <v>2018</v>
      </c>
      <c r="AB50" s="728" t="s">
        <v>3785</v>
      </c>
      <c r="AC50" s="727" t="s">
        <v>303</v>
      </c>
      <c r="AD50" s="727" t="s">
        <v>3648</v>
      </c>
      <c r="AE50" s="727" t="s">
        <v>307</v>
      </c>
      <c r="AF50" s="727" t="s">
        <v>113</v>
      </c>
      <c r="AG50" s="726" t="s">
        <v>3972</v>
      </c>
      <c r="AH50" s="726" t="s">
        <v>3973</v>
      </c>
      <c r="AI50" s="727">
        <v>8</v>
      </c>
      <c r="AJ50" s="747" t="s">
        <v>3992</v>
      </c>
      <c r="AK50" s="757">
        <v>909678</v>
      </c>
      <c r="AL50" s="754">
        <v>361</v>
      </c>
      <c r="AM50" s="755">
        <v>909678</v>
      </c>
      <c r="AN50" s="754">
        <v>362</v>
      </c>
      <c r="AO50" s="776">
        <f t="shared" ref="AO50:AO51" si="11">AM50</f>
        <v>909678</v>
      </c>
      <c r="AP50" s="754">
        <f t="shared" si="1"/>
        <v>363</v>
      </c>
      <c r="AQ50" s="770"/>
      <c r="AR50" s="726" t="s">
        <v>2661</v>
      </c>
      <c r="AS50" s="726" t="s">
        <v>4023</v>
      </c>
      <c r="AT50" s="726">
        <v>3610361</v>
      </c>
      <c r="AU50" s="726" t="s">
        <v>3980</v>
      </c>
      <c r="AV50" s="726"/>
      <c r="AW50" s="726"/>
    </row>
    <row r="51" spans="1:49">
      <c r="A51" s="738" t="s">
        <v>4379</v>
      </c>
      <c r="B51" s="736" t="s">
        <v>4020</v>
      </c>
      <c r="C51" s="736"/>
      <c r="D51" s="736"/>
      <c r="E51" s="736"/>
      <c r="F51" s="1059">
        <f>IFERROR(VLOOKUP($A51,'2018'!$A:$BB,3,FALSE),"")</f>
        <v>743076460</v>
      </c>
      <c r="G51" s="1055" t="str">
        <f>IFERROR(VLOOKUP($A51,'2018'!$A:$BB,4,FALSE),"")</f>
        <v xml:space="preserve">37950 Central Court 
Newark, CA 94560 </v>
      </c>
      <c r="H51" s="1055" t="str">
        <f>IFERROR(VLOOKUP($A51,'2018'!$A:$BB,5,FALSE),"")</f>
        <v xml:space="preserve">Frances Steingrimsson
877-362-8646
frances@atum.bio </v>
      </c>
      <c r="I51" s="1055" t="str">
        <f>IFERROR(VLOOKUP($A51,'2018'!$A:$BB,6,FALSE),"")</f>
        <v xml:space="preserve">Frances Steingrimsson
877-362-8646
frances@atum.bio </v>
      </c>
      <c r="J51" s="1055" t="str">
        <f>IFERROR(VLOOKUP($A51,'2018'!$A:$BB,7,FALSE),"")</f>
        <v>ABD</v>
      </c>
      <c r="K51" s="1055" t="str">
        <f>IFERROR(VLOOKUP($A51,'2018'!$A:$BB,8,FALSE),"")</f>
        <v>Account Managed by ABD Team
Producer - Faye Lewis
Faye.Lewis@theabdteam.com
Service Lead-Michelle Parker
Michelle.Parker@theabdteam.com</v>
      </c>
      <c r="L51" s="1062" t="str">
        <f>IFERROR(VLOOKUP($A51,'2018'!$A:$BB,9,FALSE),"")</f>
        <v>Renewal</v>
      </c>
      <c r="M51" s="1067">
        <f>IFERROR(VLOOKUP($A51,'2018'!$A:$BB,10,FALSE),"")</f>
        <v>42736</v>
      </c>
      <c r="N51" s="1062">
        <f>IFERROR(VLOOKUP($A51,'2018'!$A:$BB,12,FALSE),"")</f>
        <v>50</v>
      </c>
      <c r="O51" s="1055" t="str">
        <f>IFERROR(VLOOKUP($A51,'2018'!$A:$BB,13,FALSE),"")</f>
        <v xml:space="preserve">Navia Benefit Solutions </v>
      </c>
      <c r="P51" s="1055" t="str">
        <f>IFERROR(VLOOKUP($A51,'2018'!$A:$BB,14,FALSE),"")</f>
        <v>Namely</v>
      </c>
      <c r="Q51" s="1055" t="str">
        <f>IFERROR(VLOOKUP($A51,'2018'!$A:$BB,16,FALSE),"")</f>
        <v>N/A</v>
      </c>
      <c r="R51" s="1055" t="str">
        <f>IFERROR(VLOOKUP($A51,'2018'!$A:$BB,17,FALSE),"")</f>
        <v>N/A</v>
      </c>
      <c r="S51" s="1062" t="str">
        <f>IFERROR(VLOOKUP($A51,'2018'!$A:$BB,20,FALSE),"")</f>
        <v>NCAL</v>
      </c>
      <c r="T51" s="1062" t="str">
        <f>IFERROR(VLOOKUP($A51,'2018'!$A:$BB,21,FALSE),"")</f>
        <v>Group B (34-44)</v>
      </c>
      <c r="U51" s="1062" t="str">
        <f>IFERROR(VLOOKUP($A51,'2018'!$A:$BB,22,FALSE),"")</f>
        <v>Expanded</v>
      </c>
      <c r="V51" s="1062" t="str">
        <f>IFERROR(VLOOKUP($A51,'2018'!$A:$BB,23,FALSE),"")</f>
        <v>Advantage</v>
      </c>
      <c r="W51" s="1062" t="str">
        <f>IFERROR(VLOOKUP($A51,'2018'!$A:$BB,24,FALSE),"")</f>
        <v>No</v>
      </c>
      <c r="X51" s="1062" t="str">
        <f>IFERROR(VLOOKUP($A51,'2018'!$A:$BB,41,FALSE),"")</f>
        <v>N/A</v>
      </c>
      <c r="Y51" s="1062" t="str">
        <f>IFERROR(VLOOKUP($A51,'2018'!$A:$BB,42,FALSE),"")</f>
        <v>N/A</v>
      </c>
      <c r="Z51" s="1062" t="str">
        <f>IFERROR(VLOOKUP($A51,'2018'!$A:$BB,45,FALSE),"")</f>
        <v>N/A</v>
      </c>
      <c r="AA51" s="731">
        <v>2018</v>
      </c>
      <c r="AB51" s="733" t="s">
        <v>3785</v>
      </c>
      <c r="AC51" s="734" t="s">
        <v>303</v>
      </c>
      <c r="AD51" s="734" t="s">
        <v>3648</v>
      </c>
      <c r="AE51" s="734" t="s">
        <v>307</v>
      </c>
      <c r="AF51" s="734" t="s">
        <v>113</v>
      </c>
      <c r="AG51" s="732" t="s">
        <v>3972</v>
      </c>
      <c r="AH51" s="732" t="s">
        <v>3977</v>
      </c>
      <c r="AI51" s="734">
        <v>14</v>
      </c>
      <c r="AJ51" s="748" t="s">
        <v>3994</v>
      </c>
      <c r="AK51" s="757">
        <v>909678</v>
      </c>
      <c r="AL51" s="756">
        <v>613</v>
      </c>
      <c r="AM51" s="755">
        <v>909678</v>
      </c>
      <c r="AN51" s="756">
        <v>614</v>
      </c>
      <c r="AO51" s="776">
        <f t="shared" si="11"/>
        <v>909678</v>
      </c>
      <c r="AP51" s="754">
        <f t="shared" si="1"/>
        <v>615</v>
      </c>
      <c r="AQ51" s="771" t="s">
        <v>3979</v>
      </c>
      <c r="AR51" s="732" t="s">
        <v>2661</v>
      </c>
      <c r="AS51" s="735"/>
      <c r="AT51" s="735"/>
      <c r="AU51" s="732" t="s">
        <v>3980</v>
      </c>
      <c r="AV51" s="735"/>
      <c r="AW51" s="735"/>
    </row>
    <row r="52" spans="1:49">
      <c r="A52" s="738"/>
      <c r="B52" s="738"/>
      <c r="C52" s="738"/>
      <c r="D52" s="738"/>
      <c r="E52" s="738"/>
      <c r="F52" s="1059" t="str">
        <f>IFERROR(VLOOKUP($A52,'2018'!$A:$BB,3,FALSE),"")</f>
        <v/>
      </c>
      <c r="G52" s="1055" t="str">
        <f>IFERROR(VLOOKUP($A52,'2018'!$A:$BB,4,FALSE),"")</f>
        <v/>
      </c>
      <c r="H52" s="1055" t="str">
        <f>IFERROR(VLOOKUP($A52,'2018'!$A:$BB,5,FALSE),"")</f>
        <v/>
      </c>
      <c r="I52" s="1055" t="str">
        <f>IFERROR(VLOOKUP($A52,'2018'!$A:$BB,6,FALSE),"")</f>
        <v/>
      </c>
      <c r="J52" s="1055" t="str">
        <f>IFERROR(VLOOKUP($A52,'2018'!$A:$BB,7,FALSE),"")</f>
        <v/>
      </c>
      <c r="K52" s="1055" t="str">
        <f>IFERROR(VLOOKUP($A52,'2018'!$A:$BB,8,FALSE),"")</f>
        <v/>
      </c>
      <c r="L52" s="1062" t="str">
        <f>IFERROR(VLOOKUP($A52,'2018'!$A:$BB,9,FALSE),"")</f>
        <v/>
      </c>
      <c r="M52" s="1067" t="str">
        <f>IFERROR(VLOOKUP($A52,'2018'!$A:$BB,10,FALSE),"")</f>
        <v/>
      </c>
      <c r="N52" s="1062" t="str">
        <f>IFERROR(VLOOKUP($A52,'2018'!$A:$BB,12,FALSE),"")</f>
        <v/>
      </c>
      <c r="O52" s="1055" t="str">
        <f>IFERROR(VLOOKUP($A52,'2018'!$A:$BB,13,FALSE),"")</f>
        <v/>
      </c>
      <c r="P52" s="1055" t="str">
        <f>IFERROR(VLOOKUP($A52,'2018'!$A:$BB,14,FALSE),"")</f>
        <v/>
      </c>
      <c r="Q52" s="1055" t="str">
        <f>IFERROR(VLOOKUP($A52,'2018'!$A:$BB,16,FALSE),"")</f>
        <v/>
      </c>
      <c r="R52" s="1055" t="str">
        <f>IFERROR(VLOOKUP($A52,'2018'!$A:$BB,17,FALSE),"")</f>
        <v/>
      </c>
      <c r="S52" s="1062" t="str">
        <f>IFERROR(VLOOKUP($A52,'2018'!$A:$BB,20,FALSE),"")</f>
        <v/>
      </c>
      <c r="T52" s="1062" t="str">
        <f>IFERROR(VLOOKUP($A52,'2018'!$A:$BB,21,FALSE),"")</f>
        <v/>
      </c>
      <c r="U52" s="1062" t="str">
        <f>IFERROR(VLOOKUP($A52,'2018'!$A:$BB,22,FALSE),"")</f>
        <v/>
      </c>
      <c r="V52" s="1062" t="str">
        <f>IFERROR(VLOOKUP($A52,'2018'!$A:$BB,23,FALSE),"")</f>
        <v/>
      </c>
      <c r="W52" s="1062" t="str">
        <f>IFERROR(VLOOKUP($A52,'2018'!$A:$BB,24,FALSE),"")</f>
        <v/>
      </c>
      <c r="X52" s="1062" t="str">
        <f>IFERROR(VLOOKUP($A52,'2018'!$A:$BB,41,FALSE),"")</f>
        <v/>
      </c>
      <c r="Y52" s="1062" t="str">
        <f>IFERROR(VLOOKUP($A52,'2018'!$A:$BB,42,FALSE),"")</f>
        <v/>
      </c>
      <c r="Z52" s="1062" t="str">
        <f>IFERROR(VLOOKUP($A52,'2018'!$A:$BB,45,FALSE),"")</f>
        <v/>
      </c>
      <c r="AA52" s="727"/>
      <c r="AB52" s="728"/>
      <c r="AC52" s="727"/>
      <c r="AD52" s="727"/>
      <c r="AE52" s="727"/>
      <c r="AF52" s="727"/>
      <c r="AG52" s="726"/>
      <c r="AH52" s="726"/>
      <c r="AI52" s="727"/>
      <c r="AJ52" s="747"/>
      <c r="AK52" s="753"/>
      <c r="AL52" s="754"/>
      <c r="AM52" s="753"/>
      <c r="AN52" s="754"/>
      <c r="AO52" s="776"/>
      <c r="AP52" s="754"/>
      <c r="AQ52" s="770"/>
      <c r="AR52" s="726"/>
      <c r="AS52" s="726"/>
      <c r="AT52" s="726"/>
      <c r="AU52" s="726"/>
      <c r="AV52" s="726"/>
      <c r="AW52" s="726"/>
    </row>
    <row r="53" spans="1:49">
      <c r="A53" s="738" t="s">
        <v>359</v>
      </c>
      <c r="B53" s="738" t="s">
        <v>4024</v>
      </c>
      <c r="C53" s="738"/>
      <c r="D53" s="738" t="s">
        <v>4178</v>
      </c>
      <c r="E53" s="738" t="s">
        <v>4178</v>
      </c>
      <c r="F53" s="1059">
        <f>IFERROR(VLOOKUP($A53,'2018'!$A:$BB,3,FALSE),"")</f>
        <v>203435077</v>
      </c>
      <c r="G53" s="1055" t="str">
        <f>IFERROR(VLOOKUP($A53,'2018'!$A:$BB,4,FALSE),"")</f>
        <v>3545 John Hopkins Ct #250
San Diego, CA 92121</v>
      </c>
      <c r="H53" s="1055" t="str">
        <f>IFERROR(VLOOKUP($A53,'2018'!$A:$BB,5,FALSE),"")</f>
        <v xml:space="preserve">Holly Chrzanowski Winter
858-768-0495
hchrzanowski@atyrpharma.com </v>
      </c>
      <c r="I53" s="1055" t="str">
        <f>IFERROR(VLOOKUP($A53,'2018'!$A:$BB,6,FALSE),"")</f>
        <v>Melinda Serrato
858-834-4314
invoices@atyrpharma.com</v>
      </c>
      <c r="J53" s="1055" t="str">
        <f>IFERROR(VLOOKUP($A53,'2018'!$A:$BB,7,FALSE),"")</f>
        <v>HUB (San Diego)</v>
      </c>
      <c r="K53" s="1055" t="str">
        <f>IFERROR(VLOOKUP($A53,'2018'!$A:$BB,8,FALSE),"")</f>
        <v>Account Managed by HUB SD Team
Producer - Bo Lebherz
Service Lead - Michelle Brady</v>
      </c>
      <c r="L53" s="1062" t="str">
        <f>IFERROR(VLOOKUP($A53,'2018'!$A:$BB,9,FALSE),"")</f>
        <v>New</v>
      </c>
      <c r="M53" s="1067">
        <f>IFERROR(VLOOKUP($A53,'2018'!$A:$BB,10,FALSE),"")</f>
        <v>43101</v>
      </c>
      <c r="N53" s="1062">
        <f>IFERROR(VLOOKUP($A53,'2018'!$A:$BB,12,FALSE),"")</f>
        <v>61</v>
      </c>
      <c r="O53" s="1055" t="str">
        <f>IFERROR(VLOOKUP($A53,'2018'!$A:$BB,13,FALSE),"")</f>
        <v xml:space="preserve">IGOE </v>
      </c>
      <c r="P53" s="1055" t="str">
        <f>IFERROR(VLOOKUP($A53,'2018'!$A:$BB,14,FALSE),"")</f>
        <v>Maestro</v>
      </c>
      <c r="Q53" s="1055" t="str">
        <f>IFERROR(VLOOKUP($A53,'2018'!$A:$BB,16,FALSE),"")</f>
        <v>IGOE</v>
      </c>
      <c r="R53" s="1055" t="str">
        <f>IFERROR(VLOOKUP($A53,'2018'!$A:$BB,17,FALSE),"")</f>
        <v>N/A - HSA Bank</v>
      </c>
      <c r="S53" s="1062" t="str">
        <f>IFERROR(VLOOKUP($A53,'2018'!$A:$BB,20,FALSE),"")</f>
        <v>SCAL</v>
      </c>
      <c r="T53" s="1062" t="str">
        <f>IFERROR(VLOOKUP($A53,'2018'!$A:$BB,21,FALSE),"")</f>
        <v>Group C (44-54)</v>
      </c>
      <c r="U53" s="1062" t="str">
        <f>IFERROR(VLOOKUP($A53,'2018'!$A:$BB,22,FALSE),"")</f>
        <v>Expanded</v>
      </c>
      <c r="V53" s="1062" t="str">
        <f>IFERROR(VLOOKUP($A53,'2018'!$A:$BB,23,FALSE),"")</f>
        <v>Advantage</v>
      </c>
      <c r="W53" s="1062" t="str">
        <f>IFERROR(VLOOKUP($A53,'2018'!$A:$BB,24,FALSE),"")</f>
        <v>No</v>
      </c>
      <c r="X53" s="1062" t="str">
        <f>IFERROR(VLOOKUP($A53,'2018'!$A:$BB,41,FALSE),"")</f>
        <v>Region 2</v>
      </c>
      <c r="Y53" s="1062" t="str">
        <f>IFERROR(VLOOKUP($A53,'2018'!$A:$BB,42,FALSE),"")</f>
        <v>(50-99)</v>
      </c>
      <c r="Z53" s="1062" t="str">
        <f>IFERROR(VLOOKUP($A53,'2018'!$A:$BB,45,FALSE),"")</f>
        <v>(50-99)</v>
      </c>
      <c r="AA53" s="730">
        <v>2018</v>
      </c>
      <c r="AB53" s="728" t="s">
        <v>3787</v>
      </c>
      <c r="AC53" s="727" t="s">
        <v>317</v>
      </c>
      <c r="AD53" s="727" t="s">
        <v>3656</v>
      </c>
      <c r="AE53" s="727" t="s">
        <v>307</v>
      </c>
      <c r="AF53" s="727" t="s">
        <v>113</v>
      </c>
      <c r="AG53" s="726" t="s">
        <v>3962</v>
      </c>
      <c r="AH53" s="726" t="s">
        <v>3963</v>
      </c>
      <c r="AI53" s="727">
        <v>1</v>
      </c>
      <c r="AJ53" s="747" t="s">
        <v>3998</v>
      </c>
      <c r="AK53" s="753">
        <v>260068</v>
      </c>
      <c r="AL53" s="754">
        <v>169</v>
      </c>
      <c r="AM53" s="753">
        <v>260069</v>
      </c>
      <c r="AN53" s="754">
        <v>170</v>
      </c>
      <c r="AO53" s="776">
        <f t="shared" si="0"/>
        <v>260070</v>
      </c>
      <c r="AP53" s="754">
        <f t="shared" si="1"/>
        <v>171</v>
      </c>
      <c r="AQ53" s="770"/>
      <c r="AR53" s="726" t="s">
        <v>2661</v>
      </c>
      <c r="AS53" s="726" t="s">
        <v>3999</v>
      </c>
      <c r="AT53" s="726">
        <v>1690169</v>
      </c>
      <c r="AU53" s="726" t="s">
        <v>3966</v>
      </c>
      <c r="AV53" s="726" t="s">
        <v>4025</v>
      </c>
      <c r="AW53" s="726">
        <v>1700170</v>
      </c>
    </row>
    <row r="54" spans="1:49">
      <c r="A54" s="738" t="s">
        <v>359</v>
      </c>
      <c r="B54" s="738" t="s">
        <v>4024</v>
      </c>
      <c r="C54" s="738"/>
      <c r="D54" s="738" t="s">
        <v>4178</v>
      </c>
      <c r="E54" s="738" t="s">
        <v>4178</v>
      </c>
      <c r="F54" s="1059">
        <f>IFERROR(VLOOKUP($A54,'2018'!$A:$BB,3,FALSE),"")</f>
        <v>203435077</v>
      </c>
      <c r="G54" s="1055" t="str">
        <f>IFERROR(VLOOKUP($A54,'2018'!$A:$BB,4,FALSE),"")</f>
        <v>3545 John Hopkins Ct #250
San Diego, CA 92121</v>
      </c>
      <c r="H54" s="1055" t="str">
        <f>IFERROR(VLOOKUP($A54,'2018'!$A:$BB,5,FALSE),"")</f>
        <v xml:space="preserve">Holly Chrzanowski Winter
858-768-0495
hchrzanowski@atyrpharma.com </v>
      </c>
      <c r="I54" s="1055" t="str">
        <f>IFERROR(VLOOKUP($A54,'2018'!$A:$BB,6,FALSE),"")</f>
        <v>Melinda Serrato
858-834-4314
invoices@atyrpharma.com</v>
      </c>
      <c r="J54" s="1055" t="str">
        <f>IFERROR(VLOOKUP($A54,'2018'!$A:$BB,7,FALSE),"")</f>
        <v>HUB (San Diego)</v>
      </c>
      <c r="K54" s="1055" t="str">
        <f>IFERROR(VLOOKUP($A54,'2018'!$A:$BB,8,FALSE),"")</f>
        <v>Account Managed by HUB SD Team
Producer - Bo Lebherz
Service Lead - Michelle Brady</v>
      </c>
      <c r="L54" s="1062" t="str">
        <f>IFERROR(VLOOKUP($A54,'2018'!$A:$BB,9,FALSE),"")</f>
        <v>New</v>
      </c>
      <c r="M54" s="1067">
        <f>IFERROR(VLOOKUP($A54,'2018'!$A:$BB,10,FALSE),"")</f>
        <v>43101</v>
      </c>
      <c r="N54" s="1062">
        <f>IFERROR(VLOOKUP($A54,'2018'!$A:$BB,12,FALSE),"")</f>
        <v>61</v>
      </c>
      <c r="O54" s="1055" t="str">
        <f>IFERROR(VLOOKUP($A54,'2018'!$A:$BB,13,FALSE),"")</f>
        <v xml:space="preserve">IGOE </v>
      </c>
      <c r="P54" s="1055" t="str">
        <f>IFERROR(VLOOKUP($A54,'2018'!$A:$BB,14,FALSE),"")</f>
        <v>Maestro</v>
      </c>
      <c r="Q54" s="1055" t="str">
        <f>IFERROR(VLOOKUP($A54,'2018'!$A:$BB,16,FALSE),"")</f>
        <v>IGOE</v>
      </c>
      <c r="R54" s="1055" t="str">
        <f>IFERROR(VLOOKUP($A54,'2018'!$A:$BB,17,FALSE),"")</f>
        <v>N/A - HSA Bank</v>
      </c>
      <c r="S54" s="1062" t="str">
        <f>IFERROR(VLOOKUP($A54,'2018'!$A:$BB,20,FALSE),"")</f>
        <v>SCAL</v>
      </c>
      <c r="T54" s="1062" t="str">
        <f>IFERROR(VLOOKUP($A54,'2018'!$A:$BB,21,FALSE),"")</f>
        <v>Group C (44-54)</v>
      </c>
      <c r="U54" s="1062" t="str">
        <f>IFERROR(VLOOKUP($A54,'2018'!$A:$BB,22,FALSE),"")</f>
        <v>Expanded</v>
      </c>
      <c r="V54" s="1062" t="str">
        <f>IFERROR(VLOOKUP($A54,'2018'!$A:$BB,23,FALSE),"")</f>
        <v>Advantage</v>
      </c>
      <c r="W54" s="1062" t="str">
        <f>IFERROR(VLOOKUP($A54,'2018'!$A:$BB,24,FALSE),"")</f>
        <v>No</v>
      </c>
      <c r="X54" s="1062" t="str">
        <f>IFERROR(VLOOKUP($A54,'2018'!$A:$BB,41,FALSE),"")</f>
        <v>Region 2</v>
      </c>
      <c r="Y54" s="1062" t="str">
        <f>IFERROR(VLOOKUP($A54,'2018'!$A:$BB,42,FALSE),"")</f>
        <v>(50-99)</v>
      </c>
      <c r="Z54" s="1062" t="str">
        <f>IFERROR(VLOOKUP($A54,'2018'!$A:$BB,45,FALSE),"")</f>
        <v>(50-99)</v>
      </c>
      <c r="AA54" s="730">
        <v>2018</v>
      </c>
      <c r="AB54" s="728" t="s">
        <v>3787</v>
      </c>
      <c r="AC54" s="727" t="s">
        <v>317</v>
      </c>
      <c r="AD54" s="727" t="s">
        <v>3656</v>
      </c>
      <c r="AE54" s="727" t="s">
        <v>307</v>
      </c>
      <c r="AF54" s="727" t="s">
        <v>113</v>
      </c>
      <c r="AG54" s="726" t="s">
        <v>3972</v>
      </c>
      <c r="AH54" s="726" t="s">
        <v>3973</v>
      </c>
      <c r="AI54" s="727">
        <v>7</v>
      </c>
      <c r="AJ54" s="747" t="s">
        <v>4001</v>
      </c>
      <c r="AK54" s="755">
        <v>909678</v>
      </c>
      <c r="AL54" s="754">
        <v>340</v>
      </c>
      <c r="AM54" s="755">
        <v>909678</v>
      </c>
      <c r="AN54" s="754">
        <v>341</v>
      </c>
      <c r="AO54" s="776">
        <f t="shared" ref="AO54:AO57" si="12">AM54</f>
        <v>909678</v>
      </c>
      <c r="AP54" s="754">
        <f t="shared" si="1"/>
        <v>342</v>
      </c>
      <c r="AQ54" s="770"/>
      <c r="AR54" s="726" t="s">
        <v>2661</v>
      </c>
      <c r="AS54" s="726" t="s">
        <v>4002</v>
      </c>
      <c r="AT54" s="726">
        <v>3400340</v>
      </c>
      <c r="AU54" s="726" t="s">
        <v>3966</v>
      </c>
      <c r="AV54" s="726" t="s">
        <v>4026</v>
      </c>
      <c r="AW54" s="726">
        <v>3410341</v>
      </c>
    </row>
    <row r="55" spans="1:49">
      <c r="A55" s="738" t="s">
        <v>359</v>
      </c>
      <c r="B55" s="736" t="s">
        <v>4024</v>
      </c>
      <c r="C55" s="736"/>
      <c r="D55" s="736" t="s">
        <v>4178</v>
      </c>
      <c r="E55" s="736" t="s">
        <v>4178</v>
      </c>
      <c r="F55" s="1059">
        <f>IFERROR(VLOOKUP($A55,'2018'!$A:$BB,3,FALSE),"")</f>
        <v>203435077</v>
      </c>
      <c r="G55" s="1055" t="str">
        <f>IFERROR(VLOOKUP($A55,'2018'!$A:$BB,4,FALSE),"")</f>
        <v>3545 John Hopkins Ct #250
San Diego, CA 92121</v>
      </c>
      <c r="H55" s="1055" t="str">
        <f>IFERROR(VLOOKUP($A55,'2018'!$A:$BB,5,FALSE),"")</f>
        <v xml:space="preserve">Holly Chrzanowski Winter
858-768-0495
hchrzanowski@atyrpharma.com </v>
      </c>
      <c r="I55" s="1055" t="str">
        <f>IFERROR(VLOOKUP($A55,'2018'!$A:$BB,6,FALSE),"")</f>
        <v>Melinda Serrato
858-834-4314
invoices@atyrpharma.com</v>
      </c>
      <c r="J55" s="1055" t="str">
        <f>IFERROR(VLOOKUP($A55,'2018'!$A:$BB,7,FALSE),"")</f>
        <v>HUB (San Diego)</v>
      </c>
      <c r="K55" s="1055" t="str">
        <f>IFERROR(VLOOKUP($A55,'2018'!$A:$BB,8,FALSE),"")</f>
        <v>Account Managed by HUB SD Team
Producer - Bo Lebherz
Service Lead - Michelle Brady</v>
      </c>
      <c r="L55" s="1062" t="str">
        <f>IFERROR(VLOOKUP($A55,'2018'!$A:$BB,9,FALSE),"")</f>
        <v>New</v>
      </c>
      <c r="M55" s="1067">
        <f>IFERROR(VLOOKUP($A55,'2018'!$A:$BB,10,FALSE),"")</f>
        <v>43101</v>
      </c>
      <c r="N55" s="1062">
        <f>IFERROR(VLOOKUP($A55,'2018'!$A:$BB,12,FALSE),"")</f>
        <v>61</v>
      </c>
      <c r="O55" s="1055" t="str">
        <f>IFERROR(VLOOKUP($A55,'2018'!$A:$BB,13,FALSE),"")</f>
        <v xml:space="preserve">IGOE </v>
      </c>
      <c r="P55" s="1055" t="str">
        <f>IFERROR(VLOOKUP($A55,'2018'!$A:$BB,14,FALSE),"")</f>
        <v>Maestro</v>
      </c>
      <c r="Q55" s="1055" t="str">
        <f>IFERROR(VLOOKUP($A55,'2018'!$A:$BB,16,FALSE),"")</f>
        <v>IGOE</v>
      </c>
      <c r="R55" s="1055" t="str">
        <f>IFERROR(VLOOKUP($A55,'2018'!$A:$BB,17,FALSE),"")</f>
        <v>N/A - HSA Bank</v>
      </c>
      <c r="S55" s="1062" t="str">
        <f>IFERROR(VLOOKUP($A55,'2018'!$A:$BB,20,FALSE),"")</f>
        <v>SCAL</v>
      </c>
      <c r="T55" s="1062" t="str">
        <f>IFERROR(VLOOKUP($A55,'2018'!$A:$BB,21,FALSE),"")</f>
        <v>Group C (44-54)</v>
      </c>
      <c r="U55" s="1062" t="str">
        <f>IFERROR(VLOOKUP($A55,'2018'!$A:$BB,22,FALSE),"")</f>
        <v>Expanded</v>
      </c>
      <c r="V55" s="1062" t="str">
        <f>IFERROR(VLOOKUP($A55,'2018'!$A:$BB,23,FALSE),"")</f>
        <v>Advantage</v>
      </c>
      <c r="W55" s="1062" t="str">
        <f>IFERROR(VLOOKUP($A55,'2018'!$A:$BB,24,FALSE),"")</f>
        <v>No</v>
      </c>
      <c r="X55" s="1062" t="str">
        <f>IFERROR(VLOOKUP($A55,'2018'!$A:$BB,41,FALSE),"")</f>
        <v>Region 2</v>
      </c>
      <c r="Y55" s="1062" t="str">
        <f>IFERROR(VLOOKUP($A55,'2018'!$A:$BB,42,FALSE),"")</f>
        <v>(50-99)</v>
      </c>
      <c r="Z55" s="1062" t="str">
        <f>IFERROR(VLOOKUP($A55,'2018'!$A:$BB,45,FALSE),"")</f>
        <v>(50-99)</v>
      </c>
      <c r="AA55" s="731">
        <v>2018</v>
      </c>
      <c r="AB55" s="733" t="s">
        <v>3787</v>
      </c>
      <c r="AC55" s="734" t="s">
        <v>317</v>
      </c>
      <c r="AD55" s="734" t="s">
        <v>3656</v>
      </c>
      <c r="AE55" s="734" t="s">
        <v>307</v>
      </c>
      <c r="AF55" s="734" t="s">
        <v>113</v>
      </c>
      <c r="AG55" s="732" t="s">
        <v>3972</v>
      </c>
      <c r="AH55" s="732" t="s">
        <v>3977</v>
      </c>
      <c r="AI55" s="734">
        <v>13</v>
      </c>
      <c r="AJ55" s="748" t="s">
        <v>4004</v>
      </c>
      <c r="AK55" s="755">
        <v>909678</v>
      </c>
      <c r="AL55" s="756">
        <v>592</v>
      </c>
      <c r="AM55" s="755">
        <v>909678</v>
      </c>
      <c r="AN55" s="756">
        <v>593</v>
      </c>
      <c r="AO55" s="776">
        <f t="shared" si="12"/>
        <v>909678</v>
      </c>
      <c r="AP55" s="754">
        <f t="shared" si="1"/>
        <v>594</v>
      </c>
      <c r="AQ55" s="771" t="s">
        <v>3979</v>
      </c>
      <c r="AR55" s="732" t="s">
        <v>2661</v>
      </c>
      <c r="AS55" s="735"/>
      <c r="AT55" s="735"/>
      <c r="AU55" s="732" t="s">
        <v>3980</v>
      </c>
      <c r="AV55" s="735"/>
      <c r="AW55" s="735"/>
    </row>
    <row r="56" spans="1:49">
      <c r="A56" s="738" t="s">
        <v>359</v>
      </c>
      <c r="B56" s="738" t="s">
        <v>4024</v>
      </c>
      <c r="C56" s="738"/>
      <c r="D56" s="738" t="s">
        <v>4178</v>
      </c>
      <c r="E56" s="738" t="s">
        <v>4178</v>
      </c>
      <c r="F56" s="1059">
        <f>IFERROR(VLOOKUP($A56,'2018'!$A:$BB,3,FALSE),"")</f>
        <v>203435077</v>
      </c>
      <c r="G56" s="1055" t="str">
        <f>IFERROR(VLOOKUP($A56,'2018'!$A:$BB,4,FALSE),"")</f>
        <v>3545 John Hopkins Ct #250
San Diego, CA 92121</v>
      </c>
      <c r="H56" s="1055" t="str">
        <f>IFERROR(VLOOKUP($A56,'2018'!$A:$BB,5,FALSE),"")</f>
        <v xml:space="preserve">Holly Chrzanowski Winter
858-768-0495
hchrzanowski@atyrpharma.com </v>
      </c>
      <c r="I56" s="1055" t="str">
        <f>IFERROR(VLOOKUP($A56,'2018'!$A:$BB,6,FALSE),"")</f>
        <v>Melinda Serrato
858-834-4314
invoices@atyrpharma.com</v>
      </c>
      <c r="J56" s="1055" t="str">
        <f>IFERROR(VLOOKUP($A56,'2018'!$A:$BB,7,FALSE),"")</f>
        <v>HUB (San Diego)</v>
      </c>
      <c r="K56" s="1055" t="str">
        <f>IFERROR(VLOOKUP($A56,'2018'!$A:$BB,8,FALSE),"")</f>
        <v>Account Managed by HUB SD Team
Producer - Bo Lebherz
Service Lead - Michelle Brady</v>
      </c>
      <c r="L56" s="1062" t="str">
        <f>IFERROR(VLOOKUP($A56,'2018'!$A:$BB,9,FALSE),"")</f>
        <v>New</v>
      </c>
      <c r="M56" s="1067">
        <f>IFERROR(VLOOKUP($A56,'2018'!$A:$BB,10,FALSE),"")</f>
        <v>43101</v>
      </c>
      <c r="N56" s="1062">
        <f>IFERROR(VLOOKUP($A56,'2018'!$A:$BB,12,FALSE),"")</f>
        <v>61</v>
      </c>
      <c r="O56" s="1055" t="str">
        <f>IFERROR(VLOOKUP($A56,'2018'!$A:$BB,13,FALSE),"")</f>
        <v xml:space="preserve">IGOE </v>
      </c>
      <c r="P56" s="1055" t="str">
        <f>IFERROR(VLOOKUP($A56,'2018'!$A:$BB,14,FALSE),"")</f>
        <v>Maestro</v>
      </c>
      <c r="Q56" s="1055" t="str">
        <f>IFERROR(VLOOKUP($A56,'2018'!$A:$BB,16,FALSE),"")</f>
        <v>IGOE</v>
      </c>
      <c r="R56" s="1055" t="str">
        <f>IFERROR(VLOOKUP($A56,'2018'!$A:$BB,17,FALSE),"")</f>
        <v>N/A - HSA Bank</v>
      </c>
      <c r="S56" s="1062" t="str">
        <f>IFERROR(VLOOKUP($A56,'2018'!$A:$BB,20,FALSE),"")</f>
        <v>SCAL</v>
      </c>
      <c r="T56" s="1062" t="str">
        <f>IFERROR(VLOOKUP($A56,'2018'!$A:$BB,21,FALSE),"")</f>
        <v>Group C (44-54)</v>
      </c>
      <c r="U56" s="1062" t="str">
        <f>IFERROR(VLOOKUP($A56,'2018'!$A:$BB,22,FALSE),"")</f>
        <v>Expanded</v>
      </c>
      <c r="V56" s="1062" t="str">
        <f>IFERROR(VLOOKUP($A56,'2018'!$A:$BB,23,FALSE),"")</f>
        <v>Advantage</v>
      </c>
      <c r="W56" s="1062" t="str">
        <f>IFERROR(VLOOKUP($A56,'2018'!$A:$BB,24,FALSE),"")</f>
        <v>No</v>
      </c>
      <c r="X56" s="1062" t="str">
        <f>IFERROR(VLOOKUP($A56,'2018'!$A:$BB,41,FALSE),"")</f>
        <v>Region 2</v>
      </c>
      <c r="Y56" s="1062" t="str">
        <f>IFERROR(VLOOKUP($A56,'2018'!$A:$BB,42,FALSE),"")</f>
        <v>(50-99)</v>
      </c>
      <c r="Z56" s="1062" t="str">
        <f>IFERROR(VLOOKUP($A56,'2018'!$A:$BB,45,FALSE),"")</f>
        <v>(50-99)</v>
      </c>
      <c r="AA56" s="730">
        <v>2018</v>
      </c>
      <c r="AB56" s="728" t="s">
        <v>3787</v>
      </c>
      <c r="AC56" s="727" t="s">
        <v>317</v>
      </c>
      <c r="AD56" s="727" t="s">
        <v>3656</v>
      </c>
      <c r="AE56" s="727" t="s">
        <v>307</v>
      </c>
      <c r="AF56" s="727" t="s">
        <v>113</v>
      </c>
      <c r="AG56" s="726" t="s">
        <v>3981</v>
      </c>
      <c r="AH56" s="726" t="s">
        <v>3973</v>
      </c>
      <c r="AI56" s="727">
        <v>11</v>
      </c>
      <c r="AJ56" s="747" t="s">
        <v>3982</v>
      </c>
      <c r="AK56" s="757">
        <v>909678</v>
      </c>
      <c r="AL56" s="754">
        <v>484</v>
      </c>
      <c r="AM56" s="755">
        <v>909678</v>
      </c>
      <c r="AN56" s="754">
        <v>485</v>
      </c>
      <c r="AO56" s="776">
        <f t="shared" si="12"/>
        <v>909678</v>
      </c>
      <c r="AP56" s="754">
        <f t="shared" si="1"/>
        <v>486</v>
      </c>
      <c r="AQ56" s="770"/>
      <c r="AR56" s="726" t="s">
        <v>2661</v>
      </c>
      <c r="AS56" s="726" t="s">
        <v>3983</v>
      </c>
      <c r="AT56" s="726">
        <v>4840484</v>
      </c>
      <c r="AU56" s="726" t="s">
        <v>3966</v>
      </c>
      <c r="AV56" s="726" t="s">
        <v>4027</v>
      </c>
      <c r="AW56" s="726">
        <v>4850485</v>
      </c>
    </row>
    <row r="57" spans="1:49">
      <c r="A57" s="738" t="s">
        <v>359</v>
      </c>
      <c r="B57" s="736" t="s">
        <v>4024</v>
      </c>
      <c r="C57" s="736"/>
      <c r="D57" s="736" t="s">
        <v>4178</v>
      </c>
      <c r="E57" s="736" t="s">
        <v>4178</v>
      </c>
      <c r="F57" s="1059">
        <f>IFERROR(VLOOKUP($A57,'2018'!$A:$BB,3,FALSE),"")</f>
        <v>203435077</v>
      </c>
      <c r="G57" s="1055" t="str">
        <f>IFERROR(VLOOKUP($A57,'2018'!$A:$BB,4,FALSE),"")</f>
        <v>3545 John Hopkins Ct #250
San Diego, CA 92121</v>
      </c>
      <c r="H57" s="1055" t="str">
        <f>IFERROR(VLOOKUP($A57,'2018'!$A:$BB,5,FALSE),"")</f>
        <v xml:space="preserve">Holly Chrzanowski Winter
858-768-0495
hchrzanowski@atyrpharma.com </v>
      </c>
      <c r="I57" s="1055" t="str">
        <f>IFERROR(VLOOKUP($A57,'2018'!$A:$BB,6,FALSE),"")</f>
        <v>Melinda Serrato
858-834-4314
invoices@atyrpharma.com</v>
      </c>
      <c r="J57" s="1055" t="str">
        <f>IFERROR(VLOOKUP($A57,'2018'!$A:$BB,7,FALSE),"")</f>
        <v>HUB (San Diego)</v>
      </c>
      <c r="K57" s="1055" t="str">
        <f>IFERROR(VLOOKUP($A57,'2018'!$A:$BB,8,FALSE),"")</f>
        <v>Account Managed by HUB SD Team
Producer - Bo Lebherz
Service Lead - Michelle Brady</v>
      </c>
      <c r="L57" s="1062" t="str">
        <f>IFERROR(VLOOKUP($A57,'2018'!$A:$BB,9,FALSE),"")</f>
        <v>New</v>
      </c>
      <c r="M57" s="1067">
        <f>IFERROR(VLOOKUP($A57,'2018'!$A:$BB,10,FALSE),"")</f>
        <v>43101</v>
      </c>
      <c r="N57" s="1062">
        <f>IFERROR(VLOOKUP($A57,'2018'!$A:$BB,12,FALSE),"")</f>
        <v>61</v>
      </c>
      <c r="O57" s="1055" t="str">
        <f>IFERROR(VLOOKUP($A57,'2018'!$A:$BB,13,FALSE),"")</f>
        <v xml:space="preserve">IGOE </v>
      </c>
      <c r="P57" s="1055" t="str">
        <f>IFERROR(VLOOKUP($A57,'2018'!$A:$BB,14,FALSE),"")</f>
        <v>Maestro</v>
      </c>
      <c r="Q57" s="1055" t="str">
        <f>IFERROR(VLOOKUP($A57,'2018'!$A:$BB,16,FALSE),"")</f>
        <v>IGOE</v>
      </c>
      <c r="R57" s="1055" t="str">
        <f>IFERROR(VLOOKUP($A57,'2018'!$A:$BB,17,FALSE),"")</f>
        <v>N/A - HSA Bank</v>
      </c>
      <c r="S57" s="1062" t="str">
        <f>IFERROR(VLOOKUP($A57,'2018'!$A:$BB,20,FALSE),"")</f>
        <v>SCAL</v>
      </c>
      <c r="T57" s="1062" t="str">
        <f>IFERROR(VLOOKUP($A57,'2018'!$A:$BB,21,FALSE),"")</f>
        <v>Group C (44-54)</v>
      </c>
      <c r="U57" s="1062" t="str">
        <f>IFERROR(VLOOKUP($A57,'2018'!$A:$BB,22,FALSE),"")</f>
        <v>Expanded</v>
      </c>
      <c r="V57" s="1062" t="str">
        <f>IFERROR(VLOOKUP($A57,'2018'!$A:$BB,23,FALSE),"")</f>
        <v>Advantage</v>
      </c>
      <c r="W57" s="1062" t="str">
        <f>IFERROR(VLOOKUP($A57,'2018'!$A:$BB,24,FALSE),"")</f>
        <v>No</v>
      </c>
      <c r="X57" s="1062" t="str">
        <f>IFERROR(VLOOKUP($A57,'2018'!$A:$BB,41,FALSE),"")</f>
        <v>Region 2</v>
      </c>
      <c r="Y57" s="1062" t="str">
        <f>IFERROR(VLOOKUP($A57,'2018'!$A:$BB,42,FALSE),"")</f>
        <v>(50-99)</v>
      </c>
      <c r="Z57" s="1062" t="str">
        <f>IFERROR(VLOOKUP($A57,'2018'!$A:$BB,45,FALSE),"")</f>
        <v>(50-99)</v>
      </c>
      <c r="AA57" s="731">
        <v>2018</v>
      </c>
      <c r="AB57" s="733" t="s">
        <v>3787</v>
      </c>
      <c r="AC57" s="734" t="s">
        <v>317</v>
      </c>
      <c r="AD57" s="734" t="s">
        <v>3656</v>
      </c>
      <c r="AE57" s="734" t="s">
        <v>307</v>
      </c>
      <c r="AF57" s="734" t="s">
        <v>113</v>
      </c>
      <c r="AG57" s="732" t="s">
        <v>3981</v>
      </c>
      <c r="AH57" s="732" t="s">
        <v>3977</v>
      </c>
      <c r="AI57" s="734">
        <v>16</v>
      </c>
      <c r="AJ57" s="748" t="s">
        <v>3985</v>
      </c>
      <c r="AK57" s="757">
        <v>909678</v>
      </c>
      <c r="AL57" s="756">
        <v>736</v>
      </c>
      <c r="AM57" s="755">
        <v>909678</v>
      </c>
      <c r="AN57" s="756">
        <v>737</v>
      </c>
      <c r="AO57" s="776">
        <f t="shared" si="12"/>
        <v>909678</v>
      </c>
      <c r="AP57" s="754">
        <f t="shared" si="1"/>
        <v>738</v>
      </c>
      <c r="AQ57" s="771" t="s">
        <v>3979</v>
      </c>
      <c r="AR57" s="732" t="s">
        <v>2661</v>
      </c>
      <c r="AS57" s="735"/>
      <c r="AT57" s="735"/>
      <c r="AU57" s="732" t="s">
        <v>3980</v>
      </c>
      <c r="AV57" s="735"/>
      <c r="AW57" s="735"/>
    </row>
    <row r="58" spans="1:49">
      <c r="A58" s="738"/>
      <c r="B58" s="738"/>
      <c r="C58" s="738"/>
      <c r="D58" s="738"/>
      <c r="E58" s="738"/>
      <c r="F58" s="1059" t="str">
        <f>IFERROR(VLOOKUP($A58,'2018'!$A:$BB,3,FALSE),"")</f>
        <v/>
      </c>
      <c r="G58" s="1055" t="str">
        <f>IFERROR(VLOOKUP($A58,'2018'!$A:$BB,4,FALSE),"")</f>
        <v/>
      </c>
      <c r="H58" s="1055" t="str">
        <f>IFERROR(VLOOKUP($A58,'2018'!$A:$BB,5,FALSE),"")</f>
        <v/>
      </c>
      <c r="I58" s="1055" t="str">
        <f>IFERROR(VLOOKUP($A58,'2018'!$A:$BB,6,FALSE),"")</f>
        <v/>
      </c>
      <c r="J58" s="1055" t="str">
        <f>IFERROR(VLOOKUP($A58,'2018'!$A:$BB,7,FALSE),"")</f>
        <v/>
      </c>
      <c r="K58" s="1055" t="str">
        <f>IFERROR(VLOOKUP($A58,'2018'!$A:$BB,8,FALSE),"")</f>
        <v/>
      </c>
      <c r="L58" s="1062" t="str">
        <f>IFERROR(VLOOKUP($A58,'2018'!$A:$BB,9,FALSE),"")</f>
        <v/>
      </c>
      <c r="M58" s="1067" t="str">
        <f>IFERROR(VLOOKUP($A58,'2018'!$A:$BB,10,FALSE),"")</f>
        <v/>
      </c>
      <c r="N58" s="1062" t="str">
        <f>IFERROR(VLOOKUP($A58,'2018'!$A:$BB,12,FALSE),"")</f>
        <v/>
      </c>
      <c r="O58" s="1055" t="str">
        <f>IFERROR(VLOOKUP($A58,'2018'!$A:$BB,13,FALSE),"")</f>
        <v/>
      </c>
      <c r="P58" s="1055" t="str">
        <f>IFERROR(VLOOKUP($A58,'2018'!$A:$BB,14,FALSE),"")</f>
        <v/>
      </c>
      <c r="Q58" s="1055" t="str">
        <f>IFERROR(VLOOKUP($A58,'2018'!$A:$BB,16,FALSE),"")</f>
        <v/>
      </c>
      <c r="R58" s="1055" t="str">
        <f>IFERROR(VLOOKUP($A58,'2018'!$A:$BB,17,FALSE),"")</f>
        <v/>
      </c>
      <c r="S58" s="1062" t="str">
        <f>IFERROR(VLOOKUP($A58,'2018'!$A:$BB,20,FALSE),"")</f>
        <v/>
      </c>
      <c r="T58" s="1062" t="str">
        <f>IFERROR(VLOOKUP($A58,'2018'!$A:$BB,21,FALSE),"")</f>
        <v/>
      </c>
      <c r="U58" s="1062" t="str">
        <f>IFERROR(VLOOKUP($A58,'2018'!$A:$BB,22,FALSE),"")</f>
        <v/>
      </c>
      <c r="V58" s="1062" t="str">
        <f>IFERROR(VLOOKUP($A58,'2018'!$A:$BB,23,FALSE),"")</f>
        <v/>
      </c>
      <c r="W58" s="1062" t="str">
        <f>IFERROR(VLOOKUP($A58,'2018'!$A:$BB,24,FALSE),"")</f>
        <v/>
      </c>
      <c r="X58" s="1062" t="str">
        <f>IFERROR(VLOOKUP($A58,'2018'!$A:$BB,41,FALSE),"")</f>
        <v/>
      </c>
      <c r="Y58" s="1062" t="str">
        <f>IFERROR(VLOOKUP($A58,'2018'!$A:$BB,42,FALSE),"")</f>
        <v/>
      </c>
      <c r="Z58" s="1062" t="str">
        <f>IFERROR(VLOOKUP($A58,'2018'!$A:$BB,45,FALSE),"")</f>
        <v/>
      </c>
      <c r="AA58" s="727"/>
      <c r="AB58" s="728"/>
      <c r="AC58" s="727"/>
      <c r="AD58" s="727"/>
      <c r="AE58" s="727"/>
      <c r="AF58" s="727"/>
      <c r="AG58" s="726"/>
      <c r="AH58" s="726"/>
      <c r="AI58" s="727"/>
      <c r="AJ58" s="747"/>
      <c r="AK58" s="753"/>
      <c r="AL58" s="754"/>
      <c r="AM58" s="753"/>
      <c r="AN58" s="754"/>
      <c r="AO58" s="776"/>
      <c r="AP58" s="754"/>
      <c r="AQ58" s="770"/>
      <c r="AR58" s="726"/>
      <c r="AS58" s="726"/>
      <c r="AT58" s="726"/>
      <c r="AU58" s="726"/>
      <c r="AV58" s="726"/>
      <c r="AW58" s="726"/>
    </row>
    <row r="59" spans="1:49">
      <c r="A59" s="1614" t="s">
        <v>4573</v>
      </c>
      <c r="B59" s="1613" t="s">
        <v>4573</v>
      </c>
      <c r="C59" s="736"/>
      <c r="D59" s="736"/>
      <c r="E59" s="736"/>
      <c r="F59" s="1059" t="str">
        <f>IFERROR(VLOOKUP($A59,'2018'!$A:$BB,3,FALSE),"")</f>
        <v>61-1798266</v>
      </c>
      <c r="G59" s="1055" t="str">
        <f>IFERROR(VLOOKUP($A59,'2018'!$A:$BB,4,FALSE),"")</f>
        <v>6118 Nancy Ridge Dr
San Diego, CA 92121</v>
      </c>
      <c r="H59" s="1055" t="str">
        <f>IFERROR(VLOOKUP($A59,'2018'!$A:$BB,5,FALSE),"")</f>
        <v>Erin Sanabria
858-346-7127
esanabria@beacondiscovery.com</v>
      </c>
      <c r="I59" s="1055" t="str">
        <f>IFERROR(VLOOKUP($A59,'2018'!$A:$BB,6,FALSE),"")</f>
        <v>Erin Sanabria
858-346-7127
esanabria@beacondiscovery.com</v>
      </c>
      <c r="J59" s="1055" t="str">
        <f>IFERROR(VLOOKUP($A59,'2018'!$A:$BB,7,FALSE),"")</f>
        <v>HUB (San Diego)</v>
      </c>
      <c r="K59" s="1055" t="str">
        <f>IFERROR(VLOOKUP($A59,'2018'!$A:$BB,8,FALSE),"")</f>
        <v xml:space="preserve">Account Managed by HUB SD Team
Producer - Neal Cook
Service Lead - Megan Wallace
</v>
      </c>
      <c r="L59" s="1062" t="str">
        <f>IFERROR(VLOOKUP($A59,'2018'!$A:$BB,9,FALSE),"")</f>
        <v>New</v>
      </c>
      <c r="M59" s="1067">
        <f>IFERROR(VLOOKUP($A59,'2018'!$A:$BB,10,FALSE),"")</f>
        <v>43282</v>
      </c>
      <c r="N59" s="1062">
        <f>IFERROR(VLOOKUP($A59,'2018'!$A:$BB,12,FALSE),"")</f>
        <v>25</v>
      </c>
      <c r="O59" s="1055" t="str">
        <f>IFERROR(VLOOKUP($A59,'2018'!$A:$BB,13,FALSE),"")</f>
        <v>IGOE</v>
      </c>
      <c r="P59" s="1055" t="str">
        <f>IFERROR(VLOOKUP($A59,'2018'!$A:$BB,14,FALSE),"")</f>
        <v>Maestro</v>
      </c>
      <c r="Q59" s="1055" t="str">
        <f>IFERROR(VLOOKUP($A59,'2018'!$A:$BB,16,FALSE),"")</f>
        <v>IGOE</v>
      </c>
      <c r="R59" s="1055" t="str">
        <f>IFERROR(VLOOKUP($A59,'2018'!$A:$BB,17,FALSE),"")</f>
        <v>Optum Health</v>
      </c>
      <c r="S59" s="1062" t="str">
        <f>IFERROR(VLOOKUP($A59,'2018'!$A:$BB,20,FALSE),"")</f>
        <v>SCAL</v>
      </c>
      <c r="T59" s="1062" t="str">
        <f>IFERROR(VLOOKUP($A59,'2018'!$A:$BB,21,FALSE),"")</f>
        <v>Group C (44-54)</v>
      </c>
      <c r="U59" s="1062" t="str">
        <f>IFERROR(VLOOKUP($A59,'2018'!$A:$BB,22,FALSE),"")</f>
        <v>Expanded</v>
      </c>
      <c r="V59" s="1062" t="str">
        <f>IFERROR(VLOOKUP($A59,'2018'!$A:$BB,23,FALSE),"")</f>
        <v>Advantage</v>
      </c>
      <c r="W59" s="1062" t="str">
        <f>IFERROR(VLOOKUP($A59,'2018'!$A:$BB,24,FALSE),"")</f>
        <v>No</v>
      </c>
      <c r="X59" s="1062" t="str">
        <f>IFERROR(VLOOKUP($A59,'2018'!$A:$BB,41,FALSE),"")</f>
        <v>Region 2</v>
      </c>
      <c r="Y59" s="1062" t="str">
        <f>IFERROR(VLOOKUP($A59,'2018'!$A:$BB,42,FALSE),"")</f>
        <v>(25-49)</v>
      </c>
      <c r="Z59" s="1062" t="str">
        <f>IFERROR(VLOOKUP($A59,'2018'!$A:$BB,45,FALSE),"")</f>
        <v xml:space="preserve"> (2-49)</v>
      </c>
      <c r="AA59" s="731">
        <v>2018</v>
      </c>
      <c r="AB59" s="1177" t="e">
        <v>#N/A</v>
      </c>
      <c r="AC59" s="734" t="s">
        <v>317</v>
      </c>
      <c r="AD59" s="727" t="s">
        <v>3656</v>
      </c>
      <c r="AE59" s="731" t="s">
        <v>307</v>
      </c>
      <c r="AF59" s="731" t="s">
        <v>113</v>
      </c>
      <c r="AG59" s="726" t="s">
        <v>3962</v>
      </c>
      <c r="AH59" s="726" t="s">
        <v>3963</v>
      </c>
      <c r="AI59" s="727">
        <v>2</v>
      </c>
      <c r="AJ59" s="747" t="s">
        <v>3964</v>
      </c>
      <c r="AK59" s="753">
        <v>260092</v>
      </c>
      <c r="AL59" s="754">
        <v>193</v>
      </c>
      <c r="AM59" s="755">
        <v>909678</v>
      </c>
      <c r="AN59" s="754">
        <f>AL59+1</f>
        <v>194</v>
      </c>
      <c r="AO59" s="763">
        <v>909678</v>
      </c>
      <c r="AP59" s="754">
        <f>AN59+1</f>
        <v>195</v>
      </c>
      <c r="AQ59" s="771" t="s">
        <v>3979</v>
      </c>
      <c r="AR59" s="732" t="s">
        <v>2661</v>
      </c>
      <c r="AS59" s="735"/>
      <c r="AT59" s="735"/>
      <c r="AU59" s="732" t="s">
        <v>3980</v>
      </c>
      <c r="AV59" s="735"/>
      <c r="AW59" s="735"/>
    </row>
    <row r="60" spans="1:49" s="739" customFormat="1">
      <c r="A60" s="1614" t="s">
        <v>4573</v>
      </c>
      <c r="B60" s="1613" t="s">
        <v>4573</v>
      </c>
      <c r="C60" s="736"/>
      <c r="D60" s="736"/>
      <c r="E60" s="736"/>
      <c r="F60" s="1059" t="str">
        <f>IFERROR(VLOOKUP($A60,'2018'!$A:$BB,3,FALSE),"")</f>
        <v>61-1798266</v>
      </c>
      <c r="G60" s="1055" t="str">
        <f>IFERROR(VLOOKUP($A60,'2018'!$A:$BB,4,FALSE),"")</f>
        <v>6118 Nancy Ridge Dr
San Diego, CA 92121</v>
      </c>
      <c r="H60" s="1055" t="str">
        <f>IFERROR(VLOOKUP($A60,'2018'!$A:$BB,5,FALSE),"")</f>
        <v>Erin Sanabria
858-346-7127
esanabria@beacondiscovery.com</v>
      </c>
      <c r="I60" s="1055" t="str">
        <f>IFERROR(VLOOKUP($A60,'2018'!$A:$BB,6,FALSE),"")</f>
        <v>Erin Sanabria
858-346-7127
esanabria@beacondiscovery.com</v>
      </c>
      <c r="J60" s="1055" t="str">
        <f>IFERROR(VLOOKUP($A60,'2018'!$A:$BB,7,FALSE),"")</f>
        <v>HUB (San Diego)</v>
      </c>
      <c r="K60" s="1055" t="str">
        <f>IFERROR(VLOOKUP($A60,'2018'!$A:$BB,8,FALSE),"")</f>
        <v xml:space="preserve">Account Managed by HUB SD Team
Producer - Neal Cook
Service Lead - Megan Wallace
</v>
      </c>
      <c r="L60" s="1062" t="str">
        <f>IFERROR(VLOOKUP($A60,'2018'!$A:$BB,9,FALSE),"")</f>
        <v>New</v>
      </c>
      <c r="M60" s="1067">
        <f>IFERROR(VLOOKUP($A60,'2018'!$A:$BB,10,FALSE),"")</f>
        <v>43282</v>
      </c>
      <c r="N60" s="1062">
        <f>IFERROR(VLOOKUP($A60,'2018'!$A:$BB,12,FALSE),"")</f>
        <v>25</v>
      </c>
      <c r="O60" s="1055" t="str">
        <f>IFERROR(VLOOKUP($A60,'2018'!$A:$BB,13,FALSE),"")</f>
        <v>IGOE</v>
      </c>
      <c r="P60" s="1055" t="str">
        <f>IFERROR(VLOOKUP($A60,'2018'!$A:$BB,14,FALSE),"")</f>
        <v>Maestro</v>
      </c>
      <c r="Q60" s="1055" t="str">
        <f>IFERROR(VLOOKUP($A60,'2018'!$A:$BB,16,FALSE),"")</f>
        <v>IGOE</v>
      </c>
      <c r="R60" s="1055" t="str">
        <f>IFERROR(VLOOKUP($A60,'2018'!$A:$BB,17,FALSE),"")</f>
        <v>Optum Health</v>
      </c>
      <c r="S60" s="1062" t="str">
        <f>IFERROR(VLOOKUP($A60,'2018'!$A:$BB,20,FALSE),"")</f>
        <v>SCAL</v>
      </c>
      <c r="T60" s="1062" t="str">
        <f>IFERROR(VLOOKUP($A60,'2018'!$A:$BB,21,FALSE),"")</f>
        <v>Group C (44-54)</v>
      </c>
      <c r="U60" s="1062" t="str">
        <f>IFERROR(VLOOKUP($A60,'2018'!$A:$BB,22,FALSE),"")</f>
        <v>Expanded</v>
      </c>
      <c r="V60" s="1062" t="str">
        <f>IFERROR(VLOOKUP($A60,'2018'!$A:$BB,23,FALSE),"")</f>
        <v>Advantage</v>
      </c>
      <c r="W60" s="1062" t="str">
        <f>IFERROR(VLOOKUP($A60,'2018'!$A:$BB,24,FALSE),"")</f>
        <v>No</v>
      </c>
      <c r="X60" s="1062" t="str">
        <f>IFERROR(VLOOKUP($A60,'2018'!$A:$BB,41,FALSE),"")</f>
        <v>Region 2</v>
      </c>
      <c r="Y60" s="1062" t="str">
        <f>IFERROR(VLOOKUP($A60,'2018'!$A:$BB,42,FALSE),"")</f>
        <v>(25-49)</v>
      </c>
      <c r="Z60" s="1062" t="str">
        <f>IFERROR(VLOOKUP($A60,'2018'!$A:$BB,45,FALSE),"")</f>
        <v xml:space="preserve"> (2-49)</v>
      </c>
      <c r="AA60" s="731">
        <v>2018</v>
      </c>
      <c r="AB60" s="1177" t="e">
        <v>#N/A</v>
      </c>
      <c r="AC60" s="734" t="s">
        <v>317</v>
      </c>
      <c r="AD60" s="734" t="s">
        <v>3656</v>
      </c>
      <c r="AE60" s="731" t="s">
        <v>307</v>
      </c>
      <c r="AF60" s="731" t="s">
        <v>113</v>
      </c>
      <c r="AG60" s="726" t="s">
        <v>3981</v>
      </c>
      <c r="AH60" s="726" t="s">
        <v>3973</v>
      </c>
      <c r="AI60" s="727">
        <v>11</v>
      </c>
      <c r="AJ60" s="747" t="s">
        <v>3982</v>
      </c>
      <c r="AK60" s="763">
        <v>909678</v>
      </c>
      <c r="AL60" s="754">
        <v>484</v>
      </c>
      <c r="AM60" s="755">
        <v>909678</v>
      </c>
      <c r="AN60" s="754">
        <f>AL60+1</f>
        <v>485</v>
      </c>
      <c r="AO60" s="763">
        <v>909678</v>
      </c>
      <c r="AP60" s="754">
        <f>AN60+1</f>
        <v>486</v>
      </c>
      <c r="AQ60" s="771" t="s">
        <v>3979</v>
      </c>
      <c r="AR60" s="732" t="s">
        <v>2661</v>
      </c>
      <c r="AS60" s="735"/>
      <c r="AT60" s="735"/>
      <c r="AU60" s="732" t="s">
        <v>3980</v>
      </c>
      <c r="AV60" s="735"/>
      <c r="AW60" s="735"/>
    </row>
    <row r="61" spans="1:49" s="739" customFormat="1">
      <c r="A61" s="1614" t="s">
        <v>4573</v>
      </c>
      <c r="B61" s="1613" t="s">
        <v>4573</v>
      </c>
      <c r="C61" s="736"/>
      <c r="D61" s="736"/>
      <c r="E61" s="736"/>
      <c r="F61" s="1059" t="str">
        <f>IFERROR(VLOOKUP($A61,'2018'!$A:$BB,3,FALSE),"")</f>
        <v>61-1798266</v>
      </c>
      <c r="G61" s="1055" t="str">
        <f>IFERROR(VLOOKUP($A61,'2018'!$A:$BB,4,FALSE),"")</f>
        <v>6118 Nancy Ridge Dr
San Diego, CA 92121</v>
      </c>
      <c r="H61" s="1055" t="str">
        <f>IFERROR(VLOOKUP($A61,'2018'!$A:$BB,5,FALSE),"")</f>
        <v>Erin Sanabria
858-346-7127
esanabria@beacondiscovery.com</v>
      </c>
      <c r="I61" s="1055" t="str">
        <f>IFERROR(VLOOKUP($A61,'2018'!$A:$BB,6,FALSE),"")</f>
        <v>Erin Sanabria
858-346-7127
esanabria@beacondiscovery.com</v>
      </c>
      <c r="J61" s="1055" t="str">
        <f>IFERROR(VLOOKUP($A61,'2018'!$A:$BB,7,FALSE),"")</f>
        <v>HUB (San Diego)</v>
      </c>
      <c r="K61" s="1055" t="str">
        <f>IFERROR(VLOOKUP($A61,'2018'!$A:$BB,8,FALSE),"")</f>
        <v xml:space="preserve">Account Managed by HUB SD Team
Producer - Neal Cook
Service Lead - Megan Wallace
</v>
      </c>
      <c r="L61" s="1062" t="str">
        <f>IFERROR(VLOOKUP($A61,'2018'!$A:$BB,9,FALSE),"")</f>
        <v>New</v>
      </c>
      <c r="M61" s="1067">
        <f>IFERROR(VLOOKUP($A61,'2018'!$A:$BB,10,FALSE),"")</f>
        <v>43282</v>
      </c>
      <c r="N61" s="1062">
        <f>IFERROR(VLOOKUP($A61,'2018'!$A:$BB,12,FALSE),"")</f>
        <v>25</v>
      </c>
      <c r="O61" s="1055" t="str">
        <f>IFERROR(VLOOKUP($A61,'2018'!$A:$BB,13,FALSE),"")</f>
        <v>IGOE</v>
      </c>
      <c r="P61" s="1055" t="str">
        <f>IFERROR(VLOOKUP($A61,'2018'!$A:$BB,14,FALSE),"")</f>
        <v>Maestro</v>
      </c>
      <c r="Q61" s="1055" t="str">
        <f>IFERROR(VLOOKUP($A61,'2018'!$A:$BB,16,FALSE),"")</f>
        <v>IGOE</v>
      </c>
      <c r="R61" s="1055" t="str">
        <f>IFERROR(VLOOKUP($A61,'2018'!$A:$BB,17,FALSE),"")</f>
        <v>Optum Health</v>
      </c>
      <c r="S61" s="1062" t="str">
        <f>IFERROR(VLOOKUP($A61,'2018'!$A:$BB,20,FALSE),"")</f>
        <v>SCAL</v>
      </c>
      <c r="T61" s="1062" t="str">
        <f>IFERROR(VLOOKUP($A61,'2018'!$A:$BB,21,FALSE),"")</f>
        <v>Group C (44-54)</v>
      </c>
      <c r="U61" s="1062" t="str">
        <f>IFERROR(VLOOKUP($A61,'2018'!$A:$BB,22,FALSE),"")</f>
        <v>Expanded</v>
      </c>
      <c r="V61" s="1062" t="str">
        <f>IFERROR(VLOOKUP($A61,'2018'!$A:$BB,23,FALSE),"")</f>
        <v>Advantage</v>
      </c>
      <c r="W61" s="1062" t="str">
        <f>IFERROR(VLOOKUP($A61,'2018'!$A:$BB,24,FALSE),"")</f>
        <v>No</v>
      </c>
      <c r="X61" s="1062" t="str">
        <f>IFERROR(VLOOKUP($A61,'2018'!$A:$BB,41,FALSE),"")</f>
        <v>Region 2</v>
      </c>
      <c r="Y61" s="1062" t="str">
        <f>IFERROR(VLOOKUP($A61,'2018'!$A:$BB,42,FALSE),"")</f>
        <v>(25-49)</v>
      </c>
      <c r="Z61" s="1062" t="str">
        <f>IFERROR(VLOOKUP($A61,'2018'!$A:$BB,45,FALSE),"")</f>
        <v xml:space="preserve"> (2-49)</v>
      </c>
      <c r="AA61" s="731">
        <v>2018</v>
      </c>
      <c r="AB61" s="1177" t="e">
        <v>#N/A</v>
      </c>
      <c r="AC61" s="734" t="s">
        <v>317</v>
      </c>
      <c r="AD61" s="734" t="s">
        <v>3656</v>
      </c>
      <c r="AE61" s="731" t="s">
        <v>307</v>
      </c>
      <c r="AF61" s="731" t="s">
        <v>113</v>
      </c>
      <c r="AG61" s="732" t="s">
        <v>3981</v>
      </c>
      <c r="AH61" s="732" t="s">
        <v>3977</v>
      </c>
      <c r="AI61" s="734">
        <v>16</v>
      </c>
      <c r="AJ61" s="748" t="s">
        <v>3985</v>
      </c>
      <c r="AK61" s="763">
        <v>909678</v>
      </c>
      <c r="AL61" s="756">
        <v>736</v>
      </c>
      <c r="AM61" s="755">
        <v>909678</v>
      </c>
      <c r="AN61" s="754">
        <f>AL61+1</f>
        <v>737</v>
      </c>
      <c r="AO61" s="763">
        <v>909678</v>
      </c>
      <c r="AP61" s="754">
        <f>AN61+1</f>
        <v>738</v>
      </c>
      <c r="AQ61" s="771" t="s">
        <v>3979</v>
      </c>
      <c r="AR61" s="732" t="s">
        <v>2661</v>
      </c>
      <c r="AS61" s="735"/>
      <c r="AT61" s="735"/>
      <c r="AU61" s="732" t="s">
        <v>3980</v>
      </c>
      <c r="AV61" s="735"/>
      <c r="AW61" s="735"/>
    </row>
    <row r="62" spans="1:49" s="739" customFormat="1">
      <c r="A62" s="736"/>
      <c r="B62" s="736"/>
      <c r="C62" s="736"/>
      <c r="D62" s="736"/>
      <c r="E62" s="736"/>
      <c r="F62" s="1059" t="str">
        <f>IFERROR(VLOOKUP($A62,'2018'!$A:$BB,3,FALSE),"")</f>
        <v/>
      </c>
      <c r="G62" s="1055" t="str">
        <f>IFERROR(VLOOKUP($A62,'2018'!$A:$BB,4,FALSE),"")</f>
        <v/>
      </c>
      <c r="H62" s="1055" t="str">
        <f>IFERROR(VLOOKUP($A62,'2018'!$A:$BB,5,FALSE),"")</f>
        <v/>
      </c>
      <c r="I62" s="1055" t="str">
        <f>IFERROR(VLOOKUP($A62,'2018'!$A:$BB,6,FALSE),"")</f>
        <v/>
      </c>
      <c r="J62" s="1055" t="str">
        <f>IFERROR(VLOOKUP($A62,'2018'!$A:$BB,7,FALSE),"")</f>
        <v/>
      </c>
      <c r="K62" s="1055" t="str">
        <f>IFERROR(VLOOKUP($A62,'2018'!$A:$BB,8,FALSE),"")</f>
        <v/>
      </c>
      <c r="L62" s="1062" t="str">
        <f>IFERROR(VLOOKUP($A62,'2018'!$A:$BB,9,FALSE),"")</f>
        <v/>
      </c>
      <c r="M62" s="1067" t="str">
        <f>IFERROR(VLOOKUP($A62,'2018'!$A:$BB,10,FALSE),"")</f>
        <v/>
      </c>
      <c r="N62" s="1062" t="str">
        <f>IFERROR(VLOOKUP($A62,'2018'!$A:$BB,12,FALSE),"")</f>
        <v/>
      </c>
      <c r="O62" s="1055" t="str">
        <f>IFERROR(VLOOKUP($A62,'2018'!$A:$BB,13,FALSE),"")</f>
        <v/>
      </c>
      <c r="P62" s="1055" t="str">
        <f>IFERROR(VLOOKUP($A62,'2018'!$A:$BB,14,FALSE),"")</f>
        <v/>
      </c>
      <c r="Q62" s="1055" t="str">
        <f>IFERROR(VLOOKUP($A62,'2018'!$A:$BB,16,FALSE),"")</f>
        <v/>
      </c>
      <c r="R62" s="1055" t="str">
        <f>IFERROR(VLOOKUP($A62,'2018'!$A:$BB,17,FALSE),"")</f>
        <v/>
      </c>
      <c r="S62" s="1062" t="str">
        <f>IFERROR(VLOOKUP($A62,'2018'!$A:$BB,20,FALSE),"")</f>
        <v/>
      </c>
      <c r="T62" s="1062" t="str">
        <f>IFERROR(VLOOKUP($A62,'2018'!$A:$BB,21,FALSE),"")</f>
        <v/>
      </c>
      <c r="U62" s="1062" t="str">
        <f>IFERROR(VLOOKUP($A62,'2018'!$A:$BB,22,FALSE),"")</f>
        <v/>
      </c>
      <c r="V62" s="1062" t="str">
        <f>IFERROR(VLOOKUP($A62,'2018'!$A:$BB,23,FALSE),"")</f>
        <v/>
      </c>
      <c r="W62" s="1062" t="str">
        <f>IFERROR(VLOOKUP($A62,'2018'!$A:$BB,24,FALSE),"")</f>
        <v/>
      </c>
      <c r="X62" s="1062" t="str">
        <f>IFERROR(VLOOKUP($A62,'2018'!$A:$BB,41,FALSE),"")</f>
        <v/>
      </c>
      <c r="Y62" s="1062" t="str">
        <f>IFERROR(VLOOKUP($A62,'2018'!$A:$BB,42,FALSE),"")</f>
        <v/>
      </c>
      <c r="Z62" s="1062" t="str">
        <f>IFERROR(VLOOKUP($A62,'2018'!$A:$BB,45,FALSE),"")</f>
        <v/>
      </c>
      <c r="AA62" s="741"/>
      <c r="AB62" s="733"/>
      <c r="AC62" s="734"/>
      <c r="AD62" s="734"/>
      <c r="AE62" s="734"/>
      <c r="AF62" s="734"/>
      <c r="AG62" s="732"/>
      <c r="AH62" s="732"/>
      <c r="AI62" s="734"/>
      <c r="AJ62" s="748"/>
      <c r="AK62" s="758"/>
      <c r="AL62" s="756"/>
      <c r="AM62" s="753"/>
      <c r="AN62" s="754"/>
      <c r="AO62" s="776"/>
      <c r="AP62" s="754"/>
      <c r="AQ62" s="771"/>
      <c r="AR62" s="732"/>
      <c r="AS62" s="732"/>
      <c r="AT62" s="732"/>
      <c r="AU62" s="732"/>
      <c r="AV62" s="732"/>
      <c r="AW62" s="732"/>
    </row>
    <row r="63" spans="1:49" s="739" customFormat="1">
      <c r="A63" s="736" t="s">
        <v>5500</v>
      </c>
      <c r="B63" s="736" t="s">
        <v>5500</v>
      </c>
      <c r="C63" s="736"/>
      <c r="D63" s="736"/>
      <c r="E63" s="736"/>
      <c r="F63" s="1059" t="str">
        <f>IFERROR(VLOOKUP($A63,'2018'!$A:$BB,3,FALSE),"")</f>
        <v>47-1823764</v>
      </c>
      <c r="G63" s="1055" t="str">
        <f>IFERROR(VLOOKUP($A63,'2018'!$A:$BB,4,FALSE),"")</f>
        <v>10525 Vista Sorrento Parkway, Suite 100
San Diego, CA 92121</v>
      </c>
      <c r="H63" s="1055" t="str">
        <f>IFERROR(VLOOKUP($A63,'2018'!$A:$BB,5,FALSE),"")</f>
        <v>Fred Defesche
(512) 669-8765
fdefesche@beloteca.com</v>
      </c>
      <c r="I63" s="1055" t="str">
        <f>IFERROR(VLOOKUP($A63,'2018'!$A:$BB,6,FALSE),"")</f>
        <v>Fred Defesche
(512) 669-8765
fdefesche@beloteca.com</v>
      </c>
      <c r="J63" s="1055" t="str">
        <f>IFERROR(VLOOKUP($A63,'2018'!$A:$BB,7,FALSE),"")</f>
        <v>HUB (San Diego)</v>
      </c>
      <c r="K63" s="1055" t="str">
        <f>IFERROR(VLOOKUP($A63,'2018'!$A:$BB,8,FALSE),"")</f>
        <v xml:space="preserve">Account Managed by HUB SD Team
Producer - Dave Duenas
Service Lead - Courtney Stanley
</v>
      </c>
      <c r="L63" s="1062" t="str">
        <f>IFERROR(VLOOKUP($A63,'2018'!$A:$BB,9,FALSE),"")</f>
        <v>New</v>
      </c>
      <c r="M63" s="1067">
        <f>IFERROR(VLOOKUP($A63,'2018'!$A:$BB,10,FALSE),"")</f>
        <v>43282</v>
      </c>
      <c r="N63" s="1062">
        <f>IFERROR(VLOOKUP($A63,'2018'!$A:$BB,12,FALSE),"")</f>
        <v>7</v>
      </c>
      <c r="O63" s="1055" t="str">
        <f>IFERROR(VLOOKUP($A63,'2018'!$A:$BB,13,FALSE),"")</f>
        <v>IGOE</v>
      </c>
      <c r="P63" s="1055" t="str">
        <f>IFERROR(VLOOKUP($A63,'2018'!$A:$BB,14,FALSE),"")</f>
        <v>Maestro</v>
      </c>
      <c r="Q63" s="1055" t="str">
        <f>IFERROR(VLOOKUP($A63,'2018'!$A:$BB,16,FALSE),"")</f>
        <v>N/A</v>
      </c>
      <c r="R63" s="1055" t="str">
        <f>IFERROR(VLOOKUP($A63,'2018'!$A:$BB,17,FALSE),"")</f>
        <v>Optum Health</v>
      </c>
      <c r="S63" s="1062" t="str">
        <f>IFERROR(VLOOKUP($A63,'2018'!$A:$BB,20,FALSE),"")</f>
        <v>SCAL</v>
      </c>
      <c r="T63" s="1062" t="str">
        <f>IFERROR(VLOOKUP($A63,'2018'!$A:$BB,21,FALSE),"")</f>
        <v>Group B (34-44)</v>
      </c>
      <c r="U63" s="1062" t="str">
        <f>IFERROR(VLOOKUP($A63,'2018'!$A:$BB,22,FALSE),"")</f>
        <v>Expanded</v>
      </c>
      <c r="V63" s="1062" t="str">
        <f>IFERROR(VLOOKUP($A63,'2018'!$A:$BB,23,FALSE),"")</f>
        <v>Advantage</v>
      </c>
      <c r="W63" s="1062" t="str">
        <f>IFERROR(VLOOKUP($A63,'2018'!$A:$BB,24,FALSE),"")</f>
        <v>No</v>
      </c>
      <c r="X63" s="1062" t="str">
        <f>IFERROR(VLOOKUP($A63,'2018'!$A:$BB,41,FALSE),"")</f>
        <v>N/A</v>
      </c>
      <c r="Y63" s="1062" t="str">
        <f>IFERROR(VLOOKUP($A63,'2018'!$A:$BB,42,FALSE),"")</f>
        <v>N/A</v>
      </c>
      <c r="Z63" s="1062" t="str">
        <f>IFERROR(VLOOKUP($A63,'2018'!$A:$BB,45,FALSE),"")</f>
        <v>N/A</v>
      </c>
      <c r="AA63" s="731">
        <v>2018</v>
      </c>
      <c r="AB63" s="1177" t="e">
        <v>#N/A</v>
      </c>
      <c r="AC63" s="734" t="s">
        <v>317</v>
      </c>
      <c r="AD63" s="734" t="s">
        <v>3648</v>
      </c>
      <c r="AE63" s="734" t="s">
        <v>307</v>
      </c>
      <c r="AF63" s="734" t="s">
        <v>113</v>
      </c>
      <c r="AG63" s="732" t="s">
        <v>3972</v>
      </c>
      <c r="AH63" s="732" t="s">
        <v>3973</v>
      </c>
      <c r="AI63" s="734">
        <v>8</v>
      </c>
      <c r="AJ63" s="748" t="s">
        <v>3992</v>
      </c>
      <c r="AK63" s="763">
        <v>909678</v>
      </c>
      <c r="AL63" s="756">
        <v>373</v>
      </c>
      <c r="AM63" s="755">
        <v>909678</v>
      </c>
      <c r="AN63" s="756">
        <v>374</v>
      </c>
      <c r="AO63" s="776">
        <f t="shared" ref="AO63:AO64" si="13">AM63</f>
        <v>909678</v>
      </c>
      <c r="AP63" s="754">
        <f>AN63+1</f>
        <v>375</v>
      </c>
      <c r="AQ63" s="771" t="s">
        <v>3979</v>
      </c>
      <c r="AR63" s="732" t="s">
        <v>2661</v>
      </c>
      <c r="AS63" s="735"/>
      <c r="AT63" s="735"/>
      <c r="AU63" s="732" t="s">
        <v>3980</v>
      </c>
      <c r="AV63" s="735"/>
      <c r="AW63" s="735"/>
    </row>
    <row r="64" spans="1:49" s="739" customFormat="1">
      <c r="A64" s="736" t="s">
        <v>5500</v>
      </c>
      <c r="B64" s="736" t="s">
        <v>5500</v>
      </c>
      <c r="C64" s="736"/>
      <c r="D64" s="736"/>
      <c r="E64" s="736"/>
      <c r="F64" s="1059" t="str">
        <f>IFERROR(VLOOKUP($A64,'2018'!$A:$BB,3,FALSE),"")</f>
        <v>47-1823764</v>
      </c>
      <c r="G64" s="1055" t="str">
        <f>IFERROR(VLOOKUP($A64,'2018'!$A:$BB,4,FALSE),"")</f>
        <v>10525 Vista Sorrento Parkway, Suite 100
San Diego, CA 92121</v>
      </c>
      <c r="H64" s="1055" t="str">
        <f>IFERROR(VLOOKUP($A64,'2018'!$A:$BB,5,FALSE),"")</f>
        <v>Fred Defesche
(512) 669-8765
fdefesche@beloteca.com</v>
      </c>
      <c r="I64" s="1055" t="str">
        <f>IFERROR(VLOOKUP($A64,'2018'!$A:$BB,6,FALSE),"")</f>
        <v>Fred Defesche
(512) 669-8765
fdefesche@beloteca.com</v>
      </c>
      <c r="J64" s="1055" t="str">
        <f>IFERROR(VLOOKUP($A64,'2018'!$A:$BB,7,FALSE),"")</f>
        <v>HUB (San Diego)</v>
      </c>
      <c r="K64" s="1055" t="str">
        <f>IFERROR(VLOOKUP($A64,'2018'!$A:$BB,8,FALSE),"")</f>
        <v xml:space="preserve">Account Managed by HUB SD Team
Producer - Dave Duenas
Service Lead - Courtney Stanley
</v>
      </c>
      <c r="L64" s="1062" t="str">
        <f>IFERROR(VLOOKUP($A64,'2018'!$A:$BB,9,FALSE),"")</f>
        <v>New</v>
      </c>
      <c r="M64" s="1067">
        <f>IFERROR(VLOOKUP($A64,'2018'!$A:$BB,10,FALSE),"")</f>
        <v>43282</v>
      </c>
      <c r="N64" s="1062">
        <f>IFERROR(VLOOKUP($A64,'2018'!$A:$BB,12,FALSE),"")</f>
        <v>7</v>
      </c>
      <c r="O64" s="1055" t="str">
        <f>IFERROR(VLOOKUP($A64,'2018'!$A:$BB,13,FALSE),"")</f>
        <v>IGOE</v>
      </c>
      <c r="P64" s="1055" t="str">
        <f>IFERROR(VLOOKUP($A64,'2018'!$A:$BB,14,FALSE),"")</f>
        <v>Maestro</v>
      </c>
      <c r="Q64" s="1055" t="str">
        <f>IFERROR(VLOOKUP($A64,'2018'!$A:$BB,16,FALSE),"")</f>
        <v>N/A</v>
      </c>
      <c r="R64" s="1055" t="str">
        <f>IFERROR(VLOOKUP($A64,'2018'!$A:$BB,17,FALSE),"")</f>
        <v>Optum Health</v>
      </c>
      <c r="S64" s="1062" t="str">
        <f>IFERROR(VLOOKUP($A64,'2018'!$A:$BB,20,FALSE),"")</f>
        <v>SCAL</v>
      </c>
      <c r="T64" s="1062" t="str">
        <f>IFERROR(VLOOKUP($A64,'2018'!$A:$BB,21,FALSE),"")</f>
        <v>Group B (34-44)</v>
      </c>
      <c r="U64" s="1062" t="str">
        <f>IFERROR(VLOOKUP($A64,'2018'!$A:$BB,22,FALSE),"")</f>
        <v>Expanded</v>
      </c>
      <c r="V64" s="1062" t="str">
        <f>IFERROR(VLOOKUP($A64,'2018'!$A:$BB,23,FALSE),"")</f>
        <v>Advantage</v>
      </c>
      <c r="W64" s="1062" t="str">
        <f>IFERROR(VLOOKUP($A64,'2018'!$A:$BB,24,FALSE),"")</f>
        <v>No</v>
      </c>
      <c r="X64" s="1062" t="str">
        <f>IFERROR(VLOOKUP($A64,'2018'!$A:$BB,41,FALSE),"")</f>
        <v>N/A</v>
      </c>
      <c r="Y64" s="1062" t="str">
        <f>IFERROR(VLOOKUP($A64,'2018'!$A:$BB,42,FALSE),"")</f>
        <v>N/A</v>
      </c>
      <c r="Z64" s="1062" t="str">
        <f>IFERROR(VLOOKUP($A64,'2018'!$A:$BB,45,FALSE),"")</f>
        <v>N/A</v>
      </c>
      <c r="AA64" s="731">
        <v>2018</v>
      </c>
      <c r="AB64" s="1177" t="e">
        <v>#N/A</v>
      </c>
      <c r="AC64" s="734" t="s">
        <v>317</v>
      </c>
      <c r="AD64" s="734" t="s">
        <v>3648</v>
      </c>
      <c r="AE64" s="734" t="s">
        <v>307</v>
      </c>
      <c r="AF64" s="734" t="s">
        <v>113</v>
      </c>
      <c r="AG64" s="732" t="s">
        <v>3972</v>
      </c>
      <c r="AH64" s="732" t="s">
        <v>3977</v>
      </c>
      <c r="AI64" s="734">
        <v>14</v>
      </c>
      <c r="AJ64" s="748" t="s">
        <v>3994</v>
      </c>
      <c r="AK64" s="763">
        <v>909678</v>
      </c>
      <c r="AL64" s="756">
        <v>625</v>
      </c>
      <c r="AM64" s="755">
        <v>909678</v>
      </c>
      <c r="AN64" s="756">
        <v>626</v>
      </c>
      <c r="AO64" s="776">
        <f t="shared" si="13"/>
        <v>909678</v>
      </c>
      <c r="AP64" s="754">
        <f>AN64+1</f>
        <v>627</v>
      </c>
      <c r="AQ64" s="771" t="s">
        <v>3979</v>
      </c>
      <c r="AR64" s="732" t="s">
        <v>2661</v>
      </c>
      <c r="AS64" s="735"/>
      <c r="AT64" s="735"/>
      <c r="AU64" s="732" t="s">
        <v>3980</v>
      </c>
      <c r="AV64" s="735"/>
      <c r="AW64" s="735"/>
    </row>
    <row r="65" spans="1:49" s="739" customFormat="1">
      <c r="A65" s="736" t="s">
        <v>5500</v>
      </c>
      <c r="B65" s="736" t="s">
        <v>5500</v>
      </c>
      <c r="C65" s="736"/>
      <c r="D65" s="736"/>
      <c r="E65" s="736"/>
      <c r="F65" s="1059" t="str">
        <f>IFERROR(VLOOKUP($A65,'2018'!$A:$BB,3,FALSE),"")</f>
        <v>47-1823764</v>
      </c>
      <c r="G65" s="1055" t="str">
        <f>IFERROR(VLOOKUP($A65,'2018'!$A:$BB,4,FALSE),"")</f>
        <v>10525 Vista Sorrento Parkway, Suite 100
San Diego, CA 92121</v>
      </c>
      <c r="H65" s="1055" t="str">
        <f>IFERROR(VLOOKUP($A65,'2018'!$A:$BB,5,FALSE),"")</f>
        <v>Fred Defesche
(512) 669-8765
fdefesche@beloteca.com</v>
      </c>
      <c r="I65" s="1055" t="str">
        <f>IFERROR(VLOOKUP($A65,'2018'!$A:$BB,6,FALSE),"")</f>
        <v>Fred Defesche
(512) 669-8765
fdefesche@beloteca.com</v>
      </c>
      <c r="J65" s="1055" t="str">
        <f>IFERROR(VLOOKUP($A65,'2018'!$A:$BB,7,FALSE),"")</f>
        <v>HUB (San Diego)</v>
      </c>
      <c r="K65" s="1055" t="str">
        <f>IFERROR(VLOOKUP($A65,'2018'!$A:$BB,8,FALSE),"")</f>
        <v xml:space="preserve">Account Managed by HUB SD Team
Producer - Dave Duenas
Service Lead - Courtney Stanley
</v>
      </c>
      <c r="L65" s="1062" t="str">
        <f>IFERROR(VLOOKUP($A65,'2018'!$A:$BB,9,FALSE),"")</f>
        <v>New</v>
      </c>
      <c r="M65" s="1067">
        <f>IFERROR(VLOOKUP($A65,'2018'!$A:$BB,10,FALSE),"")</f>
        <v>43282</v>
      </c>
      <c r="N65" s="1062">
        <f>IFERROR(VLOOKUP($A65,'2018'!$A:$BB,12,FALSE),"")</f>
        <v>7</v>
      </c>
      <c r="O65" s="1055" t="str">
        <f>IFERROR(VLOOKUP($A65,'2018'!$A:$BB,13,FALSE),"")</f>
        <v>IGOE</v>
      </c>
      <c r="P65" s="1055" t="str">
        <f>IFERROR(VLOOKUP($A65,'2018'!$A:$BB,14,FALSE),"")</f>
        <v>Maestro</v>
      </c>
      <c r="Q65" s="1055" t="str">
        <f>IFERROR(VLOOKUP($A65,'2018'!$A:$BB,16,FALSE),"")</f>
        <v>N/A</v>
      </c>
      <c r="R65" s="1055" t="str">
        <f>IFERROR(VLOOKUP($A65,'2018'!$A:$BB,17,FALSE),"")</f>
        <v>Optum Health</v>
      </c>
      <c r="S65" s="1062" t="str">
        <f>IFERROR(VLOOKUP($A65,'2018'!$A:$BB,20,FALSE),"")</f>
        <v>SCAL</v>
      </c>
      <c r="T65" s="1062" t="str">
        <f>IFERROR(VLOOKUP($A65,'2018'!$A:$BB,21,FALSE),"")</f>
        <v>Group B (34-44)</v>
      </c>
      <c r="U65" s="1062" t="str">
        <f>IFERROR(VLOOKUP($A65,'2018'!$A:$BB,22,FALSE),"")</f>
        <v>Expanded</v>
      </c>
      <c r="V65" s="1062" t="str">
        <f>IFERROR(VLOOKUP($A65,'2018'!$A:$BB,23,FALSE),"")</f>
        <v>Advantage</v>
      </c>
      <c r="W65" s="1062" t="str">
        <f>IFERROR(VLOOKUP($A65,'2018'!$A:$BB,24,FALSE),"")</f>
        <v>No</v>
      </c>
      <c r="X65" s="1062" t="str">
        <f>IFERROR(VLOOKUP($A65,'2018'!$A:$BB,41,FALSE),"")</f>
        <v>N/A</v>
      </c>
      <c r="Y65" s="1062" t="str">
        <f>IFERROR(VLOOKUP($A65,'2018'!$A:$BB,42,FALSE),"")</f>
        <v>N/A</v>
      </c>
      <c r="Z65" s="1062" t="str">
        <f>IFERROR(VLOOKUP($A65,'2018'!$A:$BB,45,FALSE),"")</f>
        <v>N/A</v>
      </c>
      <c r="AA65" s="731">
        <v>2018</v>
      </c>
      <c r="AB65" s="1177" t="e">
        <v>#N/A</v>
      </c>
      <c r="AC65" s="734" t="s">
        <v>317</v>
      </c>
      <c r="AD65" s="734" t="s">
        <v>3656</v>
      </c>
      <c r="AE65" s="731" t="s">
        <v>307</v>
      </c>
      <c r="AF65" s="731" t="s">
        <v>113</v>
      </c>
      <c r="AG65" s="726" t="s">
        <v>3981</v>
      </c>
      <c r="AH65" s="726" t="s">
        <v>3973</v>
      </c>
      <c r="AI65" s="727">
        <v>11</v>
      </c>
      <c r="AJ65" s="747" t="s">
        <v>3982</v>
      </c>
      <c r="AK65" s="763">
        <v>909678</v>
      </c>
      <c r="AL65" s="754">
        <v>481</v>
      </c>
      <c r="AM65" s="755">
        <v>909678</v>
      </c>
      <c r="AN65" s="754">
        <f>AL65+1</f>
        <v>482</v>
      </c>
      <c r="AO65" s="763">
        <v>909678</v>
      </c>
      <c r="AP65" s="754">
        <f>AN65+1</f>
        <v>483</v>
      </c>
      <c r="AQ65" s="771" t="s">
        <v>3979</v>
      </c>
      <c r="AR65" s="732" t="s">
        <v>2661</v>
      </c>
      <c r="AS65" s="735"/>
      <c r="AT65" s="735"/>
      <c r="AU65" s="732" t="s">
        <v>3980</v>
      </c>
      <c r="AV65" s="735"/>
      <c r="AW65" s="735"/>
    </row>
    <row r="66" spans="1:49" s="739" customFormat="1">
      <c r="A66" s="736" t="s">
        <v>5500</v>
      </c>
      <c r="B66" s="736" t="s">
        <v>5500</v>
      </c>
      <c r="C66" s="736"/>
      <c r="D66" s="736"/>
      <c r="E66" s="736"/>
      <c r="F66" s="1059" t="str">
        <f>IFERROR(VLOOKUP($A66,'2018'!$A:$BB,3,FALSE),"")</f>
        <v>47-1823764</v>
      </c>
      <c r="G66" s="1055" t="str">
        <f>IFERROR(VLOOKUP($A66,'2018'!$A:$BB,4,FALSE),"")</f>
        <v>10525 Vista Sorrento Parkway, Suite 100
San Diego, CA 92121</v>
      </c>
      <c r="H66" s="1055" t="str">
        <f>IFERROR(VLOOKUP($A66,'2018'!$A:$BB,5,FALSE),"")</f>
        <v>Fred Defesche
(512) 669-8765
fdefesche@beloteca.com</v>
      </c>
      <c r="I66" s="1055" t="str">
        <f>IFERROR(VLOOKUP($A66,'2018'!$A:$BB,6,FALSE),"")</f>
        <v>Fred Defesche
(512) 669-8765
fdefesche@beloteca.com</v>
      </c>
      <c r="J66" s="1055" t="str">
        <f>IFERROR(VLOOKUP($A66,'2018'!$A:$BB,7,FALSE),"")</f>
        <v>HUB (San Diego)</v>
      </c>
      <c r="K66" s="1055" t="str">
        <f>IFERROR(VLOOKUP($A66,'2018'!$A:$BB,8,FALSE),"")</f>
        <v xml:space="preserve">Account Managed by HUB SD Team
Producer - Dave Duenas
Service Lead - Courtney Stanley
</v>
      </c>
      <c r="L66" s="1062" t="str">
        <f>IFERROR(VLOOKUP($A66,'2018'!$A:$BB,9,FALSE),"")</f>
        <v>New</v>
      </c>
      <c r="M66" s="1067">
        <f>IFERROR(VLOOKUP($A66,'2018'!$A:$BB,10,FALSE),"")</f>
        <v>43282</v>
      </c>
      <c r="N66" s="1062">
        <f>IFERROR(VLOOKUP($A66,'2018'!$A:$BB,12,FALSE),"")</f>
        <v>7</v>
      </c>
      <c r="O66" s="1055" t="str">
        <f>IFERROR(VLOOKUP($A66,'2018'!$A:$BB,13,FALSE),"")</f>
        <v>IGOE</v>
      </c>
      <c r="P66" s="1055" t="str">
        <f>IFERROR(VLOOKUP($A66,'2018'!$A:$BB,14,FALSE),"")</f>
        <v>Maestro</v>
      </c>
      <c r="Q66" s="1055" t="str">
        <f>IFERROR(VLOOKUP($A66,'2018'!$A:$BB,16,FALSE),"")</f>
        <v>N/A</v>
      </c>
      <c r="R66" s="1055" t="str">
        <f>IFERROR(VLOOKUP($A66,'2018'!$A:$BB,17,FALSE),"")</f>
        <v>Optum Health</v>
      </c>
      <c r="S66" s="1062" t="str">
        <f>IFERROR(VLOOKUP($A66,'2018'!$A:$BB,20,FALSE),"")</f>
        <v>SCAL</v>
      </c>
      <c r="T66" s="1062" t="str">
        <f>IFERROR(VLOOKUP($A66,'2018'!$A:$BB,21,FALSE),"")</f>
        <v>Group B (34-44)</v>
      </c>
      <c r="U66" s="1062" t="str">
        <f>IFERROR(VLOOKUP($A66,'2018'!$A:$BB,22,FALSE),"")</f>
        <v>Expanded</v>
      </c>
      <c r="V66" s="1062" t="str">
        <f>IFERROR(VLOOKUP($A66,'2018'!$A:$BB,23,FALSE),"")</f>
        <v>Advantage</v>
      </c>
      <c r="W66" s="1062" t="str">
        <f>IFERROR(VLOOKUP($A66,'2018'!$A:$BB,24,FALSE),"")</f>
        <v>No</v>
      </c>
      <c r="X66" s="1062" t="str">
        <f>IFERROR(VLOOKUP($A66,'2018'!$A:$BB,41,FALSE),"")</f>
        <v>N/A</v>
      </c>
      <c r="Y66" s="1062" t="str">
        <f>IFERROR(VLOOKUP($A66,'2018'!$A:$BB,42,FALSE),"")</f>
        <v>N/A</v>
      </c>
      <c r="Z66" s="1062" t="str">
        <f>IFERROR(VLOOKUP($A66,'2018'!$A:$BB,45,FALSE),"")</f>
        <v>N/A</v>
      </c>
      <c r="AA66" s="731">
        <v>2018</v>
      </c>
      <c r="AB66" s="1177" t="e">
        <v>#N/A</v>
      </c>
      <c r="AC66" s="734" t="s">
        <v>317</v>
      </c>
      <c r="AD66" s="734" t="s">
        <v>3656</v>
      </c>
      <c r="AE66" s="731" t="s">
        <v>307</v>
      </c>
      <c r="AF66" s="731" t="s">
        <v>113</v>
      </c>
      <c r="AG66" s="732" t="s">
        <v>3981</v>
      </c>
      <c r="AH66" s="732" t="s">
        <v>3977</v>
      </c>
      <c r="AI66" s="734">
        <v>16</v>
      </c>
      <c r="AJ66" s="748" t="s">
        <v>3985</v>
      </c>
      <c r="AK66" s="763">
        <v>909678</v>
      </c>
      <c r="AL66" s="756">
        <v>733</v>
      </c>
      <c r="AM66" s="755">
        <v>909678</v>
      </c>
      <c r="AN66" s="754">
        <f>AL66+1</f>
        <v>734</v>
      </c>
      <c r="AO66" s="763">
        <v>909678</v>
      </c>
      <c r="AP66" s="754">
        <f>AN66+1</f>
        <v>735</v>
      </c>
      <c r="AQ66" s="771" t="s">
        <v>3979</v>
      </c>
      <c r="AR66" s="732" t="s">
        <v>2661</v>
      </c>
      <c r="AS66" s="735"/>
      <c r="AT66" s="735"/>
      <c r="AU66" s="732" t="s">
        <v>3980</v>
      </c>
      <c r="AV66" s="735"/>
      <c r="AW66" s="735"/>
    </row>
    <row r="67" spans="1:49" s="739" customFormat="1">
      <c r="A67" s="736"/>
      <c r="B67" s="736"/>
      <c r="C67" s="736"/>
      <c r="D67" s="736"/>
      <c r="E67" s="736"/>
      <c r="F67" s="1059" t="str">
        <f>IFERROR(VLOOKUP($A67,'2018'!$A:$BB,3,FALSE),"")</f>
        <v/>
      </c>
      <c r="G67" s="1055" t="str">
        <f>IFERROR(VLOOKUP($A67,'2018'!$A:$BB,4,FALSE),"")</f>
        <v/>
      </c>
      <c r="H67" s="1055" t="str">
        <f>IFERROR(VLOOKUP($A67,'2018'!$A:$BB,5,FALSE),"")</f>
        <v/>
      </c>
      <c r="I67" s="1055" t="str">
        <f>IFERROR(VLOOKUP($A67,'2018'!$A:$BB,6,FALSE),"")</f>
        <v/>
      </c>
      <c r="J67" s="1055" t="str">
        <f>IFERROR(VLOOKUP($A67,'2018'!$A:$BB,7,FALSE),"")</f>
        <v/>
      </c>
      <c r="K67" s="1055" t="str">
        <f>IFERROR(VLOOKUP($A67,'2018'!$A:$BB,8,FALSE),"")</f>
        <v/>
      </c>
      <c r="L67" s="1062" t="str">
        <f>IFERROR(VLOOKUP($A67,'2018'!$A:$BB,9,FALSE),"")</f>
        <v/>
      </c>
      <c r="M67" s="1067" t="str">
        <f>IFERROR(VLOOKUP($A67,'2018'!$A:$BB,10,FALSE),"")</f>
        <v/>
      </c>
      <c r="N67" s="1062" t="str">
        <f>IFERROR(VLOOKUP($A67,'2018'!$A:$BB,12,FALSE),"")</f>
        <v/>
      </c>
      <c r="O67" s="1055" t="str">
        <f>IFERROR(VLOOKUP($A67,'2018'!$A:$BB,13,FALSE),"")</f>
        <v/>
      </c>
      <c r="P67" s="1055" t="str">
        <f>IFERROR(VLOOKUP($A67,'2018'!$A:$BB,14,FALSE),"")</f>
        <v/>
      </c>
      <c r="Q67" s="1055" t="str">
        <f>IFERROR(VLOOKUP($A67,'2018'!$A:$BB,16,FALSE),"")</f>
        <v/>
      </c>
      <c r="R67" s="1055" t="str">
        <f>IFERROR(VLOOKUP($A67,'2018'!$A:$BB,17,FALSE),"")</f>
        <v/>
      </c>
      <c r="S67" s="1062" t="str">
        <f>IFERROR(VLOOKUP($A67,'2018'!$A:$BB,20,FALSE),"")</f>
        <v/>
      </c>
      <c r="T67" s="1062" t="str">
        <f>IFERROR(VLOOKUP($A67,'2018'!$A:$BB,21,FALSE),"")</f>
        <v/>
      </c>
      <c r="U67" s="1062" t="str">
        <f>IFERROR(VLOOKUP($A67,'2018'!$A:$BB,22,FALSE),"")</f>
        <v/>
      </c>
      <c r="V67" s="1062" t="str">
        <f>IFERROR(VLOOKUP($A67,'2018'!$A:$BB,23,FALSE),"")</f>
        <v/>
      </c>
      <c r="W67" s="1062" t="str">
        <f>IFERROR(VLOOKUP($A67,'2018'!$A:$BB,24,FALSE),"")</f>
        <v/>
      </c>
      <c r="X67" s="1062" t="str">
        <f>IFERROR(VLOOKUP($A67,'2018'!$A:$BB,41,FALSE),"")</f>
        <v/>
      </c>
      <c r="Y67" s="1062" t="str">
        <f>IFERROR(VLOOKUP($A67,'2018'!$A:$BB,42,FALSE),"")</f>
        <v/>
      </c>
      <c r="Z67" s="1062" t="str">
        <f>IFERROR(VLOOKUP($A67,'2018'!$A:$BB,45,FALSE),"")</f>
        <v/>
      </c>
      <c r="AA67" s="741"/>
      <c r="AB67" s="733"/>
      <c r="AC67" s="734"/>
      <c r="AD67" s="734"/>
      <c r="AE67" s="734"/>
      <c r="AF67" s="734"/>
      <c r="AG67" s="732"/>
      <c r="AH67" s="732"/>
      <c r="AI67" s="734"/>
      <c r="AJ67" s="748"/>
      <c r="AK67" s="758"/>
      <c r="AL67" s="756"/>
      <c r="AM67" s="753"/>
      <c r="AN67" s="754"/>
      <c r="AO67" s="776"/>
      <c r="AP67" s="754"/>
      <c r="AQ67" s="771"/>
      <c r="AR67" s="732"/>
      <c r="AS67" s="732"/>
      <c r="AT67" s="732"/>
      <c r="AU67" s="732"/>
      <c r="AV67" s="732"/>
      <c r="AW67" s="732"/>
    </row>
    <row r="68" spans="1:49">
      <c r="A68" s="738" t="s">
        <v>355</v>
      </c>
      <c r="B68" s="738" t="s">
        <v>4028</v>
      </c>
      <c r="C68" s="738"/>
      <c r="D68" s="738" t="s">
        <v>4204</v>
      </c>
      <c r="E68" s="738" t="s">
        <v>4204</v>
      </c>
      <c r="F68" s="1059">
        <f>IFERROR(VLOOKUP($A68,'2018'!$A:$BB,3,FALSE),"")</f>
        <v>261756290</v>
      </c>
      <c r="G68" s="1055" t="str">
        <f>IFERROR(VLOOKUP($A68,'2018'!$A:$BB,4,FALSE),"")</f>
        <v>9640 Towne Centre Dr #100
San Diego, CA 92121</v>
      </c>
      <c r="H68" s="1055" t="str">
        <f>IFERROR(VLOOKUP($A68,'2018'!$A:$BB,5,FALSE),"")</f>
        <v xml:space="preserve">Heather Adams
858-888-7694
hadams@bionanogenomics.com </v>
      </c>
      <c r="I68" s="1055" t="str">
        <f>IFERROR(VLOOKUP($A68,'2018'!$A:$BB,6,FALSE),"")</f>
        <v>Eileen Sun
858-888-7669
AP@bionanogenomics.com</v>
      </c>
      <c r="J68" s="1055" t="str">
        <f>IFERROR(VLOOKUP($A68,'2018'!$A:$BB,7,FALSE),"")</f>
        <v>HUB (San Diego)</v>
      </c>
      <c r="K68" s="1055" t="str">
        <f>IFERROR(VLOOKUP($A68,'2018'!$A:$BB,8,FALSE),"")</f>
        <v>Account Managed by HUB SD Team
Producer - Dave Duenas
Service Lead - Jessica Hurley Webb
Account Rep - Courtney Stanley</v>
      </c>
      <c r="L68" s="1062" t="str">
        <f>IFERROR(VLOOKUP($A68,'2018'!$A:$BB,9,FALSE),"")</f>
        <v>New</v>
      </c>
      <c r="M68" s="1067">
        <f>IFERROR(VLOOKUP($A68,'2018'!$A:$BB,10,FALSE),"")</f>
        <v>43101</v>
      </c>
      <c r="N68" s="1062">
        <f>IFERROR(VLOOKUP($A68,'2018'!$A:$BB,12,FALSE),"")</f>
        <v>85</v>
      </c>
      <c r="O68" s="1055" t="str">
        <f>IFERROR(VLOOKUP($A68,'2018'!$A:$BB,13,FALSE),"")</f>
        <v xml:space="preserve">IGOE </v>
      </c>
      <c r="P68" s="1055" t="str">
        <f>IFERROR(VLOOKUP($A68,'2018'!$A:$BB,14,FALSE),"")</f>
        <v xml:space="preserve">ADP </v>
      </c>
      <c r="Q68" s="1055" t="str">
        <f>IFERROR(VLOOKUP($A68,'2018'!$A:$BB,16,FALSE),"")</f>
        <v xml:space="preserve">IGOE </v>
      </c>
      <c r="R68" s="1055" t="str">
        <f>IFERROR(VLOOKUP($A68,'2018'!$A:$BB,17,FALSE),"")</f>
        <v>Optum Health</v>
      </c>
      <c r="S68" s="1062" t="str">
        <f>IFERROR(VLOOKUP($A68,'2018'!$A:$BB,20,FALSE),"")</f>
        <v>SCAL</v>
      </c>
      <c r="T68" s="1062" t="str">
        <f>IFERROR(VLOOKUP($A68,'2018'!$A:$BB,21,FALSE),"")</f>
        <v>Group A (&lt;34)</v>
      </c>
      <c r="U68" s="1062" t="str">
        <f>IFERROR(VLOOKUP($A68,'2018'!$A:$BB,22,FALSE),"")</f>
        <v>Expanded</v>
      </c>
      <c r="V68" s="1062" t="str">
        <f>IFERROR(VLOOKUP($A68,'2018'!$A:$BB,23,FALSE),"")</f>
        <v>Advantage</v>
      </c>
      <c r="W68" s="1062" t="str">
        <f>IFERROR(VLOOKUP($A68,'2018'!$A:$BB,24,FALSE),"")</f>
        <v>No</v>
      </c>
      <c r="X68" s="1062" t="str">
        <f>IFERROR(VLOOKUP($A68,'2018'!$A:$BB,41,FALSE),"")</f>
        <v>Region 1</v>
      </c>
      <c r="Y68" s="1062" t="str">
        <f>IFERROR(VLOOKUP($A68,'2018'!$A:$BB,42,FALSE),"")</f>
        <v>(50-99)</v>
      </c>
      <c r="Z68" s="1062" t="str">
        <f>IFERROR(VLOOKUP($A68,'2018'!$A:$BB,45,FALSE),"")</f>
        <v>(50-99)</v>
      </c>
      <c r="AA68" s="730">
        <v>2018</v>
      </c>
      <c r="AB68" s="728" t="s">
        <v>3791</v>
      </c>
      <c r="AC68" s="727" t="s">
        <v>317</v>
      </c>
      <c r="AD68" s="727" t="s">
        <v>3655</v>
      </c>
      <c r="AE68" s="727" t="s">
        <v>307</v>
      </c>
      <c r="AF68" s="727" t="s">
        <v>113</v>
      </c>
      <c r="AG68" s="726" t="s">
        <v>3972</v>
      </c>
      <c r="AH68" s="726" t="s">
        <v>3973</v>
      </c>
      <c r="AI68" s="727">
        <v>8</v>
      </c>
      <c r="AJ68" s="747" t="s">
        <v>3992</v>
      </c>
      <c r="AK68" s="757">
        <v>909678</v>
      </c>
      <c r="AL68" s="756">
        <v>370</v>
      </c>
      <c r="AM68" s="755">
        <v>909678</v>
      </c>
      <c r="AN68" s="756">
        <f>AL68+1</f>
        <v>371</v>
      </c>
      <c r="AO68" s="776">
        <f t="shared" ref="AO68:AO71" si="14">AM68</f>
        <v>909678</v>
      </c>
      <c r="AP68" s="754">
        <f t="shared" si="1"/>
        <v>372</v>
      </c>
      <c r="AQ68" s="770"/>
      <c r="AR68" s="726" t="s">
        <v>2661</v>
      </c>
      <c r="AS68" s="726" t="s">
        <v>3972</v>
      </c>
      <c r="AT68" s="736">
        <v>3730373</v>
      </c>
      <c r="AU68" s="726" t="s">
        <v>3980</v>
      </c>
      <c r="AV68" s="726"/>
      <c r="AW68" s="726"/>
    </row>
    <row r="69" spans="1:49">
      <c r="A69" s="738" t="s">
        <v>355</v>
      </c>
      <c r="B69" s="736" t="s">
        <v>4028</v>
      </c>
      <c r="C69" s="736"/>
      <c r="D69" s="738" t="s">
        <v>4204</v>
      </c>
      <c r="E69" s="738" t="s">
        <v>4204</v>
      </c>
      <c r="F69" s="1059">
        <f>IFERROR(VLOOKUP($A69,'2018'!$A:$BB,3,FALSE),"")</f>
        <v>261756290</v>
      </c>
      <c r="G69" s="1055" t="str">
        <f>IFERROR(VLOOKUP($A69,'2018'!$A:$BB,4,FALSE),"")</f>
        <v>9640 Towne Centre Dr #100
San Diego, CA 92121</v>
      </c>
      <c r="H69" s="1055" t="str">
        <f>IFERROR(VLOOKUP($A69,'2018'!$A:$BB,5,FALSE),"")</f>
        <v xml:space="preserve">Heather Adams
858-888-7694
hadams@bionanogenomics.com </v>
      </c>
      <c r="I69" s="1055" t="str">
        <f>IFERROR(VLOOKUP($A69,'2018'!$A:$BB,6,FALSE),"")</f>
        <v>Eileen Sun
858-888-7669
AP@bionanogenomics.com</v>
      </c>
      <c r="J69" s="1055" t="str">
        <f>IFERROR(VLOOKUP($A69,'2018'!$A:$BB,7,FALSE),"")</f>
        <v>HUB (San Diego)</v>
      </c>
      <c r="K69" s="1055" t="str">
        <f>IFERROR(VLOOKUP($A69,'2018'!$A:$BB,8,FALSE),"")</f>
        <v>Account Managed by HUB SD Team
Producer - Dave Duenas
Service Lead - Jessica Hurley Webb
Account Rep - Courtney Stanley</v>
      </c>
      <c r="L69" s="1062" t="str">
        <f>IFERROR(VLOOKUP($A69,'2018'!$A:$BB,9,FALSE),"")</f>
        <v>New</v>
      </c>
      <c r="M69" s="1067">
        <f>IFERROR(VLOOKUP($A69,'2018'!$A:$BB,10,FALSE),"")</f>
        <v>43101</v>
      </c>
      <c r="N69" s="1062">
        <f>IFERROR(VLOOKUP($A69,'2018'!$A:$BB,12,FALSE),"")</f>
        <v>85</v>
      </c>
      <c r="O69" s="1055" t="str">
        <f>IFERROR(VLOOKUP($A69,'2018'!$A:$BB,13,FALSE),"")</f>
        <v xml:space="preserve">IGOE </v>
      </c>
      <c r="P69" s="1055" t="str">
        <f>IFERROR(VLOOKUP($A69,'2018'!$A:$BB,14,FALSE),"")</f>
        <v xml:space="preserve">ADP </v>
      </c>
      <c r="Q69" s="1055" t="str">
        <f>IFERROR(VLOOKUP($A69,'2018'!$A:$BB,16,FALSE),"")</f>
        <v xml:space="preserve">IGOE </v>
      </c>
      <c r="R69" s="1055" t="str">
        <f>IFERROR(VLOOKUP($A69,'2018'!$A:$BB,17,FALSE),"")</f>
        <v>Optum Health</v>
      </c>
      <c r="S69" s="1062" t="str">
        <f>IFERROR(VLOOKUP($A69,'2018'!$A:$BB,20,FALSE),"")</f>
        <v>SCAL</v>
      </c>
      <c r="T69" s="1062" t="str">
        <f>IFERROR(VLOOKUP($A69,'2018'!$A:$BB,21,FALSE),"")</f>
        <v>Group A (&lt;34)</v>
      </c>
      <c r="U69" s="1062" t="str">
        <f>IFERROR(VLOOKUP($A69,'2018'!$A:$BB,22,FALSE),"")</f>
        <v>Expanded</v>
      </c>
      <c r="V69" s="1062" t="str">
        <f>IFERROR(VLOOKUP($A69,'2018'!$A:$BB,23,FALSE),"")</f>
        <v>Advantage</v>
      </c>
      <c r="W69" s="1062" t="str">
        <f>IFERROR(VLOOKUP($A69,'2018'!$A:$BB,24,FALSE),"")</f>
        <v>No</v>
      </c>
      <c r="X69" s="1062" t="str">
        <f>IFERROR(VLOOKUP($A69,'2018'!$A:$BB,41,FALSE),"")</f>
        <v>Region 1</v>
      </c>
      <c r="Y69" s="1062" t="str">
        <f>IFERROR(VLOOKUP($A69,'2018'!$A:$BB,42,FALSE),"")</f>
        <v>(50-99)</v>
      </c>
      <c r="Z69" s="1062" t="str">
        <f>IFERROR(VLOOKUP($A69,'2018'!$A:$BB,45,FALSE),"")</f>
        <v>(50-99)</v>
      </c>
      <c r="AA69" s="731">
        <v>2018</v>
      </c>
      <c r="AB69" s="733" t="s">
        <v>3791</v>
      </c>
      <c r="AC69" s="734" t="s">
        <v>317</v>
      </c>
      <c r="AD69" s="727" t="s">
        <v>3655</v>
      </c>
      <c r="AE69" s="734" t="s">
        <v>307</v>
      </c>
      <c r="AF69" s="734" t="s">
        <v>113</v>
      </c>
      <c r="AG69" s="732" t="s">
        <v>3972</v>
      </c>
      <c r="AH69" s="732" t="s">
        <v>3977</v>
      </c>
      <c r="AI69" s="734">
        <v>14</v>
      </c>
      <c r="AJ69" s="748" t="s">
        <v>3994</v>
      </c>
      <c r="AK69" s="757">
        <v>909678</v>
      </c>
      <c r="AL69" s="756">
        <v>622</v>
      </c>
      <c r="AM69" s="755">
        <v>909678</v>
      </c>
      <c r="AN69" s="756">
        <f t="shared" ref="AN69:AN71" si="15">AL69+1</f>
        <v>623</v>
      </c>
      <c r="AO69" s="776">
        <f t="shared" si="14"/>
        <v>909678</v>
      </c>
      <c r="AP69" s="754">
        <f t="shared" si="1"/>
        <v>624</v>
      </c>
      <c r="AQ69" s="771" t="s">
        <v>3979</v>
      </c>
      <c r="AR69" s="732" t="s">
        <v>2661</v>
      </c>
      <c r="AS69" s="735"/>
      <c r="AT69" s="735"/>
      <c r="AU69" s="732" t="s">
        <v>3980</v>
      </c>
      <c r="AV69" s="735"/>
      <c r="AW69" s="735"/>
    </row>
    <row r="70" spans="1:49">
      <c r="A70" s="738" t="s">
        <v>355</v>
      </c>
      <c r="B70" s="738" t="s">
        <v>4028</v>
      </c>
      <c r="C70" s="738"/>
      <c r="D70" s="738" t="s">
        <v>4204</v>
      </c>
      <c r="E70" s="738" t="s">
        <v>4204</v>
      </c>
      <c r="F70" s="1059">
        <f>IFERROR(VLOOKUP($A70,'2018'!$A:$BB,3,FALSE),"")</f>
        <v>261756290</v>
      </c>
      <c r="G70" s="1055" t="str">
        <f>IFERROR(VLOOKUP($A70,'2018'!$A:$BB,4,FALSE),"")</f>
        <v>9640 Towne Centre Dr #100
San Diego, CA 92121</v>
      </c>
      <c r="H70" s="1055" t="str">
        <f>IFERROR(VLOOKUP($A70,'2018'!$A:$BB,5,FALSE),"")</f>
        <v xml:space="preserve">Heather Adams
858-888-7694
hadams@bionanogenomics.com </v>
      </c>
      <c r="I70" s="1055" t="str">
        <f>IFERROR(VLOOKUP($A70,'2018'!$A:$BB,6,FALSE),"")</f>
        <v>Eileen Sun
858-888-7669
AP@bionanogenomics.com</v>
      </c>
      <c r="J70" s="1055" t="str">
        <f>IFERROR(VLOOKUP($A70,'2018'!$A:$BB,7,FALSE),"")</f>
        <v>HUB (San Diego)</v>
      </c>
      <c r="K70" s="1055" t="str">
        <f>IFERROR(VLOOKUP($A70,'2018'!$A:$BB,8,FALSE),"")</f>
        <v>Account Managed by HUB SD Team
Producer - Dave Duenas
Service Lead - Jessica Hurley Webb
Account Rep - Courtney Stanley</v>
      </c>
      <c r="L70" s="1062" t="str">
        <f>IFERROR(VLOOKUP($A70,'2018'!$A:$BB,9,FALSE),"")</f>
        <v>New</v>
      </c>
      <c r="M70" s="1067">
        <f>IFERROR(VLOOKUP($A70,'2018'!$A:$BB,10,FALSE),"")</f>
        <v>43101</v>
      </c>
      <c r="N70" s="1062">
        <f>IFERROR(VLOOKUP($A70,'2018'!$A:$BB,12,FALSE),"")</f>
        <v>85</v>
      </c>
      <c r="O70" s="1055" t="str">
        <f>IFERROR(VLOOKUP($A70,'2018'!$A:$BB,13,FALSE),"")</f>
        <v xml:space="preserve">IGOE </v>
      </c>
      <c r="P70" s="1055" t="str">
        <f>IFERROR(VLOOKUP($A70,'2018'!$A:$BB,14,FALSE),"")</f>
        <v xml:space="preserve">ADP </v>
      </c>
      <c r="Q70" s="1055" t="str">
        <f>IFERROR(VLOOKUP($A70,'2018'!$A:$BB,16,FALSE),"")</f>
        <v xml:space="preserve">IGOE </v>
      </c>
      <c r="R70" s="1055" t="str">
        <f>IFERROR(VLOOKUP($A70,'2018'!$A:$BB,17,FALSE),"")</f>
        <v>Optum Health</v>
      </c>
      <c r="S70" s="1062" t="str">
        <f>IFERROR(VLOOKUP($A70,'2018'!$A:$BB,20,FALSE),"")</f>
        <v>SCAL</v>
      </c>
      <c r="T70" s="1062" t="str">
        <f>IFERROR(VLOOKUP($A70,'2018'!$A:$BB,21,FALSE),"")</f>
        <v>Group A (&lt;34)</v>
      </c>
      <c r="U70" s="1062" t="str">
        <f>IFERROR(VLOOKUP($A70,'2018'!$A:$BB,22,FALSE),"")</f>
        <v>Expanded</v>
      </c>
      <c r="V70" s="1062" t="str">
        <f>IFERROR(VLOOKUP($A70,'2018'!$A:$BB,23,FALSE),"")</f>
        <v>Advantage</v>
      </c>
      <c r="W70" s="1062" t="str">
        <f>IFERROR(VLOOKUP($A70,'2018'!$A:$BB,24,FALSE),"")</f>
        <v>No</v>
      </c>
      <c r="X70" s="1062" t="str">
        <f>IFERROR(VLOOKUP($A70,'2018'!$A:$BB,41,FALSE),"")</f>
        <v>Region 1</v>
      </c>
      <c r="Y70" s="1062" t="str">
        <f>IFERROR(VLOOKUP($A70,'2018'!$A:$BB,42,FALSE),"")</f>
        <v>(50-99)</v>
      </c>
      <c r="Z70" s="1062" t="str">
        <f>IFERROR(VLOOKUP($A70,'2018'!$A:$BB,45,FALSE),"")</f>
        <v>(50-99)</v>
      </c>
      <c r="AA70" s="730">
        <v>2018</v>
      </c>
      <c r="AB70" s="728" t="s">
        <v>3791</v>
      </c>
      <c r="AC70" s="727" t="s">
        <v>317</v>
      </c>
      <c r="AD70" s="727" t="s">
        <v>3655</v>
      </c>
      <c r="AE70" s="727" t="s">
        <v>307</v>
      </c>
      <c r="AF70" s="727" t="s">
        <v>113</v>
      </c>
      <c r="AG70" s="726" t="s">
        <v>3981</v>
      </c>
      <c r="AH70" s="726" t="s">
        <v>3973</v>
      </c>
      <c r="AI70" s="727">
        <v>11</v>
      </c>
      <c r="AJ70" s="747" t="s">
        <v>3982</v>
      </c>
      <c r="AK70" s="757">
        <v>909678</v>
      </c>
      <c r="AL70" s="756">
        <v>478</v>
      </c>
      <c r="AM70" s="755">
        <v>909678</v>
      </c>
      <c r="AN70" s="756">
        <f t="shared" si="15"/>
        <v>479</v>
      </c>
      <c r="AO70" s="776">
        <f t="shared" si="14"/>
        <v>909678</v>
      </c>
      <c r="AP70" s="754">
        <f t="shared" si="1"/>
        <v>480</v>
      </c>
      <c r="AQ70" s="770"/>
      <c r="AR70" s="726" t="s">
        <v>2661</v>
      </c>
      <c r="AS70" s="726" t="s">
        <v>4029</v>
      </c>
      <c r="AT70" s="736">
        <v>4810481</v>
      </c>
      <c r="AU70" s="726" t="s">
        <v>3980</v>
      </c>
      <c r="AV70" s="726"/>
      <c r="AW70" s="726"/>
    </row>
    <row r="71" spans="1:49">
      <c r="A71" s="738" t="s">
        <v>355</v>
      </c>
      <c r="B71" s="736" t="s">
        <v>4028</v>
      </c>
      <c r="C71" s="736"/>
      <c r="D71" s="738" t="s">
        <v>4204</v>
      </c>
      <c r="E71" s="738" t="s">
        <v>4204</v>
      </c>
      <c r="F71" s="1059">
        <f>IFERROR(VLOOKUP($A71,'2018'!$A:$BB,3,FALSE),"")</f>
        <v>261756290</v>
      </c>
      <c r="G71" s="1055" t="str">
        <f>IFERROR(VLOOKUP($A71,'2018'!$A:$BB,4,FALSE),"")</f>
        <v>9640 Towne Centre Dr #100
San Diego, CA 92121</v>
      </c>
      <c r="H71" s="1055" t="str">
        <f>IFERROR(VLOOKUP($A71,'2018'!$A:$BB,5,FALSE),"")</f>
        <v xml:space="preserve">Heather Adams
858-888-7694
hadams@bionanogenomics.com </v>
      </c>
      <c r="I71" s="1055" t="str">
        <f>IFERROR(VLOOKUP($A71,'2018'!$A:$BB,6,FALSE),"")</f>
        <v>Eileen Sun
858-888-7669
AP@bionanogenomics.com</v>
      </c>
      <c r="J71" s="1055" t="str">
        <f>IFERROR(VLOOKUP($A71,'2018'!$A:$BB,7,FALSE),"")</f>
        <v>HUB (San Diego)</v>
      </c>
      <c r="K71" s="1055" t="str">
        <f>IFERROR(VLOOKUP($A71,'2018'!$A:$BB,8,FALSE),"")</f>
        <v>Account Managed by HUB SD Team
Producer - Dave Duenas
Service Lead - Jessica Hurley Webb
Account Rep - Courtney Stanley</v>
      </c>
      <c r="L71" s="1062" t="str">
        <f>IFERROR(VLOOKUP($A71,'2018'!$A:$BB,9,FALSE),"")</f>
        <v>New</v>
      </c>
      <c r="M71" s="1067">
        <f>IFERROR(VLOOKUP($A71,'2018'!$A:$BB,10,FALSE),"")</f>
        <v>43101</v>
      </c>
      <c r="N71" s="1062">
        <f>IFERROR(VLOOKUP($A71,'2018'!$A:$BB,12,FALSE),"")</f>
        <v>85</v>
      </c>
      <c r="O71" s="1055" t="str">
        <f>IFERROR(VLOOKUP($A71,'2018'!$A:$BB,13,FALSE),"")</f>
        <v xml:space="preserve">IGOE </v>
      </c>
      <c r="P71" s="1055" t="str">
        <f>IFERROR(VLOOKUP($A71,'2018'!$A:$BB,14,FALSE),"")</f>
        <v xml:space="preserve">ADP </v>
      </c>
      <c r="Q71" s="1055" t="str">
        <f>IFERROR(VLOOKUP($A71,'2018'!$A:$BB,16,FALSE),"")</f>
        <v xml:space="preserve">IGOE </v>
      </c>
      <c r="R71" s="1055" t="str">
        <f>IFERROR(VLOOKUP($A71,'2018'!$A:$BB,17,FALSE),"")</f>
        <v>Optum Health</v>
      </c>
      <c r="S71" s="1062" t="str">
        <f>IFERROR(VLOOKUP($A71,'2018'!$A:$BB,20,FALSE),"")</f>
        <v>SCAL</v>
      </c>
      <c r="T71" s="1062" t="str">
        <f>IFERROR(VLOOKUP($A71,'2018'!$A:$BB,21,FALSE),"")</f>
        <v>Group A (&lt;34)</v>
      </c>
      <c r="U71" s="1062" t="str">
        <f>IFERROR(VLOOKUP($A71,'2018'!$A:$BB,22,FALSE),"")</f>
        <v>Expanded</v>
      </c>
      <c r="V71" s="1062" t="str">
        <f>IFERROR(VLOOKUP($A71,'2018'!$A:$BB,23,FALSE),"")</f>
        <v>Advantage</v>
      </c>
      <c r="W71" s="1062" t="str">
        <f>IFERROR(VLOOKUP($A71,'2018'!$A:$BB,24,FALSE),"")</f>
        <v>No</v>
      </c>
      <c r="X71" s="1062" t="str">
        <f>IFERROR(VLOOKUP($A71,'2018'!$A:$BB,41,FALSE),"")</f>
        <v>Region 1</v>
      </c>
      <c r="Y71" s="1062" t="str">
        <f>IFERROR(VLOOKUP($A71,'2018'!$A:$BB,42,FALSE),"")</f>
        <v>(50-99)</v>
      </c>
      <c r="Z71" s="1062" t="str">
        <f>IFERROR(VLOOKUP($A71,'2018'!$A:$BB,45,FALSE),"")</f>
        <v>(50-99)</v>
      </c>
      <c r="AA71" s="731">
        <v>2018</v>
      </c>
      <c r="AB71" s="733" t="s">
        <v>3791</v>
      </c>
      <c r="AC71" s="734" t="s">
        <v>317</v>
      </c>
      <c r="AD71" s="727" t="s">
        <v>3655</v>
      </c>
      <c r="AE71" s="734" t="s">
        <v>307</v>
      </c>
      <c r="AF71" s="734" t="s">
        <v>113</v>
      </c>
      <c r="AG71" s="732" t="s">
        <v>3981</v>
      </c>
      <c r="AH71" s="732" t="s">
        <v>3977</v>
      </c>
      <c r="AI71" s="734">
        <v>16</v>
      </c>
      <c r="AJ71" s="748" t="s">
        <v>3985</v>
      </c>
      <c r="AK71" s="757">
        <v>909678</v>
      </c>
      <c r="AL71" s="756">
        <v>730</v>
      </c>
      <c r="AM71" s="755">
        <v>909678</v>
      </c>
      <c r="AN71" s="756">
        <f t="shared" si="15"/>
        <v>731</v>
      </c>
      <c r="AO71" s="776">
        <f t="shared" si="14"/>
        <v>909678</v>
      </c>
      <c r="AP71" s="754">
        <f t="shared" si="1"/>
        <v>732</v>
      </c>
      <c r="AQ71" s="771" t="s">
        <v>3979</v>
      </c>
      <c r="AR71" s="732" t="s">
        <v>2661</v>
      </c>
      <c r="AS71" s="735"/>
      <c r="AT71" s="735"/>
      <c r="AU71" s="732" t="s">
        <v>3980</v>
      </c>
      <c r="AV71" s="735"/>
      <c r="AW71" s="735"/>
    </row>
    <row r="72" spans="1:49">
      <c r="A72" s="738"/>
      <c r="B72" s="738"/>
      <c r="C72" s="738"/>
      <c r="D72" s="738"/>
      <c r="E72" s="738"/>
      <c r="F72" s="1059" t="str">
        <f>IFERROR(VLOOKUP($A72,'2018'!$A:$BB,3,FALSE),"")</f>
        <v/>
      </c>
      <c r="G72" s="1055" t="str">
        <f>IFERROR(VLOOKUP($A72,'2018'!$A:$BB,4,FALSE),"")</f>
        <v/>
      </c>
      <c r="H72" s="1055" t="str">
        <f>IFERROR(VLOOKUP($A72,'2018'!$A:$BB,5,FALSE),"")</f>
        <v/>
      </c>
      <c r="I72" s="1055" t="str">
        <f>IFERROR(VLOOKUP($A72,'2018'!$A:$BB,6,FALSE),"")</f>
        <v/>
      </c>
      <c r="J72" s="1055" t="str">
        <f>IFERROR(VLOOKUP($A72,'2018'!$A:$BB,7,FALSE),"")</f>
        <v/>
      </c>
      <c r="K72" s="1055" t="str">
        <f>IFERROR(VLOOKUP($A72,'2018'!$A:$BB,8,FALSE),"")</f>
        <v/>
      </c>
      <c r="L72" s="1062" t="str">
        <f>IFERROR(VLOOKUP($A72,'2018'!$A:$BB,9,FALSE),"")</f>
        <v/>
      </c>
      <c r="M72" s="1067" t="str">
        <f>IFERROR(VLOOKUP($A72,'2018'!$A:$BB,10,FALSE),"")</f>
        <v/>
      </c>
      <c r="N72" s="1062" t="str">
        <f>IFERROR(VLOOKUP($A72,'2018'!$A:$BB,12,FALSE),"")</f>
        <v/>
      </c>
      <c r="O72" s="1055" t="str">
        <f>IFERROR(VLOOKUP($A72,'2018'!$A:$BB,13,FALSE),"")</f>
        <v/>
      </c>
      <c r="P72" s="1055" t="str">
        <f>IFERROR(VLOOKUP($A72,'2018'!$A:$BB,14,FALSE),"")</f>
        <v/>
      </c>
      <c r="Q72" s="1055" t="str">
        <f>IFERROR(VLOOKUP($A72,'2018'!$A:$BB,16,FALSE),"")</f>
        <v/>
      </c>
      <c r="R72" s="1055" t="str">
        <f>IFERROR(VLOOKUP($A72,'2018'!$A:$BB,17,FALSE),"")</f>
        <v/>
      </c>
      <c r="S72" s="1062" t="str">
        <f>IFERROR(VLOOKUP($A72,'2018'!$A:$BB,20,FALSE),"")</f>
        <v/>
      </c>
      <c r="T72" s="1062" t="str">
        <f>IFERROR(VLOOKUP($A72,'2018'!$A:$BB,21,FALSE),"")</f>
        <v/>
      </c>
      <c r="U72" s="1062" t="str">
        <f>IFERROR(VLOOKUP($A72,'2018'!$A:$BB,22,FALSE),"")</f>
        <v/>
      </c>
      <c r="V72" s="1062" t="str">
        <f>IFERROR(VLOOKUP($A72,'2018'!$A:$BB,23,FALSE),"")</f>
        <v/>
      </c>
      <c r="W72" s="1062" t="str">
        <f>IFERROR(VLOOKUP($A72,'2018'!$A:$BB,24,FALSE),"")</f>
        <v/>
      </c>
      <c r="X72" s="1062" t="str">
        <f>IFERROR(VLOOKUP($A72,'2018'!$A:$BB,41,FALSE),"")</f>
        <v/>
      </c>
      <c r="Y72" s="1062" t="str">
        <f>IFERROR(VLOOKUP($A72,'2018'!$A:$BB,42,FALSE),"")</f>
        <v/>
      </c>
      <c r="Z72" s="1062" t="str">
        <f>IFERROR(VLOOKUP($A72,'2018'!$A:$BB,45,FALSE),"")</f>
        <v/>
      </c>
      <c r="AA72" s="727"/>
      <c r="AB72" s="728"/>
      <c r="AC72" s="727"/>
      <c r="AD72" s="727"/>
      <c r="AE72" s="727"/>
      <c r="AF72" s="727"/>
      <c r="AG72" s="726"/>
      <c r="AH72" s="726"/>
      <c r="AI72" s="727"/>
      <c r="AJ72" s="747"/>
      <c r="AK72" s="753"/>
      <c r="AL72" s="756"/>
      <c r="AM72" s="758"/>
      <c r="AN72" s="756"/>
      <c r="AO72" s="776"/>
      <c r="AP72" s="754"/>
      <c r="AQ72" s="770"/>
      <c r="AR72" s="726"/>
      <c r="AS72" s="726"/>
      <c r="AT72" s="726"/>
      <c r="AU72" s="726"/>
      <c r="AV72" s="726"/>
      <c r="AW72" s="726"/>
    </row>
    <row r="73" spans="1:49">
      <c r="A73" s="738" t="s">
        <v>1257</v>
      </c>
      <c r="B73" s="738" t="s">
        <v>3793</v>
      </c>
      <c r="C73" s="738"/>
      <c r="D73" s="738" t="s">
        <v>4179</v>
      </c>
      <c r="E73" s="738" t="s">
        <v>4179</v>
      </c>
      <c r="F73" s="1059">
        <f>IFERROR(VLOOKUP($A73,'2018'!$A:$BB,3,FALSE),"")</f>
        <v>454306815</v>
      </c>
      <c r="G73" s="1055" t="str">
        <f>IFERROR(VLOOKUP($A73,'2018'!$A:$BB,4,FALSE),"")</f>
        <v>5922 Farnsworth Ct 
Suite 102
Carlsbad, CA 92008</v>
      </c>
      <c r="H73" s="1055" t="str">
        <f>IFERROR(VLOOKUP($A73,'2018'!$A:$BB,5,FALSE),"")</f>
        <v>Chris Breitbarth
760-476-1800
chrisbreitbarth@biospyder.com</v>
      </c>
      <c r="I73" s="1055" t="str">
        <f>IFERROR(VLOOKUP($A73,'2018'!$A:$BB,6,FALSE),"")</f>
        <v>Chris Breitbarth
760-476-1800
chrisbreitbarth@biospyder.com</v>
      </c>
      <c r="J73" s="1055" t="str">
        <f>IFERROR(VLOOKUP($A73,'2018'!$A:$BB,7,FALSE),"")</f>
        <v>HUB (Carlsbad)</v>
      </c>
      <c r="K73" s="1055" t="str">
        <f>IFERROR(VLOOKUP($A73,'2018'!$A:$BB,8,FALSE),"")</f>
        <v>Account Managed by HUB Carlsbad Team
Producer - Dori Wittman
Service Lead - Kayla Strawser</v>
      </c>
      <c r="L73" s="1062" t="str">
        <f>IFERROR(VLOOKUP($A73,'2018'!$A:$BB,9,FALSE),"")</f>
        <v>New</v>
      </c>
      <c r="M73" s="1067">
        <f>IFERROR(VLOOKUP($A73,'2018'!$A:$BB,10,FALSE),"")</f>
        <v>43101</v>
      </c>
      <c r="N73" s="1062">
        <f>IFERROR(VLOOKUP($A73,'2018'!$A:$BB,12,FALSE),"")</f>
        <v>20</v>
      </c>
      <c r="O73" s="1055" t="str">
        <f>IFERROR(VLOOKUP($A73,'2018'!$A:$BB,13,FALSE),"")</f>
        <v xml:space="preserve">IGOE </v>
      </c>
      <c r="P73" s="1055" t="str">
        <f>IFERROR(VLOOKUP($A73,'2018'!$A:$BB,14,FALSE),"")</f>
        <v>Maestro</v>
      </c>
      <c r="Q73" s="1055" t="str">
        <f>IFERROR(VLOOKUP($A73,'2018'!$A:$BB,16,FALSE),"")</f>
        <v>N/A</v>
      </c>
      <c r="R73" s="1055" t="str">
        <f>IFERROR(VLOOKUP($A73,'2018'!$A:$BB,17,FALSE),"")</f>
        <v>N/A</v>
      </c>
      <c r="S73" s="1062" t="str">
        <f>IFERROR(VLOOKUP($A73,'2018'!$A:$BB,20,FALSE),"")</f>
        <v>SCAL</v>
      </c>
      <c r="T73" s="1062" t="str">
        <f>IFERROR(VLOOKUP($A73,'2018'!$A:$BB,21,FALSE),"")</f>
        <v>Group B (34-44)</v>
      </c>
      <c r="U73" s="1062" t="str">
        <f>IFERROR(VLOOKUP($A73,'2018'!$A:$BB,22,FALSE),"")</f>
        <v>Expanded</v>
      </c>
      <c r="V73" s="1062" t="str">
        <f>IFERROR(VLOOKUP($A73,'2018'!$A:$BB,23,FALSE),"")</f>
        <v>Advantage</v>
      </c>
      <c r="W73" s="1062" t="str">
        <f>IFERROR(VLOOKUP($A73,'2018'!$A:$BB,24,FALSE),"")</f>
        <v>No</v>
      </c>
      <c r="X73" s="1062" t="str">
        <f>IFERROR(VLOOKUP($A73,'2018'!$A:$BB,41,FALSE),"")</f>
        <v>Region 1</v>
      </c>
      <c r="Y73" s="1062" t="str">
        <f>IFERROR(VLOOKUP($A73,'2018'!$A:$BB,42,FALSE),"")</f>
        <v>(25-49)</v>
      </c>
      <c r="Z73" s="1062" t="str">
        <f>IFERROR(VLOOKUP($A73,'2018'!$A:$BB,45,FALSE),"")</f>
        <v xml:space="preserve"> (2-49)</v>
      </c>
      <c r="AA73" s="730">
        <v>2018</v>
      </c>
      <c r="AB73" s="728" t="s">
        <v>3794</v>
      </c>
      <c r="AC73" s="727" t="s">
        <v>317</v>
      </c>
      <c r="AD73" s="727" t="s">
        <v>3648</v>
      </c>
      <c r="AE73" s="727" t="s">
        <v>307</v>
      </c>
      <c r="AF73" s="727" t="s">
        <v>113</v>
      </c>
      <c r="AG73" s="726" t="s">
        <v>3962</v>
      </c>
      <c r="AH73" s="726" t="s">
        <v>3963</v>
      </c>
      <c r="AI73" s="727">
        <v>2</v>
      </c>
      <c r="AJ73" s="747" t="s">
        <v>3964</v>
      </c>
      <c r="AK73" s="753">
        <v>260089</v>
      </c>
      <c r="AL73" s="756">
        <v>190</v>
      </c>
      <c r="AM73" s="758">
        <v>260090</v>
      </c>
      <c r="AN73" s="756">
        <v>191</v>
      </c>
      <c r="AO73" s="776">
        <f t="shared" si="0"/>
        <v>260091</v>
      </c>
      <c r="AP73" s="754">
        <f t="shared" si="1"/>
        <v>192</v>
      </c>
      <c r="AQ73" s="770"/>
      <c r="AR73" s="726" t="s">
        <v>2661</v>
      </c>
      <c r="AS73" s="726" t="s">
        <v>3965</v>
      </c>
      <c r="AT73" s="726">
        <v>1900190</v>
      </c>
      <c r="AU73" s="726" t="s">
        <v>3966</v>
      </c>
      <c r="AV73" s="726" t="s">
        <v>4030</v>
      </c>
      <c r="AW73" s="726">
        <v>1910191</v>
      </c>
    </row>
    <row r="74" spans="1:49">
      <c r="A74" s="738" t="s">
        <v>1257</v>
      </c>
      <c r="B74" s="738" t="s">
        <v>3793</v>
      </c>
      <c r="C74" s="738"/>
      <c r="D74" s="738" t="s">
        <v>4179</v>
      </c>
      <c r="E74" s="738" t="s">
        <v>4179</v>
      </c>
      <c r="F74" s="1059">
        <f>IFERROR(VLOOKUP($A74,'2018'!$A:$BB,3,FALSE),"")</f>
        <v>454306815</v>
      </c>
      <c r="G74" s="1055" t="str">
        <f>IFERROR(VLOOKUP($A74,'2018'!$A:$BB,4,FALSE),"")</f>
        <v>5922 Farnsworth Ct 
Suite 102
Carlsbad, CA 92008</v>
      </c>
      <c r="H74" s="1055" t="str">
        <f>IFERROR(VLOOKUP($A74,'2018'!$A:$BB,5,FALSE),"")</f>
        <v>Chris Breitbarth
760-476-1800
chrisbreitbarth@biospyder.com</v>
      </c>
      <c r="I74" s="1055" t="str">
        <f>IFERROR(VLOOKUP($A74,'2018'!$A:$BB,6,FALSE),"")</f>
        <v>Chris Breitbarth
760-476-1800
chrisbreitbarth@biospyder.com</v>
      </c>
      <c r="J74" s="1055" t="str">
        <f>IFERROR(VLOOKUP($A74,'2018'!$A:$BB,7,FALSE),"")</f>
        <v>HUB (Carlsbad)</v>
      </c>
      <c r="K74" s="1055" t="str">
        <f>IFERROR(VLOOKUP($A74,'2018'!$A:$BB,8,FALSE),"")</f>
        <v>Account Managed by HUB Carlsbad Team
Producer - Dori Wittman
Service Lead - Kayla Strawser</v>
      </c>
      <c r="L74" s="1062" t="str">
        <f>IFERROR(VLOOKUP($A74,'2018'!$A:$BB,9,FALSE),"")</f>
        <v>New</v>
      </c>
      <c r="M74" s="1067">
        <f>IFERROR(VLOOKUP($A74,'2018'!$A:$BB,10,FALSE),"")</f>
        <v>43101</v>
      </c>
      <c r="N74" s="1062">
        <f>IFERROR(VLOOKUP($A74,'2018'!$A:$BB,12,FALSE),"")</f>
        <v>20</v>
      </c>
      <c r="O74" s="1055" t="str">
        <f>IFERROR(VLOOKUP($A74,'2018'!$A:$BB,13,FALSE),"")</f>
        <v xml:space="preserve">IGOE </v>
      </c>
      <c r="P74" s="1055" t="str">
        <f>IFERROR(VLOOKUP($A74,'2018'!$A:$BB,14,FALSE),"")</f>
        <v>Maestro</v>
      </c>
      <c r="Q74" s="1055" t="str">
        <f>IFERROR(VLOOKUP($A74,'2018'!$A:$BB,16,FALSE),"")</f>
        <v>N/A</v>
      </c>
      <c r="R74" s="1055" t="str">
        <f>IFERROR(VLOOKUP($A74,'2018'!$A:$BB,17,FALSE),"")</f>
        <v>N/A</v>
      </c>
      <c r="S74" s="1062" t="str">
        <f>IFERROR(VLOOKUP($A74,'2018'!$A:$BB,20,FALSE),"")</f>
        <v>SCAL</v>
      </c>
      <c r="T74" s="1062" t="str">
        <f>IFERROR(VLOOKUP($A74,'2018'!$A:$BB,21,FALSE),"")</f>
        <v>Group B (34-44)</v>
      </c>
      <c r="U74" s="1062" t="str">
        <f>IFERROR(VLOOKUP($A74,'2018'!$A:$BB,22,FALSE),"")</f>
        <v>Expanded</v>
      </c>
      <c r="V74" s="1062" t="str">
        <f>IFERROR(VLOOKUP($A74,'2018'!$A:$BB,23,FALSE),"")</f>
        <v>Advantage</v>
      </c>
      <c r="W74" s="1062" t="str">
        <f>IFERROR(VLOOKUP($A74,'2018'!$A:$BB,24,FALSE),"")</f>
        <v>No</v>
      </c>
      <c r="X74" s="1062" t="str">
        <f>IFERROR(VLOOKUP($A74,'2018'!$A:$BB,41,FALSE),"")</f>
        <v>Region 1</v>
      </c>
      <c r="Y74" s="1062" t="str">
        <f>IFERROR(VLOOKUP($A74,'2018'!$A:$BB,42,FALSE),"")</f>
        <v>(25-49)</v>
      </c>
      <c r="Z74" s="1062" t="str">
        <f>IFERROR(VLOOKUP($A74,'2018'!$A:$BB,45,FALSE),"")</f>
        <v xml:space="preserve"> (2-49)</v>
      </c>
      <c r="AA74" s="730">
        <v>2018</v>
      </c>
      <c r="AB74" s="728" t="s">
        <v>3794</v>
      </c>
      <c r="AC74" s="727" t="s">
        <v>317</v>
      </c>
      <c r="AD74" s="727" t="s">
        <v>3648</v>
      </c>
      <c r="AE74" s="727" t="s">
        <v>307</v>
      </c>
      <c r="AF74" s="727" t="s">
        <v>113</v>
      </c>
      <c r="AG74" s="726" t="s">
        <v>3972</v>
      </c>
      <c r="AH74" s="726" t="s">
        <v>3973</v>
      </c>
      <c r="AI74" s="727">
        <v>8</v>
      </c>
      <c r="AJ74" s="747" t="s">
        <v>3992</v>
      </c>
      <c r="AK74" s="757">
        <v>909678</v>
      </c>
      <c r="AL74" s="756">
        <v>373</v>
      </c>
      <c r="AM74" s="755">
        <v>909678</v>
      </c>
      <c r="AN74" s="756">
        <v>374</v>
      </c>
      <c r="AO74" s="776">
        <f t="shared" ref="AO74:AO75" si="16">AM74</f>
        <v>909678</v>
      </c>
      <c r="AP74" s="754">
        <f t="shared" si="1"/>
        <v>375</v>
      </c>
      <c r="AQ74" s="770"/>
      <c r="AR74" s="726" t="s">
        <v>2661</v>
      </c>
      <c r="AS74" s="726" t="s">
        <v>4007</v>
      </c>
      <c r="AT74" s="726">
        <v>3730373</v>
      </c>
      <c r="AU74" s="726" t="s">
        <v>3966</v>
      </c>
      <c r="AV74" s="726" t="s">
        <v>4031</v>
      </c>
      <c r="AW74" s="726">
        <v>3740374</v>
      </c>
    </row>
    <row r="75" spans="1:49">
      <c r="A75" s="738" t="s">
        <v>1257</v>
      </c>
      <c r="B75" s="736" t="s">
        <v>3793</v>
      </c>
      <c r="C75" s="736"/>
      <c r="D75" s="736" t="s">
        <v>4179</v>
      </c>
      <c r="E75" s="736" t="s">
        <v>4179</v>
      </c>
      <c r="F75" s="1059">
        <f>IFERROR(VLOOKUP($A75,'2018'!$A:$BB,3,FALSE),"")</f>
        <v>454306815</v>
      </c>
      <c r="G75" s="1055" t="str">
        <f>IFERROR(VLOOKUP($A75,'2018'!$A:$BB,4,FALSE),"")</f>
        <v>5922 Farnsworth Ct 
Suite 102
Carlsbad, CA 92008</v>
      </c>
      <c r="H75" s="1055" t="str">
        <f>IFERROR(VLOOKUP($A75,'2018'!$A:$BB,5,FALSE),"")</f>
        <v>Chris Breitbarth
760-476-1800
chrisbreitbarth@biospyder.com</v>
      </c>
      <c r="I75" s="1055" t="str">
        <f>IFERROR(VLOOKUP($A75,'2018'!$A:$BB,6,FALSE),"")</f>
        <v>Chris Breitbarth
760-476-1800
chrisbreitbarth@biospyder.com</v>
      </c>
      <c r="J75" s="1055" t="str">
        <f>IFERROR(VLOOKUP($A75,'2018'!$A:$BB,7,FALSE),"")</f>
        <v>HUB (Carlsbad)</v>
      </c>
      <c r="K75" s="1055" t="str">
        <f>IFERROR(VLOOKUP($A75,'2018'!$A:$BB,8,FALSE),"")</f>
        <v>Account Managed by HUB Carlsbad Team
Producer - Dori Wittman
Service Lead - Kayla Strawser</v>
      </c>
      <c r="L75" s="1062" t="str">
        <f>IFERROR(VLOOKUP($A75,'2018'!$A:$BB,9,FALSE),"")</f>
        <v>New</v>
      </c>
      <c r="M75" s="1067">
        <f>IFERROR(VLOOKUP($A75,'2018'!$A:$BB,10,FALSE),"")</f>
        <v>43101</v>
      </c>
      <c r="N75" s="1062">
        <f>IFERROR(VLOOKUP($A75,'2018'!$A:$BB,12,FALSE),"")</f>
        <v>20</v>
      </c>
      <c r="O75" s="1055" t="str">
        <f>IFERROR(VLOOKUP($A75,'2018'!$A:$BB,13,FALSE),"")</f>
        <v xml:space="preserve">IGOE </v>
      </c>
      <c r="P75" s="1055" t="str">
        <f>IFERROR(VLOOKUP($A75,'2018'!$A:$BB,14,FALSE),"")</f>
        <v>Maestro</v>
      </c>
      <c r="Q75" s="1055" t="str">
        <f>IFERROR(VLOOKUP($A75,'2018'!$A:$BB,16,FALSE),"")</f>
        <v>N/A</v>
      </c>
      <c r="R75" s="1055" t="str">
        <f>IFERROR(VLOOKUP($A75,'2018'!$A:$BB,17,FALSE),"")</f>
        <v>N/A</v>
      </c>
      <c r="S75" s="1062" t="str">
        <f>IFERROR(VLOOKUP($A75,'2018'!$A:$BB,20,FALSE),"")</f>
        <v>SCAL</v>
      </c>
      <c r="T75" s="1062" t="str">
        <f>IFERROR(VLOOKUP($A75,'2018'!$A:$BB,21,FALSE),"")</f>
        <v>Group B (34-44)</v>
      </c>
      <c r="U75" s="1062" t="str">
        <f>IFERROR(VLOOKUP($A75,'2018'!$A:$BB,22,FALSE),"")</f>
        <v>Expanded</v>
      </c>
      <c r="V75" s="1062" t="str">
        <f>IFERROR(VLOOKUP($A75,'2018'!$A:$BB,23,FALSE),"")</f>
        <v>Advantage</v>
      </c>
      <c r="W75" s="1062" t="str">
        <f>IFERROR(VLOOKUP($A75,'2018'!$A:$BB,24,FALSE),"")</f>
        <v>No</v>
      </c>
      <c r="X75" s="1062" t="str">
        <f>IFERROR(VLOOKUP($A75,'2018'!$A:$BB,41,FALSE),"")</f>
        <v>Region 1</v>
      </c>
      <c r="Y75" s="1062" t="str">
        <f>IFERROR(VLOOKUP($A75,'2018'!$A:$BB,42,FALSE),"")</f>
        <v>(25-49)</v>
      </c>
      <c r="Z75" s="1062" t="str">
        <f>IFERROR(VLOOKUP($A75,'2018'!$A:$BB,45,FALSE),"")</f>
        <v xml:space="preserve"> (2-49)</v>
      </c>
      <c r="AA75" s="731">
        <v>2018</v>
      </c>
      <c r="AB75" s="733" t="s">
        <v>3794</v>
      </c>
      <c r="AC75" s="734" t="s">
        <v>317</v>
      </c>
      <c r="AD75" s="734" t="s">
        <v>3648</v>
      </c>
      <c r="AE75" s="734" t="s">
        <v>307</v>
      </c>
      <c r="AF75" s="734" t="s">
        <v>113</v>
      </c>
      <c r="AG75" s="732" t="s">
        <v>3972</v>
      </c>
      <c r="AH75" s="732" t="s">
        <v>3977</v>
      </c>
      <c r="AI75" s="734">
        <v>14</v>
      </c>
      <c r="AJ75" s="748" t="s">
        <v>3994</v>
      </c>
      <c r="AK75" s="757">
        <v>909678</v>
      </c>
      <c r="AL75" s="756">
        <v>625</v>
      </c>
      <c r="AM75" s="755">
        <v>909678</v>
      </c>
      <c r="AN75" s="756">
        <v>626</v>
      </c>
      <c r="AO75" s="776">
        <f t="shared" si="16"/>
        <v>909678</v>
      </c>
      <c r="AP75" s="754">
        <f t="shared" si="1"/>
        <v>627</v>
      </c>
      <c r="AQ75" s="771" t="s">
        <v>3979</v>
      </c>
      <c r="AR75" s="732" t="s">
        <v>2661</v>
      </c>
      <c r="AS75" s="735"/>
      <c r="AT75" s="735"/>
      <c r="AU75" s="732" t="s">
        <v>3980</v>
      </c>
      <c r="AV75" s="735"/>
      <c r="AW75" s="735"/>
    </row>
    <row r="76" spans="1:49">
      <c r="A76" s="738"/>
      <c r="B76" s="738"/>
      <c r="C76" s="738"/>
      <c r="D76" s="738"/>
      <c r="E76" s="738"/>
      <c r="F76" s="1059" t="str">
        <f>IFERROR(VLOOKUP($A76,'2018'!$A:$BB,3,FALSE),"")</f>
        <v/>
      </c>
      <c r="G76" s="1055" t="str">
        <f>IFERROR(VLOOKUP($A76,'2018'!$A:$BB,4,FALSE),"")</f>
        <v/>
      </c>
      <c r="H76" s="1055" t="str">
        <f>IFERROR(VLOOKUP($A76,'2018'!$A:$BB,5,FALSE),"")</f>
        <v/>
      </c>
      <c r="I76" s="1055" t="str">
        <f>IFERROR(VLOOKUP($A76,'2018'!$A:$BB,6,FALSE),"")</f>
        <v/>
      </c>
      <c r="J76" s="1055" t="str">
        <f>IFERROR(VLOOKUP($A76,'2018'!$A:$BB,7,FALSE),"")</f>
        <v/>
      </c>
      <c r="K76" s="1055" t="str">
        <f>IFERROR(VLOOKUP($A76,'2018'!$A:$BB,8,FALSE),"")</f>
        <v/>
      </c>
      <c r="L76" s="1062" t="str">
        <f>IFERROR(VLOOKUP($A76,'2018'!$A:$BB,9,FALSE),"")</f>
        <v/>
      </c>
      <c r="M76" s="1067" t="str">
        <f>IFERROR(VLOOKUP($A76,'2018'!$A:$BB,10,FALSE),"")</f>
        <v/>
      </c>
      <c r="N76" s="1062" t="str">
        <f>IFERROR(VLOOKUP($A76,'2018'!$A:$BB,12,FALSE),"")</f>
        <v/>
      </c>
      <c r="O76" s="1055" t="str">
        <f>IFERROR(VLOOKUP($A76,'2018'!$A:$BB,13,FALSE),"")</f>
        <v/>
      </c>
      <c r="P76" s="1055" t="str">
        <f>IFERROR(VLOOKUP($A76,'2018'!$A:$BB,14,FALSE),"")</f>
        <v/>
      </c>
      <c r="Q76" s="1055" t="str">
        <f>IFERROR(VLOOKUP($A76,'2018'!$A:$BB,16,FALSE),"")</f>
        <v/>
      </c>
      <c r="R76" s="1055" t="str">
        <f>IFERROR(VLOOKUP($A76,'2018'!$A:$BB,17,FALSE),"")</f>
        <v/>
      </c>
      <c r="S76" s="1062" t="str">
        <f>IFERROR(VLOOKUP($A76,'2018'!$A:$BB,20,FALSE),"")</f>
        <v/>
      </c>
      <c r="T76" s="1062" t="str">
        <f>IFERROR(VLOOKUP($A76,'2018'!$A:$BB,21,FALSE),"")</f>
        <v/>
      </c>
      <c r="U76" s="1062" t="str">
        <f>IFERROR(VLOOKUP($A76,'2018'!$A:$BB,22,FALSE),"")</f>
        <v/>
      </c>
      <c r="V76" s="1062" t="str">
        <f>IFERROR(VLOOKUP($A76,'2018'!$A:$BB,23,FALSE),"")</f>
        <v/>
      </c>
      <c r="W76" s="1062" t="str">
        <f>IFERROR(VLOOKUP($A76,'2018'!$A:$BB,24,FALSE),"")</f>
        <v/>
      </c>
      <c r="X76" s="1062" t="str">
        <f>IFERROR(VLOOKUP($A76,'2018'!$A:$BB,41,FALSE),"")</f>
        <v/>
      </c>
      <c r="Y76" s="1062" t="str">
        <f>IFERROR(VLOOKUP($A76,'2018'!$A:$BB,42,FALSE),"")</f>
        <v/>
      </c>
      <c r="Z76" s="1062" t="str">
        <f>IFERROR(VLOOKUP($A76,'2018'!$A:$BB,45,FALSE),"")</f>
        <v/>
      </c>
      <c r="AA76" s="727"/>
      <c r="AB76" s="728"/>
      <c r="AC76" s="727"/>
      <c r="AD76" s="727"/>
      <c r="AE76" s="727"/>
      <c r="AF76" s="727"/>
      <c r="AG76" s="726"/>
      <c r="AH76" s="726"/>
      <c r="AI76" s="727"/>
      <c r="AJ76" s="747"/>
      <c r="AK76" s="753"/>
      <c r="AL76" s="756"/>
      <c r="AM76" s="758"/>
      <c r="AN76" s="756"/>
      <c r="AO76" s="776"/>
      <c r="AP76" s="754"/>
      <c r="AQ76" s="770"/>
      <c r="AR76" s="726"/>
      <c r="AS76" s="726"/>
      <c r="AT76" s="726"/>
      <c r="AU76" s="726"/>
      <c r="AV76" s="726"/>
      <c r="AW76" s="726"/>
    </row>
    <row r="77" spans="1:49">
      <c r="A77" s="736" t="s">
        <v>1320</v>
      </c>
      <c r="B77" s="736" t="s">
        <v>4032</v>
      </c>
      <c r="C77" s="736"/>
      <c r="D77" s="736" t="s">
        <v>4180</v>
      </c>
      <c r="E77" s="736" t="s">
        <v>4180</v>
      </c>
      <c r="F77" s="1059">
        <f>IFERROR(VLOOKUP($A77,'2018'!$A:$BB,3,FALSE),"")</f>
        <v>261133046</v>
      </c>
      <c r="G77" s="1055" t="str">
        <f>IFERROR(VLOOKUP($A77,'2018'!$A:$BB,4,FALSE),"")</f>
        <v>2223 Avenida De La Playa, 
Ste 205, La Jolla CA 92037</v>
      </c>
      <c r="H77" s="1055" t="str">
        <f>IFERROR(VLOOKUP($A77,'2018'!$A:$BB,5,FALSE),"")</f>
        <v>Alyssa Lochbaum
619.607.1107
Alyssa@BirdRockBio.com</v>
      </c>
      <c r="I77" s="1055" t="str">
        <f>IFERROR(VLOOKUP($A77,'2018'!$A:$BB,6,FALSE),"")</f>
        <v>Kenneth Huang
858-587-4926
kenneth@birdrockbio.com</v>
      </c>
      <c r="J77" s="1055" t="str">
        <f>IFERROR(VLOOKUP($A77,'2018'!$A:$BB,7,FALSE),"")</f>
        <v>HUB (San Diego)</v>
      </c>
      <c r="K77" s="1055" t="str">
        <f>IFERROR(VLOOKUP($A77,'2018'!$A:$BB,8,FALSE),"")</f>
        <v xml:space="preserve">Account Managed by HUB SD Team
Producer - Neal Cook
Service Lead - Pam Andrakowicz
</v>
      </c>
      <c r="L77" s="1062" t="str">
        <f>IFERROR(VLOOKUP($A77,'2018'!$A:$BB,9,FALSE),"")</f>
        <v>New</v>
      </c>
      <c r="M77" s="1067">
        <f>IFERROR(VLOOKUP($A77,'2018'!$A:$BB,10,FALSE),"")</f>
        <v>43101</v>
      </c>
      <c r="N77" s="1062">
        <f>IFERROR(VLOOKUP($A77,'2018'!$A:$BB,12,FALSE),"")</f>
        <v>10</v>
      </c>
      <c r="O77" s="1055" t="str">
        <f>IFERROR(VLOOKUP($A77,'2018'!$A:$BB,13,FALSE),"")</f>
        <v xml:space="preserve">IGOE </v>
      </c>
      <c r="P77" s="1055" t="str">
        <f>IFERROR(VLOOKUP($A77,'2018'!$A:$BB,14,FALSE),"")</f>
        <v>Maestro</v>
      </c>
      <c r="Q77" s="1055" t="str">
        <f>IFERROR(VLOOKUP($A77,'2018'!$A:$BB,16,FALSE),"")</f>
        <v>N/A</v>
      </c>
      <c r="R77" s="1055" t="str">
        <f>IFERROR(VLOOKUP($A77,'2018'!$A:$BB,17,FALSE),"")</f>
        <v>Optum Health</v>
      </c>
      <c r="S77" s="1062" t="str">
        <f>IFERROR(VLOOKUP($A77,'2018'!$A:$BB,20,FALSE),"")</f>
        <v>SCAL</v>
      </c>
      <c r="T77" s="1062" t="str">
        <f>IFERROR(VLOOKUP($A77,'2018'!$A:$BB,21,FALSE),"")</f>
        <v>Group B (34-44)</v>
      </c>
      <c r="U77" s="1062" t="str">
        <f>IFERROR(VLOOKUP($A77,'2018'!$A:$BB,22,FALSE),"")</f>
        <v>Expanded</v>
      </c>
      <c r="V77" s="1062" t="str">
        <f>IFERROR(VLOOKUP($A77,'2018'!$A:$BB,23,FALSE),"")</f>
        <v>Advantage</v>
      </c>
      <c r="W77" s="1062" t="str">
        <f>IFERROR(VLOOKUP($A77,'2018'!$A:$BB,24,FALSE),"")</f>
        <v>No</v>
      </c>
      <c r="X77" s="1062" t="str">
        <f>IFERROR(VLOOKUP($A77,'2018'!$A:$BB,41,FALSE),"")</f>
        <v>Region 2</v>
      </c>
      <c r="Y77" s="1062" t="str">
        <f>IFERROR(VLOOKUP($A77,'2018'!$A:$BB,42,FALSE),"")</f>
        <v>(10-24)</v>
      </c>
      <c r="Z77" s="1062" t="str">
        <f>IFERROR(VLOOKUP($A77,'2018'!$A:$BB,45,FALSE),"")</f>
        <v xml:space="preserve"> (2-49)</v>
      </c>
      <c r="AA77" s="731">
        <v>2018</v>
      </c>
      <c r="AB77" s="733" t="s">
        <v>3797</v>
      </c>
      <c r="AC77" s="734" t="s">
        <v>317</v>
      </c>
      <c r="AD77" s="734" t="s">
        <v>3648</v>
      </c>
      <c r="AE77" s="734" t="s">
        <v>307</v>
      </c>
      <c r="AF77" s="734" t="s">
        <v>113</v>
      </c>
      <c r="AG77" s="732" t="s">
        <v>3962</v>
      </c>
      <c r="AH77" s="732" t="s">
        <v>3963</v>
      </c>
      <c r="AI77" s="734">
        <v>2</v>
      </c>
      <c r="AJ77" s="748" t="s">
        <v>3964</v>
      </c>
      <c r="AK77" s="758">
        <v>260089</v>
      </c>
      <c r="AL77" s="756">
        <v>190</v>
      </c>
      <c r="AM77" s="758">
        <v>260090</v>
      </c>
      <c r="AN77" s="756">
        <v>191</v>
      </c>
      <c r="AO77" s="776">
        <f t="shared" si="0"/>
        <v>260091</v>
      </c>
      <c r="AP77" s="754">
        <f t="shared" si="1"/>
        <v>192</v>
      </c>
      <c r="AQ77" s="771" t="s">
        <v>3979</v>
      </c>
      <c r="AR77" s="732" t="s">
        <v>2661</v>
      </c>
      <c r="AS77" s="735"/>
      <c r="AT77" s="735"/>
      <c r="AU77" s="732" t="s">
        <v>3980</v>
      </c>
      <c r="AV77" s="735"/>
      <c r="AW77" s="735"/>
    </row>
    <row r="78" spans="1:49">
      <c r="A78" s="736" t="s">
        <v>1320</v>
      </c>
      <c r="B78" s="736" t="s">
        <v>4032</v>
      </c>
      <c r="C78" s="736"/>
      <c r="D78" s="736" t="s">
        <v>4180</v>
      </c>
      <c r="E78" s="736" t="s">
        <v>4180</v>
      </c>
      <c r="F78" s="1059">
        <f>IFERROR(VLOOKUP($A78,'2018'!$A:$BB,3,FALSE),"")</f>
        <v>261133046</v>
      </c>
      <c r="G78" s="1055" t="str">
        <f>IFERROR(VLOOKUP($A78,'2018'!$A:$BB,4,FALSE),"")</f>
        <v>2223 Avenida De La Playa, 
Ste 205, La Jolla CA 92037</v>
      </c>
      <c r="H78" s="1055" t="str">
        <f>IFERROR(VLOOKUP($A78,'2018'!$A:$BB,5,FALSE),"")</f>
        <v>Alyssa Lochbaum
619.607.1107
Alyssa@BirdRockBio.com</v>
      </c>
      <c r="I78" s="1055" t="str">
        <f>IFERROR(VLOOKUP($A78,'2018'!$A:$BB,6,FALSE),"")</f>
        <v>Kenneth Huang
858-587-4926
kenneth@birdrockbio.com</v>
      </c>
      <c r="J78" s="1055" t="str">
        <f>IFERROR(VLOOKUP($A78,'2018'!$A:$BB,7,FALSE),"")</f>
        <v>HUB (San Diego)</v>
      </c>
      <c r="K78" s="1055" t="str">
        <f>IFERROR(VLOOKUP($A78,'2018'!$A:$BB,8,FALSE),"")</f>
        <v xml:space="preserve">Account Managed by HUB SD Team
Producer - Neal Cook
Service Lead - Pam Andrakowicz
</v>
      </c>
      <c r="L78" s="1062" t="str">
        <f>IFERROR(VLOOKUP($A78,'2018'!$A:$BB,9,FALSE),"")</f>
        <v>New</v>
      </c>
      <c r="M78" s="1067">
        <f>IFERROR(VLOOKUP($A78,'2018'!$A:$BB,10,FALSE),"")</f>
        <v>43101</v>
      </c>
      <c r="N78" s="1062">
        <f>IFERROR(VLOOKUP($A78,'2018'!$A:$BB,12,FALSE),"")</f>
        <v>10</v>
      </c>
      <c r="O78" s="1055" t="str">
        <f>IFERROR(VLOOKUP($A78,'2018'!$A:$BB,13,FALSE),"")</f>
        <v xml:space="preserve">IGOE </v>
      </c>
      <c r="P78" s="1055" t="str">
        <f>IFERROR(VLOOKUP($A78,'2018'!$A:$BB,14,FALSE),"")</f>
        <v>Maestro</v>
      </c>
      <c r="Q78" s="1055" t="str">
        <f>IFERROR(VLOOKUP($A78,'2018'!$A:$BB,16,FALSE),"")</f>
        <v>N/A</v>
      </c>
      <c r="R78" s="1055" t="str">
        <f>IFERROR(VLOOKUP($A78,'2018'!$A:$BB,17,FALSE),"")</f>
        <v>Optum Health</v>
      </c>
      <c r="S78" s="1062" t="str">
        <f>IFERROR(VLOOKUP($A78,'2018'!$A:$BB,20,FALSE),"")</f>
        <v>SCAL</v>
      </c>
      <c r="T78" s="1062" t="str">
        <f>IFERROR(VLOOKUP($A78,'2018'!$A:$BB,21,FALSE),"")</f>
        <v>Group B (34-44)</v>
      </c>
      <c r="U78" s="1062" t="str">
        <f>IFERROR(VLOOKUP($A78,'2018'!$A:$BB,22,FALSE),"")</f>
        <v>Expanded</v>
      </c>
      <c r="V78" s="1062" t="str">
        <f>IFERROR(VLOOKUP($A78,'2018'!$A:$BB,23,FALSE),"")</f>
        <v>Advantage</v>
      </c>
      <c r="W78" s="1062" t="str">
        <f>IFERROR(VLOOKUP($A78,'2018'!$A:$BB,24,FALSE),"")</f>
        <v>No</v>
      </c>
      <c r="X78" s="1062" t="str">
        <f>IFERROR(VLOOKUP($A78,'2018'!$A:$BB,41,FALSE),"")</f>
        <v>Region 2</v>
      </c>
      <c r="Y78" s="1062" t="str">
        <f>IFERROR(VLOOKUP($A78,'2018'!$A:$BB,42,FALSE),"")</f>
        <v>(10-24)</v>
      </c>
      <c r="Z78" s="1062" t="str">
        <f>IFERROR(VLOOKUP($A78,'2018'!$A:$BB,45,FALSE),"")</f>
        <v xml:space="preserve"> (2-49)</v>
      </c>
      <c r="AA78" s="731">
        <v>2018</v>
      </c>
      <c r="AB78" s="733" t="s">
        <v>3797</v>
      </c>
      <c r="AC78" s="734" t="s">
        <v>317</v>
      </c>
      <c r="AD78" s="734" t="s">
        <v>3648</v>
      </c>
      <c r="AE78" s="734" t="s">
        <v>307</v>
      </c>
      <c r="AF78" s="734" t="s">
        <v>113</v>
      </c>
      <c r="AG78" s="732" t="s">
        <v>3972</v>
      </c>
      <c r="AH78" s="732" t="s">
        <v>3973</v>
      </c>
      <c r="AI78" s="734">
        <v>7</v>
      </c>
      <c r="AJ78" s="748" t="s">
        <v>4001</v>
      </c>
      <c r="AK78" s="757">
        <v>909678</v>
      </c>
      <c r="AL78" s="756">
        <v>337</v>
      </c>
      <c r="AM78" s="755">
        <v>909678</v>
      </c>
      <c r="AN78" s="756">
        <v>338</v>
      </c>
      <c r="AO78" s="776">
        <f t="shared" ref="AO78:AO81" si="17">AM78</f>
        <v>909678</v>
      </c>
      <c r="AP78" s="754">
        <f t="shared" si="1"/>
        <v>339</v>
      </c>
      <c r="AQ78" s="771" t="s">
        <v>3979</v>
      </c>
      <c r="AR78" s="732" t="s">
        <v>2661</v>
      </c>
      <c r="AS78" s="735"/>
      <c r="AT78" s="735"/>
      <c r="AU78" s="732" t="s">
        <v>3980</v>
      </c>
      <c r="AV78" s="735"/>
      <c r="AW78" s="735"/>
    </row>
    <row r="79" spans="1:49">
      <c r="A79" s="736" t="s">
        <v>1320</v>
      </c>
      <c r="B79" s="736" t="s">
        <v>4032</v>
      </c>
      <c r="C79" s="736"/>
      <c r="D79" s="736" t="s">
        <v>4180</v>
      </c>
      <c r="E79" s="736" t="s">
        <v>4180</v>
      </c>
      <c r="F79" s="1059">
        <f>IFERROR(VLOOKUP($A79,'2018'!$A:$BB,3,FALSE),"")</f>
        <v>261133046</v>
      </c>
      <c r="G79" s="1055" t="str">
        <f>IFERROR(VLOOKUP($A79,'2018'!$A:$BB,4,FALSE),"")</f>
        <v>2223 Avenida De La Playa, 
Ste 205, La Jolla CA 92037</v>
      </c>
      <c r="H79" s="1055" t="str">
        <f>IFERROR(VLOOKUP($A79,'2018'!$A:$BB,5,FALSE),"")</f>
        <v>Alyssa Lochbaum
619.607.1107
Alyssa@BirdRockBio.com</v>
      </c>
      <c r="I79" s="1055" t="str">
        <f>IFERROR(VLOOKUP($A79,'2018'!$A:$BB,6,FALSE),"")</f>
        <v>Kenneth Huang
858-587-4926
kenneth@birdrockbio.com</v>
      </c>
      <c r="J79" s="1055" t="str">
        <f>IFERROR(VLOOKUP($A79,'2018'!$A:$BB,7,FALSE),"")</f>
        <v>HUB (San Diego)</v>
      </c>
      <c r="K79" s="1055" t="str">
        <f>IFERROR(VLOOKUP($A79,'2018'!$A:$BB,8,FALSE),"")</f>
        <v xml:space="preserve">Account Managed by HUB SD Team
Producer - Neal Cook
Service Lead - Pam Andrakowicz
</v>
      </c>
      <c r="L79" s="1062" t="str">
        <f>IFERROR(VLOOKUP($A79,'2018'!$A:$BB,9,FALSE),"")</f>
        <v>New</v>
      </c>
      <c r="M79" s="1067">
        <f>IFERROR(VLOOKUP($A79,'2018'!$A:$BB,10,FALSE),"")</f>
        <v>43101</v>
      </c>
      <c r="N79" s="1062">
        <f>IFERROR(VLOOKUP($A79,'2018'!$A:$BB,12,FALSE),"")</f>
        <v>10</v>
      </c>
      <c r="O79" s="1055" t="str">
        <f>IFERROR(VLOOKUP($A79,'2018'!$A:$BB,13,FALSE),"")</f>
        <v xml:space="preserve">IGOE </v>
      </c>
      <c r="P79" s="1055" t="str">
        <f>IFERROR(VLOOKUP($A79,'2018'!$A:$BB,14,FALSE),"")</f>
        <v>Maestro</v>
      </c>
      <c r="Q79" s="1055" t="str">
        <f>IFERROR(VLOOKUP($A79,'2018'!$A:$BB,16,FALSE),"")</f>
        <v>N/A</v>
      </c>
      <c r="R79" s="1055" t="str">
        <f>IFERROR(VLOOKUP($A79,'2018'!$A:$BB,17,FALSE),"")</f>
        <v>Optum Health</v>
      </c>
      <c r="S79" s="1062" t="str">
        <f>IFERROR(VLOOKUP($A79,'2018'!$A:$BB,20,FALSE),"")</f>
        <v>SCAL</v>
      </c>
      <c r="T79" s="1062" t="str">
        <f>IFERROR(VLOOKUP($A79,'2018'!$A:$BB,21,FALSE),"")</f>
        <v>Group B (34-44)</v>
      </c>
      <c r="U79" s="1062" t="str">
        <f>IFERROR(VLOOKUP($A79,'2018'!$A:$BB,22,FALSE),"")</f>
        <v>Expanded</v>
      </c>
      <c r="V79" s="1062" t="str">
        <f>IFERROR(VLOOKUP($A79,'2018'!$A:$BB,23,FALSE),"")</f>
        <v>Advantage</v>
      </c>
      <c r="W79" s="1062" t="str">
        <f>IFERROR(VLOOKUP($A79,'2018'!$A:$BB,24,FALSE),"")</f>
        <v>No</v>
      </c>
      <c r="X79" s="1062" t="str">
        <f>IFERROR(VLOOKUP($A79,'2018'!$A:$BB,41,FALSE),"")</f>
        <v>Region 2</v>
      </c>
      <c r="Y79" s="1062" t="str">
        <f>IFERROR(VLOOKUP($A79,'2018'!$A:$BB,42,FALSE),"")</f>
        <v>(10-24)</v>
      </c>
      <c r="Z79" s="1062" t="str">
        <f>IFERROR(VLOOKUP($A79,'2018'!$A:$BB,45,FALSE),"")</f>
        <v xml:space="preserve"> (2-49)</v>
      </c>
      <c r="AA79" s="731">
        <v>2018</v>
      </c>
      <c r="AB79" s="733" t="s">
        <v>3797</v>
      </c>
      <c r="AC79" s="734" t="s">
        <v>317</v>
      </c>
      <c r="AD79" s="734" t="s">
        <v>3648</v>
      </c>
      <c r="AE79" s="734" t="s">
        <v>307</v>
      </c>
      <c r="AF79" s="734" t="s">
        <v>113</v>
      </c>
      <c r="AG79" s="732" t="s">
        <v>3972</v>
      </c>
      <c r="AH79" s="732" t="s">
        <v>3977</v>
      </c>
      <c r="AI79" s="734">
        <v>13</v>
      </c>
      <c r="AJ79" s="748" t="s">
        <v>4004</v>
      </c>
      <c r="AK79" s="757">
        <v>909678</v>
      </c>
      <c r="AL79" s="756">
        <v>589</v>
      </c>
      <c r="AM79" s="755">
        <v>909678</v>
      </c>
      <c r="AN79" s="756">
        <v>590</v>
      </c>
      <c r="AO79" s="776">
        <f t="shared" si="17"/>
        <v>909678</v>
      </c>
      <c r="AP79" s="754">
        <f t="shared" si="1"/>
        <v>591</v>
      </c>
      <c r="AQ79" s="771" t="s">
        <v>3979</v>
      </c>
      <c r="AR79" s="732" t="s">
        <v>2661</v>
      </c>
      <c r="AS79" s="735"/>
      <c r="AT79" s="735"/>
      <c r="AU79" s="732" t="s">
        <v>3980</v>
      </c>
      <c r="AV79" s="735"/>
      <c r="AW79" s="735"/>
    </row>
    <row r="80" spans="1:49">
      <c r="A80" s="736" t="s">
        <v>1320</v>
      </c>
      <c r="B80" s="738" t="s">
        <v>4032</v>
      </c>
      <c r="C80" s="738"/>
      <c r="D80" s="738" t="s">
        <v>4180</v>
      </c>
      <c r="E80" s="738" t="s">
        <v>4180</v>
      </c>
      <c r="F80" s="1059">
        <f>IFERROR(VLOOKUP($A80,'2018'!$A:$BB,3,FALSE),"")</f>
        <v>261133046</v>
      </c>
      <c r="G80" s="1055" t="str">
        <f>IFERROR(VLOOKUP($A80,'2018'!$A:$BB,4,FALSE),"")</f>
        <v>2223 Avenida De La Playa, 
Ste 205, La Jolla CA 92037</v>
      </c>
      <c r="H80" s="1055" t="str">
        <f>IFERROR(VLOOKUP($A80,'2018'!$A:$BB,5,FALSE),"")</f>
        <v>Alyssa Lochbaum
619.607.1107
Alyssa@BirdRockBio.com</v>
      </c>
      <c r="I80" s="1055" t="str">
        <f>IFERROR(VLOOKUP($A80,'2018'!$A:$BB,6,FALSE),"")</f>
        <v>Kenneth Huang
858-587-4926
kenneth@birdrockbio.com</v>
      </c>
      <c r="J80" s="1055" t="str">
        <f>IFERROR(VLOOKUP($A80,'2018'!$A:$BB,7,FALSE),"")</f>
        <v>HUB (San Diego)</v>
      </c>
      <c r="K80" s="1055" t="str">
        <f>IFERROR(VLOOKUP($A80,'2018'!$A:$BB,8,FALSE),"")</f>
        <v xml:space="preserve">Account Managed by HUB SD Team
Producer - Neal Cook
Service Lead - Pam Andrakowicz
</v>
      </c>
      <c r="L80" s="1062" t="str">
        <f>IFERROR(VLOOKUP($A80,'2018'!$A:$BB,9,FALSE),"")</f>
        <v>New</v>
      </c>
      <c r="M80" s="1067">
        <f>IFERROR(VLOOKUP($A80,'2018'!$A:$BB,10,FALSE),"")</f>
        <v>43101</v>
      </c>
      <c r="N80" s="1062">
        <f>IFERROR(VLOOKUP($A80,'2018'!$A:$BB,12,FALSE),"")</f>
        <v>10</v>
      </c>
      <c r="O80" s="1055" t="str">
        <f>IFERROR(VLOOKUP($A80,'2018'!$A:$BB,13,FALSE),"")</f>
        <v xml:space="preserve">IGOE </v>
      </c>
      <c r="P80" s="1055" t="str">
        <f>IFERROR(VLOOKUP($A80,'2018'!$A:$BB,14,FALSE),"")</f>
        <v>Maestro</v>
      </c>
      <c r="Q80" s="1055" t="str">
        <f>IFERROR(VLOOKUP($A80,'2018'!$A:$BB,16,FALSE),"")</f>
        <v>N/A</v>
      </c>
      <c r="R80" s="1055" t="str">
        <f>IFERROR(VLOOKUP($A80,'2018'!$A:$BB,17,FALSE),"")</f>
        <v>Optum Health</v>
      </c>
      <c r="S80" s="1062" t="str">
        <f>IFERROR(VLOOKUP($A80,'2018'!$A:$BB,20,FALSE),"")</f>
        <v>SCAL</v>
      </c>
      <c r="T80" s="1062" t="str">
        <f>IFERROR(VLOOKUP($A80,'2018'!$A:$BB,21,FALSE),"")</f>
        <v>Group B (34-44)</v>
      </c>
      <c r="U80" s="1062" t="str">
        <f>IFERROR(VLOOKUP($A80,'2018'!$A:$BB,22,FALSE),"")</f>
        <v>Expanded</v>
      </c>
      <c r="V80" s="1062" t="str">
        <f>IFERROR(VLOOKUP($A80,'2018'!$A:$BB,23,FALSE),"")</f>
        <v>Advantage</v>
      </c>
      <c r="W80" s="1062" t="str">
        <f>IFERROR(VLOOKUP($A80,'2018'!$A:$BB,24,FALSE),"")</f>
        <v>No</v>
      </c>
      <c r="X80" s="1062" t="str">
        <f>IFERROR(VLOOKUP($A80,'2018'!$A:$BB,41,FALSE),"")</f>
        <v>Region 2</v>
      </c>
      <c r="Y80" s="1062" t="str">
        <f>IFERROR(VLOOKUP($A80,'2018'!$A:$BB,42,FALSE),"")</f>
        <v>(10-24)</v>
      </c>
      <c r="Z80" s="1062" t="str">
        <f>IFERROR(VLOOKUP($A80,'2018'!$A:$BB,45,FALSE),"")</f>
        <v xml:space="preserve"> (2-49)</v>
      </c>
      <c r="AA80" s="730">
        <v>2018</v>
      </c>
      <c r="AB80" s="728" t="s">
        <v>3797</v>
      </c>
      <c r="AC80" s="727" t="s">
        <v>317</v>
      </c>
      <c r="AD80" s="727" t="s">
        <v>3648</v>
      </c>
      <c r="AE80" s="727" t="s">
        <v>307</v>
      </c>
      <c r="AF80" s="727" t="s">
        <v>113</v>
      </c>
      <c r="AG80" s="726" t="s">
        <v>3981</v>
      </c>
      <c r="AH80" s="726" t="s">
        <v>3973</v>
      </c>
      <c r="AI80" s="727">
        <v>11</v>
      </c>
      <c r="AJ80" s="747" t="s">
        <v>3982</v>
      </c>
      <c r="AK80" s="757">
        <v>909678</v>
      </c>
      <c r="AL80" s="756">
        <v>481</v>
      </c>
      <c r="AM80" s="755">
        <v>909678</v>
      </c>
      <c r="AN80" s="756">
        <v>482</v>
      </c>
      <c r="AO80" s="776">
        <f t="shared" si="17"/>
        <v>909678</v>
      </c>
      <c r="AP80" s="754">
        <f t="shared" si="1"/>
        <v>483</v>
      </c>
      <c r="AQ80" s="770"/>
      <c r="AR80" s="726" t="s">
        <v>2661</v>
      </c>
      <c r="AS80" s="726" t="s">
        <v>3983</v>
      </c>
      <c r="AT80" s="726">
        <v>4810481</v>
      </c>
      <c r="AU80" s="726" t="s">
        <v>3966</v>
      </c>
      <c r="AV80" s="726" t="s">
        <v>4033</v>
      </c>
      <c r="AW80" s="726">
        <v>4820482</v>
      </c>
    </row>
    <row r="81" spans="1:49">
      <c r="A81" s="736" t="s">
        <v>1320</v>
      </c>
      <c r="B81" s="736" t="s">
        <v>4032</v>
      </c>
      <c r="C81" s="736"/>
      <c r="D81" s="736" t="s">
        <v>4180</v>
      </c>
      <c r="E81" s="736" t="s">
        <v>4180</v>
      </c>
      <c r="F81" s="1059">
        <f>IFERROR(VLOOKUP($A81,'2018'!$A:$BB,3,FALSE),"")</f>
        <v>261133046</v>
      </c>
      <c r="G81" s="1055" t="str">
        <f>IFERROR(VLOOKUP($A81,'2018'!$A:$BB,4,FALSE),"")</f>
        <v>2223 Avenida De La Playa, 
Ste 205, La Jolla CA 92037</v>
      </c>
      <c r="H81" s="1055" t="str">
        <f>IFERROR(VLOOKUP($A81,'2018'!$A:$BB,5,FALSE),"")</f>
        <v>Alyssa Lochbaum
619.607.1107
Alyssa@BirdRockBio.com</v>
      </c>
      <c r="I81" s="1055" t="str">
        <f>IFERROR(VLOOKUP($A81,'2018'!$A:$BB,6,FALSE),"")</f>
        <v>Kenneth Huang
858-587-4926
kenneth@birdrockbio.com</v>
      </c>
      <c r="J81" s="1055" t="str">
        <f>IFERROR(VLOOKUP($A81,'2018'!$A:$BB,7,FALSE),"")</f>
        <v>HUB (San Diego)</v>
      </c>
      <c r="K81" s="1055" t="str">
        <f>IFERROR(VLOOKUP($A81,'2018'!$A:$BB,8,FALSE),"")</f>
        <v xml:space="preserve">Account Managed by HUB SD Team
Producer - Neal Cook
Service Lead - Pam Andrakowicz
</v>
      </c>
      <c r="L81" s="1062" t="str">
        <f>IFERROR(VLOOKUP($A81,'2018'!$A:$BB,9,FALSE),"")</f>
        <v>New</v>
      </c>
      <c r="M81" s="1067">
        <f>IFERROR(VLOOKUP($A81,'2018'!$A:$BB,10,FALSE),"")</f>
        <v>43101</v>
      </c>
      <c r="N81" s="1062">
        <f>IFERROR(VLOOKUP($A81,'2018'!$A:$BB,12,FALSE),"")</f>
        <v>10</v>
      </c>
      <c r="O81" s="1055" t="str">
        <f>IFERROR(VLOOKUP($A81,'2018'!$A:$BB,13,FALSE),"")</f>
        <v xml:space="preserve">IGOE </v>
      </c>
      <c r="P81" s="1055" t="str">
        <f>IFERROR(VLOOKUP($A81,'2018'!$A:$BB,14,FALSE),"")</f>
        <v>Maestro</v>
      </c>
      <c r="Q81" s="1055" t="str">
        <f>IFERROR(VLOOKUP($A81,'2018'!$A:$BB,16,FALSE),"")</f>
        <v>N/A</v>
      </c>
      <c r="R81" s="1055" t="str">
        <f>IFERROR(VLOOKUP($A81,'2018'!$A:$BB,17,FALSE),"")</f>
        <v>Optum Health</v>
      </c>
      <c r="S81" s="1062" t="str">
        <f>IFERROR(VLOOKUP($A81,'2018'!$A:$BB,20,FALSE),"")</f>
        <v>SCAL</v>
      </c>
      <c r="T81" s="1062" t="str">
        <f>IFERROR(VLOOKUP($A81,'2018'!$A:$BB,21,FALSE),"")</f>
        <v>Group B (34-44)</v>
      </c>
      <c r="U81" s="1062" t="str">
        <f>IFERROR(VLOOKUP($A81,'2018'!$A:$BB,22,FALSE),"")</f>
        <v>Expanded</v>
      </c>
      <c r="V81" s="1062" t="str">
        <f>IFERROR(VLOOKUP($A81,'2018'!$A:$BB,23,FALSE),"")</f>
        <v>Advantage</v>
      </c>
      <c r="W81" s="1062" t="str">
        <f>IFERROR(VLOOKUP($A81,'2018'!$A:$BB,24,FALSE),"")</f>
        <v>No</v>
      </c>
      <c r="X81" s="1062" t="str">
        <f>IFERROR(VLOOKUP($A81,'2018'!$A:$BB,41,FALSE),"")</f>
        <v>Region 2</v>
      </c>
      <c r="Y81" s="1062" t="str">
        <f>IFERROR(VLOOKUP($A81,'2018'!$A:$BB,42,FALSE),"")</f>
        <v>(10-24)</v>
      </c>
      <c r="Z81" s="1062" t="str">
        <f>IFERROR(VLOOKUP($A81,'2018'!$A:$BB,45,FALSE),"")</f>
        <v xml:space="preserve"> (2-49)</v>
      </c>
      <c r="AA81" s="731">
        <v>2018</v>
      </c>
      <c r="AB81" s="733" t="s">
        <v>3797</v>
      </c>
      <c r="AC81" s="734" t="s">
        <v>317</v>
      </c>
      <c r="AD81" s="734" t="s">
        <v>3648</v>
      </c>
      <c r="AE81" s="734" t="s">
        <v>307</v>
      </c>
      <c r="AF81" s="734" t="s">
        <v>113</v>
      </c>
      <c r="AG81" s="732" t="s">
        <v>3981</v>
      </c>
      <c r="AH81" s="732" t="s">
        <v>3977</v>
      </c>
      <c r="AI81" s="734">
        <v>16</v>
      </c>
      <c r="AJ81" s="748" t="s">
        <v>3985</v>
      </c>
      <c r="AK81" s="757">
        <v>909678</v>
      </c>
      <c r="AL81" s="756">
        <v>733</v>
      </c>
      <c r="AM81" s="755">
        <v>909678</v>
      </c>
      <c r="AN81" s="756">
        <v>734</v>
      </c>
      <c r="AO81" s="776">
        <f t="shared" si="17"/>
        <v>909678</v>
      </c>
      <c r="AP81" s="754">
        <f t="shared" si="1"/>
        <v>735</v>
      </c>
      <c r="AQ81" s="771" t="s">
        <v>3979</v>
      </c>
      <c r="AR81" s="732" t="s">
        <v>2661</v>
      </c>
      <c r="AS81" s="735"/>
      <c r="AT81" s="735"/>
      <c r="AU81" s="732" t="s">
        <v>3980</v>
      </c>
      <c r="AV81" s="735"/>
      <c r="AW81" s="735"/>
    </row>
    <row r="82" spans="1:49">
      <c r="A82" s="738"/>
      <c r="B82" s="738"/>
      <c r="C82" s="738"/>
      <c r="D82" s="738"/>
      <c r="E82" s="738"/>
      <c r="F82" s="1059" t="str">
        <f>IFERROR(VLOOKUP($A82,'2018'!$A:$BB,3,FALSE),"")</f>
        <v/>
      </c>
      <c r="G82" s="1055" t="str">
        <f>IFERROR(VLOOKUP($A82,'2018'!$A:$BB,4,FALSE),"")</f>
        <v/>
      </c>
      <c r="H82" s="1055" t="str">
        <f>IFERROR(VLOOKUP($A82,'2018'!$A:$BB,5,FALSE),"")</f>
        <v/>
      </c>
      <c r="I82" s="1055" t="str">
        <f>IFERROR(VLOOKUP($A82,'2018'!$A:$BB,6,FALSE),"")</f>
        <v/>
      </c>
      <c r="J82" s="1055" t="str">
        <f>IFERROR(VLOOKUP($A82,'2018'!$A:$BB,7,FALSE),"")</f>
        <v/>
      </c>
      <c r="K82" s="1055" t="str">
        <f>IFERROR(VLOOKUP($A82,'2018'!$A:$BB,8,FALSE),"")</f>
        <v/>
      </c>
      <c r="L82" s="1062" t="str">
        <f>IFERROR(VLOOKUP($A82,'2018'!$A:$BB,9,FALSE),"")</f>
        <v/>
      </c>
      <c r="M82" s="1067" t="str">
        <f>IFERROR(VLOOKUP($A82,'2018'!$A:$BB,10,FALSE),"")</f>
        <v/>
      </c>
      <c r="N82" s="1062" t="str">
        <f>IFERROR(VLOOKUP($A82,'2018'!$A:$BB,12,FALSE),"")</f>
        <v/>
      </c>
      <c r="O82" s="1055" t="str">
        <f>IFERROR(VLOOKUP($A82,'2018'!$A:$BB,13,FALSE),"")</f>
        <v/>
      </c>
      <c r="P82" s="1055" t="str">
        <f>IFERROR(VLOOKUP($A82,'2018'!$A:$BB,14,FALSE),"")</f>
        <v/>
      </c>
      <c r="Q82" s="1055" t="str">
        <f>IFERROR(VLOOKUP($A82,'2018'!$A:$BB,16,FALSE),"")</f>
        <v/>
      </c>
      <c r="R82" s="1055" t="str">
        <f>IFERROR(VLOOKUP($A82,'2018'!$A:$BB,17,FALSE),"")</f>
        <v/>
      </c>
      <c r="S82" s="1062" t="str">
        <f>IFERROR(VLOOKUP($A82,'2018'!$A:$BB,20,FALSE),"")</f>
        <v/>
      </c>
      <c r="T82" s="1062" t="str">
        <f>IFERROR(VLOOKUP($A82,'2018'!$A:$BB,21,FALSE),"")</f>
        <v/>
      </c>
      <c r="U82" s="1062" t="str">
        <f>IFERROR(VLOOKUP($A82,'2018'!$A:$BB,22,FALSE),"")</f>
        <v/>
      </c>
      <c r="V82" s="1062" t="str">
        <f>IFERROR(VLOOKUP($A82,'2018'!$A:$BB,23,FALSE),"")</f>
        <v/>
      </c>
      <c r="W82" s="1062" t="str">
        <f>IFERROR(VLOOKUP($A82,'2018'!$A:$BB,24,FALSE),"")</f>
        <v/>
      </c>
      <c r="X82" s="1062" t="str">
        <f>IFERROR(VLOOKUP($A82,'2018'!$A:$BB,41,FALSE),"")</f>
        <v/>
      </c>
      <c r="Y82" s="1062" t="str">
        <f>IFERROR(VLOOKUP($A82,'2018'!$A:$BB,42,FALSE),"")</f>
        <v/>
      </c>
      <c r="Z82" s="1062" t="str">
        <f>IFERROR(VLOOKUP($A82,'2018'!$A:$BB,45,FALSE),"")</f>
        <v/>
      </c>
      <c r="AA82" s="727"/>
      <c r="AB82" s="728"/>
      <c r="AC82" s="727"/>
      <c r="AD82" s="727"/>
      <c r="AE82" s="727"/>
      <c r="AF82" s="727"/>
      <c r="AG82" s="726"/>
      <c r="AH82" s="726"/>
      <c r="AI82" s="727"/>
      <c r="AJ82" s="747"/>
      <c r="AK82" s="753"/>
      <c r="AL82" s="756"/>
      <c r="AM82" s="758"/>
      <c r="AN82" s="756"/>
      <c r="AO82" s="776"/>
      <c r="AP82" s="754"/>
      <c r="AQ82" s="770"/>
      <c r="AR82" s="726"/>
      <c r="AS82" s="726"/>
      <c r="AT82" s="726"/>
      <c r="AU82" s="726"/>
      <c r="AV82" s="726"/>
      <c r="AW82" s="726"/>
    </row>
    <row r="83" spans="1:49">
      <c r="A83" s="738" t="s">
        <v>118</v>
      </c>
      <c r="B83" s="738" t="s">
        <v>3718</v>
      </c>
      <c r="C83" s="738" t="s">
        <v>118</v>
      </c>
      <c r="D83" s="968" t="s">
        <v>118</v>
      </c>
      <c r="E83" s="968" t="s">
        <v>3718</v>
      </c>
      <c r="F83" s="1059">
        <f>IFERROR(VLOOKUP($A83,'2018'!$A:$BB,3,FALSE),"")</f>
        <v>473226523</v>
      </c>
      <c r="G83" s="1055" t="str">
        <f>IFERROR(VLOOKUP($A83,'2018'!$A:$BB,4,FALSE),"")</f>
        <v xml:space="preserve">9191 Towne Centre Drive 
Suite 450 
San Diego, CA 92122 </v>
      </c>
      <c r="H83" s="1055" t="str">
        <f>IFERROR(VLOOKUP($A83,'2018'!$A:$BB,5,FALSE),"")</f>
        <v xml:space="preserve">Cheryl St. Cyr
858 456-8882
CStcyr@CALifeSciences.org </v>
      </c>
      <c r="I83" s="1055" t="str">
        <f>IFERROR(VLOOKUP($A83,'2018'!$A:$BB,6,FALSE),"")</f>
        <v xml:space="preserve">Jocelyn Mancio
650-871-3263
ap@califesciences.org </v>
      </c>
      <c r="J83" s="1055" t="str">
        <f>IFERROR(VLOOKUP($A83,'2018'!$A:$BB,7,FALSE),"")</f>
        <v>HUB (San Diego)</v>
      </c>
      <c r="K83" s="1055" t="str">
        <f>IFERROR(VLOOKUP($A83,'2018'!$A:$BB,8,FALSE),"")</f>
        <v>Account Managed by HUB SD Team
Producer - Dave Duenas
Service Lead - Katherine Tomline</v>
      </c>
      <c r="L83" s="1062" t="str">
        <f>IFERROR(VLOOKUP($A83,'2018'!$A:$BB,9,FALSE),"")</f>
        <v>Renewal</v>
      </c>
      <c r="M83" s="1067">
        <f>IFERROR(VLOOKUP($A83,'2018'!$A:$BB,10,FALSE),"")</f>
        <v>42370</v>
      </c>
      <c r="N83" s="1062">
        <f>IFERROR(VLOOKUP($A83,'2018'!$A:$BB,12,FALSE),"")</f>
        <v>32</v>
      </c>
      <c r="O83" s="1055" t="str">
        <f>IFERROR(VLOOKUP($A83,'2018'!$A:$BB,13,FALSE),"")</f>
        <v xml:space="preserve">IGOE </v>
      </c>
      <c r="P83" s="1055" t="str">
        <f>IFERROR(VLOOKUP($A83,'2018'!$A:$BB,14,FALSE),"")</f>
        <v>Maestro</v>
      </c>
      <c r="Q83" s="1055" t="str">
        <f>IFERROR(VLOOKUP($A83,'2018'!$A:$BB,16,FALSE),"")</f>
        <v>IGOE</v>
      </c>
      <c r="R83" s="1055" t="str">
        <f>IFERROR(VLOOKUP($A83,'2018'!$A:$BB,17,FALSE),"")</f>
        <v>Optum Health</v>
      </c>
      <c r="S83" s="1062" t="str">
        <f>IFERROR(VLOOKUP($A83,'2018'!$A:$BB,20,FALSE),"")</f>
        <v>SCAL</v>
      </c>
      <c r="T83" s="1062" t="str">
        <f>IFERROR(VLOOKUP($A83,'2018'!$A:$BB,21,FALSE),"")</f>
        <v>Group B (34-44)</v>
      </c>
      <c r="U83" s="1062" t="str">
        <f>IFERROR(VLOOKUP($A83,'2018'!$A:$BB,22,FALSE),"")</f>
        <v>Expanded</v>
      </c>
      <c r="V83" s="1062" t="str">
        <f>IFERROR(VLOOKUP($A83,'2018'!$A:$BB,23,FALSE),"")</f>
        <v>Access</v>
      </c>
      <c r="W83" s="1062" t="str">
        <f>IFERROR(VLOOKUP($A83,'2018'!$A:$BB,24,FALSE),"")</f>
        <v>No</v>
      </c>
      <c r="X83" s="1062" t="str">
        <f>IFERROR(VLOOKUP($A83,'2018'!$A:$BB,41,FALSE),"")</f>
        <v xml:space="preserve">Region 2 </v>
      </c>
      <c r="Y83" s="1062" t="str">
        <f>IFERROR(VLOOKUP($A83,'2018'!$A:$BB,42,FALSE),"")</f>
        <v>(25-49)</v>
      </c>
      <c r="Z83" s="1062" t="str">
        <f>IFERROR(VLOOKUP($A83,'2018'!$A:$BB,45,FALSE),"")</f>
        <v xml:space="preserve"> (2-49)</v>
      </c>
      <c r="AA83" s="730">
        <v>2018</v>
      </c>
      <c r="AB83" s="728" t="s">
        <v>3816</v>
      </c>
      <c r="AC83" s="727" t="s">
        <v>317</v>
      </c>
      <c r="AD83" s="727" t="s">
        <v>3648</v>
      </c>
      <c r="AE83" s="727" t="s">
        <v>315</v>
      </c>
      <c r="AF83" s="727" t="s">
        <v>113</v>
      </c>
      <c r="AG83" s="726" t="s">
        <v>3962</v>
      </c>
      <c r="AH83" s="726" t="s">
        <v>3963</v>
      </c>
      <c r="AI83" s="727">
        <v>2</v>
      </c>
      <c r="AJ83" s="747" t="s">
        <v>3964</v>
      </c>
      <c r="AK83" s="753">
        <v>260089</v>
      </c>
      <c r="AL83" s="756">
        <v>190</v>
      </c>
      <c r="AM83" s="758">
        <v>260090</v>
      </c>
      <c r="AN83" s="756">
        <v>191</v>
      </c>
      <c r="AO83" s="776">
        <f t="shared" si="0"/>
        <v>260091</v>
      </c>
      <c r="AP83" s="754">
        <f t="shared" si="1"/>
        <v>192</v>
      </c>
      <c r="AQ83" s="770"/>
      <c r="AR83" s="726" t="s">
        <v>2661</v>
      </c>
      <c r="AS83" s="726" t="s">
        <v>3965</v>
      </c>
      <c r="AT83" s="726">
        <v>1900190</v>
      </c>
      <c r="AU83" s="726" t="s">
        <v>3966</v>
      </c>
      <c r="AV83" s="726" t="s">
        <v>4034</v>
      </c>
      <c r="AW83" s="726">
        <v>1910191</v>
      </c>
    </row>
    <row r="84" spans="1:49">
      <c r="A84" s="738" t="s">
        <v>118</v>
      </c>
      <c r="B84" s="738" t="s">
        <v>3718</v>
      </c>
      <c r="C84" s="738" t="s">
        <v>118</v>
      </c>
      <c r="D84" s="968" t="s">
        <v>118</v>
      </c>
      <c r="E84" s="968" t="s">
        <v>3718</v>
      </c>
      <c r="F84" s="1059">
        <f>IFERROR(VLOOKUP($A84,'2018'!$A:$BB,3,FALSE),"")</f>
        <v>473226523</v>
      </c>
      <c r="G84" s="1055" t="str">
        <f>IFERROR(VLOOKUP($A84,'2018'!$A:$BB,4,FALSE),"")</f>
        <v xml:space="preserve">9191 Towne Centre Drive 
Suite 450 
San Diego, CA 92122 </v>
      </c>
      <c r="H84" s="1055" t="str">
        <f>IFERROR(VLOOKUP($A84,'2018'!$A:$BB,5,FALSE),"")</f>
        <v xml:space="preserve">Cheryl St. Cyr
858 456-8882
CStcyr@CALifeSciences.org </v>
      </c>
      <c r="I84" s="1055" t="str">
        <f>IFERROR(VLOOKUP($A84,'2018'!$A:$BB,6,FALSE),"")</f>
        <v xml:space="preserve">Jocelyn Mancio
650-871-3263
ap@califesciences.org </v>
      </c>
      <c r="J84" s="1055" t="str">
        <f>IFERROR(VLOOKUP($A84,'2018'!$A:$BB,7,FALSE),"")</f>
        <v>HUB (San Diego)</v>
      </c>
      <c r="K84" s="1055" t="str">
        <f>IFERROR(VLOOKUP($A84,'2018'!$A:$BB,8,FALSE),"")</f>
        <v>Account Managed by HUB SD Team
Producer - Dave Duenas
Service Lead - Katherine Tomline</v>
      </c>
      <c r="L84" s="1062" t="str">
        <f>IFERROR(VLOOKUP($A84,'2018'!$A:$BB,9,FALSE),"")</f>
        <v>Renewal</v>
      </c>
      <c r="M84" s="1067">
        <f>IFERROR(VLOOKUP($A84,'2018'!$A:$BB,10,FALSE),"")</f>
        <v>42370</v>
      </c>
      <c r="N84" s="1062">
        <f>IFERROR(VLOOKUP($A84,'2018'!$A:$BB,12,FALSE),"")</f>
        <v>32</v>
      </c>
      <c r="O84" s="1055" t="str">
        <f>IFERROR(VLOOKUP($A84,'2018'!$A:$BB,13,FALSE),"")</f>
        <v xml:space="preserve">IGOE </v>
      </c>
      <c r="P84" s="1055" t="str">
        <f>IFERROR(VLOOKUP($A84,'2018'!$A:$BB,14,FALSE),"")</f>
        <v>Maestro</v>
      </c>
      <c r="Q84" s="1055" t="str">
        <f>IFERROR(VLOOKUP($A84,'2018'!$A:$BB,16,FALSE),"")</f>
        <v>IGOE</v>
      </c>
      <c r="R84" s="1055" t="str">
        <f>IFERROR(VLOOKUP($A84,'2018'!$A:$BB,17,FALSE),"")</f>
        <v>Optum Health</v>
      </c>
      <c r="S84" s="1062" t="str">
        <f>IFERROR(VLOOKUP($A84,'2018'!$A:$BB,20,FALSE),"")</f>
        <v>SCAL</v>
      </c>
      <c r="T84" s="1062" t="str">
        <f>IFERROR(VLOOKUP($A84,'2018'!$A:$BB,21,FALSE),"")</f>
        <v>Group B (34-44)</v>
      </c>
      <c r="U84" s="1062" t="str">
        <f>IFERROR(VLOOKUP($A84,'2018'!$A:$BB,22,FALSE),"")</f>
        <v>Expanded</v>
      </c>
      <c r="V84" s="1062" t="str">
        <f>IFERROR(VLOOKUP($A84,'2018'!$A:$BB,23,FALSE),"")</f>
        <v>Access</v>
      </c>
      <c r="W84" s="1062" t="str">
        <f>IFERROR(VLOOKUP($A84,'2018'!$A:$BB,24,FALSE),"")</f>
        <v>No</v>
      </c>
      <c r="X84" s="1062" t="str">
        <f>IFERROR(VLOOKUP($A84,'2018'!$A:$BB,41,FALSE),"")</f>
        <v xml:space="preserve">Region 2 </v>
      </c>
      <c r="Y84" s="1062" t="str">
        <f>IFERROR(VLOOKUP($A84,'2018'!$A:$BB,42,FALSE),"")</f>
        <v>(25-49)</v>
      </c>
      <c r="Z84" s="1062" t="str">
        <f>IFERROR(VLOOKUP($A84,'2018'!$A:$BB,45,FALSE),"")</f>
        <v xml:space="preserve"> (2-49)</v>
      </c>
      <c r="AA84" s="730">
        <v>2018</v>
      </c>
      <c r="AB84" s="728" t="s">
        <v>3816</v>
      </c>
      <c r="AC84" s="727" t="s">
        <v>317</v>
      </c>
      <c r="AD84" s="727" t="s">
        <v>3648</v>
      </c>
      <c r="AE84" s="727" t="s">
        <v>315</v>
      </c>
      <c r="AF84" s="727" t="s">
        <v>113</v>
      </c>
      <c r="AG84" s="726" t="s">
        <v>3972</v>
      </c>
      <c r="AH84" s="726" t="s">
        <v>3973</v>
      </c>
      <c r="AI84" s="727">
        <v>7</v>
      </c>
      <c r="AJ84" s="747" t="s">
        <v>4001</v>
      </c>
      <c r="AK84" s="757">
        <v>909678</v>
      </c>
      <c r="AL84" s="756">
        <v>913</v>
      </c>
      <c r="AM84" s="755">
        <v>909678</v>
      </c>
      <c r="AN84" s="756">
        <v>914</v>
      </c>
      <c r="AO84" s="776">
        <f t="shared" ref="AO84:AO87" si="18">AM84</f>
        <v>909678</v>
      </c>
      <c r="AP84" s="754">
        <f t="shared" si="1"/>
        <v>915</v>
      </c>
      <c r="AQ84" s="770"/>
      <c r="AR84" s="726" t="s">
        <v>2661</v>
      </c>
      <c r="AS84" s="726" t="s">
        <v>4002</v>
      </c>
      <c r="AT84" s="736">
        <v>9130913</v>
      </c>
      <c r="AU84" s="732" t="s">
        <v>3966</v>
      </c>
      <c r="AV84" s="732" t="s">
        <v>4035</v>
      </c>
      <c r="AW84" s="736">
        <v>9140914</v>
      </c>
    </row>
    <row r="85" spans="1:49">
      <c r="A85" s="738" t="s">
        <v>118</v>
      </c>
      <c r="B85" s="736" t="s">
        <v>3718</v>
      </c>
      <c r="C85" s="738" t="s">
        <v>118</v>
      </c>
      <c r="D85" s="968" t="s">
        <v>118</v>
      </c>
      <c r="E85" s="968" t="s">
        <v>3718</v>
      </c>
      <c r="F85" s="1059">
        <f>IFERROR(VLOOKUP($A85,'2018'!$A:$BB,3,FALSE),"")</f>
        <v>473226523</v>
      </c>
      <c r="G85" s="1055" t="str">
        <f>IFERROR(VLOOKUP($A85,'2018'!$A:$BB,4,FALSE),"")</f>
        <v xml:space="preserve">9191 Towne Centre Drive 
Suite 450 
San Diego, CA 92122 </v>
      </c>
      <c r="H85" s="1055" t="str">
        <f>IFERROR(VLOOKUP($A85,'2018'!$A:$BB,5,FALSE),"")</f>
        <v xml:space="preserve">Cheryl St. Cyr
858 456-8882
CStcyr@CALifeSciences.org </v>
      </c>
      <c r="I85" s="1055" t="str">
        <f>IFERROR(VLOOKUP($A85,'2018'!$A:$BB,6,FALSE),"")</f>
        <v xml:space="preserve">Jocelyn Mancio
650-871-3263
ap@califesciences.org </v>
      </c>
      <c r="J85" s="1055" t="str">
        <f>IFERROR(VLOOKUP($A85,'2018'!$A:$BB,7,FALSE),"")</f>
        <v>HUB (San Diego)</v>
      </c>
      <c r="K85" s="1055" t="str">
        <f>IFERROR(VLOOKUP($A85,'2018'!$A:$BB,8,FALSE),"")</f>
        <v>Account Managed by HUB SD Team
Producer - Dave Duenas
Service Lead - Katherine Tomline</v>
      </c>
      <c r="L85" s="1062" t="str">
        <f>IFERROR(VLOOKUP($A85,'2018'!$A:$BB,9,FALSE),"")</f>
        <v>Renewal</v>
      </c>
      <c r="M85" s="1067">
        <f>IFERROR(VLOOKUP($A85,'2018'!$A:$BB,10,FALSE),"")</f>
        <v>42370</v>
      </c>
      <c r="N85" s="1062">
        <f>IFERROR(VLOOKUP($A85,'2018'!$A:$BB,12,FALSE),"")</f>
        <v>32</v>
      </c>
      <c r="O85" s="1055" t="str">
        <f>IFERROR(VLOOKUP($A85,'2018'!$A:$BB,13,FALSE),"")</f>
        <v xml:space="preserve">IGOE </v>
      </c>
      <c r="P85" s="1055" t="str">
        <f>IFERROR(VLOOKUP($A85,'2018'!$A:$BB,14,FALSE),"")</f>
        <v>Maestro</v>
      </c>
      <c r="Q85" s="1055" t="str">
        <f>IFERROR(VLOOKUP($A85,'2018'!$A:$BB,16,FALSE),"")</f>
        <v>IGOE</v>
      </c>
      <c r="R85" s="1055" t="str">
        <f>IFERROR(VLOOKUP($A85,'2018'!$A:$BB,17,FALSE),"")</f>
        <v>Optum Health</v>
      </c>
      <c r="S85" s="1062" t="str">
        <f>IFERROR(VLOOKUP($A85,'2018'!$A:$BB,20,FALSE),"")</f>
        <v>SCAL</v>
      </c>
      <c r="T85" s="1062" t="str">
        <f>IFERROR(VLOOKUP($A85,'2018'!$A:$BB,21,FALSE),"")</f>
        <v>Group B (34-44)</v>
      </c>
      <c r="U85" s="1062" t="str">
        <f>IFERROR(VLOOKUP($A85,'2018'!$A:$BB,22,FALSE),"")</f>
        <v>Expanded</v>
      </c>
      <c r="V85" s="1062" t="str">
        <f>IFERROR(VLOOKUP($A85,'2018'!$A:$BB,23,FALSE),"")</f>
        <v>Access</v>
      </c>
      <c r="W85" s="1062" t="str">
        <f>IFERROR(VLOOKUP($A85,'2018'!$A:$BB,24,FALSE),"")</f>
        <v>No</v>
      </c>
      <c r="X85" s="1062" t="str">
        <f>IFERROR(VLOOKUP($A85,'2018'!$A:$BB,41,FALSE),"")</f>
        <v xml:space="preserve">Region 2 </v>
      </c>
      <c r="Y85" s="1062" t="str">
        <f>IFERROR(VLOOKUP($A85,'2018'!$A:$BB,42,FALSE),"")</f>
        <v>(25-49)</v>
      </c>
      <c r="Z85" s="1062" t="str">
        <f>IFERROR(VLOOKUP($A85,'2018'!$A:$BB,45,FALSE),"")</f>
        <v xml:space="preserve"> (2-49)</v>
      </c>
      <c r="AA85" s="731">
        <v>2018</v>
      </c>
      <c r="AB85" s="733" t="s">
        <v>3816</v>
      </c>
      <c r="AC85" s="734" t="s">
        <v>317</v>
      </c>
      <c r="AD85" s="734" t="s">
        <v>3648</v>
      </c>
      <c r="AE85" s="734" t="s">
        <v>315</v>
      </c>
      <c r="AF85" s="734" t="s">
        <v>113</v>
      </c>
      <c r="AG85" s="732" t="s">
        <v>3972</v>
      </c>
      <c r="AH85" s="732" t="s">
        <v>3977</v>
      </c>
      <c r="AI85" s="734">
        <v>13</v>
      </c>
      <c r="AJ85" s="748" t="s">
        <v>4004</v>
      </c>
      <c r="AK85" s="757">
        <v>909678</v>
      </c>
      <c r="AL85" s="756">
        <v>1093</v>
      </c>
      <c r="AM85" s="755">
        <v>909678</v>
      </c>
      <c r="AN85" s="756">
        <v>1094</v>
      </c>
      <c r="AO85" s="776">
        <f t="shared" si="18"/>
        <v>909678</v>
      </c>
      <c r="AP85" s="754">
        <f t="shared" si="1"/>
        <v>1095</v>
      </c>
      <c r="AQ85" s="771" t="s">
        <v>3979</v>
      </c>
      <c r="AR85" s="732" t="s">
        <v>2661</v>
      </c>
      <c r="AS85" s="735"/>
      <c r="AT85" s="735"/>
      <c r="AU85" s="732" t="s">
        <v>3980</v>
      </c>
      <c r="AV85" s="735"/>
      <c r="AW85" s="735"/>
    </row>
    <row r="86" spans="1:49">
      <c r="A86" s="738" t="s">
        <v>118</v>
      </c>
      <c r="B86" s="738" t="s">
        <v>3718</v>
      </c>
      <c r="C86" s="738" t="s">
        <v>118</v>
      </c>
      <c r="D86" s="968" t="s">
        <v>118</v>
      </c>
      <c r="E86" s="968" t="s">
        <v>3718</v>
      </c>
      <c r="F86" s="1059">
        <f>IFERROR(VLOOKUP($A86,'2018'!$A:$BB,3,FALSE),"")</f>
        <v>473226523</v>
      </c>
      <c r="G86" s="1055" t="str">
        <f>IFERROR(VLOOKUP($A86,'2018'!$A:$BB,4,FALSE),"")</f>
        <v xml:space="preserve">9191 Towne Centre Drive 
Suite 450 
San Diego, CA 92122 </v>
      </c>
      <c r="H86" s="1055" t="str">
        <f>IFERROR(VLOOKUP($A86,'2018'!$A:$BB,5,FALSE),"")</f>
        <v xml:space="preserve">Cheryl St. Cyr
858 456-8882
CStcyr@CALifeSciences.org </v>
      </c>
      <c r="I86" s="1055" t="str">
        <f>IFERROR(VLOOKUP($A86,'2018'!$A:$BB,6,FALSE),"")</f>
        <v xml:space="preserve">Jocelyn Mancio
650-871-3263
ap@califesciences.org </v>
      </c>
      <c r="J86" s="1055" t="str">
        <f>IFERROR(VLOOKUP($A86,'2018'!$A:$BB,7,FALSE),"")</f>
        <v>HUB (San Diego)</v>
      </c>
      <c r="K86" s="1055" t="str">
        <f>IFERROR(VLOOKUP($A86,'2018'!$A:$BB,8,FALSE),"")</f>
        <v>Account Managed by HUB SD Team
Producer - Dave Duenas
Service Lead - Katherine Tomline</v>
      </c>
      <c r="L86" s="1062" t="str">
        <f>IFERROR(VLOOKUP($A86,'2018'!$A:$BB,9,FALSE),"")</f>
        <v>Renewal</v>
      </c>
      <c r="M86" s="1067">
        <f>IFERROR(VLOOKUP($A86,'2018'!$A:$BB,10,FALSE),"")</f>
        <v>42370</v>
      </c>
      <c r="N86" s="1062">
        <f>IFERROR(VLOOKUP($A86,'2018'!$A:$BB,12,FALSE),"")</f>
        <v>32</v>
      </c>
      <c r="O86" s="1055" t="str">
        <f>IFERROR(VLOOKUP($A86,'2018'!$A:$BB,13,FALSE),"")</f>
        <v xml:space="preserve">IGOE </v>
      </c>
      <c r="P86" s="1055" t="str">
        <f>IFERROR(VLOOKUP($A86,'2018'!$A:$BB,14,FALSE),"")</f>
        <v>Maestro</v>
      </c>
      <c r="Q86" s="1055" t="str">
        <f>IFERROR(VLOOKUP($A86,'2018'!$A:$BB,16,FALSE),"")</f>
        <v>IGOE</v>
      </c>
      <c r="R86" s="1055" t="str">
        <f>IFERROR(VLOOKUP($A86,'2018'!$A:$BB,17,FALSE),"")</f>
        <v>Optum Health</v>
      </c>
      <c r="S86" s="1062" t="str">
        <f>IFERROR(VLOOKUP($A86,'2018'!$A:$BB,20,FALSE),"")</f>
        <v>SCAL</v>
      </c>
      <c r="T86" s="1062" t="str">
        <f>IFERROR(VLOOKUP($A86,'2018'!$A:$BB,21,FALSE),"")</f>
        <v>Group B (34-44)</v>
      </c>
      <c r="U86" s="1062" t="str">
        <f>IFERROR(VLOOKUP($A86,'2018'!$A:$BB,22,FALSE),"")</f>
        <v>Expanded</v>
      </c>
      <c r="V86" s="1062" t="str">
        <f>IFERROR(VLOOKUP($A86,'2018'!$A:$BB,23,FALSE),"")</f>
        <v>Access</v>
      </c>
      <c r="W86" s="1062" t="str">
        <f>IFERROR(VLOOKUP($A86,'2018'!$A:$BB,24,FALSE),"")</f>
        <v>No</v>
      </c>
      <c r="X86" s="1062" t="str">
        <f>IFERROR(VLOOKUP($A86,'2018'!$A:$BB,41,FALSE),"")</f>
        <v xml:space="preserve">Region 2 </v>
      </c>
      <c r="Y86" s="1062" t="str">
        <f>IFERROR(VLOOKUP($A86,'2018'!$A:$BB,42,FALSE),"")</f>
        <v>(25-49)</v>
      </c>
      <c r="Z86" s="1062" t="str">
        <f>IFERROR(VLOOKUP($A86,'2018'!$A:$BB,45,FALSE),"")</f>
        <v xml:space="preserve"> (2-49)</v>
      </c>
      <c r="AA86" s="730">
        <v>2018</v>
      </c>
      <c r="AB86" s="728" t="s">
        <v>3816</v>
      </c>
      <c r="AC86" s="727" t="s">
        <v>317</v>
      </c>
      <c r="AD86" s="727" t="s">
        <v>3648</v>
      </c>
      <c r="AE86" s="727" t="s">
        <v>315</v>
      </c>
      <c r="AF86" s="727" t="s">
        <v>113</v>
      </c>
      <c r="AG86" s="726" t="s">
        <v>3981</v>
      </c>
      <c r="AH86" s="726" t="s">
        <v>3973</v>
      </c>
      <c r="AI86" s="727">
        <v>11</v>
      </c>
      <c r="AJ86" s="747" t="s">
        <v>3982</v>
      </c>
      <c r="AK86" s="757">
        <v>909678</v>
      </c>
      <c r="AL86" s="756">
        <v>1021</v>
      </c>
      <c r="AM86" s="755">
        <v>909678</v>
      </c>
      <c r="AN86" s="756">
        <v>1022</v>
      </c>
      <c r="AO86" s="776">
        <f t="shared" si="18"/>
        <v>909678</v>
      </c>
      <c r="AP86" s="754">
        <f t="shared" ref="AP86:AP192" si="19">AN86+1</f>
        <v>1023</v>
      </c>
      <c r="AQ86" s="770"/>
      <c r="AR86" s="726" t="s">
        <v>2661</v>
      </c>
      <c r="AS86" s="726" t="s">
        <v>3983</v>
      </c>
      <c r="AT86" s="736">
        <v>10211021</v>
      </c>
      <c r="AU86" s="732" t="s">
        <v>3966</v>
      </c>
      <c r="AV86" s="732" t="s">
        <v>4036</v>
      </c>
      <c r="AW86" s="732">
        <v>10221022</v>
      </c>
    </row>
    <row r="87" spans="1:49">
      <c r="A87" s="738" t="s">
        <v>118</v>
      </c>
      <c r="B87" s="736" t="s">
        <v>3718</v>
      </c>
      <c r="C87" s="738" t="s">
        <v>118</v>
      </c>
      <c r="D87" s="968" t="s">
        <v>118</v>
      </c>
      <c r="E87" s="968" t="s">
        <v>3718</v>
      </c>
      <c r="F87" s="1059">
        <f>IFERROR(VLOOKUP($A87,'2018'!$A:$BB,3,FALSE),"")</f>
        <v>473226523</v>
      </c>
      <c r="G87" s="1055" t="str">
        <f>IFERROR(VLOOKUP($A87,'2018'!$A:$BB,4,FALSE),"")</f>
        <v xml:space="preserve">9191 Towne Centre Drive 
Suite 450 
San Diego, CA 92122 </v>
      </c>
      <c r="H87" s="1055" t="str">
        <f>IFERROR(VLOOKUP($A87,'2018'!$A:$BB,5,FALSE),"")</f>
        <v xml:space="preserve">Cheryl St. Cyr
858 456-8882
CStcyr@CALifeSciences.org </v>
      </c>
      <c r="I87" s="1055" t="str">
        <f>IFERROR(VLOOKUP($A87,'2018'!$A:$BB,6,FALSE),"")</f>
        <v xml:space="preserve">Jocelyn Mancio
650-871-3263
ap@califesciences.org </v>
      </c>
      <c r="J87" s="1055" t="str">
        <f>IFERROR(VLOOKUP($A87,'2018'!$A:$BB,7,FALSE),"")</f>
        <v>HUB (San Diego)</v>
      </c>
      <c r="K87" s="1055" t="str">
        <f>IFERROR(VLOOKUP($A87,'2018'!$A:$BB,8,FALSE),"")</f>
        <v>Account Managed by HUB SD Team
Producer - Dave Duenas
Service Lead - Katherine Tomline</v>
      </c>
      <c r="L87" s="1062" t="str">
        <f>IFERROR(VLOOKUP($A87,'2018'!$A:$BB,9,FALSE),"")</f>
        <v>Renewal</v>
      </c>
      <c r="M87" s="1067">
        <f>IFERROR(VLOOKUP($A87,'2018'!$A:$BB,10,FALSE),"")</f>
        <v>42370</v>
      </c>
      <c r="N87" s="1062">
        <f>IFERROR(VLOOKUP($A87,'2018'!$A:$BB,12,FALSE),"")</f>
        <v>32</v>
      </c>
      <c r="O87" s="1055" t="str">
        <f>IFERROR(VLOOKUP($A87,'2018'!$A:$BB,13,FALSE),"")</f>
        <v xml:space="preserve">IGOE </v>
      </c>
      <c r="P87" s="1055" t="str">
        <f>IFERROR(VLOOKUP($A87,'2018'!$A:$BB,14,FALSE),"")</f>
        <v>Maestro</v>
      </c>
      <c r="Q87" s="1055" t="str">
        <f>IFERROR(VLOOKUP($A87,'2018'!$A:$BB,16,FALSE),"")</f>
        <v>IGOE</v>
      </c>
      <c r="R87" s="1055" t="str">
        <f>IFERROR(VLOOKUP($A87,'2018'!$A:$BB,17,FALSE),"")</f>
        <v>Optum Health</v>
      </c>
      <c r="S87" s="1062" t="str">
        <f>IFERROR(VLOOKUP($A87,'2018'!$A:$BB,20,FALSE),"")</f>
        <v>SCAL</v>
      </c>
      <c r="T87" s="1062" t="str">
        <f>IFERROR(VLOOKUP($A87,'2018'!$A:$BB,21,FALSE),"")</f>
        <v>Group B (34-44)</v>
      </c>
      <c r="U87" s="1062" t="str">
        <f>IFERROR(VLOOKUP($A87,'2018'!$A:$BB,22,FALSE),"")</f>
        <v>Expanded</v>
      </c>
      <c r="V87" s="1062" t="str">
        <f>IFERROR(VLOOKUP($A87,'2018'!$A:$BB,23,FALSE),"")</f>
        <v>Access</v>
      </c>
      <c r="W87" s="1062" t="str">
        <f>IFERROR(VLOOKUP($A87,'2018'!$A:$BB,24,FALSE),"")</f>
        <v>No</v>
      </c>
      <c r="X87" s="1062" t="str">
        <f>IFERROR(VLOOKUP($A87,'2018'!$A:$BB,41,FALSE),"")</f>
        <v xml:space="preserve">Region 2 </v>
      </c>
      <c r="Y87" s="1062" t="str">
        <f>IFERROR(VLOOKUP($A87,'2018'!$A:$BB,42,FALSE),"")</f>
        <v>(25-49)</v>
      </c>
      <c r="Z87" s="1062" t="str">
        <f>IFERROR(VLOOKUP($A87,'2018'!$A:$BB,45,FALSE),"")</f>
        <v xml:space="preserve"> (2-49)</v>
      </c>
      <c r="AA87" s="731">
        <v>2018</v>
      </c>
      <c r="AB87" s="733" t="s">
        <v>3816</v>
      </c>
      <c r="AC87" s="734" t="s">
        <v>317</v>
      </c>
      <c r="AD87" s="734" t="s">
        <v>3648</v>
      </c>
      <c r="AE87" s="734" t="s">
        <v>315</v>
      </c>
      <c r="AF87" s="734" t="s">
        <v>113</v>
      </c>
      <c r="AG87" s="732" t="s">
        <v>3981</v>
      </c>
      <c r="AH87" s="732" t="s">
        <v>3977</v>
      </c>
      <c r="AI87" s="734">
        <v>16</v>
      </c>
      <c r="AJ87" s="748" t="s">
        <v>3985</v>
      </c>
      <c r="AK87" s="757">
        <v>909678</v>
      </c>
      <c r="AL87" s="756">
        <v>1201</v>
      </c>
      <c r="AM87" s="755">
        <v>909678</v>
      </c>
      <c r="AN87" s="756">
        <v>1202</v>
      </c>
      <c r="AO87" s="776">
        <f t="shared" si="18"/>
        <v>909678</v>
      </c>
      <c r="AP87" s="754">
        <f t="shared" si="19"/>
        <v>1203</v>
      </c>
      <c r="AQ87" s="771" t="s">
        <v>3979</v>
      </c>
      <c r="AR87" s="732" t="s">
        <v>2661</v>
      </c>
      <c r="AS87" s="735"/>
      <c r="AT87" s="735"/>
      <c r="AU87" s="732" t="s">
        <v>3980</v>
      </c>
      <c r="AV87" s="735"/>
      <c r="AW87" s="735"/>
    </row>
    <row r="88" spans="1:49">
      <c r="A88" s="738"/>
      <c r="B88" s="738"/>
      <c r="C88" s="738"/>
      <c r="D88" s="738"/>
      <c r="E88" s="738"/>
      <c r="F88" s="1059" t="str">
        <f>IFERROR(VLOOKUP($A88,'2018'!$A:$BB,3,FALSE),"")</f>
        <v/>
      </c>
      <c r="G88" s="1055" t="str">
        <f>IFERROR(VLOOKUP($A88,'2018'!$A:$BB,4,FALSE),"")</f>
        <v/>
      </c>
      <c r="H88" s="1055" t="str">
        <f>IFERROR(VLOOKUP($A88,'2018'!$A:$BB,5,FALSE),"")</f>
        <v/>
      </c>
      <c r="I88" s="1055" t="str">
        <f>IFERROR(VLOOKUP($A88,'2018'!$A:$BB,6,FALSE),"")</f>
        <v/>
      </c>
      <c r="J88" s="1055" t="str">
        <f>IFERROR(VLOOKUP($A88,'2018'!$A:$BB,7,FALSE),"")</f>
        <v/>
      </c>
      <c r="K88" s="1055" t="str">
        <f>IFERROR(VLOOKUP($A88,'2018'!$A:$BB,8,FALSE),"")</f>
        <v/>
      </c>
      <c r="L88" s="1062" t="str">
        <f>IFERROR(VLOOKUP($A88,'2018'!$A:$BB,9,FALSE),"")</f>
        <v/>
      </c>
      <c r="M88" s="1067" t="str">
        <f>IFERROR(VLOOKUP($A88,'2018'!$A:$BB,10,FALSE),"")</f>
        <v/>
      </c>
      <c r="N88" s="1062" t="str">
        <f>IFERROR(VLOOKUP($A88,'2018'!$A:$BB,12,FALSE),"")</f>
        <v/>
      </c>
      <c r="O88" s="1055" t="str">
        <f>IFERROR(VLOOKUP($A88,'2018'!$A:$BB,13,FALSE),"")</f>
        <v/>
      </c>
      <c r="P88" s="1055" t="str">
        <f>IFERROR(VLOOKUP($A88,'2018'!$A:$BB,14,FALSE),"")</f>
        <v/>
      </c>
      <c r="Q88" s="1055" t="str">
        <f>IFERROR(VLOOKUP($A88,'2018'!$A:$BB,16,FALSE),"")</f>
        <v/>
      </c>
      <c r="R88" s="1055" t="str">
        <f>IFERROR(VLOOKUP($A88,'2018'!$A:$BB,17,FALSE),"")</f>
        <v/>
      </c>
      <c r="S88" s="1062" t="str">
        <f>IFERROR(VLOOKUP($A88,'2018'!$A:$BB,20,FALSE),"")</f>
        <v/>
      </c>
      <c r="T88" s="1062" t="str">
        <f>IFERROR(VLOOKUP($A88,'2018'!$A:$BB,21,FALSE),"")</f>
        <v/>
      </c>
      <c r="U88" s="1062" t="str">
        <f>IFERROR(VLOOKUP($A88,'2018'!$A:$BB,22,FALSE),"")</f>
        <v/>
      </c>
      <c r="V88" s="1062" t="str">
        <f>IFERROR(VLOOKUP($A88,'2018'!$A:$BB,23,FALSE),"")</f>
        <v/>
      </c>
      <c r="W88" s="1062" t="str">
        <f>IFERROR(VLOOKUP($A88,'2018'!$A:$BB,24,FALSE),"")</f>
        <v/>
      </c>
      <c r="X88" s="1062" t="str">
        <f>IFERROR(VLOOKUP($A88,'2018'!$A:$BB,41,FALSE),"")</f>
        <v/>
      </c>
      <c r="Y88" s="1062" t="str">
        <f>IFERROR(VLOOKUP($A88,'2018'!$A:$BB,42,FALSE),"")</f>
        <v/>
      </c>
      <c r="Z88" s="1062" t="str">
        <f>IFERROR(VLOOKUP($A88,'2018'!$A:$BB,45,FALSE),"")</f>
        <v/>
      </c>
      <c r="AA88" s="727"/>
      <c r="AB88" s="728"/>
      <c r="AC88" s="727"/>
      <c r="AD88" s="727"/>
      <c r="AE88" s="727"/>
      <c r="AF88" s="727"/>
      <c r="AG88" s="726"/>
      <c r="AH88" s="726"/>
      <c r="AI88" s="727"/>
      <c r="AJ88" s="747"/>
      <c r="AK88" s="753"/>
      <c r="AL88" s="754"/>
      <c r="AM88" s="753"/>
      <c r="AN88" s="754"/>
      <c r="AO88" s="776"/>
      <c r="AP88" s="754"/>
      <c r="AQ88" s="770"/>
      <c r="AR88" s="726"/>
      <c r="AS88" s="726"/>
      <c r="AT88" s="726"/>
      <c r="AU88" s="726"/>
      <c r="AV88" s="726"/>
      <c r="AW88" s="726"/>
    </row>
    <row r="89" spans="1:49">
      <c r="A89" s="738" t="s">
        <v>3568</v>
      </c>
      <c r="B89" s="738" t="s">
        <v>4037</v>
      </c>
      <c r="C89" s="738"/>
      <c r="D89" s="738" t="s">
        <v>3568</v>
      </c>
      <c r="E89" s="738" t="s">
        <v>4554</v>
      </c>
      <c r="F89" s="1059">
        <f>IFERROR(VLOOKUP($A89,'2018'!$A:$BB,3,FALSE),"")</f>
        <v>822704000</v>
      </c>
      <c r="G89" s="1055" t="str">
        <f>IFERROR(VLOOKUP($A89,'2018'!$A:$BB,4,FALSE),"")</f>
        <v>9730 Summers Ridge Rd
San Diego, CA 92121</v>
      </c>
      <c r="H89" s="1055" t="str">
        <f>IFERROR(VLOOKUP($A89,'2018'!$A:$BB,5,FALSE),"")</f>
        <v>Katie Mittleider
858-549-7525
kmittleider@core-rpo.com 
Tom Wang (Authorized Signatory)</v>
      </c>
      <c r="I89" s="1055" t="str">
        <f>IFERROR(VLOOKUP($A89,'2018'!$A:$BB,6,FALSE),"")</f>
        <v xml:space="preserve">Mike Tebesceff
201-647-3191
mtebesceff@lmcopartners.com
Additional Contacts:
Virginia Nigro
vnigro@signatureanalytics.com
858.774.5467
Darlene.frenchporter@californiaprotons.com
pjain@signatureanalytics.com
</v>
      </c>
      <c r="J89" s="1055" t="str">
        <f>IFERROR(VLOOKUP($A89,'2018'!$A:$BB,7,FALSE),"")</f>
        <v>HUB (San Diego)</v>
      </c>
      <c r="K89" s="1055" t="str">
        <f>IFERROR(VLOOKUP($A89,'2018'!$A:$BB,8,FALSE),"")</f>
        <v>Account Managed by HUB SD Team
Producer - Bo Lebherz/Maggie Osburn
Service Lead - Michelle Brady
AR-Marcello E.</v>
      </c>
      <c r="L89" s="1062" t="str">
        <f>IFERROR(VLOOKUP($A89,'2018'!$A:$BB,9,FALSE),"")</f>
        <v>New</v>
      </c>
      <c r="M89" s="1067">
        <f>IFERROR(VLOOKUP($A89,'2018'!$A:$BB,10,FALSE),"")</f>
        <v>43101</v>
      </c>
      <c r="N89" s="1062">
        <f>IFERROR(VLOOKUP($A89,'2018'!$A:$BB,12,FALSE),"")</f>
        <v>29</v>
      </c>
      <c r="O89" s="1055" t="str">
        <f>IFERROR(VLOOKUP($A89,'2018'!$A:$BB,13,FALSE),"")</f>
        <v xml:space="preserve">IGOE </v>
      </c>
      <c r="P89" s="1055" t="str">
        <f>IFERROR(VLOOKUP($A89,'2018'!$A:$BB,14,FALSE),"")</f>
        <v>Maestro</v>
      </c>
      <c r="Q89" s="1055" t="str">
        <f>IFERROR(VLOOKUP($A89,'2018'!$A:$BB,16,FALSE),"")</f>
        <v xml:space="preserve">IGOE </v>
      </c>
      <c r="R89" s="1055" t="str">
        <f>IFERROR(VLOOKUP($A89,'2018'!$A:$BB,17,FALSE),"")</f>
        <v>N/A</v>
      </c>
      <c r="S89" s="1062" t="str">
        <f>IFERROR(VLOOKUP($A89,'2018'!$A:$BB,20,FALSE),"")</f>
        <v>SCAL</v>
      </c>
      <c r="T89" s="1062" t="str">
        <f>IFERROR(VLOOKUP($A89,'2018'!$A:$BB,21,FALSE),"")</f>
        <v>Group C (44-54)</v>
      </c>
      <c r="U89" s="1062" t="str">
        <f>IFERROR(VLOOKUP($A89,'2018'!$A:$BB,22,FALSE),"")</f>
        <v>Expanded</v>
      </c>
      <c r="V89" s="1062" t="str">
        <f>IFERROR(VLOOKUP($A89,'2018'!$A:$BB,23,FALSE),"")</f>
        <v>Advantage</v>
      </c>
      <c r="W89" s="1062" t="str">
        <f>IFERROR(VLOOKUP($A89,'2018'!$A:$BB,24,FALSE),"")</f>
        <v>No</v>
      </c>
      <c r="X89" s="1062" t="str">
        <f>IFERROR(VLOOKUP($A89,'2018'!$A:$BB,41,FALSE),"")</f>
        <v>Region 2</v>
      </c>
      <c r="Y89" s="1062" t="str">
        <f>IFERROR(VLOOKUP($A89,'2018'!$A:$BB,42,FALSE),"")</f>
        <v>(25-49)</v>
      </c>
      <c r="Z89" s="1062" t="str">
        <f>IFERROR(VLOOKUP($A89,'2018'!$A:$BB,45,FALSE),"")</f>
        <v xml:space="preserve"> (2-49)</v>
      </c>
      <c r="AA89" s="730">
        <v>2018</v>
      </c>
      <c r="AB89" s="1020" t="s">
        <v>3801</v>
      </c>
      <c r="AC89" s="727" t="s">
        <v>317</v>
      </c>
      <c r="AD89" s="727" t="s">
        <v>3656</v>
      </c>
      <c r="AE89" s="727" t="s">
        <v>307</v>
      </c>
      <c r="AF89" s="727" t="s">
        <v>113</v>
      </c>
      <c r="AG89" s="726" t="s">
        <v>3962</v>
      </c>
      <c r="AH89" s="726" t="s">
        <v>3963</v>
      </c>
      <c r="AI89" s="727">
        <v>1</v>
      </c>
      <c r="AJ89" s="747" t="s">
        <v>3998</v>
      </c>
      <c r="AK89" s="753">
        <v>260068</v>
      </c>
      <c r="AL89" s="754">
        <v>169</v>
      </c>
      <c r="AM89" s="753">
        <v>260069</v>
      </c>
      <c r="AN89" s="754">
        <v>170</v>
      </c>
      <c r="AO89" s="776">
        <f t="shared" ref="AO89:AO190" si="20">AM89+1</f>
        <v>260070</v>
      </c>
      <c r="AP89" s="754">
        <f t="shared" si="19"/>
        <v>171</v>
      </c>
      <c r="AQ89" s="770"/>
      <c r="AR89" s="726" t="s">
        <v>2661</v>
      </c>
      <c r="AS89" s="726" t="s">
        <v>3999</v>
      </c>
      <c r="AT89" s="726">
        <v>1690169</v>
      </c>
      <c r="AU89" s="726" t="s">
        <v>3980</v>
      </c>
      <c r="AV89" s="726"/>
      <c r="AW89" s="726"/>
    </row>
    <row r="90" spans="1:49">
      <c r="A90" s="738" t="s">
        <v>3568</v>
      </c>
      <c r="B90" s="738" t="s">
        <v>4037</v>
      </c>
      <c r="C90" s="738"/>
      <c r="D90" s="738" t="s">
        <v>3568</v>
      </c>
      <c r="E90" s="738" t="s">
        <v>4554</v>
      </c>
      <c r="F90" s="1059">
        <f>IFERROR(VLOOKUP($A90,'2018'!$A:$BB,3,FALSE),"")</f>
        <v>822704000</v>
      </c>
      <c r="G90" s="1055" t="str">
        <f>IFERROR(VLOOKUP($A90,'2018'!$A:$BB,4,FALSE),"")</f>
        <v>9730 Summers Ridge Rd
San Diego, CA 92121</v>
      </c>
      <c r="H90" s="1055" t="str">
        <f>IFERROR(VLOOKUP($A90,'2018'!$A:$BB,5,FALSE),"")</f>
        <v>Katie Mittleider
858-549-7525
kmittleider@core-rpo.com 
Tom Wang (Authorized Signatory)</v>
      </c>
      <c r="I90" s="1055" t="str">
        <f>IFERROR(VLOOKUP($A90,'2018'!$A:$BB,6,FALSE),"")</f>
        <v xml:space="preserve">Mike Tebesceff
201-647-3191
mtebesceff@lmcopartners.com
Additional Contacts:
Virginia Nigro
vnigro@signatureanalytics.com
858.774.5467
Darlene.frenchporter@californiaprotons.com
pjain@signatureanalytics.com
</v>
      </c>
      <c r="J90" s="1055" t="str">
        <f>IFERROR(VLOOKUP($A90,'2018'!$A:$BB,7,FALSE),"")</f>
        <v>HUB (San Diego)</v>
      </c>
      <c r="K90" s="1055" t="str">
        <f>IFERROR(VLOOKUP($A90,'2018'!$A:$BB,8,FALSE),"")</f>
        <v>Account Managed by HUB SD Team
Producer - Bo Lebherz/Maggie Osburn
Service Lead - Michelle Brady
AR-Marcello E.</v>
      </c>
      <c r="L90" s="1062" t="str">
        <f>IFERROR(VLOOKUP($A90,'2018'!$A:$BB,9,FALSE),"")</f>
        <v>New</v>
      </c>
      <c r="M90" s="1067">
        <f>IFERROR(VLOOKUP($A90,'2018'!$A:$BB,10,FALSE),"")</f>
        <v>43101</v>
      </c>
      <c r="N90" s="1062">
        <f>IFERROR(VLOOKUP($A90,'2018'!$A:$BB,12,FALSE),"")</f>
        <v>29</v>
      </c>
      <c r="O90" s="1055" t="str">
        <f>IFERROR(VLOOKUP($A90,'2018'!$A:$BB,13,FALSE),"")</f>
        <v xml:space="preserve">IGOE </v>
      </c>
      <c r="P90" s="1055" t="str">
        <f>IFERROR(VLOOKUP($A90,'2018'!$A:$BB,14,FALSE),"")</f>
        <v>Maestro</v>
      </c>
      <c r="Q90" s="1055" t="str">
        <f>IFERROR(VLOOKUP($A90,'2018'!$A:$BB,16,FALSE),"")</f>
        <v xml:space="preserve">IGOE </v>
      </c>
      <c r="R90" s="1055" t="str">
        <f>IFERROR(VLOOKUP($A90,'2018'!$A:$BB,17,FALSE),"")</f>
        <v>N/A</v>
      </c>
      <c r="S90" s="1062" t="str">
        <f>IFERROR(VLOOKUP($A90,'2018'!$A:$BB,20,FALSE),"")</f>
        <v>SCAL</v>
      </c>
      <c r="T90" s="1062" t="str">
        <f>IFERROR(VLOOKUP($A90,'2018'!$A:$BB,21,FALSE),"")</f>
        <v>Group C (44-54)</v>
      </c>
      <c r="U90" s="1062" t="str">
        <f>IFERROR(VLOOKUP($A90,'2018'!$A:$BB,22,FALSE),"")</f>
        <v>Expanded</v>
      </c>
      <c r="V90" s="1062" t="str">
        <f>IFERROR(VLOOKUP($A90,'2018'!$A:$BB,23,FALSE),"")</f>
        <v>Advantage</v>
      </c>
      <c r="W90" s="1062" t="str">
        <f>IFERROR(VLOOKUP($A90,'2018'!$A:$BB,24,FALSE),"")</f>
        <v>No</v>
      </c>
      <c r="X90" s="1062" t="str">
        <f>IFERROR(VLOOKUP($A90,'2018'!$A:$BB,41,FALSE),"")</f>
        <v>Region 2</v>
      </c>
      <c r="Y90" s="1062" t="str">
        <f>IFERROR(VLOOKUP($A90,'2018'!$A:$BB,42,FALSE),"")</f>
        <v>(25-49)</v>
      </c>
      <c r="Z90" s="1062" t="str">
        <f>IFERROR(VLOOKUP($A90,'2018'!$A:$BB,45,FALSE),"")</f>
        <v xml:space="preserve"> (2-49)</v>
      </c>
      <c r="AA90" s="730">
        <v>2018</v>
      </c>
      <c r="AB90" s="1020" t="s">
        <v>3801</v>
      </c>
      <c r="AC90" s="727" t="s">
        <v>317</v>
      </c>
      <c r="AD90" s="727" t="s">
        <v>3656</v>
      </c>
      <c r="AE90" s="727" t="s">
        <v>307</v>
      </c>
      <c r="AF90" s="727" t="s">
        <v>113</v>
      </c>
      <c r="AG90" s="726" t="s">
        <v>3972</v>
      </c>
      <c r="AH90" s="726" t="s">
        <v>3973</v>
      </c>
      <c r="AI90" s="727">
        <v>7</v>
      </c>
      <c r="AJ90" s="747" t="s">
        <v>4001</v>
      </c>
      <c r="AK90" s="757">
        <v>909678</v>
      </c>
      <c r="AL90" s="754">
        <v>340</v>
      </c>
      <c r="AM90" s="755">
        <v>909678</v>
      </c>
      <c r="AN90" s="754">
        <v>341</v>
      </c>
      <c r="AO90" s="776">
        <f t="shared" ref="AO90:AO91" si="21">AM90</f>
        <v>909678</v>
      </c>
      <c r="AP90" s="754">
        <f t="shared" si="19"/>
        <v>342</v>
      </c>
      <c r="AQ90" s="770"/>
      <c r="AR90" s="726" t="s">
        <v>2661</v>
      </c>
      <c r="AS90" s="726" t="s">
        <v>4002</v>
      </c>
      <c r="AT90" s="726">
        <v>3400340</v>
      </c>
      <c r="AU90" s="726" t="s">
        <v>3980</v>
      </c>
      <c r="AV90" s="726"/>
      <c r="AW90" s="726"/>
    </row>
    <row r="91" spans="1:49">
      <c r="A91" s="738" t="s">
        <v>3568</v>
      </c>
      <c r="B91" s="736" t="s">
        <v>4037</v>
      </c>
      <c r="C91" s="736"/>
      <c r="D91" s="738" t="s">
        <v>3568</v>
      </c>
      <c r="E91" s="738" t="s">
        <v>4554</v>
      </c>
      <c r="F91" s="1059">
        <f>IFERROR(VLOOKUP($A91,'2018'!$A:$BB,3,FALSE),"")</f>
        <v>822704000</v>
      </c>
      <c r="G91" s="1055" t="str">
        <f>IFERROR(VLOOKUP($A91,'2018'!$A:$BB,4,FALSE),"")</f>
        <v>9730 Summers Ridge Rd
San Diego, CA 92121</v>
      </c>
      <c r="H91" s="1055" t="str">
        <f>IFERROR(VLOOKUP($A91,'2018'!$A:$BB,5,FALSE),"")</f>
        <v>Katie Mittleider
858-549-7525
kmittleider@core-rpo.com 
Tom Wang (Authorized Signatory)</v>
      </c>
      <c r="I91" s="1055" t="str">
        <f>IFERROR(VLOOKUP($A91,'2018'!$A:$BB,6,FALSE),"")</f>
        <v xml:space="preserve">Mike Tebesceff
201-647-3191
mtebesceff@lmcopartners.com
Additional Contacts:
Virginia Nigro
vnigro@signatureanalytics.com
858.774.5467
Darlene.frenchporter@californiaprotons.com
pjain@signatureanalytics.com
</v>
      </c>
      <c r="J91" s="1055" t="str">
        <f>IFERROR(VLOOKUP($A91,'2018'!$A:$BB,7,FALSE),"")</f>
        <v>HUB (San Diego)</v>
      </c>
      <c r="K91" s="1055" t="str">
        <f>IFERROR(VLOOKUP($A91,'2018'!$A:$BB,8,FALSE),"")</f>
        <v>Account Managed by HUB SD Team
Producer - Bo Lebherz/Maggie Osburn
Service Lead - Michelle Brady
AR-Marcello E.</v>
      </c>
      <c r="L91" s="1062" t="str">
        <f>IFERROR(VLOOKUP($A91,'2018'!$A:$BB,9,FALSE),"")</f>
        <v>New</v>
      </c>
      <c r="M91" s="1067">
        <f>IFERROR(VLOOKUP($A91,'2018'!$A:$BB,10,FALSE),"")</f>
        <v>43101</v>
      </c>
      <c r="N91" s="1062">
        <f>IFERROR(VLOOKUP($A91,'2018'!$A:$BB,12,FALSE),"")</f>
        <v>29</v>
      </c>
      <c r="O91" s="1055" t="str">
        <f>IFERROR(VLOOKUP($A91,'2018'!$A:$BB,13,FALSE),"")</f>
        <v xml:space="preserve">IGOE </v>
      </c>
      <c r="P91" s="1055" t="str">
        <f>IFERROR(VLOOKUP($A91,'2018'!$A:$BB,14,FALSE),"")</f>
        <v>Maestro</v>
      </c>
      <c r="Q91" s="1055" t="str">
        <f>IFERROR(VLOOKUP($A91,'2018'!$A:$BB,16,FALSE),"")</f>
        <v xml:space="preserve">IGOE </v>
      </c>
      <c r="R91" s="1055" t="str">
        <f>IFERROR(VLOOKUP($A91,'2018'!$A:$BB,17,FALSE),"")</f>
        <v>N/A</v>
      </c>
      <c r="S91" s="1062" t="str">
        <f>IFERROR(VLOOKUP($A91,'2018'!$A:$BB,20,FALSE),"")</f>
        <v>SCAL</v>
      </c>
      <c r="T91" s="1062" t="str">
        <f>IFERROR(VLOOKUP($A91,'2018'!$A:$BB,21,FALSE),"")</f>
        <v>Group C (44-54)</v>
      </c>
      <c r="U91" s="1062" t="str">
        <f>IFERROR(VLOOKUP($A91,'2018'!$A:$BB,22,FALSE),"")</f>
        <v>Expanded</v>
      </c>
      <c r="V91" s="1062" t="str">
        <f>IFERROR(VLOOKUP($A91,'2018'!$A:$BB,23,FALSE),"")</f>
        <v>Advantage</v>
      </c>
      <c r="W91" s="1062" t="str">
        <f>IFERROR(VLOOKUP($A91,'2018'!$A:$BB,24,FALSE),"")</f>
        <v>No</v>
      </c>
      <c r="X91" s="1062" t="str">
        <f>IFERROR(VLOOKUP($A91,'2018'!$A:$BB,41,FALSE),"")</f>
        <v>Region 2</v>
      </c>
      <c r="Y91" s="1062" t="str">
        <f>IFERROR(VLOOKUP($A91,'2018'!$A:$BB,42,FALSE),"")</f>
        <v>(25-49)</v>
      </c>
      <c r="Z91" s="1062" t="str">
        <f>IFERROR(VLOOKUP($A91,'2018'!$A:$BB,45,FALSE),"")</f>
        <v xml:space="preserve"> (2-49)</v>
      </c>
      <c r="AA91" s="731">
        <v>2018</v>
      </c>
      <c r="AB91" s="1020" t="s">
        <v>3801</v>
      </c>
      <c r="AC91" s="734" t="s">
        <v>317</v>
      </c>
      <c r="AD91" s="734" t="s">
        <v>3656</v>
      </c>
      <c r="AE91" s="734" t="s">
        <v>307</v>
      </c>
      <c r="AF91" s="734" t="s">
        <v>113</v>
      </c>
      <c r="AG91" s="732" t="s">
        <v>3972</v>
      </c>
      <c r="AH91" s="732" t="s">
        <v>3977</v>
      </c>
      <c r="AI91" s="734">
        <v>13</v>
      </c>
      <c r="AJ91" s="748" t="s">
        <v>4004</v>
      </c>
      <c r="AK91" s="757">
        <v>909678</v>
      </c>
      <c r="AL91" s="756">
        <v>592</v>
      </c>
      <c r="AM91" s="755">
        <v>909678</v>
      </c>
      <c r="AN91" s="756">
        <v>593</v>
      </c>
      <c r="AO91" s="776">
        <f t="shared" si="21"/>
        <v>909678</v>
      </c>
      <c r="AP91" s="754">
        <f t="shared" si="19"/>
        <v>594</v>
      </c>
      <c r="AQ91" s="771" t="s">
        <v>3979</v>
      </c>
      <c r="AR91" s="732" t="s">
        <v>2661</v>
      </c>
      <c r="AS91" s="735"/>
      <c r="AT91" s="735"/>
      <c r="AU91" s="732" t="s">
        <v>3980</v>
      </c>
      <c r="AV91" s="735"/>
      <c r="AW91" s="735"/>
    </row>
    <row r="92" spans="1:49">
      <c r="A92" s="738"/>
      <c r="B92" s="738"/>
      <c r="C92" s="738"/>
      <c r="D92" s="738"/>
      <c r="E92" s="738"/>
      <c r="F92" s="1059" t="str">
        <f>IFERROR(VLOOKUP($A92,'2018'!$A:$BB,3,FALSE),"")</f>
        <v/>
      </c>
      <c r="G92" s="1055" t="str">
        <f>IFERROR(VLOOKUP($A92,'2018'!$A:$BB,4,FALSE),"")</f>
        <v/>
      </c>
      <c r="H92" s="1055" t="str">
        <f>IFERROR(VLOOKUP($A92,'2018'!$A:$BB,5,FALSE),"")</f>
        <v/>
      </c>
      <c r="I92" s="1055" t="str">
        <f>IFERROR(VLOOKUP($A92,'2018'!$A:$BB,6,FALSE),"")</f>
        <v/>
      </c>
      <c r="J92" s="1055" t="str">
        <f>IFERROR(VLOOKUP($A92,'2018'!$A:$BB,7,FALSE),"")</f>
        <v/>
      </c>
      <c r="K92" s="1055" t="str">
        <f>IFERROR(VLOOKUP($A92,'2018'!$A:$BB,8,FALSE),"")</f>
        <v/>
      </c>
      <c r="L92" s="1062" t="str">
        <f>IFERROR(VLOOKUP($A92,'2018'!$A:$BB,9,FALSE),"")</f>
        <v/>
      </c>
      <c r="M92" s="1067" t="str">
        <f>IFERROR(VLOOKUP($A92,'2018'!$A:$BB,10,FALSE),"")</f>
        <v/>
      </c>
      <c r="N92" s="1062" t="str">
        <f>IFERROR(VLOOKUP($A92,'2018'!$A:$BB,12,FALSE),"")</f>
        <v/>
      </c>
      <c r="O92" s="1055" t="str">
        <f>IFERROR(VLOOKUP($A92,'2018'!$A:$BB,13,FALSE),"")</f>
        <v/>
      </c>
      <c r="P92" s="1055" t="str">
        <f>IFERROR(VLOOKUP($A92,'2018'!$A:$BB,14,FALSE),"")</f>
        <v/>
      </c>
      <c r="Q92" s="1055" t="str">
        <f>IFERROR(VLOOKUP($A92,'2018'!$A:$BB,16,FALSE),"")</f>
        <v/>
      </c>
      <c r="R92" s="1055" t="str">
        <f>IFERROR(VLOOKUP($A92,'2018'!$A:$BB,17,FALSE),"")</f>
        <v/>
      </c>
      <c r="S92" s="1062" t="str">
        <f>IFERROR(VLOOKUP($A92,'2018'!$A:$BB,20,FALSE),"")</f>
        <v/>
      </c>
      <c r="T92" s="1062" t="str">
        <f>IFERROR(VLOOKUP($A92,'2018'!$A:$BB,21,FALSE),"")</f>
        <v/>
      </c>
      <c r="U92" s="1062" t="str">
        <f>IFERROR(VLOOKUP($A92,'2018'!$A:$BB,22,FALSE),"")</f>
        <v/>
      </c>
      <c r="V92" s="1062" t="str">
        <f>IFERROR(VLOOKUP($A92,'2018'!$A:$BB,23,FALSE),"")</f>
        <v/>
      </c>
      <c r="W92" s="1062" t="str">
        <f>IFERROR(VLOOKUP($A92,'2018'!$A:$BB,24,FALSE),"")</f>
        <v/>
      </c>
      <c r="X92" s="1062" t="str">
        <f>IFERROR(VLOOKUP($A92,'2018'!$A:$BB,41,FALSE),"")</f>
        <v/>
      </c>
      <c r="Y92" s="1062" t="str">
        <f>IFERROR(VLOOKUP($A92,'2018'!$A:$BB,42,FALSE),"")</f>
        <v/>
      </c>
      <c r="Z92" s="1062" t="str">
        <f>IFERROR(VLOOKUP($A92,'2018'!$A:$BB,45,FALSE),"")</f>
        <v/>
      </c>
      <c r="AA92" s="727"/>
      <c r="AB92" s="728"/>
      <c r="AC92" s="727"/>
      <c r="AD92" s="727"/>
      <c r="AE92" s="727"/>
      <c r="AF92" s="727"/>
      <c r="AG92" s="726"/>
      <c r="AH92" s="726"/>
      <c r="AI92" s="727"/>
      <c r="AJ92" s="747"/>
      <c r="AK92" s="753"/>
      <c r="AL92" s="754"/>
      <c r="AM92" s="753"/>
      <c r="AN92" s="754"/>
      <c r="AO92" s="776"/>
      <c r="AP92" s="754"/>
      <c r="AQ92" s="770"/>
      <c r="AR92" s="726"/>
      <c r="AS92" s="726"/>
      <c r="AT92" s="726"/>
      <c r="AU92" s="726"/>
      <c r="AV92" s="726"/>
      <c r="AW92" s="726"/>
    </row>
    <row r="93" spans="1:49">
      <c r="A93" s="736" t="s">
        <v>259</v>
      </c>
      <c r="B93" s="736" t="s">
        <v>259</v>
      </c>
      <c r="C93" s="736"/>
      <c r="D93" s="736" t="s">
        <v>4181</v>
      </c>
      <c r="E93" s="736" t="s">
        <v>4181</v>
      </c>
      <c r="F93" s="1059">
        <f>IFERROR(VLOOKUP($A93,'2018'!$A:$BB,3,FALSE),"")</f>
        <v>330441961</v>
      </c>
      <c r="G93" s="1055" t="str">
        <f>IFERROR(VLOOKUP($A93,'2018'!$A:$BB,4,FALSE),"")</f>
        <v>5928 Farnsworth Court
Carlsbad, CA 92008</v>
      </c>
      <c r="H93" s="1055" t="str">
        <f>IFERROR(VLOOKUP($A93,'2018'!$A:$BB,5,FALSE),"")</f>
        <v xml:space="preserve">Qingmei Wang
760.431.8284 x 184
qingmei.wang@carlsbadtech.com </v>
      </c>
      <c r="I93" s="1055" t="str">
        <f>IFERROR(VLOOKUP($A93,'2018'!$A:$BB,6,FALSE),"")</f>
        <v xml:space="preserve">Qingmei Wang
760.431.8284 x 184
qingmei.wang@carlsbadtech.com </v>
      </c>
      <c r="J93" s="1055" t="str">
        <f>IFERROR(VLOOKUP($A93,'2018'!$A:$BB,7,FALSE),"")</f>
        <v>HUB (San Diego)</v>
      </c>
      <c r="K93" s="1055" t="str">
        <f>IFERROR(VLOOKUP($A93,'2018'!$A:$BB,8,FALSE),"")</f>
        <v>Account Managed by HUB SD Team
Producer - Dave Duenas
Service Lead - Lydia Frazer
Account Rep - Courtney Stanley</v>
      </c>
      <c r="L93" s="1062" t="str">
        <f>IFERROR(VLOOKUP($A93,'2018'!$A:$BB,9,FALSE),"")</f>
        <v>Renewal</v>
      </c>
      <c r="M93" s="1067">
        <f>IFERROR(VLOOKUP($A93,'2018'!$A:$BB,10,FALSE),"")</f>
        <v>42979</v>
      </c>
      <c r="N93" s="1062">
        <f>IFERROR(VLOOKUP($A93,'2018'!$A:$BB,12,FALSE),"")</f>
        <v>85</v>
      </c>
      <c r="O93" s="1055" t="str">
        <f>IFERROR(VLOOKUP($A93,'2018'!$A:$BB,13,FALSE),"")</f>
        <v xml:space="preserve">IGOE </v>
      </c>
      <c r="P93" s="1055" t="str">
        <f>IFERROR(VLOOKUP($A93,'2018'!$A:$BB,14,FALSE),"")</f>
        <v xml:space="preserve">Maestro </v>
      </c>
      <c r="Q93" s="1055" t="str">
        <f>IFERROR(VLOOKUP($A93,'2018'!$A:$BB,16,FALSE),"")</f>
        <v>N/A</v>
      </c>
      <c r="R93" s="1055" t="str">
        <f>IFERROR(VLOOKUP($A93,'2018'!$A:$BB,17,FALSE),"")</f>
        <v>N/A</v>
      </c>
      <c r="S93" s="1062" t="str">
        <f>IFERROR(VLOOKUP($A93,'2018'!$A:$BB,20,FALSE),"")</f>
        <v>SCAL</v>
      </c>
      <c r="T93" s="1062" t="str">
        <f>IFERROR(VLOOKUP($A93,'2018'!$A:$BB,21,FALSE),"")</f>
        <v>Group B (34-44)</v>
      </c>
      <c r="U93" s="1062" t="str">
        <f>IFERROR(VLOOKUP($A93,'2018'!$A:$BB,22,FALSE),"")</f>
        <v>Expanded</v>
      </c>
      <c r="V93" s="1062" t="str">
        <f>IFERROR(VLOOKUP($A93,'2018'!$A:$BB,23,FALSE),"")</f>
        <v>Advantage</v>
      </c>
      <c r="W93" s="1062" t="str">
        <f>IFERROR(VLOOKUP($A93,'2018'!$A:$BB,24,FALSE),"")</f>
        <v>No</v>
      </c>
      <c r="X93" s="1062" t="str">
        <f>IFERROR(VLOOKUP($A93,'2018'!$A:$BB,41,FALSE),"")</f>
        <v>Region 1</v>
      </c>
      <c r="Y93" s="1062" t="str">
        <f>IFERROR(VLOOKUP($A93,'2018'!$A:$BB,42,FALSE),"")</f>
        <v>(50-99)</v>
      </c>
      <c r="Z93" s="1062" t="str">
        <f>IFERROR(VLOOKUP($A93,'2018'!$A:$BB,45,FALSE),"")</f>
        <v>(50-99)</v>
      </c>
      <c r="AA93" s="731">
        <v>2018</v>
      </c>
      <c r="AB93" s="733" t="s">
        <v>3803</v>
      </c>
      <c r="AC93" s="734" t="s">
        <v>317</v>
      </c>
      <c r="AD93" s="734" t="s">
        <v>3648</v>
      </c>
      <c r="AE93" s="734" t="s">
        <v>307</v>
      </c>
      <c r="AF93" s="734" t="s">
        <v>113</v>
      </c>
      <c r="AG93" s="732" t="s">
        <v>3962</v>
      </c>
      <c r="AH93" s="732" t="s">
        <v>3963</v>
      </c>
      <c r="AI93" s="734">
        <v>2</v>
      </c>
      <c r="AJ93" s="748" t="s">
        <v>3964</v>
      </c>
      <c r="AK93" s="758">
        <v>260089</v>
      </c>
      <c r="AL93" s="756">
        <v>190</v>
      </c>
      <c r="AM93" s="758">
        <v>260090</v>
      </c>
      <c r="AN93" s="756">
        <v>191</v>
      </c>
      <c r="AO93" s="776">
        <f>AM93+1</f>
        <v>260091</v>
      </c>
      <c r="AP93" s="754">
        <f>AN93+1</f>
        <v>192</v>
      </c>
      <c r="AQ93" s="771" t="s">
        <v>3979</v>
      </c>
      <c r="AR93" s="732" t="s">
        <v>2661</v>
      </c>
      <c r="AS93" s="735"/>
      <c r="AT93" s="735"/>
      <c r="AU93" s="732" t="s">
        <v>3980</v>
      </c>
      <c r="AV93" s="735"/>
      <c r="AW93" s="735"/>
    </row>
    <row r="94" spans="1:49" s="739" customFormat="1">
      <c r="A94" s="736" t="s">
        <v>259</v>
      </c>
      <c r="B94" s="736" t="s">
        <v>259</v>
      </c>
      <c r="C94" s="736"/>
      <c r="D94" s="736" t="s">
        <v>4181</v>
      </c>
      <c r="E94" s="736" t="s">
        <v>4181</v>
      </c>
      <c r="F94" s="1059">
        <f>IFERROR(VLOOKUP($A94,'2018'!$A:$BB,3,FALSE),"")</f>
        <v>330441961</v>
      </c>
      <c r="G94" s="1055" t="str">
        <f>IFERROR(VLOOKUP($A94,'2018'!$A:$BB,4,FALSE),"")</f>
        <v>5928 Farnsworth Court
Carlsbad, CA 92008</v>
      </c>
      <c r="H94" s="1055" t="str">
        <f>IFERROR(VLOOKUP($A94,'2018'!$A:$BB,5,FALSE),"")</f>
        <v xml:space="preserve">Qingmei Wang
760.431.8284 x 184
qingmei.wang@carlsbadtech.com </v>
      </c>
      <c r="I94" s="1055" t="str">
        <f>IFERROR(VLOOKUP($A94,'2018'!$A:$BB,6,FALSE),"")</f>
        <v xml:space="preserve">Qingmei Wang
760.431.8284 x 184
qingmei.wang@carlsbadtech.com </v>
      </c>
      <c r="J94" s="1055" t="str">
        <f>IFERROR(VLOOKUP($A94,'2018'!$A:$BB,7,FALSE),"")</f>
        <v>HUB (San Diego)</v>
      </c>
      <c r="K94" s="1055" t="str">
        <f>IFERROR(VLOOKUP($A94,'2018'!$A:$BB,8,FALSE),"")</f>
        <v>Account Managed by HUB SD Team
Producer - Dave Duenas
Service Lead - Lydia Frazer
Account Rep - Courtney Stanley</v>
      </c>
      <c r="L94" s="1062" t="str">
        <f>IFERROR(VLOOKUP($A94,'2018'!$A:$BB,9,FALSE),"")</f>
        <v>Renewal</v>
      </c>
      <c r="M94" s="1067">
        <f>IFERROR(VLOOKUP($A94,'2018'!$A:$BB,10,FALSE),"")</f>
        <v>42979</v>
      </c>
      <c r="N94" s="1062">
        <f>IFERROR(VLOOKUP($A94,'2018'!$A:$BB,12,FALSE),"")</f>
        <v>85</v>
      </c>
      <c r="O94" s="1055" t="str">
        <f>IFERROR(VLOOKUP($A94,'2018'!$A:$BB,13,FALSE),"")</f>
        <v xml:space="preserve">IGOE </v>
      </c>
      <c r="P94" s="1055" t="str">
        <f>IFERROR(VLOOKUP($A94,'2018'!$A:$BB,14,FALSE),"")</f>
        <v xml:space="preserve">Maestro </v>
      </c>
      <c r="Q94" s="1055" t="str">
        <f>IFERROR(VLOOKUP($A94,'2018'!$A:$BB,16,FALSE),"")</f>
        <v>N/A</v>
      </c>
      <c r="R94" s="1055" t="str">
        <f>IFERROR(VLOOKUP($A94,'2018'!$A:$BB,17,FALSE),"")</f>
        <v>N/A</v>
      </c>
      <c r="S94" s="1062" t="str">
        <f>IFERROR(VLOOKUP($A94,'2018'!$A:$BB,20,FALSE),"")</f>
        <v>SCAL</v>
      </c>
      <c r="T94" s="1062" t="str">
        <f>IFERROR(VLOOKUP($A94,'2018'!$A:$BB,21,FALSE),"")</f>
        <v>Group B (34-44)</v>
      </c>
      <c r="U94" s="1062" t="str">
        <f>IFERROR(VLOOKUP($A94,'2018'!$A:$BB,22,FALSE),"")</f>
        <v>Expanded</v>
      </c>
      <c r="V94" s="1062" t="str">
        <f>IFERROR(VLOOKUP($A94,'2018'!$A:$BB,23,FALSE),"")</f>
        <v>Advantage</v>
      </c>
      <c r="W94" s="1062" t="str">
        <f>IFERROR(VLOOKUP($A94,'2018'!$A:$BB,24,FALSE),"")</f>
        <v>No</v>
      </c>
      <c r="X94" s="1062" t="str">
        <f>IFERROR(VLOOKUP($A94,'2018'!$A:$BB,41,FALSE),"")</f>
        <v>Region 1</v>
      </c>
      <c r="Y94" s="1062" t="str">
        <f>IFERROR(VLOOKUP($A94,'2018'!$A:$BB,42,FALSE),"")</f>
        <v>(50-99)</v>
      </c>
      <c r="Z94" s="1062" t="str">
        <f>IFERROR(VLOOKUP($A94,'2018'!$A:$BB,45,FALSE),"")</f>
        <v>(50-99)</v>
      </c>
      <c r="AA94" s="731">
        <v>2018</v>
      </c>
      <c r="AB94" s="733" t="s">
        <v>3803</v>
      </c>
      <c r="AC94" s="734" t="s">
        <v>317</v>
      </c>
      <c r="AD94" s="734" t="s">
        <v>3648</v>
      </c>
      <c r="AE94" s="734" t="s">
        <v>307</v>
      </c>
      <c r="AF94" s="734" t="s">
        <v>113</v>
      </c>
      <c r="AG94" s="732" t="s">
        <v>3972</v>
      </c>
      <c r="AH94" s="732" t="s">
        <v>3973</v>
      </c>
      <c r="AI94" s="734">
        <v>8</v>
      </c>
      <c r="AJ94" s="748" t="s">
        <v>3992</v>
      </c>
      <c r="AK94" s="757">
        <v>909678</v>
      </c>
      <c r="AL94" s="756">
        <v>373</v>
      </c>
      <c r="AM94" s="755">
        <v>909678</v>
      </c>
      <c r="AN94" s="756">
        <v>374</v>
      </c>
      <c r="AO94" s="776">
        <f t="shared" ref="AO94:AO95" si="22">AM94</f>
        <v>909678</v>
      </c>
      <c r="AP94" s="754">
        <f>AN94+1</f>
        <v>375</v>
      </c>
      <c r="AQ94" s="771" t="s">
        <v>3979</v>
      </c>
      <c r="AR94" s="732" t="s">
        <v>2661</v>
      </c>
      <c r="AS94" s="735"/>
      <c r="AT94" s="735"/>
      <c r="AU94" s="732" t="s">
        <v>3980</v>
      </c>
      <c r="AV94" s="735"/>
      <c r="AW94" s="735"/>
    </row>
    <row r="95" spans="1:49" s="739" customFormat="1">
      <c r="A95" s="736" t="s">
        <v>259</v>
      </c>
      <c r="B95" s="736" t="s">
        <v>259</v>
      </c>
      <c r="C95" s="736"/>
      <c r="D95" s="736" t="s">
        <v>4181</v>
      </c>
      <c r="E95" s="736" t="s">
        <v>4181</v>
      </c>
      <c r="F95" s="1059">
        <f>IFERROR(VLOOKUP($A95,'2018'!$A:$BB,3,FALSE),"")</f>
        <v>330441961</v>
      </c>
      <c r="G95" s="1055" t="str">
        <f>IFERROR(VLOOKUP($A95,'2018'!$A:$BB,4,FALSE),"")</f>
        <v>5928 Farnsworth Court
Carlsbad, CA 92008</v>
      </c>
      <c r="H95" s="1055" t="str">
        <f>IFERROR(VLOOKUP($A95,'2018'!$A:$BB,5,FALSE),"")</f>
        <v xml:space="preserve">Qingmei Wang
760.431.8284 x 184
qingmei.wang@carlsbadtech.com </v>
      </c>
      <c r="I95" s="1055" t="str">
        <f>IFERROR(VLOOKUP($A95,'2018'!$A:$BB,6,FALSE),"")</f>
        <v xml:space="preserve">Qingmei Wang
760.431.8284 x 184
qingmei.wang@carlsbadtech.com </v>
      </c>
      <c r="J95" s="1055" t="str">
        <f>IFERROR(VLOOKUP($A95,'2018'!$A:$BB,7,FALSE),"")</f>
        <v>HUB (San Diego)</v>
      </c>
      <c r="K95" s="1055" t="str">
        <f>IFERROR(VLOOKUP($A95,'2018'!$A:$BB,8,FALSE),"")</f>
        <v>Account Managed by HUB SD Team
Producer - Dave Duenas
Service Lead - Lydia Frazer
Account Rep - Courtney Stanley</v>
      </c>
      <c r="L95" s="1062" t="str">
        <f>IFERROR(VLOOKUP($A95,'2018'!$A:$BB,9,FALSE),"")</f>
        <v>Renewal</v>
      </c>
      <c r="M95" s="1067">
        <f>IFERROR(VLOOKUP($A95,'2018'!$A:$BB,10,FALSE),"")</f>
        <v>42979</v>
      </c>
      <c r="N95" s="1062">
        <f>IFERROR(VLOOKUP($A95,'2018'!$A:$BB,12,FALSE),"")</f>
        <v>85</v>
      </c>
      <c r="O95" s="1055" t="str">
        <f>IFERROR(VLOOKUP($A95,'2018'!$A:$BB,13,FALSE),"")</f>
        <v xml:space="preserve">IGOE </v>
      </c>
      <c r="P95" s="1055" t="str">
        <f>IFERROR(VLOOKUP($A95,'2018'!$A:$BB,14,FALSE),"")</f>
        <v xml:space="preserve">Maestro </v>
      </c>
      <c r="Q95" s="1055" t="str">
        <f>IFERROR(VLOOKUP($A95,'2018'!$A:$BB,16,FALSE),"")</f>
        <v>N/A</v>
      </c>
      <c r="R95" s="1055" t="str">
        <f>IFERROR(VLOOKUP($A95,'2018'!$A:$BB,17,FALSE),"")</f>
        <v>N/A</v>
      </c>
      <c r="S95" s="1062" t="str">
        <f>IFERROR(VLOOKUP($A95,'2018'!$A:$BB,20,FALSE),"")</f>
        <v>SCAL</v>
      </c>
      <c r="T95" s="1062" t="str">
        <f>IFERROR(VLOOKUP($A95,'2018'!$A:$BB,21,FALSE),"")</f>
        <v>Group B (34-44)</v>
      </c>
      <c r="U95" s="1062" t="str">
        <f>IFERROR(VLOOKUP($A95,'2018'!$A:$BB,22,FALSE),"")</f>
        <v>Expanded</v>
      </c>
      <c r="V95" s="1062" t="str">
        <f>IFERROR(VLOOKUP($A95,'2018'!$A:$BB,23,FALSE),"")</f>
        <v>Advantage</v>
      </c>
      <c r="W95" s="1062" t="str">
        <f>IFERROR(VLOOKUP($A95,'2018'!$A:$BB,24,FALSE),"")</f>
        <v>No</v>
      </c>
      <c r="X95" s="1062" t="str">
        <f>IFERROR(VLOOKUP($A95,'2018'!$A:$BB,41,FALSE),"")</f>
        <v>Region 1</v>
      </c>
      <c r="Y95" s="1062" t="str">
        <f>IFERROR(VLOOKUP($A95,'2018'!$A:$BB,42,FALSE),"")</f>
        <v>(50-99)</v>
      </c>
      <c r="Z95" s="1062" t="str">
        <f>IFERROR(VLOOKUP($A95,'2018'!$A:$BB,45,FALSE),"")</f>
        <v>(50-99)</v>
      </c>
      <c r="AA95" s="731">
        <v>2018</v>
      </c>
      <c r="AB95" s="733" t="s">
        <v>3803</v>
      </c>
      <c r="AC95" s="734" t="s">
        <v>317</v>
      </c>
      <c r="AD95" s="734" t="s">
        <v>3648</v>
      </c>
      <c r="AE95" s="734" t="s">
        <v>307</v>
      </c>
      <c r="AF95" s="734" t="s">
        <v>113</v>
      </c>
      <c r="AG95" s="732" t="s">
        <v>3972</v>
      </c>
      <c r="AH95" s="732" t="s">
        <v>3977</v>
      </c>
      <c r="AI95" s="734">
        <v>14</v>
      </c>
      <c r="AJ95" s="748" t="s">
        <v>3994</v>
      </c>
      <c r="AK95" s="757">
        <v>909678</v>
      </c>
      <c r="AL95" s="756">
        <v>625</v>
      </c>
      <c r="AM95" s="755">
        <v>909678</v>
      </c>
      <c r="AN95" s="756">
        <v>626</v>
      </c>
      <c r="AO95" s="776">
        <f t="shared" si="22"/>
        <v>909678</v>
      </c>
      <c r="AP95" s="754">
        <f>AN95+1</f>
        <v>627</v>
      </c>
      <c r="AQ95" s="771" t="s">
        <v>3979</v>
      </c>
      <c r="AR95" s="732" t="s">
        <v>2661</v>
      </c>
      <c r="AS95" s="735"/>
      <c r="AT95" s="735"/>
      <c r="AU95" s="732" t="s">
        <v>3980</v>
      </c>
      <c r="AV95" s="735"/>
      <c r="AW95" s="735"/>
    </row>
    <row r="96" spans="1:49" s="739" customFormat="1">
      <c r="A96" s="736"/>
      <c r="B96" s="736"/>
      <c r="C96" s="736"/>
      <c r="D96" s="736"/>
      <c r="E96" s="736"/>
      <c r="F96" s="1059" t="str">
        <f>IFERROR(VLOOKUP($A96,'2018'!$A:$BB,3,FALSE),"")</f>
        <v/>
      </c>
      <c r="G96" s="1055" t="str">
        <f>IFERROR(VLOOKUP($A96,'2018'!$A:$BB,4,FALSE),"")</f>
        <v/>
      </c>
      <c r="H96" s="1055" t="str">
        <f>IFERROR(VLOOKUP($A96,'2018'!$A:$BB,5,FALSE),"")</f>
        <v/>
      </c>
      <c r="I96" s="1055" t="str">
        <f>IFERROR(VLOOKUP($A96,'2018'!$A:$BB,6,FALSE),"")</f>
        <v/>
      </c>
      <c r="J96" s="1055" t="str">
        <f>IFERROR(VLOOKUP($A96,'2018'!$A:$BB,7,FALSE),"")</f>
        <v/>
      </c>
      <c r="K96" s="1055" t="str">
        <f>IFERROR(VLOOKUP($A96,'2018'!$A:$BB,8,FALSE),"")</f>
        <v/>
      </c>
      <c r="L96" s="1062" t="str">
        <f>IFERROR(VLOOKUP($A96,'2018'!$A:$BB,9,FALSE),"")</f>
        <v/>
      </c>
      <c r="M96" s="1067" t="str">
        <f>IFERROR(VLOOKUP($A96,'2018'!$A:$BB,10,FALSE),"")</f>
        <v/>
      </c>
      <c r="N96" s="1062" t="str">
        <f>IFERROR(VLOOKUP($A96,'2018'!$A:$BB,12,FALSE),"")</f>
        <v/>
      </c>
      <c r="O96" s="1055" t="str">
        <f>IFERROR(VLOOKUP($A96,'2018'!$A:$BB,13,FALSE),"")</f>
        <v/>
      </c>
      <c r="P96" s="1055" t="str">
        <f>IFERROR(VLOOKUP($A96,'2018'!$A:$BB,14,FALSE),"")</f>
        <v/>
      </c>
      <c r="Q96" s="1055" t="str">
        <f>IFERROR(VLOOKUP($A96,'2018'!$A:$BB,16,FALSE),"")</f>
        <v/>
      </c>
      <c r="R96" s="1055" t="str">
        <f>IFERROR(VLOOKUP($A96,'2018'!$A:$BB,17,FALSE),"")</f>
        <v/>
      </c>
      <c r="S96" s="1062" t="str">
        <f>IFERROR(VLOOKUP($A96,'2018'!$A:$BB,20,FALSE),"")</f>
        <v/>
      </c>
      <c r="T96" s="1062" t="str">
        <f>IFERROR(VLOOKUP($A96,'2018'!$A:$BB,21,FALSE),"")</f>
        <v/>
      </c>
      <c r="U96" s="1062" t="str">
        <f>IFERROR(VLOOKUP($A96,'2018'!$A:$BB,22,FALSE),"")</f>
        <v/>
      </c>
      <c r="V96" s="1062" t="str">
        <f>IFERROR(VLOOKUP($A96,'2018'!$A:$BB,23,FALSE),"")</f>
        <v/>
      </c>
      <c r="W96" s="1062" t="str">
        <f>IFERROR(VLOOKUP($A96,'2018'!$A:$BB,24,FALSE),"")</f>
        <v/>
      </c>
      <c r="X96" s="1062" t="str">
        <f>IFERROR(VLOOKUP($A96,'2018'!$A:$BB,41,FALSE),"")</f>
        <v/>
      </c>
      <c r="Y96" s="1062" t="str">
        <f>IFERROR(VLOOKUP($A96,'2018'!$A:$BB,42,FALSE),"")</f>
        <v/>
      </c>
      <c r="Z96" s="1062" t="str">
        <f>IFERROR(VLOOKUP($A96,'2018'!$A:$BB,45,FALSE),"")</f>
        <v/>
      </c>
      <c r="AA96" s="741"/>
      <c r="AB96" s="733"/>
      <c r="AC96" s="734"/>
      <c r="AD96" s="734"/>
      <c r="AE96" s="734"/>
      <c r="AF96" s="734"/>
      <c r="AG96" s="732"/>
      <c r="AH96" s="732"/>
      <c r="AI96" s="734"/>
      <c r="AJ96" s="748"/>
      <c r="AK96" s="758"/>
      <c r="AL96" s="756"/>
      <c r="AM96" s="753"/>
      <c r="AN96" s="754"/>
      <c r="AO96" s="776"/>
      <c r="AP96" s="754"/>
      <c r="AQ96" s="771"/>
      <c r="AR96" s="732"/>
      <c r="AS96" s="732"/>
      <c r="AT96" s="732"/>
      <c r="AU96" s="732"/>
      <c r="AV96" s="732"/>
      <c r="AW96" s="732"/>
    </row>
    <row r="97" spans="1:49">
      <c r="A97" s="736" t="s">
        <v>408</v>
      </c>
      <c r="B97" s="736" t="s">
        <v>408</v>
      </c>
      <c r="C97" s="736"/>
      <c r="D97" s="736" t="s">
        <v>408</v>
      </c>
      <c r="E97" s="736" t="s">
        <v>408</v>
      </c>
      <c r="F97" s="1059">
        <f>IFERROR(VLOOKUP($A97,'2018'!$A:$BB,3,FALSE),"")</f>
        <v>61673385</v>
      </c>
      <c r="G97" s="1055" t="str">
        <f>IFERROR(VLOOKUP($A97,'2018'!$A:$BB,4,FALSE),"")</f>
        <v>1561 Industrial Road
San Carlos, CA 94070</v>
      </c>
      <c r="H97" s="1055" t="str">
        <f>IFERROR(VLOOKUP($A97,'2018'!$A:$BB,5,FALSE),"")</f>
        <v>Joan Hughes
650-232-2103
jhughes@cellerant.com</v>
      </c>
      <c r="I97" s="1055" t="str">
        <f>IFERROR(VLOOKUP($A97,'2018'!$A:$BB,6,FALSE),"")</f>
        <v>Joan Hughes
650-232-2103
jhughes@cellerant.com</v>
      </c>
      <c r="J97" s="1055" t="str">
        <f>IFERROR(VLOOKUP($A97,'2018'!$A:$BB,7,FALSE),"")</f>
        <v>ABD</v>
      </c>
      <c r="K97" s="1055" t="str">
        <f>IFERROR(VLOOKUP($A97,'2018'!$A:$BB,8,FALSE),"")</f>
        <v>Account Managed by ABD Team
Catherine Walker
cathy.walker@theabdteam.com</v>
      </c>
      <c r="L97" s="1062" t="str">
        <f>IFERROR(VLOOKUP($A97,'2018'!$A:$BB,9,FALSE),"")</f>
        <v>Renewal</v>
      </c>
      <c r="M97" s="1067">
        <f>IFERROR(VLOOKUP($A97,'2018'!$A:$BB,10,FALSE),"")</f>
        <v>42887</v>
      </c>
      <c r="N97" s="1062">
        <f>IFERROR(VLOOKUP($A97,'2018'!$A:$BB,12,FALSE),"")</f>
        <v>34</v>
      </c>
      <c r="O97" s="1055" t="str">
        <f>IFERROR(VLOOKUP($A97,'2018'!$A:$BB,13,FALSE),"")</f>
        <v xml:space="preserve">IGOE </v>
      </c>
      <c r="P97" s="1055" t="str">
        <f>IFERROR(VLOOKUP($A97,'2018'!$A:$BB,14,FALSE),"")</f>
        <v xml:space="preserve">Maestro </v>
      </c>
      <c r="Q97" s="1055" t="str">
        <f>IFERROR(VLOOKUP($A97,'2018'!$A:$BB,16,FALSE),"")</f>
        <v>IGOE</v>
      </c>
      <c r="R97" s="1055" t="str">
        <f>IFERROR(VLOOKUP($A97,'2018'!$A:$BB,17,FALSE),"")</f>
        <v>Optum Health</v>
      </c>
      <c r="S97" s="1062" t="str">
        <f>IFERROR(VLOOKUP($A97,'2018'!$A:$BB,20,FALSE),"")</f>
        <v>NCAL</v>
      </c>
      <c r="T97" s="1062" t="str">
        <f>IFERROR(VLOOKUP($A97,'2018'!$A:$BB,21,FALSE),"")</f>
        <v>Group C (44-54)</v>
      </c>
      <c r="U97" s="1062" t="str">
        <f>IFERROR(VLOOKUP($A97,'2018'!$A:$BB,22,FALSE),"")</f>
        <v>Expanded</v>
      </c>
      <c r="V97" s="1062" t="str">
        <f>IFERROR(VLOOKUP($A97,'2018'!$A:$BB,23,FALSE),"")</f>
        <v>Advantage</v>
      </c>
      <c r="W97" s="1062" t="str">
        <f>IFERROR(VLOOKUP($A97,'2018'!$A:$BB,24,FALSE),"")</f>
        <v>No</v>
      </c>
      <c r="X97" s="1062" t="str">
        <f>IFERROR(VLOOKUP($A97,'2018'!$A:$BB,41,FALSE),"")</f>
        <v xml:space="preserve">Region 3 </v>
      </c>
      <c r="Y97" s="1062" t="str">
        <f>IFERROR(VLOOKUP($A97,'2018'!$A:$BB,42,FALSE),"")</f>
        <v>(25-49)</v>
      </c>
      <c r="Z97" s="1062" t="str">
        <f>IFERROR(VLOOKUP($A97,'2018'!$A:$BB,45,FALSE),"")</f>
        <v xml:space="preserve"> (2-49)</v>
      </c>
      <c r="AA97" s="731">
        <v>2018</v>
      </c>
      <c r="AB97" s="733" t="s">
        <v>3805</v>
      </c>
      <c r="AC97" s="734" t="s">
        <v>303</v>
      </c>
      <c r="AD97" s="734" t="s">
        <v>3656</v>
      </c>
      <c r="AE97" s="734" t="s">
        <v>307</v>
      </c>
      <c r="AF97" s="734" t="s">
        <v>113</v>
      </c>
      <c r="AG97" s="732" t="s">
        <v>3962</v>
      </c>
      <c r="AH97" s="732" t="s">
        <v>3963</v>
      </c>
      <c r="AI97" s="734">
        <v>1</v>
      </c>
      <c r="AJ97" s="748" t="s">
        <v>3998</v>
      </c>
      <c r="AK97" s="758">
        <v>260056</v>
      </c>
      <c r="AL97" s="756">
        <v>157</v>
      </c>
      <c r="AM97" s="758">
        <v>260057</v>
      </c>
      <c r="AN97" s="756">
        <v>158</v>
      </c>
      <c r="AO97" s="776">
        <f>AM97+1</f>
        <v>260058</v>
      </c>
      <c r="AP97" s="754">
        <f>AN97+1</f>
        <v>159</v>
      </c>
      <c r="AQ97" s="771" t="s">
        <v>3979</v>
      </c>
      <c r="AR97" s="732" t="s">
        <v>2661</v>
      </c>
      <c r="AS97" s="735"/>
      <c r="AT97" s="735"/>
      <c r="AU97" s="732" t="s">
        <v>3980</v>
      </c>
      <c r="AV97" s="735"/>
      <c r="AW97" s="735"/>
    </row>
    <row r="98" spans="1:49" s="739" customFormat="1">
      <c r="A98" s="736" t="s">
        <v>408</v>
      </c>
      <c r="B98" s="736" t="s">
        <v>408</v>
      </c>
      <c r="C98" s="736"/>
      <c r="D98" s="736" t="s">
        <v>408</v>
      </c>
      <c r="E98" s="736" t="s">
        <v>408</v>
      </c>
      <c r="F98" s="1059">
        <f>IFERROR(VLOOKUP($A98,'2018'!$A:$BB,3,FALSE),"")</f>
        <v>61673385</v>
      </c>
      <c r="G98" s="1055" t="str">
        <f>IFERROR(VLOOKUP($A98,'2018'!$A:$BB,4,FALSE),"")</f>
        <v>1561 Industrial Road
San Carlos, CA 94070</v>
      </c>
      <c r="H98" s="1055" t="str">
        <f>IFERROR(VLOOKUP($A98,'2018'!$A:$BB,5,FALSE),"")</f>
        <v>Joan Hughes
650-232-2103
jhughes@cellerant.com</v>
      </c>
      <c r="I98" s="1055" t="str">
        <f>IFERROR(VLOOKUP($A98,'2018'!$A:$BB,6,FALSE),"")</f>
        <v>Joan Hughes
650-232-2103
jhughes@cellerant.com</v>
      </c>
      <c r="J98" s="1055" t="str">
        <f>IFERROR(VLOOKUP($A98,'2018'!$A:$BB,7,FALSE),"")</f>
        <v>ABD</v>
      </c>
      <c r="K98" s="1055" t="str">
        <f>IFERROR(VLOOKUP($A98,'2018'!$A:$BB,8,FALSE),"")</f>
        <v>Account Managed by ABD Team
Catherine Walker
cathy.walker@theabdteam.com</v>
      </c>
      <c r="L98" s="1062" t="str">
        <f>IFERROR(VLOOKUP($A98,'2018'!$A:$BB,9,FALSE),"")</f>
        <v>Renewal</v>
      </c>
      <c r="M98" s="1067">
        <f>IFERROR(VLOOKUP($A98,'2018'!$A:$BB,10,FALSE),"")</f>
        <v>42887</v>
      </c>
      <c r="N98" s="1062">
        <f>IFERROR(VLOOKUP($A98,'2018'!$A:$BB,12,FALSE),"")</f>
        <v>34</v>
      </c>
      <c r="O98" s="1055" t="str">
        <f>IFERROR(VLOOKUP($A98,'2018'!$A:$BB,13,FALSE),"")</f>
        <v xml:space="preserve">IGOE </v>
      </c>
      <c r="P98" s="1055" t="str">
        <f>IFERROR(VLOOKUP($A98,'2018'!$A:$BB,14,FALSE),"")</f>
        <v xml:space="preserve">Maestro </v>
      </c>
      <c r="Q98" s="1055" t="str">
        <f>IFERROR(VLOOKUP($A98,'2018'!$A:$BB,16,FALSE),"")</f>
        <v>IGOE</v>
      </c>
      <c r="R98" s="1055" t="str">
        <f>IFERROR(VLOOKUP($A98,'2018'!$A:$BB,17,FALSE),"")</f>
        <v>Optum Health</v>
      </c>
      <c r="S98" s="1062" t="str">
        <f>IFERROR(VLOOKUP($A98,'2018'!$A:$BB,20,FALSE),"")</f>
        <v>NCAL</v>
      </c>
      <c r="T98" s="1062" t="str">
        <f>IFERROR(VLOOKUP($A98,'2018'!$A:$BB,21,FALSE),"")</f>
        <v>Group C (44-54)</v>
      </c>
      <c r="U98" s="1062" t="str">
        <f>IFERROR(VLOOKUP($A98,'2018'!$A:$BB,22,FALSE),"")</f>
        <v>Expanded</v>
      </c>
      <c r="V98" s="1062" t="str">
        <f>IFERROR(VLOOKUP($A98,'2018'!$A:$BB,23,FALSE),"")</f>
        <v>Advantage</v>
      </c>
      <c r="W98" s="1062" t="str">
        <f>IFERROR(VLOOKUP($A98,'2018'!$A:$BB,24,FALSE),"")</f>
        <v>No</v>
      </c>
      <c r="X98" s="1062" t="str">
        <f>IFERROR(VLOOKUP($A98,'2018'!$A:$BB,41,FALSE),"")</f>
        <v xml:space="preserve">Region 3 </v>
      </c>
      <c r="Y98" s="1062" t="str">
        <f>IFERROR(VLOOKUP($A98,'2018'!$A:$BB,42,FALSE),"")</f>
        <v>(25-49)</v>
      </c>
      <c r="Z98" s="1062" t="str">
        <f>IFERROR(VLOOKUP($A98,'2018'!$A:$BB,45,FALSE),"")</f>
        <v xml:space="preserve"> (2-49)</v>
      </c>
      <c r="AA98" s="731">
        <v>2018</v>
      </c>
      <c r="AB98" s="733" t="s">
        <v>3805</v>
      </c>
      <c r="AC98" s="734" t="s">
        <v>303</v>
      </c>
      <c r="AD98" s="734" t="s">
        <v>3656</v>
      </c>
      <c r="AE98" s="734" t="s">
        <v>307</v>
      </c>
      <c r="AF98" s="734" t="s">
        <v>113</v>
      </c>
      <c r="AG98" s="732" t="s">
        <v>3972</v>
      </c>
      <c r="AH98" s="732" t="s">
        <v>3973</v>
      </c>
      <c r="AI98" s="734">
        <v>7</v>
      </c>
      <c r="AJ98" s="748" t="s">
        <v>4001</v>
      </c>
      <c r="AK98" s="757">
        <v>909678</v>
      </c>
      <c r="AL98" s="756">
        <v>328</v>
      </c>
      <c r="AM98" s="755">
        <v>909678</v>
      </c>
      <c r="AN98" s="756">
        <v>329</v>
      </c>
      <c r="AO98" s="776">
        <f t="shared" ref="AO98:AO101" si="23">AM98</f>
        <v>909678</v>
      </c>
      <c r="AP98" s="754">
        <f>AN98+1</f>
        <v>330</v>
      </c>
      <c r="AQ98" s="771" t="s">
        <v>3979</v>
      </c>
      <c r="AR98" s="732" t="s">
        <v>2661</v>
      </c>
      <c r="AS98" s="735"/>
      <c r="AT98" s="735"/>
      <c r="AU98" s="732" t="s">
        <v>3980</v>
      </c>
      <c r="AV98" s="735"/>
      <c r="AW98" s="735"/>
    </row>
    <row r="99" spans="1:49" s="739" customFormat="1">
      <c r="A99" s="736" t="s">
        <v>408</v>
      </c>
      <c r="B99" s="736" t="s">
        <v>408</v>
      </c>
      <c r="C99" s="736"/>
      <c r="D99" s="736" t="s">
        <v>408</v>
      </c>
      <c r="E99" s="736" t="s">
        <v>408</v>
      </c>
      <c r="F99" s="1059">
        <f>IFERROR(VLOOKUP($A99,'2018'!$A:$BB,3,FALSE),"")</f>
        <v>61673385</v>
      </c>
      <c r="G99" s="1055" t="str">
        <f>IFERROR(VLOOKUP($A99,'2018'!$A:$BB,4,FALSE),"")</f>
        <v>1561 Industrial Road
San Carlos, CA 94070</v>
      </c>
      <c r="H99" s="1055" t="str">
        <f>IFERROR(VLOOKUP($A99,'2018'!$A:$BB,5,FALSE),"")</f>
        <v>Joan Hughes
650-232-2103
jhughes@cellerant.com</v>
      </c>
      <c r="I99" s="1055" t="str">
        <f>IFERROR(VLOOKUP($A99,'2018'!$A:$BB,6,FALSE),"")</f>
        <v>Joan Hughes
650-232-2103
jhughes@cellerant.com</v>
      </c>
      <c r="J99" s="1055" t="str">
        <f>IFERROR(VLOOKUP($A99,'2018'!$A:$BB,7,FALSE),"")</f>
        <v>ABD</v>
      </c>
      <c r="K99" s="1055" t="str">
        <f>IFERROR(VLOOKUP($A99,'2018'!$A:$BB,8,FALSE),"")</f>
        <v>Account Managed by ABD Team
Catherine Walker
cathy.walker@theabdteam.com</v>
      </c>
      <c r="L99" s="1062" t="str">
        <f>IFERROR(VLOOKUP($A99,'2018'!$A:$BB,9,FALSE),"")</f>
        <v>Renewal</v>
      </c>
      <c r="M99" s="1067">
        <f>IFERROR(VLOOKUP($A99,'2018'!$A:$BB,10,FALSE),"")</f>
        <v>42887</v>
      </c>
      <c r="N99" s="1062">
        <f>IFERROR(VLOOKUP($A99,'2018'!$A:$BB,12,FALSE),"")</f>
        <v>34</v>
      </c>
      <c r="O99" s="1055" t="str">
        <f>IFERROR(VLOOKUP($A99,'2018'!$A:$BB,13,FALSE),"")</f>
        <v xml:space="preserve">IGOE </v>
      </c>
      <c r="P99" s="1055" t="str">
        <f>IFERROR(VLOOKUP($A99,'2018'!$A:$BB,14,FALSE),"")</f>
        <v xml:space="preserve">Maestro </v>
      </c>
      <c r="Q99" s="1055" t="str">
        <f>IFERROR(VLOOKUP($A99,'2018'!$A:$BB,16,FALSE),"")</f>
        <v>IGOE</v>
      </c>
      <c r="R99" s="1055" t="str">
        <f>IFERROR(VLOOKUP($A99,'2018'!$A:$BB,17,FALSE),"")</f>
        <v>Optum Health</v>
      </c>
      <c r="S99" s="1062" t="str">
        <f>IFERROR(VLOOKUP($A99,'2018'!$A:$BB,20,FALSE),"")</f>
        <v>NCAL</v>
      </c>
      <c r="T99" s="1062" t="str">
        <f>IFERROR(VLOOKUP($A99,'2018'!$A:$BB,21,FALSE),"")</f>
        <v>Group C (44-54)</v>
      </c>
      <c r="U99" s="1062" t="str">
        <f>IFERROR(VLOOKUP($A99,'2018'!$A:$BB,22,FALSE),"")</f>
        <v>Expanded</v>
      </c>
      <c r="V99" s="1062" t="str">
        <f>IFERROR(VLOOKUP($A99,'2018'!$A:$BB,23,FALSE),"")</f>
        <v>Advantage</v>
      </c>
      <c r="W99" s="1062" t="str">
        <f>IFERROR(VLOOKUP($A99,'2018'!$A:$BB,24,FALSE),"")</f>
        <v>No</v>
      </c>
      <c r="X99" s="1062" t="str">
        <f>IFERROR(VLOOKUP($A99,'2018'!$A:$BB,41,FALSE),"")</f>
        <v xml:space="preserve">Region 3 </v>
      </c>
      <c r="Y99" s="1062" t="str">
        <f>IFERROR(VLOOKUP($A99,'2018'!$A:$BB,42,FALSE),"")</f>
        <v>(25-49)</v>
      </c>
      <c r="Z99" s="1062" t="str">
        <f>IFERROR(VLOOKUP($A99,'2018'!$A:$BB,45,FALSE),"")</f>
        <v xml:space="preserve"> (2-49)</v>
      </c>
      <c r="AA99" s="731">
        <v>2018</v>
      </c>
      <c r="AB99" s="733" t="s">
        <v>3805</v>
      </c>
      <c r="AC99" s="734" t="s">
        <v>303</v>
      </c>
      <c r="AD99" s="734" t="s">
        <v>3656</v>
      </c>
      <c r="AE99" s="734" t="s">
        <v>307</v>
      </c>
      <c r="AF99" s="734" t="s">
        <v>113</v>
      </c>
      <c r="AG99" s="732" t="s">
        <v>3972</v>
      </c>
      <c r="AH99" s="732" t="s">
        <v>3977</v>
      </c>
      <c r="AI99" s="734">
        <v>13</v>
      </c>
      <c r="AJ99" s="748" t="s">
        <v>4004</v>
      </c>
      <c r="AK99" s="757">
        <v>909678</v>
      </c>
      <c r="AL99" s="756">
        <v>580</v>
      </c>
      <c r="AM99" s="755">
        <v>909678</v>
      </c>
      <c r="AN99" s="756">
        <v>581</v>
      </c>
      <c r="AO99" s="776">
        <f t="shared" si="23"/>
        <v>909678</v>
      </c>
      <c r="AP99" s="754">
        <f>AN99+1</f>
        <v>582</v>
      </c>
      <c r="AQ99" s="771" t="s">
        <v>3979</v>
      </c>
      <c r="AR99" s="732" t="s">
        <v>2661</v>
      </c>
      <c r="AS99" s="735"/>
      <c r="AT99" s="735"/>
      <c r="AU99" s="732" t="s">
        <v>3980</v>
      </c>
      <c r="AV99" s="735"/>
      <c r="AW99" s="735"/>
    </row>
    <row r="100" spans="1:49" s="739" customFormat="1">
      <c r="A100" s="736" t="s">
        <v>408</v>
      </c>
      <c r="B100" s="736" t="s">
        <v>408</v>
      </c>
      <c r="C100" s="736"/>
      <c r="D100" s="736" t="s">
        <v>408</v>
      </c>
      <c r="E100" s="736" t="s">
        <v>408</v>
      </c>
      <c r="F100" s="1059">
        <f>IFERROR(VLOOKUP($A100,'2018'!$A:$BB,3,FALSE),"")</f>
        <v>61673385</v>
      </c>
      <c r="G100" s="1055" t="str">
        <f>IFERROR(VLOOKUP($A100,'2018'!$A:$BB,4,FALSE),"")</f>
        <v>1561 Industrial Road
San Carlos, CA 94070</v>
      </c>
      <c r="H100" s="1055" t="str">
        <f>IFERROR(VLOOKUP($A100,'2018'!$A:$BB,5,FALSE),"")</f>
        <v>Joan Hughes
650-232-2103
jhughes@cellerant.com</v>
      </c>
      <c r="I100" s="1055" t="str">
        <f>IFERROR(VLOOKUP($A100,'2018'!$A:$BB,6,FALSE),"")</f>
        <v>Joan Hughes
650-232-2103
jhughes@cellerant.com</v>
      </c>
      <c r="J100" s="1055" t="str">
        <f>IFERROR(VLOOKUP($A100,'2018'!$A:$BB,7,FALSE),"")</f>
        <v>ABD</v>
      </c>
      <c r="K100" s="1055" t="str">
        <f>IFERROR(VLOOKUP($A100,'2018'!$A:$BB,8,FALSE),"")</f>
        <v>Account Managed by ABD Team
Catherine Walker
cathy.walker@theabdteam.com</v>
      </c>
      <c r="L100" s="1062" t="str">
        <f>IFERROR(VLOOKUP($A100,'2018'!$A:$BB,9,FALSE),"")</f>
        <v>Renewal</v>
      </c>
      <c r="M100" s="1067">
        <f>IFERROR(VLOOKUP($A100,'2018'!$A:$BB,10,FALSE),"")</f>
        <v>42887</v>
      </c>
      <c r="N100" s="1062">
        <f>IFERROR(VLOOKUP($A100,'2018'!$A:$BB,12,FALSE),"")</f>
        <v>34</v>
      </c>
      <c r="O100" s="1055" t="str">
        <f>IFERROR(VLOOKUP($A100,'2018'!$A:$BB,13,FALSE),"")</f>
        <v xml:space="preserve">IGOE </v>
      </c>
      <c r="P100" s="1055" t="str">
        <f>IFERROR(VLOOKUP($A100,'2018'!$A:$BB,14,FALSE),"")</f>
        <v xml:space="preserve">Maestro </v>
      </c>
      <c r="Q100" s="1055" t="str">
        <f>IFERROR(VLOOKUP($A100,'2018'!$A:$BB,16,FALSE),"")</f>
        <v>IGOE</v>
      </c>
      <c r="R100" s="1055" t="str">
        <f>IFERROR(VLOOKUP($A100,'2018'!$A:$BB,17,FALSE),"")</f>
        <v>Optum Health</v>
      </c>
      <c r="S100" s="1062" t="str">
        <f>IFERROR(VLOOKUP($A100,'2018'!$A:$BB,20,FALSE),"")</f>
        <v>NCAL</v>
      </c>
      <c r="T100" s="1062" t="str">
        <f>IFERROR(VLOOKUP($A100,'2018'!$A:$BB,21,FALSE),"")</f>
        <v>Group C (44-54)</v>
      </c>
      <c r="U100" s="1062" t="str">
        <f>IFERROR(VLOOKUP($A100,'2018'!$A:$BB,22,FALSE),"")</f>
        <v>Expanded</v>
      </c>
      <c r="V100" s="1062" t="str">
        <f>IFERROR(VLOOKUP($A100,'2018'!$A:$BB,23,FALSE),"")</f>
        <v>Advantage</v>
      </c>
      <c r="W100" s="1062" t="str">
        <f>IFERROR(VLOOKUP($A100,'2018'!$A:$BB,24,FALSE),"")</f>
        <v>No</v>
      </c>
      <c r="X100" s="1062" t="str">
        <f>IFERROR(VLOOKUP($A100,'2018'!$A:$BB,41,FALSE),"")</f>
        <v xml:space="preserve">Region 3 </v>
      </c>
      <c r="Y100" s="1062" t="str">
        <f>IFERROR(VLOOKUP($A100,'2018'!$A:$BB,42,FALSE),"")</f>
        <v>(25-49)</v>
      </c>
      <c r="Z100" s="1062" t="str">
        <f>IFERROR(VLOOKUP($A100,'2018'!$A:$BB,45,FALSE),"")</f>
        <v xml:space="preserve"> (2-49)</v>
      </c>
      <c r="AA100" s="731">
        <v>2018</v>
      </c>
      <c r="AB100" s="733" t="s">
        <v>3805</v>
      </c>
      <c r="AC100" s="734" t="s">
        <v>303</v>
      </c>
      <c r="AD100" s="734" t="s">
        <v>3656</v>
      </c>
      <c r="AE100" s="734" t="s">
        <v>307</v>
      </c>
      <c r="AF100" s="734" t="s">
        <v>113</v>
      </c>
      <c r="AG100" s="732" t="s">
        <v>3981</v>
      </c>
      <c r="AH100" s="732" t="s">
        <v>3973</v>
      </c>
      <c r="AI100" s="734">
        <v>11</v>
      </c>
      <c r="AJ100" s="748" t="s">
        <v>3982</v>
      </c>
      <c r="AK100" s="757">
        <v>909678</v>
      </c>
      <c r="AL100" s="756">
        <v>472</v>
      </c>
      <c r="AM100" s="755">
        <v>909678</v>
      </c>
      <c r="AN100" s="756">
        <v>473</v>
      </c>
      <c r="AO100" s="776">
        <f t="shared" si="23"/>
        <v>909678</v>
      </c>
      <c r="AP100" s="754">
        <f>AN100+1</f>
        <v>474</v>
      </c>
      <c r="AQ100" s="771" t="s">
        <v>3979</v>
      </c>
      <c r="AR100" s="732" t="s">
        <v>2661</v>
      </c>
      <c r="AS100" s="735"/>
      <c r="AT100" s="735"/>
      <c r="AU100" s="732" t="s">
        <v>3980</v>
      </c>
      <c r="AV100" s="735"/>
      <c r="AW100" s="735"/>
    </row>
    <row r="101" spans="1:49" s="739" customFormat="1">
      <c r="A101" s="736" t="s">
        <v>408</v>
      </c>
      <c r="B101" s="736" t="s">
        <v>408</v>
      </c>
      <c r="C101" s="736"/>
      <c r="D101" s="736" t="s">
        <v>408</v>
      </c>
      <c r="E101" s="736" t="s">
        <v>408</v>
      </c>
      <c r="F101" s="1059">
        <f>IFERROR(VLOOKUP($A101,'2018'!$A:$BB,3,FALSE),"")</f>
        <v>61673385</v>
      </c>
      <c r="G101" s="1055" t="str">
        <f>IFERROR(VLOOKUP($A101,'2018'!$A:$BB,4,FALSE),"")</f>
        <v>1561 Industrial Road
San Carlos, CA 94070</v>
      </c>
      <c r="H101" s="1055" t="str">
        <f>IFERROR(VLOOKUP($A101,'2018'!$A:$BB,5,FALSE),"")</f>
        <v>Joan Hughes
650-232-2103
jhughes@cellerant.com</v>
      </c>
      <c r="I101" s="1055" t="str">
        <f>IFERROR(VLOOKUP($A101,'2018'!$A:$BB,6,FALSE),"")</f>
        <v>Joan Hughes
650-232-2103
jhughes@cellerant.com</v>
      </c>
      <c r="J101" s="1055" t="str">
        <f>IFERROR(VLOOKUP($A101,'2018'!$A:$BB,7,FALSE),"")</f>
        <v>ABD</v>
      </c>
      <c r="K101" s="1055" t="str">
        <f>IFERROR(VLOOKUP($A101,'2018'!$A:$BB,8,FALSE),"")</f>
        <v>Account Managed by ABD Team
Catherine Walker
cathy.walker@theabdteam.com</v>
      </c>
      <c r="L101" s="1062" t="str">
        <f>IFERROR(VLOOKUP($A101,'2018'!$A:$BB,9,FALSE),"")</f>
        <v>Renewal</v>
      </c>
      <c r="M101" s="1067">
        <f>IFERROR(VLOOKUP($A101,'2018'!$A:$BB,10,FALSE),"")</f>
        <v>42887</v>
      </c>
      <c r="N101" s="1062">
        <f>IFERROR(VLOOKUP($A101,'2018'!$A:$BB,12,FALSE),"")</f>
        <v>34</v>
      </c>
      <c r="O101" s="1055" t="str">
        <f>IFERROR(VLOOKUP($A101,'2018'!$A:$BB,13,FALSE),"")</f>
        <v xml:space="preserve">IGOE </v>
      </c>
      <c r="P101" s="1055" t="str">
        <f>IFERROR(VLOOKUP($A101,'2018'!$A:$BB,14,FALSE),"")</f>
        <v xml:space="preserve">Maestro </v>
      </c>
      <c r="Q101" s="1055" t="str">
        <f>IFERROR(VLOOKUP($A101,'2018'!$A:$BB,16,FALSE),"")</f>
        <v>IGOE</v>
      </c>
      <c r="R101" s="1055" t="str">
        <f>IFERROR(VLOOKUP($A101,'2018'!$A:$BB,17,FALSE),"")</f>
        <v>Optum Health</v>
      </c>
      <c r="S101" s="1062" t="str">
        <f>IFERROR(VLOOKUP($A101,'2018'!$A:$BB,20,FALSE),"")</f>
        <v>NCAL</v>
      </c>
      <c r="T101" s="1062" t="str">
        <f>IFERROR(VLOOKUP($A101,'2018'!$A:$BB,21,FALSE),"")</f>
        <v>Group C (44-54)</v>
      </c>
      <c r="U101" s="1062" t="str">
        <f>IFERROR(VLOOKUP($A101,'2018'!$A:$BB,22,FALSE),"")</f>
        <v>Expanded</v>
      </c>
      <c r="V101" s="1062" t="str">
        <f>IFERROR(VLOOKUP($A101,'2018'!$A:$BB,23,FALSE),"")</f>
        <v>Advantage</v>
      </c>
      <c r="W101" s="1062" t="str">
        <f>IFERROR(VLOOKUP($A101,'2018'!$A:$BB,24,FALSE),"")</f>
        <v>No</v>
      </c>
      <c r="X101" s="1062" t="str">
        <f>IFERROR(VLOOKUP($A101,'2018'!$A:$BB,41,FALSE),"")</f>
        <v xml:space="preserve">Region 3 </v>
      </c>
      <c r="Y101" s="1062" t="str">
        <f>IFERROR(VLOOKUP($A101,'2018'!$A:$BB,42,FALSE),"")</f>
        <v>(25-49)</v>
      </c>
      <c r="Z101" s="1062" t="str">
        <f>IFERROR(VLOOKUP($A101,'2018'!$A:$BB,45,FALSE),"")</f>
        <v xml:space="preserve"> (2-49)</v>
      </c>
      <c r="AA101" s="731">
        <v>2018</v>
      </c>
      <c r="AB101" s="733" t="s">
        <v>3805</v>
      </c>
      <c r="AC101" s="734" t="s">
        <v>303</v>
      </c>
      <c r="AD101" s="734" t="s">
        <v>3656</v>
      </c>
      <c r="AE101" s="734" t="s">
        <v>307</v>
      </c>
      <c r="AF101" s="734" t="s">
        <v>113</v>
      </c>
      <c r="AG101" s="732" t="s">
        <v>3981</v>
      </c>
      <c r="AH101" s="732" t="s">
        <v>3977</v>
      </c>
      <c r="AI101" s="734">
        <v>16</v>
      </c>
      <c r="AJ101" s="748" t="s">
        <v>3985</v>
      </c>
      <c r="AK101" s="757">
        <v>909678</v>
      </c>
      <c r="AL101" s="756">
        <v>724</v>
      </c>
      <c r="AM101" s="755">
        <v>909678</v>
      </c>
      <c r="AN101" s="756">
        <v>725</v>
      </c>
      <c r="AO101" s="776">
        <f t="shared" si="23"/>
        <v>909678</v>
      </c>
      <c r="AP101" s="754">
        <f>AN101+1</f>
        <v>726</v>
      </c>
      <c r="AQ101" s="771" t="s">
        <v>3979</v>
      </c>
      <c r="AR101" s="732" t="s">
        <v>2661</v>
      </c>
      <c r="AS101" s="735"/>
      <c r="AT101" s="735"/>
      <c r="AU101" s="732" t="s">
        <v>3980</v>
      </c>
      <c r="AV101" s="735"/>
      <c r="AW101" s="735"/>
    </row>
    <row r="102" spans="1:49" s="739" customFormat="1">
      <c r="A102" s="736"/>
      <c r="B102" s="736"/>
      <c r="C102" s="736"/>
      <c r="D102" s="736"/>
      <c r="E102" s="736"/>
      <c r="F102" s="1059" t="str">
        <f>IFERROR(VLOOKUP($A102,'2018'!$A:$BB,3,FALSE),"")</f>
        <v/>
      </c>
      <c r="G102" s="1055" t="str">
        <f>IFERROR(VLOOKUP($A102,'2018'!$A:$BB,4,FALSE),"")</f>
        <v/>
      </c>
      <c r="H102" s="1055" t="str">
        <f>IFERROR(VLOOKUP($A102,'2018'!$A:$BB,5,FALSE),"")</f>
        <v/>
      </c>
      <c r="I102" s="1055" t="str">
        <f>IFERROR(VLOOKUP($A102,'2018'!$A:$BB,6,FALSE),"")</f>
        <v/>
      </c>
      <c r="J102" s="1055" t="str">
        <f>IFERROR(VLOOKUP($A102,'2018'!$A:$BB,7,FALSE),"")</f>
        <v/>
      </c>
      <c r="K102" s="1055" t="str">
        <f>IFERROR(VLOOKUP($A102,'2018'!$A:$BB,8,FALSE),"")</f>
        <v/>
      </c>
      <c r="L102" s="1062" t="str">
        <f>IFERROR(VLOOKUP($A102,'2018'!$A:$BB,9,FALSE),"")</f>
        <v/>
      </c>
      <c r="M102" s="1067" t="str">
        <f>IFERROR(VLOOKUP($A102,'2018'!$A:$BB,10,FALSE),"")</f>
        <v/>
      </c>
      <c r="N102" s="1062" t="str">
        <f>IFERROR(VLOOKUP($A102,'2018'!$A:$BB,12,FALSE),"")</f>
        <v/>
      </c>
      <c r="O102" s="1055" t="str">
        <f>IFERROR(VLOOKUP($A102,'2018'!$A:$BB,13,FALSE),"")</f>
        <v/>
      </c>
      <c r="P102" s="1055" t="str">
        <f>IFERROR(VLOOKUP($A102,'2018'!$A:$BB,14,FALSE),"")</f>
        <v/>
      </c>
      <c r="Q102" s="1055" t="str">
        <f>IFERROR(VLOOKUP($A102,'2018'!$A:$BB,16,FALSE),"")</f>
        <v/>
      </c>
      <c r="R102" s="1055" t="str">
        <f>IFERROR(VLOOKUP($A102,'2018'!$A:$BB,17,FALSE),"")</f>
        <v/>
      </c>
      <c r="S102" s="1062" t="str">
        <f>IFERROR(VLOOKUP($A102,'2018'!$A:$BB,20,FALSE),"")</f>
        <v/>
      </c>
      <c r="T102" s="1062" t="str">
        <f>IFERROR(VLOOKUP($A102,'2018'!$A:$BB,21,FALSE),"")</f>
        <v/>
      </c>
      <c r="U102" s="1062" t="str">
        <f>IFERROR(VLOOKUP($A102,'2018'!$A:$BB,22,FALSE),"")</f>
        <v/>
      </c>
      <c r="V102" s="1062" t="str">
        <f>IFERROR(VLOOKUP($A102,'2018'!$A:$BB,23,FALSE),"")</f>
        <v/>
      </c>
      <c r="W102" s="1062" t="str">
        <f>IFERROR(VLOOKUP($A102,'2018'!$A:$BB,24,FALSE),"")</f>
        <v/>
      </c>
      <c r="X102" s="1062" t="str">
        <f>IFERROR(VLOOKUP($A102,'2018'!$A:$BB,41,FALSE),"")</f>
        <v/>
      </c>
      <c r="Y102" s="1062" t="str">
        <f>IFERROR(VLOOKUP($A102,'2018'!$A:$BB,42,FALSE),"")</f>
        <v/>
      </c>
      <c r="Z102" s="1062" t="str">
        <f>IFERROR(VLOOKUP($A102,'2018'!$A:$BB,45,FALSE),"")</f>
        <v/>
      </c>
      <c r="AA102" s="741"/>
      <c r="AB102" s="733"/>
      <c r="AC102" s="734"/>
      <c r="AD102" s="734"/>
      <c r="AE102" s="734"/>
      <c r="AF102" s="734"/>
      <c r="AG102" s="726"/>
      <c r="AH102" s="726"/>
      <c r="AI102" s="727"/>
      <c r="AJ102" s="747"/>
      <c r="AK102" s="760"/>
      <c r="AL102" s="756"/>
      <c r="AM102" s="753"/>
      <c r="AN102" s="754"/>
      <c r="AO102" s="776"/>
      <c r="AP102" s="754"/>
      <c r="AQ102" s="771"/>
      <c r="AR102" s="732"/>
      <c r="AS102" s="732"/>
      <c r="AT102" s="732"/>
      <c r="AU102" s="732"/>
      <c r="AV102" s="732"/>
      <c r="AW102" s="732"/>
    </row>
    <row r="103" spans="1:49">
      <c r="A103" s="736" t="s">
        <v>353</v>
      </c>
      <c r="B103" s="736" t="s">
        <v>353</v>
      </c>
      <c r="C103" s="736"/>
      <c r="D103" s="736" t="s">
        <v>4183</v>
      </c>
      <c r="E103" s="736" t="s">
        <v>4183</v>
      </c>
      <c r="F103" s="1059">
        <f>IFERROR(VLOOKUP($A103,'2018'!$A:$BB,3,FALSE),"")</f>
        <v>391834508</v>
      </c>
      <c r="G103" s="1055" t="str">
        <f>IFERROR(VLOOKUP($A103,'2018'!$A:$BB,4,FALSE),"")</f>
        <v>12760 High Bluff Drive, Suite 370 
San Diego, Ca. 92130</v>
      </c>
      <c r="H103" s="1055" t="str">
        <f>IFERROR(VLOOKUP($A103,'2018'!$A:$BB,5,FALSE),"")</f>
        <v xml:space="preserve">Coleen Deangelo
858-794-4860 x 325
cdeangelo@chemdiv.com </v>
      </c>
      <c r="I103" s="1055" t="str">
        <f>IFERROR(VLOOKUP($A103,'2018'!$A:$BB,6,FALSE),"")</f>
        <v>Valentina Satur
858-794-4860 x 309
vsatur@chemdiv.com</v>
      </c>
      <c r="J103" s="1055" t="str">
        <f>IFERROR(VLOOKUP($A103,'2018'!$A:$BB,7,FALSE),"")</f>
        <v>HUB (Del Mar)</v>
      </c>
      <c r="K103" s="1055" t="str">
        <f>IFERROR(VLOOKUP($A103,'2018'!$A:$BB,8,FALSE),"")</f>
        <v>Account Managed by HUB Del Mar Team
Producer - Thomas Freismuth
Service Lead - Kim Larochelle</v>
      </c>
      <c r="L103" s="1062" t="str">
        <f>IFERROR(VLOOKUP($A103,'2018'!$A:$BB,9,FALSE),"")</f>
        <v>New</v>
      </c>
      <c r="M103" s="1067">
        <f>IFERROR(VLOOKUP($A103,'2018'!$A:$BB,10,FALSE),"")</f>
        <v>43040</v>
      </c>
      <c r="N103" s="1062">
        <f>IFERROR(VLOOKUP($A103,'2018'!$A:$BB,12,FALSE),"")</f>
        <v>17</v>
      </c>
      <c r="O103" s="1055" t="str">
        <f>IFERROR(VLOOKUP($A103,'2018'!$A:$BB,13,FALSE),"")</f>
        <v xml:space="preserve">IGOE </v>
      </c>
      <c r="P103" s="1055" t="str">
        <f>IFERROR(VLOOKUP($A103,'2018'!$A:$BB,14,FALSE),"")</f>
        <v xml:space="preserve">Maestro </v>
      </c>
      <c r="Q103" s="1055" t="str">
        <f>IFERROR(VLOOKUP($A103,'2018'!$A:$BB,16,FALSE),"")</f>
        <v>The Advantage Group</v>
      </c>
      <c r="R103" s="1055" t="str">
        <f>IFERROR(VLOOKUP($A103,'2018'!$A:$BB,17,FALSE),"")</f>
        <v>Optum Health</v>
      </c>
      <c r="S103" s="1062" t="str">
        <f>IFERROR(VLOOKUP($A103,'2018'!$A:$BB,20,FALSE),"")</f>
        <v>SCAL</v>
      </c>
      <c r="T103" s="1062" t="str">
        <f>IFERROR(VLOOKUP($A103,'2018'!$A:$BB,21,FALSE),"")</f>
        <v>Group C (44-54)</v>
      </c>
      <c r="U103" s="1062" t="str">
        <f>IFERROR(VLOOKUP($A103,'2018'!$A:$BB,22,FALSE),"")</f>
        <v>Expanded</v>
      </c>
      <c r="V103" s="1062" t="str">
        <f>IFERROR(VLOOKUP($A103,'2018'!$A:$BB,23,FALSE),"")</f>
        <v>Advantage</v>
      </c>
      <c r="W103" s="1062" t="str">
        <f>IFERROR(VLOOKUP($A103,'2018'!$A:$BB,24,FALSE),"")</f>
        <v>No</v>
      </c>
      <c r="X103" s="1062" t="str">
        <f>IFERROR(VLOOKUP($A103,'2018'!$A:$BB,41,FALSE),"")</f>
        <v>N/A</v>
      </c>
      <c r="Y103" s="1062" t="str">
        <f>IFERROR(VLOOKUP($A103,'2018'!$A:$BB,42,FALSE),"")</f>
        <v>N/A</v>
      </c>
      <c r="Z103" s="1062" t="str">
        <f>IFERROR(VLOOKUP($A103,'2018'!$A:$BB,45,FALSE),"")</f>
        <v>N/A</v>
      </c>
      <c r="AA103" s="731">
        <v>2018</v>
      </c>
      <c r="AB103" s="733" t="s">
        <v>4133</v>
      </c>
      <c r="AC103" s="734" t="s">
        <v>317</v>
      </c>
      <c r="AD103" s="734" t="s">
        <v>3656</v>
      </c>
      <c r="AE103" s="734" t="s">
        <v>307</v>
      </c>
      <c r="AF103" s="734" t="s">
        <v>113</v>
      </c>
      <c r="AG103" s="732" t="s">
        <v>3981</v>
      </c>
      <c r="AH103" s="732" t="s">
        <v>3973</v>
      </c>
      <c r="AI103" s="734">
        <v>11</v>
      </c>
      <c r="AJ103" s="748" t="s">
        <v>3982</v>
      </c>
      <c r="AK103" s="757">
        <v>909678</v>
      </c>
      <c r="AL103" s="756">
        <v>484</v>
      </c>
      <c r="AM103" s="755">
        <v>909678</v>
      </c>
      <c r="AN103" s="756">
        <v>485</v>
      </c>
      <c r="AO103" s="776">
        <f t="shared" ref="AO103:AO104" si="24">AM103</f>
        <v>909678</v>
      </c>
      <c r="AP103" s="754">
        <f>AN103+1</f>
        <v>486</v>
      </c>
      <c r="AQ103" s="771" t="s">
        <v>3979</v>
      </c>
      <c r="AR103" s="732" t="s">
        <v>2661</v>
      </c>
      <c r="AS103" s="735"/>
      <c r="AT103" s="735"/>
      <c r="AU103" s="732" t="s">
        <v>3980</v>
      </c>
      <c r="AV103" s="735"/>
      <c r="AW103" s="735"/>
    </row>
    <row r="104" spans="1:49" s="739" customFormat="1">
      <c r="A104" s="736" t="s">
        <v>353</v>
      </c>
      <c r="B104" s="736" t="s">
        <v>353</v>
      </c>
      <c r="C104" s="736"/>
      <c r="D104" s="736" t="s">
        <v>4183</v>
      </c>
      <c r="E104" s="736" t="s">
        <v>4183</v>
      </c>
      <c r="F104" s="1059">
        <f>IFERROR(VLOOKUP($A104,'2018'!$A:$BB,3,FALSE),"")</f>
        <v>391834508</v>
      </c>
      <c r="G104" s="1055" t="str">
        <f>IFERROR(VLOOKUP($A104,'2018'!$A:$BB,4,FALSE),"")</f>
        <v>12760 High Bluff Drive, Suite 370 
San Diego, Ca. 92130</v>
      </c>
      <c r="H104" s="1055" t="str">
        <f>IFERROR(VLOOKUP($A104,'2018'!$A:$BB,5,FALSE),"")</f>
        <v xml:space="preserve">Coleen Deangelo
858-794-4860 x 325
cdeangelo@chemdiv.com </v>
      </c>
      <c r="I104" s="1055" t="str">
        <f>IFERROR(VLOOKUP($A104,'2018'!$A:$BB,6,FALSE),"")</f>
        <v>Valentina Satur
858-794-4860 x 309
vsatur@chemdiv.com</v>
      </c>
      <c r="J104" s="1055" t="str">
        <f>IFERROR(VLOOKUP($A104,'2018'!$A:$BB,7,FALSE),"")</f>
        <v>HUB (Del Mar)</v>
      </c>
      <c r="K104" s="1055" t="str">
        <f>IFERROR(VLOOKUP($A104,'2018'!$A:$BB,8,FALSE),"")</f>
        <v>Account Managed by HUB Del Mar Team
Producer - Thomas Freismuth
Service Lead - Kim Larochelle</v>
      </c>
      <c r="L104" s="1062" t="str">
        <f>IFERROR(VLOOKUP($A104,'2018'!$A:$BB,9,FALSE),"")</f>
        <v>New</v>
      </c>
      <c r="M104" s="1067">
        <f>IFERROR(VLOOKUP($A104,'2018'!$A:$BB,10,FALSE),"")</f>
        <v>43040</v>
      </c>
      <c r="N104" s="1062">
        <f>IFERROR(VLOOKUP($A104,'2018'!$A:$BB,12,FALSE),"")</f>
        <v>17</v>
      </c>
      <c r="O104" s="1055" t="str">
        <f>IFERROR(VLOOKUP($A104,'2018'!$A:$BB,13,FALSE),"")</f>
        <v xml:space="preserve">IGOE </v>
      </c>
      <c r="P104" s="1055" t="str">
        <f>IFERROR(VLOOKUP($A104,'2018'!$A:$BB,14,FALSE),"")</f>
        <v xml:space="preserve">Maestro </v>
      </c>
      <c r="Q104" s="1055" t="str">
        <f>IFERROR(VLOOKUP($A104,'2018'!$A:$BB,16,FALSE),"")</f>
        <v>The Advantage Group</v>
      </c>
      <c r="R104" s="1055" t="str">
        <f>IFERROR(VLOOKUP($A104,'2018'!$A:$BB,17,FALSE),"")</f>
        <v>Optum Health</v>
      </c>
      <c r="S104" s="1062" t="str">
        <f>IFERROR(VLOOKUP($A104,'2018'!$A:$BB,20,FALSE),"")</f>
        <v>SCAL</v>
      </c>
      <c r="T104" s="1062" t="str">
        <f>IFERROR(VLOOKUP($A104,'2018'!$A:$BB,21,FALSE),"")</f>
        <v>Group C (44-54)</v>
      </c>
      <c r="U104" s="1062" t="str">
        <f>IFERROR(VLOOKUP($A104,'2018'!$A:$BB,22,FALSE),"")</f>
        <v>Expanded</v>
      </c>
      <c r="V104" s="1062" t="str">
        <f>IFERROR(VLOOKUP($A104,'2018'!$A:$BB,23,FALSE),"")</f>
        <v>Advantage</v>
      </c>
      <c r="W104" s="1062" t="str">
        <f>IFERROR(VLOOKUP($A104,'2018'!$A:$BB,24,FALSE),"")</f>
        <v>No</v>
      </c>
      <c r="X104" s="1062" t="str">
        <f>IFERROR(VLOOKUP($A104,'2018'!$A:$BB,41,FALSE),"")</f>
        <v>N/A</v>
      </c>
      <c r="Y104" s="1062" t="str">
        <f>IFERROR(VLOOKUP($A104,'2018'!$A:$BB,42,FALSE),"")</f>
        <v>N/A</v>
      </c>
      <c r="Z104" s="1062" t="str">
        <f>IFERROR(VLOOKUP($A104,'2018'!$A:$BB,45,FALSE),"")</f>
        <v>N/A</v>
      </c>
      <c r="AA104" s="731">
        <v>2018</v>
      </c>
      <c r="AB104" s="733" t="s">
        <v>4133</v>
      </c>
      <c r="AC104" s="734" t="s">
        <v>317</v>
      </c>
      <c r="AD104" s="734" t="s">
        <v>3656</v>
      </c>
      <c r="AE104" s="734" t="s">
        <v>307</v>
      </c>
      <c r="AF104" s="734" t="s">
        <v>113</v>
      </c>
      <c r="AG104" s="732" t="s">
        <v>3981</v>
      </c>
      <c r="AH104" s="732" t="s">
        <v>3977</v>
      </c>
      <c r="AI104" s="734">
        <v>16</v>
      </c>
      <c r="AJ104" s="748" t="s">
        <v>3985</v>
      </c>
      <c r="AK104" s="757">
        <v>909678</v>
      </c>
      <c r="AL104" s="756">
        <v>736</v>
      </c>
      <c r="AM104" s="755">
        <v>909678</v>
      </c>
      <c r="AN104" s="756">
        <v>737</v>
      </c>
      <c r="AO104" s="776">
        <f t="shared" si="24"/>
        <v>909678</v>
      </c>
      <c r="AP104" s="754">
        <f>AN104+1</f>
        <v>738</v>
      </c>
      <c r="AQ104" s="771" t="s">
        <v>3979</v>
      </c>
      <c r="AR104" s="732" t="s">
        <v>2661</v>
      </c>
      <c r="AS104" s="735"/>
      <c r="AT104" s="735"/>
      <c r="AU104" s="732" t="s">
        <v>3980</v>
      </c>
      <c r="AV104" s="735"/>
      <c r="AW104" s="735"/>
    </row>
    <row r="105" spans="1:49" s="739" customFormat="1">
      <c r="A105" s="740"/>
      <c r="B105" s="740"/>
      <c r="C105" s="740"/>
      <c r="D105" s="740"/>
      <c r="E105" s="740"/>
      <c r="F105" s="1059" t="str">
        <f>IFERROR(VLOOKUP($A105,'2018'!$A:$BB,3,FALSE),"")</f>
        <v/>
      </c>
      <c r="G105" s="1055" t="str">
        <f>IFERROR(VLOOKUP($A105,'2018'!$A:$BB,4,FALSE),"")</f>
        <v/>
      </c>
      <c r="H105" s="1055" t="str">
        <f>IFERROR(VLOOKUP($A105,'2018'!$A:$BB,5,FALSE),"")</f>
        <v/>
      </c>
      <c r="I105" s="1055" t="str">
        <f>IFERROR(VLOOKUP($A105,'2018'!$A:$BB,6,FALSE),"")</f>
        <v/>
      </c>
      <c r="J105" s="1055" t="str">
        <f>IFERROR(VLOOKUP($A105,'2018'!$A:$BB,7,FALSE),"")</f>
        <v/>
      </c>
      <c r="K105" s="1055" t="str">
        <f>IFERROR(VLOOKUP($A105,'2018'!$A:$BB,8,FALSE),"")</f>
        <v/>
      </c>
      <c r="L105" s="1062" t="str">
        <f>IFERROR(VLOOKUP($A105,'2018'!$A:$BB,9,FALSE),"")</f>
        <v/>
      </c>
      <c r="M105" s="1067" t="str">
        <f>IFERROR(VLOOKUP($A105,'2018'!$A:$BB,10,FALSE),"")</f>
        <v/>
      </c>
      <c r="N105" s="1062" t="str">
        <f>IFERROR(VLOOKUP($A105,'2018'!$A:$BB,12,FALSE),"")</f>
        <v/>
      </c>
      <c r="O105" s="1055" t="str">
        <f>IFERROR(VLOOKUP($A105,'2018'!$A:$BB,13,FALSE),"")</f>
        <v/>
      </c>
      <c r="P105" s="1055" t="str">
        <f>IFERROR(VLOOKUP($A105,'2018'!$A:$BB,14,FALSE),"")</f>
        <v/>
      </c>
      <c r="Q105" s="1055" t="str">
        <f>IFERROR(VLOOKUP($A105,'2018'!$A:$BB,16,FALSE),"")</f>
        <v/>
      </c>
      <c r="R105" s="1055" t="str">
        <f>IFERROR(VLOOKUP($A105,'2018'!$A:$BB,17,FALSE),"")</f>
        <v/>
      </c>
      <c r="S105" s="1062" t="str">
        <f>IFERROR(VLOOKUP($A105,'2018'!$A:$BB,20,FALSE),"")</f>
        <v/>
      </c>
      <c r="T105" s="1062" t="str">
        <f>IFERROR(VLOOKUP($A105,'2018'!$A:$BB,21,FALSE),"")</f>
        <v/>
      </c>
      <c r="U105" s="1062" t="str">
        <f>IFERROR(VLOOKUP($A105,'2018'!$A:$BB,22,FALSE),"")</f>
        <v/>
      </c>
      <c r="V105" s="1062" t="str">
        <f>IFERROR(VLOOKUP($A105,'2018'!$A:$BB,23,FALSE),"")</f>
        <v/>
      </c>
      <c r="W105" s="1062" t="str">
        <f>IFERROR(VLOOKUP($A105,'2018'!$A:$BB,24,FALSE),"")</f>
        <v/>
      </c>
      <c r="X105" s="1062" t="str">
        <f>IFERROR(VLOOKUP($A105,'2018'!$A:$BB,41,FALSE),"")</f>
        <v/>
      </c>
      <c r="Y105" s="1062" t="str">
        <f>IFERROR(VLOOKUP($A105,'2018'!$A:$BB,42,FALSE),"")</f>
        <v/>
      </c>
      <c r="Z105" s="1062" t="str">
        <f>IFERROR(VLOOKUP($A105,'2018'!$A:$BB,45,FALSE),"")</f>
        <v/>
      </c>
      <c r="AA105" s="731"/>
      <c r="AB105" s="733"/>
      <c r="AC105" s="734"/>
      <c r="AD105" s="734"/>
      <c r="AE105" s="734"/>
      <c r="AF105" s="734"/>
      <c r="AG105" s="732"/>
      <c r="AH105" s="732"/>
      <c r="AI105" s="734"/>
      <c r="AJ105" s="748"/>
      <c r="AK105" s="757"/>
      <c r="AL105" s="756"/>
      <c r="AM105" s="755"/>
      <c r="AN105" s="756"/>
      <c r="AO105" s="776"/>
      <c r="AP105" s="754"/>
      <c r="AQ105" s="771"/>
      <c r="AR105" s="732"/>
      <c r="AS105" s="735"/>
      <c r="AT105" s="735"/>
      <c r="AU105" s="732"/>
      <c r="AV105" s="735"/>
      <c r="AW105" s="735"/>
    </row>
    <row r="106" spans="1:49">
      <c r="A106" s="726" t="s">
        <v>356</v>
      </c>
      <c r="B106" s="726" t="s">
        <v>356</v>
      </c>
      <c r="C106" s="726"/>
      <c r="D106" s="735" t="s">
        <v>356</v>
      </c>
      <c r="E106" s="735" t="s">
        <v>4184</v>
      </c>
      <c r="F106" s="1059">
        <f>IFERROR(VLOOKUP($A106,'2018'!$A:$BB,3,FALSE),"")</f>
        <v>461537286</v>
      </c>
      <c r="G106" s="1055" t="str">
        <f>IFERROR(VLOOKUP($A106,'2018'!$A:$BB,4,FALSE),"")</f>
        <v>6310 Nancy Ridge Dr #101
San Diego, CA 92121</v>
      </c>
      <c r="H106" s="1055" t="str">
        <f>IFERROR(VLOOKUP($A106,'2018'!$A:$BB,5,FALSE),"")</f>
        <v xml:space="preserve">Allison Lewis
(858) 249-7391
alewis@cidara.com </v>
      </c>
      <c r="I106" s="1055" t="str">
        <f>IFERROR(VLOOKUP($A106,'2018'!$A:$BB,6,FALSE),"")</f>
        <v>Amy Pastor
APastor@Cidara.com
858-249-7453</v>
      </c>
      <c r="J106" s="1055" t="str">
        <f>IFERROR(VLOOKUP($A106,'2018'!$A:$BB,7,FALSE),"")</f>
        <v>HUB (San Diego)</v>
      </c>
      <c r="K106" s="1055" t="str">
        <f>IFERROR(VLOOKUP($A106,'2018'!$A:$BB,8,FALSE),"")</f>
        <v>Account Managed by HUB SD Team
Producer - Matt Creighton
Service Lead/BA - Ben Hendricks
AR - Yvonne Bello
Assistant - Aubrey Brandt</v>
      </c>
      <c r="L106" s="1062" t="str">
        <f>IFERROR(VLOOKUP($A106,'2018'!$A:$BB,9,FALSE),"")</f>
        <v>New</v>
      </c>
      <c r="M106" s="1067">
        <f>IFERROR(VLOOKUP($A106,'2018'!$A:$BB,10,FALSE),"")</f>
        <v>43101</v>
      </c>
      <c r="N106" s="1062">
        <f>IFERROR(VLOOKUP($A106,'2018'!$A:$BB,12,FALSE),"")</f>
        <v>64</v>
      </c>
      <c r="O106" s="1055" t="str">
        <f>IFERROR(VLOOKUP($A106,'2018'!$A:$BB,13,FALSE),"")</f>
        <v xml:space="preserve">IGOE </v>
      </c>
      <c r="P106" s="1055" t="str">
        <f>IFERROR(VLOOKUP($A106,'2018'!$A:$BB,14,FALSE),"")</f>
        <v>Maestro</v>
      </c>
      <c r="Q106" s="1055" t="str">
        <f>IFERROR(VLOOKUP($A106,'2018'!$A:$BB,16,FALSE),"")</f>
        <v>IGOE</v>
      </c>
      <c r="R106" s="1055" t="str">
        <f>IFERROR(VLOOKUP($A106,'2018'!$A:$BB,17,FALSE),"")</f>
        <v>Optum Health</v>
      </c>
      <c r="S106" s="1062" t="str">
        <f>IFERROR(VLOOKUP($A106,'2018'!$A:$BB,20,FALSE),"")</f>
        <v>SCAL</v>
      </c>
      <c r="T106" s="1062" t="str">
        <f>IFERROR(VLOOKUP($A106,'2018'!$A:$BB,21,FALSE),"")</f>
        <v>Group A (&lt;34)</v>
      </c>
      <c r="U106" s="1062" t="str">
        <f>IFERROR(VLOOKUP($A106,'2018'!$A:$BB,22,FALSE),"")</f>
        <v>Expanded</v>
      </c>
      <c r="V106" s="1062" t="str">
        <f>IFERROR(VLOOKUP($A106,'2018'!$A:$BB,23,FALSE),"")</f>
        <v>Advantage</v>
      </c>
      <c r="W106" s="1062" t="str">
        <f>IFERROR(VLOOKUP($A106,'2018'!$A:$BB,24,FALSE),"")</f>
        <v>No</v>
      </c>
      <c r="X106" s="1062" t="str">
        <f>IFERROR(VLOOKUP($A106,'2018'!$A:$BB,41,FALSE),"")</f>
        <v>Region 2</v>
      </c>
      <c r="Y106" s="1062" t="str">
        <f>IFERROR(VLOOKUP($A106,'2018'!$A:$BB,42,FALSE),"")</f>
        <v>(50-99)</v>
      </c>
      <c r="Z106" s="1062" t="str">
        <f>IFERROR(VLOOKUP($A106,'2018'!$A:$BB,45,FALSE),"")</f>
        <v>(50-99)</v>
      </c>
      <c r="AA106" s="730">
        <v>2018</v>
      </c>
      <c r="AB106" s="728" t="s">
        <v>3810</v>
      </c>
      <c r="AC106" s="727" t="s">
        <v>317</v>
      </c>
      <c r="AD106" s="727" t="s">
        <v>3655</v>
      </c>
      <c r="AE106" s="727" t="s">
        <v>307</v>
      </c>
      <c r="AF106" s="727" t="s">
        <v>113</v>
      </c>
      <c r="AG106" s="726" t="s">
        <v>3962</v>
      </c>
      <c r="AH106" s="726" t="s">
        <v>3963</v>
      </c>
      <c r="AI106" s="727">
        <v>1</v>
      </c>
      <c r="AJ106" s="747" t="s">
        <v>3998</v>
      </c>
      <c r="AK106" s="753">
        <v>260062</v>
      </c>
      <c r="AL106" s="754">
        <v>163</v>
      </c>
      <c r="AM106" s="753">
        <v>260063</v>
      </c>
      <c r="AN106" s="754">
        <v>164</v>
      </c>
      <c r="AO106" s="776">
        <f t="shared" si="20"/>
        <v>260064</v>
      </c>
      <c r="AP106" s="754">
        <f t="shared" si="19"/>
        <v>165</v>
      </c>
      <c r="AQ106" s="770"/>
      <c r="AR106" s="726" t="s">
        <v>2661</v>
      </c>
      <c r="AS106" s="726" t="s">
        <v>3999</v>
      </c>
      <c r="AT106" s="726">
        <v>1630163</v>
      </c>
      <c r="AU106" s="726" t="s">
        <v>3966</v>
      </c>
      <c r="AV106" s="726" t="s">
        <v>4038</v>
      </c>
      <c r="AW106" s="726">
        <v>1640164</v>
      </c>
    </row>
    <row r="107" spans="1:49">
      <c r="A107" s="949" t="s">
        <v>356</v>
      </c>
      <c r="B107" s="949" t="s">
        <v>356</v>
      </c>
      <c r="C107" s="726"/>
      <c r="D107" s="735" t="s">
        <v>356</v>
      </c>
      <c r="E107" s="735" t="s">
        <v>4184</v>
      </c>
      <c r="F107" s="1059">
        <f>IFERROR(VLOOKUP($A107,'2018'!$A:$BB,3,FALSE),"")</f>
        <v>461537286</v>
      </c>
      <c r="G107" s="1055" t="str">
        <f>IFERROR(VLOOKUP($A107,'2018'!$A:$BB,4,FALSE),"")</f>
        <v>6310 Nancy Ridge Dr #101
San Diego, CA 92121</v>
      </c>
      <c r="H107" s="1055" t="str">
        <f>IFERROR(VLOOKUP($A107,'2018'!$A:$BB,5,FALSE),"")</f>
        <v xml:space="preserve">Allison Lewis
(858) 249-7391
alewis@cidara.com </v>
      </c>
      <c r="I107" s="1055" t="str">
        <f>IFERROR(VLOOKUP($A107,'2018'!$A:$BB,6,FALSE),"")</f>
        <v>Amy Pastor
APastor@Cidara.com
858-249-7453</v>
      </c>
      <c r="J107" s="1055" t="str">
        <f>IFERROR(VLOOKUP($A107,'2018'!$A:$BB,7,FALSE),"")</f>
        <v>HUB (San Diego)</v>
      </c>
      <c r="K107" s="1055" t="str">
        <f>IFERROR(VLOOKUP($A107,'2018'!$A:$BB,8,FALSE),"")</f>
        <v>Account Managed by HUB SD Team
Producer - Matt Creighton
Service Lead/BA - Ben Hendricks
AR - Yvonne Bello
Assistant - Aubrey Brandt</v>
      </c>
      <c r="L107" s="1062" t="str">
        <f>IFERROR(VLOOKUP($A107,'2018'!$A:$BB,9,FALSE),"")</f>
        <v>New</v>
      </c>
      <c r="M107" s="1067">
        <f>IFERROR(VLOOKUP($A107,'2018'!$A:$BB,10,FALSE),"")</f>
        <v>43101</v>
      </c>
      <c r="N107" s="1062">
        <f>IFERROR(VLOOKUP($A107,'2018'!$A:$BB,12,FALSE),"")</f>
        <v>64</v>
      </c>
      <c r="O107" s="1055" t="str">
        <f>IFERROR(VLOOKUP($A107,'2018'!$A:$BB,13,FALSE),"")</f>
        <v xml:space="preserve">IGOE </v>
      </c>
      <c r="P107" s="1055" t="str">
        <f>IFERROR(VLOOKUP($A107,'2018'!$A:$BB,14,FALSE),"")</f>
        <v>Maestro</v>
      </c>
      <c r="Q107" s="1055" t="str">
        <f>IFERROR(VLOOKUP($A107,'2018'!$A:$BB,16,FALSE),"")</f>
        <v>IGOE</v>
      </c>
      <c r="R107" s="1055" t="str">
        <f>IFERROR(VLOOKUP($A107,'2018'!$A:$BB,17,FALSE),"")</f>
        <v>Optum Health</v>
      </c>
      <c r="S107" s="1062" t="str">
        <f>IFERROR(VLOOKUP($A107,'2018'!$A:$BB,20,FALSE),"")</f>
        <v>SCAL</v>
      </c>
      <c r="T107" s="1062" t="str">
        <f>IFERROR(VLOOKUP($A107,'2018'!$A:$BB,21,FALSE),"")</f>
        <v>Group A (&lt;34)</v>
      </c>
      <c r="U107" s="1062" t="str">
        <f>IFERROR(VLOOKUP($A107,'2018'!$A:$BB,22,FALSE),"")</f>
        <v>Expanded</v>
      </c>
      <c r="V107" s="1062" t="str">
        <f>IFERROR(VLOOKUP($A107,'2018'!$A:$BB,23,FALSE),"")</f>
        <v>Advantage</v>
      </c>
      <c r="W107" s="1062" t="str">
        <f>IFERROR(VLOOKUP($A107,'2018'!$A:$BB,24,FALSE),"")</f>
        <v>No</v>
      </c>
      <c r="X107" s="1062" t="str">
        <f>IFERROR(VLOOKUP($A107,'2018'!$A:$BB,41,FALSE),"")</f>
        <v>Region 2</v>
      </c>
      <c r="Y107" s="1062" t="str">
        <f>IFERROR(VLOOKUP($A107,'2018'!$A:$BB,42,FALSE),"")</f>
        <v>(50-99)</v>
      </c>
      <c r="Z107" s="1062" t="str">
        <f>IFERROR(VLOOKUP($A107,'2018'!$A:$BB,45,FALSE),"")</f>
        <v>(50-99)</v>
      </c>
      <c r="AA107" s="730">
        <v>2018</v>
      </c>
      <c r="AB107" s="728" t="s">
        <v>3810</v>
      </c>
      <c r="AC107" s="727" t="s">
        <v>317</v>
      </c>
      <c r="AD107" s="727" t="s">
        <v>3655</v>
      </c>
      <c r="AE107" s="727" t="s">
        <v>307</v>
      </c>
      <c r="AF107" s="727" t="s">
        <v>113</v>
      </c>
      <c r="AG107" s="726" t="s">
        <v>3962</v>
      </c>
      <c r="AH107" s="726" t="s">
        <v>3968</v>
      </c>
      <c r="AI107" s="727">
        <v>4</v>
      </c>
      <c r="AJ107" s="747" t="s">
        <v>4014</v>
      </c>
      <c r="AK107" s="753">
        <v>260134</v>
      </c>
      <c r="AL107" s="754">
        <v>235</v>
      </c>
      <c r="AM107" s="753">
        <v>260135</v>
      </c>
      <c r="AN107" s="754">
        <v>236</v>
      </c>
      <c r="AO107" s="776">
        <f t="shared" si="20"/>
        <v>260136</v>
      </c>
      <c r="AP107" s="754">
        <f t="shared" si="19"/>
        <v>237</v>
      </c>
      <c r="AQ107" s="770"/>
      <c r="AR107" s="726" t="s">
        <v>2661</v>
      </c>
      <c r="AS107" s="726" t="s">
        <v>4039</v>
      </c>
      <c r="AT107" s="726">
        <v>2350235</v>
      </c>
      <c r="AU107" s="726" t="s">
        <v>3966</v>
      </c>
      <c r="AV107" s="726" t="s">
        <v>4040</v>
      </c>
      <c r="AW107" s="726">
        <v>2360236</v>
      </c>
    </row>
    <row r="108" spans="1:49">
      <c r="A108" s="726" t="s">
        <v>356</v>
      </c>
      <c r="B108" s="726" t="s">
        <v>356</v>
      </c>
      <c r="C108" s="726"/>
      <c r="D108" s="735" t="s">
        <v>356</v>
      </c>
      <c r="E108" s="735" t="s">
        <v>4184</v>
      </c>
      <c r="F108" s="1059">
        <f>IFERROR(VLOOKUP($A108,'2018'!$A:$BB,3,FALSE),"")</f>
        <v>461537286</v>
      </c>
      <c r="G108" s="1055" t="str">
        <f>IFERROR(VLOOKUP($A108,'2018'!$A:$BB,4,FALSE),"")</f>
        <v>6310 Nancy Ridge Dr #101
San Diego, CA 92121</v>
      </c>
      <c r="H108" s="1055" t="str">
        <f>IFERROR(VLOOKUP($A108,'2018'!$A:$BB,5,FALSE),"")</f>
        <v xml:space="preserve">Allison Lewis
(858) 249-7391
alewis@cidara.com </v>
      </c>
      <c r="I108" s="1055" t="str">
        <f>IFERROR(VLOOKUP($A108,'2018'!$A:$BB,6,FALSE),"")</f>
        <v>Amy Pastor
APastor@Cidara.com
858-249-7453</v>
      </c>
      <c r="J108" s="1055" t="str">
        <f>IFERROR(VLOOKUP($A108,'2018'!$A:$BB,7,FALSE),"")</f>
        <v>HUB (San Diego)</v>
      </c>
      <c r="K108" s="1055" t="str">
        <f>IFERROR(VLOOKUP($A108,'2018'!$A:$BB,8,FALSE),"")</f>
        <v>Account Managed by HUB SD Team
Producer - Matt Creighton
Service Lead/BA - Ben Hendricks
AR - Yvonne Bello
Assistant - Aubrey Brandt</v>
      </c>
      <c r="L108" s="1062" t="str">
        <f>IFERROR(VLOOKUP($A108,'2018'!$A:$BB,9,FALSE),"")</f>
        <v>New</v>
      </c>
      <c r="M108" s="1067">
        <f>IFERROR(VLOOKUP($A108,'2018'!$A:$BB,10,FALSE),"")</f>
        <v>43101</v>
      </c>
      <c r="N108" s="1062">
        <f>IFERROR(VLOOKUP($A108,'2018'!$A:$BB,12,FALSE),"")</f>
        <v>64</v>
      </c>
      <c r="O108" s="1055" t="str">
        <f>IFERROR(VLOOKUP($A108,'2018'!$A:$BB,13,FALSE),"")</f>
        <v xml:space="preserve">IGOE </v>
      </c>
      <c r="P108" s="1055" t="str">
        <f>IFERROR(VLOOKUP($A108,'2018'!$A:$BB,14,FALSE),"")</f>
        <v>Maestro</v>
      </c>
      <c r="Q108" s="1055" t="str">
        <f>IFERROR(VLOOKUP($A108,'2018'!$A:$BB,16,FALSE),"")</f>
        <v>IGOE</v>
      </c>
      <c r="R108" s="1055" t="str">
        <f>IFERROR(VLOOKUP($A108,'2018'!$A:$BB,17,FALSE),"")</f>
        <v>Optum Health</v>
      </c>
      <c r="S108" s="1062" t="str">
        <f>IFERROR(VLOOKUP($A108,'2018'!$A:$BB,20,FALSE),"")</f>
        <v>SCAL</v>
      </c>
      <c r="T108" s="1062" t="str">
        <f>IFERROR(VLOOKUP($A108,'2018'!$A:$BB,21,FALSE),"")</f>
        <v>Group A (&lt;34)</v>
      </c>
      <c r="U108" s="1062" t="str">
        <f>IFERROR(VLOOKUP($A108,'2018'!$A:$BB,22,FALSE),"")</f>
        <v>Expanded</v>
      </c>
      <c r="V108" s="1062" t="str">
        <f>IFERROR(VLOOKUP($A108,'2018'!$A:$BB,23,FALSE),"")</f>
        <v>Advantage</v>
      </c>
      <c r="W108" s="1062" t="str">
        <f>IFERROR(VLOOKUP($A108,'2018'!$A:$BB,24,FALSE),"")</f>
        <v>No</v>
      </c>
      <c r="X108" s="1062" t="str">
        <f>IFERROR(VLOOKUP($A108,'2018'!$A:$BB,41,FALSE),"")</f>
        <v>Region 2</v>
      </c>
      <c r="Y108" s="1062" t="str">
        <f>IFERROR(VLOOKUP($A108,'2018'!$A:$BB,42,FALSE),"")</f>
        <v>(50-99)</v>
      </c>
      <c r="Z108" s="1062" t="str">
        <f>IFERROR(VLOOKUP($A108,'2018'!$A:$BB,45,FALSE),"")</f>
        <v>(50-99)</v>
      </c>
      <c r="AA108" s="730">
        <v>2018</v>
      </c>
      <c r="AB108" s="728" t="s">
        <v>3810</v>
      </c>
      <c r="AC108" s="727" t="s">
        <v>317</v>
      </c>
      <c r="AD108" s="727" t="s">
        <v>3655</v>
      </c>
      <c r="AE108" s="727" t="s">
        <v>307</v>
      </c>
      <c r="AF108" s="727" t="s">
        <v>113</v>
      </c>
      <c r="AG108" s="726" t="s">
        <v>3972</v>
      </c>
      <c r="AH108" s="726" t="s">
        <v>3973</v>
      </c>
      <c r="AI108" s="727">
        <v>7</v>
      </c>
      <c r="AJ108" s="747" t="s">
        <v>4001</v>
      </c>
      <c r="AK108" s="757">
        <v>909678</v>
      </c>
      <c r="AL108" s="754">
        <v>334</v>
      </c>
      <c r="AM108" s="755">
        <v>909678</v>
      </c>
      <c r="AN108" s="754">
        <v>335</v>
      </c>
      <c r="AO108" s="776">
        <f t="shared" ref="AO108:AO111" si="25">AM108</f>
        <v>909678</v>
      </c>
      <c r="AP108" s="754">
        <f t="shared" si="19"/>
        <v>336</v>
      </c>
      <c r="AQ108" s="770"/>
      <c r="AR108" s="726" t="s">
        <v>2661</v>
      </c>
      <c r="AS108" s="726" t="s">
        <v>4002</v>
      </c>
      <c r="AT108" s="726">
        <v>3340334</v>
      </c>
      <c r="AU108" s="726" t="s">
        <v>3966</v>
      </c>
      <c r="AV108" s="726" t="s">
        <v>4041</v>
      </c>
      <c r="AW108" s="726">
        <v>3350335</v>
      </c>
    </row>
    <row r="109" spans="1:49">
      <c r="A109" s="732" t="s">
        <v>356</v>
      </c>
      <c r="B109" s="732" t="s">
        <v>356</v>
      </c>
      <c r="C109" s="732"/>
      <c r="D109" s="735" t="s">
        <v>356</v>
      </c>
      <c r="E109" s="735" t="s">
        <v>4184</v>
      </c>
      <c r="F109" s="1059">
        <f>IFERROR(VLOOKUP($A109,'2018'!$A:$BB,3,FALSE),"")</f>
        <v>461537286</v>
      </c>
      <c r="G109" s="1055" t="str">
        <f>IFERROR(VLOOKUP($A109,'2018'!$A:$BB,4,FALSE),"")</f>
        <v>6310 Nancy Ridge Dr #101
San Diego, CA 92121</v>
      </c>
      <c r="H109" s="1055" t="str">
        <f>IFERROR(VLOOKUP($A109,'2018'!$A:$BB,5,FALSE),"")</f>
        <v xml:space="preserve">Allison Lewis
(858) 249-7391
alewis@cidara.com </v>
      </c>
      <c r="I109" s="1055" t="str">
        <f>IFERROR(VLOOKUP($A109,'2018'!$A:$BB,6,FALSE),"")</f>
        <v>Amy Pastor
APastor@Cidara.com
858-249-7453</v>
      </c>
      <c r="J109" s="1055" t="str">
        <f>IFERROR(VLOOKUP($A109,'2018'!$A:$BB,7,FALSE),"")</f>
        <v>HUB (San Diego)</v>
      </c>
      <c r="K109" s="1055" t="str">
        <f>IFERROR(VLOOKUP($A109,'2018'!$A:$BB,8,FALSE),"")</f>
        <v>Account Managed by HUB SD Team
Producer - Matt Creighton
Service Lead/BA - Ben Hendricks
AR - Yvonne Bello
Assistant - Aubrey Brandt</v>
      </c>
      <c r="L109" s="1062" t="str">
        <f>IFERROR(VLOOKUP($A109,'2018'!$A:$BB,9,FALSE),"")</f>
        <v>New</v>
      </c>
      <c r="M109" s="1067">
        <f>IFERROR(VLOOKUP($A109,'2018'!$A:$BB,10,FALSE),"")</f>
        <v>43101</v>
      </c>
      <c r="N109" s="1062">
        <f>IFERROR(VLOOKUP($A109,'2018'!$A:$BB,12,FALSE),"")</f>
        <v>64</v>
      </c>
      <c r="O109" s="1055" t="str">
        <f>IFERROR(VLOOKUP($A109,'2018'!$A:$BB,13,FALSE),"")</f>
        <v xml:space="preserve">IGOE </v>
      </c>
      <c r="P109" s="1055" t="str">
        <f>IFERROR(VLOOKUP($A109,'2018'!$A:$BB,14,FALSE),"")</f>
        <v>Maestro</v>
      </c>
      <c r="Q109" s="1055" t="str">
        <f>IFERROR(VLOOKUP($A109,'2018'!$A:$BB,16,FALSE),"")</f>
        <v>IGOE</v>
      </c>
      <c r="R109" s="1055" t="str">
        <f>IFERROR(VLOOKUP($A109,'2018'!$A:$BB,17,FALSE),"")</f>
        <v>Optum Health</v>
      </c>
      <c r="S109" s="1062" t="str">
        <f>IFERROR(VLOOKUP($A109,'2018'!$A:$BB,20,FALSE),"")</f>
        <v>SCAL</v>
      </c>
      <c r="T109" s="1062" t="str">
        <f>IFERROR(VLOOKUP($A109,'2018'!$A:$BB,21,FALSE),"")</f>
        <v>Group A (&lt;34)</v>
      </c>
      <c r="U109" s="1062" t="str">
        <f>IFERROR(VLOOKUP($A109,'2018'!$A:$BB,22,FALSE),"")</f>
        <v>Expanded</v>
      </c>
      <c r="V109" s="1062" t="str">
        <f>IFERROR(VLOOKUP($A109,'2018'!$A:$BB,23,FALSE),"")</f>
        <v>Advantage</v>
      </c>
      <c r="W109" s="1062" t="str">
        <f>IFERROR(VLOOKUP($A109,'2018'!$A:$BB,24,FALSE),"")</f>
        <v>No</v>
      </c>
      <c r="X109" s="1062" t="str">
        <f>IFERROR(VLOOKUP($A109,'2018'!$A:$BB,41,FALSE),"")</f>
        <v>Region 2</v>
      </c>
      <c r="Y109" s="1062" t="str">
        <f>IFERROR(VLOOKUP($A109,'2018'!$A:$BB,42,FALSE),"")</f>
        <v>(50-99)</v>
      </c>
      <c r="Z109" s="1062" t="str">
        <f>IFERROR(VLOOKUP($A109,'2018'!$A:$BB,45,FALSE),"")</f>
        <v>(50-99)</v>
      </c>
      <c r="AA109" s="731">
        <v>2018</v>
      </c>
      <c r="AB109" s="733" t="s">
        <v>3810</v>
      </c>
      <c r="AC109" s="734" t="s">
        <v>317</v>
      </c>
      <c r="AD109" s="734" t="s">
        <v>3655</v>
      </c>
      <c r="AE109" s="734" t="s">
        <v>307</v>
      </c>
      <c r="AF109" s="734" t="s">
        <v>113</v>
      </c>
      <c r="AG109" s="732" t="s">
        <v>3972</v>
      </c>
      <c r="AH109" s="732" t="s">
        <v>3977</v>
      </c>
      <c r="AI109" s="734">
        <v>13</v>
      </c>
      <c r="AJ109" s="748" t="s">
        <v>4004</v>
      </c>
      <c r="AK109" s="757">
        <v>909678</v>
      </c>
      <c r="AL109" s="756">
        <v>586</v>
      </c>
      <c r="AM109" s="755">
        <v>909678</v>
      </c>
      <c r="AN109" s="756">
        <v>587</v>
      </c>
      <c r="AO109" s="776">
        <f t="shared" si="25"/>
        <v>909678</v>
      </c>
      <c r="AP109" s="754">
        <f t="shared" si="19"/>
        <v>588</v>
      </c>
      <c r="AQ109" s="771" t="s">
        <v>3979</v>
      </c>
      <c r="AR109" s="732" t="s">
        <v>2661</v>
      </c>
      <c r="AS109" s="735"/>
      <c r="AT109" s="735"/>
      <c r="AU109" s="732" t="s">
        <v>3980</v>
      </c>
      <c r="AV109" s="735"/>
      <c r="AW109" s="735"/>
    </row>
    <row r="110" spans="1:49">
      <c r="A110" s="726" t="s">
        <v>356</v>
      </c>
      <c r="B110" s="726" t="s">
        <v>356</v>
      </c>
      <c r="C110" s="726"/>
      <c r="D110" s="735" t="s">
        <v>356</v>
      </c>
      <c r="E110" s="735" t="s">
        <v>4184</v>
      </c>
      <c r="F110" s="1059">
        <f>IFERROR(VLOOKUP($A110,'2018'!$A:$BB,3,FALSE),"")</f>
        <v>461537286</v>
      </c>
      <c r="G110" s="1055" t="str">
        <f>IFERROR(VLOOKUP($A110,'2018'!$A:$BB,4,FALSE),"")</f>
        <v>6310 Nancy Ridge Dr #101
San Diego, CA 92121</v>
      </c>
      <c r="H110" s="1055" t="str">
        <f>IFERROR(VLOOKUP($A110,'2018'!$A:$BB,5,FALSE),"")</f>
        <v xml:space="preserve">Allison Lewis
(858) 249-7391
alewis@cidara.com </v>
      </c>
      <c r="I110" s="1055" t="str">
        <f>IFERROR(VLOOKUP($A110,'2018'!$A:$BB,6,FALSE),"")</f>
        <v>Amy Pastor
APastor@Cidara.com
858-249-7453</v>
      </c>
      <c r="J110" s="1055" t="str">
        <f>IFERROR(VLOOKUP($A110,'2018'!$A:$BB,7,FALSE),"")</f>
        <v>HUB (San Diego)</v>
      </c>
      <c r="K110" s="1055" t="str">
        <f>IFERROR(VLOOKUP($A110,'2018'!$A:$BB,8,FALSE),"")</f>
        <v>Account Managed by HUB SD Team
Producer - Matt Creighton
Service Lead/BA - Ben Hendricks
AR - Yvonne Bello
Assistant - Aubrey Brandt</v>
      </c>
      <c r="L110" s="1062" t="str">
        <f>IFERROR(VLOOKUP($A110,'2018'!$A:$BB,9,FALSE),"")</f>
        <v>New</v>
      </c>
      <c r="M110" s="1067">
        <f>IFERROR(VLOOKUP($A110,'2018'!$A:$BB,10,FALSE),"")</f>
        <v>43101</v>
      </c>
      <c r="N110" s="1062">
        <f>IFERROR(VLOOKUP($A110,'2018'!$A:$BB,12,FALSE),"")</f>
        <v>64</v>
      </c>
      <c r="O110" s="1055" t="str">
        <f>IFERROR(VLOOKUP($A110,'2018'!$A:$BB,13,FALSE),"")</f>
        <v xml:space="preserve">IGOE </v>
      </c>
      <c r="P110" s="1055" t="str">
        <f>IFERROR(VLOOKUP($A110,'2018'!$A:$BB,14,FALSE),"")</f>
        <v>Maestro</v>
      </c>
      <c r="Q110" s="1055" t="str">
        <f>IFERROR(VLOOKUP($A110,'2018'!$A:$BB,16,FALSE),"")</f>
        <v>IGOE</v>
      </c>
      <c r="R110" s="1055" t="str">
        <f>IFERROR(VLOOKUP($A110,'2018'!$A:$BB,17,FALSE),"")</f>
        <v>Optum Health</v>
      </c>
      <c r="S110" s="1062" t="str">
        <f>IFERROR(VLOOKUP($A110,'2018'!$A:$BB,20,FALSE),"")</f>
        <v>SCAL</v>
      </c>
      <c r="T110" s="1062" t="str">
        <f>IFERROR(VLOOKUP($A110,'2018'!$A:$BB,21,FALSE),"")</f>
        <v>Group A (&lt;34)</v>
      </c>
      <c r="U110" s="1062" t="str">
        <f>IFERROR(VLOOKUP($A110,'2018'!$A:$BB,22,FALSE),"")</f>
        <v>Expanded</v>
      </c>
      <c r="V110" s="1062" t="str">
        <f>IFERROR(VLOOKUP($A110,'2018'!$A:$BB,23,FALSE),"")</f>
        <v>Advantage</v>
      </c>
      <c r="W110" s="1062" t="str">
        <f>IFERROR(VLOOKUP($A110,'2018'!$A:$BB,24,FALSE),"")</f>
        <v>No</v>
      </c>
      <c r="X110" s="1062" t="str">
        <f>IFERROR(VLOOKUP($A110,'2018'!$A:$BB,41,FALSE),"")</f>
        <v>Region 2</v>
      </c>
      <c r="Y110" s="1062" t="str">
        <f>IFERROR(VLOOKUP($A110,'2018'!$A:$BB,42,FALSE),"")</f>
        <v>(50-99)</v>
      </c>
      <c r="Z110" s="1062" t="str">
        <f>IFERROR(VLOOKUP($A110,'2018'!$A:$BB,45,FALSE),"")</f>
        <v>(50-99)</v>
      </c>
      <c r="AA110" s="730">
        <v>2018</v>
      </c>
      <c r="AB110" s="728" t="s">
        <v>3810</v>
      </c>
      <c r="AC110" s="727" t="s">
        <v>317</v>
      </c>
      <c r="AD110" s="727" t="s">
        <v>3655</v>
      </c>
      <c r="AE110" s="727" t="s">
        <v>307</v>
      </c>
      <c r="AF110" s="727" t="s">
        <v>113</v>
      </c>
      <c r="AG110" s="726" t="s">
        <v>3981</v>
      </c>
      <c r="AH110" s="726" t="s">
        <v>3973</v>
      </c>
      <c r="AI110" s="727">
        <v>11</v>
      </c>
      <c r="AJ110" s="747" t="s">
        <v>3982</v>
      </c>
      <c r="AK110" s="757">
        <v>909678</v>
      </c>
      <c r="AL110" s="754">
        <v>478</v>
      </c>
      <c r="AM110" s="755">
        <v>909678</v>
      </c>
      <c r="AN110" s="754">
        <v>479</v>
      </c>
      <c r="AO110" s="776">
        <f t="shared" si="25"/>
        <v>909678</v>
      </c>
      <c r="AP110" s="754">
        <f t="shared" si="19"/>
        <v>480</v>
      </c>
      <c r="AQ110" s="770"/>
      <c r="AR110" s="726" t="s">
        <v>2661</v>
      </c>
      <c r="AS110" s="726" t="s">
        <v>3983</v>
      </c>
      <c r="AT110" s="726">
        <v>4780478</v>
      </c>
      <c r="AU110" s="726" t="s">
        <v>3966</v>
      </c>
      <c r="AV110" s="726" t="s">
        <v>4042</v>
      </c>
      <c r="AW110" s="726">
        <v>4790479</v>
      </c>
    </row>
    <row r="111" spans="1:49">
      <c r="A111" s="732" t="s">
        <v>356</v>
      </c>
      <c r="B111" s="732" t="s">
        <v>356</v>
      </c>
      <c r="C111" s="732"/>
      <c r="D111" s="735" t="s">
        <v>356</v>
      </c>
      <c r="E111" s="735" t="s">
        <v>4184</v>
      </c>
      <c r="F111" s="1059">
        <f>IFERROR(VLOOKUP($A111,'2018'!$A:$BB,3,FALSE),"")</f>
        <v>461537286</v>
      </c>
      <c r="G111" s="1055" t="str">
        <f>IFERROR(VLOOKUP($A111,'2018'!$A:$BB,4,FALSE),"")</f>
        <v>6310 Nancy Ridge Dr #101
San Diego, CA 92121</v>
      </c>
      <c r="H111" s="1055" t="str">
        <f>IFERROR(VLOOKUP($A111,'2018'!$A:$BB,5,FALSE),"")</f>
        <v xml:space="preserve">Allison Lewis
(858) 249-7391
alewis@cidara.com </v>
      </c>
      <c r="I111" s="1055" t="str">
        <f>IFERROR(VLOOKUP($A111,'2018'!$A:$BB,6,FALSE),"")</f>
        <v>Amy Pastor
APastor@Cidara.com
858-249-7453</v>
      </c>
      <c r="J111" s="1055" t="str">
        <f>IFERROR(VLOOKUP($A111,'2018'!$A:$BB,7,FALSE),"")</f>
        <v>HUB (San Diego)</v>
      </c>
      <c r="K111" s="1055" t="str">
        <f>IFERROR(VLOOKUP($A111,'2018'!$A:$BB,8,FALSE),"")</f>
        <v>Account Managed by HUB SD Team
Producer - Matt Creighton
Service Lead/BA - Ben Hendricks
AR - Yvonne Bello
Assistant - Aubrey Brandt</v>
      </c>
      <c r="L111" s="1062" t="str">
        <f>IFERROR(VLOOKUP($A111,'2018'!$A:$BB,9,FALSE),"")</f>
        <v>New</v>
      </c>
      <c r="M111" s="1067">
        <f>IFERROR(VLOOKUP($A111,'2018'!$A:$BB,10,FALSE),"")</f>
        <v>43101</v>
      </c>
      <c r="N111" s="1062">
        <f>IFERROR(VLOOKUP($A111,'2018'!$A:$BB,12,FALSE),"")</f>
        <v>64</v>
      </c>
      <c r="O111" s="1055" t="str">
        <f>IFERROR(VLOOKUP($A111,'2018'!$A:$BB,13,FALSE),"")</f>
        <v xml:space="preserve">IGOE </v>
      </c>
      <c r="P111" s="1055" t="str">
        <f>IFERROR(VLOOKUP($A111,'2018'!$A:$BB,14,FALSE),"")</f>
        <v>Maestro</v>
      </c>
      <c r="Q111" s="1055" t="str">
        <f>IFERROR(VLOOKUP($A111,'2018'!$A:$BB,16,FALSE),"")</f>
        <v>IGOE</v>
      </c>
      <c r="R111" s="1055" t="str">
        <f>IFERROR(VLOOKUP($A111,'2018'!$A:$BB,17,FALSE),"")</f>
        <v>Optum Health</v>
      </c>
      <c r="S111" s="1062" t="str">
        <f>IFERROR(VLOOKUP($A111,'2018'!$A:$BB,20,FALSE),"")</f>
        <v>SCAL</v>
      </c>
      <c r="T111" s="1062" t="str">
        <f>IFERROR(VLOOKUP($A111,'2018'!$A:$BB,21,FALSE),"")</f>
        <v>Group A (&lt;34)</v>
      </c>
      <c r="U111" s="1062" t="str">
        <f>IFERROR(VLOOKUP($A111,'2018'!$A:$BB,22,FALSE),"")</f>
        <v>Expanded</v>
      </c>
      <c r="V111" s="1062" t="str">
        <f>IFERROR(VLOOKUP($A111,'2018'!$A:$BB,23,FALSE),"")</f>
        <v>Advantage</v>
      </c>
      <c r="W111" s="1062" t="str">
        <f>IFERROR(VLOOKUP($A111,'2018'!$A:$BB,24,FALSE),"")</f>
        <v>No</v>
      </c>
      <c r="X111" s="1062" t="str">
        <f>IFERROR(VLOOKUP($A111,'2018'!$A:$BB,41,FALSE),"")</f>
        <v>Region 2</v>
      </c>
      <c r="Y111" s="1062" t="str">
        <f>IFERROR(VLOOKUP($A111,'2018'!$A:$BB,42,FALSE),"")</f>
        <v>(50-99)</v>
      </c>
      <c r="Z111" s="1062" t="str">
        <f>IFERROR(VLOOKUP($A111,'2018'!$A:$BB,45,FALSE),"")</f>
        <v>(50-99)</v>
      </c>
      <c r="AA111" s="731">
        <v>2018</v>
      </c>
      <c r="AB111" s="733" t="s">
        <v>3810</v>
      </c>
      <c r="AC111" s="734" t="s">
        <v>317</v>
      </c>
      <c r="AD111" s="734" t="s">
        <v>3655</v>
      </c>
      <c r="AE111" s="734" t="s">
        <v>307</v>
      </c>
      <c r="AF111" s="734" t="s">
        <v>113</v>
      </c>
      <c r="AG111" s="732" t="s">
        <v>3981</v>
      </c>
      <c r="AH111" s="732" t="s">
        <v>3977</v>
      </c>
      <c r="AI111" s="734">
        <v>16</v>
      </c>
      <c r="AJ111" s="748" t="s">
        <v>3985</v>
      </c>
      <c r="AK111" s="757">
        <v>909678</v>
      </c>
      <c r="AL111" s="756">
        <v>730</v>
      </c>
      <c r="AM111" s="755">
        <v>909678</v>
      </c>
      <c r="AN111" s="756">
        <v>731</v>
      </c>
      <c r="AO111" s="776">
        <f t="shared" si="25"/>
        <v>909678</v>
      </c>
      <c r="AP111" s="754">
        <f t="shared" si="19"/>
        <v>732</v>
      </c>
      <c r="AQ111" s="771" t="s">
        <v>3979</v>
      </c>
      <c r="AR111" s="732" t="s">
        <v>2661</v>
      </c>
      <c r="AS111" s="735"/>
      <c r="AT111" s="735"/>
      <c r="AU111" s="732" t="s">
        <v>3980</v>
      </c>
      <c r="AV111" s="735"/>
      <c r="AW111" s="735"/>
    </row>
    <row r="112" spans="1:49">
      <c r="A112" s="726"/>
      <c r="B112" s="726"/>
      <c r="C112" s="726"/>
      <c r="D112" s="726"/>
      <c r="E112" s="726"/>
      <c r="F112" s="1059" t="str">
        <f>IFERROR(VLOOKUP($A112,'2018'!$A:$BB,3,FALSE),"")</f>
        <v/>
      </c>
      <c r="G112" s="1055" t="str">
        <f>IFERROR(VLOOKUP($A112,'2018'!$A:$BB,4,FALSE),"")</f>
        <v/>
      </c>
      <c r="H112" s="1055" t="str">
        <f>IFERROR(VLOOKUP($A112,'2018'!$A:$BB,5,FALSE),"")</f>
        <v/>
      </c>
      <c r="I112" s="1055" t="str">
        <f>IFERROR(VLOOKUP($A112,'2018'!$A:$BB,6,FALSE),"")</f>
        <v/>
      </c>
      <c r="J112" s="1055" t="str">
        <f>IFERROR(VLOOKUP($A112,'2018'!$A:$BB,7,FALSE),"")</f>
        <v/>
      </c>
      <c r="K112" s="1055" t="str">
        <f>IFERROR(VLOOKUP($A112,'2018'!$A:$BB,8,FALSE),"")</f>
        <v/>
      </c>
      <c r="L112" s="1062" t="str">
        <f>IFERROR(VLOOKUP($A112,'2018'!$A:$BB,9,FALSE),"")</f>
        <v/>
      </c>
      <c r="M112" s="1067" t="str">
        <f>IFERROR(VLOOKUP($A112,'2018'!$A:$BB,10,FALSE),"")</f>
        <v/>
      </c>
      <c r="N112" s="1062" t="str">
        <f>IFERROR(VLOOKUP($A112,'2018'!$A:$BB,12,FALSE),"")</f>
        <v/>
      </c>
      <c r="O112" s="1055" t="str">
        <f>IFERROR(VLOOKUP($A112,'2018'!$A:$BB,13,FALSE),"")</f>
        <v/>
      </c>
      <c r="P112" s="1055" t="str">
        <f>IFERROR(VLOOKUP($A112,'2018'!$A:$BB,14,FALSE),"")</f>
        <v/>
      </c>
      <c r="Q112" s="1055" t="str">
        <f>IFERROR(VLOOKUP($A112,'2018'!$A:$BB,16,FALSE),"")</f>
        <v/>
      </c>
      <c r="R112" s="1055" t="str">
        <f>IFERROR(VLOOKUP($A112,'2018'!$A:$BB,17,FALSE),"")</f>
        <v/>
      </c>
      <c r="S112" s="1062" t="str">
        <f>IFERROR(VLOOKUP($A112,'2018'!$A:$BB,20,FALSE),"")</f>
        <v/>
      </c>
      <c r="T112" s="1062" t="str">
        <f>IFERROR(VLOOKUP($A112,'2018'!$A:$BB,21,FALSE),"")</f>
        <v/>
      </c>
      <c r="U112" s="1062" t="str">
        <f>IFERROR(VLOOKUP($A112,'2018'!$A:$BB,22,FALSE),"")</f>
        <v/>
      </c>
      <c r="V112" s="1062" t="str">
        <f>IFERROR(VLOOKUP($A112,'2018'!$A:$BB,23,FALSE),"")</f>
        <v/>
      </c>
      <c r="W112" s="1062" t="str">
        <f>IFERROR(VLOOKUP($A112,'2018'!$A:$BB,24,FALSE),"")</f>
        <v/>
      </c>
      <c r="X112" s="1062" t="str">
        <f>IFERROR(VLOOKUP($A112,'2018'!$A:$BB,41,FALSE),"")</f>
        <v/>
      </c>
      <c r="Y112" s="1062" t="str">
        <f>IFERROR(VLOOKUP($A112,'2018'!$A:$BB,42,FALSE),"")</f>
        <v/>
      </c>
      <c r="Z112" s="1062" t="str">
        <f>IFERROR(VLOOKUP($A112,'2018'!$A:$BB,45,FALSE),"")</f>
        <v/>
      </c>
      <c r="AA112" s="727"/>
      <c r="AB112" s="728"/>
      <c r="AC112" s="727"/>
      <c r="AD112" s="727"/>
      <c r="AE112" s="727"/>
      <c r="AF112" s="727"/>
      <c r="AG112" s="726"/>
      <c r="AH112" s="726"/>
      <c r="AI112" s="727"/>
      <c r="AJ112" s="747"/>
      <c r="AK112" s="753"/>
      <c r="AL112" s="754"/>
      <c r="AM112" s="753"/>
      <c r="AN112" s="754"/>
      <c r="AO112" s="776"/>
      <c r="AP112" s="754"/>
      <c r="AQ112" s="770"/>
      <c r="AR112" s="726"/>
      <c r="AS112" s="726"/>
      <c r="AT112" s="726"/>
      <c r="AU112" s="726"/>
      <c r="AV112" s="726"/>
      <c r="AW112" s="726"/>
    </row>
    <row r="113" spans="1:49">
      <c r="A113" s="726" t="s">
        <v>367</v>
      </c>
      <c r="B113" s="726" t="s">
        <v>367</v>
      </c>
      <c r="C113" s="726"/>
      <c r="D113" s="1178" t="s">
        <v>4555</v>
      </c>
      <c r="E113" s="1178" t="s">
        <v>4555</v>
      </c>
      <c r="F113" s="1059">
        <f>IFERROR(VLOOKUP($A113,'2018'!$A:$BB,3,FALSE),"")</f>
        <v>263744114</v>
      </c>
      <c r="G113" s="1055" t="str">
        <f>IFERROR(VLOOKUP($A113,'2018'!$A:$BB,4,FALSE),"")</f>
        <v>6197 Cornerstone Ct. E, Suite 111
San Diego, CA 92121</v>
      </c>
      <c r="H113" s="1055" t="str">
        <f>IFERROR(VLOOKUP($A113,'2018'!$A:$BB,5,FALSE),"")</f>
        <v xml:space="preserve">Donna Rainwater
858-703-6544
rainwater@crinetics.com </v>
      </c>
      <c r="I113" s="1055" t="str">
        <f>IFERROR(VLOOKUP($A113,'2018'!$A:$BB,6,FALSE),"")</f>
        <v>Christine Arzt
858-703-6544
crtz@crinetics.com</v>
      </c>
      <c r="J113" s="1055" t="str">
        <f>IFERROR(VLOOKUP($A113,'2018'!$A:$BB,7,FALSE),"")</f>
        <v>HUB (San Diego)</v>
      </c>
      <c r="K113" s="1055" t="str">
        <f>IFERROR(VLOOKUP($A113,'2018'!$A:$BB,8,FALSE),"")</f>
        <v>Account Managed by HUB SD Team
Producer - Maggie Osburn
Service Lead - Megan Wallace</v>
      </c>
      <c r="L113" s="1062" t="str">
        <f>IFERROR(VLOOKUP($A113,'2018'!$A:$BB,9,FALSE),"")</f>
        <v>New</v>
      </c>
      <c r="M113" s="1067">
        <f>IFERROR(VLOOKUP($A113,'2018'!$A:$BB,10,FALSE),"")</f>
        <v>43101</v>
      </c>
      <c r="N113" s="1062">
        <f>IFERROR(VLOOKUP($A113,'2018'!$A:$BB,12,FALSE),"")</f>
        <v>24</v>
      </c>
      <c r="O113" s="1055" t="str">
        <f>IFERROR(VLOOKUP($A113,'2018'!$A:$BB,13,FALSE),"")</f>
        <v xml:space="preserve">IGOE </v>
      </c>
      <c r="P113" s="1055" t="str">
        <f>IFERROR(VLOOKUP($A113,'2018'!$A:$BB,14,FALSE),"")</f>
        <v>Maestro</v>
      </c>
      <c r="Q113" s="1055" t="str">
        <f>IFERROR(VLOOKUP($A113,'2018'!$A:$BB,16,FALSE),"")</f>
        <v>IGOE</v>
      </c>
      <c r="R113" s="1055" t="str">
        <f>IFERROR(VLOOKUP($A113,'2018'!$A:$BB,17,FALSE),"")</f>
        <v>N/A</v>
      </c>
      <c r="S113" s="1062" t="str">
        <f>IFERROR(VLOOKUP($A113,'2018'!$A:$BB,20,FALSE),"")</f>
        <v>SCAL</v>
      </c>
      <c r="T113" s="1062" t="str">
        <f>IFERROR(VLOOKUP($A113,'2018'!$A:$BB,21,FALSE),"")</f>
        <v>Group D (54+)</v>
      </c>
      <c r="U113" s="1062" t="str">
        <f>IFERROR(VLOOKUP($A113,'2018'!$A:$BB,22,FALSE),"")</f>
        <v>Expanded</v>
      </c>
      <c r="V113" s="1062" t="str">
        <f>IFERROR(VLOOKUP($A113,'2018'!$A:$BB,23,FALSE),"")</f>
        <v>Advantage</v>
      </c>
      <c r="W113" s="1062" t="str">
        <f>IFERROR(VLOOKUP($A113,'2018'!$A:$BB,24,FALSE),"")</f>
        <v>No</v>
      </c>
      <c r="X113" s="1062" t="str">
        <f>IFERROR(VLOOKUP($A113,'2018'!$A:$BB,41,FALSE),"")</f>
        <v>Region 2</v>
      </c>
      <c r="Y113" s="1062" t="str">
        <f>IFERROR(VLOOKUP($A113,'2018'!$A:$BB,42,FALSE),"")</f>
        <v>(10-24)</v>
      </c>
      <c r="Z113" s="1062" t="str">
        <f>IFERROR(VLOOKUP($A113,'2018'!$A:$BB,45,FALSE),"")</f>
        <v>N/A</v>
      </c>
      <c r="AA113" s="730">
        <v>2018</v>
      </c>
      <c r="AB113" s="728" t="s">
        <v>3819</v>
      </c>
      <c r="AC113" s="727" t="s">
        <v>317</v>
      </c>
      <c r="AD113" s="727" t="s">
        <v>3658</v>
      </c>
      <c r="AE113" s="727" t="s">
        <v>307</v>
      </c>
      <c r="AF113" s="727" t="s">
        <v>113</v>
      </c>
      <c r="AG113" s="726" t="s">
        <v>3962</v>
      </c>
      <c r="AH113" s="726" t="s">
        <v>3963</v>
      </c>
      <c r="AI113" s="727">
        <v>2</v>
      </c>
      <c r="AJ113" s="747" t="s">
        <v>3964</v>
      </c>
      <c r="AK113" s="753">
        <v>260095</v>
      </c>
      <c r="AL113" s="754">
        <v>196</v>
      </c>
      <c r="AM113" s="753">
        <v>260096</v>
      </c>
      <c r="AN113" s="754">
        <v>197</v>
      </c>
      <c r="AO113" s="776">
        <f t="shared" si="20"/>
        <v>260097</v>
      </c>
      <c r="AP113" s="754">
        <f t="shared" si="19"/>
        <v>198</v>
      </c>
      <c r="AQ113" s="770"/>
      <c r="AR113" s="726" t="s">
        <v>2661</v>
      </c>
      <c r="AS113" s="726" t="s">
        <v>3965</v>
      </c>
      <c r="AT113" s="726">
        <v>1960196</v>
      </c>
      <c r="AU113" s="726" t="s">
        <v>3980</v>
      </c>
      <c r="AV113" s="726"/>
      <c r="AW113" s="726"/>
    </row>
    <row r="114" spans="1:49">
      <c r="A114" s="726" t="s">
        <v>367</v>
      </c>
      <c r="B114" s="726" t="s">
        <v>367</v>
      </c>
      <c r="C114" s="726"/>
      <c r="D114" s="1178" t="s">
        <v>4555</v>
      </c>
      <c r="E114" s="1178" t="s">
        <v>4555</v>
      </c>
      <c r="F114" s="1059">
        <f>IFERROR(VLOOKUP($A114,'2018'!$A:$BB,3,FALSE),"")</f>
        <v>263744114</v>
      </c>
      <c r="G114" s="1055" t="str">
        <f>IFERROR(VLOOKUP($A114,'2018'!$A:$BB,4,FALSE),"")</f>
        <v>6197 Cornerstone Ct. E, Suite 111
San Diego, CA 92121</v>
      </c>
      <c r="H114" s="1055" t="str">
        <f>IFERROR(VLOOKUP($A114,'2018'!$A:$BB,5,FALSE),"")</f>
        <v xml:space="preserve">Donna Rainwater
858-703-6544
rainwater@crinetics.com </v>
      </c>
      <c r="I114" s="1055" t="str">
        <f>IFERROR(VLOOKUP($A114,'2018'!$A:$BB,6,FALSE),"")</f>
        <v>Christine Arzt
858-703-6544
crtz@crinetics.com</v>
      </c>
      <c r="J114" s="1055" t="str">
        <f>IFERROR(VLOOKUP($A114,'2018'!$A:$BB,7,FALSE),"")</f>
        <v>HUB (San Diego)</v>
      </c>
      <c r="K114" s="1055" t="str">
        <f>IFERROR(VLOOKUP($A114,'2018'!$A:$BB,8,FALSE),"")</f>
        <v>Account Managed by HUB SD Team
Producer - Maggie Osburn
Service Lead - Megan Wallace</v>
      </c>
      <c r="L114" s="1062" t="str">
        <f>IFERROR(VLOOKUP($A114,'2018'!$A:$BB,9,FALSE),"")</f>
        <v>New</v>
      </c>
      <c r="M114" s="1067">
        <f>IFERROR(VLOOKUP($A114,'2018'!$A:$BB,10,FALSE),"")</f>
        <v>43101</v>
      </c>
      <c r="N114" s="1062">
        <f>IFERROR(VLOOKUP($A114,'2018'!$A:$BB,12,FALSE),"")</f>
        <v>24</v>
      </c>
      <c r="O114" s="1055" t="str">
        <f>IFERROR(VLOOKUP($A114,'2018'!$A:$BB,13,FALSE),"")</f>
        <v xml:space="preserve">IGOE </v>
      </c>
      <c r="P114" s="1055" t="str">
        <f>IFERROR(VLOOKUP($A114,'2018'!$A:$BB,14,FALSE),"")</f>
        <v>Maestro</v>
      </c>
      <c r="Q114" s="1055" t="str">
        <f>IFERROR(VLOOKUP($A114,'2018'!$A:$BB,16,FALSE),"")</f>
        <v>IGOE</v>
      </c>
      <c r="R114" s="1055" t="str">
        <f>IFERROR(VLOOKUP($A114,'2018'!$A:$BB,17,FALSE),"")</f>
        <v>N/A</v>
      </c>
      <c r="S114" s="1062" t="str">
        <f>IFERROR(VLOOKUP($A114,'2018'!$A:$BB,20,FALSE),"")</f>
        <v>SCAL</v>
      </c>
      <c r="T114" s="1062" t="str">
        <f>IFERROR(VLOOKUP($A114,'2018'!$A:$BB,21,FALSE),"")</f>
        <v>Group D (54+)</v>
      </c>
      <c r="U114" s="1062" t="str">
        <f>IFERROR(VLOOKUP($A114,'2018'!$A:$BB,22,FALSE),"")</f>
        <v>Expanded</v>
      </c>
      <c r="V114" s="1062" t="str">
        <f>IFERROR(VLOOKUP($A114,'2018'!$A:$BB,23,FALSE),"")</f>
        <v>Advantage</v>
      </c>
      <c r="W114" s="1062" t="str">
        <f>IFERROR(VLOOKUP($A114,'2018'!$A:$BB,24,FALSE),"")</f>
        <v>No</v>
      </c>
      <c r="X114" s="1062" t="str">
        <f>IFERROR(VLOOKUP($A114,'2018'!$A:$BB,41,FALSE),"")</f>
        <v>Region 2</v>
      </c>
      <c r="Y114" s="1062" t="str">
        <f>IFERROR(VLOOKUP($A114,'2018'!$A:$BB,42,FALSE),"")</f>
        <v>(10-24)</v>
      </c>
      <c r="Z114" s="1062" t="str">
        <f>IFERROR(VLOOKUP($A114,'2018'!$A:$BB,45,FALSE),"")</f>
        <v>N/A</v>
      </c>
      <c r="AA114" s="730">
        <v>2018</v>
      </c>
      <c r="AB114" s="728" t="s">
        <v>3819</v>
      </c>
      <c r="AC114" s="727" t="s">
        <v>317</v>
      </c>
      <c r="AD114" s="727" t="s">
        <v>3658</v>
      </c>
      <c r="AE114" s="727" t="s">
        <v>307</v>
      </c>
      <c r="AF114" s="727" t="s">
        <v>113</v>
      </c>
      <c r="AG114" s="726" t="s">
        <v>3972</v>
      </c>
      <c r="AH114" s="726" t="s">
        <v>3973</v>
      </c>
      <c r="AI114" s="727">
        <v>8</v>
      </c>
      <c r="AJ114" s="747" t="s">
        <v>3992</v>
      </c>
      <c r="AK114" s="757">
        <v>909678</v>
      </c>
      <c r="AL114" s="754">
        <v>379</v>
      </c>
      <c r="AM114" s="755">
        <v>909678</v>
      </c>
      <c r="AN114" s="754">
        <v>380</v>
      </c>
      <c r="AO114" s="776">
        <f t="shared" ref="AO114:AO115" si="26">AM114</f>
        <v>909678</v>
      </c>
      <c r="AP114" s="754">
        <f t="shared" si="19"/>
        <v>381</v>
      </c>
      <c r="AQ114" s="770"/>
      <c r="AR114" s="726" t="s">
        <v>2661</v>
      </c>
      <c r="AS114" s="726" t="s">
        <v>4007</v>
      </c>
      <c r="AT114" s="726">
        <v>3790379</v>
      </c>
      <c r="AU114" s="726" t="s">
        <v>3980</v>
      </c>
      <c r="AV114" s="726"/>
      <c r="AW114" s="726"/>
    </row>
    <row r="115" spans="1:49">
      <c r="A115" s="732" t="s">
        <v>367</v>
      </c>
      <c r="B115" s="732" t="s">
        <v>367</v>
      </c>
      <c r="C115" s="732"/>
      <c r="D115" s="1178" t="s">
        <v>4555</v>
      </c>
      <c r="E115" s="1178" t="s">
        <v>4555</v>
      </c>
      <c r="F115" s="1059">
        <f>IFERROR(VLOOKUP($A115,'2018'!$A:$BB,3,FALSE),"")</f>
        <v>263744114</v>
      </c>
      <c r="G115" s="1055" t="str">
        <f>IFERROR(VLOOKUP($A115,'2018'!$A:$BB,4,FALSE),"")</f>
        <v>6197 Cornerstone Ct. E, Suite 111
San Diego, CA 92121</v>
      </c>
      <c r="H115" s="1055" t="str">
        <f>IFERROR(VLOOKUP($A115,'2018'!$A:$BB,5,FALSE),"")</f>
        <v xml:space="preserve">Donna Rainwater
858-703-6544
rainwater@crinetics.com </v>
      </c>
      <c r="I115" s="1055" t="str">
        <f>IFERROR(VLOOKUP($A115,'2018'!$A:$BB,6,FALSE),"")</f>
        <v>Christine Arzt
858-703-6544
crtz@crinetics.com</v>
      </c>
      <c r="J115" s="1055" t="str">
        <f>IFERROR(VLOOKUP($A115,'2018'!$A:$BB,7,FALSE),"")</f>
        <v>HUB (San Diego)</v>
      </c>
      <c r="K115" s="1055" t="str">
        <f>IFERROR(VLOOKUP($A115,'2018'!$A:$BB,8,FALSE),"")</f>
        <v>Account Managed by HUB SD Team
Producer - Maggie Osburn
Service Lead - Megan Wallace</v>
      </c>
      <c r="L115" s="1062" t="str">
        <f>IFERROR(VLOOKUP($A115,'2018'!$A:$BB,9,FALSE),"")</f>
        <v>New</v>
      </c>
      <c r="M115" s="1067">
        <f>IFERROR(VLOOKUP($A115,'2018'!$A:$BB,10,FALSE),"")</f>
        <v>43101</v>
      </c>
      <c r="N115" s="1062">
        <f>IFERROR(VLOOKUP($A115,'2018'!$A:$BB,12,FALSE),"")</f>
        <v>24</v>
      </c>
      <c r="O115" s="1055" t="str">
        <f>IFERROR(VLOOKUP($A115,'2018'!$A:$BB,13,FALSE),"")</f>
        <v xml:space="preserve">IGOE </v>
      </c>
      <c r="P115" s="1055" t="str">
        <f>IFERROR(VLOOKUP($A115,'2018'!$A:$BB,14,FALSE),"")</f>
        <v>Maestro</v>
      </c>
      <c r="Q115" s="1055" t="str">
        <f>IFERROR(VLOOKUP($A115,'2018'!$A:$BB,16,FALSE),"")</f>
        <v>IGOE</v>
      </c>
      <c r="R115" s="1055" t="str">
        <f>IFERROR(VLOOKUP($A115,'2018'!$A:$BB,17,FALSE),"")</f>
        <v>N/A</v>
      </c>
      <c r="S115" s="1062" t="str">
        <f>IFERROR(VLOOKUP($A115,'2018'!$A:$BB,20,FALSE),"")</f>
        <v>SCAL</v>
      </c>
      <c r="T115" s="1062" t="str">
        <f>IFERROR(VLOOKUP($A115,'2018'!$A:$BB,21,FALSE),"")</f>
        <v>Group D (54+)</v>
      </c>
      <c r="U115" s="1062" t="str">
        <f>IFERROR(VLOOKUP($A115,'2018'!$A:$BB,22,FALSE),"")</f>
        <v>Expanded</v>
      </c>
      <c r="V115" s="1062" t="str">
        <f>IFERROR(VLOOKUP($A115,'2018'!$A:$BB,23,FALSE),"")</f>
        <v>Advantage</v>
      </c>
      <c r="W115" s="1062" t="str">
        <f>IFERROR(VLOOKUP($A115,'2018'!$A:$BB,24,FALSE),"")</f>
        <v>No</v>
      </c>
      <c r="X115" s="1062" t="str">
        <f>IFERROR(VLOOKUP($A115,'2018'!$A:$BB,41,FALSE),"")</f>
        <v>Region 2</v>
      </c>
      <c r="Y115" s="1062" t="str">
        <f>IFERROR(VLOOKUP($A115,'2018'!$A:$BB,42,FALSE),"")</f>
        <v>(10-24)</v>
      </c>
      <c r="Z115" s="1062" t="str">
        <f>IFERROR(VLOOKUP($A115,'2018'!$A:$BB,45,FALSE),"")</f>
        <v>N/A</v>
      </c>
      <c r="AA115" s="731">
        <v>2018</v>
      </c>
      <c r="AB115" s="733" t="s">
        <v>3819</v>
      </c>
      <c r="AC115" s="734" t="s">
        <v>317</v>
      </c>
      <c r="AD115" s="734" t="s">
        <v>3658</v>
      </c>
      <c r="AE115" s="734" t="s">
        <v>307</v>
      </c>
      <c r="AF115" s="734" t="s">
        <v>113</v>
      </c>
      <c r="AG115" s="732" t="s">
        <v>3972</v>
      </c>
      <c r="AH115" s="732" t="s">
        <v>3977</v>
      </c>
      <c r="AI115" s="734">
        <v>14</v>
      </c>
      <c r="AJ115" s="748" t="s">
        <v>3994</v>
      </c>
      <c r="AK115" s="757">
        <v>909678</v>
      </c>
      <c r="AL115" s="756">
        <v>631</v>
      </c>
      <c r="AM115" s="755">
        <v>909678</v>
      </c>
      <c r="AN115" s="756">
        <v>632</v>
      </c>
      <c r="AO115" s="776">
        <f t="shared" si="26"/>
        <v>909678</v>
      </c>
      <c r="AP115" s="754">
        <f t="shared" si="19"/>
        <v>633</v>
      </c>
      <c r="AQ115" s="771" t="s">
        <v>3979</v>
      </c>
      <c r="AR115" s="732" t="s">
        <v>2661</v>
      </c>
      <c r="AS115" s="735"/>
      <c r="AT115" s="735"/>
      <c r="AU115" s="732" t="s">
        <v>3980</v>
      </c>
      <c r="AV115" s="735"/>
      <c r="AW115" s="735"/>
    </row>
    <row r="116" spans="1:49">
      <c r="A116" s="726"/>
      <c r="B116" s="726"/>
      <c r="C116" s="726"/>
      <c r="D116" s="726"/>
      <c r="E116" s="726"/>
      <c r="F116" s="1059" t="str">
        <f>IFERROR(VLOOKUP($A116,'2018'!$A:$BB,3,FALSE),"")</f>
        <v/>
      </c>
      <c r="G116" s="1055" t="str">
        <f>IFERROR(VLOOKUP($A116,'2018'!$A:$BB,4,FALSE),"")</f>
        <v/>
      </c>
      <c r="H116" s="1055" t="str">
        <f>IFERROR(VLOOKUP($A116,'2018'!$A:$BB,5,FALSE),"")</f>
        <v/>
      </c>
      <c r="I116" s="1055" t="str">
        <f>IFERROR(VLOOKUP($A116,'2018'!$A:$BB,6,FALSE),"")</f>
        <v/>
      </c>
      <c r="J116" s="1055" t="str">
        <f>IFERROR(VLOOKUP($A116,'2018'!$A:$BB,7,FALSE),"")</f>
        <v/>
      </c>
      <c r="K116" s="1055" t="str">
        <f>IFERROR(VLOOKUP($A116,'2018'!$A:$BB,8,FALSE),"")</f>
        <v/>
      </c>
      <c r="L116" s="1062" t="str">
        <f>IFERROR(VLOOKUP($A116,'2018'!$A:$BB,9,FALSE),"")</f>
        <v/>
      </c>
      <c r="M116" s="1067" t="str">
        <f>IFERROR(VLOOKUP($A116,'2018'!$A:$BB,10,FALSE),"")</f>
        <v/>
      </c>
      <c r="N116" s="1062" t="str">
        <f>IFERROR(VLOOKUP($A116,'2018'!$A:$BB,12,FALSE),"")</f>
        <v/>
      </c>
      <c r="O116" s="1055" t="str">
        <f>IFERROR(VLOOKUP($A116,'2018'!$A:$BB,13,FALSE),"")</f>
        <v/>
      </c>
      <c r="P116" s="1055" t="str">
        <f>IFERROR(VLOOKUP($A116,'2018'!$A:$BB,14,FALSE),"")</f>
        <v/>
      </c>
      <c r="Q116" s="1055" t="str">
        <f>IFERROR(VLOOKUP($A116,'2018'!$A:$BB,16,FALSE),"")</f>
        <v/>
      </c>
      <c r="R116" s="1055" t="str">
        <f>IFERROR(VLOOKUP($A116,'2018'!$A:$BB,17,FALSE),"")</f>
        <v/>
      </c>
      <c r="S116" s="1062" t="str">
        <f>IFERROR(VLOOKUP($A116,'2018'!$A:$BB,20,FALSE),"")</f>
        <v/>
      </c>
      <c r="T116" s="1062" t="str">
        <f>IFERROR(VLOOKUP($A116,'2018'!$A:$BB,21,FALSE),"")</f>
        <v/>
      </c>
      <c r="U116" s="1062" t="str">
        <f>IFERROR(VLOOKUP($A116,'2018'!$A:$BB,22,FALSE),"")</f>
        <v/>
      </c>
      <c r="V116" s="1062" t="str">
        <f>IFERROR(VLOOKUP($A116,'2018'!$A:$BB,23,FALSE),"")</f>
        <v/>
      </c>
      <c r="W116" s="1062" t="str">
        <f>IFERROR(VLOOKUP($A116,'2018'!$A:$BB,24,FALSE),"")</f>
        <v/>
      </c>
      <c r="X116" s="1062" t="str">
        <f>IFERROR(VLOOKUP($A116,'2018'!$A:$BB,41,FALSE),"")</f>
        <v/>
      </c>
      <c r="Y116" s="1062" t="str">
        <f>IFERROR(VLOOKUP($A116,'2018'!$A:$BB,42,FALSE),"")</f>
        <v/>
      </c>
      <c r="Z116" s="1062" t="str">
        <f>IFERROR(VLOOKUP($A116,'2018'!$A:$BB,45,FALSE),"")</f>
        <v/>
      </c>
      <c r="AA116" s="727"/>
      <c r="AB116" s="728"/>
      <c r="AC116" s="727"/>
      <c r="AD116" s="727"/>
      <c r="AE116" s="727"/>
      <c r="AF116" s="727"/>
      <c r="AG116" s="726"/>
      <c r="AH116" s="726"/>
      <c r="AI116" s="727"/>
      <c r="AJ116" s="747"/>
      <c r="AK116" s="753"/>
      <c r="AL116" s="754"/>
      <c r="AM116" s="753"/>
      <c r="AN116" s="754"/>
      <c r="AO116" s="776"/>
      <c r="AP116" s="754"/>
      <c r="AQ116" s="770"/>
      <c r="AR116" s="726"/>
      <c r="AS116" s="726"/>
      <c r="AT116" s="726"/>
      <c r="AU116" s="726"/>
      <c r="AV116" s="726"/>
      <c r="AW116" s="726"/>
    </row>
    <row r="117" spans="1:49">
      <c r="A117" s="1064" t="s">
        <v>393</v>
      </c>
      <c r="B117" s="726" t="s">
        <v>3820</v>
      </c>
      <c r="C117" s="726"/>
      <c r="D117" s="726" t="s">
        <v>4185</v>
      </c>
      <c r="E117" s="726" t="s">
        <v>4185</v>
      </c>
      <c r="F117" s="1059">
        <f>IFERROR(VLOOKUP($A117,'2018'!$A:$BB,3,FALSE),"")</f>
        <v>330857068</v>
      </c>
      <c r="G117" s="1055" t="str">
        <f>IFERROR(VLOOKUP($A117,'2018'!$A:$BB,4,FALSE),"")</f>
        <v>13855 Stowe Drive
Poway, CA 92064</v>
      </c>
      <c r="H117" s="1055" t="str">
        <f>IFERROR(VLOOKUP($A117,'2018'!$A:$BB,5,FALSE),"")</f>
        <v>Alexa Cook
(858) 457-8698 x 123
acook@ctkbiotech.com</v>
      </c>
      <c r="I117" s="1055" t="str">
        <f>IFERROR(VLOOKUP($A117,'2018'!$A:$BB,6,FALSE),"")</f>
        <v>Alexa Cook
(858) 457-8698 x 123
acook@ctkbiotech.com</v>
      </c>
      <c r="J117" s="1055" t="str">
        <f>IFERROR(VLOOKUP($A117,'2018'!$A:$BB,7,FALSE),"")</f>
        <v>HUB (Carlsbad)</v>
      </c>
      <c r="K117" s="1055" t="str">
        <f>IFERROR(VLOOKUP($A117,'2018'!$A:$BB,8,FALSE),"")</f>
        <v>Account Managed by HUB Carlsbad Team
Producer-
Dori Wittman
Service Lead-
Kayla Strawswer</v>
      </c>
      <c r="L117" s="1062" t="str">
        <f>IFERROR(VLOOKUP($A117,'2018'!$A:$BB,9,FALSE),"")</f>
        <v>New</v>
      </c>
      <c r="M117" s="1067">
        <f>IFERROR(VLOOKUP($A117,'2018'!$A:$BB,10,FALSE),"")</f>
        <v>43101</v>
      </c>
      <c r="N117" s="1062">
        <f>IFERROR(VLOOKUP($A117,'2018'!$A:$BB,12,FALSE),"")</f>
        <v>42</v>
      </c>
      <c r="O117" s="1055" t="str">
        <f>IFERROR(VLOOKUP($A117,'2018'!$A:$BB,13,FALSE),"")</f>
        <v xml:space="preserve">IGOE </v>
      </c>
      <c r="P117" s="1055" t="str">
        <f>IFERROR(VLOOKUP($A117,'2018'!$A:$BB,14,FALSE),"")</f>
        <v>Maestro</v>
      </c>
      <c r="Q117" s="1055" t="str">
        <f>IFERROR(VLOOKUP($A117,'2018'!$A:$BB,16,FALSE),"")</f>
        <v>N/A</v>
      </c>
      <c r="R117" s="1055" t="str">
        <f>IFERROR(VLOOKUP($A117,'2018'!$A:$BB,17,FALSE),"")</f>
        <v>N/A</v>
      </c>
      <c r="S117" s="1062" t="str">
        <f>IFERROR(VLOOKUP($A117,'2018'!$A:$BB,20,FALSE),"")</f>
        <v>SCAL</v>
      </c>
      <c r="T117" s="1062" t="str">
        <f>IFERROR(VLOOKUP($A117,'2018'!$A:$BB,21,FALSE),"")</f>
        <v>Group A (&lt;34)</v>
      </c>
      <c r="U117" s="1062" t="str">
        <f>IFERROR(VLOOKUP($A117,'2018'!$A:$BB,22,FALSE),"")</f>
        <v>Expanded</v>
      </c>
      <c r="V117" s="1062" t="str">
        <f>IFERROR(VLOOKUP($A117,'2018'!$A:$BB,23,FALSE),"")</f>
        <v>N/A</v>
      </c>
      <c r="W117" s="1062" t="str">
        <f>IFERROR(VLOOKUP($A117,'2018'!$A:$BB,24,FALSE),"")</f>
        <v>N/A</v>
      </c>
      <c r="X117" s="1062" t="str">
        <f>IFERROR(VLOOKUP($A117,'2018'!$A:$BB,41,FALSE),"")</f>
        <v>N/A</v>
      </c>
      <c r="Y117" s="1062" t="str">
        <f>IFERROR(VLOOKUP($A117,'2018'!$A:$BB,42,FALSE),"")</f>
        <v>N/A</v>
      </c>
      <c r="Z117" s="1062" t="str">
        <f>IFERROR(VLOOKUP($A117,'2018'!$A:$BB,45,FALSE),"")</f>
        <v>N/A</v>
      </c>
      <c r="AA117" s="730">
        <v>2018</v>
      </c>
      <c r="AB117" s="728" t="s">
        <v>3821</v>
      </c>
      <c r="AC117" s="727" t="s">
        <v>317</v>
      </c>
      <c r="AD117" s="727" t="s">
        <v>3655</v>
      </c>
      <c r="AE117" s="727" t="s">
        <v>307</v>
      </c>
      <c r="AF117" s="727" t="s">
        <v>113</v>
      </c>
      <c r="AG117" s="726" t="s">
        <v>3962</v>
      </c>
      <c r="AH117" s="726" t="s">
        <v>3963</v>
      </c>
      <c r="AI117" s="727">
        <v>3</v>
      </c>
      <c r="AJ117" s="747" t="s">
        <v>4043</v>
      </c>
      <c r="AK117" s="753">
        <v>260110</v>
      </c>
      <c r="AL117" s="754">
        <v>211</v>
      </c>
      <c r="AM117" s="753">
        <v>260111</v>
      </c>
      <c r="AN117" s="754">
        <v>212</v>
      </c>
      <c r="AO117" s="776">
        <f t="shared" si="20"/>
        <v>260112</v>
      </c>
      <c r="AP117" s="754">
        <f t="shared" si="19"/>
        <v>213</v>
      </c>
      <c r="AQ117" s="770"/>
      <c r="AR117" s="726" t="s">
        <v>2661</v>
      </c>
      <c r="AS117" s="726" t="s">
        <v>4044</v>
      </c>
      <c r="AT117" s="726">
        <v>2110211</v>
      </c>
      <c r="AU117" s="726" t="s">
        <v>3966</v>
      </c>
      <c r="AV117" s="726" t="s">
        <v>4045</v>
      </c>
      <c r="AW117" s="726">
        <v>2120212</v>
      </c>
    </row>
    <row r="118" spans="1:49">
      <c r="A118" s="726"/>
      <c r="B118" s="726"/>
      <c r="C118" s="726"/>
      <c r="D118" s="726"/>
      <c r="E118" s="726"/>
      <c r="F118" s="1059" t="str">
        <f>IFERROR(VLOOKUP($A118,'2018'!$A:$BB,3,FALSE),"")</f>
        <v/>
      </c>
      <c r="G118" s="1055" t="str">
        <f>IFERROR(VLOOKUP($A118,'2018'!$A:$BB,4,FALSE),"")</f>
        <v/>
      </c>
      <c r="H118" s="1055" t="str">
        <f>IFERROR(VLOOKUP($A118,'2018'!$A:$BB,5,FALSE),"")</f>
        <v/>
      </c>
      <c r="I118" s="1055" t="str">
        <f>IFERROR(VLOOKUP($A118,'2018'!$A:$BB,6,FALSE),"")</f>
        <v/>
      </c>
      <c r="J118" s="1055" t="str">
        <f>IFERROR(VLOOKUP($A118,'2018'!$A:$BB,7,FALSE),"")</f>
        <v/>
      </c>
      <c r="K118" s="1055" t="str">
        <f>IFERROR(VLOOKUP($A118,'2018'!$A:$BB,8,FALSE),"")</f>
        <v/>
      </c>
      <c r="L118" s="1062" t="str">
        <f>IFERROR(VLOOKUP($A118,'2018'!$A:$BB,9,FALSE),"")</f>
        <v/>
      </c>
      <c r="M118" s="1067" t="str">
        <f>IFERROR(VLOOKUP($A118,'2018'!$A:$BB,10,FALSE),"")</f>
        <v/>
      </c>
      <c r="N118" s="1062" t="str">
        <f>IFERROR(VLOOKUP($A118,'2018'!$A:$BB,12,FALSE),"")</f>
        <v/>
      </c>
      <c r="O118" s="1055" t="str">
        <f>IFERROR(VLOOKUP($A118,'2018'!$A:$BB,13,FALSE),"")</f>
        <v/>
      </c>
      <c r="P118" s="1055" t="str">
        <f>IFERROR(VLOOKUP($A118,'2018'!$A:$BB,14,FALSE),"")</f>
        <v/>
      </c>
      <c r="Q118" s="1055" t="str">
        <f>IFERROR(VLOOKUP($A118,'2018'!$A:$BB,16,FALSE),"")</f>
        <v/>
      </c>
      <c r="R118" s="1055" t="str">
        <f>IFERROR(VLOOKUP($A118,'2018'!$A:$BB,17,FALSE),"")</f>
        <v/>
      </c>
      <c r="S118" s="1062" t="str">
        <f>IFERROR(VLOOKUP($A118,'2018'!$A:$BB,20,FALSE),"")</f>
        <v/>
      </c>
      <c r="T118" s="1062" t="str">
        <f>IFERROR(VLOOKUP($A118,'2018'!$A:$BB,21,FALSE),"")</f>
        <v/>
      </c>
      <c r="U118" s="1062" t="str">
        <f>IFERROR(VLOOKUP($A118,'2018'!$A:$BB,22,FALSE),"")</f>
        <v/>
      </c>
      <c r="V118" s="1062" t="str">
        <f>IFERROR(VLOOKUP($A118,'2018'!$A:$BB,23,FALSE),"")</f>
        <v/>
      </c>
      <c r="W118" s="1062" t="str">
        <f>IFERROR(VLOOKUP($A118,'2018'!$A:$BB,24,FALSE),"")</f>
        <v/>
      </c>
      <c r="X118" s="1062" t="str">
        <f>IFERROR(VLOOKUP($A118,'2018'!$A:$BB,41,FALSE),"")</f>
        <v/>
      </c>
      <c r="Y118" s="1062" t="str">
        <f>IFERROR(VLOOKUP($A118,'2018'!$A:$BB,42,FALSE),"")</f>
        <v/>
      </c>
      <c r="Z118" s="1062" t="str">
        <f>IFERROR(VLOOKUP($A118,'2018'!$A:$BB,45,FALSE),"")</f>
        <v/>
      </c>
      <c r="AA118" s="727"/>
      <c r="AB118" s="728"/>
      <c r="AC118" s="727"/>
      <c r="AD118" s="727"/>
      <c r="AE118" s="727"/>
      <c r="AF118" s="727"/>
      <c r="AG118" s="726"/>
      <c r="AH118" s="726"/>
      <c r="AI118" s="727"/>
      <c r="AJ118" s="747"/>
      <c r="AK118" s="753"/>
      <c r="AL118" s="754"/>
      <c r="AM118" s="753"/>
      <c r="AN118" s="754"/>
      <c r="AO118" s="776"/>
      <c r="AP118" s="754"/>
      <c r="AQ118" s="770"/>
      <c r="AR118" s="726"/>
      <c r="AS118" s="726"/>
      <c r="AT118" s="726"/>
      <c r="AU118" s="726"/>
      <c r="AV118" s="726"/>
      <c r="AW118" s="726"/>
    </row>
    <row r="119" spans="1:49">
      <c r="A119" s="1064" t="s">
        <v>411</v>
      </c>
      <c r="B119" s="726" t="s">
        <v>4046</v>
      </c>
      <c r="C119" s="726"/>
      <c r="D119" s="726" t="s">
        <v>4186</v>
      </c>
      <c r="E119" s="726" t="s">
        <v>4186</v>
      </c>
      <c r="F119" s="1059">
        <f>IFERROR(VLOOKUP($A119,'2018'!$A:$BB,3,FALSE),"")</f>
        <v>943103561</v>
      </c>
      <c r="G119" s="1055" t="str">
        <f>IFERROR(VLOOKUP($A119,'2018'!$A:$BB,4,FALSE),"")</f>
        <v xml:space="preserve">7999 Gateway Blvd. 
Suite 130 
Newark, CA 94560 </v>
      </c>
      <c r="H119" s="1055" t="str">
        <f>IFERROR(VLOOKUP($A119,'2018'!$A:$BB,5,FALSE),"")</f>
        <v>Laura  Byerly 
510-789-8291  
lbyerly@cymabay.com</v>
      </c>
      <c r="I119" s="1055" t="str">
        <f>IFERROR(VLOOKUP($A119,'2018'!$A:$BB,6,FALSE),"")</f>
        <v>Laura  Byerly 
510-789-8291  
lbyerly@cymabay.com</v>
      </c>
      <c r="J119" s="1055" t="str">
        <f>IFERROR(VLOOKUP($A119,'2018'!$A:$BB,7,FALSE),"")</f>
        <v>ABD</v>
      </c>
      <c r="K119" s="1055" t="str">
        <f>IFERROR(VLOOKUP($A119,'2018'!$A:$BB,8,FALSE),"")</f>
        <v xml:space="preserve">Account Managed by ABD Team
Mark Anderson
Mark.Anderson@theabdteam.com
Angie Lopez
angie.lopez@theabdteam.com </v>
      </c>
      <c r="L119" s="1062" t="str">
        <f>IFERROR(VLOOKUP($A119,'2018'!$A:$BB,9,FALSE),"")</f>
        <v>Renewal</v>
      </c>
      <c r="M119" s="1067">
        <f>IFERROR(VLOOKUP($A119,'2018'!$A:$BB,10,FALSE),"")</f>
        <v>42370</v>
      </c>
      <c r="N119" s="1062">
        <f>IFERROR(VLOOKUP($A119,'2018'!$A:$BB,12,FALSE),"")</f>
        <v>24</v>
      </c>
      <c r="O119" s="1055" t="str">
        <f>IFERROR(VLOOKUP($A119,'2018'!$A:$BB,13,FALSE),"")</f>
        <v xml:space="preserve">IGOE </v>
      </c>
      <c r="P119" s="1055" t="str">
        <f>IFERROR(VLOOKUP($A119,'2018'!$A:$BB,14,FALSE),"")</f>
        <v>Maestro</v>
      </c>
      <c r="Q119" s="1055" t="str">
        <f>IFERROR(VLOOKUP($A119,'2018'!$A:$BB,16,FALSE),"")</f>
        <v>IGOE</v>
      </c>
      <c r="R119" s="1055" t="str">
        <f>IFERROR(VLOOKUP($A119,'2018'!$A:$BB,17,FALSE),"")</f>
        <v>N/A- Health Equity</v>
      </c>
      <c r="S119" s="1062" t="str">
        <f>IFERROR(VLOOKUP($A119,'2018'!$A:$BB,20,FALSE),"")</f>
        <v>NCAL</v>
      </c>
      <c r="T119" s="1062" t="str">
        <f>IFERROR(VLOOKUP($A119,'2018'!$A:$BB,21,FALSE),"")</f>
        <v>Group C (44-54)</v>
      </c>
      <c r="U119" s="1062" t="str">
        <f>IFERROR(VLOOKUP($A119,'2018'!$A:$BB,22,FALSE),"")</f>
        <v>Expanded</v>
      </c>
      <c r="V119" s="1062" t="str">
        <f>IFERROR(VLOOKUP($A119,'2018'!$A:$BB,23,FALSE),"")</f>
        <v>Advantage</v>
      </c>
      <c r="W119" s="1062" t="str">
        <f>IFERROR(VLOOKUP($A119,'2018'!$A:$BB,24,FALSE),"")</f>
        <v>No</v>
      </c>
      <c r="X119" s="1062" t="str">
        <f>IFERROR(VLOOKUP($A119,'2018'!$A:$BB,41,FALSE),"")</f>
        <v xml:space="preserve">Region 4 </v>
      </c>
      <c r="Y119" s="1062" t="str">
        <f>IFERROR(VLOOKUP($A119,'2018'!$A:$BB,42,FALSE),"")</f>
        <v>(25-49)</v>
      </c>
      <c r="Z119" s="1062" t="str">
        <f>IFERROR(VLOOKUP($A119,'2018'!$A:$BB,45,FALSE),"")</f>
        <v xml:space="preserve"> (2-49)</v>
      </c>
      <c r="AA119" s="730">
        <v>2018</v>
      </c>
      <c r="AB119" s="728" t="s">
        <v>3824</v>
      </c>
      <c r="AC119" s="727" t="s">
        <v>303</v>
      </c>
      <c r="AD119" s="727" t="s">
        <v>3656</v>
      </c>
      <c r="AE119" s="727" t="s">
        <v>307</v>
      </c>
      <c r="AF119" s="727" t="s">
        <v>113</v>
      </c>
      <c r="AG119" s="726" t="s">
        <v>3962</v>
      </c>
      <c r="AH119" s="726" t="s">
        <v>3963</v>
      </c>
      <c r="AI119" s="727">
        <v>2</v>
      </c>
      <c r="AJ119" s="747" t="s">
        <v>3964</v>
      </c>
      <c r="AK119" s="753">
        <v>260080</v>
      </c>
      <c r="AL119" s="754">
        <v>181</v>
      </c>
      <c r="AM119" s="753">
        <v>260081</v>
      </c>
      <c r="AN119" s="754">
        <v>182</v>
      </c>
      <c r="AO119" s="776">
        <f t="shared" si="20"/>
        <v>260082</v>
      </c>
      <c r="AP119" s="754">
        <f t="shared" si="19"/>
        <v>183</v>
      </c>
      <c r="AQ119" s="770"/>
      <c r="AR119" s="726" t="s">
        <v>2661</v>
      </c>
      <c r="AS119" s="726" t="s">
        <v>3965</v>
      </c>
      <c r="AT119" s="726">
        <v>1810181</v>
      </c>
      <c r="AU119" s="726" t="s">
        <v>3966</v>
      </c>
      <c r="AV119" s="726" t="s">
        <v>4047</v>
      </c>
      <c r="AW119" s="726">
        <v>1820182</v>
      </c>
    </row>
    <row r="120" spans="1:49">
      <c r="A120" s="1064" t="s">
        <v>411</v>
      </c>
      <c r="B120" s="726" t="s">
        <v>4046</v>
      </c>
      <c r="C120" s="726"/>
      <c r="D120" s="726" t="s">
        <v>4186</v>
      </c>
      <c r="E120" s="726" t="s">
        <v>4186</v>
      </c>
      <c r="F120" s="1059">
        <f>IFERROR(VLOOKUP($A120,'2018'!$A:$BB,3,FALSE),"")</f>
        <v>943103561</v>
      </c>
      <c r="G120" s="1055" t="str">
        <f>IFERROR(VLOOKUP($A120,'2018'!$A:$BB,4,FALSE),"")</f>
        <v xml:space="preserve">7999 Gateway Blvd. 
Suite 130 
Newark, CA 94560 </v>
      </c>
      <c r="H120" s="1055" t="str">
        <f>IFERROR(VLOOKUP($A120,'2018'!$A:$BB,5,FALSE),"")</f>
        <v>Laura  Byerly 
510-789-8291  
lbyerly@cymabay.com</v>
      </c>
      <c r="I120" s="1055" t="str">
        <f>IFERROR(VLOOKUP($A120,'2018'!$A:$BB,6,FALSE),"")</f>
        <v>Laura  Byerly 
510-789-8291  
lbyerly@cymabay.com</v>
      </c>
      <c r="J120" s="1055" t="str">
        <f>IFERROR(VLOOKUP($A120,'2018'!$A:$BB,7,FALSE),"")</f>
        <v>ABD</v>
      </c>
      <c r="K120" s="1055" t="str">
        <f>IFERROR(VLOOKUP($A120,'2018'!$A:$BB,8,FALSE),"")</f>
        <v xml:space="preserve">Account Managed by ABD Team
Mark Anderson
Mark.Anderson@theabdteam.com
Angie Lopez
angie.lopez@theabdteam.com </v>
      </c>
      <c r="L120" s="1062" t="str">
        <f>IFERROR(VLOOKUP($A120,'2018'!$A:$BB,9,FALSE),"")</f>
        <v>Renewal</v>
      </c>
      <c r="M120" s="1067">
        <f>IFERROR(VLOOKUP($A120,'2018'!$A:$BB,10,FALSE),"")</f>
        <v>42370</v>
      </c>
      <c r="N120" s="1062">
        <f>IFERROR(VLOOKUP($A120,'2018'!$A:$BB,12,FALSE),"")</f>
        <v>24</v>
      </c>
      <c r="O120" s="1055" t="str">
        <f>IFERROR(VLOOKUP($A120,'2018'!$A:$BB,13,FALSE),"")</f>
        <v xml:space="preserve">IGOE </v>
      </c>
      <c r="P120" s="1055" t="str">
        <f>IFERROR(VLOOKUP($A120,'2018'!$A:$BB,14,FALSE),"")</f>
        <v>Maestro</v>
      </c>
      <c r="Q120" s="1055" t="str">
        <f>IFERROR(VLOOKUP($A120,'2018'!$A:$BB,16,FALSE),"")</f>
        <v>IGOE</v>
      </c>
      <c r="R120" s="1055" t="str">
        <f>IFERROR(VLOOKUP($A120,'2018'!$A:$BB,17,FALSE),"")</f>
        <v>N/A- Health Equity</v>
      </c>
      <c r="S120" s="1062" t="str">
        <f>IFERROR(VLOOKUP($A120,'2018'!$A:$BB,20,FALSE),"")</f>
        <v>NCAL</v>
      </c>
      <c r="T120" s="1062" t="str">
        <f>IFERROR(VLOOKUP($A120,'2018'!$A:$BB,21,FALSE),"")</f>
        <v>Group C (44-54)</v>
      </c>
      <c r="U120" s="1062" t="str">
        <f>IFERROR(VLOOKUP($A120,'2018'!$A:$BB,22,FALSE),"")</f>
        <v>Expanded</v>
      </c>
      <c r="V120" s="1062" t="str">
        <f>IFERROR(VLOOKUP($A120,'2018'!$A:$BB,23,FALSE),"")</f>
        <v>Advantage</v>
      </c>
      <c r="W120" s="1062" t="str">
        <f>IFERROR(VLOOKUP($A120,'2018'!$A:$BB,24,FALSE),"")</f>
        <v>No</v>
      </c>
      <c r="X120" s="1062" t="str">
        <f>IFERROR(VLOOKUP($A120,'2018'!$A:$BB,41,FALSE),"")</f>
        <v xml:space="preserve">Region 4 </v>
      </c>
      <c r="Y120" s="1062" t="str">
        <f>IFERROR(VLOOKUP($A120,'2018'!$A:$BB,42,FALSE),"")</f>
        <v>(25-49)</v>
      </c>
      <c r="Z120" s="1062" t="str">
        <f>IFERROR(VLOOKUP($A120,'2018'!$A:$BB,45,FALSE),"")</f>
        <v xml:space="preserve"> (2-49)</v>
      </c>
      <c r="AA120" s="730">
        <v>2018</v>
      </c>
      <c r="AB120" s="728" t="s">
        <v>3824</v>
      </c>
      <c r="AC120" s="727" t="s">
        <v>303</v>
      </c>
      <c r="AD120" s="727" t="s">
        <v>3656</v>
      </c>
      <c r="AE120" s="727" t="s">
        <v>307</v>
      </c>
      <c r="AF120" s="727" t="s">
        <v>113</v>
      </c>
      <c r="AG120" s="726" t="s">
        <v>3972</v>
      </c>
      <c r="AH120" s="726" t="s">
        <v>3973</v>
      </c>
      <c r="AI120" s="727">
        <v>7</v>
      </c>
      <c r="AJ120" s="747" t="s">
        <v>4001</v>
      </c>
      <c r="AK120" s="757">
        <v>909678</v>
      </c>
      <c r="AL120" s="754">
        <v>328</v>
      </c>
      <c r="AM120" s="755">
        <v>909678</v>
      </c>
      <c r="AN120" s="754">
        <v>329</v>
      </c>
      <c r="AO120" s="776">
        <f t="shared" ref="AO120:AO123" si="27">AM120</f>
        <v>909678</v>
      </c>
      <c r="AP120" s="754">
        <f t="shared" si="19"/>
        <v>330</v>
      </c>
      <c r="AQ120" s="770"/>
      <c r="AR120" s="726" t="s">
        <v>2661</v>
      </c>
      <c r="AS120" s="726" t="s">
        <v>4002</v>
      </c>
      <c r="AT120" s="726">
        <v>3280328</v>
      </c>
      <c r="AU120" s="726" t="s">
        <v>3966</v>
      </c>
      <c r="AV120" s="726" t="s">
        <v>4048</v>
      </c>
      <c r="AW120" s="726">
        <v>3290329</v>
      </c>
    </row>
    <row r="121" spans="1:49">
      <c r="A121" s="1064" t="s">
        <v>411</v>
      </c>
      <c r="B121" s="732" t="s">
        <v>4046</v>
      </c>
      <c r="C121" s="732"/>
      <c r="D121" s="732" t="s">
        <v>4186</v>
      </c>
      <c r="E121" s="732" t="s">
        <v>4186</v>
      </c>
      <c r="F121" s="1059">
        <f>IFERROR(VLOOKUP($A121,'2018'!$A:$BB,3,FALSE),"")</f>
        <v>943103561</v>
      </c>
      <c r="G121" s="1055" t="str">
        <f>IFERROR(VLOOKUP($A121,'2018'!$A:$BB,4,FALSE),"")</f>
        <v xml:space="preserve">7999 Gateway Blvd. 
Suite 130 
Newark, CA 94560 </v>
      </c>
      <c r="H121" s="1055" t="str">
        <f>IFERROR(VLOOKUP($A121,'2018'!$A:$BB,5,FALSE),"")</f>
        <v>Laura  Byerly 
510-789-8291  
lbyerly@cymabay.com</v>
      </c>
      <c r="I121" s="1055" t="str">
        <f>IFERROR(VLOOKUP($A121,'2018'!$A:$BB,6,FALSE),"")</f>
        <v>Laura  Byerly 
510-789-8291  
lbyerly@cymabay.com</v>
      </c>
      <c r="J121" s="1055" t="str">
        <f>IFERROR(VLOOKUP($A121,'2018'!$A:$BB,7,FALSE),"")</f>
        <v>ABD</v>
      </c>
      <c r="K121" s="1055" t="str">
        <f>IFERROR(VLOOKUP($A121,'2018'!$A:$BB,8,FALSE),"")</f>
        <v xml:space="preserve">Account Managed by ABD Team
Mark Anderson
Mark.Anderson@theabdteam.com
Angie Lopez
angie.lopez@theabdteam.com </v>
      </c>
      <c r="L121" s="1062" t="str">
        <f>IFERROR(VLOOKUP($A121,'2018'!$A:$BB,9,FALSE),"")</f>
        <v>Renewal</v>
      </c>
      <c r="M121" s="1067">
        <f>IFERROR(VLOOKUP($A121,'2018'!$A:$BB,10,FALSE),"")</f>
        <v>42370</v>
      </c>
      <c r="N121" s="1062">
        <f>IFERROR(VLOOKUP($A121,'2018'!$A:$BB,12,FALSE),"")</f>
        <v>24</v>
      </c>
      <c r="O121" s="1055" t="str">
        <f>IFERROR(VLOOKUP($A121,'2018'!$A:$BB,13,FALSE),"")</f>
        <v xml:space="preserve">IGOE </v>
      </c>
      <c r="P121" s="1055" t="str">
        <f>IFERROR(VLOOKUP($A121,'2018'!$A:$BB,14,FALSE),"")</f>
        <v>Maestro</v>
      </c>
      <c r="Q121" s="1055" t="str">
        <f>IFERROR(VLOOKUP($A121,'2018'!$A:$BB,16,FALSE),"")</f>
        <v>IGOE</v>
      </c>
      <c r="R121" s="1055" t="str">
        <f>IFERROR(VLOOKUP($A121,'2018'!$A:$BB,17,FALSE),"")</f>
        <v>N/A- Health Equity</v>
      </c>
      <c r="S121" s="1062" t="str">
        <f>IFERROR(VLOOKUP($A121,'2018'!$A:$BB,20,FALSE),"")</f>
        <v>NCAL</v>
      </c>
      <c r="T121" s="1062" t="str">
        <f>IFERROR(VLOOKUP($A121,'2018'!$A:$BB,21,FALSE),"")</f>
        <v>Group C (44-54)</v>
      </c>
      <c r="U121" s="1062" t="str">
        <f>IFERROR(VLOOKUP($A121,'2018'!$A:$BB,22,FALSE),"")</f>
        <v>Expanded</v>
      </c>
      <c r="V121" s="1062" t="str">
        <f>IFERROR(VLOOKUP($A121,'2018'!$A:$BB,23,FALSE),"")</f>
        <v>Advantage</v>
      </c>
      <c r="W121" s="1062" t="str">
        <f>IFERROR(VLOOKUP($A121,'2018'!$A:$BB,24,FALSE),"")</f>
        <v>No</v>
      </c>
      <c r="X121" s="1062" t="str">
        <f>IFERROR(VLOOKUP($A121,'2018'!$A:$BB,41,FALSE),"")</f>
        <v xml:space="preserve">Region 4 </v>
      </c>
      <c r="Y121" s="1062" t="str">
        <f>IFERROR(VLOOKUP($A121,'2018'!$A:$BB,42,FALSE),"")</f>
        <v>(25-49)</v>
      </c>
      <c r="Z121" s="1062" t="str">
        <f>IFERROR(VLOOKUP($A121,'2018'!$A:$BB,45,FALSE),"")</f>
        <v xml:space="preserve"> (2-49)</v>
      </c>
      <c r="AA121" s="731">
        <v>2018</v>
      </c>
      <c r="AB121" s="733" t="s">
        <v>3824</v>
      </c>
      <c r="AC121" s="734" t="s">
        <v>303</v>
      </c>
      <c r="AD121" s="734" t="s">
        <v>3656</v>
      </c>
      <c r="AE121" s="734" t="s">
        <v>307</v>
      </c>
      <c r="AF121" s="734" t="s">
        <v>113</v>
      </c>
      <c r="AG121" s="732" t="s">
        <v>3972</v>
      </c>
      <c r="AH121" s="732" t="s">
        <v>3977</v>
      </c>
      <c r="AI121" s="734">
        <v>13</v>
      </c>
      <c r="AJ121" s="748" t="s">
        <v>4004</v>
      </c>
      <c r="AK121" s="757">
        <v>909678</v>
      </c>
      <c r="AL121" s="756">
        <v>580</v>
      </c>
      <c r="AM121" s="755">
        <v>909678</v>
      </c>
      <c r="AN121" s="756">
        <v>581</v>
      </c>
      <c r="AO121" s="776">
        <f t="shared" si="27"/>
        <v>909678</v>
      </c>
      <c r="AP121" s="754">
        <f t="shared" si="19"/>
        <v>582</v>
      </c>
      <c r="AQ121" s="771" t="s">
        <v>3979</v>
      </c>
      <c r="AR121" s="732" t="s">
        <v>2661</v>
      </c>
      <c r="AS121" s="735"/>
      <c r="AT121" s="735"/>
      <c r="AU121" s="732" t="s">
        <v>3980</v>
      </c>
      <c r="AV121" s="735"/>
      <c r="AW121" s="735"/>
    </row>
    <row r="122" spans="1:49">
      <c r="A122" s="1064" t="s">
        <v>411</v>
      </c>
      <c r="B122" s="726" t="s">
        <v>4046</v>
      </c>
      <c r="C122" s="726"/>
      <c r="D122" s="726" t="s">
        <v>4186</v>
      </c>
      <c r="E122" s="726" t="s">
        <v>4186</v>
      </c>
      <c r="F122" s="1059">
        <f>IFERROR(VLOOKUP($A122,'2018'!$A:$BB,3,FALSE),"")</f>
        <v>943103561</v>
      </c>
      <c r="G122" s="1055" t="str">
        <f>IFERROR(VLOOKUP($A122,'2018'!$A:$BB,4,FALSE),"")</f>
        <v xml:space="preserve">7999 Gateway Blvd. 
Suite 130 
Newark, CA 94560 </v>
      </c>
      <c r="H122" s="1055" t="str">
        <f>IFERROR(VLOOKUP($A122,'2018'!$A:$BB,5,FALSE),"")</f>
        <v>Laura  Byerly 
510-789-8291  
lbyerly@cymabay.com</v>
      </c>
      <c r="I122" s="1055" t="str">
        <f>IFERROR(VLOOKUP($A122,'2018'!$A:$BB,6,FALSE),"")</f>
        <v>Laura  Byerly 
510-789-8291  
lbyerly@cymabay.com</v>
      </c>
      <c r="J122" s="1055" t="str">
        <f>IFERROR(VLOOKUP($A122,'2018'!$A:$BB,7,FALSE),"")</f>
        <v>ABD</v>
      </c>
      <c r="K122" s="1055" t="str">
        <f>IFERROR(VLOOKUP($A122,'2018'!$A:$BB,8,FALSE),"")</f>
        <v xml:space="preserve">Account Managed by ABD Team
Mark Anderson
Mark.Anderson@theabdteam.com
Angie Lopez
angie.lopez@theabdteam.com </v>
      </c>
      <c r="L122" s="1062" t="str">
        <f>IFERROR(VLOOKUP($A122,'2018'!$A:$BB,9,FALSE),"")</f>
        <v>Renewal</v>
      </c>
      <c r="M122" s="1067">
        <f>IFERROR(VLOOKUP($A122,'2018'!$A:$BB,10,FALSE),"")</f>
        <v>42370</v>
      </c>
      <c r="N122" s="1062">
        <f>IFERROR(VLOOKUP($A122,'2018'!$A:$BB,12,FALSE),"")</f>
        <v>24</v>
      </c>
      <c r="O122" s="1055" t="str">
        <f>IFERROR(VLOOKUP($A122,'2018'!$A:$BB,13,FALSE),"")</f>
        <v xml:space="preserve">IGOE </v>
      </c>
      <c r="P122" s="1055" t="str">
        <f>IFERROR(VLOOKUP($A122,'2018'!$A:$BB,14,FALSE),"")</f>
        <v>Maestro</v>
      </c>
      <c r="Q122" s="1055" t="str">
        <f>IFERROR(VLOOKUP($A122,'2018'!$A:$BB,16,FALSE),"")</f>
        <v>IGOE</v>
      </c>
      <c r="R122" s="1055" t="str">
        <f>IFERROR(VLOOKUP($A122,'2018'!$A:$BB,17,FALSE),"")</f>
        <v>N/A- Health Equity</v>
      </c>
      <c r="S122" s="1062" t="str">
        <f>IFERROR(VLOOKUP($A122,'2018'!$A:$BB,20,FALSE),"")</f>
        <v>NCAL</v>
      </c>
      <c r="T122" s="1062" t="str">
        <f>IFERROR(VLOOKUP($A122,'2018'!$A:$BB,21,FALSE),"")</f>
        <v>Group C (44-54)</v>
      </c>
      <c r="U122" s="1062" t="str">
        <f>IFERROR(VLOOKUP($A122,'2018'!$A:$BB,22,FALSE),"")</f>
        <v>Expanded</v>
      </c>
      <c r="V122" s="1062" t="str">
        <f>IFERROR(VLOOKUP($A122,'2018'!$A:$BB,23,FALSE),"")</f>
        <v>Advantage</v>
      </c>
      <c r="W122" s="1062" t="str">
        <f>IFERROR(VLOOKUP($A122,'2018'!$A:$BB,24,FALSE),"")</f>
        <v>No</v>
      </c>
      <c r="X122" s="1062" t="str">
        <f>IFERROR(VLOOKUP($A122,'2018'!$A:$BB,41,FALSE),"")</f>
        <v xml:space="preserve">Region 4 </v>
      </c>
      <c r="Y122" s="1062" t="str">
        <f>IFERROR(VLOOKUP($A122,'2018'!$A:$BB,42,FALSE),"")</f>
        <v>(25-49)</v>
      </c>
      <c r="Z122" s="1062" t="str">
        <f>IFERROR(VLOOKUP($A122,'2018'!$A:$BB,45,FALSE),"")</f>
        <v xml:space="preserve"> (2-49)</v>
      </c>
      <c r="AA122" s="730">
        <v>2018</v>
      </c>
      <c r="AB122" s="728" t="s">
        <v>3824</v>
      </c>
      <c r="AC122" s="727" t="s">
        <v>303</v>
      </c>
      <c r="AD122" s="727" t="s">
        <v>3656</v>
      </c>
      <c r="AE122" s="727" t="s">
        <v>307</v>
      </c>
      <c r="AF122" s="727" t="s">
        <v>113</v>
      </c>
      <c r="AG122" s="726" t="s">
        <v>3981</v>
      </c>
      <c r="AH122" s="726" t="s">
        <v>3973</v>
      </c>
      <c r="AI122" s="727">
        <v>11</v>
      </c>
      <c r="AJ122" s="747" t="s">
        <v>3982</v>
      </c>
      <c r="AK122" s="757">
        <v>909678</v>
      </c>
      <c r="AL122" s="754">
        <v>472</v>
      </c>
      <c r="AM122" s="755">
        <v>909678</v>
      </c>
      <c r="AN122" s="754">
        <v>473</v>
      </c>
      <c r="AO122" s="776">
        <f t="shared" si="27"/>
        <v>909678</v>
      </c>
      <c r="AP122" s="754">
        <f t="shared" si="19"/>
        <v>474</v>
      </c>
      <c r="AQ122" s="770"/>
      <c r="AR122" s="726" t="s">
        <v>2661</v>
      </c>
      <c r="AS122" s="726" t="s">
        <v>3983</v>
      </c>
      <c r="AT122" s="726">
        <v>4720472</v>
      </c>
      <c r="AU122" s="726" t="s">
        <v>3966</v>
      </c>
      <c r="AV122" s="726" t="s">
        <v>4049</v>
      </c>
      <c r="AW122" s="726">
        <v>4730473</v>
      </c>
    </row>
    <row r="123" spans="1:49">
      <c r="A123" s="1064" t="s">
        <v>411</v>
      </c>
      <c r="B123" s="732" t="s">
        <v>4046</v>
      </c>
      <c r="C123" s="732"/>
      <c r="D123" s="732" t="s">
        <v>4186</v>
      </c>
      <c r="E123" s="732" t="s">
        <v>4186</v>
      </c>
      <c r="F123" s="1059">
        <f>IFERROR(VLOOKUP($A123,'2018'!$A:$BB,3,FALSE),"")</f>
        <v>943103561</v>
      </c>
      <c r="G123" s="1055" t="str">
        <f>IFERROR(VLOOKUP($A123,'2018'!$A:$BB,4,FALSE),"")</f>
        <v xml:space="preserve">7999 Gateway Blvd. 
Suite 130 
Newark, CA 94560 </v>
      </c>
      <c r="H123" s="1055" t="str">
        <f>IFERROR(VLOOKUP($A123,'2018'!$A:$BB,5,FALSE),"")</f>
        <v>Laura  Byerly 
510-789-8291  
lbyerly@cymabay.com</v>
      </c>
      <c r="I123" s="1055" t="str">
        <f>IFERROR(VLOOKUP($A123,'2018'!$A:$BB,6,FALSE),"")</f>
        <v>Laura  Byerly 
510-789-8291  
lbyerly@cymabay.com</v>
      </c>
      <c r="J123" s="1055" t="str">
        <f>IFERROR(VLOOKUP($A123,'2018'!$A:$BB,7,FALSE),"")</f>
        <v>ABD</v>
      </c>
      <c r="K123" s="1055" t="str">
        <f>IFERROR(VLOOKUP($A123,'2018'!$A:$BB,8,FALSE),"")</f>
        <v xml:space="preserve">Account Managed by ABD Team
Mark Anderson
Mark.Anderson@theabdteam.com
Angie Lopez
angie.lopez@theabdteam.com </v>
      </c>
      <c r="L123" s="1062" t="str">
        <f>IFERROR(VLOOKUP($A123,'2018'!$A:$BB,9,FALSE),"")</f>
        <v>Renewal</v>
      </c>
      <c r="M123" s="1067">
        <f>IFERROR(VLOOKUP($A123,'2018'!$A:$BB,10,FALSE),"")</f>
        <v>42370</v>
      </c>
      <c r="N123" s="1062">
        <f>IFERROR(VLOOKUP($A123,'2018'!$A:$BB,12,FALSE),"")</f>
        <v>24</v>
      </c>
      <c r="O123" s="1055" t="str">
        <f>IFERROR(VLOOKUP($A123,'2018'!$A:$BB,13,FALSE),"")</f>
        <v xml:space="preserve">IGOE </v>
      </c>
      <c r="P123" s="1055" t="str">
        <f>IFERROR(VLOOKUP($A123,'2018'!$A:$BB,14,FALSE),"")</f>
        <v>Maestro</v>
      </c>
      <c r="Q123" s="1055" t="str">
        <f>IFERROR(VLOOKUP($A123,'2018'!$A:$BB,16,FALSE),"")</f>
        <v>IGOE</v>
      </c>
      <c r="R123" s="1055" t="str">
        <f>IFERROR(VLOOKUP($A123,'2018'!$A:$BB,17,FALSE),"")</f>
        <v>N/A- Health Equity</v>
      </c>
      <c r="S123" s="1062" t="str">
        <f>IFERROR(VLOOKUP($A123,'2018'!$A:$BB,20,FALSE),"")</f>
        <v>NCAL</v>
      </c>
      <c r="T123" s="1062" t="str">
        <f>IFERROR(VLOOKUP($A123,'2018'!$A:$BB,21,FALSE),"")</f>
        <v>Group C (44-54)</v>
      </c>
      <c r="U123" s="1062" t="str">
        <f>IFERROR(VLOOKUP($A123,'2018'!$A:$BB,22,FALSE),"")</f>
        <v>Expanded</v>
      </c>
      <c r="V123" s="1062" t="str">
        <f>IFERROR(VLOOKUP($A123,'2018'!$A:$BB,23,FALSE),"")</f>
        <v>Advantage</v>
      </c>
      <c r="W123" s="1062" t="str">
        <f>IFERROR(VLOOKUP($A123,'2018'!$A:$BB,24,FALSE),"")</f>
        <v>No</v>
      </c>
      <c r="X123" s="1062" t="str">
        <f>IFERROR(VLOOKUP($A123,'2018'!$A:$BB,41,FALSE),"")</f>
        <v xml:space="preserve">Region 4 </v>
      </c>
      <c r="Y123" s="1062" t="str">
        <f>IFERROR(VLOOKUP($A123,'2018'!$A:$BB,42,FALSE),"")</f>
        <v>(25-49)</v>
      </c>
      <c r="Z123" s="1062" t="str">
        <f>IFERROR(VLOOKUP($A123,'2018'!$A:$BB,45,FALSE),"")</f>
        <v xml:space="preserve"> (2-49)</v>
      </c>
      <c r="AA123" s="731">
        <v>2018</v>
      </c>
      <c r="AB123" s="733" t="s">
        <v>3824</v>
      </c>
      <c r="AC123" s="734" t="s">
        <v>303</v>
      </c>
      <c r="AD123" s="734" t="s">
        <v>3656</v>
      </c>
      <c r="AE123" s="734" t="s">
        <v>307</v>
      </c>
      <c r="AF123" s="734" t="s">
        <v>113</v>
      </c>
      <c r="AG123" s="732" t="s">
        <v>3981</v>
      </c>
      <c r="AH123" s="732" t="s">
        <v>3977</v>
      </c>
      <c r="AI123" s="734">
        <v>16</v>
      </c>
      <c r="AJ123" s="748" t="s">
        <v>3985</v>
      </c>
      <c r="AK123" s="757">
        <v>909678</v>
      </c>
      <c r="AL123" s="756">
        <v>724</v>
      </c>
      <c r="AM123" s="755">
        <v>909678</v>
      </c>
      <c r="AN123" s="756">
        <v>725</v>
      </c>
      <c r="AO123" s="776">
        <f t="shared" si="27"/>
        <v>909678</v>
      </c>
      <c r="AP123" s="754">
        <f t="shared" si="19"/>
        <v>726</v>
      </c>
      <c r="AQ123" s="771" t="s">
        <v>3979</v>
      </c>
      <c r="AR123" s="732" t="s">
        <v>2661</v>
      </c>
      <c r="AS123" s="735"/>
      <c r="AT123" s="735"/>
      <c r="AU123" s="732" t="s">
        <v>3980</v>
      </c>
      <c r="AV123" s="735"/>
      <c r="AW123" s="735"/>
    </row>
    <row r="124" spans="1:49">
      <c r="A124" s="726"/>
      <c r="B124" s="726"/>
      <c r="C124" s="726"/>
      <c r="D124" s="726"/>
      <c r="E124" s="726"/>
      <c r="F124" s="1059" t="str">
        <f>IFERROR(VLOOKUP($A124,'2018'!$A:$BB,3,FALSE),"")</f>
        <v/>
      </c>
      <c r="G124" s="1055" t="str">
        <f>IFERROR(VLOOKUP($A124,'2018'!$A:$BB,4,FALSE),"")</f>
        <v/>
      </c>
      <c r="H124" s="1055" t="str">
        <f>IFERROR(VLOOKUP($A124,'2018'!$A:$BB,5,FALSE),"")</f>
        <v/>
      </c>
      <c r="I124" s="1055" t="str">
        <f>IFERROR(VLOOKUP($A124,'2018'!$A:$BB,6,FALSE),"")</f>
        <v/>
      </c>
      <c r="J124" s="1055" t="str">
        <f>IFERROR(VLOOKUP($A124,'2018'!$A:$BB,7,FALSE),"")</f>
        <v/>
      </c>
      <c r="K124" s="1055" t="str">
        <f>IFERROR(VLOOKUP($A124,'2018'!$A:$BB,8,FALSE),"")</f>
        <v/>
      </c>
      <c r="L124" s="1062" t="str">
        <f>IFERROR(VLOOKUP($A124,'2018'!$A:$BB,9,FALSE),"")</f>
        <v/>
      </c>
      <c r="M124" s="1067" t="str">
        <f>IFERROR(VLOOKUP($A124,'2018'!$A:$BB,10,FALSE),"")</f>
        <v/>
      </c>
      <c r="N124" s="1062" t="str">
        <f>IFERROR(VLOOKUP($A124,'2018'!$A:$BB,12,FALSE),"")</f>
        <v/>
      </c>
      <c r="O124" s="1055" t="str">
        <f>IFERROR(VLOOKUP($A124,'2018'!$A:$BB,13,FALSE),"")</f>
        <v/>
      </c>
      <c r="P124" s="1055" t="str">
        <f>IFERROR(VLOOKUP($A124,'2018'!$A:$BB,14,FALSE),"")</f>
        <v/>
      </c>
      <c r="Q124" s="1055" t="str">
        <f>IFERROR(VLOOKUP($A124,'2018'!$A:$BB,16,FALSE),"")</f>
        <v/>
      </c>
      <c r="R124" s="1055" t="str">
        <f>IFERROR(VLOOKUP($A124,'2018'!$A:$BB,17,FALSE),"")</f>
        <v/>
      </c>
      <c r="S124" s="1062" t="str">
        <f>IFERROR(VLOOKUP($A124,'2018'!$A:$BB,20,FALSE),"")</f>
        <v/>
      </c>
      <c r="T124" s="1062" t="str">
        <f>IFERROR(VLOOKUP($A124,'2018'!$A:$BB,21,FALSE),"")</f>
        <v/>
      </c>
      <c r="U124" s="1062" t="str">
        <f>IFERROR(VLOOKUP($A124,'2018'!$A:$BB,22,FALSE),"")</f>
        <v/>
      </c>
      <c r="V124" s="1062" t="str">
        <f>IFERROR(VLOOKUP($A124,'2018'!$A:$BB,23,FALSE),"")</f>
        <v/>
      </c>
      <c r="W124" s="1062" t="str">
        <f>IFERROR(VLOOKUP($A124,'2018'!$A:$BB,24,FALSE),"")</f>
        <v/>
      </c>
      <c r="X124" s="1062" t="str">
        <f>IFERROR(VLOOKUP($A124,'2018'!$A:$BB,41,FALSE),"")</f>
        <v/>
      </c>
      <c r="Y124" s="1062" t="str">
        <f>IFERROR(VLOOKUP($A124,'2018'!$A:$BB,42,FALSE),"")</f>
        <v/>
      </c>
      <c r="Z124" s="1062" t="str">
        <f>IFERROR(VLOOKUP($A124,'2018'!$A:$BB,45,FALSE),"")</f>
        <v/>
      </c>
      <c r="AA124" s="727"/>
      <c r="AB124" s="728"/>
      <c r="AC124" s="727"/>
      <c r="AD124" s="727"/>
      <c r="AE124" s="727"/>
      <c r="AF124" s="727"/>
      <c r="AG124" s="726"/>
      <c r="AH124" s="726"/>
      <c r="AI124" s="727"/>
      <c r="AJ124" s="747"/>
      <c r="AK124" s="753"/>
      <c r="AL124" s="754"/>
      <c r="AM124" s="753"/>
      <c r="AN124" s="754"/>
      <c r="AO124" s="776"/>
      <c r="AP124" s="754"/>
      <c r="AQ124" s="770"/>
      <c r="AR124" s="726"/>
      <c r="AS124" s="726"/>
      <c r="AT124" s="726"/>
      <c r="AU124" s="726"/>
      <c r="AV124" s="726"/>
      <c r="AW124" s="726"/>
    </row>
    <row r="125" spans="1:49">
      <c r="A125" s="1064" t="s">
        <v>128</v>
      </c>
      <c r="B125" s="726" t="s">
        <v>3826</v>
      </c>
      <c r="C125" s="726"/>
      <c r="D125" s="726" t="s">
        <v>4205</v>
      </c>
      <c r="E125" s="726" t="s">
        <v>4205</v>
      </c>
      <c r="F125" s="1059">
        <f>IFERROR(VLOOKUP($A125,'2018'!$A:$BB,3,FALSE),"")</f>
        <v>330827593</v>
      </c>
      <c r="G125" s="1055" t="str">
        <f>IFERROR(VLOOKUP($A125,'2018'!$A:$BB,4,FALSE),"")</f>
        <v xml:space="preserve">3020 Callan Road 
San Diego, CA 92121 
</v>
      </c>
      <c r="H125" s="1055" t="str">
        <f>IFERROR(VLOOKUP($A125,'2018'!$A:$BB,5,FALSE),"")</f>
        <v xml:space="preserve">Katie Porter
(858) 875-5224
kporter@cytori.com </v>
      </c>
      <c r="I125" s="1055" t="str">
        <f>IFERROR(VLOOKUP($A125,'2018'!$A:$BB,6,FALSE),"")</f>
        <v xml:space="preserve">Katie Porter
(858) 875-5224
kporter@cytori.com </v>
      </c>
      <c r="J125" s="1055" t="str">
        <f>IFERROR(VLOOKUP($A125,'2018'!$A:$BB,7,FALSE),"")</f>
        <v>HUB (San Diego)</v>
      </c>
      <c r="K125" s="1055" t="str">
        <f>IFERROR(VLOOKUP($A125,'2018'!$A:$BB,8,FALSE),"")</f>
        <v>Account Managed by HUB SD Team
Producer - Bev Gregory
Service Lead - Megan Wallace</v>
      </c>
      <c r="L125" s="1062" t="str">
        <f>IFERROR(VLOOKUP($A125,'2018'!$A:$BB,9,FALSE),"")</f>
        <v>Renewal</v>
      </c>
      <c r="M125" s="1067">
        <f>IFERROR(VLOOKUP($A125,'2018'!$A:$BB,10,FALSE),"")</f>
        <v>42705</v>
      </c>
      <c r="N125" s="1062">
        <f>IFERROR(VLOOKUP($A125,'2018'!$A:$BB,12,FALSE),"")</f>
        <v>25</v>
      </c>
      <c r="O125" s="1055" t="str">
        <f>IFERROR(VLOOKUP($A125,'2018'!$A:$BB,13,FALSE),"")</f>
        <v xml:space="preserve">IGOE </v>
      </c>
      <c r="P125" s="1055" t="str">
        <f>IFERROR(VLOOKUP($A125,'2018'!$A:$BB,14,FALSE),"")</f>
        <v xml:space="preserve">ADP </v>
      </c>
      <c r="Q125" s="1055" t="str">
        <f>IFERROR(VLOOKUP($A125,'2018'!$A:$BB,16,FALSE),"")</f>
        <v>IGOE</v>
      </c>
      <c r="R125" s="1055" t="str">
        <f>IFERROR(VLOOKUP($A125,'2018'!$A:$BB,17,FALSE),"")</f>
        <v>Optum Health</v>
      </c>
      <c r="S125" s="1062" t="str">
        <f>IFERROR(VLOOKUP($A125,'2018'!$A:$BB,20,FALSE),"")</f>
        <v>SCAL</v>
      </c>
      <c r="T125" s="1062" t="str">
        <f>IFERROR(VLOOKUP($A125,'2018'!$A:$BB,21,FALSE),"")</f>
        <v>Group C (40-49)</v>
      </c>
      <c r="U125" s="1062" t="str">
        <f>IFERROR(VLOOKUP($A125,'2018'!$A:$BB,22,FALSE),"")</f>
        <v>Expanded</v>
      </c>
      <c r="V125" s="1062" t="str">
        <f>IFERROR(VLOOKUP($A125,'2018'!$A:$BB,23,FALSE),"")</f>
        <v>Advantage</v>
      </c>
      <c r="W125" s="1062" t="str">
        <f>IFERROR(VLOOKUP($A125,'2018'!$A:$BB,24,FALSE),"")</f>
        <v>No</v>
      </c>
      <c r="X125" s="1062" t="str">
        <f>IFERROR(VLOOKUP($A125,'2018'!$A:$BB,41,FALSE),"")</f>
        <v>N/A</v>
      </c>
      <c r="Y125" s="1062" t="str">
        <f>IFERROR(VLOOKUP($A125,'2018'!$A:$BB,42,FALSE),"")</f>
        <v>N/A</v>
      </c>
      <c r="Z125" s="1062" t="str">
        <f>IFERROR(VLOOKUP($A125,'2018'!$A:$BB,45,FALSE),"")</f>
        <v>N/A</v>
      </c>
      <c r="AA125" s="730">
        <v>2018</v>
      </c>
      <c r="AB125" s="1020" t="s">
        <v>3827</v>
      </c>
      <c r="AC125" s="727" t="s">
        <v>317</v>
      </c>
      <c r="AD125" s="727" t="s">
        <v>3656</v>
      </c>
      <c r="AE125" s="727" t="s">
        <v>307</v>
      </c>
      <c r="AF125" s="727" t="s">
        <v>113</v>
      </c>
      <c r="AG125" s="726" t="s">
        <v>3962</v>
      </c>
      <c r="AH125" s="726" t="s">
        <v>3963</v>
      </c>
      <c r="AI125" s="727">
        <v>2</v>
      </c>
      <c r="AJ125" s="747" t="s">
        <v>3964</v>
      </c>
      <c r="AK125" s="753">
        <v>260092</v>
      </c>
      <c r="AL125" s="754">
        <v>193</v>
      </c>
      <c r="AM125" s="753">
        <v>260093</v>
      </c>
      <c r="AN125" s="754">
        <v>194</v>
      </c>
      <c r="AO125" s="776">
        <f t="shared" si="20"/>
        <v>260094</v>
      </c>
      <c r="AP125" s="754">
        <f t="shared" si="19"/>
        <v>195</v>
      </c>
      <c r="AQ125" s="770"/>
      <c r="AR125" s="726" t="s">
        <v>2661</v>
      </c>
      <c r="AS125" s="726" t="s">
        <v>4050</v>
      </c>
      <c r="AT125" s="726">
        <v>1930193</v>
      </c>
      <c r="AU125" s="726" t="s">
        <v>3980</v>
      </c>
      <c r="AV125" s="726"/>
      <c r="AW125" s="726"/>
    </row>
    <row r="126" spans="1:49">
      <c r="A126" s="1064" t="s">
        <v>128</v>
      </c>
      <c r="B126" s="726" t="s">
        <v>3826</v>
      </c>
      <c r="C126" s="726"/>
      <c r="D126" s="726" t="s">
        <v>4205</v>
      </c>
      <c r="E126" s="726" t="s">
        <v>4205</v>
      </c>
      <c r="F126" s="1059">
        <f>IFERROR(VLOOKUP($A126,'2018'!$A:$BB,3,FALSE),"")</f>
        <v>330827593</v>
      </c>
      <c r="G126" s="1055" t="str">
        <f>IFERROR(VLOOKUP($A126,'2018'!$A:$BB,4,FALSE),"")</f>
        <v xml:space="preserve">3020 Callan Road 
San Diego, CA 92121 
</v>
      </c>
      <c r="H126" s="1055" t="str">
        <f>IFERROR(VLOOKUP($A126,'2018'!$A:$BB,5,FALSE),"")</f>
        <v xml:space="preserve">Katie Porter
(858) 875-5224
kporter@cytori.com </v>
      </c>
      <c r="I126" s="1055" t="str">
        <f>IFERROR(VLOOKUP($A126,'2018'!$A:$BB,6,FALSE),"")</f>
        <v xml:space="preserve">Katie Porter
(858) 875-5224
kporter@cytori.com </v>
      </c>
      <c r="J126" s="1055" t="str">
        <f>IFERROR(VLOOKUP($A126,'2018'!$A:$BB,7,FALSE),"")</f>
        <v>HUB (San Diego)</v>
      </c>
      <c r="K126" s="1055" t="str">
        <f>IFERROR(VLOOKUP($A126,'2018'!$A:$BB,8,FALSE),"")</f>
        <v>Account Managed by HUB SD Team
Producer - Bev Gregory
Service Lead - Megan Wallace</v>
      </c>
      <c r="L126" s="1062" t="str">
        <f>IFERROR(VLOOKUP($A126,'2018'!$A:$BB,9,FALSE),"")</f>
        <v>Renewal</v>
      </c>
      <c r="M126" s="1067">
        <f>IFERROR(VLOOKUP($A126,'2018'!$A:$BB,10,FALSE),"")</f>
        <v>42705</v>
      </c>
      <c r="N126" s="1062">
        <f>IFERROR(VLOOKUP($A126,'2018'!$A:$BB,12,FALSE),"")</f>
        <v>25</v>
      </c>
      <c r="O126" s="1055" t="str">
        <f>IFERROR(VLOOKUP($A126,'2018'!$A:$BB,13,FALSE),"")</f>
        <v xml:space="preserve">IGOE </v>
      </c>
      <c r="P126" s="1055" t="str">
        <f>IFERROR(VLOOKUP($A126,'2018'!$A:$BB,14,FALSE),"")</f>
        <v xml:space="preserve">ADP </v>
      </c>
      <c r="Q126" s="1055" t="str">
        <f>IFERROR(VLOOKUP($A126,'2018'!$A:$BB,16,FALSE),"")</f>
        <v>IGOE</v>
      </c>
      <c r="R126" s="1055" t="str">
        <f>IFERROR(VLOOKUP($A126,'2018'!$A:$BB,17,FALSE),"")</f>
        <v>Optum Health</v>
      </c>
      <c r="S126" s="1062" t="str">
        <f>IFERROR(VLOOKUP($A126,'2018'!$A:$BB,20,FALSE),"")</f>
        <v>SCAL</v>
      </c>
      <c r="T126" s="1062" t="str">
        <f>IFERROR(VLOOKUP($A126,'2018'!$A:$BB,21,FALSE),"")</f>
        <v>Group C (40-49)</v>
      </c>
      <c r="U126" s="1062" t="str">
        <f>IFERROR(VLOOKUP($A126,'2018'!$A:$BB,22,FALSE),"")</f>
        <v>Expanded</v>
      </c>
      <c r="V126" s="1062" t="str">
        <f>IFERROR(VLOOKUP($A126,'2018'!$A:$BB,23,FALSE),"")</f>
        <v>Advantage</v>
      </c>
      <c r="W126" s="1062" t="str">
        <f>IFERROR(VLOOKUP($A126,'2018'!$A:$BB,24,FALSE),"")</f>
        <v>No</v>
      </c>
      <c r="X126" s="1062" t="str">
        <f>IFERROR(VLOOKUP($A126,'2018'!$A:$BB,41,FALSE),"")</f>
        <v>N/A</v>
      </c>
      <c r="Y126" s="1062" t="str">
        <f>IFERROR(VLOOKUP($A126,'2018'!$A:$BB,42,FALSE),"")</f>
        <v>N/A</v>
      </c>
      <c r="Z126" s="1062" t="str">
        <f>IFERROR(VLOOKUP($A126,'2018'!$A:$BB,45,FALSE),"")</f>
        <v>N/A</v>
      </c>
      <c r="AA126" s="730">
        <v>2018</v>
      </c>
      <c r="AB126" s="1020" t="s">
        <v>3827</v>
      </c>
      <c r="AC126" s="727" t="s">
        <v>317</v>
      </c>
      <c r="AD126" s="727" t="s">
        <v>3656</v>
      </c>
      <c r="AE126" s="727" t="s">
        <v>307</v>
      </c>
      <c r="AF126" s="727" t="s">
        <v>113</v>
      </c>
      <c r="AG126" s="726" t="s">
        <v>3981</v>
      </c>
      <c r="AH126" s="726" t="s">
        <v>3973</v>
      </c>
      <c r="AI126" s="727">
        <v>11</v>
      </c>
      <c r="AJ126" s="747" t="s">
        <v>3982</v>
      </c>
      <c r="AK126" s="757">
        <v>909678</v>
      </c>
      <c r="AL126" s="754">
        <v>484</v>
      </c>
      <c r="AM126" s="755">
        <v>909678</v>
      </c>
      <c r="AN126" s="754">
        <v>485</v>
      </c>
      <c r="AO126" s="776">
        <f t="shared" ref="AO126:AO127" si="28">AM126</f>
        <v>909678</v>
      </c>
      <c r="AP126" s="754">
        <f t="shared" si="19"/>
        <v>486</v>
      </c>
      <c r="AQ126" s="770"/>
      <c r="AR126" s="726" t="s">
        <v>2661</v>
      </c>
      <c r="AS126" s="726" t="s">
        <v>4051</v>
      </c>
      <c r="AT126" s="726">
        <v>4840484</v>
      </c>
      <c r="AU126" s="726" t="s">
        <v>3980</v>
      </c>
      <c r="AV126" s="726"/>
      <c r="AW126" s="726"/>
    </row>
    <row r="127" spans="1:49">
      <c r="A127" s="1064" t="s">
        <v>128</v>
      </c>
      <c r="B127" s="732" t="s">
        <v>3826</v>
      </c>
      <c r="C127" s="732"/>
      <c r="D127" s="726" t="s">
        <v>4205</v>
      </c>
      <c r="E127" s="726" t="s">
        <v>4205</v>
      </c>
      <c r="F127" s="1059">
        <f>IFERROR(VLOOKUP($A127,'2018'!$A:$BB,3,FALSE),"")</f>
        <v>330827593</v>
      </c>
      <c r="G127" s="1055" t="str">
        <f>IFERROR(VLOOKUP($A127,'2018'!$A:$BB,4,FALSE),"")</f>
        <v xml:space="preserve">3020 Callan Road 
San Diego, CA 92121 
</v>
      </c>
      <c r="H127" s="1055" t="str">
        <f>IFERROR(VLOOKUP($A127,'2018'!$A:$BB,5,FALSE),"")</f>
        <v xml:space="preserve">Katie Porter
(858) 875-5224
kporter@cytori.com </v>
      </c>
      <c r="I127" s="1055" t="str">
        <f>IFERROR(VLOOKUP($A127,'2018'!$A:$BB,6,FALSE),"")</f>
        <v xml:space="preserve">Katie Porter
(858) 875-5224
kporter@cytori.com </v>
      </c>
      <c r="J127" s="1055" t="str">
        <f>IFERROR(VLOOKUP($A127,'2018'!$A:$BB,7,FALSE),"")</f>
        <v>HUB (San Diego)</v>
      </c>
      <c r="K127" s="1055" t="str">
        <f>IFERROR(VLOOKUP($A127,'2018'!$A:$BB,8,FALSE),"")</f>
        <v>Account Managed by HUB SD Team
Producer - Bev Gregory
Service Lead - Megan Wallace</v>
      </c>
      <c r="L127" s="1062" t="str">
        <f>IFERROR(VLOOKUP($A127,'2018'!$A:$BB,9,FALSE),"")</f>
        <v>Renewal</v>
      </c>
      <c r="M127" s="1067">
        <f>IFERROR(VLOOKUP($A127,'2018'!$A:$BB,10,FALSE),"")</f>
        <v>42705</v>
      </c>
      <c r="N127" s="1062">
        <f>IFERROR(VLOOKUP($A127,'2018'!$A:$BB,12,FALSE),"")</f>
        <v>25</v>
      </c>
      <c r="O127" s="1055" t="str">
        <f>IFERROR(VLOOKUP($A127,'2018'!$A:$BB,13,FALSE),"")</f>
        <v xml:space="preserve">IGOE </v>
      </c>
      <c r="P127" s="1055" t="str">
        <f>IFERROR(VLOOKUP($A127,'2018'!$A:$BB,14,FALSE),"")</f>
        <v xml:space="preserve">ADP </v>
      </c>
      <c r="Q127" s="1055" t="str">
        <f>IFERROR(VLOOKUP($A127,'2018'!$A:$BB,16,FALSE),"")</f>
        <v>IGOE</v>
      </c>
      <c r="R127" s="1055" t="str">
        <f>IFERROR(VLOOKUP($A127,'2018'!$A:$BB,17,FALSE),"")</f>
        <v>Optum Health</v>
      </c>
      <c r="S127" s="1062" t="str">
        <f>IFERROR(VLOOKUP($A127,'2018'!$A:$BB,20,FALSE),"")</f>
        <v>SCAL</v>
      </c>
      <c r="T127" s="1062" t="str">
        <f>IFERROR(VLOOKUP($A127,'2018'!$A:$BB,21,FALSE),"")</f>
        <v>Group C (40-49)</v>
      </c>
      <c r="U127" s="1062" t="str">
        <f>IFERROR(VLOOKUP($A127,'2018'!$A:$BB,22,FALSE),"")</f>
        <v>Expanded</v>
      </c>
      <c r="V127" s="1062" t="str">
        <f>IFERROR(VLOOKUP($A127,'2018'!$A:$BB,23,FALSE),"")</f>
        <v>Advantage</v>
      </c>
      <c r="W127" s="1062" t="str">
        <f>IFERROR(VLOOKUP($A127,'2018'!$A:$BB,24,FALSE),"")</f>
        <v>No</v>
      </c>
      <c r="X127" s="1062" t="str">
        <f>IFERROR(VLOOKUP($A127,'2018'!$A:$BB,41,FALSE),"")</f>
        <v>N/A</v>
      </c>
      <c r="Y127" s="1062" t="str">
        <f>IFERROR(VLOOKUP($A127,'2018'!$A:$BB,42,FALSE),"")</f>
        <v>N/A</v>
      </c>
      <c r="Z127" s="1062" t="str">
        <f>IFERROR(VLOOKUP($A127,'2018'!$A:$BB,45,FALSE),"")</f>
        <v>N/A</v>
      </c>
      <c r="AA127" s="731">
        <v>2018</v>
      </c>
      <c r="AB127" s="1020" t="s">
        <v>3827</v>
      </c>
      <c r="AC127" s="734" t="s">
        <v>317</v>
      </c>
      <c r="AD127" s="734" t="s">
        <v>3656</v>
      </c>
      <c r="AE127" s="734" t="s">
        <v>307</v>
      </c>
      <c r="AF127" s="734" t="s">
        <v>113</v>
      </c>
      <c r="AG127" s="732" t="s">
        <v>3981</v>
      </c>
      <c r="AH127" s="732" t="s">
        <v>3977</v>
      </c>
      <c r="AI127" s="734">
        <v>16</v>
      </c>
      <c r="AJ127" s="748" t="s">
        <v>3985</v>
      </c>
      <c r="AK127" s="757">
        <v>909678</v>
      </c>
      <c r="AL127" s="756">
        <v>736</v>
      </c>
      <c r="AM127" s="755">
        <v>909678</v>
      </c>
      <c r="AN127" s="756">
        <v>737</v>
      </c>
      <c r="AO127" s="776">
        <f t="shared" si="28"/>
        <v>909678</v>
      </c>
      <c r="AP127" s="754">
        <f t="shared" si="19"/>
        <v>738</v>
      </c>
      <c r="AQ127" s="771" t="s">
        <v>3979</v>
      </c>
      <c r="AR127" s="732" t="s">
        <v>2661</v>
      </c>
      <c r="AS127" s="735"/>
      <c r="AT127" s="735"/>
      <c r="AU127" s="732" t="s">
        <v>3980</v>
      </c>
      <c r="AV127" s="735"/>
      <c r="AW127" s="735"/>
    </row>
    <row r="128" spans="1:49">
      <c r="A128" s="726"/>
      <c r="B128" s="726"/>
      <c r="C128" s="726"/>
      <c r="D128" s="726"/>
      <c r="E128" s="726"/>
      <c r="F128" s="1059" t="str">
        <f>IFERROR(VLOOKUP($A128,'2018'!$A:$BB,3,FALSE),"")</f>
        <v/>
      </c>
      <c r="G128" s="1055" t="str">
        <f>IFERROR(VLOOKUP($A128,'2018'!$A:$BB,4,FALSE),"")</f>
        <v/>
      </c>
      <c r="H128" s="1055" t="str">
        <f>IFERROR(VLOOKUP($A128,'2018'!$A:$BB,5,FALSE),"")</f>
        <v/>
      </c>
      <c r="I128" s="1055" t="str">
        <f>IFERROR(VLOOKUP($A128,'2018'!$A:$BB,6,FALSE),"")</f>
        <v/>
      </c>
      <c r="J128" s="1055" t="str">
        <f>IFERROR(VLOOKUP($A128,'2018'!$A:$BB,7,FALSE),"")</f>
        <v/>
      </c>
      <c r="K128" s="1055" t="str">
        <f>IFERROR(VLOOKUP($A128,'2018'!$A:$BB,8,FALSE),"")</f>
        <v/>
      </c>
      <c r="L128" s="1062" t="str">
        <f>IFERROR(VLOOKUP($A128,'2018'!$A:$BB,9,FALSE),"")</f>
        <v/>
      </c>
      <c r="M128" s="1067" t="str">
        <f>IFERROR(VLOOKUP($A128,'2018'!$A:$BB,10,FALSE),"")</f>
        <v/>
      </c>
      <c r="N128" s="1062" t="str">
        <f>IFERROR(VLOOKUP($A128,'2018'!$A:$BB,12,FALSE),"")</f>
        <v/>
      </c>
      <c r="O128" s="1055" t="str">
        <f>IFERROR(VLOOKUP($A128,'2018'!$A:$BB,13,FALSE),"")</f>
        <v/>
      </c>
      <c r="P128" s="1055" t="str">
        <f>IFERROR(VLOOKUP($A128,'2018'!$A:$BB,14,FALSE),"")</f>
        <v/>
      </c>
      <c r="Q128" s="1055" t="str">
        <f>IFERROR(VLOOKUP($A128,'2018'!$A:$BB,16,FALSE),"")</f>
        <v/>
      </c>
      <c r="R128" s="1055" t="str">
        <f>IFERROR(VLOOKUP($A128,'2018'!$A:$BB,17,FALSE),"")</f>
        <v/>
      </c>
      <c r="S128" s="1062" t="str">
        <f>IFERROR(VLOOKUP($A128,'2018'!$A:$BB,20,FALSE),"")</f>
        <v/>
      </c>
      <c r="T128" s="1062" t="str">
        <f>IFERROR(VLOOKUP($A128,'2018'!$A:$BB,21,FALSE),"")</f>
        <v/>
      </c>
      <c r="U128" s="1062" t="str">
        <f>IFERROR(VLOOKUP($A128,'2018'!$A:$BB,22,FALSE),"")</f>
        <v/>
      </c>
      <c r="V128" s="1062" t="str">
        <f>IFERROR(VLOOKUP($A128,'2018'!$A:$BB,23,FALSE),"")</f>
        <v/>
      </c>
      <c r="W128" s="1062" t="str">
        <f>IFERROR(VLOOKUP($A128,'2018'!$A:$BB,24,FALSE),"")</f>
        <v/>
      </c>
      <c r="X128" s="1062" t="str">
        <f>IFERROR(VLOOKUP($A128,'2018'!$A:$BB,41,FALSE),"")</f>
        <v/>
      </c>
      <c r="Y128" s="1062" t="str">
        <f>IFERROR(VLOOKUP($A128,'2018'!$A:$BB,42,FALSE),"")</f>
        <v/>
      </c>
      <c r="Z128" s="1062" t="str">
        <f>IFERROR(VLOOKUP($A128,'2018'!$A:$BB,45,FALSE),"")</f>
        <v/>
      </c>
      <c r="AA128" s="727"/>
      <c r="AB128" s="728"/>
      <c r="AC128" s="727"/>
      <c r="AD128" s="727"/>
      <c r="AE128" s="727"/>
      <c r="AF128" s="727"/>
      <c r="AG128" s="726"/>
      <c r="AH128" s="726"/>
      <c r="AI128" s="727"/>
      <c r="AJ128" s="747"/>
      <c r="AK128" s="753"/>
      <c r="AL128" s="754"/>
      <c r="AM128" s="753"/>
      <c r="AN128" s="754"/>
      <c r="AO128" s="776"/>
      <c r="AP128" s="754"/>
      <c r="AQ128" s="770"/>
      <c r="AR128" s="726"/>
      <c r="AS128" s="726"/>
      <c r="AT128" s="726"/>
      <c r="AU128" s="726"/>
      <c r="AV128" s="726"/>
      <c r="AW128" s="726"/>
    </row>
    <row r="129" spans="1:49">
      <c r="A129" s="1214" t="s">
        <v>4970</v>
      </c>
      <c r="B129" s="1214" t="s">
        <v>4052</v>
      </c>
      <c r="C129" s="732"/>
      <c r="D129" s="783" t="s">
        <v>4052</v>
      </c>
      <c r="E129" s="783" t="s">
        <v>4052</v>
      </c>
      <c r="F129" s="1059" t="str">
        <f>IFERROR(VLOOKUP($A129,'2018'!$A:$BB,3,FALSE),"")</f>
        <v/>
      </c>
      <c r="G129" s="1055" t="str">
        <f>IFERROR(VLOOKUP($A129,'2018'!$A:$BB,4,FALSE),"")</f>
        <v/>
      </c>
      <c r="H129" s="1055" t="str">
        <f>IFERROR(VLOOKUP($A129,'2018'!$A:$BB,5,FALSE),"")</f>
        <v/>
      </c>
      <c r="I129" s="1055" t="str">
        <f>IFERROR(VLOOKUP($A129,'2018'!$A:$BB,6,FALSE),"")</f>
        <v/>
      </c>
      <c r="J129" s="1055" t="str">
        <f>IFERROR(VLOOKUP($A129,'2018'!$A:$BB,7,FALSE),"")</f>
        <v/>
      </c>
      <c r="K129" s="1055" t="str">
        <f>IFERROR(VLOOKUP($A129,'2018'!$A:$BB,8,FALSE),"")</f>
        <v/>
      </c>
      <c r="L129" s="1062" t="str">
        <f>IFERROR(VLOOKUP($A129,'2018'!$A:$BB,9,FALSE),"")</f>
        <v/>
      </c>
      <c r="M129" s="1067" t="str">
        <f>IFERROR(VLOOKUP($A129,'2018'!$A:$BB,10,FALSE),"")</f>
        <v/>
      </c>
      <c r="N129" s="1062" t="str">
        <f>IFERROR(VLOOKUP($A129,'2018'!$A:$BB,12,FALSE),"")</f>
        <v/>
      </c>
      <c r="O129" s="1055" t="str">
        <f>IFERROR(VLOOKUP($A129,'2018'!$A:$BB,13,FALSE),"")</f>
        <v/>
      </c>
      <c r="P129" s="1055" t="str">
        <f>IFERROR(VLOOKUP($A129,'2018'!$A:$BB,14,FALSE),"")</f>
        <v/>
      </c>
      <c r="Q129" s="1055" t="str">
        <f>IFERROR(VLOOKUP($A129,'2018'!$A:$BB,16,FALSE),"")</f>
        <v/>
      </c>
      <c r="R129" s="1055" t="str">
        <f>IFERROR(VLOOKUP($A129,'2018'!$A:$BB,17,FALSE),"")</f>
        <v/>
      </c>
      <c r="S129" s="1062" t="str">
        <f>IFERROR(VLOOKUP($A129,'2018'!$A:$BB,20,FALSE),"")</f>
        <v/>
      </c>
      <c r="T129" s="1062" t="str">
        <f>IFERROR(VLOOKUP($A129,'2018'!$A:$BB,21,FALSE),"")</f>
        <v/>
      </c>
      <c r="U129" s="1062" t="str">
        <f>IFERROR(VLOOKUP($A129,'2018'!$A:$BB,22,FALSE),"")</f>
        <v/>
      </c>
      <c r="V129" s="1062" t="str">
        <f>IFERROR(VLOOKUP($A129,'2018'!$A:$BB,23,FALSE),"")</f>
        <v/>
      </c>
      <c r="W129" s="1062" t="str">
        <f>IFERROR(VLOOKUP($A129,'2018'!$A:$BB,24,FALSE),"")</f>
        <v/>
      </c>
      <c r="X129" s="1062" t="str">
        <f>IFERROR(VLOOKUP($A129,'2018'!$A:$BB,41,FALSE),"")</f>
        <v/>
      </c>
      <c r="Y129" s="1062" t="str">
        <f>IFERROR(VLOOKUP($A129,'2018'!$A:$BB,42,FALSE),"")</f>
        <v/>
      </c>
      <c r="Z129" s="1062" t="str">
        <f>IFERROR(VLOOKUP($A129,'2018'!$A:$BB,45,FALSE),"")</f>
        <v/>
      </c>
      <c r="AA129" s="731">
        <v>2018</v>
      </c>
      <c r="AB129" s="728" t="s">
        <v>3830</v>
      </c>
      <c r="AC129" s="727" t="s">
        <v>317</v>
      </c>
      <c r="AD129" s="727" t="s">
        <v>3658</v>
      </c>
      <c r="AE129" s="727" t="s">
        <v>307</v>
      </c>
      <c r="AF129" s="727" t="s">
        <v>113</v>
      </c>
      <c r="AG129" s="726" t="s">
        <v>3962</v>
      </c>
      <c r="AH129" s="726" t="s">
        <v>3963</v>
      </c>
      <c r="AI129" s="727">
        <v>2</v>
      </c>
      <c r="AJ129" s="747" t="s">
        <v>3964</v>
      </c>
      <c r="AK129" s="753">
        <v>260095</v>
      </c>
      <c r="AL129" s="754">
        <v>196</v>
      </c>
      <c r="AM129" s="753">
        <v>260096</v>
      </c>
      <c r="AN129" s="754">
        <v>197</v>
      </c>
      <c r="AO129" s="776">
        <f t="shared" si="20"/>
        <v>260097</v>
      </c>
      <c r="AP129" s="754">
        <f t="shared" si="19"/>
        <v>198</v>
      </c>
      <c r="AQ129" s="770"/>
      <c r="AR129" s="726" t="s">
        <v>2661</v>
      </c>
      <c r="AS129" s="726" t="s">
        <v>3965</v>
      </c>
      <c r="AT129" s="726">
        <v>1960196</v>
      </c>
      <c r="AU129" s="726" t="s">
        <v>3980</v>
      </c>
      <c r="AV129" s="726"/>
      <c r="AW129" s="726"/>
    </row>
    <row r="130" spans="1:49">
      <c r="A130" s="1214" t="s">
        <v>4970</v>
      </c>
      <c r="B130" s="732" t="s">
        <v>4052</v>
      </c>
      <c r="C130" s="732"/>
      <c r="D130" s="783" t="s">
        <v>4052</v>
      </c>
      <c r="E130" s="783" t="s">
        <v>4052</v>
      </c>
      <c r="F130" s="1059" t="str">
        <f>IFERROR(VLOOKUP($A130,'2018'!$A:$BB,3,FALSE),"")</f>
        <v/>
      </c>
      <c r="G130" s="1055" t="str">
        <f>IFERROR(VLOOKUP($A130,'2018'!$A:$BB,4,FALSE),"")</f>
        <v/>
      </c>
      <c r="H130" s="1055" t="str">
        <f>IFERROR(VLOOKUP($A130,'2018'!$A:$BB,5,FALSE),"")</f>
        <v/>
      </c>
      <c r="I130" s="1055" t="str">
        <f>IFERROR(VLOOKUP($A130,'2018'!$A:$BB,6,FALSE),"")</f>
        <v/>
      </c>
      <c r="J130" s="1055" t="str">
        <f>IFERROR(VLOOKUP($A130,'2018'!$A:$BB,7,FALSE),"")</f>
        <v/>
      </c>
      <c r="K130" s="1055" t="str">
        <f>IFERROR(VLOOKUP($A130,'2018'!$A:$BB,8,FALSE),"")</f>
        <v/>
      </c>
      <c r="L130" s="1062" t="str">
        <f>IFERROR(VLOOKUP($A130,'2018'!$A:$BB,9,FALSE),"")</f>
        <v/>
      </c>
      <c r="M130" s="1067" t="str">
        <f>IFERROR(VLOOKUP($A130,'2018'!$A:$BB,10,FALSE),"")</f>
        <v/>
      </c>
      <c r="N130" s="1062" t="str">
        <f>IFERROR(VLOOKUP($A130,'2018'!$A:$BB,12,FALSE),"")</f>
        <v/>
      </c>
      <c r="O130" s="1055" t="str">
        <f>IFERROR(VLOOKUP($A130,'2018'!$A:$BB,13,FALSE),"")</f>
        <v/>
      </c>
      <c r="P130" s="1055" t="str">
        <f>IFERROR(VLOOKUP($A130,'2018'!$A:$BB,14,FALSE),"")</f>
        <v/>
      </c>
      <c r="Q130" s="1055" t="str">
        <f>IFERROR(VLOOKUP($A130,'2018'!$A:$BB,16,FALSE),"")</f>
        <v/>
      </c>
      <c r="R130" s="1055" t="str">
        <f>IFERROR(VLOOKUP($A130,'2018'!$A:$BB,17,FALSE),"")</f>
        <v/>
      </c>
      <c r="S130" s="1062" t="str">
        <f>IFERROR(VLOOKUP($A130,'2018'!$A:$BB,20,FALSE),"")</f>
        <v/>
      </c>
      <c r="T130" s="1062" t="str">
        <f>IFERROR(VLOOKUP($A130,'2018'!$A:$BB,21,FALSE),"")</f>
        <v/>
      </c>
      <c r="U130" s="1062" t="str">
        <f>IFERROR(VLOOKUP($A130,'2018'!$A:$BB,22,FALSE),"")</f>
        <v/>
      </c>
      <c r="V130" s="1062" t="str">
        <f>IFERROR(VLOOKUP($A130,'2018'!$A:$BB,23,FALSE),"")</f>
        <v/>
      </c>
      <c r="W130" s="1062" t="str">
        <f>IFERROR(VLOOKUP($A130,'2018'!$A:$BB,24,FALSE),"")</f>
        <v/>
      </c>
      <c r="X130" s="1062" t="str">
        <f>IFERROR(VLOOKUP($A130,'2018'!$A:$BB,41,FALSE),"")</f>
        <v/>
      </c>
      <c r="Y130" s="1062" t="str">
        <f>IFERROR(VLOOKUP($A130,'2018'!$A:$BB,42,FALSE),"")</f>
        <v/>
      </c>
      <c r="Z130" s="1062" t="str">
        <f>IFERROR(VLOOKUP($A130,'2018'!$A:$BB,45,FALSE),"")</f>
        <v/>
      </c>
      <c r="AA130" s="731">
        <v>2018</v>
      </c>
      <c r="AB130" s="728" t="s">
        <v>3830</v>
      </c>
      <c r="AC130" s="727" t="s">
        <v>317</v>
      </c>
      <c r="AD130" s="727" t="s">
        <v>3658</v>
      </c>
      <c r="AE130" s="727" t="s">
        <v>307</v>
      </c>
      <c r="AF130" s="727" t="s">
        <v>113</v>
      </c>
      <c r="AG130" s="726" t="s">
        <v>3972</v>
      </c>
      <c r="AH130" s="726" t="s">
        <v>3973</v>
      </c>
      <c r="AI130" s="727">
        <v>8</v>
      </c>
      <c r="AJ130" s="747" t="s">
        <v>3992</v>
      </c>
      <c r="AK130" s="757">
        <v>909678</v>
      </c>
      <c r="AL130" s="754">
        <v>379</v>
      </c>
      <c r="AM130" s="755">
        <v>909678</v>
      </c>
      <c r="AN130" s="754">
        <v>380</v>
      </c>
      <c r="AO130" s="776">
        <f t="shared" ref="AO130:AO133" si="29">AM130</f>
        <v>909678</v>
      </c>
      <c r="AP130" s="754">
        <f t="shared" si="19"/>
        <v>381</v>
      </c>
      <c r="AQ130" s="770"/>
      <c r="AR130" s="726" t="s">
        <v>2661</v>
      </c>
      <c r="AS130" s="726" t="s">
        <v>4007</v>
      </c>
      <c r="AT130" s="726">
        <v>3790379</v>
      </c>
      <c r="AU130" s="726" t="s">
        <v>3980</v>
      </c>
      <c r="AV130" s="726"/>
      <c r="AW130" s="726"/>
    </row>
    <row r="131" spans="1:49">
      <c r="A131" s="1214" t="s">
        <v>4970</v>
      </c>
      <c r="B131" s="732" t="s">
        <v>4052</v>
      </c>
      <c r="C131" s="732"/>
      <c r="D131" s="783" t="s">
        <v>4052</v>
      </c>
      <c r="E131" s="783" t="s">
        <v>4052</v>
      </c>
      <c r="F131" s="1059" t="str">
        <f>IFERROR(VLOOKUP($A131,'2018'!$A:$BB,3,FALSE),"")</f>
        <v/>
      </c>
      <c r="G131" s="1055" t="str">
        <f>IFERROR(VLOOKUP($A131,'2018'!$A:$BB,4,FALSE),"")</f>
        <v/>
      </c>
      <c r="H131" s="1055" t="str">
        <f>IFERROR(VLOOKUP($A131,'2018'!$A:$BB,5,FALSE),"")</f>
        <v/>
      </c>
      <c r="I131" s="1055" t="str">
        <f>IFERROR(VLOOKUP($A131,'2018'!$A:$BB,6,FALSE),"")</f>
        <v/>
      </c>
      <c r="J131" s="1055" t="str">
        <f>IFERROR(VLOOKUP($A131,'2018'!$A:$BB,7,FALSE),"")</f>
        <v/>
      </c>
      <c r="K131" s="1055" t="str">
        <f>IFERROR(VLOOKUP($A131,'2018'!$A:$BB,8,FALSE),"")</f>
        <v/>
      </c>
      <c r="L131" s="1062" t="str">
        <f>IFERROR(VLOOKUP($A131,'2018'!$A:$BB,9,FALSE),"")</f>
        <v/>
      </c>
      <c r="M131" s="1067" t="str">
        <f>IFERROR(VLOOKUP($A131,'2018'!$A:$BB,10,FALSE),"")</f>
        <v/>
      </c>
      <c r="N131" s="1062" t="str">
        <f>IFERROR(VLOOKUP($A131,'2018'!$A:$BB,12,FALSE),"")</f>
        <v/>
      </c>
      <c r="O131" s="1055" t="str">
        <f>IFERROR(VLOOKUP($A131,'2018'!$A:$BB,13,FALSE),"")</f>
        <v/>
      </c>
      <c r="P131" s="1055" t="str">
        <f>IFERROR(VLOOKUP($A131,'2018'!$A:$BB,14,FALSE),"")</f>
        <v/>
      </c>
      <c r="Q131" s="1055" t="str">
        <f>IFERROR(VLOOKUP($A131,'2018'!$A:$BB,16,FALSE),"")</f>
        <v/>
      </c>
      <c r="R131" s="1055" t="str">
        <f>IFERROR(VLOOKUP($A131,'2018'!$A:$BB,17,FALSE),"")</f>
        <v/>
      </c>
      <c r="S131" s="1062" t="str">
        <f>IFERROR(VLOOKUP($A131,'2018'!$A:$BB,20,FALSE),"")</f>
        <v/>
      </c>
      <c r="T131" s="1062" t="str">
        <f>IFERROR(VLOOKUP($A131,'2018'!$A:$BB,21,FALSE),"")</f>
        <v/>
      </c>
      <c r="U131" s="1062" t="str">
        <f>IFERROR(VLOOKUP($A131,'2018'!$A:$BB,22,FALSE),"")</f>
        <v/>
      </c>
      <c r="V131" s="1062" t="str">
        <f>IFERROR(VLOOKUP($A131,'2018'!$A:$BB,23,FALSE),"")</f>
        <v/>
      </c>
      <c r="W131" s="1062" t="str">
        <f>IFERROR(VLOOKUP($A131,'2018'!$A:$BB,24,FALSE),"")</f>
        <v/>
      </c>
      <c r="X131" s="1062" t="str">
        <f>IFERROR(VLOOKUP($A131,'2018'!$A:$BB,41,FALSE),"")</f>
        <v/>
      </c>
      <c r="Y131" s="1062" t="str">
        <f>IFERROR(VLOOKUP($A131,'2018'!$A:$BB,42,FALSE),"")</f>
        <v/>
      </c>
      <c r="Z131" s="1062" t="str">
        <f>IFERROR(VLOOKUP($A131,'2018'!$A:$BB,45,FALSE),"")</f>
        <v/>
      </c>
      <c r="AA131" s="731">
        <v>2018</v>
      </c>
      <c r="AB131" s="733" t="s">
        <v>3830</v>
      </c>
      <c r="AC131" s="734" t="s">
        <v>317</v>
      </c>
      <c r="AD131" s="734" t="s">
        <v>3658</v>
      </c>
      <c r="AE131" s="734" t="s">
        <v>307</v>
      </c>
      <c r="AF131" s="734" t="s">
        <v>113</v>
      </c>
      <c r="AG131" s="732" t="s">
        <v>3972</v>
      </c>
      <c r="AH131" s="732" t="s">
        <v>3977</v>
      </c>
      <c r="AI131" s="734">
        <v>14</v>
      </c>
      <c r="AJ131" s="748" t="s">
        <v>3994</v>
      </c>
      <c r="AK131" s="757">
        <v>909678</v>
      </c>
      <c r="AL131" s="756">
        <v>631</v>
      </c>
      <c r="AM131" s="755">
        <v>909678</v>
      </c>
      <c r="AN131" s="756">
        <v>632</v>
      </c>
      <c r="AO131" s="776">
        <f t="shared" si="29"/>
        <v>909678</v>
      </c>
      <c r="AP131" s="754">
        <f t="shared" si="19"/>
        <v>633</v>
      </c>
      <c r="AQ131" s="771" t="s">
        <v>3979</v>
      </c>
      <c r="AR131" s="732" t="s">
        <v>2661</v>
      </c>
      <c r="AS131" s="735"/>
      <c r="AT131" s="735"/>
      <c r="AU131" s="732" t="s">
        <v>3980</v>
      </c>
      <c r="AV131" s="735"/>
      <c r="AW131" s="735"/>
    </row>
    <row r="132" spans="1:49">
      <c r="A132" s="1214" t="s">
        <v>4970</v>
      </c>
      <c r="B132" s="732" t="s">
        <v>4052</v>
      </c>
      <c r="C132" s="732"/>
      <c r="D132" s="783" t="s">
        <v>4052</v>
      </c>
      <c r="E132" s="783" t="s">
        <v>4052</v>
      </c>
      <c r="F132" s="1059" t="str">
        <f>IFERROR(VLOOKUP($A132,'2018'!$A:$BB,3,FALSE),"")</f>
        <v/>
      </c>
      <c r="G132" s="1055" t="str">
        <f>IFERROR(VLOOKUP($A132,'2018'!$A:$BB,4,FALSE),"")</f>
        <v/>
      </c>
      <c r="H132" s="1055" t="str">
        <f>IFERROR(VLOOKUP($A132,'2018'!$A:$BB,5,FALSE),"")</f>
        <v/>
      </c>
      <c r="I132" s="1055" t="str">
        <f>IFERROR(VLOOKUP($A132,'2018'!$A:$BB,6,FALSE),"")</f>
        <v/>
      </c>
      <c r="J132" s="1055" t="str">
        <f>IFERROR(VLOOKUP($A132,'2018'!$A:$BB,7,FALSE),"")</f>
        <v/>
      </c>
      <c r="K132" s="1055" t="str">
        <f>IFERROR(VLOOKUP($A132,'2018'!$A:$BB,8,FALSE),"")</f>
        <v/>
      </c>
      <c r="L132" s="1062" t="str">
        <f>IFERROR(VLOOKUP($A132,'2018'!$A:$BB,9,FALSE),"")</f>
        <v/>
      </c>
      <c r="M132" s="1067" t="str">
        <f>IFERROR(VLOOKUP($A132,'2018'!$A:$BB,10,FALSE),"")</f>
        <v/>
      </c>
      <c r="N132" s="1062" t="str">
        <f>IFERROR(VLOOKUP($A132,'2018'!$A:$BB,12,FALSE),"")</f>
        <v/>
      </c>
      <c r="O132" s="1055" t="str">
        <f>IFERROR(VLOOKUP($A132,'2018'!$A:$BB,13,FALSE),"")</f>
        <v/>
      </c>
      <c r="P132" s="1055" t="str">
        <f>IFERROR(VLOOKUP($A132,'2018'!$A:$BB,14,FALSE),"")</f>
        <v/>
      </c>
      <c r="Q132" s="1055" t="str">
        <f>IFERROR(VLOOKUP($A132,'2018'!$A:$BB,16,FALSE),"")</f>
        <v/>
      </c>
      <c r="R132" s="1055" t="str">
        <f>IFERROR(VLOOKUP($A132,'2018'!$A:$BB,17,FALSE),"")</f>
        <v/>
      </c>
      <c r="S132" s="1062" t="str">
        <f>IFERROR(VLOOKUP($A132,'2018'!$A:$BB,20,FALSE),"")</f>
        <v/>
      </c>
      <c r="T132" s="1062" t="str">
        <f>IFERROR(VLOOKUP($A132,'2018'!$A:$BB,21,FALSE),"")</f>
        <v/>
      </c>
      <c r="U132" s="1062" t="str">
        <f>IFERROR(VLOOKUP($A132,'2018'!$A:$BB,22,FALSE),"")</f>
        <v/>
      </c>
      <c r="V132" s="1062" t="str">
        <f>IFERROR(VLOOKUP($A132,'2018'!$A:$BB,23,FALSE),"")</f>
        <v/>
      </c>
      <c r="W132" s="1062" t="str">
        <f>IFERROR(VLOOKUP($A132,'2018'!$A:$BB,24,FALSE),"")</f>
        <v/>
      </c>
      <c r="X132" s="1062" t="str">
        <f>IFERROR(VLOOKUP($A132,'2018'!$A:$BB,41,FALSE),"")</f>
        <v/>
      </c>
      <c r="Y132" s="1062" t="str">
        <f>IFERROR(VLOOKUP($A132,'2018'!$A:$BB,42,FALSE),"")</f>
        <v/>
      </c>
      <c r="Z132" s="1062" t="str">
        <f>IFERROR(VLOOKUP($A132,'2018'!$A:$BB,45,FALSE),"")</f>
        <v/>
      </c>
      <c r="AA132" s="731">
        <v>2018</v>
      </c>
      <c r="AB132" s="733" t="s">
        <v>3830</v>
      </c>
      <c r="AC132" s="734" t="s">
        <v>317</v>
      </c>
      <c r="AD132" s="734" t="s">
        <v>3658</v>
      </c>
      <c r="AE132" s="734" t="s">
        <v>307</v>
      </c>
      <c r="AF132" s="734" t="s">
        <v>113</v>
      </c>
      <c r="AG132" s="732" t="s">
        <v>3981</v>
      </c>
      <c r="AH132" s="732" t="s">
        <v>3973</v>
      </c>
      <c r="AI132" s="734">
        <v>11</v>
      </c>
      <c r="AJ132" s="748" t="s">
        <v>3982</v>
      </c>
      <c r="AK132" s="757">
        <v>909678</v>
      </c>
      <c r="AL132" s="756">
        <v>487</v>
      </c>
      <c r="AM132" s="755">
        <v>909678</v>
      </c>
      <c r="AN132" s="756">
        <v>488</v>
      </c>
      <c r="AO132" s="776">
        <f t="shared" si="29"/>
        <v>909678</v>
      </c>
      <c r="AP132" s="754">
        <f t="shared" si="19"/>
        <v>489</v>
      </c>
      <c r="AQ132" s="771" t="s">
        <v>3979</v>
      </c>
      <c r="AR132" s="732" t="s">
        <v>2661</v>
      </c>
      <c r="AS132" s="735"/>
      <c r="AT132" s="735"/>
      <c r="AU132" s="732" t="s">
        <v>3980</v>
      </c>
      <c r="AV132" s="735"/>
      <c r="AW132" s="735"/>
    </row>
    <row r="133" spans="1:49">
      <c r="A133" s="1214" t="s">
        <v>4970</v>
      </c>
      <c r="B133" s="732" t="s">
        <v>4052</v>
      </c>
      <c r="C133" s="732"/>
      <c r="D133" s="783" t="s">
        <v>4052</v>
      </c>
      <c r="E133" s="783" t="s">
        <v>4052</v>
      </c>
      <c r="F133" s="1059" t="str">
        <f>IFERROR(VLOOKUP($A133,'2018'!$A:$BB,3,FALSE),"")</f>
        <v/>
      </c>
      <c r="G133" s="1055" t="str">
        <f>IFERROR(VLOOKUP($A133,'2018'!$A:$BB,4,FALSE),"")</f>
        <v/>
      </c>
      <c r="H133" s="1055" t="str">
        <f>IFERROR(VLOOKUP($A133,'2018'!$A:$BB,5,FALSE),"")</f>
        <v/>
      </c>
      <c r="I133" s="1055" t="str">
        <f>IFERROR(VLOOKUP($A133,'2018'!$A:$BB,6,FALSE),"")</f>
        <v/>
      </c>
      <c r="J133" s="1055" t="str">
        <f>IFERROR(VLOOKUP($A133,'2018'!$A:$BB,7,FALSE),"")</f>
        <v/>
      </c>
      <c r="K133" s="1055" t="str">
        <f>IFERROR(VLOOKUP($A133,'2018'!$A:$BB,8,FALSE),"")</f>
        <v/>
      </c>
      <c r="L133" s="1062" t="str">
        <f>IFERROR(VLOOKUP($A133,'2018'!$A:$BB,9,FALSE),"")</f>
        <v/>
      </c>
      <c r="M133" s="1067" t="str">
        <f>IFERROR(VLOOKUP($A133,'2018'!$A:$BB,10,FALSE),"")</f>
        <v/>
      </c>
      <c r="N133" s="1062" t="str">
        <f>IFERROR(VLOOKUP($A133,'2018'!$A:$BB,12,FALSE),"")</f>
        <v/>
      </c>
      <c r="O133" s="1055" t="str">
        <f>IFERROR(VLOOKUP($A133,'2018'!$A:$BB,13,FALSE),"")</f>
        <v/>
      </c>
      <c r="P133" s="1055" t="str">
        <f>IFERROR(VLOOKUP($A133,'2018'!$A:$BB,14,FALSE),"")</f>
        <v/>
      </c>
      <c r="Q133" s="1055" t="str">
        <f>IFERROR(VLOOKUP($A133,'2018'!$A:$BB,16,FALSE),"")</f>
        <v/>
      </c>
      <c r="R133" s="1055" t="str">
        <f>IFERROR(VLOOKUP($A133,'2018'!$A:$BB,17,FALSE),"")</f>
        <v/>
      </c>
      <c r="S133" s="1062" t="str">
        <f>IFERROR(VLOOKUP($A133,'2018'!$A:$BB,20,FALSE),"")</f>
        <v/>
      </c>
      <c r="T133" s="1062" t="str">
        <f>IFERROR(VLOOKUP($A133,'2018'!$A:$BB,21,FALSE),"")</f>
        <v/>
      </c>
      <c r="U133" s="1062" t="str">
        <f>IFERROR(VLOOKUP($A133,'2018'!$A:$BB,22,FALSE),"")</f>
        <v/>
      </c>
      <c r="V133" s="1062" t="str">
        <f>IFERROR(VLOOKUP($A133,'2018'!$A:$BB,23,FALSE),"")</f>
        <v/>
      </c>
      <c r="W133" s="1062" t="str">
        <f>IFERROR(VLOOKUP($A133,'2018'!$A:$BB,24,FALSE),"")</f>
        <v/>
      </c>
      <c r="X133" s="1062" t="str">
        <f>IFERROR(VLOOKUP($A133,'2018'!$A:$BB,41,FALSE),"")</f>
        <v/>
      </c>
      <c r="Y133" s="1062" t="str">
        <f>IFERROR(VLOOKUP($A133,'2018'!$A:$BB,42,FALSE),"")</f>
        <v/>
      </c>
      <c r="Z133" s="1062" t="str">
        <f>IFERROR(VLOOKUP($A133,'2018'!$A:$BB,45,FALSE),"")</f>
        <v/>
      </c>
      <c r="AA133" s="731">
        <v>2018</v>
      </c>
      <c r="AB133" s="733" t="s">
        <v>3830</v>
      </c>
      <c r="AC133" s="734" t="s">
        <v>317</v>
      </c>
      <c r="AD133" s="734" t="s">
        <v>3658</v>
      </c>
      <c r="AE133" s="734" t="s">
        <v>307</v>
      </c>
      <c r="AF133" s="734" t="s">
        <v>113</v>
      </c>
      <c r="AG133" s="732" t="s">
        <v>3981</v>
      </c>
      <c r="AH133" s="732" t="s">
        <v>3977</v>
      </c>
      <c r="AI133" s="734">
        <v>16</v>
      </c>
      <c r="AJ133" s="748" t="s">
        <v>3985</v>
      </c>
      <c r="AK133" s="757">
        <v>909678</v>
      </c>
      <c r="AL133" s="756">
        <v>739</v>
      </c>
      <c r="AM133" s="755">
        <v>909678</v>
      </c>
      <c r="AN133" s="756">
        <v>740</v>
      </c>
      <c r="AO133" s="776">
        <f t="shared" si="29"/>
        <v>909678</v>
      </c>
      <c r="AP133" s="754">
        <f t="shared" si="19"/>
        <v>741</v>
      </c>
      <c r="AQ133" s="771" t="s">
        <v>3979</v>
      </c>
      <c r="AR133" s="732" t="s">
        <v>2661</v>
      </c>
      <c r="AS133" s="735"/>
      <c r="AT133" s="735"/>
      <c r="AU133" s="732" t="s">
        <v>3980</v>
      </c>
      <c r="AV133" s="735"/>
      <c r="AW133" s="735"/>
    </row>
    <row r="134" spans="1:49" s="739" customFormat="1">
      <c r="A134" s="732"/>
      <c r="B134" s="732"/>
      <c r="C134" s="732"/>
      <c r="D134" s="786"/>
      <c r="E134" s="786"/>
      <c r="F134" s="1059" t="str">
        <f>IFERROR(VLOOKUP($A134,'2018'!$A:$BB,3,FALSE),"")</f>
        <v/>
      </c>
      <c r="G134" s="1055" t="str">
        <f>IFERROR(VLOOKUP($A134,'2018'!$A:$BB,4,FALSE),"")</f>
        <v/>
      </c>
      <c r="H134" s="1055" t="str">
        <f>IFERROR(VLOOKUP($A134,'2018'!$A:$BB,5,FALSE),"")</f>
        <v/>
      </c>
      <c r="I134" s="1055" t="str">
        <f>IFERROR(VLOOKUP($A134,'2018'!$A:$BB,6,FALSE),"")</f>
        <v/>
      </c>
      <c r="J134" s="1055" t="str">
        <f>IFERROR(VLOOKUP($A134,'2018'!$A:$BB,7,FALSE),"")</f>
        <v/>
      </c>
      <c r="K134" s="1055" t="str">
        <f>IFERROR(VLOOKUP($A134,'2018'!$A:$BB,8,FALSE),"")</f>
        <v/>
      </c>
      <c r="L134" s="1062" t="str">
        <f>IFERROR(VLOOKUP($A134,'2018'!$A:$BB,9,FALSE),"")</f>
        <v/>
      </c>
      <c r="M134" s="1067" t="str">
        <f>IFERROR(VLOOKUP($A134,'2018'!$A:$BB,10,FALSE),"")</f>
        <v/>
      </c>
      <c r="N134" s="1062" t="str">
        <f>IFERROR(VLOOKUP($A134,'2018'!$A:$BB,12,FALSE),"")</f>
        <v/>
      </c>
      <c r="O134" s="1055" t="str">
        <f>IFERROR(VLOOKUP($A134,'2018'!$A:$BB,13,FALSE),"")</f>
        <v/>
      </c>
      <c r="P134" s="1055" t="str">
        <f>IFERROR(VLOOKUP($A134,'2018'!$A:$BB,14,FALSE),"")</f>
        <v/>
      </c>
      <c r="Q134" s="1055" t="str">
        <f>IFERROR(VLOOKUP($A134,'2018'!$A:$BB,16,FALSE),"")</f>
        <v/>
      </c>
      <c r="R134" s="1055" t="str">
        <f>IFERROR(VLOOKUP($A134,'2018'!$A:$BB,17,FALSE),"")</f>
        <v/>
      </c>
      <c r="S134" s="1062" t="str">
        <f>IFERROR(VLOOKUP($A134,'2018'!$A:$BB,20,FALSE),"")</f>
        <v/>
      </c>
      <c r="T134" s="1062" t="str">
        <f>IFERROR(VLOOKUP($A134,'2018'!$A:$BB,21,FALSE),"")</f>
        <v/>
      </c>
      <c r="U134" s="1062" t="str">
        <f>IFERROR(VLOOKUP($A134,'2018'!$A:$BB,22,FALSE),"")</f>
        <v/>
      </c>
      <c r="V134" s="1062" t="str">
        <f>IFERROR(VLOOKUP($A134,'2018'!$A:$BB,23,FALSE),"")</f>
        <v/>
      </c>
      <c r="W134" s="1062" t="str">
        <f>IFERROR(VLOOKUP($A134,'2018'!$A:$BB,24,FALSE),"")</f>
        <v/>
      </c>
      <c r="X134" s="1062" t="str">
        <f>IFERROR(VLOOKUP($A134,'2018'!$A:$BB,41,FALSE),"")</f>
        <v/>
      </c>
      <c r="Y134" s="1062" t="str">
        <f>IFERROR(VLOOKUP($A134,'2018'!$A:$BB,42,FALSE),"")</f>
        <v/>
      </c>
      <c r="Z134" s="1062" t="str">
        <f>IFERROR(VLOOKUP($A134,'2018'!$A:$BB,45,FALSE),"")</f>
        <v/>
      </c>
      <c r="AA134" s="731"/>
      <c r="AB134" s="733"/>
      <c r="AC134" s="734"/>
      <c r="AD134" s="734"/>
      <c r="AE134" s="734"/>
      <c r="AF134" s="734"/>
      <c r="AG134" s="732"/>
      <c r="AH134" s="732"/>
      <c r="AI134" s="734"/>
      <c r="AJ134" s="748"/>
      <c r="AK134" s="757"/>
      <c r="AL134" s="756"/>
      <c r="AM134" s="755"/>
      <c r="AN134" s="756"/>
      <c r="AO134" s="787"/>
      <c r="AP134" s="756"/>
      <c r="AQ134" s="771"/>
      <c r="AR134" s="732"/>
      <c r="AS134" s="732"/>
      <c r="AT134" s="732"/>
      <c r="AU134" s="732"/>
      <c r="AV134" s="732"/>
      <c r="AW134" s="732"/>
    </row>
    <row r="135" spans="1:49">
      <c r="A135" s="726" t="s">
        <v>4324</v>
      </c>
      <c r="B135" s="726" t="s">
        <v>4324</v>
      </c>
      <c r="C135" s="726"/>
      <c r="D135" s="726"/>
      <c r="E135" s="726"/>
      <c r="F135" s="1059">
        <f>IFERROR(VLOOKUP($A135,'2018'!$A:$BB,3,FALSE),"")</f>
        <v>463373274</v>
      </c>
      <c r="G135" s="1055" t="str">
        <f>IFERROR(VLOOKUP($A135,'2018'!$A:$BB,4,FALSE),"")</f>
        <v>160 S. Linden Ave., Suite 130
South San Francisco, CA  94080</v>
      </c>
      <c r="H135" s="1055" t="str">
        <f>IFERROR(VLOOKUP($A135,'2018'!$A:$BB,5,FALSE),"")</f>
        <v>Robyn Gregory
703-408-0147
robyn@dc3therapeutics.com</v>
      </c>
      <c r="I135" s="1055" t="str">
        <f>IFERROR(VLOOKUP($A135,'2018'!$A:$BB,6,FALSE),"")</f>
        <v>Robyn Gregory
703-408-0147
robyn@dc3therapeutics.com</v>
      </c>
      <c r="J135" s="1055" t="str">
        <f>IFERROR(VLOOKUP($A135,'2018'!$A:$BB,7,FALSE),"")</f>
        <v>ABD</v>
      </c>
      <c r="K135" s="1055" t="str">
        <f>IFERROR(VLOOKUP($A135,'2018'!$A:$BB,8,FALSE),"")</f>
        <v xml:space="preserve">Account Managed by ABD Team
Mark Anderson
Mark.Anderson@theabdteam.com
Angie Lopez
angie.lopez@theabdteam.com </v>
      </c>
      <c r="L135" s="1062" t="str">
        <f>IFERROR(VLOOKUP($A135,'2018'!$A:$BB,9,FALSE),"")</f>
        <v>New</v>
      </c>
      <c r="M135" s="1067">
        <f>IFERROR(VLOOKUP($A135,'2018'!$A:$BB,10,FALSE),"")</f>
        <v>43221</v>
      </c>
      <c r="N135" s="1062">
        <f>IFERROR(VLOOKUP($A135,'2018'!$A:$BB,12,FALSE),"")</f>
        <v>5</v>
      </c>
      <c r="O135" s="1055" t="str">
        <f>IFERROR(VLOOKUP($A135,'2018'!$A:$BB,13,FALSE),"")</f>
        <v xml:space="preserve">IGOE </v>
      </c>
      <c r="P135" s="1055" t="str">
        <f>IFERROR(VLOOKUP($A135,'2018'!$A:$BB,14,FALSE),"")</f>
        <v>Maestro</v>
      </c>
      <c r="Q135" s="1055" t="str">
        <f>IFERROR(VLOOKUP($A135,'2018'!$A:$BB,16,FALSE),"")</f>
        <v>N/A</v>
      </c>
      <c r="R135" s="1055" t="str">
        <f>IFERROR(VLOOKUP($A135,'2018'!$A:$BB,17,FALSE),"")</f>
        <v>Optum Health</v>
      </c>
      <c r="S135" s="1062" t="str">
        <f>IFERROR(VLOOKUP($A135,'2018'!$A:$BB,20,FALSE),"")</f>
        <v>NCAL</v>
      </c>
      <c r="T135" s="1062" t="str">
        <f>IFERROR(VLOOKUP($A135,'2018'!$A:$BB,21,FALSE),"")</f>
        <v>Group A (&lt;34)</v>
      </c>
      <c r="U135" s="1062" t="str">
        <f>IFERROR(VLOOKUP($A135,'2018'!$A:$BB,22,FALSE),"")</f>
        <v>Expanded</v>
      </c>
      <c r="V135" s="1062" t="str">
        <f>IFERROR(VLOOKUP($A135,'2018'!$A:$BB,23,FALSE),"")</f>
        <v>Advantage</v>
      </c>
      <c r="W135" s="1062" t="str">
        <f>IFERROR(VLOOKUP($A135,'2018'!$A:$BB,24,FALSE),"")</f>
        <v>No</v>
      </c>
      <c r="X135" s="1062" t="str">
        <f>IFERROR(VLOOKUP($A135,'2018'!$A:$BB,41,FALSE),"")</f>
        <v>Region 3</v>
      </c>
      <c r="Y135" s="1062" t="str">
        <f>IFERROR(VLOOKUP($A135,'2018'!$A:$BB,42,FALSE),"")</f>
        <v>(2-9)</v>
      </c>
      <c r="Z135" s="1062" t="str">
        <f>IFERROR(VLOOKUP($A135,'2018'!$A:$BB,45,FALSE),"")</f>
        <v xml:space="preserve"> (2-49)</v>
      </c>
      <c r="AA135" s="730">
        <v>2018</v>
      </c>
      <c r="AB135" s="1171" t="s">
        <v>4547</v>
      </c>
      <c r="AC135" s="727" t="s">
        <v>303</v>
      </c>
      <c r="AD135" s="727" t="s">
        <v>3655</v>
      </c>
      <c r="AE135" s="727" t="s">
        <v>307</v>
      </c>
      <c r="AF135" s="727" t="s">
        <v>113</v>
      </c>
      <c r="AG135" s="726" t="s">
        <v>3972</v>
      </c>
      <c r="AH135" s="726" t="s">
        <v>3973</v>
      </c>
      <c r="AI135" s="727">
        <v>8</v>
      </c>
      <c r="AJ135" s="747" t="s">
        <v>3992</v>
      </c>
      <c r="AK135" s="755">
        <v>909678</v>
      </c>
      <c r="AL135" s="754">
        <v>358</v>
      </c>
      <c r="AM135" s="755">
        <v>909678</v>
      </c>
      <c r="AN135" s="754">
        <v>359</v>
      </c>
      <c r="AO135" s="776">
        <f t="shared" ref="AO135:AO138" si="30">AM135</f>
        <v>909678</v>
      </c>
      <c r="AP135" s="754">
        <f t="shared" ref="AP135:AP138" si="31">AN135+1</f>
        <v>360</v>
      </c>
      <c r="AQ135" s="770"/>
      <c r="AR135" s="726" t="s">
        <v>2661</v>
      </c>
      <c r="AS135" s="726"/>
      <c r="AT135" s="726"/>
      <c r="AU135" s="726"/>
      <c r="AV135" s="726"/>
      <c r="AW135" s="726"/>
    </row>
    <row r="136" spans="1:49">
      <c r="A136" s="726" t="s">
        <v>4324</v>
      </c>
      <c r="B136" s="726" t="s">
        <v>4324</v>
      </c>
      <c r="C136" s="726"/>
      <c r="D136" s="726"/>
      <c r="E136" s="726"/>
      <c r="F136" s="1059">
        <f>IFERROR(VLOOKUP($A136,'2018'!$A:$BB,3,FALSE),"")</f>
        <v>463373274</v>
      </c>
      <c r="G136" s="1055" t="str">
        <f>IFERROR(VLOOKUP($A136,'2018'!$A:$BB,4,FALSE),"")</f>
        <v>160 S. Linden Ave., Suite 130
South San Francisco, CA  94080</v>
      </c>
      <c r="H136" s="1055" t="str">
        <f>IFERROR(VLOOKUP($A136,'2018'!$A:$BB,5,FALSE),"")</f>
        <v>Robyn Gregory
703-408-0147
robyn@dc3therapeutics.com</v>
      </c>
      <c r="I136" s="1055" t="str">
        <f>IFERROR(VLOOKUP($A136,'2018'!$A:$BB,6,FALSE),"")</f>
        <v>Robyn Gregory
703-408-0147
robyn@dc3therapeutics.com</v>
      </c>
      <c r="J136" s="1055" t="str">
        <f>IFERROR(VLOOKUP($A136,'2018'!$A:$BB,7,FALSE),"")</f>
        <v>ABD</v>
      </c>
      <c r="K136" s="1055" t="str">
        <f>IFERROR(VLOOKUP($A136,'2018'!$A:$BB,8,FALSE),"")</f>
        <v xml:space="preserve">Account Managed by ABD Team
Mark Anderson
Mark.Anderson@theabdteam.com
Angie Lopez
angie.lopez@theabdteam.com </v>
      </c>
      <c r="L136" s="1062" t="str">
        <f>IFERROR(VLOOKUP($A136,'2018'!$A:$BB,9,FALSE),"")</f>
        <v>New</v>
      </c>
      <c r="M136" s="1067">
        <f>IFERROR(VLOOKUP($A136,'2018'!$A:$BB,10,FALSE),"")</f>
        <v>43221</v>
      </c>
      <c r="N136" s="1062">
        <f>IFERROR(VLOOKUP($A136,'2018'!$A:$BB,12,FALSE),"")</f>
        <v>5</v>
      </c>
      <c r="O136" s="1055" t="str">
        <f>IFERROR(VLOOKUP($A136,'2018'!$A:$BB,13,FALSE),"")</f>
        <v xml:space="preserve">IGOE </v>
      </c>
      <c r="P136" s="1055" t="str">
        <f>IFERROR(VLOOKUP($A136,'2018'!$A:$BB,14,FALSE),"")</f>
        <v>Maestro</v>
      </c>
      <c r="Q136" s="1055" t="str">
        <f>IFERROR(VLOOKUP($A136,'2018'!$A:$BB,16,FALSE),"")</f>
        <v>N/A</v>
      </c>
      <c r="R136" s="1055" t="str">
        <f>IFERROR(VLOOKUP($A136,'2018'!$A:$BB,17,FALSE),"")</f>
        <v>Optum Health</v>
      </c>
      <c r="S136" s="1062" t="str">
        <f>IFERROR(VLOOKUP($A136,'2018'!$A:$BB,20,FALSE),"")</f>
        <v>NCAL</v>
      </c>
      <c r="T136" s="1062" t="str">
        <f>IFERROR(VLOOKUP($A136,'2018'!$A:$BB,21,FALSE),"")</f>
        <v>Group A (&lt;34)</v>
      </c>
      <c r="U136" s="1062" t="str">
        <f>IFERROR(VLOOKUP($A136,'2018'!$A:$BB,22,FALSE),"")</f>
        <v>Expanded</v>
      </c>
      <c r="V136" s="1062" t="str">
        <f>IFERROR(VLOOKUP($A136,'2018'!$A:$BB,23,FALSE),"")</f>
        <v>Advantage</v>
      </c>
      <c r="W136" s="1062" t="str">
        <f>IFERROR(VLOOKUP($A136,'2018'!$A:$BB,24,FALSE),"")</f>
        <v>No</v>
      </c>
      <c r="X136" s="1062" t="str">
        <f>IFERROR(VLOOKUP($A136,'2018'!$A:$BB,41,FALSE),"")</f>
        <v>Region 3</v>
      </c>
      <c r="Y136" s="1062" t="str">
        <f>IFERROR(VLOOKUP($A136,'2018'!$A:$BB,42,FALSE),"")</f>
        <v>(2-9)</v>
      </c>
      <c r="Z136" s="1062" t="str">
        <f>IFERROR(VLOOKUP($A136,'2018'!$A:$BB,45,FALSE),"")</f>
        <v xml:space="preserve"> (2-49)</v>
      </c>
      <c r="AA136" s="730">
        <v>2018</v>
      </c>
      <c r="AB136" s="1171" t="s">
        <v>4547</v>
      </c>
      <c r="AC136" s="727" t="s">
        <v>303</v>
      </c>
      <c r="AD136" s="727" t="s">
        <v>3655</v>
      </c>
      <c r="AE136" s="727" t="s">
        <v>307</v>
      </c>
      <c r="AF136" s="727" t="s">
        <v>113</v>
      </c>
      <c r="AG136" s="726" t="s">
        <v>3972</v>
      </c>
      <c r="AH136" s="726" t="s">
        <v>3977</v>
      </c>
      <c r="AI136" s="727">
        <v>14</v>
      </c>
      <c r="AJ136" s="747" t="s">
        <v>3994</v>
      </c>
      <c r="AK136" s="755">
        <v>909678</v>
      </c>
      <c r="AL136" s="754">
        <v>610</v>
      </c>
      <c r="AM136" s="755">
        <v>909678</v>
      </c>
      <c r="AN136" s="754">
        <v>611</v>
      </c>
      <c r="AO136" s="776">
        <f t="shared" si="30"/>
        <v>909678</v>
      </c>
      <c r="AP136" s="754">
        <f t="shared" si="31"/>
        <v>612</v>
      </c>
      <c r="AQ136" s="770"/>
      <c r="AR136" s="726" t="s">
        <v>2661</v>
      </c>
      <c r="AS136" s="726"/>
      <c r="AT136" s="726"/>
      <c r="AU136" s="726"/>
      <c r="AV136" s="726"/>
      <c r="AW136" s="726"/>
    </row>
    <row r="137" spans="1:49">
      <c r="A137" s="726" t="s">
        <v>4324</v>
      </c>
      <c r="B137" s="726" t="s">
        <v>4324</v>
      </c>
      <c r="C137" s="726"/>
      <c r="D137" s="726"/>
      <c r="E137" s="726"/>
      <c r="F137" s="1059">
        <f>IFERROR(VLOOKUP($A137,'2018'!$A:$BB,3,FALSE),"")</f>
        <v>463373274</v>
      </c>
      <c r="G137" s="1055" t="str">
        <f>IFERROR(VLOOKUP($A137,'2018'!$A:$BB,4,FALSE),"")</f>
        <v>160 S. Linden Ave., Suite 130
South San Francisco, CA  94080</v>
      </c>
      <c r="H137" s="1055" t="str">
        <f>IFERROR(VLOOKUP($A137,'2018'!$A:$BB,5,FALSE),"")</f>
        <v>Robyn Gregory
703-408-0147
robyn@dc3therapeutics.com</v>
      </c>
      <c r="I137" s="1055" t="str">
        <f>IFERROR(VLOOKUP($A137,'2018'!$A:$BB,6,FALSE),"")</f>
        <v>Robyn Gregory
703-408-0147
robyn@dc3therapeutics.com</v>
      </c>
      <c r="J137" s="1055" t="str">
        <f>IFERROR(VLOOKUP($A137,'2018'!$A:$BB,7,FALSE),"")</f>
        <v>ABD</v>
      </c>
      <c r="K137" s="1055" t="str">
        <f>IFERROR(VLOOKUP($A137,'2018'!$A:$BB,8,FALSE),"")</f>
        <v xml:space="preserve">Account Managed by ABD Team
Mark Anderson
Mark.Anderson@theabdteam.com
Angie Lopez
angie.lopez@theabdteam.com </v>
      </c>
      <c r="L137" s="1062" t="str">
        <f>IFERROR(VLOOKUP($A137,'2018'!$A:$BB,9,FALSE),"")</f>
        <v>New</v>
      </c>
      <c r="M137" s="1067">
        <f>IFERROR(VLOOKUP($A137,'2018'!$A:$BB,10,FALSE),"")</f>
        <v>43221</v>
      </c>
      <c r="N137" s="1062">
        <f>IFERROR(VLOOKUP($A137,'2018'!$A:$BB,12,FALSE),"")</f>
        <v>5</v>
      </c>
      <c r="O137" s="1055" t="str">
        <f>IFERROR(VLOOKUP($A137,'2018'!$A:$BB,13,FALSE),"")</f>
        <v xml:space="preserve">IGOE </v>
      </c>
      <c r="P137" s="1055" t="str">
        <f>IFERROR(VLOOKUP($A137,'2018'!$A:$BB,14,FALSE),"")</f>
        <v>Maestro</v>
      </c>
      <c r="Q137" s="1055" t="str">
        <f>IFERROR(VLOOKUP($A137,'2018'!$A:$BB,16,FALSE),"")</f>
        <v>N/A</v>
      </c>
      <c r="R137" s="1055" t="str">
        <f>IFERROR(VLOOKUP($A137,'2018'!$A:$BB,17,FALSE),"")</f>
        <v>Optum Health</v>
      </c>
      <c r="S137" s="1062" t="str">
        <f>IFERROR(VLOOKUP($A137,'2018'!$A:$BB,20,FALSE),"")</f>
        <v>NCAL</v>
      </c>
      <c r="T137" s="1062" t="str">
        <f>IFERROR(VLOOKUP($A137,'2018'!$A:$BB,21,FALSE),"")</f>
        <v>Group A (&lt;34)</v>
      </c>
      <c r="U137" s="1062" t="str">
        <f>IFERROR(VLOOKUP($A137,'2018'!$A:$BB,22,FALSE),"")</f>
        <v>Expanded</v>
      </c>
      <c r="V137" s="1062" t="str">
        <f>IFERROR(VLOOKUP($A137,'2018'!$A:$BB,23,FALSE),"")</f>
        <v>Advantage</v>
      </c>
      <c r="W137" s="1062" t="str">
        <f>IFERROR(VLOOKUP($A137,'2018'!$A:$BB,24,FALSE),"")</f>
        <v>No</v>
      </c>
      <c r="X137" s="1062" t="str">
        <f>IFERROR(VLOOKUP($A137,'2018'!$A:$BB,41,FALSE),"")</f>
        <v>Region 3</v>
      </c>
      <c r="Y137" s="1062" t="str">
        <f>IFERROR(VLOOKUP($A137,'2018'!$A:$BB,42,FALSE),"")</f>
        <v>(2-9)</v>
      </c>
      <c r="Z137" s="1062" t="str">
        <f>IFERROR(VLOOKUP($A137,'2018'!$A:$BB,45,FALSE),"")</f>
        <v xml:space="preserve"> (2-49)</v>
      </c>
      <c r="AA137" s="730">
        <v>2018</v>
      </c>
      <c r="AB137" s="1171" t="s">
        <v>4547</v>
      </c>
      <c r="AC137" s="727" t="s">
        <v>303</v>
      </c>
      <c r="AD137" s="727" t="s">
        <v>3655</v>
      </c>
      <c r="AE137" s="727" t="s">
        <v>307</v>
      </c>
      <c r="AF137" s="727" t="s">
        <v>113</v>
      </c>
      <c r="AG137" s="726" t="s">
        <v>3981</v>
      </c>
      <c r="AH137" s="726" t="s">
        <v>3973</v>
      </c>
      <c r="AI137" s="727">
        <v>11</v>
      </c>
      <c r="AJ137" s="747" t="s">
        <v>3982</v>
      </c>
      <c r="AK137" s="755">
        <v>909678</v>
      </c>
      <c r="AL137" s="754">
        <v>466</v>
      </c>
      <c r="AM137" s="755">
        <v>909678</v>
      </c>
      <c r="AN137" s="754">
        <v>467</v>
      </c>
      <c r="AO137" s="776">
        <f t="shared" si="30"/>
        <v>909678</v>
      </c>
      <c r="AP137" s="754">
        <f t="shared" si="31"/>
        <v>468</v>
      </c>
      <c r="AQ137" s="770"/>
      <c r="AR137" s="726" t="s">
        <v>2661</v>
      </c>
      <c r="AS137" s="726"/>
      <c r="AT137" s="726"/>
      <c r="AU137" s="726"/>
      <c r="AV137" s="726"/>
      <c r="AW137" s="726"/>
    </row>
    <row r="138" spans="1:49">
      <c r="A138" s="726" t="s">
        <v>4324</v>
      </c>
      <c r="B138" s="726" t="s">
        <v>4324</v>
      </c>
      <c r="C138" s="726"/>
      <c r="D138" s="726"/>
      <c r="E138" s="726"/>
      <c r="F138" s="1059">
        <f>IFERROR(VLOOKUP($A138,'2018'!$A:$BB,3,FALSE),"")</f>
        <v>463373274</v>
      </c>
      <c r="G138" s="1055" t="str">
        <f>IFERROR(VLOOKUP($A138,'2018'!$A:$BB,4,FALSE),"")</f>
        <v>160 S. Linden Ave., Suite 130
South San Francisco, CA  94080</v>
      </c>
      <c r="H138" s="1055" t="str">
        <f>IFERROR(VLOOKUP($A138,'2018'!$A:$BB,5,FALSE),"")</f>
        <v>Robyn Gregory
703-408-0147
robyn@dc3therapeutics.com</v>
      </c>
      <c r="I138" s="1055" t="str">
        <f>IFERROR(VLOOKUP($A138,'2018'!$A:$BB,6,FALSE),"")</f>
        <v>Robyn Gregory
703-408-0147
robyn@dc3therapeutics.com</v>
      </c>
      <c r="J138" s="1055" t="str">
        <f>IFERROR(VLOOKUP($A138,'2018'!$A:$BB,7,FALSE),"")</f>
        <v>ABD</v>
      </c>
      <c r="K138" s="1055" t="str">
        <f>IFERROR(VLOOKUP($A138,'2018'!$A:$BB,8,FALSE),"")</f>
        <v xml:space="preserve">Account Managed by ABD Team
Mark Anderson
Mark.Anderson@theabdteam.com
Angie Lopez
angie.lopez@theabdteam.com </v>
      </c>
      <c r="L138" s="1062" t="str">
        <f>IFERROR(VLOOKUP($A138,'2018'!$A:$BB,9,FALSE),"")</f>
        <v>New</v>
      </c>
      <c r="M138" s="1067">
        <f>IFERROR(VLOOKUP($A138,'2018'!$A:$BB,10,FALSE),"")</f>
        <v>43221</v>
      </c>
      <c r="N138" s="1062">
        <f>IFERROR(VLOOKUP($A138,'2018'!$A:$BB,12,FALSE),"")</f>
        <v>5</v>
      </c>
      <c r="O138" s="1055" t="str">
        <f>IFERROR(VLOOKUP($A138,'2018'!$A:$BB,13,FALSE),"")</f>
        <v xml:space="preserve">IGOE </v>
      </c>
      <c r="P138" s="1055" t="str">
        <f>IFERROR(VLOOKUP($A138,'2018'!$A:$BB,14,FALSE),"")</f>
        <v>Maestro</v>
      </c>
      <c r="Q138" s="1055" t="str">
        <f>IFERROR(VLOOKUP($A138,'2018'!$A:$BB,16,FALSE),"")</f>
        <v>N/A</v>
      </c>
      <c r="R138" s="1055" t="str">
        <f>IFERROR(VLOOKUP($A138,'2018'!$A:$BB,17,FALSE),"")</f>
        <v>Optum Health</v>
      </c>
      <c r="S138" s="1062" t="str">
        <f>IFERROR(VLOOKUP($A138,'2018'!$A:$BB,20,FALSE),"")</f>
        <v>NCAL</v>
      </c>
      <c r="T138" s="1062" t="str">
        <f>IFERROR(VLOOKUP($A138,'2018'!$A:$BB,21,FALSE),"")</f>
        <v>Group A (&lt;34)</v>
      </c>
      <c r="U138" s="1062" t="str">
        <f>IFERROR(VLOOKUP($A138,'2018'!$A:$BB,22,FALSE),"")</f>
        <v>Expanded</v>
      </c>
      <c r="V138" s="1062" t="str">
        <f>IFERROR(VLOOKUP($A138,'2018'!$A:$BB,23,FALSE),"")</f>
        <v>Advantage</v>
      </c>
      <c r="W138" s="1062" t="str">
        <f>IFERROR(VLOOKUP($A138,'2018'!$A:$BB,24,FALSE),"")</f>
        <v>No</v>
      </c>
      <c r="X138" s="1062" t="str">
        <f>IFERROR(VLOOKUP($A138,'2018'!$A:$BB,41,FALSE),"")</f>
        <v>Region 3</v>
      </c>
      <c r="Y138" s="1062" t="str">
        <f>IFERROR(VLOOKUP($A138,'2018'!$A:$BB,42,FALSE),"")</f>
        <v>(2-9)</v>
      </c>
      <c r="Z138" s="1062" t="str">
        <f>IFERROR(VLOOKUP($A138,'2018'!$A:$BB,45,FALSE),"")</f>
        <v xml:space="preserve"> (2-49)</v>
      </c>
      <c r="AA138" s="730">
        <v>2018</v>
      </c>
      <c r="AB138" s="1171" t="s">
        <v>4547</v>
      </c>
      <c r="AC138" s="727" t="s">
        <v>303</v>
      </c>
      <c r="AD138" s="727" t="s">
        <v>3655</v>
      </c>
      <c r="AE138" s="727" t="s">
        <v>307</v>
      </c>
      <c r="AF138" s="727" t="s">
        <v>113</v>
      </c>
      <c r="AG138" s="726" t="s">
        <v>3981</v>
      </c>
      <c r="AH138" s="726" t="s">
        <v>3977</v>
      </c>
      <c r="AI138" s="727">
        <v>16</v>
      </c>
      <c r="AJ138" s="747" t="s">
        <v>3985</v>
      </c>
      <c r="AK138" s="755">
        <v>909678</v>
      </c>
      <c r="AL138" s="754">
        <v>718</v>
      </c>
      <c r="AM138" s="755">
        <v>909678</v>
      </c>
      <c r="AN138" s="754">
        <v>719</v>
      </c>
      <c r="AO138" s="776">
        <f t="shared" si="30"/>
        <v>909678</v>
      </c>
      <c r="AP138" s="754">
        <f t="shared" si="31"/>
        <v>720</v>
      </c>
      <c r="AQ138" s="770"/>
      <c r="AR138" s="726" t="s">
        <v>2661</v>
      </c>
      <c r="AS138" s="726"/>
      <c r="AT138" s="726"/>
      <c r="AU138" s="726"/>
      <c r="AV138" s="726"/>
      <c r="AW138" s="726"/>
    </row>
    <row r="139" spans="1:49">
      <c r="A139" s="732"/>
      <c r="B139" s="732"/>
      <c r="C139" s="732"/>
      <c r="D139" s="732"/>
      <c r="E139" s="732"/>
      <c r="F139" s="1059" t="str">
        <f>IFERROR(VLOOKUP($A139,'2018'!$A:$BB,3,FALSE),"")</f>
        <v/>
      </c>
      <c r="G139" s="1055" t="str">
        <f>IFERROR(VLOOKUP($A139,'2018'!$A:$BB,4,FALSE),"")</f>
        <v/>
      </c>
      <c r="H139" s="1055" t="str">
        <f>IFERROR(VLOOKUP($A139,'2018'!$A:$BB,5,FALSE),"")</f>
        <v/>
      </c>
      <c r="I139" s="1055" t="str">
        <f>IFERROR(VLOOKUP($A139,'2018'!$A:$BB,6,FALSE),"")</f>
        <v/>
      </c>
      <c r="J139" s="1055" t="str">
        <f>IFERROR(VLOOKUP($A139,'2018'!$A:$BB,7,FALSE),"")</f>
        <v/>
      </c>
      <c r="K139" s="1055" t="str">
        <f>IFERROR(VLOOKUP($A139,'2018'!$A:$BB,8,FALSE),"")</f>
        <v/>
      </c>
      <c r="L139" s="1062" t="str">
        <f>IFERROR(VLOOKUP($A139,'2018'!$A:$BB,9,FALSE),"")</f>
        <v/>
      </c>
      <c r="M139" s="1067" t="str">
        <f>IFERROR(VLOOKUP($A139,'2018'!$A:$BB,10,FALSE),"")</f>
        <v/>
      </c>
      <c r="N139" s="1062" t="str">
        <f>IFERROR(VLOOKUP($A139,'2018'!$A:$BB,12,FALSE),"")</f>
        <v/>
      </c>
      <c r="O139" s="1055" t="str">
        <f>IFERROR(VLOOKUP($A139,'2018'!$A:$BB,13,FALSE),"")</f>
        <v/>
      </c>
      <c r="P139" s="1055" t="str">
        <f>IFERROR(VLOOKUP($A139,'2018'!$A:$BB,14,FALSE),"")</f>
        <v/>
      </c>
      <c r="Q139" s="1055" t="str">
        <f>IFERROR(VLOOKUP($A139,'2018'!$A:$BB,16,FALSE),"")</f>
        <v/>
      </c>
      <c r="R139" s="1055" t="str">
        <f>IFERROR(VLOOKUP($A139,'2018'!$A:$BB,17,FALSE),"")</f>
        <v/>
      </c>
      <c r="S139" s="1062" t="str">
        <f>IFERROR(VLOOKUP($A139,'2018'!$A:$BB,20,FALSE),"")</f>
        <v/>
      </c>
      <c r="T139" s="1062" t="str">
        <f>IFERROR(VLOOKUP($A139,'2018'!$A:$BB,21,FALSE),"")</f>
        <v/>
      </c>
      <c r="U139" s="1062" t="str">
        <f>IFERROR(VLOOKUP($A139,'2018'!$A:$BB,22,FALSE),"")</f>
        <v/>
      </c>
      <c r="V139" s="1062" t="str">
        <f>IFERROR(VLOOKUP($A139,'2018'!$A:$BB,23,FALSE),"")</f>
        <v/>
      </c>
      <c r="W139" s="1062" t="str">
        <f>IFERROR(VLOOKUP($A139,'2018'!$A:$BB,24,FALSE),"")</f>
        <v/>
      </c>
      <c r="X139" s="1062" t="str">
        <f>IFERROR(VLOOKUP($A139,'2018'!$A:$BB,41,FALSE),"")</f>
        <v/>
      </c>
      <c r="Y139" s="1062" t="str">
        <f>IFERROR(VLOOKUP($A139,'2018'!$A:$BB,42,FALSE),"")</f>
        <v/>
      </c>
      <c r="Z139" s="1062" t="str">
        <f>IFERROR(VLOOKUP($A139,'2018'!$A:$BB,45,FALSE),"")</f>
        <v/>
      </c>
      <c r="AA139" s="734"/>
      <c r="AB139" s="728"/>
      <c r="AC139" s="727"/>
      <c r="AD139" s="727"/>
      <c r="AE139" s="727"/>
      <c r="AF139" s="727"/>
      <c r="AG139" s="726"/>
      <c r="AH139" s="726"/>
      <c r="AI139" s="727"/>
      <c r="AJ139" s="747"/>
      <c r="AK139" s="753"/>
      <c r="AL139" s="754"/>
      <c r="AM139" s="753"/>
      <c r="AN139" s="754"/>
      <c r="AO139" s="776"/>
      <c r="AP139" s="754"/>
      <c r="AQ139" s="770"/>
      <c r="AR139" s="726"/>
      <c r="AS139" s="726"/>
      <c r="AT139" s="726"/>
      <c r="AU139" s="726"/>
      <c r="AV139" s="726"/>
      <c r="AW139" s="726"/>
    </row>
    <row r="140" spans="1:49">
      <c r="A140" s="738" t="s">
        <v>4552</v>
      </c>
      <c r="B140" s="738" t="s">
        <v>4552</v>
      </c>
      <c r="C140" s="738"/>
      <c r="D140" s="738"/>
      <c r="E140" s="738"/>
      <c r="F140" s="1059" t="str">
        <f>IFERROR(VLOOKUP($A140,'2018'!$A:$BB,3,FALSE),"")</f>
        <v>30-1059033</v>
      </c>
      <c r="G140" s="1055" t="str">
        <f>IFERROR(VLOOKUP($A140,'2018'!$A:$BB,4,FALSE),"")</f>
        <v>1250 Prospect Street 
Ocean Level 4
La Jolla Ca 92037</v>
      </c>
      <c r="H140" s="1055" t="str">
        <f>IFERROR(VLOOKUP($A140,'2018'!$A:$BB,5,FALSE),"")</f>
        <v>Nishan de Silva
(201 ) 221-6714
ndesilva@dermtreat.com</v>
      </c>
      <c r="I140" s="1055" t="str">
        <f>IFERROR(VLOOKUP($A140,'2018'!$A:$BB,6,FALSE),"")</f>
        <v>Nishan de Silva
(201 ) 221-6714
ndesilva@dermtreat.com</v>
      </c>
      <c r="J140" s="1055" t="str">
        <f>IFERROR(VLOOKUP($A140,'2018'!$A:$BB,7,FALSE),"")</f>
        <v>HUB (San Diego)</v>
      </c>
      <c r="K140" s="1055" t="str">
        <f>IFERROR(VLOOKUP($A140,'2018'!$A:$BB,8,FALSE),"")</f>
        <v>Account Managed by HUB SD Team
Producer - Bo Lebherz
Service Lead - Michelle Brady</v>
      </c>
      <c r="L140" s="1062" t="str">
        <f>IFERROR(VLOOKUP($A140,'2018'!$A:$BB,9,FALSE),"")</f>
        <v>New</v>
      </c>
      <c r="M140" s="1067">
        <f>IFERROR(VLOOKUP($A140,'2018'!$A:$BB,10,FALSE),"")</f>
        <v>43252</v>
      </c>
      <c r="N140" s="1062">
        <f>IFERROR(VLOOKUP($A140,'2018'!$A:$BB,12,FALSE),"")</f>
        <v>2</v>
      </c>
      <c r="O140" s="1055" t="str">
        <f>IFERROR(VLOOKUP($A140,'2018'!$A:$BB,13,FALSE),"")</f>
        <v xml:space="preserve">IGOE </v>
      </c>
      <c r="P140" s="1055" t="str">
        <f>IFERROR(VLOOKUP($A140,'2018'!$A:$BB,14,FALSE),"")</f>
        <v>Maestro</v>
      </c>
      <c r="Q140" s="1055" t="str">
        <f>IFERROR(VLOOKUP($A140,'2018'!$A:$BB,16,FALSE),"")</f>
        <v>N/A</v>
      </c>
      <c r="R140" s="1055" t="str">
        <f>IFERROR(VLOOKUP($A140,'2018'!$A:$BB,17,FALSE),"")</f>
        <v>N/A</v>
      </c>
      <c r="S140" s="1062" t="str">
        <f>IFERROR(VLOOKUP($A140,'2018'!$A:$BB,20,FALSE),"")</f>
        <v>SCAL</v>
      </c>
      <c r="T140" s="1062" t="str">
        <f>IFERROR(VLOOKUP($A140,'2018'!$A:$BB,21,FALSE),"")</f>
        <v>Group B (34-44)</v>
      </c>
      <c r="U140" s="1062" t="str">
        <f>IFERROR(VLOOKUP($A140,'2018'!$A:$BB,22,FALSE),"")</f>
        <v>Expanded</v>
      </c>
      <c r="V140" s="1062" t="str">
        <f>IFERROR(VLOOKUP($A140,'2018'!$A:$BB,23,FALSE),"")</f>
        <v>Advantage</v>
      </c>
      <c r="W140" s="1062" t="str">
        <f>IFERROR(VLOOKUP($A140,'2018'!$A:$BB,24,FALSE),"")</f>
        <v>No</v>
      </c>
      <c r="X140" s="1062" t="str">
        <f>IFERROR(VLOOKUP($A140,'2018'!$A:$BB,41,FALSE),"")</f>
        <v>Region 1</v>
      </c>
      <c r="Y140" s="1062" t="str">
        <f>IFERROR(VLOOKUP($A140,'2018'!$A:$BB,42,FALSE),"")</f>
        <v>(2-9)</v>
      </c>
      <c r="Z140" s="1062" t="str">
        <f>IFERROR(VLOOKUP($A140,'2018'!$A:$BB,45,FALSE),"")</f>
        <v xml:space="preserve"> (2-49)</v>
      </c>
      <c r="AA140" s="730">
        <v>2018</v>
      </c>
      <c r="AB140" s="1177" t="e">
        <v>#N/A</v>
      </c>
      <c r="AC140" s="727" t="s">
        <v>317</v>
      </c>
      <c r="AD140" s="731" t="s">
        <v>3648</v>
      </c>
      <c r="AE140" s="727" t="s">
        <v>307</v>
      </c>
      <c r="AF140" s="727" t="s">
        <v>113</v>
      </c>
      <c r="AG140" s="726" t="s">
        <v>3962</v>
      </c>
      <c r="AH140" s="726" t="s">
        <v>3963</v>
      </c>
      <c r="AI140" s="727">
        <v>1</v>
      </c>
      <c r="AJ140" s="747" t="s">
        <v>3998</v>
      </c>
      <c r="AK140" s="755">
        <v>260065</v>
      </c>
      <c r="AL140" s="764">
        <v>166</v>
      </c>
      <c r="AM140" s="755">
        <v>260066</v>
      </c>
      <c r="AN140" s="764">
        <v>167</v>
      </c>
      <c r="AO140" s="776">
        <f t="shared" ref="AO140" si="32">AM140+1</f>
        <v>260067</v>
      </c>
      <c r="AP140" s="754">
        <f t="shared" ref="AP140:AP142" si="33">AN140+1</f>
        <v>168</v>
      </c>
      <c r="AQ140" s="770"/>
      <c r="AR140" s="726" t="s">
        <v>2661</v>
      </c>
      <c r="AS140" s="726"/>
      <c r="AT140" s="726"/>
      <c r="AU140" s="726" t="s">
        <v>3980</v>
      </c>
      <c r="AV140" s="726"/>
      <c r="AW140" s="726"/>
    </row>
    <row r="141" spans="1:49">
      <c r="A141" s="738" t="s">
        <v>4552</v>
      </c>
      <c r="B141" s="738" t="s">
        <v>4552</v>
      </c>
      <c r="C141" s="738"/>
      <c r="D141" s="738"/>
      <c r="E141" s="738"/>
      <c r="F141" s="1059" t="str">
        <f>IFERROR(VLOOKUP($A141,'2018'!$A:$BB,3,FALSE),"")</f>
        <v>30-1059033</v>
      </c>
      <c r="G141" s="1055" t="str">
        <f>IFERROR(VLOOKUP($A141,'2018'!$A:$BB,4,FALSE),"")</f>
        <v>1250 Prospect Street 
Ocean Level 4
La Jolla Ca 92037</v>
      </c>
      <c r="H141" s="1055" t="str">
        <f>IFERROR(VLOOKUP($A141,'2018'!$A:$BB,5,FALSE),"")</f>
        <v>Nishan de Silva
(201 ) 221-6714
ndesilva@dermtreat.com</v>
      </c>
      <c r="I141" s="1055" t="str">
        <f>IFERROR(VLOOKUP($A141,'2018'!$A:$BB,6,FALSE),"")</f>
        <v>Nishan de Silva
(201 ) 221-6714
ndesilva@dermtreat.com</v>
      </c>
      <c r="J141" s="1055" t="str">
        <f>IFERROR(VLOOKUP($A141,'2018'!$A:$BB,7,FALSE),"")</f>
        <v>HUB (San Diego)</v>
      </c>
      <c r="K141" s="1055" t="str">
        <f>IFERROR(VLOOKUP($A141,'2018'!$A:$BB,8,FALSE),"")</f>
        <v>Account Managed by HUB SD Team
Producer - Bo Lebherz
Service Lead - Michelle Brady</v>
      </c>
      <c r="L141" s="1062" t="str">
        <f>IFERROR(VLOOKUP($A141,'2018'!$A:$BB,9,FALSE),"")</f>
        <v>New</v>
      </c>
      <c r="M141" s="1067">
        <f>IFERROR(VLOOKUP($A141,'2018'!$A:$BB,10,FALSE),"")</f>
        <v>43252</v>
      </c>
      <c r="N141" s="1062">
        <f>IFERROR(VLOOKUP($A141,'2018'!$A:$BB,12,FALSE),"")</f>
        <v>2</v>
      </c>
      <c r="O141" s="1055" t="str">
        <f>IFERROR(VLOOKUP($A141,'2018'!$A:$BB,13,FALSE),"")</f>
        <v xml:space="preserve">IGOE </v>
      </c>
      <c r="P141" s="1055" t="str">
        <f>IFERROR(VLOOKUP($A141,'2018'!$A:$BB,14,FALSE),"")</f>
        <v>Maestro</v>
      </c>
      <c r="Q141" s="1055" t="str">
        <f>IFERROR(VLOOKUP($A141,'2018'!$A:$BB,16,FALSE),"")</f>
        <v>N/A</v>
      </c>
      <c r="R141" s="1055" t="str">
        <f>IFERROR(VLOOKUP($A141,'2018'!$A:$BB,17,FALSE),"")</f>
        <v>N/A</v>
      </c>
      <c r="S141" s="1062" t="str">
        <f>IFERROR(VLOOKUP($A141,'2018'!$A:$BB,20,FALSE),"")</f>
        <v>SCAL</v>
      </c>
      <c r="T141" s="1062" t="str">
        <f>IFERROR(VLOOKUP($A141,'2018'!$A:$BB,21,FALSE),"")</f>
        <v>Group B (34-44)</v>
      </c>
      <c r="U141" s="1062" t="str">
        <f>IFERROR(VLOOKUP($A141,'2018'!$A:$BB,22,FALSE),"")</f>
        <v>Expanded</v>
      </c>
      <c r="V141" s="1062" t="str">
        <f>IFERROR(VLOOKUP($A141,'2018'!$A:$BB,23,FALSE),"")</f>
        <v>Advantage</v>
      </c>
      <c r="W141" s="1062" t="str">
        <f>IFERROR(VLOOKUP($A141,'2018'!$A:$BB,24,FALSE),"")</f>
        <v>No</v>
      </c>
      <c r="X141" s="1062" t="str">
        <f>IFERROR(VLOOKUP($A141,'2018'!$A:$BB,41,FALSE),"")</f>
        <v>Region 1</v>
      </c>
      <c r="Y141" s="1062" t="str">
        <f>IFERROR(VLOOKUP($A141,'2018'!$A:$BB,42,FALSE),"")</f>
        <v>(2-9)</v>
      </c>
      <c r="Z141" s="1062" t="str">
        <f>IFERROR(VLOOKUP($A141,'2018'!$A:$BB,45,FALSE),"")</f>
        <v xml:space="preserve"> (2-49)</v>
      </c>
      <c r="AA141" s="730">
        <v>2018</v>
      </c>
      <c r="AB141" s="1177" t="e">
        <v>#N/A</v>
      </c>
      <c r="AC141" s="727" t="s">
        <v>317</v>
      </c>
      <c r="AD141" s="731" t="s">
        <v>3648</v>
      </c>
      <c r="AE141" s="727" t="s">
        <v>307</v>
      </c>
      <c r="AF141" s="727" t="s">
        <v>113</v>
      </c>
      <c r="AG141" s="726" t="s">
        <v>3972</v>
      </c>
      <c r="AH141" s="726" t="s">
        <v>3973</v>
      </c>
      <c r="AI141" s="727">
        <v>7</v>
      </c>
      <c r="AJ141" s="747" t="s">
        <v>4001</v>
      </c>
      <c r="AK141" s="763">
        <v>909678</v>
      </c>
      <c r="AL141" s="764">
        <v>337</v>
      </c>
      <c r="AM141" s="755">
        <v>909678</v>
      </c>
      <c r="AN141" s="764">
        <v>338</v>
      </c>
      <c r="AO141" s="776">
        <f t="shared" ref="AO141:AO142" si="34">AM141</f>
        <v>909678</v>
      </c>
      <c r="AP141" s="754">
        <f t="shared" si="33"/>
        <v>339</v>
      </c>
      <c r="AQ141" s="770"/>
      <c r="AR141" s="726" t="s">
        <v>2661</v>
      </c>
      <c r="AS141" s="726"/>
      <c r="AT141" s="726"/>
      <c r="AU141" s="726" t="s">
        <v>3980</v>
      </c>
      <c r="AV141" s="726"/>
      <c r="AW141" s="726"/>
    </row>
    <row r="142" spans="1:49">
      <c r="A142" s="738" t="s">
        <v>4552</v>
      </c>
      <c r="B142" s="738" t="s">
        <v>4552</v>
      </c>
      <c r="C142" s="736"/>
      <c r="D142" s="736"/>
      <c r="E142" s="736"/>
      <c r="F142" s="1059" t="str">
        <f>IFERROR(VLOOKUP($A142,'2018'!$A:$BB,3,FALSE),"")</f>
        <v>30-1059033</v>
      </c>
      <c r="G142" s="1055" t="str">
        <f>IFERROR(VLOOKUP($A142,'2018'!$A:$BB,4,FALSE),"")</f>
        <v>1250 Prospect Street 
Ocean Level 4
La Jolla Ca 92037</v>
      </c>
      <c r="H142" s="1055" t="str">
        <f>IFERROR(VLOOKUP($A142,'2018'!$A:$BB,5,FALSE),"")</f>
        <v>Nishan de Silva
(201 ) 221-6714
ndesilva@dermtreat.com</v>
      </c>
      <c r="I142" s="1055" t="str">
        <f>IFERROR(VLOOKUP($A142,'2018'!$A:$BB,6,FALSE),"")</f>
        <v>Nishan de Silva
(201 ) 221-6714
ndesilva@dermtreat.com</v>
      </c>
      <c r="J142" s="1055" t="str">
        <f>IFERROR(VLOOKUP($A142,'2018'!$A:$BB,7,FALSE),"")</f>
        <v>HUB (San Diego)</v>
      </c>
      <c r="K142" s="1055" t="str">
        <f>IFERROR(VLOOKUP($A142,'2018'!$A:$BB,8,FALSE),"")</f>
        <v>Account Managed by HUB SD Team
Producer - Bo Lebherz
Service Lead - Michelle Brady</v>
      </c>
      <c r="L142" s="1062" t="str">
        <f>IFERROR(VLOOKUP($A142,'2018'!$A:$BB,9,FALSE),"")</f>
        <v>New</v>
      </c>
      <c r="M142" s="1067">
        <f>IFERROR(VLOOKUP($A142,'2018'!$A:$BB,10,FALSE),"")</f>
        <v>43252</v>
      </c>
      <c r="N142" s="1062">
        <f>IFERROR(VLOOKUP($A142,'2018'!$A:$BB,12,FALSE),"")</f>
        <v>2</v>
      </c>
      <c r="O142" s="1055" t="str">
        <f>IFERROR(VLOOKUP($A142,'2018'!$A:$BB,13,FALSE),"")</f>
        <v xml:space="preserve">IGOE </v>
      </c>
      <c r="P142" s="1055" t="str">
        <f>IFERROR(VLOOKUP($A142,'2018'!$A:$BB,14,FALSE),"")</f>
        <v>Maestro</v>
      </c>
      <c r="Q142" s="1055" t="str">
        <f>IFERROR(VLOOKUP($A142,'2018'!$A:$BB,16,FALSE),"")</f>
        <v>N/A</v>
      </c>
      <c r="R142" s="1055" t="str">
        <f>IFERROR(VLOOKUP($A142,'2018'!$A:$BB,17,FALSE),"")</f>
        <v>N/A</v>
      </c>
      <c r="S142" s="1062" t="str">
        <f>IFERROR(VLOOKUP($A142,'2018'!$A:$BB,20,FALSE),"")</f>
        <v>SCAL</v>
      </c>
      <c r="T142" s="1062" t="str">
        <f>IFERROR(VLOOKUP($A142,'2018'!$A:$BB,21,FALSE),"")</f>
        <v>Group B (34-44)</v>
      </c>
      <c r="U142" s="1062" t="str">
        <f>IFERROR(VLOOKUP($A142,'2018'!$A:$BB,22,FALSE),"")</f>
        <v>Expanded</v>
      </c>
      <c r="V142" s="1062" t="str">
        <f>IFERROR(VLOOKUP($A142,'2018'!$A:$BB,23,FALSE),"")</f>
        <v>Advantage</v>
      </c>
      <c r="W142" s="1062" t="str">
        <f>IFERROR(VLOOKUP($A142,'2018'!$A:$BB,24,FALSE),"")</f>
        <v>No</v>
      </c>
      <c r="X142" s="1062" t="str">
        <f>IFERROR(VLOOKUP($A142,'2018'!$A:$BB,41,FALSE),"")</f>
        <v>Region 1</v>
      </c>
      <c r="Y142" s="1062" t="str">
        <f>IFERROR(VLOOKUP($A142,'2018'!$A:$BB,42,FALSE),"")</f>
        <v>(2-9)</v>
      </c>
      <c r="Z142" s="1062" t="str">
        <f>IFERROR(VLOOKUP($A142,'2018'!$A:$BB,45,FALSE),"")</f>
        <v xml:space="preserve"> (2-49)</v>
      </c>
      <c r="AA142" s="731">
        <v>2018</v>
      </c>
      <c r="AB142" s="1177" t="e">
        <v>#N/A</v>
      </c>
      <c r="AC142" s="734" t="s">
        <v>317</v>
      </c>
      <c r="AD142" s="731" t="s">
        <v>3648</v>
      </c>
      <c r="AE142" s="734" t="s">
        <v>307</v>
      </c>
      <c r="AF142" s="734" t="s">
        <v>113</v>
      </c>
      <c r="AG142" s="732" t="s">
        <v>3972</v>
      </c>
      <c r="AH142" s="732" t="s">
        <v>3977</v>
      </c>
      <c r="AI142" s="734">
        <v>13</v>
      </c>
      <c r="AJ142" s="748" t="s">
        <v>4004</v>
      </c>
      <c r="AK142" s="763">
        <v>909678</v>
      </c>
      <c r="AL142" s="764">
        <v>589</v>
      </c>
      <c r="AM142" s="755">
        <v>909678</v>
      </c>
      <c r="AN142" s="764">
        <v>590</v>
      </c>
      <c r="AO142" s="776">
        <f t="shared" si="34"/>
        <v>909678</v>
      </c>
      <c r="AP142" s="754">
        <f t="shared" si="33"/>
        <v>591</v>
      </c>
      <c r="AQ142" s="771" t="s">
        <v>3979</v>
      </c>
      <c r="AR142" s="732" t="s">
        <v>2661</v>
      </c>
      <c r="AS142" s="735"/>
      <c r="AT142" s="735"/>
      <c r="AU142" s="732" t="s">
        <v>3980</v>
      </c>
      <c r="AV142" s="735"/>
      <c r="AW142" s="735"/>
    </row>
    <row r="143" spans="1:49">
      <c r="A143" s="732"/>
      <c r="B143" s="732"/>
      <c r="C143" s="732"/>
      <c r="D143" s="732"/>
      <c r="E143" s="732"/>
      <c r="F143" s="1059" t="str">
        <f>IFERROR(VLOOKUP($A143,'2018'!$A:$BB,3,FALSE),"")</f>
        <v/>
      </c>
      <c r="G143" s="1055" t="str">
        <f>IFERROR(VLOOKUP($A143,'2018'!$A:$BB,4,FALSE),"")</f>
        <v/>
      </c>
      <c r="H143" s="1055" t="str">
        <f>IFERROR(VLOOKUP($A143,'2018'!$A:$BB,5,FALSE),"")</f>
        <v/>
      </c>
      <c r="I143" s="1055" t="str">
        <f>IFERROR(VLOOKUP($A143,'2018'!$A:$BB,6,FALSE),"")</f>
        <v/>
      </c>
      <c r="J143" s="1055" t="str">
        <f>IFERROR(VLOOKUP($A143,'2018'!$A:$BB,7,FALSE),"")</f>
        <v/>
      </c>
      <c r="K143" s="1055" t="str">
        <f>IFERROR(VLOOKUP($A143,'2018'!$A:$BB,8,FALSE),"")</f>
        <v/>
      </c>
      <c r="L143" s="1062" t="str">
        <f>IFERROR(VLOOKUP($A143,'2018'!$A:$BB,9,FALSE),"")</f>
        <v/>
      </c>
      <c r="M143" s="1067" t="str">
        <f>IFERROR(VLOOKUP($A143,'2018'!$A:$BB,10,FALSE),"")</f>
        <v/>
      </c>
      <c r="N143" s="1062" t="str">
        <f>IFERROR(VLOOKUP($A143,'2018'!$A:$BB,12,FALSE),"")</f>
        <v/>
      </c>
      <c r="O143" s="1055" t="str">
        <f>IFERROR(VLOOKUP($A143,'2018'!$A:$BB,13,FALSE),"")</f>
        <v/>
      </c>
      <c r="P143" s="1055" t="str">
        <f>IFERROR(VLOOKUP($A143,'2018'!$A:$BB,14,FALSE),"")</f>
        <v/>
      </c>
      <c r="Q143" s="1055" t="str">
        <f>IFERROR(VLOOKUP($A143,'2018'!$A:$BB,16,FALSE),"")</f>
        <v/>
      </c>
      <c r="R143" s="1055" t="str">
        <f>IFERROR(VLOOKUP($A143,'2018'!$A:$BB,17,FALSE),"")</f>
        <v/>
      </c>
      <c r="S143" s="1062" t="str">
        <f>IFERROR(VLOOKUP($A143,'2018'!$A:$BB,20,FALSE),"")</f>
        <v/>
      </c>
      <c r="T143" s="1062" t="str">
        <f>IFERROR(VLOOKUP($A143,'2018'!$A:$BB,21,FALSE),"")</f>
        <v/>
      </c>
      <c r="U143" s="1062" t="str">
        <f>IFERROR(VLOOKUP($A143,'2018'!$A:$BB,22,FALSE),"")</f>
        <v/>
      </c>
      <c r="V143" s="1062" t="str">
        <f>IFERROR(VLOOKUP($A143,'2018'!$A:$BB,23,FALSE),"")</f>
        <v/>
      </c>
      <c r="W143" s="1062" t="str">
        <f>IFERROR(VLOOKUP($A143,'2018'!$A:$BB,24,FALSE),"")</f>
        <v/>
      </c>
      <c r="X143" s="1062" t="str">
        <f>IFERROR(VLOOKUP($A143,'2018'!$A:$BB,41,FALSE),"")</f>
        <v/>
      </c>
      <c r="Y143" s="1062" t="str">
        <f>IFERROR(VLOOKUP($A143,'2018'!$A:$BB,42,FALSE),"")</f>
        <v/>
      </c>
      <c r="Z143" s="1062" t="str">
        <f>IFERROR(VLOOKUP($A143,'2018'!$A:$BB,45,FALSE),"")</f>
        <v/>
      </c>
      <c r="AA143" s="734"/>
      <c r="AB143" s="728"/>
      <c r="AC143" s="727"/>
      <c r="AD143" s="727"/>
      <c r="AE143" s="727"/>
      <c r="AF143" s="727"/>
      <c r="AG143" s="726"/>
      <c r="AH143" s="726"/>
      <c r="AI143" s="727"/>
      <c r="AJ143" s="747"/>
      <c r="AK143" s="753"/>
      <c r="AL143" s="754"/>
      <c r="AM143" s="753"/>
      <c r="AN143" s="754"/>
      <c r="AO143" s="776"/>
      <c r="AP143" s="754"/>
      <c r="AQ143" s="770"/>
      <c r="AR143" s="726"/>
      <c r="AS143" s="726"/>
      <c r="AT143" s="726"/>
      <c r="AU143" s="726"/>
      <c r="AV143" s="726"/>
      <c r="AW143" s="726"/>
    </row>
    <row r="144" spans="1:49">
      <c r="A144" s="736" t="s">
        <v>132</v>
      </c>
      <c r="B144" s="736" t="s">
        <v>132</v>
      </c>
      <c r="C144" s="736"/>
      <c r="D144" s="966" t="s">
        <v>132</v>
      </c>
      <c r="E144" s="966" t="s">
        <v>132</v>
      </c>
      <c r="F144" s="1059">
        <f>IFERROR(VLOOKUP($A144,'2018'!$A:$BB,3,FALSE),"")</f>
        <v>453603000</v>
      </c>
      <c r="G144" s="1055" t="str">
        <f>IFERROR(VLOOKUP($A144,'2018'!$A:$BB,4,FALSE),"")</f>
        <v>2811 Mission Street
Santa Cruz, CA 95060
Mailing/Shipping Address:
849C Almar Avenue, #278
Santa Cruz, CA 95060</v>
      </c>
      <c r="H144" s="1055" t="str">
        <f>IFERROR(VLOOKUP($A144,'2018'!$A:$BB,5,FALSE),"")</f>
        <v xml:space="preserve">Scott Russell
President &amp; CEO
(408) 416-2450, x102 phone
(408) 813-4866 mobile
(408) 516-0145 fax
srussell@emboline.com
</v>
      </c>
      <c r="I144" s="1055" t="str">
        <f>IFERROR(VLOOKUP($A144,'2018'!$A:$BB,6,FALSE),"")</f>
        <v xml:space="preserve">Scott Russell
President &amp; CEO
(408) 416-2450, x102 phone
(408) 813-4866 mobile
(408) 516-0145 fax
srussell@emboline.com
</v>
      </c>
      <c r="J144" s="1055" t="str">
        <f>IFERROR(VLOOKUP($A144,'2018'!$A:$BB,7,FALSE),"")</f>
        <v>ABD</v>
      </c>
      <c r="K144" s="1055" t="str">
        <f>IFERROR(VLOOKUP($A144,'2018'!$A:$BB,8,FALSE),"")</f>
        <v xml:space="preserve">Account Managed by ABD Team
Mark Anderson
Mark.Anderson@theabdteam.com
Angie Lopez
angie.lopez@theabdteam.com </v>
      </c>
      <c r="L144" s="1062" t="str">
        <f>IFERROR(VLOOKUP($A144,'2018'!$A:$BB,9,FALSE),"")</f>
        <v>Renewal</v>
      </c>
      <c r="M144" s="1067">
        <f>IFERROR(VLOOKUP($A144,'2018'!$A:$BB,10,FALSE),"")</f>
        <v>42887</v>
      </c>
      <c r="N144" s="1062">
        <f>IFERROR(VLOOKUP($A144,'2018'!$A:$BB,12,FALSE),"")</f>
        <v>3</v>
      </c>
      <c r="O144" s="1055" t="str">
        <f>IFERROR(VLOOKUP($A144,'2018'!$A:$BB,13,FALSE),"")</f>
        <v>IGOE</v>
      </c>
      <c r="P144" s="1055" t="str">
        <f>IFERROR(VLOOKUP($A144,'2018'!$A:$BB,14,FALSE),"")</f>
        <v xml:space="preserve">Maestro </v>
      </c>
      <c r="Q144" s="1055" t="str">
        <f>IFERROR(VLOOKUP($A144,'2018'!$A:$BB,16,FALSE),"")</f>
        <v>N/A</v>
      </c>
      <c r="R144" s="1055" t="str">
        <f>IFERROR(VLOOKUP($A144,'2018'!$A:$BB,17,FALSE),"")</f>
        <v>Optum Health</v>
      </c>
      <c r="S144" s="1062" t="str">
        <f>IFERROR(VLOOKUP($A144,'2018'!$A:$BB,20,FALSE),"")</f>
        <v>NCAL</v>
      </c>
      <c r="T144" s="1062" t="str">
        <f>IFERROR(VLOOKUP($A144,'2018'!$A:$BB,21,FALSE),"")</f>
        <v>Group C (44-54)</v>
      </c>
      <c r="U144" s="1062" t="str">
        <f>IFERROR(VLOOKUP($A144,'2018'!$A:$BB,22,FALSE),"")</f>
        <v>Expanded</v>
      </c>
      <c r="V144" s="1062" t="str">
        <f>IFERROR(VLOOKUP($A144,'2018'!$A:$BB,23,FALSE),"")</f>
        <v>Advantage</v>
      </c>
      <c r="W144" s="1062" t="str">
        <f>IFERROR(VLOOKUP($A144,'2018'!$A:$BB,24,FALSE),"")</f>
        <v>No</v>
      </c>
      <c r="X144" s="1062" t="str">
        <f>IFERROR(VLOOKUP($A144,'2018'!$A:$BB,41,FALSE),"")</f>
        <v xml:space="preserve">Region 4 </v>
      </c>
      <c r="Y144" s="1062" t="str">
        <f>IFERROR(VLOOKUP($A144,'2018'!$A:$BB,42,FALSE),"")</f>
        <v>(2-9)</v>
      </c>
      <c r="Z144" s="1062" t="str">
        <f>IFERROR(VLOOKUP($A144,'2018'!$A:$BB,45,FALSE),"")</f>
        <v xml:space="preserve"> (2-49)</v>
      </c>
      <c r="AA144" s="731">
        <v>2018</v>
      </c>
      <c r="AB144" s="733" t="s">
        <v>3834</v>
      </c>
      <c r="AC144" s="734" t="s">
        <v>303</v>
      </c>
      <c r="AD144" s="734" t="s">
        <v>3656</v>
      </c>
      <c r="AE144" s="734" t="s">
        <v>307</v>
      </c>
      <c r="AF144" s="734" t="s">
        <v>113</v>
      </c>
      <c r="AG144" s="732" t="s">
        <v>3972</v>
      </c>
      <c r="AH144" s="732" t="s">
        <v>3973</v>
      </c>
      <c r="AI144" s="734">
        <v>7</v>
      </c>
      <c r="AJ144" s="748" t="s">
        <v>4001</v>
      </c>
      <c r="AK144" s="757">
        <v>909678</v>
      </c>
      <c r="AL144" s="756">
        <v>328</v>
      </c>
      <c r="AM144" s="755">
        <v>909678</v>
      </c>
      <c r="AN144" s="756">
        <v>329</v>
      </c>
      <c r="AO144" s="776">
        <f t="shared" ref="AO144:AO147" si="35">AM144</f>
        <v>909678</v>
      </c>
      <c r="AP144" s="754">
        <f>AN144+1</f>
        <v>330</v>
      </c>
      <c r="AQ144" s="771" t="s">
        <v>3979</v>
      </c>
      <c r="AR144" s="732" t="s">
        <v>2661</v>
      </c>
      <c r="AS144" s="735"/>
      <c r="AT144" s="735"/>
      <c r="AU144" s="732" t="s">
        <v>3980</v>
      </c>
      <c r="AV144" s="735"/>
      <c r="AW144" s="735"/>
    </row>
    <row r="145" spans="1:49" s="739" customFormat="1">
      <c r="A145" s="736" t="s">
        <v>132</v>
      </c>
      <c r="B145" s="736" t="s">
        <v>132</v>
      </c>
      <c r="C145" s="736"/>
      <c r="D145" s="966" t="s">
        <v>132</v>
      </c>
      <c r="E145" s="966" t="s">
        <v>132</v>
      </c>
      <c r="F145" s="1059">
        <f>IFERROR(VLOOKUP($A145,'2018'!$A:$BB,3,FALSE),"")</f>
        <v>453603000</v>
      </c>
      <c r="G145" s="1055" t="str">
        <f>IFERROR(VLOOKUP($A145,'2018'!$A:$BB,4,FALSE),"")</f>
        <v>2811 Mission Street
Santa Cruz, CA 95060
Mailing/Shipping Address:
849C Almar Avenue, #278
Santa Cruz, CA 95060</v>
      </c>
      <c r="H145" s="1055" t="str">
        <f>IFERROR(VLOOKUP($A145,'2018'!$A:$BB,5,FALSE),"")</f>
        <v xml:space="preserve">Scott Russell
President &amp; CEO
(408) 416-2450, x102 phone
(408) 813-4866 mobile
(408) 516-0145 fax
srussell@emboline.com
</v>
      </c>
      <c r="I145" s="1055" t="str">
        <f>IFERROR(VLOOKUP($A145,'2018'!$A:$BB,6,FALSE),"")</f>
        <v xml:space="preserve">Scott Russell
President &amp; CEO
(408) 416-2450, x102 phone
(408) 813-4866 mobile
(408) 516-0145 fax
srussell@emboline.com
</v>
      </c>
      <c r="J145" s="1055" t="str">
        <f>IFERROR(VLOOKUP($A145,'2018'!$A:$BB,7,FALSE),"")</f>
        <v>ABD</v>
      </c>
      <c r="K145" s="1055" t="str">
        <f>IFERROR(VLOOKUP($A145,'2018'!$A:$BB,8,FALSE),"")</f>
        <v xml:space="preserve">Account Managed by ABD Team
Mark Anderson
Mark.Anderson@theabdteam.com
Angie Lopez
angie.lopez@theabdteam.com </v>
      </c>
      <c r="L145" s="1062" t="str">
        <f>IFERROR(VLOOKUP($A145,'2018'!$A:$BB,9,FALSE),"")</f>
        <v>Renewal</v>
      </c>
      <c r="M145" s="1067">
        <f>IFERROR(VLOOKUP($A145,'2018'!$A:$BB,10,FALSE),"")</f>
        <v>42887</v>
      </c>
      <c r="N145" s="1062">
        <f>IFERROR(VLOOKUP($A145,'2018'!$A:$BB,12,FALSE),"")</f>
        <v>3</v>
      </c>
      <c r="O145" s="1055" t="str">
        <f>IFERROR(VLOOKUP($A145,'2018'!$A:$BB,13,FALSE),"")</f>
        <v>IGOE</v>
      </c>
      <c r="P145" s="1055" t="str">
        <f>IFERROR(VLOOKUP($A145,'2018'!$A:$BB,14,FALSE),"")</f>
        <v xml:space="preserve">Maestro </v>
      </c>
      <c r="Q145" s="1055" t="str">
        <f>IFERROR(VLOOKUP($A145,'2018'!$A:$BB,16,FALSE),"")</f>
        <v>N/A</v>
      </c>
      <c r="R145" s="1055" t="str">
        <f>IFERROR(VLOOKUP($A145,'2018'!$A:$BB,17,FALSE),"")</f>
        <v>Optum Health</v>
      </c>
      <c r="S145" s="1062" t="str">
        <f>IFERROR(VLOOKUP($A145,'2018'!$A:$BB,20,FALSE),"")</f>
        <v>NCAL</v>
      </c>
      <c r="T145" s="1062" t="str">
        <f>IFERROR(VLOOKUP($A145,'2018'!$A:$BB,21,FALSE),"")</f>
        <v>Group C (44-54)</v>
      </c>
      <c r="U145" s="1062" t="str">
        <f>IFERROR(VLOOKUP($A145,'2018'!$A:$BB,22,FALSE),"")</f>
        <v>Expanded</v>
      </c>
      <c r="V145" s="1062" t="str">
        <f>IFERROR(VLOOKUP($A145,'2018'!$A:$BB,23,FALSE),"")</f>
        <v>Advantage</v>
      </c>
      <c r="W145" s="1062" t="str">
        <f>IFERROR(VLOOKUP($A145,'2018'!$A:$BB,24,FALSE),"")</f>
        <v>No</v>
      </c>
      <c r="X145" s="1062" t="str">
        <f>IFERROR(VLOOKUP($A145,'2018'!$A:$BB,41,FALSE),"")</f>
        <v xml:space="preserve">Region 4 </v>
      </c>
      <c r="Y145" s="1062" t="str">
        <f>IFERROR(VLOOKUP($A145,'2018'!$A:$BB,42,FALSE),"")</f>
        <v>(2-9)</v>
      </c>
      <c r="Z145" s="1062" t="str">
        <f>IFERROR(VLOOKUP($A145,'2018'!$A:$BB,45,FALSE),"")</f>
        <v xml:space="preserve"> (2-49)</v>
      </c>
      <c r="AA145" s="731">
        <v>2018</v>
      </c>
      <c r="AB145" s="733" t="s">
        <v>3834</v>
      </c>
      <c r="AC145" s="734" t="s">
        <v>303</v>
      </c>
      <c r="AD145" s="734" t="s">
        <v>3656</v>
      </c>
      <c r="AE145" s="734" t="s">
        <v>307</v>
      </c>
      <c r="AF145" s="734" t="s">
        <v>113</v>
      </c>
      <c r="AG145" s="732" t="s">
        <v>3972</v>
      </c>
      <c r="AH145" s="732" t="s">
        <v>3977</v>
      </c>
      <c r="AI145" s="734">
        <v>13</v>
      </c>
      <c r="AJ145" s="748" t="s">
        <v>4004</v>
      </c>
      <c r="AK145" s="757">
        <v>909678</v>
      </c>
      <c r="AL145" s="756">
        <v>580</v>
      </c>
      <c r="AM145" s="755">
        <v>909678</v>
      </c>
      <c r="AN145" s="756">
        <v>581</v>
      </c>
      <c r="AO145" s="776">
        <f t="shared" si="35"/>
        <v>909678</v>
      </c>
      <c r="AP145" s="754">
        <f>AN145+1</f>
        <v>582</v>
      </c>
      <c r="AQ145" s="771" t="s">
        <v>3979</v>
      </c>
      <c r="AR145" s="732" t="s">
        <v>2661</v>
      </c>
      <c r="AS145" s="735"/>
      <c r="AT145" s="735"/>
      <c r="AU145" s="732" t="s">
        <v>3980</v>
      </c>
      <c r="AV145" s="735"/>
      <c r="AW145" s="735"/>
    </row>
    <row r="146" spans="1:49" s="739" customFormat="1">
      <c r="A146" s="736" t="s">
        <v>132</v>
      </c>
      <c r="B146" s="736" t="s">
        <v>132</v>
      </c>
      <c r="C146" s="736"/>
      <c r="D146" s="966" t="s">
        <v>132</v>
      </c>
      <c r="E146" s="966" t="s">
        <v>132</v>
      </c>
      <c r="F146" s="1059">
        <f>IFERROR(VLOOKUP($A146,'2018'!$A:$BB,3,FALSE),"")</f>
        <v>453603000</v>
      </c>
      <c r="G146" s="1055" t="str">
        <f>IFERROR(VLOOKUP($A146,'2018'!$A:$BB,4,FALSE),"")</f>
        <v>2811 Mission Street
Santa Cruz, CA 95060
Mailing/Shipping Address:
849C Almar Avenue, #278
Santa Cruz, CA 95060</v>
      </c>
      <c r="H146" s="1055" t="str">
        <f>IFERROR(VLOOKUP($A146,'2018'!$A:$BB,5,FALSE),"")</f>
        <v xml:space="preserve">Scott Russell
President &amp; CEO
(408) 416-2450, x102 phone
(408) 813-4866 mobile
(408) 516-0145 fax
srussell@emboline.com
</v>
      </c>
      <c r="I146" s="1055" t="str">
        <f>IFERROR(VLOOKUP($A146,'2018'!$A:$BB,6,FALSE),"")</f>
        <v xml:space="preserve">Scott Russell
President &amp; CEO
(408) 416-2450, x102 phone
(408) 813-4866 mobile
(408) 516-0145 fax
srussell@emboline.com
</v>
      </c>
      <c r="J146" s="1055" t="str">
        <f>IFERROR(VLOOKUP($A146,'2018'!$A:$BB,7,FALSE),"")</f>
        <v>ABD</v>
      </c>
      <c r="K146" s="1055" t="str">
        <f>IFERROR(VLOOKUP($A146,'2018'!$A:$BB,8,FALSE),"")</f>
        <v xml:space="preserve">Account Managed by ABD Team
Mark Anderson
Mark.Anderson@theabdteam.com
Angie Lopez
angie.lopez@theabdteam.com </v>
      </c>
      <c r="L146" s="1062" t="str">
        <f>IFERROR(VLOOKUP($A146,'2018'!$A:$BB,9,FALSE),"")</f>
        <v>Renewal</v>
      </c>
      <c r="M146" s="1067">
        <f>IFERROR(VLOOKUP($A146,'2018'!$A:$BB,10,FALSE),"")</f>
        <v>42887</v>
      </c>
      <c r="N146" s="1062">
        <f>IFERROR(VLOOKUP($A146,'2018'!$A:$BB,12,FALSE),"")</f>
        <v>3</v>
      </c>
      <c r="O146" s="1055" t="str">
        <f>IFERROR(VLOOKUP($A146,'2018'!$A:$BB,13,FALSE),"")</f>
        <v>IGOE</v>
      </c>
      <c r="P146" s="1055" t="str">
        <f>IFERROR(VLOOKUP($A146,'2018'!$A:$BB,14,FALSE),"")</f>
        <v xml:space="preserve">Maestro </v>
      </c>
      <c r="Q146" s="1055" t="str">
        <f>IFERROR(VLOOKUP($A146,'2018'!$A:$BB,16,FALSE),"")</f>
        <v>N/A</v>
      </c>
      <c r="R146" s="1055" t="str">
        <f>IFERROR(VLOOKUP($A146,'2018'!$A:$BB,17,FALSE),"")</f>
        <v>Optum Health</v>
      </c>
      <c r="S146" s="1062" t="str">
        <f>IFERROR(VLOOKUP($A146,'2018'!$A:$BB,20,FALSE),"")</f>
        <v>NCAL</v>
      </c>
      <c r="T146" s="1062" t="str">
        <f>IFERROR(VLOOKUP($A146,'2018'!$A:$BB,21,FALSE),"")</f>
        <v>Group C (44-54)</v>
      </c>
      <c r="U146" s="1062" t="str">
        <f>IFERROR(VLOOKUP($A146,'2018'!$A:$BB,22,FALSE),"")</f>
        <v>Expanded</v>
      </c>
      <c r="V146" s="1062" t="str">
        <f>IFERROR(VLOOKUP($A146,'2018'!$A:$BB,23,FALSE),"")</f>
        <v>Advantage</v>
      </c>
      <c r="W146" s="1062" t="str">
        <f>IFERROR(VLOOKUP($A146,'2018'!$A:$BB,24,FALSE),"")</f>
        <v>No</v>
      </c>
      <c r="X146" s="1062" t="str">
        <f>IFERROR(VLOOKUP($A146,'2018'!$A:$BB,41,FALSE),"")</f>
        <v xml:space="preserve">Region 4 </v>
      </c>
      <c r="Y146" s="1062" t="str">
        <f>IFERROR(VLOOKUP($A146,'2018'!$A:$BB,42,FALSE),"")</f>
        <v>(2-9)</v>
      </c>
      <c r="Z146" s="1062" t="str">
        <f>IFERROR(VLOOKUP($A146,'2018'!$A:$BB,45,FALSE),"")</f>
        <v xml:space="preserve"> (2-49)</v>
      </c>
      <c r="AA146" s="731">
        <v>2018</v>
      </c>
      <c r="AB146" s="733" t="s">
        <v>3834</v>
      </c>
      <c r="AC146" s="734" t="s">
        <v>303</v>
      </c>
      <c r="AD146" s="734" t="s">
        <v>3656</v>
      </c>
      <c r="AE146" s="734" t="s">
        <v>307</v>
      </c>
      <c r="AF146" s="734" t="s">
        <v>113</v>
      </c>
      <c r="AG146" s="732" t="s">
        <v>3981</v>
      </c>
      <c r="AH146" s="732" t="s">
        <v>3973</v>
      </c>
      <c r="AI146" s="734">
        <v>11</v>
      </c>
      <c r="AJ146" s="748" t="s">
        <v>3982</v>
      </c>
      <c r="AK146" s="757">
        <v>909678</v>
      </c>
      <c r="AL146" s="756">
        <v>472</v>
      </c>
      <c r="AM146" s="755">
        <v>909678</v>
      </c>
      <c r="AN146" s="756">
        <v>473</v>
      </c>
      <c r="AO146" s="776">
        <f t="shared" si="35"/>
        <v>909678</v>
      </c>
      <c r="AP146" s="754">
        <f>AN146+1</f>
        <v>474</v>
      </c>
      <c r="AQ146" s="771" t="s">
        <v>3979</v>
      </c>
      <c r="AR146" s="732" t="s">
        <v>2661</v>
      </c>
      <c r="AS146" s="735"/>
      <c r="AT146" s="735"/>
      <c r="AU146" s="732" t="s">
        <v>3980</v>
      </c>
      <c r="AV146" s="735"/>
      <c r="AW146" s="735"/>
    </row>
    <row r="147" spans="1:49" s="739" customFormat="1">
      <c r="A147" s="736" t="s">
        <v>132</v>
      </c>
      <c r="B147" s="736" t="s">
        <v>132</v>
      </c>
      <c r="C147" s="736"/>
      <c r="D147" s="966" t="s">
        <v>132</v>
      </c>
      <c r="E147" s="966" t="s">
        <v>132</v>
      </c>
      <c r="F147" s="1059">
        <f>IFERROR(VLOOKUP($A147,'2018'!$A:$BB,3,FALSE),"")</f>
        <v>453603000</v>
      </c>
      <c r="G147" s="1055" t="str">
        <f>IFERROR(VLOOKUP($A147,'2018'!$A:$BB,4,FALSE),"")</f>
        <v>2811 Mission Street
Santa Cruz, CA 95060
Mailing/Shipping Address:
849C Almar Avenue, #278
Santa Cruz, CA 95060</v>
      </c>
      <c r="H147" s="1055" t="str">
        <f>IFERROR(VLOOKUP($A147,'2018'!$A:$BB,5,FALSE),"")</f>
        <v xml:space="preserve">Scott Russell
President &amp; CEO
(408) 416-2450, x102 phone
(408) 813-4866 mobile
(408) 516-0145 fax
srussell@emboline.com
</v>
      </c>
      <c r="I147" s="1055" t="str">
        <f>IFERROR(VLOOKUP($A147,'2018'!$A:$BB,6,FALSE),"")</f>
        <v xml:space="preserve">Scott Russell
President &amp; CEO
(408) 416-2450, x102 phone
(408) 813-4866 mobile
(408) 516-0145 fax
srussell@emboline.com
</v>
      </c>
      <c r="J147" s="1055" t="str">
        <f>IFERROR(VLOOKUP($A147,'2018'!$A:$BB,7,FALSE),"")</f>
        <v>ABD</v>
      </c>
      <c r="K147" s="1055" t="str">
        <f>IFERROR(VLOOKUP($A147,'2018'!$A:$BB,8,FALSE),"")</f>
        <v xml:space="preserve">Account Managed by ABD Team
Mark Anderson
Mark.Anderson@theabdteam.com
Angie Lopez
angie.lopez@theabdteam.com </v>
      </c>
      <c r="L147" s="1062" t="str">
        <f>IFERROR(VLOOKUP($A147,'2018'!$A:$BB,9,FALSE),"")</f>
        <v>Renewal</v>
      </c>
      <c r="M147" s="1067">
        <f>IFERROR(VLOOKUP($A147,'2018'!$A:$BB,10,FALSE),"")</f>
        <v>42887</v>
      </c>
      <c r="N147" s="1062">
        <f>IFERROR(VLOOKUP($A147,'2018'!$A:$BB,12,FALSE),"")</f>
        <v>3</v>
      </c>
      <c r="O147" s="1055" t="str">
        <f>IFERROR(VLOOKUP($A147,'2018'!$A:$BB,13,FALSE),"")</f>
        <v>IGOE</v>
      </c>
      <c r="P147" s="1055" t="str">
        <f>IFERROR(VLOOKUP($A147,'2018'!$A:$BB,14,FALSE),"")</f>
        <v xml:space="preserve">Maestro </v>
      </c>
      <c r="Q147" s="1055" t="str">
        <f>IFERROR(VLOOKUP($A147,'2018'!$A:$BB,16,FALSE),"")</f>
        <v>N/A</v>
      </c>
      <c r="R147" s="1055" t="str">
        <f>IFERROR(VLOOKUP($A147,'2018'!$A:$BB,17,FALSE),"")</f>
        <v>Optum Health</v>
      </c>
      <c r="S147" s="1062" t="str">
        <f>IFERROR(VLOOKUP($A147,'2018'!$A:$BB,20,FALSE),"")</f>
        <v>NCAL</v>
      </c>
      <c r="T147" s="1062" t="str">
        <f>IFERROR(VLOOKUP($A147,'2018'!$A:$BB,21,FALSE),"")</f>
        <v>Group C (44-54)</v>
      </c>
      <c r="U147" s="1062" t="str">
        <f>IFERROR(VLOOKUP($A147,'2018'!$A:$BB,22,FALSE),"")</f>
        <v>Expanded</v>
      </c>
      <c r="V147" s="1062" t="str">
        <f>IFERROR(VLOOKUP($A147,'2018'!$A:$BB,23,FALSE),"")</f>
        <v>Advantage</v>
      </c>
      <c r="W147" s="1062" t="str">
        <f>IFERROR(VLOOKUP($A147,'2018'!$A:$BB,24,FALSE),"")</f>
        <v>No</v>
      </c>
      <c r="X147" s="1062" t="str">
        <f>IFERROR(VLOOKUP($A147,'2018'!$A:$BB,41,FALSE),"")</f>
        <v xml:space="preserve">Region 4 </v>
      </c>
      <c r="Y147" s="1062" t="str">
        <f>IFERROR(VLOOKUP($A147,'2018'!$A:$BB,42,FALSE),"")</f>
        <v>(2-9)</v>
      </c>
      <c r="Z147" s="1062" t="str">
        <f>IFERROR(VLOOKUP($A147,'2018'!$A:$BB,45,FALSE),"")</f>
        <v xml:space="preserve"> (2-49)</v>
      </c>
      <c r="AA147" s="731">
        <v>2018</v>
      </c>
      <c r="AB147" s="733" t="s">
        <v>3834</v>
      </c>
      <c r="AC147" s="734" t="s">
        <v>303</v>
      </c>
      <c r="AD147" s="734" t="s">
        <v>3656</v>
      </c>
      <c r="AE147" s="734" t="s">
        <v>307</v>
      </c>
      <c r="AF147" s="734" t="s">
        <v>113</v>
      </c>
      <c r="AG147" s="732" t="s">
        <v>3981</v>
      </c>
      <c r="AH147" s="732" t="s">
        <v>3977</v>
      </c>
      <c r="AI147" s="734">
        <v>16</v>
      </c>
      <c r="AJ147" s="748" t="s">
        <v>3985</v>
      </c>
      <c r="AK147" s="757">
        <v>909678</v>
      </c>
      <c r="AL147" s="756">
        <v>724</v>
      </c>
      <c r="AM147" s="755">
        <v>909678</v>
      </c>
      <c r="AN147" s="756">
        <v>725</v>
      </c>
      <c r="AO147" s="776">
        <f t="shared" si="35"/>
        <v>909678</v>
      </c>
      <c r="AP147" s="754">
        <f>AN147+1</f>
        <v>726</v>
      </c>
      <c r="AQ147" s="771" t="s">
        <v>3979</v>
      </c>
      <c r="AR147" s="732" t="s">
        <v>2661</v>
      </c>
      <c r="AS147" s="735"/>
      <c r="AT147" s="735"/>
      <c r="AU147" s="732" t="s">
        <v>3980</v>
      </c>
      <c r="AV147" s="735"/>
      <c r="AW147" s="735"/>
    </row>
    <row r="148" spans="1:49">
      <c r="A148" s="732"/>
      <c r="B148" s="732"/>
      <c r="C148" s="732"/>
      <c r="D148" s="732"/>
      <c r="E148" s="732"/>
      <c r="F148" s="1059" t="str">
        <f>IFERROR(VLOOKUP($A148,'2018'!$A:$BB,3,FALSE),"")</f>
        <v/>
      </c>
      <c r="G148" s="1055" t="str">
        <f>IFERROR(VLOOKUP($A148,'2018'!$A:$BB,4,FALSE),"")</f>
        <v/>
      </c>
      <c r="H148" s="1055" t="str">
        <f>IFERROR(VLOOKUP($A148,'2018'!$A:$BB,5,FALSE),"")</f>
        <v/>
      </c>
      <c r="I148" s="1055" t="str">
        <f>IFERROR(VLOOKUP($A148,'2018'!$A:$BB,6,FALSE),"")</f>
        <v/>
      </c>
      <c r="J148" s="1055" t="str">
        <f>IFERROR(VLOOKUP($A148,'2018'!$A:$BB,7,FALSE),"")</f>
        <v/>
      </c>
      <c r="K148" s="1055" t="str">
        <f>IFERROR(VLOOKUP($A148,'2018'!$A:$BB,8,FALSE),"")</f>
        <v/>
      </c>
      <c r="L148" s="1062" t="str">
        <f>IFERROR(VLOOKUP($A148,'2018'!$A:$BB,9,FALSE),"")</f>
        <v/>
      </c>
      <c r="M148" s="1067" t="str">
        <f>IFERROR(VLOOKUP($A148,'2018'!$A:$BB,10,FALSE),"")</f>
        <v/>
      </c>
      <c r="N148" s="1062" t="str">
        <f>IFERROR(VLOOKUP($A148,'2018'!$A:$BB,12,FALSE),"")</f>
        <v/>
      </c>
      <c r="O148" s="1055" t="str">
        <f>IFERROR(VLOOKUP($A148,'2018'!$A:$BB,13,FALSE),"")</f>
        <v/>
      </c>
      <c r="P148" s="1055" t="str">
        <f>IFERROR(VLOOKUP($A148,'2018'!$A:$BB,14,FALSE),"")</f>
        <v/>
      </c>
      <c r="Q148" s="1055" t="str">
        <f>IFERROR(VLOOKUP($A148,'2018'!$A:$BB,16,FALSE),"")</f>
        <v/>
      </c>
      <c r="R148" s="1055" t="str">
        <f>IFERROR(VLOOKUP($A148,'2018'!$A:$BB,17,FALSE),"")</f>
        <v/>
      </c>
      <c r="S148" s="1062" t="str">
        <f>IFERROR(VLOOKUP($A148,'2018'!$A:$BB,20,FALSE),"")</f>
        <v/>
      </c>
      <c r="T148" s="1062" t="str">
        <f>IFERROR(VLOOKUP($A148,'2018'!$A:$BB,21,FALSE),"")</f>
        <v/>
      </c>
      <c r="U148" s="1062" t="str">
        <f>IFERROR(VLOOKUP($A148,'2018'!$A:$BB,22,FALSE),"")</f>
        <v/>
      </c>
      <c r="V148" s="1062" t="str">
        <f>IFERROR(VLOOKUP($A148,'2018'!$A:$BB,23,FALSE),"")</f>
        <v/>
      </c>
      <c r="W148" s="1062" t="str">
        <f>IFERROR(VLOOKUP($A148,'2018'!$A:$BB,24,FALSE),"")</f>
        <v/>
      </c>
      <c r="X148" s="1062" t="str">
        <f>IFERROR(VLOOKUP($A148,'2018'!$A:$BB,41,FALSE),"")</f>
        <v/>
      </c>
      <c r="Y148" s="1062" t="str">
        <f>IFERROR(VLOOKUP($A148,'2018'!$A:$BB,42,FALSE),"")</f>
        <v/>
      </c>
      <c r="Z148" s="1062" t="str">
        <f>IFERROR(VLOOKUP($A148,'2018'!$A:$BB,45,FALSE),"")</f>
        <v/>
      </c>
      <c r="AA148" s="734"/>
      <c r="AB148" s="728"/>
      <c r="AC148" s="727"/>
      <c r="AD148" s="727"/>
      <c r="AE148" s="727"/>
      <c r="AF148" s="727"/>
      <c r="AG148" s="726"/>
      <c r="AH148" s="726"/>
      <c r="AI148" s="727"/>
      <c r="AJ148" s="747"/>
      <c r="AK148" s="753"/>
      <c r="AL148" s="754"/>
      <c r="AM148" s="753"/>
      <c r="AN148" s="754"/>
      <c r="AO148" s="776"/>
      <c r="AP148" s="754"/>
      <c r="AQ148" s="770"/>
      <c r="AR148" s="726"/>
      <c r="AS148" s="726"/>
      <c r="AT148" s="726"/>
      <c r="AU148" s="726"/>
      <c r="AV148" s="726"/>
      <c r="AW148" s="726"/>
    </row>
    <row r="149" spans="1:49">
      <c r="A149" s="1064" t="s">
        <v>357</v>
      </c>
      <c r="B149" s="726" t="s">
        <v>3836</v>
      </c>
      <c r="C149" s="726"/>
      <c r="D149" s="726"/>
      <c r="E149" s="726"/>
      <c r="F149" s="1059">
        <f>IFERROR(VLOOKUP($A149,'2018'!$A:$BB,3,FALSE),"")</f>
        <v>330887500</v>
      </c>
      <c r="G149" s="1055" t="str">
        <f>IFERROR(VLOOKUP($A149,'2018'!$A:$BB,4,FALSE),"")</f>
        <v>11025 N Torrey Pines Rd, Suite 140
La Jolla, CA 92037</v>
      </c>
      <c r="H149" s="1055" t="str">
        <f>IFERROR(VLOOKUP($A149,'2018'!$A:$BB,5,FALSE),"")</f>
        <v xml:space="preserve">Pat Hayden
858-368-8639
pat.hayden@emolecules.com </v>
      </c>
      <c r="I149" s="1055" t="str">
        <f>IFERROR(VLOOKUP($A149,'2018'!$A:$BB,6,FALSE),"")</f>
        <v xml:space="preserve">Accounts Payable
858-368-8639
accounts.payable@emolecules.com </v>
      </c>
      <c r="J149" s="1055" t="str">
        <f>IFERROR(VLOOKUP($A149,'2018'!$A:$BB,7,FALSE),"")</f>
        <v>HUB (San Diego)</v>
      </c>
      <c r="K149" s="1055" t="str">
        <f>IFERROR(VLOOKUP($A149,'2018'!$A:$BB,8,FALSE),"")</f>
        <v>Account Managed by HUB SD Team
Producer - Maggie Osburn
Service Lead - Randell Jacobs</v>
      </c>
      <c r="L149" s="1062" t="str">
        <f>IFERROR(VLOOKUP($A149,'2018'!$A:$BB,9,FALSE),"")</f>
        <v>New</v>
      </c>
      <c r="M149" s="1067">
        <f>IFERROR(VLOOKUP($A149,'2018'!$A:$BB,10,FALSE),"")</f>
        <v>43101</v>
      </c>
      <c r="N149" s="1062">
        <f>IFERROR(VLOOKUP($A149,'2018'!$A:$BB,12,FALSE),"")</f>
        <v>33</v>
      </c>
      <c r="O149" s="1055" t="str">
        <f>IFERROR(VLOOKUP($A149,'2018'!$A:$BB,13,FALSE),"")</f>
        <v xml:space="preserve">IGOE </v>
      </c>
      <c r="P149" s="1055" t="str">
        <f>IFERROR(VLOOKUP($A149,'2018'!$A:$BB,14,FALSE),"")</f>
        <v>Maestro</v>
      </c>
      <c r="Q149" s="1055" t="str">
        <f>IFERROR(VLOOKUP($A149,'2018'!$A:$BB,16,FALSE),"")</f>
        <v>IGOE</v>
      </c>
      <c r="R149" s="1055" t="str">
        <f>IFERROR(VLOOKUP($A149,'2018'!$A:$BB,17,FALSE),"")</f>
        <v>Optum Health</v>
      </c>
      <c r="S149" s="1062" t="str">
        <f>IFERROR(VLOOKUP($A149,'2018'!$A:$BB,20,FALSE),"")</f>
        <v>SCAL</v>
      </c>
      <c r="T149" s="1062" t="str">
        <f>IFERROR(VLOOKUP($A149,'2018'!$A:$BB,21,FALSE),"")</f>
        <v>Group B (34-44)</v>
      </c>
      <c r="U149" s="1062" t="str">
        <f>IFERROR(VLOOKUP($A149,'2018'!$A:$BB,22,FALSE),"")</f>
        <v>Expanded</v>
      </c>
      <c r="V149" s="1062" t="str">
        <f>IFERROR(VLOOKUP($A149,'2018'!$A:$BB,23,FALSE),"")</f>
        <v>Advantage</v>
      </c>
      <c r="W149" s="1062" t="str">
        <f>IFERROR(VLOOKUP($A149,'2018'!$A:$BB,24,FALSE),"")</f>
        <v>No</v>
      </c>
      <c r="X149" s="1062" t="str">
        <f>IFERROR(VLOOKUP($A149,'2018'!$A:$BB,41,FALSE),"")</f>
        <v>Region 1</v>
      </c>
      <c r="Y149" s="1062" t="str">
        <f>IFERROR(VLOOKUP($A149,'2018'!$A:$BB,42,FALSE),"")</f>
        <v>(25-49)</v>
      </c>
      <c r="Z149" s="1062" t="str">
        <f>IFERROR(VLOOKUP($A149,'2018'!$A:$BB,45,FALSE),"")</f>
        <v xml:space="preserve"> (2-49)</v>
      </c>
      <c r="AA149" s="730">
        <v>2018</v>
      </c>
      <c r="AB149" s="728" t="s">
        <v>3837</v>
      </c>
      <c r="AC149" s="727" t="s">
        <v>317</v>
      </c>
      <c r="AD149" s="727" t="s">
        <v>3648</v>
      </c>
      <c r="AE149" s="727" t="s">
        <v>307</v>
      </c>
      <c r="AF149" s="727" t="s">
        <v>113</v>
      </c>
      <c r="AG149" s="726" t="s">
        <v>3962</v>
      </c>
      <c r="AH149" s="726" t="s">
        <v>3963</v>
      </c>
      <c r="AI149" s="727">
        <v>2</v>
      </c>
      <c r="AJ149" s="747" t="s">
        <v>3964</v>
      </c>
      <c r="AK149" s="753">
        <v>260089</v>
      </c>
      <c r="AL149" s="754">
        <v>190</v>
      </c>
      <c r="AM149" s="753">
        <v>260090</v>
      </c>
      <c r="AN149" s="754">
        <v>191</v>
      </c>
      <c r="AO149" s="776">
        <f t="shared" si="20"/>
        <v>260091</v>
      </c>
      <c r="AP149" s="754">
        <f t="shared" si="19"/>
        <v>192</v>
      </c>
      <c r="AQ149" s="770"/>
      <c r="AR149" s="726" t="s">
        <v>2661</v>
      </c>
      <c r="AS149" s="726" t="s">
        <v>3965</v>
      </c>
      <c r="AT149" s="726">
        <v>1900190</v>
      </c>
      <c r="AU149" s="726" t="s">
        <v>3980</v>
      </c>
      <c r="AV149" s="726"/>
      <c r="AW149" s="726"/>
    </row>
    <row r="150" spans="1:49">
      <c r="A150" s="1064" t="s">
        <v>357</v>
      </c>
      <c r="B150" s="726" t="s">
        <v>3836</v>
      </c>
      <c r="C150" s="726"/>
      <c r="D150" s="726"/>
      <c r="E150" s="726"/>
      <c r="F150" s="1059">
        <f>IFERROR(VLOOKUP($A150,'2018'!$A:$BB,3,FALSE),"")</f>
        <v>330887500</v>
      </c>
      <c r="G150" s="1055" t="str">
        <f>IFERROR(VLOOKUP($A150,'2018'!$A:$BB,4,FALSE),"")</f>
        <v>11025 N Torrey Pines Rd, Suite 140
La Jolla, CA 92037</v>
      </c>
      <c r="H150" s="1055" t="str">
        <f>IFERROR(VLOOKUP($A150,'2018'!$A:$BB,5,FALSE),"")</f>
        <v xml:space="preserve">Pat Hayden
858-368-8639
pat.hayden@emolecules.com </v>
      </c>
      <c r="I150" s="1055" t="str">
        <f>IFERROR(VLOOKUP($A150,'2018'!$A:$BB,6,FALSE),"")</f>
        <v xml:space="preserve">Accounts Payable
858-368-8639
accounts.payable@emolecules.com </v>
      </c>
      <c r="J150" s="1055" t="str">
        <f>IFERROR(VLOOKUP($A150,'2018'!$A:$BB,7,FALSE),"")</f>
        <v>HUB (San Diego)</v>
      </c>
      <c r="K150" s="1055" t="str">
        <f>IFERROR(VLOOKUP($A150,'2018'!$A:$BB,8,FALSE),"")</f>
        <v>Account Managed by HUB SD Team
Producer - Maggie Osburn
Service Lead - Randell Jacobs</v>
      </c>
      <c r="L150" s="1062" t="str">
        <f>IFERROR(VLOOKUP($A150,'2018'!$A:$BB,9,FALSE),"")</f>
        <v>New</v>
      </c>
      <c r="M150" s="1067">
        <f>IFERROR(VLOOKUP($A150,'2018'!$A:$BB,10,FALSE),"")</f>
        <v>43101</v>
      </c>
      <c r="N150" s="1062">
        <f>IFERROR(VLOOKUP($A150,'2018'!$A:$BB,12,FALSE),"")</f>
        <v>33</v>
      </c>
      <c r="O150" s="1055" t="str">
        <f>IFERROR(VLOOKUP($A150,'2018'!$A:$BB,13,FALSE),"")</f>
        <v xml:space="preserve">IGOE </v>
      </c>
      <c r="P150" s="1055" t="str">
        <f>IFERROR(VLOOKUP($A150,'2018'!$A:$BB,14,FALSE),"")</f>
        <v>Maestro</v>
      </c>
      <c r="Q150" s="1055" t="str">
        <f>IFERROR(VLOOKUP($A150,'2018'!$A:$BB,16,FALSE),"")</f>
        <v>IGOE</v>
      </c>
      <c r="R150" s="1055" t="str">
        <f>IFERROR(VLOOKUP($A150,'2018'!$A:$BB,17,FALSE),"")</f>
        <v>Optum Health</v>
      </c>
      <c r="S150" s="1062" t="str">
        <f>IFERROR(VLOOKUP($A150,'2018'!$A:$BB,20,FALSE),"")</f>
        <v>SCAL</v>
      </c>
      <c r="T150" s="1062" t="str">
        <f>IFERROR(VLOOKUP($A150,'2018'!$A:$BB,21,FALSE),"")</f>
        <v>Group B (34-44)</v>
      </c>
      <c r="U150" s="1062" t="str">
        <f>IFERROR(VLOOKUP($A150,'2018'!$A:$BB,22,FALSE),"")</f>
        <v>Expanded</v>
      </c>
      <c r="V150" s="1062" t="str">
        <f>IFERROR(VLOOKUP($A150,'2018'!$A:$BB,23,FALSE),"")</f>
        <v>Advantage</v>
      </c>
      <c r="W150" s="1062" t="str">
        <f>IFERROR(VLOOKUP($A150,'2018'!$A:$BB,24,FALSE),"")</f>
        <v>No</v>
      </c>
      <c r="X150" s="1062" t="str">
        <f>IFERROR(VLOOKUP($A150,'2018'!$A:$BB,41,FALSE),"")</f>
        <v>Region 1</v>
      </c>
      <c r="Y150" s="1062" t="str">
        <f>IFERROR(VLOOKUP($A150,'2018'!$A:$BB,42,FALSE),"")</f>
        <v>(25-49)</v>
      </c>
      <c r="Z150" s="1062" t="str">
        <f>IFERROR(VLOOKUP($A150,'2018'!$A:$BB,45,FALSE),"")</f>
        <v xml:space="preserve"> (2-49)</v>
      </c>
      <c r="AA150" s="730">
        <v>2018</v>
      </c>
      <c r="AB150" s="728" t="s">
        <v>3837</v>
      </c>
      <c r="AC150" s="727" t="s">
        <v>317</v>
      </c>
      <c r="AD150" s="727" t="s">
        <v>3648</v>
      </c>
      <c r="AE150" s="727" t="s">
        <v>307</v>
      </c>
      <c r="AF150" s="727" t="s">
        <v>113</v>
      </c>
      <c r="AG150" s="726" t="s">
        <v>3972</v>
      </c>
      <c r="AH150" s="726" t="s">
        <v>3973</v>
      </c>
      <c r="AI150" s="727">
        <v>8</v>
      </c>
      <c r="AJ150" s="747" t="s">
        <v>3992</v>
      </c>
      <c r="AK150" s="757">
        <v>909678</v>
      </c>
      <c r="AL150" s="754">
        <v>373</v>
      </c>
      <c r="AM150" s="755">
        <v>909678</v>
      </c>
      <c r="AN150" s="754">
        <v>374</v>
      </c>
      <c r="AO150" s="776">
        <f t="shared" ref="AO150:AO153" si="36">AM150</f>
        <v>909678</v>
      </c>
      <c r="AP150" s="754">
        <f t="shared" si="19"/>
        <v>375</v>
      </c>
      <c r="AQ150" s="770"/>
      <c r="AR150" s="726" t="s">
        <v>2661</v>
      </c>
      <c r="AS150" s="726" t="s">
        <v>4007</v>
      </c>
      <c r="AT150" s="726">
        <v>3730373</v>
      </c>
      <c r="AU150" s="726" t="s">
        <v>3980</v>
      </c>
      <c r="AV150" s="726"/>
      <c r="AW150" s="726"/>
    </row>
    <row r="151" spans="1:49">
      <c r="A151" s="1064" t="s">
        <v>357</v>
      </c>
      <c r="B151" s="732" t="s">
        <v>3836</v>
      </c>
      <c r="C151" s="732"/>
      <c r="D151" s="732"/>
      <c r="E151" s="732"/>
      <c r="F151" s="1059">
        <f>IFERROR(VLOOKUP($A151,'2018'!$A:$BB,3,FALSE),"")</f>
        <v>330887500</v>
      </c>
      <c r="G151" s="1055" t="str">
        <f>IFERROR(VLOOKUP($A151,'2018'!$A:$BB,4,FALSE),"")</f>
        <v>11025 N Torrey Pines Rd, Suite 140
La Jolla, CA 92037</v>
      </c>
      <c r="H151" s="1055" t="str">
        <f>IFERROR(VLOOKUP($A151,'2018'!$A:$BB,5,FALSE),"")</f>
        <v xml:space="preserve">Pat Hayden
858-368-8639
pat.hayden@emolecules.com </v>
      </c>
      <c r="I151" s="1055" t="str">
        <f>IFERROR(VLOOKUP($A151,'2018'!$A:$BB,6,FALSE),"")</f>
        <v xml:space="preserve">Accounts Payable
858-368-8639
accounts.payable@emolecules.com </v>
      </c>
      <c r="J151" s="1055" t="str">
        <f>IFERROR(VLOOKUP($A151,'2018'!$A:$BB,7,FALSE),"")</f>
        <v>HUB (San Diego)</v>
      </c>
      <c r="K151" s="1055" t="str">
        <f>IFERROR(VLOOKUP($A151,'2018'!$A:$BB,8,FALSE),"")</f>
        <v>Account Managed by HUB SD Team
Producer - Maggie Osburn
Service Lead - Randell Jacobs</v>
      </c>
      <c r="L151" s="1062" t="str">
        <f>IFERROR(VLOOKUP($A151,'2018'!$A:$BB,9,FALSE),"")</f>
        <v>New</v>
      </c>
      <c r="M151" s="1067">
        <f>IFERROR(VLOOKUP($A151,'2018'!$A:$BB,10,FALSE),"")</f>
        <v>43101</v>
      </c>
      <c r="N151" s="1062">
        <f>IFERROR(VLOOKUP($A151,'2018'!$A:$BB,12,FALSE),"")</f>
        <v>33</v>
      </c>
      <c r="O151" s="1055" t="str">
        <f>IFERROR(VLOOKUP($A151,'2018'!$A:$BB,13,FALSE),"")</f>
        <v xml:space="preserve">IGOE </v>
      </c>
      <c r="P151" s="1055" t="str">
        <f>IFERROR(VLOOKUP($A151,'2018'!$A:$BB,14,FALSE),"")</f>
        <v>Maestro</v>
      </c>
      <c r="Q151" s="1055" t="str">
        <f>IFERROR(VLOOKUP($A151,'2018'!$A:$BB,16,FALSE),"")</f>
        <v>IGOE</v>
      </c>
      <c r="R151" s="1055" t="str">
        <f>IFERROR(VLOOKUP($A151,'2018'!$A:$BB,17,FALSE),"")</f>
        <v>Optum Health</v>
      </c>
      <c r="S151" s="1062" t="str">
        <f>IFERROR(VLOOKUP($A151,'2018'!$A:$BB,20,FALSE),"")</f>
        <v>SCAL</v>
      </c>
      <c r="T151" s="1062" t="str">
        <f>IFERROR(VLOOKUP($A151,'2018'!$A:$BB,21,FALSE),"")</f>
        <v>Group B (34-44)</v>
      </c>
      <c r="U151" s="1062" t="str">
        <f>IFERROR(VLOOKUP($A151,'2018'!$A:$BB,22,FALSE),"")</f>
        <v>Expanded</v>
      </c>
      <c r="V151" s="1062" t="str">
        <f>IFERROR(VLOOKUP($A151,'2018'!$A:$BB,23,FALSE),"")</f>
        <v>Advantage</v>
      </c>
      <c r="W151" s="1062" t="str">
        <f>IFERROR(VLOOKUP($A151,'2018'!$A:$BB,24,FALSE),"")</f>
        <v>No</v>
      </c>
      <c r="X151" s="1062" t="str">
        <f>IFERROR(VLOOKUP($A151,'2018'!$A:$BB,41,FALSE),"")</f>
        <v>Region 1</v>
      </c>
      <c r="Y151" s="1062" t="str">
        <f>IFERROR(VLOOKUP($A151,'2018'!$A:$BB,42,FALSE),"")</f>
        <v>(25-49)</v>
      </c>
      <c r="Z151" s="1062" t="str">
        <f>IFERROR(VLOOKUP($A151,'2018'!$A:$BB,45,FALSE),"")</f>
        <v xml:space="preserve"> (2-49)</v>
      </c>
      <c r="AA151" s="731">
        <v>2018</v>
      </c>
      <c r="AB151" s="733" t="s">
        <v>3837</v>
      </c>
      <c r="AC151" s="734" t="s">
        <v>317</v>
      </c>
      <c r="AD151" s="734" t="s">
        <v>3648</v>
      </c>
      <c r="AE151" s="734" t="s">
        <v>307</v>
      </c>
      <c r="AF151" s="734" t="s">
        <v>113</v>
      </c>
      <c r="AG151" s="732" t="s">
        <v>3972</v>
      </c>
      <c r="AH151" s="732" t="s">
        <v>3977</v>
      </c>
      <c r="AI151" s="734">
        <v>14</v>
      </c>
      <c r="AJ151" s="748" t="s">
        <v>3994</v>
      </c>
      <c r="AK151" s="757">
        <v>909678</v>
      </c>
      <c r="AL151" s="756">
        <v>625</v>
      </c>
      <c r="AM151" s="755">
        <v>909678</v>
      </c>
      <c r="AN151" s="756">
        <v>626</v>
      </c>
      <c r="AO151" s="776">
        <f t="shared" si="36"/>
        <v>909678</v>
      </c>
      <c r="AP151" s="754">
        <f t="shared" si="19"/>
        <v>627</v>
      </c>
      <c r="AQ151" s="771" t="s">
        <v>3979</v>
      </c>
      <c r="AR151" s="732" t="s">
        <v>2661</v>
      </c>
      <c r="AS151" s="735"/>
      <c r="AT151" s="735"/>
      <c r="AU151" s="732" t="s">
        <v>3980</v>
      </c>
      <c r="AV151" s="735"/>
      <c r="AW151" s="735"/>
    </row>
    <row r="152" spans="1:49">
      <c r="A152" s="1064" t="s">
        <v>357</v>
      </c>
      <c r="B152" s="726" t="s">
        <v>3836</v>
      </c>
      <c r="C152" s="726"/>
      <c r="D152" s="726"/>
      <c r="E152" s="726"/>
      <c r="F152" s="1059">
        <f>IFERROR(VLOOKUP($A152,'2018'!$A:$BB,3,FALSE),"")</f>
        <v>330887500</v>
      </c>
      <c r="G152" s="1055" t="str">
        <f>IFERROR(VLOOKUP($A152,'2018'!$A:$BB,4,FALSE),"")</f>
        <v>11025 N Torrey Pines Rd, Suite 140
La Jolla, CA 92037</v>
      </c>
      <c r="H152" s="1055" t="str">
        <f>IFERROR(VLOOKUP($A152,'2018'!$A:$BB,5,FALSE),"")</f>
        <v xml:space="preserve">Pat Hayden
858-368-8639
pat.hayden@emolecules.com </v>
      </c>
      <c r="I152" s="1055" t="str">
        <f>IFERROR(VLOOKUP($A152,'2018'!$A:$BB,6,FALSE),"")</f>
        <v xml:space="preserve">Accounts Payable
858-368-8639
accounts.payable@emolecules.com </v>
      </c>
      <c r="J152" s="1055" t="str">
        <f>IFERROR(VLOOKUP($A152,'2018'!$A:$BB,7,FALSE),"")</f>
        <v>HUB (San Diego)</v>
      </c>
      <c r="K152" s="1055" t="str">
        <f>IFERROR(VLOOKUP($A152,'2018'!$A:$BB,8,FALSE),"")</f>
        <v>Account Managed by HUB SD Team
Producer - Maggie Osburn
Service Lead - Randell Jacobs</v>
      </c>
      <c r="L152" s="1062" t="str">
        <f>IFERROR(VLOOKUP($A152,'2018'!$A:$BB,9,FALSE),"")</f>
        <v>New</v>
      </c>
      <c r="M152" s="1067">
        <f>IFERROR(VLOOKUP($A152,'2018'!$A:$BB,10,FALSE),"")</f>
        <v>43101</v>
      </c>
      <c r="N152" s="1062">
        <f>IFERROR(VLOOKUP($A152,'2018'!$A:$BB,12,FALSE),"")</f>
        <v>33</v>
      </c>
      <c r="O152" s="1055" t="str">
        <f>IFERROR(VLOOKUP($A152,'2018'!$A:$BB,13,FALSE),"")</f>
        <v xml:space="preserve">IGOE </v>
      </c>
      <c r="P152" s="1055" t="str">
        <f>IFERROR(VLOOKUP($A152,'2018'!$A:$BB,14,FALSE),"")</f>
        <v>Maestro</v>
      </c>
      <c r="Q152" s="1055" t="str">
        <f>IFERROR(VLOOKUP($A152,'2018'!$A:$BB,16,FALSE),"")</f>
        <v>IGOE</v>
      </c>
      <c r="R152" s="1055" t="str">
        <f>IFERROR(VLOOKUP($A152,'2018'!$A:$BB,17,FALSE),"")</f>
        <v>Optum Health</v>
      </c>
      <c r="S152" s="1062" t="str">
        <f>IFERROR(VLOOKUP($A152,'2018'!$A:$BB,20,FALSE),"")</f>
        <v>SCAL</v>
      </c>
      <c r="T152" s="1062" t="str">
        <f>IFERROR(VLOOKUP($A152,'2018'!$A:$BB,21,FALSE),"")</f>
        <v>Group B (34-44)</v>
      </c>
      <c r="U152" s="1062" t="str">
        <f>IFERROR(VLOOKUP($A152,'2018'!$A:$BB,22,FALSE),"")</f>
        <v>Expanded</v>
      </c>
      <c r="V152" s="1062" t="str">
        <f>IFERROR(VLOOKUP($A152,'2018'!$A:$BB,23,FALSE),"")</f>
        <v>Advantage</v>
      </c>
      <c r="W152" s="1062" t="str">
        <f>IFERROR(VLOOKUP($A152,'2018'!$A:$BB,24,FALSE),"")</f>
        <v>No</v>
      </c>
      <c r="X152" s="1062" t="str">
        <f>IFERROR(VLOOKUP($A152,'2018'!$A:$BB,41,FALSE),"")</f>
        <v>Region 1</v>
      </c>
      <c r="Y152" s="1062" t="str">
        <f>IFERROR(VLOOKUP($A152,'2018'!$A:$BB,42,FALSE),"")</f>
        <v>(25-49)</v>
      </c>
      <c r="Z152" s="1062" t="str">
        <f>IFERROR(VLOOKUP($A152,'2018'!$A:$BB,45,FALSE),"")</f>
        <v xml:space="preserve"> (2-49)</v>
      </c>
      <c r="AA152" s="730">
        <v>2018</v>
      </c>
      <c r="AB152" s="728" t="s">
        <v>3837</v>
      </c>
      <c r="AC152" s="727" t="s">
        <v>317</v>
      </c>
      <c r="AD152" s="727" t="s">
        <v>3648</v>
      </c>
      <c r="AE152" s="727" t="s">
        <v>307</v>
      </c>
      <c r="AF152" s="727" t="s">
        <v>113</v>
      </c>
      <c r="AG152" s="726" t="s">
        <v>3981</v>
      </c>
      <c r="AH152" s="726" t="s">
        <v>3973</v>
      </c>
      <c r="AI152" s="727">
        <v>11</v>
      </c>
      <c r="AJ152" s="747" t="s">
        <v>3982</v>
      </c>
      <c r="AK152" s="757">
        <v>909678</v>
      </c>
      <c r="AL152" s="754">
        <v>481</v>
      </c>
      <c r="AM152" s="755">
        <v>909678</v>
      </c>
      <c r="AN152" s="754">
        <v>482</v>
      </c>
      <c r="AO152" s="776">
        <f t="shared" si="36"/>
        <v>909678</v>
      </c>
      <c r="AP152" s="754">
        <f t="shared" si="19"/>
        <v>483</v>
      </c>
      <c r="AQ152" s="770"/>
      <c r="AR152" s="726" t="s">
        <v>2661</v>
      </c>
      <c r="AS152" s="726" t="s">
        <v>3983</v>
      </c>
      <c r="AT152" s="726">
        <v>4810481</v>
      </c>
      <c r="AU152" s="726" t="s">
        <v>3980</v>
      </c>
      <c r="AV152" s="726"/>
      <c r="AW152" s="726"/>
    </row>
    <row r="153" spans="1:49">
      <c r="A153" s="1064" t="s">
        <v>357</v>
      </c>
      <c r="B153" s="732" t="s">
        <v>3836</v>
      </c>
      <c r="C153" s="732"/>
      <c r="D153" s="732"/>
      <c r="E153" s="732"/>
      <c r="F153" s="1059">
        <f>IFERROR(VLOOKUP($A153,'2018'!$A:$BB,3,FALSE),"")</f>
        <v>330887500</v>
      </c>
      <c r="G153" s="1055" t="str">
        <f>IFERROR(VLOOKUP($A153,'2018'!$A:$BB,4,FALSE),"")</f>
        <v>11025 N Torrey Pines Rd, Suite 140
La Jolla, CA 92037</v>
      </c>
      <c r="H153" s="1055" t="str">
        <f>IFERROR(VLOOKUP($A153,'2018'!$A:$BB,5,FALSE),"")</f>
        <v xml:space="preserve">Pat Hayden
858-368-8639
pat.hayden@emolecules.com </v>
      </c>
      <c r="I153" s="1055" t="str">
        <f>IFERROR(VLOOKUP($A153,'2018'!$A:$BB,6,FALSE),"")</f>
        <v xml:space="preserve">Accounts Payable
858-368-8639
accounts.payable@emolecules.com </v>
      </c>
      <c r="J153" s="1055" t="str">
        <f>IFERROR(VLOOKUP($A153,'2018'!$A:$BB,7,FALSE),"")</f>
        <v>HUB (San Diego)</v>
      </c>
      <c r="K153" s="1055" t="str">
        <f>IFERROR(VLOOKUP($A153,'2018'!$A:$BB,8,FALSE),"")</f>
        <v>Account Managed by HUB SD Team
Producer - Maggie Osburn
Service Lead - Randell Jacobs</v>
      </c>
      <c r="L153" s="1062" t="str">
        <f>IFERROR(VLOOKUP($A153,'2018'!$A:$BB,9,FALSE),"")</f>
        <v>New</v>
      </c>
      <c r="M153" s="1067">
        <f>IFERROR(VLOOKUP($A153,'2018'!$A:$BB,10,FALSE),"")</f>
        <v>43101</v>
      </c>
      <c r="N153" s="1062">
        <f>IFERROR(VLOOKUP($A153,'2018'!$A:$BB,12,FALSE),"")</f>
        <v>33</v>
      </c>
      <c r="O153" s="1055" t="str">
        <f>IFERROR(VLOOKUP($A153,'2018'!$A:$BB,13,FALSE),"")</f>
        <v xml:space="preserve">IGOE </v>
      </c>
      <c r="P153" s="1055" t="str">
        <f>IFERROR(VLOOKUP($A153,'2018'!$A:$BB,14,FALSE),"")</f>
        <v>Maestro</v>
      </c>
      <c r="Q153" s="1055" t="str">
        <f>IFERROR(VLOOKUP($A153,'2018'!$A:$BB,16,FALSE),"")</f>
        <v>IGOE</v>
      </c>
      <c r="R153" s="1055" t="str">
        <f>IFERROR(VLOOKUP($A153,'2018'!$A:$BB,17,FALSE),"")</f>
        <v>Optum Health</v>
      </c>
      <c r="S153" s="1062" t="str">
        <f>IFERROR(VLOOKUP($A153,'2018'!$A:$BB,20,FALSE),"")</f>
        <v>SCAL</v>
      </c>
      <c r="T153" s="1062" t="str">
        <f>IFERROR(VLOOKUP($A153,'2018'!$A:$BB,21,FALSE),"")</f>
        <v>Group B (34-44)</v>
      </c>
      <c r="U153" s="1062" t="str">
        <f>IFERROR(VLOOKUP($A153,'2018'!$A:$BB,22,FALSE),"")</f>
        <v>Expanded</v>
      </c>
      <c r="V153" s="1062" t="str">
        <f>IFERROR(VLOOKUP($A153,'2018'!$A:$BB,23,FALSE),"")</f>
        <v>Advantage</v>
      </c>
      <c r="W153" s="1062" t="str">
        <f>IFERROR(VLOOKUP($A153,'2018'!$A:$BB,24,FALSE),"")</f>
        <v>No</v>
      </c>
      <c r="X153" s="1062" t="str">
        <f>IFERROR(VLOOKUP($A153,'2018'!$A:$BB,41,FALSE),"")</f>
        <v>Region 1</v>
      </c>
      <c r="Y153" s="1062" t="str">
        <f>IFERROR(VLOOKUP($A153,'2018'!$A:$BB,42,FALSE),"")</f>
        <v>(25-49)</v>
      </c>
      <c r="Z153" s="1062" t="str">
        <f>IFERROR(VLOOKUP($A153,'2018'!$A:$BB,45,FALSE),"")</f>
        <v xml:space="preserve"> (2-49)</v>
      </c>
      <c r="AA153" s="731">
        <v>2018</v>
      </c>
      <c r="AB153" s="733" t="s">
        <v>3837</v>
      </c>
      <c r="AC153" s="734" t="s">
        <v>317</v>
      </c>
      <c r="AD153" s="734" t="s">
        <v>3648</v>
      </c>
      <c r="AE153" s="734" t="s">
        <v>307</v>
      </c>
      <c r="AF153" s="734" t="s">
        <v>113</v>
      </c>
      <c r="AG153" s="732" t="s">
        <v>3981</v>
      </c>
      <c r="AH153" s="732" t="s">
        <v>3977</v>
      </c>
      <c r="AI153" s="734">
        <v>16</v>
      </c>
      <c r="AJ153" s="748" t="s">
        <v>3985</v>
      </c>
      <c r="AK153" s="757">
        <v>909678</v>
      </c>
      <c r="AL153" s="756">
        <v>733</v>
      </c>
      <c r="AM153" s="755">
        <v>909678</v>
      </c>
      <c r="AN153" s="756">
        <v>734</v>
      </c>
      <c r="AO153" s="776">
        <f t="shared" si="36"/>
        <v>909678</v>
      </c>
      <c r="AP153" s="754">
        <f t="shared" si="19"/>
        <v>735</v>
      </c>
      <c r="AQ153" s="771" t="s">
        <v>3979</v>
      </c>
      <c r="AR153" s="732" t="s">
        <v>2661</v>
      </c>
      <c r="AS153" s="735"/>
      <c r="AT153" s="735"/>
      <c r="AU153" s="732" t="s">
        <v>3980</v>
      </c>
      <c r="AV153" s="735"/>
      <c r="AW153" s="735"/>
    </row>
    <row r="154" spans="1:49">
      <c r="A154" s="726"/>
      <c r="B154" s="726"/>
      <c r="C154" s="726"/>
      <c r="D154" s="726"/>
      <c r="E154" s="726"/>
      <c r="F154" s="1059" t="str">
        <f>IFERROR(VLOOKUP($A154,'2018'!$A:$BB,3,FALSE),"")</f>
        <v/>
      </c>
      <c r="G154" s="1055" t="str">
        <f>IFERROR(VLOOKUP($A154,'2018'!$A:$BB,4,FALSE),"")</f>
        <v/>
      </c>
      <c r="H154" s="1055" t="str">
        <f>IFERROR(VLOOKUP($A154,'2018'!$A:$BB,5,FALSE),"")</f>
        <v/>
      </c>
      <c r="I154" s="1055" t="str">
        <f>IFERROR(VLOOKUP($A154,'2018'!$A:$BB,6,FALSE),"")</f>
        <v/>
      </c>
      <c r="J154" s="1055" t="str">
        <f>IFERROR(VLOOKUP($A154,'2018'!$A:$BB,7,FALSE),"")</f>
        <v/>
      </c>
      <c r="K154" s="1055" t="str">
        <f>IFERROR(VLOOKUP($A154,'2018'!$A:$BB,8,FALSE),"")</f>
        <v/>
      </c>
      <c r="L154" s="1062" t="str">
        <f>IFERROR(VLOOKUP($A154,'2018'!$A:$BB,9,FALSE),"")</f>
        <v/>
      </c>
      <c r="M154" s="1067" t="str">
        <f>IFERROR(VLOOKUP($A154,'2018'!$A:$BB,10,FALSE),"")</f>
        <v/>
      </c>
      <c r="N154" s="1062" t="str">
        <f>IFERROR(VLOOKUP($A154,'2018'!$A:$BB,12,FALSE),"")</f>
        <v/>
      </c>
      <c r="O154" s="1055" t="str">
        <f>IFERROR(VLOOKUP($A154,'2018'!$A:$BB,13,FALSE),"")</f>
        <v/>
      </c>
      <c r="P154" s="1055" t="str">
        <f>IFERROR(VLOOKUP($A154,'2018'!$A:$BB,14,FALSE),"")</f>
        <v/>
      </c>
      <c r="Q154" s="1055" t="str">
        <f>IFERROR(VLOOKUP($A154,'2018'!$A:$BB,16,FALSE),"")</f>
        <v/>
      </c>
      <c r="R154" s="1055" t="str">
        <f>IFERROR(VLOOKUP($A154,'2018'!$A:$BB,17,FALSE),"")</f>
        <v/>
      </c>
      <c r="S154" s="1062" t="str">
        <f>IFERROR(VLOOKUP($A154,'2018'!$A:$BB,20,FALSE),"")</f>
        <v/>
      </c>
      <c r="T154" s="1062" t="str">
        <f>IFERROR(VLOOKUP($A154,'2018'!$A:$BB,21,FALSE),"")</f>
        <v/>
      </c>
      <c r="U154" s="1062" t="str">
        <f>IFERROR(VLOOKUP($A154,'2018'!$A:$BB,22,FALSE),"")</f>
        <v/>
      </c>
      <c r="V154" s="1062" t="str">
        <f>IFERROR(VLOOKUP($A154,'2018'!$A:$BB,23,FALSE),"")</f>
        <v/>
      </c>
      <c r="W154" s="1062" t="str">
        <f>IFERROR(VLOOKUP($A154,'2018'!$A:$BB,24,FALSE),"")</f>
        <v/>
      </c>
      <c r="X154" s="1062" t="str">
        <f>IFERROR(VLOOKUP($A154,'2018'!$A:$BB,41,FALSE),"")</f>
        <v/>
      </c>
      <c r="Y154" s="1062" t="str">
        <f>IFERROR(VLOOKUP($A154,'2018'!$A:$BB,42,FALSE),"")</f>
        <v/>
      </c>
      <c r="Z154" s="1062" t="str">
        <f>IFERROR(VLOOKUP($A154,'2018'!$A:$BB,45,FALSE),"")</f>
        <v/>
      </c>
      <c r="AA154" s="727"/>
      <c r="AB154" s="728"/>
      <c r="AC154" s="727"/>
      <c r="AD154" s="727"/>
      <c r="AE154" s="727"/>
      <c r="AF154" s="727"/>
      <c r="AG154" s="726"/>
      <c r="AH154" s="726"/>
      <c r="AI154" s="727"/>
      <c r="AJ154" s="747"/>
      <c r="AK154" s="753"/>
      <c r="AL154" s="754"/>
      <c r="AM154" s="753"/>
      <c r="AN154" s="754"/>
      <c r="AO154" s="776"/>
      <c r="AP154" s="754"/>
      <c r="AQ154" s="770"/>
      <c r="AR154" s="726"/>
      <c r="AS154" s="726"/>
      <c r="AT154" s="726"/>
      <c r="AU154" s="726"/>
      <c r="AV154" s="726"/>
      <c r="AW154" s="726"/>
    </row>
    <row r="155" spans="1:49">
      <c r="A155" s="736" t="s">
        <v>4567</v>
      </c>
      <c r="B155" s="736" t="s">
        <v>4567</v>
      </c>
      <c r="C155" s="736"/>
      <c r="D155" s="736"/>
      <c r="E155" s="736"/>
      <c r="F155" s="1059" t="str">
        <f>IFERROR(VLOOKUP($A155,'2018'!$A:$BB,3,FALSE),"")</f>
        <v>82-2065265</v>
      </c>
      <c r="G155" s="1055" t="str">
        <f>IFERROR(VLOOKUP($A155,'2018'!$A:$BB,4,FALSE),"")</f>
        <v>12255 El Camino Real, Suite 300
San Diego, CA 92130</v>
      </c>
      <c r="H155" s="1055" t="str">
        <f>IFERROR(VLOOKUP($A155,'2018'!$A:$BB,5,FALSE),"")</f>
        <v>Marie-Claire Durkin
858.337.4913
mcdurkin@escientpharma.com</v>
      </c>
      <c r="I155" s="1055" t="str">
        <f>IFERROR(VLOOKUP($A155,'2018'!$A:$BB,6,FALSE),"")</f>
        <v>Marie-Claire Durkin
858.337.4913
mcdurkin@escientpharma.com</v>
      </c>
      <c r="J155" s="1055" t="str">
        <f>IFERROR(VLOOKUP($A155,'2018'!$A:$BB,7,FALSE),"")</f>
        <v>HUB (San Diego)</v>
      </c>
      <c r="K155" s="1055" t="str">
        <f>IFERROR(VLOOKUP($A155,'2018'!$A:$BB,8,FALSE),"")</f>
        <v>Account Managed by HUB SD Team
Producer - Maggie Osburn
Service Lead - Courtney Stanley</v>
      </c>
      <c r="L155" s="1062" t="str">
        <f>IFERROR(VLOOKUP($A155,'2018'!$A:$BB,9,FALSE),"")</f>
        <v>New</v>
      </c>
      <c r="M155" s="1067">
        <f>IFERROR(VLOOKUP($A155,'2018'!$A:$BB,10,FALSE),"")</f>
        <v>43282</v>
      </c>
      <c r="N155" s="1062">
        <f>IFERROR(VLOOKUP($A155,'2018'!$A:$BB,12,FALSE),"")</f>
        <v>4</v>
      </c>
      <c r="O155" s="1055" t="str">
        <f>IFERROR(VLOOKUP($A155,'2018'!$A:$BB,13,FALSE),"")</f>
        <v>IGOE</v>
      </c>
      <c r="P155" s="1055" t="str">
        <f>IFERROR(VLOOKUP($A155,'2018'!$A:$BB,14,FALSE),"")</f>
        <v>Maestro</v>
      </c>
      <c r="Q155" s="1055" t="str">
        <f>IFERROR(VLOOKUP($A155,'2018'!$A:$BB,16,FALSE),"")</f>
        <v>N/A</v>
      </c>
      <c r="R155" s="1055" t="str">
        <f>IFERROR(VLOOKUP($A155,'2018'!$A:$BB,17,FALSE),"")</f>
        <v>Optum Health</v>
      </c>
      <c r="S155" s="1062" t="str">
        <f>IFERROR(VLOOKUP($A155,'2018'!$A:$BB,20,FALSE),"")</f>
        <v>SCAL</v>
      </c>
      <c r="T155" s="1062" t="str">
        <f>IFERROR(VLOOKUP($A155,'2018'!$A:$BB,21,FALSE),"")</f>
        <v>Group D (54+)</v>
      </c>
      <c r="U155" s="1062" t="str">
        <f>IFERROR(VLOOKUP($A155,'2018'!$A:$BB,22,FALSE),"")</f>
        <v>Expanded</v>
      </c>
      <c r="V155" s="1062" t="str">
        <f>IFERROR(VLOOKUP($A155,'2018'!$A:$BB,23,FALSE),"")</f>
        <v>Advantage</v>
      </c>
      <c r="W155" s="1062" t="str">
        <f>IFERROR(VLOOKUP($A155,'2018'!$A:$BB,24,FALSE),"")</f>
        <v>No</v>
      </c>
      <c r="X155" s="1062" t="str">
        <f>IFERROR(VLOOKUP($A155,'2018'!$A:$BB,41,FALSE),"")</f>
        <v>Region 2</v>
      </c>
      <c r="Y155" s="1062" t="str">
        <f>IFERROR(VLOOKUP($A155,'2018'!$A:$BB,42,FALSE),"")</f>
        <v>(2-9)</v>
      </c>
      <c r="Z155" s="1062" t="str">
        <f>IFERROR(VLOOKUP($A155,'2018'!$A:$BB,45,FALSE),"")</f>
        <v xml:space="preserve"> (2-49)</v>
      </c>
      <c r="AA155" s="731">
        <v>2018</v>
      </c>
      <c r="AB155" s="1177" t="e">
        <v>#N/A</v>
      </c>
      <c r="AC155" s="734" t="s">
        <v>317</v>
      </c>
      <c r="AD155" s="1202" t="s">
        <v>3658</v>
      </c>
      <c r="AE155" s="734" t="s">
        <v>307</v>
      </c>
      <c r="AF155" s="734" t="s">
        <v>113</v>
      </c>
      <c r="AG155" s="732" t="s">
        <v>3981</v>
      </c>
      <c r="AH155" s="732" t="s">
        <v>3973</v>
      </c>
      <c r="AI155" s="734">
        <v>11</v>
      </c>
      <c r="AJ155" s="748" t="s">
        <v>3982</v>
      </c>
      <c r="AK155" s="763">
        <v>909678</v>
      </c>
      <c r="AL155" s="756">
        <v>487</v>
      </c>
      <c r="AM155" s="755">
        <v>909678</v>
      </c>
      <c r="AN155" s="754">
        <f>AL155+1</f>
        <v>488</v>
      </c>
      <c r="AO155" s="763">
        <v>909678</v>
      </c>
      <c r="AP155" s="754">
        <f>AN155+1</f>
        <v>489</v>
      </c>
      <c r="AQ155" s="771" t="s">
        <v>3979</v>
      </c>
      <c r="AR155" s="732" t="s">
        <v>2661</v>
      </c>
      <c r="AS155" s="735"/>
      <c r="AT155" s="735"/>
      <c r="AU155" s="732" t="s">
        <v>3980</v>
      </c>
      <c r="AV155" s="735"/>
      <c r="AW155" s="735"/>
    </row>
    <row r="156" spans="1:49" s="739" customFormat="1">
      <c r="A156" s="736" t="s">
        <v>4567</v>
      </c>
      <c r="B156" s="736" t="s">
        <v>4567</v>
      </c>
      <c r="C156" s="736"/>
      <c r="D156" s="736"/>
      <c r="E156" s="736"/>
      <c r="F156" s="1059" t="str">
        <f>IFERROR(VLOOKUP($A156,'2018'!$A:$BB,3,FALSE),"")</f>
        <v>82-2065265</v>
      </c>
      <c r="G156" s="1055" t="str">
        <f>IFERROR(VLOOKUP($A156,'2018'!$A:$BB,4,FALSE),"")</f>
        <v>12255 El Camino Real, Suite 300
San Diego, CA 92130</v>
      </c>
      <c r="H156" s="1055" t="str">
        <f>IFERROR(VLOOKUP($A156,'2018'!$A:$BB,5,FALSE),"")</f>
        <v>Marie-Claire Durkin
858.337.4913
mcdurkin@escientpharma.com</v>
      </c>
      <c r="I156" s="1055" t="str">
        <f>IFERROR(VLOOKUP($A156,'2018'!$A:$BB,6,FALSE),"")</f>
        <v>Marie-Claire Durkin
858.337.4913
mcdurkin@escientpharma.com</v>
      </c>
      <c r="J156" s="1055" t="str">
        <f>IFERROR(VLOOKUP($A156,'2018'!$A:$BB,7,FALSE),"")</f>
        <v>HUB (San Diego)</v>
      </c>
      <c r="K156" s="1055" t="str">
        <f>IFERROR(VLOOKUP($A156,'2018'!$A:$BB,8,FALSE),"")</f>
        <v>Account Managed by HUB SD Team
Producer - Maggie Osburn
Service Lead - Courtney Stanley</v>
      </c>
      <c r="L156" s="1062" t="str">
        <f>IFERROR(VLOOKUP($A156,'2018'!$A:$BB,9,FALSE),"")</f>
        <v>New</v>
      </c>
      <c r="M156" s="1067">
        <f>IFERROR(VLOOKUP($A156,'2018'!$A:$BB,10,FALSE),"")</f>
        <v>43282</v>
      </c>
      <c r="N156" s="1062">
        <f>IFERROR(VLOOKUP($A156,'2018'!$A:$BB,12,FALSE),"")</f>
        <v>4</v>
      </c>
      <c r="O156" s="1055" t="str">
        <f>IFERROR(VLOOKUP($A156,'2018'!$A:$BB,13,FALSE),"")</f>
        <v>IGOE</v>
      </c>
      <c r="P156" s="1055" t="str">
        <f>IFERROR(VLOOKUP($A156,'2018'!$A:$BB,14,FALSE),"")</f>
        <v>Maestro</v>
      </c>
      <c r="Q156" s="1055" t="str">
        <f>IFERROR(VLOOKUP($A156,'2018'!$A:$BB,16,FALSE),"")</f>
        <v>N/A</v>
      </c>
      <c r="R156" s="1055" t="str">
        <f>IFERROR(VLOOKUP($A156,'2018'!$A:$BB,17,FALSE),"")</f>
        <v>Optum Health</v>
      </c>
      <c r="S156" s="1062" t="str">
        <f>IFERROR(VLOOKUP($A156,'2018'!$A:$BB,20,FALSE),"")</f>
        <v>SCAL</v>
      </c>
      <c r="T156" s="1062" t="str">
        <f>IFERROR(VLOOKUP($A156,'2018'!$A:$BB,21,FALSE),"")</f>
        <v>Group D (54+)</v>
      </c>
      <c r="U156" s="1062" t="str">
        <f>IFERROR(VLOOKUP($A156,'2018'!$A:$BB,22,FALSE),"")</f>
        <v>Expanded</v>
      </c>
      <c r="V156" s="1062" t="str">
        <f>IFERROR(VLOOKUP($A156,'2018'!$A:$BB,23,FALSE),"")</f>
        <v>Advantage</v>
      </c>
      <c r="W156" s="1062" t="str">
        <f>IFERROR(VLOOKUP($A156,'2018'!$A:$BB,24,FALSE),"")</f>
        <v>No</v>
      </c>
      <c r="X156" s="1062" t="str">
        <f>IFERROR(VLOOKUP($A156,'2018'!$A:$BB,41,FALSE),"")</f>
        <v>Region 2</v>
      </c>
      <c r="Y156" s="1062" t="str">
        <f>IFERROR(VLOOKUP($A156,'2018'!$A:$BB,42,FALSE),"")</f>
        <v>(2-9)</v>
      </c>
      <c r="Z156" s="1062" t="str">
        <f>IFERROR(VLOOKUP($A156,'2018'!$A:$BB,45,FALSE),"")</f>
        <v xml:space="preserve"> (2-49)</v>
      </c>
      <c r="AA156" s="731">
        <v>2018</v>
      </c>
      <c r="AB156" s="1177" t="e">
        <v>#N/A</v>
      </c>
      <c r="AC156" s="734" t="s">
        <v>317</v>
      </c>
      <c r="AD156" s="1202" t="s">
        <v>3658</v>
      </c>
      <c r="AE156" s="734" t="s">
        <v>307</v>
      </c>
      <c r="AF156" s="734" t="s">
        <v>113</v>
      </c>
      <c r="AG156" s="732" t="s">
        <v>3981</v>
      </c>
      <c r="AH156" s="732" t="s">
        <v>3977</v>
      </c>
      <c r="AI156" s="734">
        <v>16</v>
      </c>
      <c r="AJ156" s="748" t="s">
        <v>3985</v>
      </c>
      <c r="AK156" s="763">
        <v>909678</v>
      </c>
      <c r="AL156" s="756">
        <v>739</v>
      </c>
      <c r="AM156" s="755">
        <v>909678</v>
      </c>
      <c r="AN156" s="754">
        <f>AL156+1</f>
        <v>740</v>
      </c>
      <c r="AO156" s="763">
        <v>909678</v>
      </c>
      <c r="AP156" s="754">
        <f>AN156+1</f>
        <v>741</v>
      </c>
      <c r="AQ156" s="771" t="s">
        <v>3979</v>
      </c>
      <c r="AR156" s="732" t="s">
        <v>2661</v>
      </c>
      <c r="AS156" s="735"/>
      <c r="AT156" s="735"/>
      <c r="AU156" s="732" t="s">
        <v>3980</v>
      </c>
      <c r="AV156" s="735"/>
      <c r="AW156" s="735"/>
    </row>
    <row r="157" spans="1:49" s="739" customFormat="1">
      <c r="A157" s="736"/>
      <c r="B157" s="736"/>
      <c r="C157" s="736"/>
      <c r="D157" s="736"/>
      <c r="E157" s="736"/>
      <c r="F157" s="1059" t="str">
        <f>IFERROR(VLOOKUP($A157,'2018'!$A:$BB,3,FALSE),"")</f>
        <v/>
      </c>
      <c r="G157" s="1055" t="str">
        <f>IFERROR(VLOOKUP($A157,'2018'!$A:$BB,4,FALSE),"")</f>
        <v/>
      </c>
      <c r="H157" s="1055" t="str">
        <f>IFERROR(VLOOKUP($A157,'2018'!$A:$BB,5,FALSE),"")</f>
        <v/>
      </c>
      <c r="I157" s="1055" t="str">
        <f>IFERROR(VLOOKUP($A157,'2018'!$A:$BB,6,FALSE),"")</f>
        <v/>
      </c>
      <c r="J157" s="1055" t="str">
        <f>IFERROR(VLOOKUP($A157,'2018'!$A:$BB,7,FALSE),"")</f>
        <v/>
      </c>
      <c r="K157" s="1055" t="str">
        <f>IFERROR(VLOOKUP($A157,'2018'!$A:$BB,8,FALSE),"")</f>
        <v/>
      </c>
      <c r="L157" s="1062" t="str">
        <f>IFERROR(VLOOKUP($A157,'2018'!$A:$BB,9,FALSE),"")</f>
        <v/>
      </c>
      <c r="M157" s="1067" t="str">
        <f>IFERROR(VLOOKUP($A157,'2018'!$A:$BB,10,FALSE),"")</f>
        <v/>
      </c>
      <c r="N157" s="1062" t="str">
        <f>IFERROR(VLOOKUP($A157,'2018'!$A:$BB,12,FALSE),"")</f>
        <v/>
      </c>
      <c r="O157" s="1055" t="str">
        <f>IFERROR(VLOOKUP($A157,'2018'!$A:$BB,13,FALSE),"")</f>
        <v/>
      </c>
      <c r="P157" s="1055" t="str">
        <f>IFERROR(VLOOKUP($A157,'2018'!$A:$BB,14,FALSE),"")</f>
        <v/>
      </c>
      <c r="Q157" s="1055" t="str">
        <f>IFERROR(VLOOKUP($A157,'2018'!$A:$BB,16,FALSE),"")</f>
        <v/>
      </c>
      <c r="R157" s="1055" t="str">
        <f>IFERROR(VLOOKUP($A157,'2018'!$A:$BB,17,FALSE),"")</f>
        <v/>
      </c>
      <c r="S157" s="1062" t="str">
        <f>IFERROR(VLOOKUP($A157,'2018'!$A:$BB,20,FALSE),"")</f>
        <v/>
      </c>
      <c r="T157" s="1062" t="str">
        <f>IFERROR(VLOOKUP($A157,'2018'!$A:$BB,21,FALSE),"")</f>
        <v/>
      </c>
      <c r="U157" s="1062" t="str">
        <f>IFERROR(VLOOKUP($A157,'2018'!$A:$BB,22,FALSE),"")</f>
        <v/>
      </c>
      <c r="V157" s="1062" t="str">
        <f>IFERROR(VLOOKUP($A157,'2018'!$A:$BB,23,FALSE),"")</f>
        <v/>
      </c>
      <c r="W157" s="1062" t="str">
        <f>IFERROR(VLOOKUP($A157,'2018'!$A:$BB,24,FALSE),"")</f>
        <v/>
      </c>
      <c r="X157" s="1062" t="str">
        <f>IFERROR(VLOOKUP($A157,'2018'!$A:$BB,41,FALSE),"")</f>
        <v/>
      </c>
      <c r="Y157" s="1062" t="str">
        <f>IFERROR(VLOOKUP($A157,'2018'!$A:$BB,42,FALSE),"")</f>
        <v/>
      </c>
      <c r="Z157" s="1062" t="str">
        <f>IFERROR(VLOOKUP($A157,'2018'!$A:$BB,45,FALSE),"")</f>
        <v/>
      </c>
      <c r="AA157" s="741"/>
      <c r="AB157" s="733"/>
      <c r="AC157" s="734"/>
      <c r="AD157" s="734"/>
      <c r="AE157" s="734"/>
      <c r="AF157" s="734"/>
      <c r="AG157" s="732"/>
      <c r="AH157" s="732"/>
      <c r="AI157" s="734"/>
      <c r="AJ157" s="748"/>
      <c r="AK157" s="758"/>
      <c r="AL157" s="756"/>
      <c r="AM157" s="753"/>
      <c r="AN157" s="754"/>
      <c r="AO157" s="776"/>
      <c r="AP157" s="754"/>
      <c r="AQ157" s="771"/>
      <c r="AR157" s="732"/>
      <c r="AS157" s="732"/>
      <c r="AT157" s="732"/>
      <c r="AU157" s="732"/>
      <c r="AV157" s="732"/>
      <c r="AW157" s="732"/>
    </row>
    <row r="158" spans="1:49">
      <c r="A158" s="736" t="s">
        <v>4560</v>
      </c>
      <c r="B158" s="736" t="s">
        <v>4560</v>
      </c>
      <c r="C158" s="736"/>
      <c r="D158" s="966"/>
      <c r="E158" s="966"/>
      <c r="F158" s="1059">
        <f>IFERROR(VLOOKUP($A158,'2018'!$A:$BB,3,FALSE),"")</f>
        <v>473557638</v>
      </c>
      <c r="G158" s="1055" t="str">
        <f>IFERROR(VLOOKUP($A158,'2018'!$A:$BB,4,FALSE),"")</f>
        <v>15821 Ventura Blvd., Suite 550
Encino, CA  91436</v>
      </c>
      <c r="H158" s="1055" t="str">
        <f>IFERROR(VLOOKUP($A158,'2018'!$A:$BB,5,FALSE),"")</f>
        <v>Robert Chilton
(818) 858-1082
rchilton@ovationfertility.com</v>
      </c>
      <c r="I158" s="1055" t="str">
        <f>IFERROR(VLOOKUP($A158,'2018'!$A:$BB,6,FALSE),"")</f>
        <v>Kris Elliott
(818) 858-1071
kelliott@ovationfertility.com</v>
      </c>
      <c r="J158" s="1055" t="str">
        <f>IFERROR(VLOOKUP($A158,'2018'!$A:$BB,7,FALSE),"")</f>
        <v>Woodruff-Sawyer</v>
      </c>
      <c r="K158" s="1055" t="str">
        <f>IFERROR(VLOOKUP($A158,'2018'!$A:$BB,8,FALSE),"")</f>
        <v xml:space="preserve">Account Managed by Woodruff-Sawyer Team
Producer - Leslie Slay
Service Lead - Faye Konrad
</v>
      </c>
      <c r="L158" s="1062" t="str">
        <f>IFERROR(VLOOKUP($A158,'2018'!$A:$BB,9,FALSE),"")</f>
        <v>New</v>
      </c>
      <c r="M158" s="1067">
        <f>IFERROR(VLOOKUP($A158,'2018'!$A:$BB,10,FALSE),"")</f>
        <v>43282</v>
      </c>
      <c r="N158" s="1062">
        <f>IFERROR(VLOOKUP($A158,'2018'!$A:$BB,12,FALSE),"")</f>
        <v>72</v>
      </c>
      <c r="O158" s="1055" t="str">
        <f>IFERROR(VLOOKUP($A158,'2018'!$A:$BB,13,FALSE),"")</f>
        <v xml:space="preserve">IGOE </v>
      </c>
      <c r="P158" s="1055" t="str">
        <f>IFERROR(VLOOKUP($A158,'2018'!$A:$BB,14,FALSE),"")</f>
        <v>Maestro</v>
      </c>
      <c r="Q158" s="1055" t="str">
        <f>IFERROR(VLOOKUP($A158,'2018'!$A:$BB,16,FALSE),"")</f>
        <v>Superior State</v>
      </c>
      <c r="R158" s="1055" t="str">
        <f>IFERROR(VLOOKUP($A158,'2018'!$A:$BB,17,FALSE),"")</f>
        <v>Optum Health</v>
      </c>
      <c r="S158" s="1062" t="str">
        <f>IFERROR(VLOOKUP($A158,'2018'!$A:$BB,20,FALSE),"")</f>
        <v>SCAL</v>
      </c>
      <c r="T158" s="1062" t="str">
        <f>IFERROR(VLOOKUP($A158,'2018'!$A:$BB,21,FALSE),"")</f>
        <v>Group B (34-44)</v>
      </c>
      <c r="U158" s="1062" t="str">
        <f>IFERROR(VLOOKUP($A158,'2018'!$A:$BB,22,FALSE),"")</f>
        <v>Expanded</v>
      </c>
      <c r="V158" s="1062" t="str">
        <f>IFERROR(VLOOKUP($A158,'2018'!$A:$BB,23,FALSE),"")</f>
        <v>Advantage</v>
      </c>
      <c r="W158" s="1062" t="str">
        <f>IFERROR(VLOOKUP($A158,'2018'!$A:$BB,24,FALSE),"")</f>
        <v>No</v>
      </c>
      <c r="X158" s="1062" t="str">
        <f>IFERROR(VLOOKUP($A158,'2018'!$A:$BB,41,FALSE),"")</f>
        <v>Region 4</v>
      </c>
      <c r="Y158" s="1062" t="str">
        <f>IFERROR(VLOOKUP($A158,'2018'!$A:$BB,42,FALSE),"")</f>
        <v>(50-99)</v>
      </c>
      <c r="Z158" s="1062" t="str">
        <f>IFERROR(VLOOKUP($A158,'2018'!$A:$BB,45,FALSE),"")</f>
        <v xml:space="preserve"> (50-99)</v>
      </c>
      <c r="AA158" s="731">
        <v>2018</v>
      </c>
      <c r="AB158" s="1177" t="e">
        <v>#N/A</v>
      </c>
      <c r="AC158" s="734" t="s">
        <v>317</v>
      </c>
      <c r="AD158" s="727" t="s">
        <v>3648</v>
      </c>
      <c r="AE158" s="734" t="s">
        <v>307</v>
      </c>
      <c r="AF158" s="734" t="s">
        <v>113</v>
      </c>
      <c r="AG158" s="732" t="s">
        <v>3972</v>
      </c>
      <c r="AH158" s="732" t="s">
        <v>3973</v>
      </c>
      <c r="AI158" s="734">
        <v>9</v>
      </c>
      <c r="AJ158" s="1201" t="s">
        <v>3974</v>
      </c>
      <c r="AK158" s="763">
        <v>909678</v>
      </c>
      <c r="AL158" s="754">
        <v>409</v>
      </c>
      <c r="AM158" s="755">
        <v>909678</v>
      </c>
      <c r="AN158" s="754">
        <f t="shared" ref="AN158:AN163" si="37">AL158+1</f>
        <v>410</v>
      </c>
      <c r="AO158" s="763">
        <v>909678</v>
      </c>
      <c r="AP158" s="754">
        <f t="shared" ref="AP158:AP163" si="38">AN158+1</f>
        <v>411</v>
      </c>
      <c r="AQ158" s="771" t="s">
        <v>3979</v>
      </c>
      <c r="AR158" s="732" t="s">
        <v>2661</v>
      </c>
      <c r="AS158" s="735"/>
      <c r="AT158" s="735"/>
      <c r="AU158" s="732" t="s">
        <v>3980</v>
      </c>
      <c r="AV158" s="735"/>
      <c r="AW158" s="735"/>
    </row>
    <row r="159" spans="1:49" s="739" customFormat="1">
      <c r="A159" s="736" t="s">
        <v>4560</v>
      </c>
      <c r="B159" s="736" t="s">
        <v>4560</v>
      </c>
      <c r="C159" s="736"/>
      <c r="D159" s="966"/>
      <c r="E159" s="966"/>
      <c r="F159" s="1059">
        <f>IFERROR(VLOOKUP($A159,'2018'!$A:$BB,3,FALSE),"")</f>
        <v>473557638</v>
      </c>
      <c r="G159" s="1055" t="str">
        <f>IFERROR(VLOOKUP($A159,'2018'!$A:$BB,4,FALSE),"")</f>
        <v>15821 Ventura Blvd., Suite 550
Encino, CA  91436</v>
      </c>
      <c r="H159" s="1055" t="str">
        <f>IFERROR(VLOOKUP($A159,'2018'!$A:$BB,5,FALSE),"")</f>
        <v>Robert Chilton
(818) 858-1082
rchilton@ovationfertility.com</v>
      </c>
      <c r="I159" s="1055" t="str">
        <f>IFERROR(VLOOKUP($A159,'2018'!$A:$BB,6,FALSE),"")</f>
        <v>Kris Elliott
(818) 858-1071
kelliott@ovationfertility.com</v>
      </c>
      <c r="J159" s="1055" t="str">
        <f>IFERROR(VLOOKUP($A159,'2018'!$A:$BB,7,FALSE),"")</f>
        <v>Woodruff-Sawyer</v>
      </c>
      <c r="K159" s="1055" t="str">
        <f>IFERROR(VLOOKUP($A159,'2018'!$A:$BB,8,FALSE),"")</f>
        <v xml:space="preserve">Account Managed by Woodruff-Sawyer Team
Producer - Leslie Slay
Service Lead - Faye Konrad
</v>
      </c>
      <c r="L159" s="1062" t="str">
        <f>IFERROR(VLOOKUP($A159,'2018'!$A:$BB,9,FALSE),"")</f>
        <v>New</v>
      </c>
      <c r="M159" s="1067">
        <f>IFERROR(VLOOKUP($A159,'2018'!$A:$BB,10,FALSE),"")</f>
        <v>43282</v>
      </c>
      <c r="N159" s="1062">
        <f>IFERROR(VLOOKUP($A159,'2018'!$A:$BB,12,FALSE),"")</f>
        <v>72</v>
      </c>
      <c r="O159" s="1055" t="str">
        <f>IFERROR(VLOOKUP($A159,'2018'!$A:$BB,13,FALSE),"")</f>
        <v xml:space="preserve">IGOE </v>
      </c>
      <c r="P159" s="1055" t="str">
        <f>IFERROR(VLOOKUP($A159,'2018'!$A:$BB,14,FALSE),"")</f>
        <v>Maestro</v>
      </c>
      <c r="Q159" s="1055" t="str">
        <f>IFERROR(VLOOKUP($A159,'2018'!$A:$BB,16,FALSE),"")</f>
        <v>Superior State</v>
      </c>
      <c r="R159" s="1055" t="str">
        <f>IFERROR(VLOOKUP($A159,'2018'!$A:$BB,17,FALSE),"")</f>
        <v>Optum Health</v>
      </c>
      <c r="S159" s="1062" t="str">
        <f>IFERROR(VLOOKUP($A159,'2018'!$A:$BB,20,FALSE),"")</f>
        <v>SCAL</v>
      </c>
      <c r="T159" s="1062" t="str">
        <f>IFERROR(VLOOKUP($A159,'2018'!$A:$BB,21,FALSE),"")</f>
        <v>Group B (34-44)</v>
      </c>
      <c r="U159" s="1062" t="str">
        <f>IFERROR(VLOOKUP($A159,'2018'!$A:$BB,22,FALSE),"")</f>
        <v>Expanded</v>
      </c>
      <c r="V159" s="1062" t="str">
        <f>IFERROR(VLOOKUP($A159,'2018'!$A:$BB,23,FALSE),"")</f>
        <v>Advantage</v>
      </c>
      <c r="W159" s="1062" t="str">
        <f>IFERROR(VLOOKUP($A159,'2018'!$A:$BB,24,FALSE),"")</f>
        <v>No</v>
      </c>
      <c r="X159" s="1062" t="str">
        <f>IFERROR(VLOOKUP($A159,'2018'!$A:$BB,41,FALSE),"")</f>
        <v>Region 4</v>
      </c>
      <c r="Y159" s="1062" t="str">
        <f>IFERROR(VLOOKUP($A159,'2018'!$A:$BB,42,FALSE),"")</f>
        <v>(50-99)</v>
      </c>
      <c r="Z159" s="1062" t="str">
        <f>IFERROR(VLOOKUP($A159,'2018'!$A:$BB,45,FALSE),"")</f>
        <v xml:space="preserve"> (50-99)</v>
      </c>
      <c r="AA159" s="731">
        <v>2018</v>
      </c>
      <c r="AB159" s="1177" t="e">
        <v>#N/A</v>
      </c>
      <c r="AC159" s="734" t="s">
        <v>317</v>
      </c>
      <c r="AD159" s="727" t="s">
        <v>3648</v>
      </c>
      <c r="AE159" s="734" t="s">
        <v>307</v>
      </c>
      <c r="AF159" s="734" t="s">
        <v>113</v>
      </c>
      <c r="AG159" s="732" t="s">
        <v>3972</v>
      </c>
      <c r="AH159" s="732" t="s">
        <v>3977</v>
      </c>
      <c r="AI159" s="734">
        <v>15</v>
      </c>
      <c r="AJ159" s="1201" t="s">
        <v>3978</v>
      </c>
      <c r="AK159" s="763">
        <v>909678</v>
      </c>
      <c r="AL159" s="756">
        <v>661</v>
      </c>
      <c r="AM159" s="755">
        <v>909678</v>
      </c>
      <c r="AN159" s="754">
        <f t="shared" si="37"/>
        <v>662</v>
      </c>
      <c r="AO159" s="763">
        <v>909678</v>
      </c>
      <c r="AP159" s="754">
        <f t="shared" si="38"/>
        <v>663</v>
      </c>
      <c r="AQ159" s="771" t="s">
        <v>3979</v>
      </c>
      <c r="AR159" s="732" t="s">
        <v>2661</v>
      </c>
      <c r="AS159" s="735"/>
      <c r="AT159" s="735"/>
      <c r="AU159" s="732" t="s">
        <v>3980</v>
      </c>
      <c r="AV159" s="735"/>
      <c r="AW159" s="735"/>
    </row>
    <row r="160" spans="1:49" s="739" customFormat="1">
      <c r="A160" s="736" t="s">
        <v>4560</v>
      </c>
      <c r="B160" s="736" t="s">
        <v>4560</v>
      </c>
      <c r="C160" s="736"/>
      <c r="D160" s="966"/>
      <c r="E160" s="966"/>
      <c r="F160" s="1059">
        <f>IFERROR(VLOOKUP($A160,'2018'!$A:$BB,3,FALSE),"")</f>
        <v>473557638</v>
      </c>
      <c r="G160" s="1055" t="str">
        <f>IFERROR(VLOOKUP($A160,'2018'!$A:$BB,4,FALSE),"")</f>
        <v>15821 Ventura Blvd., Suite 550
Encino, CA  91436</v>
      </c>
      <c r="H160" s="1055" t="str">
        <f>IFERROR(VLOOKUP($A160,'2018'!$A:$BB,5,FALSE),"")</f>
        <v>Robert Chilton
(818) 858-1082
rchilton@ovationfertility.com</v>
      </c>
      <c r="I160" s="1055" t="str">
        <f>IFERROR(VLOOKUP($A160,'2018'!$A:$BB,6,FALSE),"")</f>
        <v>Kris Elliott
(818) 858-1071
kelliott@ovationfertility.com</v>
      </c>
      <c r="J160" s="1055" t="str">
        <f>IFERROR(VLOOKUP($A160,'2018'!$A:$BB,7,FALSE),"")</f>
        <v>Woodruff-Sawyer</v>
      </c>
      <c r="K160" s="1055" t="str">
        <f>IFERROR(VLOOKUP($A160,'2018'!$A:$BB,8,FALSE),"")</f>
        <v xml:space="preserve">Account Managed by Woodruff-Sawyer Team
Producer - Leslie Slay
Service Lead - Faye Konrad
</v>
      </c>
      <c r="L160" s="1062" t="str">
        <f>IFERROR(VLOOKUP($A160,'2018'!$A:$BB,9,FALSE),"")</f>
        <v>New</v>
      </c>
      <c r="M160" s="1067">
        <f>IFERROR(VLOOKUP($A160,'2018'!$A:$BB,10,FALSE),"")</f>
        <v>43282</v>
      </c>
      <c r="N160" s="1062">
        <f>IFERROR(VLOOKUP($A160,'2018'!$A:$BB,12,FALSE),"")</f>
        <v>72</v>
      </c>
      <c r="O160" s="1055" t="str">
        <f>IFERROR(VLOOKUP($A160,'2018'!$A:$BB,13,FALSE),"")</f>
        <v xml:space="preserve">IGOE </v>
      </c>
      <c r="P160" s="1055" t="str">
        <f>IFERROR(VLOOKUP($A160,'2018'!$A:$BB,14,FALSE),"")</f>
        <v>Maestro</v>
      </c>
      <c r="Q160" s="1055" t="str">
        <f>IFERROR(VLOOKUP($A160,'2018'!$A:$BB,16,FALSE),"")</f>
        <v>Superior State</v>
      </c>
      <c r="R160" s="1055" t="str">
        <f>IFERROR(VLOOKUP($A160,'2018'!$A:$BB,17,FALSE),"")</f>
        <v>Optum Health</v>
      </c>
      <c r="S160" s="1062" t="str">
        <f>IFERROR(VLOOKUP($A160,'2018'!$A:$BB,20,FALSE),"")</f>
        <v>SCAL</v>
      </c>
      <c r="T160" s="1062" t="str">
        <f>IFERROR(VLOOKUP($A160,'2018'!$A:$BB,21,FALSE),"")</f>
        <v>Group B (34-44)</v>
      </c>
      <c r="U160" s="1062" t="str">
        <f>IFERROR(VLOOKUP($A160,'2018'!$A:$BB,22,FALSE),"")</f>
        <v>Expanded</v>
      </c>
      <c r="V160" s="1062" t="str">
        <f>IFERROR(VLOOKUP($A160,'2018'!$A:$BB,23,FALSE),"")</f>
        <v>Advantage</v>
      </c>
      <c r="W160" s="1062" t="str">
        <f>IFERROR(VLOOKUP($A160,'2018'!$A:$BB,24,FALSE),"")</f>
        <v>No</v>
      </c>
      <c r="X160" s="1062" t="str">
        <f>IFERROR(VLOOKUP($A160,'2018'!$A:$BB,41,FALSE),"")</f>
        <v>Region 4</v>
      </c>
      <c r="Y160" s="1062" t="str">
        <f>IFERROR(VLOOKUP($A160,'2018'!$A:$BB,42,FALSE),"")</f>
        <v>(50-99)</v>
      </c>
      <c r="Z160" s="1062" t="str">
        <f>IFERROR(VLOOKUP($A160,'2018'!$A:$BB,45,FALSE),"")</f>
        <v xml:space="preserve"> (50-99)</v>
      </c>
      <c r="AA160" s="731">
        <v>2018</v>
      </c>
      <c r="AB160" s="1177" t="e">
        <v>#N/A</v>
      </c>
      <c r="AC160" s="734" t="s">
        <v>317</v>
      </c>
      <c r="AD160" s="734" t="s">
        <v>3648</v>
      </c>
      <c r="AE160" s="734" t="s">
        <v>307</v>
      </c>
      <c r="AF160" s="734" t="s">
        <v>113</v>
      </c>
      <c r="AG160" s="732" t="s">
        <v>3981</v>
      </c>
      <c r="AH160" s="732" t="s">
        <v>3973</v>
      </c>
      <c r="AI160" s="734">
        <v>11</v>
      </c>
      <c r="AJ160" s="748" t="s">
        <v>3982</v>
      </c>
      <c r="AK160" s="763">
        <v>909678</v>
      </c>
      <c r="AL160" s="754">
        <v>481</v>
      </c>
      <c r="AM160" s="755">
        <v>909678</v>
      </c>
      <c r="AN160" s="754">
        <f t="shared" si="37"/>
        <v>482</v>
      </c>
      <c r="AO160" s="763">
        <v>909678</v>
      </c>
      <c r="AP160" s="754">
        <f t="shared" si="38"/>
        <v>483</v>
      </c>
      <c r="AQ160" s="771" t="s">
        <v>3979</v>
      </c>
      <c r="AR160" s="732" t="s">
        <v>2661</v>
      </c>
      <c r="AS160" s="735"/>
      <c r="AT160" s="735"/>
      <c r="AU160" s="732" t="s">
        <v>3980</v>
      </c>
      <c r="AV160" s="735"/>
      <c r="AW160" s="735"/>
    </row>
    <row r="161" spans="1:49" s="739" customFormat="1">
      <c r="A161" s="736" t="s">
        <v>4560</v>
      </c>
      <c r="B161" s="736" t="s">
        <v>4560</v>
      </c>
      <c r="C161" s="736"/>
      <c r="D161" s="966"/>
      <c r="E161" s="966"/>
      <c r="F161" s="1059">
        <f>IFERROR(VLOOKUP($A161,'2018'!$A:$BB,3,FALSE),"")</f>
        <v>473557638</v>
      </c>
      <c r="G161" s="1055" t="str">
        <f>IFERROR(VLOOKUP($A161,'2018'!$A:$BB,4,FALSE),"")</f>
        <v>15821 Ventura Blvd., Suite 550
Encino, CA  91436</v>
      </c>
      <c r="H161" s="1055" t="str">
        <f>IFERROR(VLOOKUP($A161,'2018'!$A:$BB,5,FALSE),"")</f>
        <v>Robert Chilton
(818) 858-1082
rchilton@ovationfertility.com</v>
      </c>
      <c r="I161" s="1055" t="str">
        <f>IFERROR(VLOOKUP($A161,'2018'!$A:$BB,6,FALSE),"")</f>
        <v>Kris Elliott
(818) 858-1071
kelliott@ovationfertility.com</v>
      </c>
      <c r="J161" s="1055" t="str">
        <f>IFERROR(VLOOKUP($A161,'2018'!$A:$BB,7,FALSE),"")</f>
        <v>Woodruff-Sawyer</v>
      </c>
      <c r="K161" s="1055" t="str">
        <f>IFERROR(VLOOKUP($A161,'2018'!$A:$BB,8,FALSE),"")</f>
        <v xml:space="preserve">Account Managed by Woodruff-Sawyer Team
Producer - Leslie Slay
Service Lead - Faye Konrad
</v>
      </c>
      <c r="L161" s="1062" t="str">
        <f>IFERROR(VLOOKUP($A161,'2018'!$A:$BB,9,FALSE),"")</f>
        <v>New</v>
      </c>
      <c r="M161" s="1067">
        <f>IFERROR(VLOOKUP($A161,'2018'!$A:$BB,10,FALSE),"")</f>
        <v>43282</v>
      </c>
      <c r="N161" s="1062">
        <f>IFERROR(VLOOKUP($A161,'2018'!$A:$BB,12,FALSE),"")</f>
        <v>72</v>
      </c>
      <c r="O161" s="1055" t="str">
        <f>IFERROR(VLOOKUP($A161,'2018'!$A:$BB,13,FALSE),"")</f>
        <v xml:space="preserve">IGOE </v>
      </c>
      <c r="P161" s="1055" t="str">
        <f>IFERROR(VLOOKUP($A161,'2018'!$A:$BB,14,FALSE),"")</f>
        <v>Maestro</v>
      </c>
      <c r="Q161" s="1055" t="str">
        <f>IFERROR(VLOOKUP($A161,'2018'!$A:$BB,16,FALSE),"")</f>
        <v>Superior State</v>
      </c>
      <c r="R161" s="1055" t="str">
        <f>IFERROR(VLOOKUP($A161,'2018'!$A:$BB,17,FALSE),"")</f>
        <v>Optum Health</v>
      </c>
      <c r="S161" s="1062" t="str">
        <f>IFERROR(VLOOKUP($A161,'2018'!$A:$BB,20,FALSE),"")</f>
        <v>SCAL</v>
      </c>
      <c r="T161" s="1062" t="str">
        <f>IFERROR(VLOOKUP($A161,'2018'!$A:$BB,21,FALSE),"")</f>
        <v>Group B (34-44)</v>
      </c>
      <c r="U161" s="1062" t="str">
        <f>IFERROR(VLOOKUP($A161,'2018'!$A:$BB,22,FALSE),"")</f>
        <v>Expanded</v>
      </c>
      <c r="V161" s="1062" t="str">
        <f>IFERROR(VLOOKUP($A161,'2018'!$A:$BB,23,FALSE),"")</f>
        <v>Advantage</v>
      </c>
      <c r="W161" s="1062" t="str">
        <f>IFERROR(VLOOKUP($A161,'2018'!$A:$BB,24,FALSE),"")</f>
        <v>No</v>
      </c>
      <c r="X161" s="1062" t="str">
        <f>IFERROR(VLOOKUP($A161,'2018'!$A:$BB,41,FALSE),"")</f>
        <v>Region 4</v>
      </c>
      <c r="Y161" s="1062" t="str">
        <f>IFERROR(VLOOKUP($A161,'2018'!$A:$BB,42,FALSE),"")</f>
        <v>(50-99)</v>
      </c>
      <c r="Z161" s="1062" t="str">
        <f>IFERROR(VLOOKUP($A161,'2018'!$A:$BB,45,FALSE),"")</f>
        <v xml:space="preserve"> (50-99)</v>
      </c>
      <c r="AA161" s="731">
        <v>2018</v>
      </c>
      <c r="AB161" s="1177" t="e">
        <v>#N/A</v>
      </c>
      <c r="AC161" s="734" t="s">
        <v>317</v>
      </c>
      <c r="AD161" s="727" t="s">
        <v>3648</v>
      </c>
      <c r="AE161" s="734" t="s">
        <v>307</v>
      </c>
      <c r="AF161" s="734" t="s">
        <v>113</v>
      </c>
      <c r="AG161" s="732" t="s">
        <v>3981</v>
      </c>
      <c r="AH161" s="732" t="s">
        <v>3977</v>
      </c>
      <c r="AI161" s="734">
        <v>16</v>
      </c>
      <c r="AJ161" s="748" t="s">
        <v>3985</v>
      </c>
      <c r="AK161" s="763">
        <v>909678</v>
      </c>
      <c r="AL161" s="756">
        <v>733</v>
      </c>
      <c r="AM161" s="755">
        <v>909678</v>
      </c>
      <c r="AN161" s="754">
        <f t="shared" si="37"/>
        <v>734</v>
      </c>
      <c r="AO161" s="763">
        <v>909678</v>
      </c>
      <c r="AP161" s="754">
        <f t="shared" si="38"/>
        <v>735</v>
      </c>
      <c r="AQ161" s="771" t="s">
        <v>3979</v>
      </c>
      <c r="AR161" s="732" t="s">
        <v>2661</v>
      </c>
      <c r="AS161" s="735"/>
      <c r="AT161" s="735"/>
      <c r="AU161" s="732" t="s">
        <v>3980</v>
      </c>
      <c r="AV161" s="735"/>
      <c r="AW161" s="735"/>
    </row>
    <row r="162" spans="1:49" s="739" customFormat="1">
      <c r="A162" s="736" t="s">
        <v>4560</v>
      </c>
      <c r="B162" s="736" t="s">
        <v>4560</v>
      </c>
      <c r="C162" s="736"/>
      <c r="D162" s="966"/>
      <c r="E162" s="966"/>
      <c r="F162" s="1059">
        <f>IFERROR(VLOOKUP($A162,'2018'!$A:$BB,3,FALSE),"")</f>
        <v>473557638</v>
      </c>
      <c r="G162" s="1055" t="str">
        <f>IFERROR(VLOOKUP($A162,'2018'!$A:$BB,4,FALSE),"")</f>
        <v>15821 Ventura Blvd., Suite 550
Encino, CA  91436</v>
      </c>
      <c r="H162" s="1055" t="str">
        <f>IFERROR(VLOOKUP($A162,'2018'!$A:$BB,5,FALSE),"")</f>
        <v>Robert Chilton
(818) 858-1082
rchilton@ovationfertility.com</v>
      </c>
      <c r="I162" s="1055" t="str">
        <f>IFERROR(VLOOKUP($A162,'2018'!$A:$BB,6,FALSE),"")</f>
        <v>Kris Elliott
(818) 858-1071
kelliott@ovationfertility.com</v>
      </c>
      <c r="J162" s="1055" t="str">
        <f>IFERROR(VLOOKUP($A162,'2018'!$A:$BB,7,FALSE),"")</f>
        <v>Woodruff-Sawyer</v>
      </c>
      <c r="K162" s="1055" t="str">
        <f>IFERROR(VLOOKUP($A162,'2018'!$A:$BB,8,FALSE),"")</f>
        <v xml:space="preserve">Account Managed by Woodruff-Sawyer Team
Producer - Leslie Slay
Service Lead - Faye Konrad
</v>
      </c>
      <c r="L162" s="1062" t="str">
        <f>IFERROR(VLOOKUP($A162,'2018'!$A:$BB,9,FALSE),"")</f>
        <v>New</v>
      </c>
      <c r="M162" s="1067">
        <f>IFERROR(VLOOKUP($A162,'2018'!$A:$BB,10,FALSE),"")</f>
        <v>43282</v>
      </c>
      <c r="N162" s="1062">
        <f>IFERROR(VLOOKUP($A162,'2018'!$A:$BB,12,FALSE),"")</f>
        <v>72</v>
      </c>
      <c r="O162" s="1055" t="str">
        <f>IFERROR(VLOOKUP($A162,'2018'!$A:$BB,13,FALSE),"")</f>
        <v xml:space="preserve">IGOE </v>
      </c>
      <c r="P162" s="1055" t="str">
        <f>IFERROR(VLOOKUP($A162,'2018'!$A:$BB,14,FALSE),"")</f>
        <v>Maestro</v>
      </c>
      <c r="Q162" s="1055" t="str">
        <f>IFERROR(VLOOKUP($A162,'2018'!$A:$BB,16,FALSE),"")</f>
        <v>Superior State</v>
      </c>
      <c r="R162" s="1055" t="str">
        <f>IFERROR(VLOOKUP($A162,'2018'!$A:$BB,17,FALSE),"")</f>
        <v>Optum Health</v>
      </c>
      <c r="S162" s="1062" t="str">
        <f>IFERROR(VLOOKUP($A162,'2018'!$A:$BB,20,FALSE),"")</f>
        <v>SCAL</v>
      </c>
      <c r="T162" s="1062" t="str">
        <f>IFERROR(VLOOKUP($A162,'2018'!$A:$BB,21,FALSE),"")</f>
        <v>Group B (34-44)</v>
      </c>
      <c r="U162" s="1062" t="str">
        <f>IFERROR(VLOOKUP($A162,'2018'!$A:$BB,22,FALSE),"")</f>
        <v>Expanded</v>
      </c>
      <c r="V162" s="1062" t="str">
        <f>IFERROR(VLOOKUP($A162,'2018'!$A:$BB,23,FALSE),"")</f>
        <v>Advantage</v>
      </c>
      <c r="W162" s="1062" t="str">
        <f>IFERROR(VLOOKUP($A162,'2018'!$A:$BB,24,FALSE),"")</f>
        <v>No</v>
      </c>
      <c r="X162" s="1062" t="str">
        <f>IFERROR(VLOOKUP($A162,'2018'!$A:$BB,41,FALSE),"")</f>
        <v>Region 4</v>
      </c>
      <c r="Y162" s="1062" t="str">
        <f>IFERROR(VLOOKUP($A162,'2018'!$A:$BB,42,FALSE),"")</f>
        <v>(50-99)</v>
      </c>
      <c r="Z162" s="1062" t="str">
        <f>IFERROR(VLOOKUP($A162,'2018'!$A:$BB,45,FALSE),"")</f>
        <v xml:space="preserve"> (50-99)</v>
      </c>
      <c r="AA162" s="731">
        <v>2018</v>
      </c>
      <c r="AB162" s="1177" t="e">
        <v>#N/A</v>
      </c>
      <c r="AC162" s="734" t="s">
        <v>317</v>
      </c>
      <c r="AD162" s="734" t="s">
        <v>3648</v>
      </c>
      <c r="AE162" s="734" t="s">
        <v>307</v>
      </c>
      <c r="AF162" s="734" t="s">
        <v>113</v>
      </c>
      <c r="AG162" s="732" t="s">
        <v>3981</v>
      </c>
      <c r="AH162" s="732" t="s">
        <v>3973</v>
      </c>
      <c r="AI162" s="734">
        <v>18</v>
      </c>
      <c r="AJ162" s="1201" t="s">
        <v>4067</v>
      </c>
      <c r="AK162" s="763">
        <v>909678</v>
      </c>
      <c r="AL162" s="756">
        <v>841</v>
      </c>
      <c r="AM162" s="755">
        <v>909678</v>
      </c>
      <c r="AN162" s="754">
        <f t="shared" si="37"/>
        <v>842</v>
      </c>
      <c r="AO162" s="763">
        <v>909678</v>
      </c>
      <c r="AP162" s="754">
        <f t="shared" si="38"/>
        <v>843</v>
      </c>
      <c r="AQ162" s="771" t="s">
        <v>3979</v>
      </c>
      <c r="AR162" s="732" t="s">
        <v>2661</v>
      </c>
      <c r="AS162" s="735"/>
      <c r="AT162" s="735"/>
      <c r="AU162" s="732" t="s">
        <v>3980</v>
      </c>
      <c r="AV162" s="735"/>
      <c r="AW162" s="735"/>
    </row>
    <row r="163" spans="1:49" s="739" customFormat="1">
      <c r="A163" s="736" t="s">
        <v>4560</v>
      </c>
      <c r="B163" s="736" t="s">
        <v>4560</v>
      </c>
      <c r="C163" s="736"/>
      <c r="D163" s="966"/>
      <c r="E163" s="966"/>
      <c r="F163" s="1059">
        <f>IFERROR(VLOOKUP($A163,'2018'!$A:$BB,3,FALSE),"")</f>
        <v>473557638</v>
      </c>
      <c r="G163" s="1055" t="str">
        <f>IFERROR(VLOOKUP($A163,'2018'!$A:$BB,4,FALSE),"")</f>
        <v>15821 Ventura Blvd., Suite 550
Encino, CA  91436</v>
      </c>
      <c r="H163" s="1055" t="str">
        <f>IFERROR(VLOOKUP($A163,'2018'!$A:$BB,5,FALSE),"")</f>
        <v>Robert Chilton
(818) 858-1082
rchilton@ovationfertility.com</v>
      </c>
      <c r="I163" s="1055" t="str">
        <f>IFERROR(VLOOKUP($A163,'2018'!$A:$BB,6,FALSE),"")</f>
        <v>Kris Elliott
(818) 858-1071
kelliott@ovationfertility.com</v>
      </c>
      <c r="J163" s="1055" t="str">
        <f>IFERROR(VLOOKUP($A163,'2018'!$A:$BB,7,FALSE),"")</f>
        <v>Woodruff-Sawyer</v>
      </c>
      <c r="K163" s="1055" t="str">
        <f>IFERROR(VLOOKUP($A163,'2018'!$A:$BB,8,FALSE),"")</f>
        <v xml:space="preserve">Account Managed by Woodruff-Sawyer Team
Producer - Leslie Slay
Service Lead - Faye Konrad
</v>
      </c>
      <c r="L163" s="1062" t="str">
        <f>IFERROR(VLOOKUP($A163,'2018'!$A:$BB,9,FALSE),"")</f>
        <v>New</v>
      </c>
      <c r="M163" s="1067">
        <f>IFERROR(VLOOKUP($A163,'2018'!$A:$BB,10,FALSE),"")</f>
        <v>43282</v>
      </c>
      <c r="N163" s="1062">
        <f>IFERROR(VLOOKUP($A163,'2018'!$A:$BB,12,FALSE),"")</f>
        <v>72</v>
      </c>
      <c r="O163" s="1055" t="str">
        <f>IFERROR(VLOOKUP($A163,'2018'!$A:$BB,13,FALSE),"")</f>
        <v xml:space="preserve">IGOE </v>
      </c>
      <c r="P163" s="1055" t="str">
        <f>IFERROR(VLOOKUP($A163,'2018'!$A:$BB,14,FALSE),"")</f>
        <v>Maestro</v>
      </c>
      <c r="Q163" s="1055" t="str">
        <f>IFERROR(VLOOKUP($A163,'2018'!$A:$BB,16,FALSE),"")</f>
        <v>Superior State</v>
      </c>
      <c r="R163" s="1055" t="str">
        <f>IFERROR(VLOOKUP($A163,'2018'!$A:$BB,17,FALSE),"")</f>
        <v>Optum Health</v>
      </c>
      <c r="S163" s="1062" t="str">
        <f>IFERROR(VLOOKUP($A163,'2018'!$A:$BB,20,FALSE),"")</f>
        <v>SCAL</v>
      </c>
      <c r="T163" s="1062" t="str">
        <f>IFERROR(VLOOKUP($A163,'2018'!$A:$BB,21,FALSE),"")</f>
        <v>Group B (34-44)</v>
      </c>
      <c r="U163" s="1062" t="str">
        <f>IFERROR(VLOOKUP($A163,'2018'!$A:$BB,22,FALSE),"")</f>
        <v>Expanded</v>
      </c>
      <c r="V163" s="1062" t="str">
        <f>IFERROR(VLOOKUP($A163,'2018'!$A:$BB,23,FALSE),"")</f>
        <v>Advantage</v>
      </c>
      <c r="W163" s="1062" t="str">
        <f>IFERROR(VLOOKUP($A163,'2018'!$A:$BB,24,FALSE),"")</f>
        <v>No</v>
      </c>
      <c r="X163" s="1062" t="str">
        <f>IFERROR(VLOOKUP($A163,'2018'!$A:$BB,41,FALSE),"")</f>
        <v>Region 4</v>
      </c>
      <c r="Y163" s="1062" t="str">
        <f>IFERROR(VLOOKUP($A163,'2018'!$A:$BB,42,FALSE),"")</f>
        <v>(50-99)</v>
      </c>
      <c r="Z163" s="1062" t="str">
        <f>IFERROR(VLOOKUP($A163,'2018'!$A:$BB,45,FALSE),"")</f>
        <v xml:space="preserve"> (50-99)</v>
      </c>
      <c r="AA163" s="731">
        <v>2018</v>
      </c>
      <c r="AB163" s="1177" t="e">
        <v>#N/A</v>
      </c>
      <c r="AC163" s="734" t="s">
        <v>317</v>
      </c>
      <c r="AD163" s="727" t="s">
        <v>3648</v>
      </c>
      <c r="AE163" s="734" t="s">
        <v>307</v>
      </c>
      <c r="AF163" s="734" t="s">
        <v>113</v>
      </c>
      <c r="AG163" s="732" t="s">
        <v>3981</v>
      </c>
      <c r="AH163" s="732" t="s">
        <v>3977</v>
      </c>
      <c r="AI163" s="734">
        <v>19</v>
      </c>
      <c r="AJ163" s="1201" t="s">
        <v>4069</v>
      </c>
      <c r="AK163" s="763">
        <v>909678</v>
      </c>
      <c r="AL163" s="756">
        <v>877</v>
      </c>
      <c r="AM163" s="755">
        <v>909678</v>
      </c>
      <c r="AN163" s="754">
        <f t="shared" si="37"/>
        <v>878</v>
      </c>
      <c r="AO163" s="763">
        <v>909678</v>
      </c>
      <c r="AP163" s="754">
        <f t="shared" si="38"/>
        <v>879</v>
      </c>
      <c r="AQ163" s="771" t="s">
        <v>3979</v>
      </c>
      <c r="AR163" s="732" t="s">
        <v>2661</v>
      </c>
      <c r="AS163" s="735"/>
      <c r="AT163" s="735"/>
      <c r="AU163" s="732" t="s">
        <v>3980</v>
      </c>
      <c r="AV163" s="735"/>
      <c r="AW163" s="735"/>
    </row>
    <row r="164" spans="1:49">
      <c r="A164" s="726"/>
      <c r="B164" s="726"/>
      <c r="C164" s="726"/>
      <c r="D164" s="726"/>
      <c r="E164" s="726"/>
      <c r="F164" s="1059" t="str">
        <f>IFERROR(VLOOKUP($A164,'2018'!$A:$BB,3,FALSE),"")</f>
        <v/>
      </c>
      <c r="G164" s="1055" t="str">
        <f>IFERROR(VLOOKUP($A164,'2018'!$A:$BB,4,FALSE),"")</f>
        <v/>
      </c>
      <c r="H164" s="1055" t="str">
        <f>IFERROR(VLOOKUP($A164,'2018'!$A:$BB,5,FALSE),"")</f>
        <v/>
      </c>
      <c r="I164" s="1055" t="str">
        <f>IFERROR(VLOOKUP($A164,'2018'!$A:$BB,6,FALSE),"")</f>
        <v/>
      </c>
      <c r="J164" s="1055" t="str">
        <f>IFERROR(VLOOKUP($A164,'2018'!$A:$BB,7,FALSE),"")</f>
        <v/>
      </c>
      <c r="K164" s="1055" t="str">
        <f>IFERROR(VLOOKUP($A164,'2018'!$A:$BB,8,FALSE),"")</f>
        <v/>
      </c>
      <c r="L164" s="1062" t="str">
        <f>IFERROR(VLOOKUP($A164,'2018'!$A:$BB,9,FALSE),"")</f>
        <v/>
      </c>
      <c r="M164" s="1067" t="str">
        <f>IFERROR(VLOOKUP($A164,'2018'!$A:$BB,10,FALSE),"")</f>
        <v/>
      </c>
      <c r="N164" s="1062" t="str">
        <f>IFERROR(VLOOKUP($A164,'2018'!$A:$BB,12,FALSE),"")</f>
        <v/>
      </c>
      <c r="O164" s="1055" t="str">
        <f>IFERROR(VLOOKUP($A164,'2018'!$A:$BB,13,FALSE),"")</f>
        <v/>
      </c>
      <c r="P164" s="1055" t="str">
        <f>IFERROR(VLOOKUP($A164,'2018'!$A:$BB,14,FALSE),"")</f>
        <v/>
      </c>
      <c r="Q164" s="1055" t="str">
        <f>IFERROR(VLOOKUP($A164,'2018'!$A:$BB,16,FALSE),"")</f>
        <v/>
      </c>
      <c r="R164" s="1055" t="str">
        <f>IFERROR(VLOOKUP($A164,'2018'!$A:$BB,17,FALSE),"")</f>
        <v/>
      </c>
      <c r="S164" s="1062" t="str">
        <f>IFERROR(VLOOKUP($A164,'2018'!$A:$BB,20,FALSE),"")</f>
        <v/>
      </c>
      <c r="T164" s="1062" t="str">
        <f>IFERROR(VLOOKUP($A164,'2018'!$A:$BB,21,FALSE),"")</f>
        <v/>
      </c>
      <c r="U164" s="1062" t="str">
        <f>IFERROR(VLOOKUP($A164,'2018'!$A:$BB,22,FALSE),"")</f>
        <v/>
      </c>
      <c r="V164" s="1062" t="str">
        <f>IFERROR(VLOOKUP($A164,'2018'!$A:$BB,23,FALSE),"")</f>
        <v/>
      </c>
      <c r="W164" s="1062" t="str">
        <f>IFERROR(VLOOKUP($A164,'2018'!$A:$BB,24,FALSE),"")</f>
        <v/>
      </c>
      <c r="X164" s="1062" t="str">
        <f>IFERROR(VLOOKUP($A164,'2018'!$A:$BB,41,FALSE),"")</f>
        <v/>
      </c>
      <c r="Y164" s="1062" t="str">
        <f>IFERROR(VLOOKUP($A164,'2018'!$A:$BB,42,FALSE),"")</f>
        <v/>
      </c>
      <c r="Z164" s="1062" t="str">
        <f>IFERROR(VLOOKUP($A164,'2018'!$A:$BB,45,FALSE),"")</f>
        <v/>
      </c>
      <c r="AA164" s="727"/>
      <c r="AB164" s="728"/>
      <c r="AC164" s="727"/>
      <c r="AD164" s="727"/>
      <c r="AE164" s="727"/>
      <c r="AF164" s="727"/>
      <c r="AG164" s="726"/>
      <c r="AH164" s="726"/>
      <c r="AI164" s="727"/>
      <c r="AJ164" s="747"/>
      <c r="AK164" s="753"/>
      <c r="AL164" s="754"/>
      <c r="AM164" s="753"/>
      <c r="AN164" s="754"/>
      <c r="AO164" s="776"/>
      <c r="AP164" s="754"/>
      <c r="AQ164" s="770"/>
      <c r="AR164" s="726"/>
      <c r="AS164" s="726"/>
      <c r="AT164" s="726"/>
      <c r="AU164" s="726"/>
      <c r="AV164" s="726"/>
      <c r="AW164" s="726"/>
    </row>
    <row r="165" spans="1:49">
      <c r="A165" s="1064" t="s">
        <v>136</v>
      </c>
      <c r="B165" s="726" t="s">
        <v>3714</v>
      </c>
      <c r="C165" s="726"/>
      <c r="D165" s="726" t="s">
        <v>136</v>
      </c>
      <c r="E165" s="726" t="s">
        <v>136</v>
      </c>
      <c r="F165" s="1059">
        <f>IFERROR(VLOOKUP($A165,'2018'!$A:$BB,3,FALSE),"")</f>
        <v>474065674</v>
      </c>
      <c r="G165" s="1055" t="str">
        <f>IFERROR(VLOOKUP($A165,'2018'!$A:$BB,4,FALSE),"")</f>
        <v xml:space="preserve">1490 O'Brien Drive 
Suite A 
Menlo Park, CA 94025 </v>
      </c>
      <c r="H165" s="1055" t="str">
        <f>IFERROR(VLOOKUP($A165,'2018'!$A:$BB,5,FALSE),"")</f>
        <v>Ivy Nguyen
650-352-4144
inguyen@fortyseveninc.com</v>
      </c>
      <c r="I165" s="1055" t="str">
        <f>IFERROR(VLOOKUP($A165,'2018'!$A:$BB,6,FALSE),"")</f>
        <v>Florence Zhu
650-352-4673
invoices@fortyseveninc.com</v>
      </c>
      <c r="J165" s="1055" t="str">
        <f>IFERROR(VLOOKUP($A165,'2018'!$A:$BB,7,FALSE),"")</f>
        <v>ABD</v>
      </c>
      <c r="K165" s="1055" t="str">
        <f>IFERROR(VLOOKUP($A165,'2018'!$A:$BB,8,FALSE),"")</f>
        <v xml:space="preserve">Account Managed by ABD Team
Producer-Andrea Trudeau
andrea.trudeau@theabdteam.com
Service Lead-Danielle Romero
Danielle.Romero@theabdteam.com </v>
      </c>
      <c r="L165" s="1062" t="str">
        <f>IFERROR(VLOOKUP($A165,'2018'!$A:$BB,9,FALSE),"")</f>
        <v>Renewal</v>
      </c>
      <c r="M165" s="1067">
        <f>IFERROR(VLOOKUP($A165,'2018'!$A:$BB,10,FALSE),"")</f>
        <v>42736</v>
      </c>
      <c r="N165" s="1062">
        <f>IFERROR(VLOOKUP($A165,'2018'!$A:$BB,12,FALSE),"")</f>
        <v>43</v>
      </c>
      <c r="O165" s="1055" t="str">
        <f>IFERROR(VLOOKUP($A165,'2018'!$A:$BB,13,FALSE),"")</f>
        <v xml:space="preserve">IGOE </v>
      </c>
      <c r="P165" s="1055" t="str">
        <f>IFERROR(VLOOKUP($A165,'2018'!$A:$BB,14,FALSE),"")</f>
        <v xml:space="preserve">Maestro </v>
      </c>
      <c r="Q165" s="1055" t="str">
        <f>IFERROR(VLOOKUP($A165,'2018'!$A:$BB,16,FALSE),"")</f>
        <v>N/A</v>
      </c>
      <c r="R165" s="1055" t="str">
        <f>IFERROR(VLOOKUP($A165,'2018'!$A:$BB,17,FALSE),"")</f>
        <v>N/A</v>
      </c>
      <c r="S165" s="1062" t="str">
        <f>IFERROR(VLOOKUP($A165,'2018'!$A:$BB,20,FALSE),"")</f>
        <v>NCAL</v>
      </c>
      <c r="T165" s="1062" t="str">
        <f>IFERROR(VLOOKUP($A165,'2018'!$A:$BB,21,FALSE),"")</f>
        <v>Group C (44-54)</v>
      </c>
      <c r="U165" s="1062" t="str">
        <f>IFERROR(VLOOKUP($A165,'2018'!$A:$BB,22,FALSE),"")</f>
        <v>Expanded</v>
      </c>
      <c r="V165" s="1062" t="str">
        <f>IFERROR(VLOOKUP($A165,'2018'!$A:$BB,23,FALSE),"")</f>
        <v>Advantage</v>
      </c>
      <c r="W165" s="1062" t="str">
        <f>IFERROR(VLOOKUP($A165,'2018'!$A:$BB,24,FALSE),"")</f>
        <v>No</v>
      </c>
      <c r="X165" s="1062" t="str">
        <f>IFERROR(VLOOKUP($A165,'2018'!$A:$BB,41,FALSE),"")</f>
        <v>Region 4</v>
      </c>
      <c r="Y165" s="1062" t="str">
        <f>IFERROR(VLOOKUP($A165,'2018'!$A:$BB,42,FALSE),"")</f>
        <v>(25-49)</v>
      </c>
      <c r="Z165" s="1062" t="str">
        <f>IFERROR(VLOOKUP($A165,'2018'!$A:$BB,45,FALSE),"")</f>
        <v xml:space="preserve"> (2-49)</v>
      </c>
      <c r="AA165" s="730">
        <v>2018</v>
      </c>
      <c r="AB165" s="728" t="s">
        <v>3840</v>
      </c>
      <c r="AC165" s="727" t="s">
        <v>303</v>
      </c>
      <c r="AD165" s="727" t="s">
        <v>3656</v>
      </c>
      <c r="AE165" s="727" t="s">
        <v>307</v>
      </c>
      <c r="AF165" s="727" t="s">
        <v>113</v>
      </c>
      <c r="AG165" s="726" t="s">
        <v>3962</v>
      </c>
      <c r="AH165" s="726" t="s">
        <v>3963</v>
      </c>
      <c r="AI165" s="727">
        <v>2</v>
      </c>
      <c r="AJ165" s="747" t="s">
        <v>3964</v>
      </c>
      <c r="AK165" s="753">
        <v>260080</v>
      </c>
      <c r="AL165" s="754">
        <v>181</v>
      </c>
      <c r="AM165" s="753">
        <v>260081</v>
      </c>
      <c r="AN165" s="754">
        <v>182</v>
      </c>
      <c r="AO165" s="776">
        <f t="shared" si="20"/>
        <v>260082</v>
      </c>
      <c r="AP165" s="754">
        <f t="shared" si="19"/>
        <v>183</v>
      </c>
      <c r="AQ165" s="770"/>
      <c r="AR165" s="726" t="s">
        <v>2661</v>
      </c>
      <c r="AS165" s="726" t="s">
        <v>4053</v>
      </c>
      <c r="AT165" s="726">
        <v>1810181</v>
      </c>
      <c r="AU165" s="726" t="s">
        <v>3966</v>
      </c>
      <c r="AV165" s="726" t="s">
        <v>4054</v>
      </c>
      <c r="AW165" s="726">
        <v>1820182</v>
      </c>
    </row>
    <row r="166" spans="1:49">
      <c r="A166" s="1064" t="s">
        <v>136</v>
      </c>
      <c r="B166" s="738" t="s">
        <v>3714</v>
      </c>
      <c r="C166" s="738"/>
      <c r="D166" s="738" t="s">
        <v>136</v>
      </c>
      <c r="E166" s="738" t="s">
        <v>136</v>
      </c>
      <c r="F166" s="1059">
        <f>IFERROR(VLOOKUP($A166,'2018'!$A:$BB,3,FALSE),"")</f>
        <v>474065674</v>
      </c>
      <c r="G166" s="1055" t="str">
        <f>IFERROR(VLOOKUP($A166,'2018'!$A:$BB,4,FALSE),"")</f>
        <v xml:space="preserve">1490 O'Brien Drive 
Suite A 
Menlo Park, CA 94025 </v>
      </c>
      <c r="H166" s="1055" t="str">
        <f>IFERROR(VLOOKUP($A166,'2018'!$A:$BB,5,FALSE),"")</f>
        <v>Ivy Nguyen
650-352-4144
inguyen@fortyseveninc.com</v>
      </c>
      <c r="I166" s="1055" t="str">
        <f>IFERROR(VLOOKUP($A166,'2018'!$A:$BB,6,FALSE),"")</f>
        <v>Florence Zhu
650-352-4673
invoices@fortyseveninc.com</v>
      </c>
      <c r="J166" s="1055" t="str">
        <f>IFERROR(VLOOKUP($A166,'2018'!$A:$BB,7,FALSE),"")</f>
        <v>ABD</v>
      </c>
      <c r="K166" s="1055" t="str">
        <f>IFERROR(VLOOKUP($A166,'2018'!$A:$BB,8,FALSE),"")</f>
        <v xml:space="preserve">Account Managed by ABD Team
Producer-Andrea Trudeau
andrea.trudeau@theabdteam.com
Service Lead-Danielle Romero
Danielle.Romero@theabdteam.com </v>
      </c>
      <c r="L166" s="1062" t="str">
        <f>IFERROR(VLOOKUP($A166,'2018'!$A:$BB,9,FALSE),"")</f>
        <v>Renewal</v>
      </c>
      <c r="M166" s="1067">
        <f>IFERROR(VLOOKUP($A166,'2018'!$A:$BB,10,FALSE),"")</f>
        <v>42736</v>
      </c>
      <c r="N166" s="1062">
        <f>IFERROR(VLOOKUP($A166,'2018'!$A:$BB,12,FALSE),"")</f>
        <v>43</v>
      </c>
      <c r="O166" s="1055" t="str">
        <f>IFERROR(VLOOKUP($A166,'2018'!$A:$BB,13,FALSE),"")</f>
        <v xml:space="preserve">IGOE </v>
      </c>
      <c r="P166" s="1055" t="str">
        <f>IFERROR(VLOOKUP($A166,'2018'!$A:$BB,14,FALSE),"")</f>
        <v xml:space="preserve">Maestro </v>
      </c>
      <c r="Q166" s="1055" t="str">
        <f>IFERROR(VLOOKUP($A166,'2018'!$A:$BB,16,FALSE),"")</f>
        <v>N/A</v>
      </c>
      <c r="R166" s="1055" t="str">
        <f>IFERROR(VLOOKUP($A166,'2018'!$A:$BB,17,FALSE),"")</f>
        <v>N/A</v>
      </c>
      <c r="S166" s="1062" t="str">
        <f>IFERROR(VLOOKUP($A166,'2018'!$A:$BB,20,FALSE),"")</f>
        <v>NCAL</v>
      </c>
      <c r="T166" s="1062" t="str">
        <f>IFERROR(VLOOKUP($A166,'2018'!$A:$BB,21,FALSE),"")</f>
        <v>Group C (44-54)</v>
      </c>
      <c r="U166" s="1062" t="str">
        <f>IFERROR(VLOOKUP($A166,'2018'!$A:$BB,22,FALSE),"")</f>
        <v>Expanded</v>
      </c>
      <c r="V166" s="1062" t="str">
        <f>IFERROR(VLOOKUP($A166,'2018'!$A:$BB,23,FALSE),"")</f>
        <v>Advantage</v>
      </c>
      <c r="W166" s="1062" t="str">
        <f>IFERROR(VLOOKUP($A166,'2018'!$A:$BB,24,FALSE),"")</f>
        <v>No</v>
      </c>
      <c r="X166" s="1062" t="str">
        <f>IFERROR(VLOOKUP($A166,'2018'!$A:$BB,41,FALSE),"")</f>
        <v>Region 4</v>
      </c>
      <c r="Y166" s="1062" t="str">
        <f>IFERROR(VLOOKUP($A166,'2018'!$A:$BB,42,FALSE),"")</f>
        <v>(25-49)</v>
      </c>
      <c r="Z166" s="1062" t="str">
        <f>IFERROR(VLOOKUP($A166,'2018'!$A:$BB,45,FALSE),"")</f>
        <v xml:space="preserve"> (2-49)</v>
      </c>
      <c r="AA166" s="730">
        <v>2018</v>
      </c>
      <c r="AB166" s="728" t="s">
        <v>3840</v>
      </c>
      <c r="AC166" s="727" t="s">
        <v>303</v>
      </c>
      <c r="AD166" s="727" t="s">
        <v>3656</v>
      </c>
      <c r="AE166" s="727" t="s">
        <v>307</v>
      </c>
      <c r="AF166" s="727" t="s">
        <v>113</v>
      </c>
      <c r="AG166" s="726" t="s">
        <v>3972</v>
      </c>
      <c r="AH166" s="726" t="s">
        <v>3973</v>
      </c>
      <c r="AI166" s="727">
        <v>7</v>
      </c>
      <c r="AJ166" s="747" t="s">
        <v>4001</v>
      </c>
      <c r="AK166" s="757">
        <v>909678</v>
      </c>
      <c r="AL166" s="754">
        <v>328</v>
      </c>
      <c r="AM166" s="755">
        <v>909678</v>
      </c>
      <c r="AN166" s="754">
        <v>329</v>
      </c>
      <c r="AO166" s="776">
        <f t="shared" ref="AO166:AO167" si="39">AM166</f>
        <v>909678</v>
      </c>
      <c r="AP166" s="754">
        <f t="shared" si="19"/>
        <v>330</v>
      </c>
      <c r="AQ166" s="770"/>
      <c r="AR166" s="726" t="s">
        <v>2661</v>
      </c>
      <c r="AS166" s="726" t="s">
        <v>4055</v>
      </c>
      <c r="AT166" s="726">
        <v>3280328</v>
      </c>
      <c r="AU166" s="726" t="s">
        <v>3966</v>
      </c>
      <c r="AV166" s="726" t="s">
        <v>4056</v>
      </c>
      <c r="AW166" s="726">
        <v>3290329</v>
      </c>
    </row>
    <row r="167" spans="1:49">
      <c r="A167" s="1064" t="s">
        <v>136</v>
      </c>
      <c r="B167" s="736" t="s">
        <v>3714</v>
      </c>
      <c r="C167" s="736"/>
      <c r="D167" s="736" t="s">
        <v>136</v>
      </c>
      <c r="E167" s="736" t="s">
        <v>136</v>
      </c>
      <c r="F167" s="1059">
        <f>IFERROR(VLOOKUP($A167,'2018'!$A:$BB,3,FALSE),"")</f>
        <v>474065674</v>
      </c>
      <c r="G167" s="1055" t="str">
        <f>IFERROR(VLOOKUP($A167,'2018'!$A:$BB,4,FALSE),"")</f>
        <v xml:space="preserve">1490 O'Brien Drive 
Suite A 
Menlo Park, CA 94025 </v>
      </c>
      <c r="H167" s="1055" t="str">
        <f>IFERROR(VLOOKUP($A167,'2018'!$A:$BB,5,FALSE),"")</f>
        <v>Ivy Nguyen
650-352-4144
inguyen@fortyseveninc.com</v>
      </c>
      <c r="I167" s="1055" t="str">
        <f>IFERROR(VLOOKUP($A167,'2018'!$A:$BB,6,FALSE),"")</f>
        <v>Florence Zhu
650-352-4673
invoices@fortyseveninc.com</v>
      </c>
      <c r="J167" s="1055" t="str">
        <f>IFERROR(VLOOKUP($A167,'2018'!$A:$BB,7,FALSE),"")</f>
        <v>ABD</v>
      </c>
      <c r="K167" s="1055" t="str">
        <f>IFERROR(VLOOKUP($A167,'2018'!$A:$BB,8,FALSE),"")</f>
        <v xml:space="preserve">Account Managed by ABD Team
Producer-Andrea Trudeau
andrea.trudeau@theabdteam.com
Service Lead-Danielle Romero
Danielle.Romero@theabdteam.com </v>
      </c>
      <c r="L167" s="1062" t="str">
        <f>IFERROR(VLOOKUP($A167,'2018'!$A:$BB,9,FALSE),"")</f>
        <v>Renewal</v>
      </c>
      <c r="M167" s="1067">
        <f>IFERROR(VLOOKUP($A167,'2018'!$A:$BB,10,FALSE),"")</f>
        <v>42736</v>
      </c>
      <c r="N167" s="1062">
        <f>IFERROR(VLOOKUP($A167,'2018'!$A:$BB,12,FALSE),"")</f>
        <v>43</v>
      </c>
      <c r="O167" s="1055" t="str">
        <f>IFERROR(VLOOKUP($A167,'2018'!$A:$BB,13,FALSE),"")</f>
        <v xml:space="preserve">IGOE </v>
      </c>
      <c r="P167" s="1055" t="str">
        <f>IFERROR(VLOOKUP($A167,'2018'!$A:$BB,14,FALSE),"")</f>
        <v xml:space="preserve">Maestro </v>
      </c>
      <c r="Q167" s="1055" t="str">
        <f>IFERROR(VLOOKUP($A167,'2018'!$A:$BB,16,FALSE),"")</f>
        <v>N/A</v>
      </c>
      <c r="R167" s="1055" t="str">
        <f>IFERROR(VLOOKUP($A167,'2018'!$A:$BB,17,FALSE),"")</f>
        <v>N/A</v>
      </c>
      <c r="S167" s="1062" t="str">
        <f>IFERROR(VLOOKUP($A167,'2018'!$A:$BB,20,FALSE),"")</f>
        <v>NCAL</v>
      </c>
      <c r="T167" s="1062" t="str">
        <f>IFERROR(VLOOKUP($A167,'2018'!$A:$BB,21,FALSE),"")</f>
        <v>Group C (44-54)</v>
      </c>
      <c r="U167" s="1062" t="str">
        <f>IFERROR(VLOOKUP($A167,'2018'!$A:$BB,22,FALSE),"")</f>
        <v>Expanded</v>
      </c>
      <c r="V167" s="1062" t="str">
        <f>IFERROR(VLOOKUP($A167,'2018'!$A:$BB,23,FALSE),"")</f>
        <v>Advantage</v>
      </c>
      <c r="W167" s="1062" t="str">
        <f>IFERROR(VLOOKUP($A167,'2018'!$A:$BB,24,FALSE),"")</f>
        <v>No</v>
      </c>
      <c r="X167" s="1062" t="str">
        <f>IFERROR(VLOOKUP($A167,'2018'!$A:$BB,41,FALSE),"")</f>
        <v>Region 4</v>
      </c>
      <c r="Y167" s="1062" t="str">
        <f>IFERROR(VLOOKUP($A167,'2018'!$A:$BB,42,FALSE),"")</f>
        <v>(25-49)</v>
      </c>
      <c r="Z167" s="1062" t="str">
        <f>IFERROR(VLOOKUP($A167,'2018'!$A:$BB,45,FALSE),"")</f>
        <v xml:space="preserve"> (2-49)</v>
      </c>
      <c r="AA167" s="731">
        <v>2018</v>
      </c>
      <c r="AB167" s="733" t="s">
        <v>3840</v>
      </c>
      <c r="AC167" s="734" t="s">
        <v>303</v>
      </c>
      <c r="AD167" s="734" t="s">
        <v>3656</v>
      </c>
      <c r="AE167" s="734" t="s">
        <v>307</v>
      </c>
      <c r="AF167" s="734" t="s">
        <v>113</v>
      </c>
      <c r="AG167" s="732" t="s">
        <v>3972</v>
      </c>
      <c r="AH167" s="732" t="s">
        <v>3977</v>
      </c>
      <c r="AI167" s="734">
        <v>13</v>
      </c>
      <c r="AJ167" s="748" t="s">
        <v>4004</v>
      </c>
      <c r="AK167" s="757">
        <v>909678</v>
      </c>
      <c r="AL167" s="756">
        <v>580</v>
      </c>
      <c r="AM167" s="755">
        <v>909678</v>
      </c>
      <c r="AN167" s="756">
        <v>581</v>
      </c>
      <c r="AO167" s="776">
        <f t="shared" si="39"/>
        <v>909678</v>
      </c>
      <c r="AP167" s="754">
        <f t="shared" si="19"/>
        <v>582</v>
      </c>
      <c r="AQ167" s="771" t="s">
        <v>3979</v>
      </c>
      <c r="AR167" s="732" t="s">
        <v>2661</v>
      </c>
      <c r="AS167" s="735"/>
      <c r="AT167" s="735"/>
      <c r="AU167" s="732" t="s">
        <v>3980</v>
      </c>
      <c r="AV167" s="735"/>
      <c r="AW167" s="735"/>
    </row>
    <row r="168" spans="1:49">
      <c r="A168" s="738"/>
      <c r="B168" s="738"/>
      <c r="C168" s="738"/>
      <c r="D168" s="738"/>
      <c r="E168" s="738"/>
      <c r="F168" s="1059" t="str">
        <f>IFERROR(VLOOKUP($A168,'2018'!$A:$BB,3,FALSE),"")</f>
        <v/>
      </c>
      <c r="G168" s="1055" t="str">
        <f>IFERROR(VLOOKUP($A168,'2018'!$A:$BB,4,FALSE),"")</f>
        <v/>
      </c>
      <c r="H168" s="1055" t="str">
        <f>IFERROR(VLOOKUP($A168,'2018'!$A:$BB,5,FALSE),"")</f>
        <v/>
      </c>
      <c r="I168" s="1055" t="str">
        <f>IFERROR(VLOOKUP($A168,'2018'!$A:$BB,6,FALSE),"")</f>
        <v/>
      </c>
      <c r="J168" s="1055" t="str">
        <f>IFERROR(VLOOKUP($A168,'2018'!$A:$BB,7,FALSE),"")</f>
        <v/>
      </c>
      <c r="K168" s="1055" t="str">
        <f>IFERROR(VLOOKUP($A168,'2018'!$A:$BB,8,FALSE),"")</f>
        <v/>
      </c>
      <c r="L168" s="1062" t="str">
        <f>IFERROR(VLOOKUP($A168,'2018'!$A:$BB,9,FALSE),"")</f>
        <v/>
      </c>
      <c r="M168" s="1067" t="str">
        <f>IFERROR(VLOOKUP($A168,'2018'!$A:$BB,10,FALSE),"")</f>
        <v/>
      </c>
      <c r="N168" s="1062" t="str">
        <f>IFERROR(VLOOKUP($A168,'2018'!$A:$BB,12,FALSE),"")</f>
        <v/>
      </c>
      <c r="O168" s="1055" t="str">
        <f>IFERROR(VLOOKUP($A168,'2018'!$A:$BB,13,FALSE),"")</f>
        <v/>
      </c>
      <c r="P168" s="1055" t="str">
        <f>IFERROR(VLOOKUP($A168,'2018'!$A:$BB,14,FALSE),"")</f>
        <v/>
      </c>
      <c r="Q168" s="1055" t="str">
        <f>IFERROR(VLOOKUP($A168,'2018'!$A:$BB,16,FALSE),"")</f>
        <v/>
      </c>
      <c r="R168" s="1055" t="str">
        <f>IFERROR(VLOOKUP($A168,'2018'!$A:$BB,17,FALSE),"")</f>
        <v/>
      </c>
      <c r="S168" s="1062" t="str">
        <f>IFERROR(VLOOKUP($A168,'2018'!$A:$BB,20,FALSE),"")</f>
        <v/>
      </c>
      <c r="T168" s="1062" t="str">
        <f>IFERROR(VLOOKUP($A168,'2018'!$A:$BB,21,FALSE),"")</f>
        <v/>
      </c>
      <c r="U168" s="1062" t="str">
        <f>IFERROR(VLOOKUP($A168,'2018'!$A:$BB,22,FALSE),"")</f>
        <v/>
      </c>
      <c r="V168" s="1062" t="str">
        <f>IFERROR(VLOOKUP($A168,'2018'!$A:$BB,23,FALSE),"")</f>
        <v/>
      </c>
      <c r="W168" s="1062" t="str">
        <f>IFERROR(VLOOKUP($A168,'2018'!$A:$BB,24,FALSE),"")</f>
        <v/>
      </c>
      <c r="X168" s="1062" t="str">
        <f>IFERROR(VLOOKUP($A168,'2018'!$A:$BB,41,FALSE),"")</f>
        <v/>
      </c>
      <c r="Y168" s="1062" t="str">
        <f>IFERROR(VLOOKUP($A168,'2018'!$A:$BB,42,FALSE),"")</f>
        <v/>
      </c>
      <c r="Z168" s="1062" t="str">
        <f>IFERROR(VLOOKUP($A168,'2018'!$A:$BB,45,FALSE),"")</f>
        <v/>
      </c>
      <c r="AA168" s="727"/>
      <c r="AB168" s="728"/>
      <c r="AC168" s="727"/>
      <c r="AD168" s="727"/>
      <c r="AE168" s="727"/>
      <c r="AF168" s="727"/>
      <c r="AG168" s="726"/>
      <c r="AH168" s="726"/>
      <c r="AI168" s="727"/>
      <c r="AJ168" s="747"/>
      <c r="AK168" s="753"/>
      <c r="AL168" s="754"/>
      <c r="AM168" s="753"/>
      <c r="AN168" s="754"/>
      <c r="AO168" s="776"/>
      <c r="AP168" s="754"/>
      <c r="AQ168" s="770"/>
      <c r="AR168" s="726"/>
      <c r="AS168" s="726"/>
      <c r="AT168" s="726"/>
      <c r="AU168" s="726"/>
      <c r="AV168" s="726"/>
      <c r="AW168" s="726"/>
    </row>
    <row r="169" spans="1:49">
      <c r="A169" s="736" t="s">
        <v>3612</v>
      </c>
      <c r="B169" s="736" t="s">
        <v>3612</v>
      </c>
      <c r="C169" s="736" t="s">
        <v>3613</v>
      </c>
      <c r="D169" s="736"/>
      <c r="E169" s="736"/>
      <c r="F169" s="1059">
        <f>IFERROR(VLOOKUP($A169,'2018'!$A:$BB,3,FALSE),"")</f>
        <v>383980157</v>
      </c>
      <c r="G169" s="1055" t="str">
        <f>IFERROR(VLOOKUP($A169,'2018'!$A:$BB,4,FALSE),"")</f>
        <v xml:space="preserve">11526 Sorrento Valley Road, Suite D
 San Diego, CA 92121 </v>
      </c>
      <c r="H169" s="1055" t="str">
        <f>IFERROR(VLOOKUP($A169,'2018'!$A:$BB,5,FALSE),"")</f>
        <v>Xiaohong Chen
858-232-9490
xhongchen1@gmail.com</v>
      </c>
      <c r="I169" s="1055" t="str">
        <f>IFERROR(VLOOKUP($A169,'2018'!$A:$BB,6,FALSE),"")</f>
        <v>Xiaohong Chen
858-232-9490
xhongchen1@gmail.com</v>
      </c>
      <c r="J169" s="1055" t="str">
        <f>IFERROR(VLOOKUP($A169,'2018'!$A:$BB,7,FALSE),"")</f>
        <v>HUB (San Diego)</v>
      </c>
      <c r="K169" s="1055" t="str">
        <f>IFERROR(VLOOKUP($A169,'2018'!$A:$BB,8,FALSE),"")</f>
        <v>Account Managed by HUB SD Team
Producer - Neal Cook
Service Lead - Courtney Stanley</v>
      </c>
      <c r="L169" s="1062" t="str">
        <f>IFERROR(VLOOKUP($A169,'2018'!$A:$BB,9,FALSE),"")</f>
        <v>New</v>
      </c>
      <c r="M169" s="1067">
        <f>IFERROR(VLOOKUP($A169,'2018'!$A:$BB,10,FALSE),"")</f>
        <v>43132</v>
      </c>
      <c r="N169" s="1062">
        <f>IFERROR(VLOOKUP($A169,'2018'!$A:$BB,12,FALSE),"")</f>
        <v>2</v>
      </c>
      <c r="O169" s="1055" t="str">
        <f>IFERROR(VLOOKUP($A169,'2018'!$A:$BB,13,FALSE),"")</f>
        <v xml:space="preserve">IGOE </v>
      </c>
      <c r="P169" s="1055" t="str">
        <f>IFERROR(VLOOKUP($A169,'2018'!$A:$BB,14,FALSE),"")</f>
        <v>Maestro</v>
      </c>
      <c r="Q169" s="1055" t="str">
        <f>IFERROR(VLOOKUP($A169,'2018'!$A:$BB,16,FALSE),"")</f>
        <v>N/A</v>
      </c>
      <c r="R169" s="1055" t="str">
        <f>IFERROR(VLOOKUP($A169,'2018'!$A:$BB,17,FALSE),"")</f>
        <v>Optum Health</v>
      </c>
      <c r="S169" s="1062" t="str">
        <f>IFERROR(VLOOKUP($A169,'2018'!$A:$BB,20,FALSE),"")</f>
        <v>SCAL</v>
      </c>
      <c r="T169" s="1062" t="str">
        <f>IFERROR(VLOOKUP($A169,'2018'!$A:$BB,21,FALSE),"")</f>
        <v>Group C (44-54)</v>
      </c>
      <c r="U169" s="1062" t="str">
        <f>IFERROR(VLOOKUP($A169,'2018'!$A:$BB,22,FALSE),"")</f>
        <v>Expanded</v>
      </c>
      <c r="V169" s="1062" t="str">
        <f>IFERROR(VLOOKUP($A169,'2018'!$A:$BB,23,FALSE),"")</f>
        <v>Advantage</v>
      </c>
      <c r="W169" s="1062" t="str">
        <f>IFERROR(VLOOKUP($A169,'2018'!$A:$BB,24,FALSE),"")</f>
        <v>No</v>
      </c>
      <c r="X169" s="1062" t="str">
        <f>IFERROR(VLOOKUP($A169,'2018'!$A:$BB,41,FALSE),"")</f>
        <v xml:space="preserve">Region 2 </v>
      </c>
      <c r="Y169" s="1062" t="str">
        <f>IFERROR(VLOOKUP($A169,'2018'!$A:$BB,42,FALSE),"")</f>
        <v>(2-9)</v>
      </c>
      <c r="Z169" s="1062" t="str">
        <f>IFERROR(VLOOKUP($A169,'2018'!$A:$BB,45,FALSE),"")</f>
        <v xml:space="preserve"> (2-49)</v>
      </c>
      <c r="AA169" s="731">
        <v>2018</v>
      </c>
      <c r="AB169" s="1020" t="s">
        <v>4217</v>
      </c>
      <c r="AC169" s="734" t="s">
        <v>317</v>
      </c>
      <c r="AD169" s="734" t="s">
        <v>3656</v>
      </c>
      <c r="AE169" s="734" t="s">
        <v>307</v>
      </c>
      <c r="AF169" s="734" t="s">
        <v>113</v>
      </c>
      <c r="AG169" s="732" t="s">
        <v>3981</v>
      </c>
      <c r="AH169" s="732" t="s">
        <v>3973</v>
      </c>
      <c r="AI169" s="734">
        <v>11</v>
      </c>
      <c r="AJ169" s="748" t="s">
        <v>3982</v>
      </c>
      <c r="AK169" s="757">
        <v>909678</v>
      </c>
      <c r="AL169" s="756">
        <v>484</v>
      </c>
      <c r="AM169" s="755">
        <v>909678</v>
      </c>
      <c r="AN169" s="756">
        <v>485</v>
      </c>
      <c r="AO169" s="776">
        <f t="shared" ref="AO169:AO170" si="40">AM169</f>
        <v>909678</v>
      </c>
      <c r="AP169" s="754">
        <f>AN169+1</f>
        <v>486</v>
      </c>
      <c r="AQ169" s="771" t="s">
        <v>3979</v>
      </c>
      <c r="AR169" s="732" t="s">
        <v>2661</v>
      </c>
      <c r="AS169" s="735"/>
      <c r="AT169" s="735"/>
      <c r="AU169" s="732" t="s">
        <v>3980</v>
      </c>
      <c r="AV169" s="735"/>
      <c r="AW169" s="735"/>
    </row>
    <row r="170" spans="1:49" s="739" customFormat="1">
      <c r="A170" s="736" t="s">
        <v>3612</v>
      </c>
      <c r="B170" s="736" t="s">
        <v>3612</v>
      </c>
      <c r="C170" s="736" t="s">
        <v>3613</v>
      </c>
      <c r="D170" s="736"/>
      <c r="E170" s="736"/>
      <c r="F170" s="1059">
        <f>IFERROR(VLOOKUP($A170,'2018'!$A:$BB,3,FALSE),"")</f>
        <v>383980157</v>
      </c>
      <c r="G170" s="1055" t="str">
        <f>IFERROR(VLOOKUP($A170,'2018'!$A:$BB,4,FALSE),"")</f>
        <v xml:space="preserve">11526 Sorrento Valley Road, Suite D
 San Diego, CA 92121 </v>
      </c>
      <c r="H170" s="1055" t="str">
        <f>IFERROR(VLOOKUP($A170,'2018'!$A:$BB,5,FALSE),"")</f>
        <v>Xiaohong Chen
858-232-9490
xhongchen1@gmail.com</v>
      </c>
      <c r="I170" s="1055" t="str">
        <f>IFERROR(VLOOKUP($A170,'2018'!$A:$BB,6,FALSE),"")</f>
        <v>Xiaohong Chen
858-232-9490
xhongchen1@gmail.com</v>
      </c>
      <c r="J170" s="1055" t="str">
        <f>IFERROR(VLOOKUP($A170,'2018'!$A:$BB,7,FALSE),"")</f>
        <v>HUB (San Diego)</v>
      </c>
      <c r="K170" s="1055" t="str">
        <f>IFERROR(VLOOKUP($A170,'2018'!$A:$BB,8,FALSE),"")</f>
        <v>Account Managed by HUB SD Team
Producer - Neal Cook
Service Lead - Courtney Stanley</v>
      </c>
      <c r="L170" s="1062" t="str">
        <f>IFERROR(VLOOKUP($A170,'2018'!$A:$BB,9,FALSE),"")</f>
        <v>New</v>
      </c>
      <c r="M170" s="1067">
        <f>IFERROR(VLOOKUP($A170,'2018'!$A:$BB,10,FALSE),"")</f>
        <v>43132</v>
      </c>
      <c r="N170" s="1062">
        <f>IFERROR(VLOOKUP($A170,'2018'!$A:$BB,12,FALSE),"")</f>
        <v>2</v>
      </c>
      <c r="O170" s="1055" t="str">
        <f>IFERROR(VLOOKUP($A170,'2018'!$A:$BB,13,FALSE),"")</f>
        <v xml:space="preserve">IGOE </v>
      </c>
      <c r="P170" s="1055" t="str">
        <f>IFERROR(VLOOKUP($A170,'2018'!$A:$BB,14,FALSE),"")</f>
        <v>Maestro</v>
      </c>
      <c r="Q170" s="1055" t="str">
        <f>IFERROR(VLOOKUP($A170,'2018'!$A:$BB,16,FALSE),"")</f>
        <v>N/A</v>
      </c>
      <c r="R170" s="1055" t="str">
        <f>IFERROR(VLOOKUP($A170,'2018'!$A:$BB,17,FALSE),"")</f>
        <v>Optum Health</v>
      </c>
      <c r="S170" s="1062" t="str">
        <f>IFERROR(VLOOKUP($A170,'2018'!$A:$BB,20,FALSE),"")</f>
        <v>SCAL</v>
      </c>
      <c r="T170" s="1062" t="str">
        <f>IFERROR(VLOOKUP($A170,'2018'!$A:$BB,21,FALSE),"")</f>
        <v>Group C (44-54)</v>
      </c>
      <c r="U170" s="1062" t="str">
        <f>IFERROR(VLOOKUP($A170,'2018'!$A:$BB,22,FALSE),"")</f>
        <v>Expanded</v>
      </c>
      <c r="V170" s="1062" t="str">
        <f>IFERROR(VLOOKUP($A170,'2018'!$A:$BB,23,FALSE),"")</f>
        <v>Advantage</v>
      </c>
      <c r="W170" s="1062" t="str">
        <f>IFERROR(VLOOKUP($A170,'2018'!$A:$BB,24,FALSE),"")</f>
        <v>No</v>
      </c>
      <c r="X170" s="1062" t="str">
        <f>IFERROR(VLOOKUP($A170,'2018'!$A:$BB,41,FALSE),"")</f>
        <v xml:space="preserve">Region 2 </v>
      </c>
      <c r="Y170" s="1062" t="str">
        <f>IFERROR(VLOOKUP($A170,'2018'!$A:$BB,42,FALSE),"")</f>
        <v>(2-9)</v>
      </c>
      <c r="Z170" s="1062" t="str">
        <f>IFERROR(VLOOKUP($A170,'2018'!$A:$BB,45,FALSE),"")</f>
        <v xml:space="preserve"> (2-49)</v>
      </c>
      <c r="AA170" s="731">
        <v>2018</v>
      </c>
      <c r="AB170" s="1020" t="s">
        <v>4217</v>
      </c>
      <c r="AC170" s="734" t="s">
        <v>317</v>
      </c>
      <c r="AD170" s="734" t="s">
        <v>3656</v>
      </c>
      <c r="AE170" s="734" t="s">
        <v>307</v>
      </c>
      <c r="AF170" s="734" t="s">
        <v>113</v>
      </c>
      <c r="AG170" s="732" t="s">
        <v>3981</v>
      </c>
      <c r="AH170" s="732" t="s">
        <v>3977</v>
      </c>
      <c r="AI170" s="734">
        <v>16</v>
      </c>
      <c r="AJ170" s="748" t="s">
        <v>3985</v>
      </c>
      <c r="AK170" s="757">
        <v>909678</v>
      </c>
      <c r="AL170" s="756">
        <v>736</v>
      </c>
      <c r="AM170" s="755">
        <v>909678</v>
      </c>
      <c r="AN170" s="756">
        <v>737</v>
      </c>
      <c r="AO170" s="776">
        <f t="shared" si="40"/>
        <v>909678</v>
      </c>
      <c r="AP170" s="754">
        <f>AN170+1</f>
        <v>738</v>
      </c>
      <c r="AQ170" s="771" t="s">
        <v>3979</v>
      </c>
      <c r="AR170" s="732" t="s">
        <v>2661</v>
      </c>
      <c r="AS170" s="735"/>
      <c r="AT170" s="735"/>
      <c r="AU170" s="732" t="s">
        <v>3980</v>
      </c>
      <c r="AV170" s="735"/>
      <c r="AW170" s="735"/>
    </row>
    <row r="171" spans="1:49" s="739" customFormat="1">
      <c r="A171" s="736"/>
      <c r="B171" s="736"/>
      <c r="C171" s="736"/>
      <c r="D171" s="736"/>
      <c r="E171" s="736"/>
      <c r="F171" s="1059" t="str">
        <f>IFERROR(VLOOKUP($A171,'2018'!$A:$BB,3,FALSE),"")</f>
        <v/>
      </c>
      <c r="G171" s="1055" t="str">
        <f>IFERROR(VLOOKUP($A171,'2018'!$A:$BB,4,FALSE),"")</f>
        <v/>
      </c>
      <c r="H171" s="1055" t="str">
        <f>IFERROR(VLOOKUP($A171,'2018'!$A:$BB,5,FALSE),"")</f>
        <v/>
      </c>
      <c r="I171" s="1055" t="str">
        <f>IFERROR(VLOOKUP($A171,'2018'!$A:$BB,6,FALSE),"")</f>
        <v/>
      </c>
      <c r="J171" s="1055" t="str">
        <f>IFERROR(VLOOKUP($A171,'2018'!$A:$BB,7,FALSE),"")</f>
        <v/>
      </c>
      <c r="K171" s="1055" t="str">
        <f>IFERROR(VLOOKUP($A171,'2018'!$A:$BB,8,FALSE),"")</f>
        <v/>
      </c>
      <c r="L171" s="1062" t="str">
        <f>IFERROR(VLOOKUP($A171,'2018'!$A:$BB,9,FALSE),"")</f>
        <v/>
      </c>
      <c r="M171" s="1067" t="str">
        <f>IFERROR(VLOOKUP($A171,'2018'!$A:$BB,10,FALSE),"")</f>
        <v/>
      </c>
      <c r="N171" s="1062" t="str">
        <f>IFERROR(VLOOKUP($A171,'2018'!$A:$BB,12,FALSE),"")</f>
        <v/>
      </c>
      <c r="O171" s="1055" t="str">
        <f>IFERROR(VLOOKUP($A171,'2018'!$A:$BB,13,FALSE),"")</f>
        <v/>
      </c>
      <c r="P171" s="1055" t="str">
        <f>IFERROR(VLOOKUP($A171,'2018'!$A:$BB,14,FALSE),"")</f>
        <v/>
      </c>
      <c r="Q171" s="1055" t="str">
        <f>IFERROR(VLOOKUP($A171,'2018'!$A:$BB,16,FALSE),"")</f>
        <v/>
      </c>
      <c r="R171" s="1055" t="str">
        <f>IFERROR(VLOOKUP($A171,'2018'!$A:$BB,17,FALSE),"")</f>
        <v/>
      </c>
      <c r="S171" s="1062" t="str">
        <f>IFERROR(VLOOKUP($A171,'2018'!$A:$BB,20,FALSE),"")</f>
        <v/>
      </c>
      <c r="T171" s="1062" t="str">
        <f>IFERROR(VLOOKUP($A171,'2018'!$A:$BB,21,FALSE),"")</f>
        <v/>
      </c>
      <c r="U171" s="1062" t="str">
        <f>IFERROR(VLOOKUP($A171,'2018'!$A:$BB,22,FALSE),"")</f>
        <v/>
      </c>
      <c r="V171" s="1062" t="str">
        <f>IFERROR(VLOOKUP($A171,'2018'!$A:$BB,23,FALSE),"")</f>
        <v/>
      </c>
      <c r="W171" s="1062" t="str">
        <f>IFERROR(VLOOKUP($A171,'2018'!$A:$BB,24,FALSE),"")</f>
        <v/>
      </c>
      <c r="X171" s="1062" t="str">
        <f>IFERROR(VLOOKUP($A171,'2018'!$A:$BB,41,FALSE),"")</f>
        <v/>
      </c>
      <c r="Y171" s="1062" t="str">
        <f>IFERROR(VLOOKUP($A171,'2018'!$A:$BB,42,FALSE),"")</f>
        <v/>
      </c>
      <c r="Z171" s="1062" t="str">
        <f>IFERROR(VLOOKUP($A171,'2018'!$A:$BB,45,FALSE),"")</f>
        <v/>
      </c>
      <c r="AA171" s="741"/>
      <c r="AB171" s="733"/>
      <c r="AC171" s="734"/>
      <c r="AD171" s="734"/>
      <c r="AE171" s="734"/>
      <c r="AF171" s="734"/>
      <c r="AG171" s="732"/>
      <c r="AH171" s="732"/>
      <c r="AI171" s="734"/>
      <c r="AJ171" s="748"/>
      <c r="AK171" s="758"/>
      <c r="AL171" s="756"/>
      <c r="AM171" s="753"/>
      <c r="AN171" s="754"/>
      <c r="AO171" s="776"/>
      <c r="AP171" s="754"/>
      <c r="AQ171" s="771"/>
      <c r="AR171" s="732"/>
      <c r="AS171" s="732"/>
      <c r="AT171" s="732"/>
      <c r="AU171" s="732"/>
      <c r="AV171" s="732"/>
      <c r="AW171" s="732"/>
    </row>
    <row r="172" spans="1:49">
      <c r="A172" s="738" t="s">
        <v>392</v>
      </c>
      <c r="B172" s="738" t="s">
        <v>4057</v>
      </c>
      <c r="C172" s="738"/>
      <c r="D172" s="738"/>
      <c r="E172" s="738"/>
      <c r="F172" s="1059">
        <f>IFERROR(VLOOKUP($A172,'2018'!$A:$BB,3,FALSE),"")</f>
        <v>465602509</v>
      </c>
      <c r="G172" s="1055" t="str">
        <f>IFERROR(VLOOKUP($A172,'2018'!$A:$BB,4,FALSE),"")</f>
        <v>2215 Faraday Ave. Ste H, Carlsbad, CA 92008</v>
      </c>
      <c r="H172" s="1055" t="str">
        <f>IFERROR(VLOOKUP($A172,'2018'!$A:$BB,5,FALSE),"")</f>
        <v>Monica Che
(442) 232-6571
mche@gimdx.com</v>
      </c>
      <c r="I172" s="1055" t="str">
        <f>IFERROR(VLOOKUP($A172,'2018'!$A:$BB,6,FALSE),"")</f>
        <v>Monica Che
(442) 232-6571
mche@gimdx.com</v>
      </c>
      <c r="J172" s="1055" t="str">
        <f>IFERROR(VLOOKUP($A172,'2018'!$A:$BB,7,FALSE),"")</f>
        <v>HUB (San Diego)</v>
      </c>
      <c r="K172" s="1055" t="str">
        <f>IFERROR(VLOOKUP($A172,'2018'!$A:$BB,8,FALSE),"")</f>
        <v>Account Managed by HUB SD Team
Producer - Neal Cook
Service Lead - Pam Andrakowicz</v>
      </c>
      <c r="L172" s="1062" t="str">
        <f>IFERROR(VLOOKUP($A172,'2018'!$A:$BB,9,FALSE),"")</f>
        <v>New</v>
      </c>
      <c r="M172" s="1067">
        <f>IFERROR(VLOOKUP($A172,'2018'!$A:$BB,10,FALSE),"")</f>
        <v>43101</v>
      </c>
      <c r="N172" s="1062">
        <f>IFERROR(VLOOKUP($A172,'2018'!$A:$BB,12,FALSE),"")</f>
        <v>10</v>
      </c>
      <c r="O172" s="1055" t="str">
        <f>IFERROR(VLOOKUP($A172,'2018'!$A:$BB,13,FALSE),"")</f>
        <v xml:space="preserve">IGOE </v>
      </c>
      <c r="P172" s="1055" t="str">
        <f>IFERROR(VLOOKUP($A172,'2018'!$A:$BB,14,FALSE),"")</f>
        <v>Maestro</v>
      </c>
      <c r="Q172" s="1055" t="str">
        <f>IFERROR(VLOOKUP($A172,'2018'!$A:$BB,16,FALSE),"")</f>
        <v>NA/ - Outside Vendor</v>
      </c>
      <c r="R172" s="1055" t="str">
        <f>IFERROR(VLOOKUP($A172,'2018'!$A:$BB,17,FALSE),"")</f>
        <v>Optum Health</v>
      </c>
      <c r="S172" s="1062" t="str">
        <f>IFERROR(VLOOKUP($A172,'2018'!$A:$BB,20,FALSE),"")</f>
        <v>SCAL</v>
      </c>
      <c r="T172" s="1062" t="str">
        <f>IFERROR(VLOOKUP($A172,'2018'!$A:$BB,21,FALSE),"")</f>
        <v>Group C (44-54)</v>
      </c>
      <c r="U172" s="1062" t="str">
        <f>IFERROR(VLOOKUP($A172,'2018'!$A:$BB,22,FALSE),"")</f>
        <v>Expanded</v>
      </c>
      <c r="V172" s="1062" t="str">
        <f>IFERROR(VLOOKUP($A172,'2018'!$A:$BB,23,FALSE),"")</f>
        <v>Advantage</v>
      </c>
      <c r="W172" s="1062" t="str">
        <f>IFERROR(VLOOKUP($A172,'2018'!$A:$BB,24,FALSE),"")</f>
        <v>No</v>
      </c>
      <c r="X172" s="1062" t="str">
        <f>IFERROR(VLOOKUP($A172,'2018'!$A:$BB,41,FALSE),"")</f>
        <v>Region 1</v>
      </c>
      <c r="Y172" s="1062" t="str">
        <f>IFERROR(VLOOKUP($A172,'2018'!$A:$BB,42,FALSE),"")</f>
        <v>(10-24)</v>
      </c>
      <c r="Z172" s="1062" t="str">
        <f>IFERROR(VLOOKUP($A172,'2018'!$A:$BB,45,FALSE),"")</f>
        <v xml:space="preserve"> (2-49)</v>
      </c>
      <c r="AA172" s="730">
        <v>2018</v>
      </c>
      <c r="AB172" s="728" t="s">
        <v>3843</v>
      </c>
      <c r="AC172" s="727" t="s">
        <v>317</v>
      </c>
      <c r="AD172" s="727" t="s">
        <v>3656</v>
      </c>
      <c r="AE172" s="727" t="s">
        <v>307</v>
      </c>
      <c r="AF172" s="727" t="s">
        <v>113</v>
      </c>
      <c r="AG172" s="726" t="s">
        <v>3962</v>
      </c>
      <c r="AH172" s="726" t="s">
        <v>3963</v>
      </c>
      <c r="AI172" s="727">
        <v>2</v>
      </c>
      <c r="AJ172" s="747" t="s">
        <v>3964</v>
      </c>
      <c r="AK172" s="753">
        <v>260092</v>
      </c>
      <c r="AL172" s="754">
        <v>193</v>
      </c>
      <c r="AM172" s="753">
        <v>260093</v>
      </c>
      <c r="AN172" s="754">
        <v>194</v>
      </c>
      <c r="AO172" s="776">
        <f t="shared" si="20"/>
        <v>260094</v>
      </c>
      <c r="AP172" s="754">
        <f t="shared" si="19"/>
        <v>195</v>
      </c>
      <c r="AQ172" s="770"/>
      <c r="AR172" s="726" t="s">
        <v>2661</v>
      </c>
      <c r="AS172" s="726" t="s">
        <v>3965</v>
      </c>
      <c r="AT172" s="726">
        <v>1930193</v>
      </c>
      <c r="AU172" s="726" t="s">
        <v>3980</v>
      </c>
      <c r="AV172" s="726"/>
      <c r="AW172" s="726"/>
    </row>
    <row r="173" spans="1:49">
      <c r="A173" s="738" t="s">
        <v>392</v>
      </c>
      <c r="B173" s="736" t="s">
        <v>4057</v>
      </c>
      <c r="C173" s="736"/>
      <c r="D173" s="736"/>
      <c r="E173" s="736"/>
      <c r="F173" s="1059">
        <f>IFERROR(VLOOKUP($A173,'2018'!$A:$BB,3,FALSE),"")</f>
        <v>465602509</v>
      </c>
      <c r="G173" s="1055" t="str">
        <f>IFERROR(VLOOKUP($A173,'2018'!$A:$BB,4,FALSE),"")</f>
        <v>2215 Faraday Ave. Ste H, Carlsbad, CA 92008</v>
      </c>
      <c r="H173" s="1055" t="str">
        <f>IFERROR(VLOOKUP($A173,'2018'!$A:$BB,5,FALSE),"")</f>
        <v>Monica Che
(442) 232-6571
mche@gimdx.com</v>
      </c>
      <c r="I173" s="1055" t="str">
        <f>IFERROR(VLOOKUP($A173,'2018'!$A:$BB,6,FALSE),"")</f>
        <v>Monica Che
(442) 232-6571
mche@gimdx.com</v>
      </c>
      <c r="J173" s="1055" t="str">
        <f>IFERROR(VLOOKUP($A173,'2018'!$A:$BB,7,FALSE),"")</f>
        <v>HUB (San Diego)</v>
      </c>
      <c r="K173" s="1055" t="str">
        <f>IFERROR(VLOOKUP($A173,'2018'!$A:$BB,8,FALSE),"")</f>
        <v>Account Managed by HUB SD Team
Producer - Neal Cook
Service Lead - Pam Andrakowicz</v>
      </c>
      <c r="L173" s="1062" t="str">
        <f>IFERROR(VLOOKUP($A173,'2018'!$A:$BB,9,FALSE),"")</f>
        <v>New</v>
      </c>
      <c r="M173" s="1067">
        <f>IFERROR(VLOOKUP($A173,'2018'!$A:$BB,10,FALSE),"")</f>
        <v>43101</v>
      </c>
      <c r="N173" s="1062">
        <f>IFERROR(VLOOKUP($A173,'2018'!$A:$BB,12,FALSE),"")</f>
        <v>10</v>
      </c>
      <c r="O173" s="1055" t="str">
        <f>IFERROR(VLOOKUP($A173,'2018'!$A:$BB,13,FALSE),"")</f>
        <v xml:space="preserve">IGOE </v>
      </c>
      <c r="P173" s="1055" t="str">
        <f>IFERROR(VLOOKUP($A173,'2018'!$A:$BB,14,FALSE),"")</f>
        <v>Maestro</v>
      </c>
      <c r="Q173" s="1055" t="str">
        <f>IFERROR(VLOOKUP($A173,'2018'!$A:$BB,16,FALSE),"")</f>
        <v>NA/ - Outside Vendor</v>
      </c>
      <c r="R173" s="1055" t="str">
        <f>IFERROR(VLOOKUP($A173,'2018'!$A:$BB,17,FALSE),"")</f>
        <v>Optum Health</v>
      </c>
      <c r="S173" s="1062" t="str">
        <f>IFERROR(VLOOKUP($A173,'2018'!$A:$BB,20,FALSE),"")</f>
        <v>SCAL</v>
      </c>
      <c r="T173" s="1062" t="str">
        <f>IFERROR(VLOOKUP($A173,'2018'!$A:$BB,21,FALSE),"")</f>
        <v>Group C (44-54)</v>
      </c>
      <c r="U173" s="1062" t="str">
        <f>IFERROR(VLOOKUP($A173,'2018'!$A:$BB,22,FALSE),"")</f>
        <v>Expanded</v>
      </c>
      <c r="V173" s="1062" t="str">
        <f>IFERROR(VLOOKUP($A173,'2018'!$A:$BB,23,FALSE),"")</f>
        <v>Advantage</v>
      </c>
      <c r="W173" s="1062" t="str">
        <f>IFERROR(VLOOKUP($A173,'2018'!$A:$BB,24,FALSE),"")</f>
        <v>No</v>
      </c>
      <c r="X173" s="1062" t="str">
        <f>IFERROR(VLOOKUP($A173,'2018'!$A:$BB,41,FALSE),"")</f>
        <v>Region 1</v>
      </c>
      <c r="Y173" s="1062" t="str">
        <f>IFERROR(VLOOKUP($A173,'2018'!$A:$BB,42,FALSE),"")</f>
        <v>(10-24)</v>
      </c>
      <c r="Z173" s="1062" t="str">
        <f>IFERROR(VLOOKUP($A173,'2018'!$A:$BB,45,FALSE),"")</f>
        <v xml:space="preserve"> (2-49)</v>
      </c>
      <c r="AA173" s="731">
        <v>2018</v>
      </c>
      <c r="AB173" s="733" t="s">
        <v>3843</v>
      </c>
      <c r="AC173" s="734" t="s">
        <v>317</v>
      </c>
      <c r="AD173" s="734" t="s">
        <v>3656</v>
      </c>
      <c r="AE173" s="734" t="s">
        <v>307</v>
      </c>
      <c r="AF173" s="734" t="s">
        <v>113</v>
      </c>
      <c r="AG173" s="732" t="s">
        <v>3972</v>
      </c>
      <c r="AH173" s="732" t="s">
        <v>3973</v>
      </c>
      <c r="AI173" s="734">
        <v>8</v>
      </c>
      <c r="AJ173" s="748" t="s">
        <v>3992</v>
      </c>
      <c r="AK173" s="757">
        <v>909678</v>
      </c>
      <c r="AL173" s="756">
        <v>376</v>
      </c>
      <c r="AM173" s="755">
        <v>909678</v>
      </c>
      <c r="AN173" s="756">
        <v>377</v>
      </c>
      <c r="AO173" s="776">
        <f t="shared" ref="AO173:AO176" si="41">AM173</f>
        <v>909678</v>
      </c>
      <c r="AP173" s="754">
        <f t="shared" si="19"/>
        <v>378</v>
      </c>
      <c r="AQ173" s="771" t="s">
        <v>3979</v>
      </c>
      <c r="AR173" s="732" t="s">
        <v>2661</v>
      </c>
      <c r="AS173" s="735"/>
      <c r="AT173" s="735"/>
      <c r="AU173" s="732" t="s">
        <v>3980</v>
      </c>
      <c r="AV173" s="735"/>
      <c r="AW173" s="735"/>
    </row>
    <row r="174" spans="1:49">
      <c r="A174" s="738" t="s">
        <v>392</v>
      </c>
      <c r="B174" s="736" t="s">
        <v>4057</v>
      </c>
      <c r="C174" s="736"/>
      <c r="D174" s="736"/>
      <c r="E174" s="736"/>
      <c r="F174" s="1059">
        <f>IFERROR(VLOOKUP($A174,'2018'!$A:$BB,3,FALSE),"")</f>
        <v>465602509</v>
      </c>
      <c r="G174" s="1055" t="str">
        <f>IFERROR(VLOOKUP($A174,'2018'!$A:$BB,4,FALSE),"")</f>
        <v>2215 Faraday Ave. Ste H, Carlsbad, CA 92008</v>
      </c>
      <c r="H174" s="1055" t="str">
        <f>IFERROR(VLOOKUP($A174,'2018'!$A:$BB,5,FALSE),"")</f>
        <v>Monica Che
(442) 232-6571
mche@gimdx.com</v>
      </c>
      <c r="I174" s="1055" t="str">
        <f>IFERROR(VLOOKUP($A174,'2018'!$A:$BB,6,FALSE),"")</f>
        <v>Monica Che
(442) 232-6571
mche@gimdx.com</v>
      </c>
      <c r="J174" s="1055" t="str">
        <f>IFERROR(VLOOKUP($A174,'2018'!$A:$BB,7,FALSE),"")</f>
        <v>HUB (San Diego)</v>
      </c>
      <c r="K174" s="1055" t="str">
        <f>IFERROR(VLOOKUP($A174,'2018'!$A:$BB,8,FALSE),"")</f>
        <v>Account Managed by HUB SD Team
Producer - Neal Cook
Service Lead - Pam Andrakowicz</v>
      </c>
      <c r="L174" s="1062" t="str">
        <f>IFERROR(VLOOKUP($A174,'2018'!$A:$BB,9,FALSE),"")</f>
        <v>New</v>
      </c>
      <c r="M174" s="1067">
        <f>IFERROR(VLOOKUP($A174,'2018'!$A:$BB,10,FALSE),"")</f>
        <v>43101</v>
      </c>
      <c r="N174" s="1062">
        <f>IFERROR(VLOOKUP($A174,'2018'!$A:$BB,12,FALSE),"")</f>
        <v>10</v>
      </c>
      <c r="O174" s="1055" t="str">
        <f>IFERROR(VLOOKUP($A174,'2018'!$A:$BB,13,FALSE),"")</f>
        <v xml:space="preserve">IGOE </v>
      </c>
      <c r="P174" s="1055" t="str">
        <f>IFERROR(VLOOKUP($A174,'2018'!$A:$BB,14,FALSE),"")</f>
        <v>Maestro</v>
      </c>
      <c r="Q174" s="1055" t="str">
        <f>IFERROR(VLOOKUP($A174,'2018'!$A:$BB,16,FALSE),"")</f>
        <v>NA/ - Outside Vendor</v>
      </c>
      <c r="R174" s="1055" t="str">
        <f>IFERROR(VLOOKUP($A174,'2018'!$A:$BB,17,FALSE),"")</f>
        <v>Optum Health</v>
      </c>
      <c r="S174" s="1062" t="str">
        <f>IFERROR(VLOOKUP($A174,'2018'!$A:$BB,20,FALSE),"")</f>
        <v>SCAL</v>
      </c>
      <c r="T174" s="1062" t="str">
        <f>IFERROR(VLOOKUP($A174,'2018'!$A:$BB,21,FALSE),"")</f>
        <v>Group C (44-54)</v>
      </c>
      <c r="U174" s="1062" t="str">
        <f>IFERROR(VLOOKUP($A174,'2018'!$A:$BB,22,FALSE),"")</f>
        <v>Expanded</v>
      </c>
      <c r="V174" s="1062" t="str">
        <f>IFERROR(VLOOKUP($A174,'2018'!$A:$BB,23,FALSE),"")</f>
        <v>Advantage</v>
      </c>
      <c r="W174" s="1062" t="str">
        <f>IFERROR(VLOOKUP($A174,'2018'!$A:$BB,24,FALSE),"")</f>
        <v>No</v>
      </c>
      <c r="X174" s="1062" t="str">
        <f>IFERROR(VLOOKUP($A174,'2018'!$A:$BB,41,FALSE),"")</f>
        <v>Region 1</v>
      </c>
      <c r="Y174" s="1062" t="str">
        <f>IFERROR(VLOOKUP($A174,'2018'!$A:$BB,42,FALSE),"")</f>
        <v>(10-24)</v>
      </c>
      <c r="Z174" s="1062" t="str">
        <f>IFERROR(VLOOKUP($A174,'2018'!$A:$BB,45,FALSE),"")</f>
        <v xml:space="preserve"> (2-49)</v>
      </c>
      <c r="AA174" s="731">
        <v>2018</v>
      </c>
      <c r="AB174" s="733" t="s">
        <v>3843</v>
      </c>
      <c r="AC174" s="734" t="s">
        <v>317</v>
      </c>
      <c r="AD174" s="734" t="s">
        <v>3656</v>
      </c>
      <c r="AE174" s="734" t="s">
        <v>307</v>
      </c>
      <c r="AF174" s="734" t="s">
        <v>113</v>
      </c>
      <c r="AG174" s="732" t="s">
        <v>3972</v>
      </c>
      <c r="AH174" s="732" t="s">
        <v>3977</v>
      </c>
      <c r="AI174" s="734">
        <v>14</v>
      </c>
      <c r="AJ174" s="748" t="s">
        <v>3994</v>
      </c>
      <c r="AK174" s="757">
        <v>909678</v>
      </c>
      <c r="AL174" s="756">
        <v>628</v>
      </c>
      <c r="AM174" s="755">
        <v>909678</v>
      </c>
      <c r="AN174" s="756">
        <v>629</v>
      </c>
      <c r="AO174" s="776">
        <f t="shared" si="41"/>
        <v>909678</v>
      </c>
      <c r="AP174" s="754">
        <f t="shared" si="19"/>
        <v>630</v>
      </c>
      <c r="AQ174" s="771" t="s">
        <v>3979</v>
      </c>
      <c r="AR174" s="732" t="s">
        <v>2661</v>
      </c>
      <c r="AS174" s="735"/>
      <c r="AT174" s="735"/>
      <c r="AU174" s="732" t="s">
        <v>3980</v>
      </c>
      <c r="AV174" s="735"/>
      <c r="AW174" s="735"/>
    </row>
    <row r="175" spans="1:49">
      <c r="A175" s="738" t="s">
        <v>392</v>
      </c>
      <c r="B175" s="738" t="s">
        <v>4057</v>
      </c>
      <c r="C175" s="738"/>
      <c r="D175" s="738"/>
      <c r="E175" s="738"/>
      <c r="F175" s="1059">
        <f>IFERROR(VLOOKUP($A175,'2018'!$A:$BB,3,FALSE),"")</f>
        <v>465602509</v>
      </c>
      <c r="G175" s="1055" t="str">
        <f>IFERROR(VLOOKUP($A175,'2018'!$A:$BB,4,FALSE),"")</f>
        <v>2215 Faraday Ave. Ste H, Carlsbad, CA 92008</v>
      </c>
      <c r="H175" s="1055" t="str">
        <f>IFERROR(VLOOKUP($A175,'2018'!$A:$BB,5,FALSE),"")</f>
        <v>Monica Che
(442) 232-6571
mche@gimdx.com</v>
      </c>
      <c r="I175" s="1055" t="str">
        <f>IFERROR(VLOOKUP($A175,'2018'!$A:$BB,6,FALSE),"")</f>
        <v>Monica Che
(442) 232-6571
mche@gimdx.com</v>
      </c>
      <c r="J175" s="1055" t="str">
        <f>IFERROR(VLOOKUP($A175,'2018'!$A:$BB,7,FALSE),"")</f>
        <v>HUB (San Diego)</v>
      </c>
      <c r="K175" s="1055" t="str">
        <f>IFERROR(VLOOKUP($A175,'2018'!$A:$BB,8,FALSE),"")</f>
        <v>Account Managed by HUB SD Team
Producer - Neal Cook
Service Lead - Pam Andrakowicz</v>
      </c>
      <c r="L175" s="1062" t="str">
        <f>IFERROR(VLOOKUP($A175,'2018'!$A:$BB,9,FALSE),"")</f>
        <v>New</v>
      </c>
      <c r="M175" s="1067">
        <f>IFERROR(VLOOKUP($A175,'2018'!$A:$BB,10,FALSE),"")</f>
        <v>43101</v>
      </c>
      <c r="N175" s="1062">
        <f>IFERROR(VLOOKUP($A175,'2018'!$A:$BB,12,FALSE),"")</f>
        <v>10</v>
      </c>
      <c r="O175" s="1055" t="str">
        <f>IFERROR(VLOOKUP($A175,'2018'!$A:$BB,13,FALSE),"")</f>
        <v xml:space="preserve">IGOE </v>
      </c>
      <c r="P175" s="1055" t="str">
        <f>IFERROR(VLOOKUP($A175,'2018'!$A:$BB,14,FALSE),"")</f>
        <v>Maestro</v>
      </c>
      <c r="Q175" s="1055" t="str">
        <f>IFERROR(VLOOKUP($A175,'2018'!$A:$BB,16,FALSE),"")</f>
        <v>NA/ - Outside Vendor</v>
      </c>
      <c r="R175" s="1055" t="str">
        <f>IFERROR(VLOOKUP($A175,'2018'!$A:$BB,17,FALSE),"")</f>
        <v>Optum Health</v>
      </c>
      <c r="S175" s="1062" t="str">
        <f>IFERROR(VLOOKUP($A175,'2018'!$A:$BB,20,FALSE),"")</f>
        <v>SCAL</v>
      </c>
      <c r="T175" s="1062" t="str">
        <f>IFERROR(VLOOKUP($A175,'2018'!$A:$BB,21,FALSE),"")</f>
        <v>Group C (44-54)</v>
      </c>
      <c r="U175" s="1062" t="str">
        <f>IFERROR(VLOOKUP($A175,'2018'!$A:$BB,22,FALSE),"")</f>
        <v>Expanded</v>
      </c>
      <c r="V175" s="1062" t="str">
        <f>IFERROR(VLOOKUP($A175,'2018'!$A:$BB,23,FALSE),"")</f>
        <v>Advantage</v>
      </c>
      <c r="W175" s="1062" t="str">
        <f>IFERROR(VLOOKUP($A175,'2018'!$A:$BB,24,FALSE),"")</f>
        <v>No</v>
      </c>
      <c r="X175" s="1062" t="str">
        <f>IFERROR(VLOOKUP($A175,'2018'!$A:$BB,41,FALSE),"")</f>
        <v>Region 1</v>
      </c>
      <c r="Y175" s="1062" t="str">
        <f>IFERROR(VLOOKUP($A175,'2018'!$A:$BB,42,FALSE),"")</f>
        <v>(10-24)</v>
      </c>
      <c r="Z175" s="1062" t="str">
        <f>IFERROR(VLOOKUP($A175,'2018'!$A:$BB,45,FALSE),"")</f>
        <v xml:space="preserve"> (2-49)</v>
      </c>
      <c r="AA175" s="730">
        <v>2018</v>
      </c>
      <c r="AB175" s="728" t="s">
        <v>3843</v>
      </c>
      <c r="AC175" s="727" t="s">
        <v>317</v>
      </c>
      <c r="AD175" s="727" t="s">
        <v>3656</v>
      </c>
      <c r="AE175" s="727" t="s">
        <v>307</v>
      </c>
      <c r="AF175" s="727" t="s">
        <v>113</v>
      </c>
      <c r="AG175" s="726" t="s">
        <v>3981</v>
      </c>
      <c r="AH175" s="726" t="s">
        <v>3973</v>
      </c>
      <c r="AI175" s="727">
        <v>11</v>
      </c>
      <c r="AJ175" s="747" t="s">
        <v>3982</v>
      </c>
      <c r="AK175" s="757">
        <v>909678</v>
      </c>
      <c r="AL175" s="754">
        <v>484</v>
      </c>
      <c r="AM175" s="755">
        <v>909678</v>
      </c>
      <c r="AN175" s="754">
        <v>485</v>
      </c>
      <c r="AO175" s="776">
        <f t="shared" si="41"/>
        <v>909678</v>
      </c>
      <c r="AP175" s="754">
        <f t="shared" si="19"/>
        <v>486</v>
      </c>
      <c r="AQ175" s="770"/>
      <c r="AR175" s="726" t="s">
        <v>2661</v>
      </c>
      <c r="AS175" s="726" t="s">
        <v>3983</v>
      </c>
      <c r="AT175" s="726">
        <v>4840484</v>
      </c>
      <c r="AU175" s="726" t="s">
        <v>3980</v>
      </c>
      <c r="AV175" s="726"/>
      <c r="AW175" s="726"/>
    </row>
    <row r="176" spans="1:49">
      <c r="A176" s="738" t="s">
        <v>392</v>
      </c>
      <c r="B176" s="736" t="s">
        <v>4057</v>
      </c>
      <c r="C176" s="736"/>
      <c r="D176" s="736"/>
      <c r="E176" s="736"/>
      <c r="F176" s="1059">
        <f>IFERROR(VLOOKUP($A176,'2018'!$A:$BB,3,FALSE),"")</f>
        <v>465602509</v>
      </c>
      <c r="G176" s="1055" t="str">
        <f>IFERROR(VLOOKUP($A176,'2018'!$A:$BB,4,FALSE),"")</f>
        <v>2215 Faraday Ave. Ste H, Carlsbad, CA 92008</v>
      </c>
      <c r="H176" s="1055" t="str">
        <f>IFERROR(VLOOKUP($A176,'2018'!$A:$BB,5,FALSE),"")</f>
        <v>Monica Che
(442) 232-6571
mche@gimdx.com</v>
      </c>
      <c r="I176" s="1055" t="str">
        <f>IFERROR(VLOOKUP($A176,'2018'!$A:$BB,6,FALSE),"")</f>
        <v>Monica Che
(442) 232-6571
mche@gimdx.com</v>
      </c>
      <c r="J176" s="1055" t="str">
        <f>IFERROR(VLOOKUP($A176,'2018'!$A:$BB,7,FALSE),"")</f>
        <v>HUB (San Diego)</v>
      </c>
      <c r="K176" s="1055" t="str">
        <f>IFERROR(VLOOKUP($A176,'2018'!$A:$BB,8,FALSE),"")</f>
        <v>Account Managed by HUB SD Team
Producer - Neal Cook
Service Lead - Pam Andrakowicz</v>
      </c>
      <c r="L176" s="1062" t="str">
        <f>IFERROR(VLOOKUP($A176,'2018'!$A:$BB,9,FALSE),"")</f>
        <v>New</v>
      </c>
      <c r="M176" s="1067">
        <f>IFERROR(VLOOKUP($A176,'2018'!$A:$BB,10,FALSE),"")</f>
        <v>43101</v>
      </c>
      <c r="N176" s="1062">
        <f>IFERROR(VLOOKUP($A176,'2018'!$A:$BB,12,FALSE),"")</f>
        <v>10</v>
      </c>
      <c r="O176" s="1055" t="str">
        <f>IFERROR(VLOOKUP($A176,'2018'!$A:$BB,13,FALSE),"")</f>
        <v xml:space="preserve">IGOE </v>
      </c>
      <c r="P176" s="1055" t="str">
        <f>IFERROR(VLOOKUP($A176,'2018'!$A:$BB,14,FALSE),"")</f>
        <v>Maestro</v>
      </c>
      <c r="Q176" s="1055" t="str">
        <f>IFERROR(VLOOKUP($A176,'2018'!$A:$BB,16,FALSE),"")</f>
        <v>NA/ - Outside Vendor</v>
      </c>
      <c r="R176" s="1055" t="str">
        <f>IFERROR(VLOOKUP($A176,'2018'!$A:$BB,17,FALSE),"")</f>
        <v>Optum Health</v>
      </c>
      <c r="S176" s="1062" t="str">
        <f>IFERROR(VLOOKUP($A176,'2018'!$A:$BB,20,FALSE),"")</f>
        <v>SCAL</v>
      </c>
      <c r="T176" s="1062" t="str">
        <f>IFERROR(VLOOKUP($A176,'2018'!$A:$BB,21,FALSE),"")</f>
        <v>Group C (44-54)</v>
      </c>
      <c r="U176" s="1062" t="str">
        <f>IFERROR(VLOOKUP($A176,'2018'!$A:$BB,22,FALSE),"")</f>
        <v>Expanded</v>
      </c>
      <c r="V176" s="1062" t="str">
        <f>IFERROR(VLOOKUP($A176,'2018'!$A:$BB,23,FALSE),"")</f>
        <v>Advantage</v>
      </c>
      <c r="W176" s="1062" t="str">
        <f>IFERROR(VLOOKUP($A176,'2018'!$A:$BB,24,FALSE),"")</f>
        <v>No</v>
      </c>
      <c r="X176" s="1062" t="str">
        <f>IFERROR(VLOOKUP($A176,'2018'!$A:$BB,41,FALSE),"")</f>
        <v>Region 1</v>
      </c>
      <c r="Y176" s="1062" t="str">
        <f>IFERROR(VLOOKUP($A176,'2018'!$A:$BB,42,FALSE),"")</f>
        <v>(10-24)</v>
      </c>
      <c r="Z176" s="1062" t="str">
        <f>IFERROR(VLOOKUP($A176,'2018'!$A:$BB,45,FALSE),"")</f>
        <v xml:space="preserve"> (2-49)</v>
      </c>
      <c r="AA176" s="731">
        <v>2018</v>
      </c>
      <c r="AB176" s="733" t="s">
        <v>3843</v>
      </c>
      <c r="AC176" s="734" t="s">
        <v>317</v>
      </c>
      <c r="AD176" s="734" t="s">
        <v>3656</v>
      </c>
      <c r="AE176" s="734" t="s">
        <v>307</v>
      </c>
      <c r="AF176" s="734" t="s">
        <v>113</v>
      </c>
      <c r="AG176" s="732" t="s">
        <v>3981</v>
      </c>
      <c r="AH176" s="732" t="s">
        <v>3977</v>
      </c>
      <c r="AI176" s="734">
        <v>16</v>
      </c>
      <c r="AJ176" s="748" t="s">
        <v>3985</v>
      </c>
      <c r="AK176" s="757">
        <v>909678</v>
      </c>
      <c r="AL176" s="756">
        <v>736</v>
      </c>
      <c r="AM176" s="755">
        <v>909678</v>
      </c>
      <c r="AN176" s="756">
        <v>737</v>
      </c>
      <c r="AO176" s="776">
        <f t="shared" si="41"/>
        <v>909678</v>
      </c>
      <c r="AP176" s="754">
        <f t="shared" si="19"/>
        <v>738</v>
      </c>
      <c r="AQ176" s="771" t="s">
        <v>3979</v>
      </c>
      <c r="AR176" s="732" t="s">
        <v>2661</v>
      </c>
      <c r="AS176" s="735"/>
      <c r="AT176" s="735"/>
      <c r="AU176" s="732" t="s">
        <v>3980</v>
      </c>
      <c r="AV176" s="735"/>
      <c r="AW176" s="735"/>
    </row>
    <row r="177" spans="1:49">
      <c r="A177" s="738"/>
      <c r="B177" s="738"/>
      <c r="C177" s="738"/>
      <c r="D177" s="738"/>
      <c r="E177" s="738"/>
      <c r="F177" s="1059" t="str">
        <f>IFERROR(VLOOKUP($A177,'2018'!$A:$BB,3,FALSE),"")</f>
        <v/>
      </c>
      <c r="G177" s="1055" t="str">
        <f>IFERROR(VLOOKUP($A177,'2018'!$A:$BB,4,FALSE),"")</f>
        <v/>
      </c>
      <c r="H177" s="1055" t="str">
        <f>IFERROR(VLOOKUP($A177,'2018'!$A:$BB,5,FALSE),"")</f>
        <v/>
      </c>
      <c r="I177" s="1055" t="str">
        <f>IFERROR(VLOOKUP($A177,'2018'!$A:$BB,6,FALSE),"")</f>
        <v/>
      </c>
      <c r="J177" s="1055" t="str">
        <f>IFERROR(VLOOKUP($A177,'2018'!$A:$BB,7,FALSE),"")</f>
        <v/>
      </c>
      <c r="K177" s="1055" t="str">
        <f>IFERROR(VLOOKUP($A177,'2018'!$A:$BB,8,FALSE),"")</f>
        <v/>
      </c>
      <c r="L177" s="1062" t="str">
        <f>IFERROR(VLOOKUP($A177,'2018'!$A:$BB,9,FALSE),"")</f>
        <v/>
      </c>
      <c r="M177" s="1067" t="str">
        <f>IFERROR(VLOOKUP($A177,'2018'!$A:$BB,10,FALSE),"")</f>
        <v/>
      </c>
      <c r="N177" s="1062" t="str">
        <f>IFERROR(VLOOKUP($A177,'2018'!$A:$BB,12,FALSE),"")</f>
        <v/>
      </c>
      <c r="O177" s="1055" t="str">
        <f>IFERROR(VLOOKUP($A177,'2018'!$A:$BB,13,FALSE),"")</f>
        <v/>
      </c>
      <c r="P177" s="1055" t="str">
        <f>IFERROR(VLOOKUP($A177,'2018'!$A:$BB,14,FALSE),"")</f>
        <v/>
      </c>
      <c r="Q177" s="1055" t="str">
        <f>IFERROR(VLOOKUP($A177,'2018'!$A:$BB,16,FALSE),"")</f>
        <v/>
      </c>
      <c r="R177" s="1055" t="str">
        <f>IFERROR(VLOOKUP($A177,'2018'!$A:$BB,17,FALSE),"")</f>
        <v/>
      </c>
      <c r="S177" s="1062" t="str">
        <f>IFERROR(VLOOKUP($A177,'2018'!$A:$BB,20,FALSE),"")</f>
        <v/>
      </c>
      <c r="T177" s="1062" t="str">
        <f>IFERROR(VLOOKUP($A177,'2018'!$A:$BB,21,FALSE),"")</f>
        <v/>
      </c>
      <c r="U177" s="1062" t="str">
        <f>IFERROR(VLOOKUP($A177,'2018'!$A:$BB,22,FALSE),"")</f>
        <v/>
      </c>
      <c r="V177" s="1062" t="str">
        <f>IFERROR(VLOOKUP($A177,'2018'!$A:$BB,23,FALSE),"")</f>
        <v/>
      </c>
      <c r="W177" s="1062" t="str">
        <f>IFERROR(VLOOKUP($A177,'2018'!$A:$BB,24,FALSE),"")</f>
        <v/>
      </c>
      <c r="X177" s="1062" t="str">
        <f>IFERROR(VLOOKUP($A177,'2018'!$A:$BB,41,FALSE),"")</f>
        <v/>
      </c>
      <c r="Y177" s="1062" t="str">
        <f>IFERROR(VLOOKUP($A177,'2018'!$A:$BB,42,FALSE),"")</f>
        <v/>
      </c>
      <c r="Z177" s="1062" t="str">
        <f>IFERROR(VLOOKUP($A177,'2018'!$A:$BB,45,FALSE),"")</f>
        <v/>
      </c>
      <c r="AA177" s="727"/>
      <c r="AB177" s="728"/>
      <c r="AC177" s="727"/>
      <c r="AD177" s="727"/>
      <c r="AE177" s="727"/>
      <c r="AF177" s="727"/>
      <c r="AG177" s="726"/>
      <c r="AH177" s="726"/>
      <c r="AI177" s="727"/>
      <c r="AJ177" s="747"/>
      <c r="AK177" s="753"/>
      <c r="AL177" s="754"/>
      <c r="AM177" s="753"/>
      <c r="AN177" s="754"/>
      <c r="AO177" s="776"/>
      <c r="AP177" s="754"/>
      <c r="AQ177" s="770"/>
      <c r="AR177" s="726"/>
      <c r="AS177" s="726"/>
      <c r="AT177" s="726"/>
      <c r="AU177" s="726"/>
      <c r="AV177" s="726"/>
      <c r="AW177" s="726"/>
    </row>
    <row r="178" spans="1:49">
      <c r="A178" s="738" t="s">
        <v>1260</v>
      </c>
      <c r="B178" s="738" t="s">
        <v>1260</v>
      </c>
      <c r="C178" s="738"/>
      <c r="D178" s="738" t="s">
        <v>3716</v>
      </c>
      <c r="E178" s="738" t="s">
        <v>3716</v>
      </c>
      <c r="F178" s="1059">
        <f>IFERROR(VLOOKUP($A178,'2018'!$A:$BB,3,FALSE),"")</f>
        <v>273873317</v>
      </c>
      <c r="G178" s="1055" t="str">
        <f>IFERROR(VLOOKUP($A178,'2018'!$A:$BB,4,FALSE),"")</f>
        <v>303 Bryant St.
Mountain View, CA 94041</v>
      </c>
      <c r="H178" s="1055" t="str">
        <f>IFERROR(VLOOKUP($A178,'2018'!$A:$BB,5,FALSE),"")</f>
        <v>Vanessa Gutierrez
650-720-5310
Vanessa@glooko.com</v>
      </c>
      <c r="I178" s="1055" t="str">
        <f>IFERROR(VLOOKUP($A178,'2018'!$A:$BB,6,FALSE),"")</f>
        <v>Annie Wayne
650-720-5310
Annie@glooko.com</v>
      </c>
      <c r="J178" s="1055" t="str">
        <f>IFERROR(VLOOKUP($A178,'2018'!$A:$BB,7,FALSE),"")</f>
        <v>Woodruff-Sawyer</v>
      </c>
      <c r="K178" s="1055" t="str">
        <f>IFERROR(VLOOKUP($A178,'2018'!$A:$BB,8,FALSE),"")</f>
        <v xml:space="preserve">Account Managed by Woodruff-Sawyer Team
Producer - Sheila Villaroman
Service Lead - Kimmy Fung
</v>
      </c>
      <c r="L178" s="1062" t="str">
        <f>IFERROR(VLOOKUP($A178,'2018'!$A:$BB,9,FALSE),"")</f>
        <v>New</v>
      </c>
      <c r="M178" s="1067">
        <f>IFERROR(VLOOKUP($A178,'2018'!$A:$BB,10,FALSE),"")</f>
        <v>43101</v>
      </c>
      <c r="N178" s="1062">
        <f>IFERROR(VLOOKUP($A178,'2018'!$A:$BB,12,FALSE),"")</f>
        <v>84</v>
      </c>
      <c r="O178" s="1055" t="str">
        <f>IFERROR(VLOOKUP($A178,'2018'!$A:$BB,13,FALSE),"")</f>
        <v xml:space="preserve">IGOE </v>
      </c>
      <c r="P178" s="1055" t="str">
        <f>IFERROR(VLOOKUP($A178,'2018'!$A:$BB,14,FALSE),"")</f>
        <v>Maestro</v>
      </c>
      <c r="Q178" s="1055" t="str">
        <f>IFERROR(VLOOKUP($A178,'2018'!$A:$BB,16,FALSE),"")</f>
        <v>IGOE</v>
      </c>
      <c r="R178" s="1055" t="str">
        <f>IFERROR(VLOOKUP($A178,'2018'!$A:$BB,17,FALSE),"")</f>
        <v>Optum Health</v>
      </c>
      <c r="S178" s="1062" t="str">
        <f>IFERROR(VLOOKUP($A178,'2018'!$A:$BB,20,FALSE),"")</f>
        <v>NCAL</v>
      </c>
      <c r="T178" s="1062" t="str">
        <f>IFERROR(VLOOKUP($A178,'2018'!$A:$BB,21,FALSE),"")</f>
        <v>Group B (34-44)</v>
      </c>
      <c r="U178" s="1062" t="str">
        <f>IFERROR(VLOOKUP($A178,'2018'!$A:$BB,22,FALSE),"")</f>
        <v>Expanded</v>
      </c>
      <c r="V178" s="1062" t="str">
        <f>IFERROR(VLOOKUP($A178,'2018'!$A:$BB,23,FALSE),"")</f>
        <v>Advantage</v>
      </c>
      <c r="W178" s="1062" t="str">
        <f>IFERROR(VLOOKUP($A178,'2018'!$A:$BB,24,FALSE),"")</f>
        <v>No</v>
      </c>
      <c r="X178" s="1062" t="str">
        <f>IFERROR(VLOOKUP($A178,'2018'!$A:$BB,41,FALSE),"")</f>
        <v>Region 3</v>
      </c>
      <c r="Y178" s="1062" t="str">
        <f>IFERROR(VLOOKUP($A178,'2018'!$A:$BB,42,FALSE),"")</f>
        <v>(50-99)</v>
      </c>
      <c r="Z178" s="1062" t="str">
        <f>IFERROR(VLOOKUP($A178,'2018'!$A:$BB,45,FALSE),"")</f>
        <v>(50-99)</v>
      </c>
      <c r="AA178" s="730">
        <v>2018</v>
      </c>
      <c r="AB178" s="728" t="s">
        <v>3846</v>
      </c>
      <c r="AC178" s="727" t="s">
        <v>303</v>
      </c>
      <c r="AD178" s="727" t="s">
        <v>3648</v>
      </c>
      <c r="AE178" s="727" t="s">
        <v>307</v>
      </c>
      <c r="AF178" s="727" t="s">
        <v>113</v>
      </c>
      <c r="AG178" s="726" t="s">
        <v>3962</v>
      </c>
      <c r="AH178" s="726" t="s">
        <v>3963</v>
      </c>
      <c r="AI178" s="727">
        <v>2</v>
      </c>
      <c r="AJ178" s="747" t="s">
        <v>3964</v>
      </c>
      <c r="AK178" s="753">
        <v>260077</v>
      </c>
      <c r="AL178" s="754">
        <v>178</v>
      </c>
      <c r="AM178" s="753">
        <v>260078</v>
      </c>
      <c r="AN178" s="754">
        <v>179</v>
      </c>
      <c r="AO178" s="776">
        <f t="shared" si="20"/>
        <v>260079</v>
      </c>
      <c r="AP178" s="754">
        <f t="shared" si="19"/>
        <v>180</v>
      </c>
      <c r="AQ178" s="770"/>
      <c r="AR178" s="726" t="s">
        <v>2661</v>
      </c>
      <c r="AS178" s="726" t="s">
        <v>3965</v>
      </c>
      <c r="AT178" s="726">
        <v>1780178</v>
      </c>
      <c r="AU178" s="726" t="s">
        <v>3966</v>
      </c>
      <c r="AV178" s="726" t="s">
        <v>4058</v>
      </c>
      <c r="AW178" s="726">
        <v>1790179</v>
      </c>
    </row>
    <row r="179" spans="1:49">
      <c r="A179" s="738" t="s">
        <v>1260</v>
      </c>
      <c r="B179" s="738" t="s">
        <v>1260</v>
      </c>
      <c r="C179" s="738"/>
      <c r="D179" s="738" t="s">
        <v>3716</v>
      </c>
      <c r="E179" s="738" t="s">
        <v>3716</v>
      </c>
      <c r="F179" s="1059">
        <f>IFERROR(VLOOKUP($A179,'2018'!$A:$BB,3,FALSE),"")</f>
        <v>273873317</v>
      </c>
      <c r="G179" s="1055" t="str">
        <f>IFERROR(VLOOKUP($A179,'2018'!$A:$BB,4,FALSE),"")</f>
        <v>303 Bryant St.
Mountain View, CA 94041</v>
      </c>
      <c r="H179" s="1055" t="str">
        <f>IFERROR(VLOOKUP($A179,'2018'!$A:$BB,5,FALSE),"")</f>
        <v>Vanessa Gutierrez
650-720-5310
Vanessa@glooko.com</v>
      </c>
      <c r="I179" s="1055" t="str">
        <f>IFERROR(VLOOKUP($A179,'2018'!$A:$BB,6,FALSE),"")</f>
        <v>Annie Wayne
650-720-5310
Annie@glooko.com</v>
      </c>
      <c r="J179" s="1055" t="str">
        <f>IFERROR(VLOOKUP($A179,'2018'!$A:$BB,7,FALSE),"")</f>
        <v>Woodruff-Sawyer</v>
      </c>
      <c r="K179" s="1055" t="str">
        <f>IFERROR(VLOOKUP($A179,'2018'!$A:$BB,8,FALSE),"")</f>
        <v xml:space="preserve">Account Managed by Woodruff-Sawyer Team
Producer - Sheila Villaroman
Service Lead - Kimmy Fung
</v>
      </c>
      <c r="L179" s="1062" t="str">
        <f>IFERROR(VLOOKUP($A179,'2018'!$A:$BB,9,FALSE),"")</f>
        <v>New</v>
      </c>
      <c r="M179" s="1067">
        <f>IFERROR(VLOOKUP($A179,'2018'!$A:$BB,10,FALSE),"")</f>
        <v>43101</v>
      </c>
      <c r="N179" s="1062">
        <f>IFERROR(VLOOKUP($A179,'2018'!$A:$BB,12,FALSE),"")</f>
        <v>84</v>
      </c>
      <c r="O179" s="1055" t="str">
        <f>IFERROR(VLOOKUP($A179,'2018'!$A:$BB,13,FALSE),"")</f>
        <v xml:space="preserve">IGOE </v>
      </c>
      <c r="P179" s="1055" t="str">
        <f>IFERROR(VLOOKUP($A179,'2018'!$A:$BB,14,FALSE),"")</f>
        <v>Maestro</v>
      </c>
      <c r="Q179" s="1055" t="str">
        <f>IFERROR(VLOOKUP($A179,'2018'!$A:$BB,16,FALSE),"")</f>
        <v>IGOE</v>
      </c>
      <c r="R179" s="1055" t="str">
        <f>IFERROR(VLOOKUP($A179,'2018'!$A:$BB,17,FALSE),"")</f>
        <v>Optum Health</v>
      </c>
      <c r="S179" s="1062" t="str">
        <f>IFERROR(VLOOKUP($A179,'2018'!$A:$BB,20,FALSE),"")</f>
        <v>NCAL</v>
      </c>
      <c r="T179" s="1062" t="str">
        <f>IFERROR(VLOOKUP($A179,'2018'!$A:$BB,21,FALSE),"")</f>
        <v>Group B (34-44)</v>
      </c>
      <c r="U179" s="1062" t="str">
        <f>IFERROR(VLOOKUP($A179,'2018'!$A:$BB,22,FALSE),"")</f>
        <v>Expanded</v>
      </c>
      <c r="V179" s="1062" t="str">
        <f>IFERROR(VLOOKUP($A179,'2018'!$A:$BB,23,FALSE),"")</f>
        <v>Advantage</v>
      </c>
      <c r="W179" s="1062" t="str">
        <f>IFERROR(VLOOKUP($A179,'2018'!$A:$BB,24,FALSE),"")</f>
        <v>No</v>
      </c>
      <c r="X179" s="1062" t="str">
        <f>IFERROR(VLOOKUP($A179,'2018'!$A:$BB,41,FALSE),"")</f>
        <v>Region 3</v>
      </c>
      <c r="Y179" s="1062" t="str">
        <f>IFERROR(VLOOKUP($A179,'2018'!$A:$BB,42,FALSE),"")</f>
        <v>(50-99)</v>
      </c>
      <c r="Z179" s="1062" t="str">
        <f>IFERROR(VLOOKUP($A179,'2018'!$A:$BB,45,FALSE),"")</f>
        <v>(50-99)</v>
      </c>
      <c r="AA179" s="730">
        <v>2018</v>
      </c>
      <c r="AB179" s="728" t="s">
        <v>3846</v>
      </c>
      <c r="AC179" s="727" t="s">
        <v>303</v>
      </c>
      <c r="AD179" s="727" t="s">
        <v>3648</v>
      </c>
      <c r="AE179" s="727" t="s">
        <v>307</v>
      </c>
      <c r="AF179" s="727" t="s">
        <v>113</v>
      </c>
      <c r="AG179" s="726" t="s">
        <v>3972</v>
      </c>
      <c r="AH179" s="726" t="s">
        <v>3973</v>
      </c>
      <c r="AI179" s="727">
        <v>8</v>
      </c>
      <c r="AJ179" s="747" t="s">
        <v>3992</v>
      </c>
      <c r="AK179" s="757">
        <v>909678</v>
      </c>
      <c r="AL179" s="754">
        <v>361</v>
      </c>
      <c r="AM179" s="755">
        <v>909678</v>
      </c>
      <c r="AN179" s="754">
        <v>362</v>
      </c>
      <c r="AO179" s="776">
        <f t="shared" ref="AO179:AO182" si="42">AM179</f>
        <v>909678</v>
      </c>
      <c r="AP179" s="754">
        <f t="shared" si="19"/>
        <v>363</v>
      </c>
      <c r="AQ179" s="770"/>
      <c r="AR179" s="726" t="s">
        <v>2661</v>
      </c>
      <c r="AS179" s="726" t="s">
        <v>4007</v>
      </c>
      <c r="AT179" s="726">
        <v>3610361</v>
      </c>
      <c r="AU179" s="726" t="s">
        <v>3966</v>
      </c>
      <c r="AV179" s="726" t="s">
        <v>4059</v>
      </c>
      <c r="AW179" s="726">
        <v>3620362</v>
      </c>
    </row>
    <row r="180" spans="1:49">
      <c r="A180" s="738" t="s">
        <v>1260</v>
      </c>
      <c r="B180" s="738" t="s">
        <v>1260</v>
      </c>
      <c r="C180" s="738"/>
      <c r="D180" s="738" t="s">
        <v>3716</v>
      </c>
      <c r="E180" s="738" t="s">
        <v>3716</v>
      </c>
      <c r="F180" s="1059">
        <f>IFERROR(VLOOKUP($A180,'2018'!$A:$BB,3,FALSE),"")</f>
        <v>273873317</v>
      </c>
      <c r="G180" s="1055" t="str">
        <f>IFERROR(VLOOKUP($A180,'2018'!$A:$BB,4,FALSE),"")</f>
        <v>303 Bryant St.
Mountain View, CA 94041</v>
      </c>
      <c r="H180" s="1055" t="str">
        <f>IFERROR(VLOOKUP($A180,'2018'!$A:$BB,5,FALSE),"")</f>
        <v>Vanessa Gutierrez
650-720-5310
Vanessa@glooko.com</v>
      </c>
      <c r="I180" s="1055" t="str">
        <f>IFERROR(VLOOKUP($A180,'2018'!$A:$BB,6,FALSE),"")</f>
        <v>Annie Wayne
650-720-5310
Annie@glooko.com</v>
      </c>
      <c r="J180" s="1055" t="str">
        <f>IFERROR(VLOOKUP($A180,'2018'!$A:$BB,7,FALSE),"")</f>
        <v>Woodruff-Sawyer</v>
      </c>
      <c r="K180" s="1055" t="str">
        <f>IFERROR(VLOOKUP($A180,'2018'!$A:$BB,8,FALSE),"")</f>
        <v xml:space="preserve">Account Managed by Woodruff-Sawyer Team
Producer - Sheila Villaroman
Service Lead - Kimmy Fung
</v>
      </c>
      <c r="L180" s="1062" t="str">
        <f>IFERROR(VLOOKUP($A180,'2018'!$A:$BB,9,FALSE),"")</f>
        <v>New</v>
      </c>
      <c r="M180" s="1067">
        <f>IFERROR(VLOOKUP($A180,'2018'!$A:$BB,10,FALSE),"")</f>
        <v>43101</v>
      </c>
      <c r="N180" s="1062">
        <f>IFERROR(VLOOKUP($A180,'2018'!$A:$BB,12,FALSE),"")</f>
        <v>84</v>
      </c>
      <c r="O180" s="1055" t="str">
        <f>IFERROR(VLOOKUP($A180,'2018'!$A:$BB,13,FALSE),"")</f>
        <v xml:space="preserve">IGOE </v>
      </c>
      <c r="P180" s="1055" t="str">
        <f>IFERROR(VLOOKUP($A180,'2018'!$A:$BB,14,FALSE),"")</f>
        <v>Maestro</v>
      </c>
      <c r="Q180" s="1055" t="str">
        <f>IFERROR(VLOOKUP($A180,'2018'!$A:$BB,16,FALSE),"")</f>
        <v>IGOE</v>
      </c>
      <c r="R180" s="1055" t="str">
        <f>IFERROR(VLOOKUP($A180,'2018'!$A:$BB,17,FALSE),"")</f>
        <v>Optum Health</v>
      </c>
      <c r="S180" s="1062" t="str">
        <f>IFERROR(VLOOKUP($A180,'2018'!$A:$BB,20,FALSE),"")</f>
        <v>NCAL</v>
      </c>
      <c r="T180" s="1062" t="str">
        <f>IFERROR(VLOOKUP($A180,'2018'!$A:$BB,21,FALSE),"")</f>
        <v>Group B (34-44)</v>
      </c>
      <c r="U180" s="1062" t="str">
        <f>IFERROR(VLOOKUP($A180,'2018'!$A:$BB,22,FALSE),"")</f>
        <v>Expanded</v>
      </c>
      <c r="V180" s="1062" t="str">
        <f>IFERROR(VLOOKUP($A180,'2018'!$A:$BB,23,FALSE),"")</f>
        <v>Advantage</v>
      </c>
      <c r="W180" s="1062" t="str">
        <f>IFERROR(VLOOKUP($A180,'2018'!$A:$BB,24,FALSE),"")</f>
        <v>No</v>
      </c>
      <c r="X180" s="1062" t="str">
        <f>IFERROR(VLOOKUP($A180,'2018'!$A:$BB,41,FALSE),"")</f>
        <v>Region 3</v>
      </c>
      <c r="Y180" s="1062" t="str">
        <f>IFERROR(VLOOKUP($A180,'2018'!$A:$BB,42,FALSE),"")</f>
        <v>(50-99)</v>
      </c>
      <c r="Z180" s="1062" t="str">
        <f>IFERROR(VLOOKUP($A180,'2018'!$A:$BB,45,FALSE),"")</f>
        <v>(50-99)</v>
      </c>
      <c r="AA180" s="730">
        <v>2018</v>
      </c>
      <c r="AB180" s="728" t="s">
        <v>3846</v>
      </c>
      <c r="AC180" s="727" t="s">
        <v>303</v>
      </c>
      <c r="AD180" s="727" t="s">
        <v>3648</v>
      </c>
      <c r="AE180" s="727" t="s">
        <v>307</v>
      </c>
      <c r="AF180" s="727" t="s">
        <v>113</v>
      </c>
      <c r="AG180" s="726" t="s">
        <v>3972</v>
      </c>
      <c r="AH180" s="726" t="s">
        <v>3977</v>
      </c>
      <c r="AI180" s="727">
        <v>14</v>
      </c>
      <c r="AJ180" s="747" t="s">
        <v>3994</v>
      </c>
      <c r="AK180" s="757">
        <v>909678</v>
      </c>
      <c r="AL180" s="754">
        <v>613</v>
      </c>
      <c r="AM180" s="755">
        <v>909678</v>
      </c>
      <c r="AN180" s="754">
        <v>614</v>
      </c>
      <c r="AO180" s="776">
        <f t="shared" si="42"/>
        <v>909678</v>
      </c>
      <c r="AP180" s="754">
        <f t="shared" si="19"/>
        <v>615</v>
      </c>
      <c r="AQ180" s="770"/>
      <c r="AR180" s="726" t="s">
        <v>2661</v>
      </c>
      <c r="AS180" s="726" t="s">
        <v>4060</v>
      </c>
      <c r="AT180" s="726">
        <v>6130613</v>
      </c>
      <c r="AU180" s="726" t="s">
        <v>3966</v>
      </c>
      <c r="AV180" s="726" t="s">
        <v>4059</v>
      </c>
      <c r="AW180" s="726">
        <v>6140614</v>
      </c>
    </row>
    <row r="181" spans="1:49">
      <c r="A181" s="738" t="s">
        <v>1260</v>
      </c>
      <c r="B181" s="738" t="s">
        <v>1260</v>
      </c>
      <c r="C181" s="738"/>
      <c r="D181" s="738" t="s">
        <v>3716</v>
      </c>
      <c r="E181" s="738" t="s">
        <v>3716</v>
      </c>
      <c r="F181" s="1059">
        <f>IFERROR(VLOOKUP($A181,'2018'!$A:$BB,3,FALSE),"")</f>
        <v>273873317</v>
      </c>
      <c r="G181" s="1055" t="str">
        <f>IFERROR(VLOOKUP($A181,'2018'!$A:$BB,4,FALSE),"")</f>
        <v>303 Bryant St.
Mountain View, CA 94041</v>
      </c>
      <c r="H181" s="1055" t="str">
        <f>IFERROR(VLOOKUP($A181,'2018'!$A:$BB,5,FALSE),"")</f>
        <v>Vanessa Gutierrez
650-720-5310
Vanessa@glooko.com</v>
      </c>
      <c r="I181" s="1055" t="str">
        <f>IFERROR(VLOOKUP($A181,'2018'!$A:$BB,6,FALSE),"")</f>
        <v>Annie Wayne
650-720-5310
Annie@glooko.com</v>
      </c>
      <c r="J181" s="1055" t="str">
        <f>IFERROR(VLOOKUP($A181,'2018'!$A:$BB,7,FALSE),"")</f>
        <v>Woodruff-Sawyer</v>
      </c>
      <c r="K181" s="1055" t="str">
        <f>IFERROR(VLOOKUP($A181,'2018'!$A:$BB,8,FALSE),"")</f>
        <v xml:space="preserve">Account Managed by Woodruff-Sawyer Team
Producer - Sheila Villaroman
Service Lead - Kimmy Fung
</v>
      </c>
      <c r="L181" s="1062" t="str">
        <f>IFERROR(VLOOKUP($A181,'2018'!$A:$BB,9,FALSE),"")</f>
        <v>New</v>
      </c>
      <c r="M181" s="1067">
        <f>IFERROR(VLOOKUP($A181,'2018'!$A:$BB,10,FALSE),"")</f>
        <v>43101</v>
      </c>
      <c r="N181" s="1062">
        <f>IFERROR(VLOOKUP($A181,'2018'!$A:$BB,12,FALSE),"")</f>
        <v>84</v>
      </c>
      <c r="O181" s="1055" t="str">
        <f>IFERROR(VLOOKUP($A181,'2018'!$A:$BB,13,FALSE),"")</f>
        <v xml:space="preserve">IGOE </v>
      </c>
      <c r="P181" s="1055" t="str">
        <f>IFERROR(VLOOKUP($A181,'2018'!$A:$BB,14,FALSE),"")</f>
        <v>Maestro</v>
      </c>
      <c r="Q181" s="1055" t="str">
        <f>IFERROR(VLOOKUP($A181,'2018'!$A:$BB,16,FALSE),"")</f>
        <v>IGOE</v>
      </c>
      <c r="R181" s="1055" t="str">
        <f>IFERROR(VLOOKUP($A181,'2018'!$A:$BB,17,FALSE),"")</f>
        <v>Optum Health</v>
      </c>
      <c r="S181" s="1062" t="str">
        <f>IFERROR(VLOOKUP($A181,'2018'!$A:$BB,20,FALSE),"")</f>
        <v>NCAL</v>
      </c>
      <c r="T181" s="1062" t="str">
        <f>IFERROR(VLOOKUP($A181,'2018'!$A:$BB,21,FALSE),"")</f>
        <v>Group B (34-44)</v>
      </c>
      <c r="U181" s="1062" t="str">
        <f>IFERROR(VLOOKUP($A181,'2018'!$A:$BB,22,FALSE),"")</f>
        <v>Expanded</v>
      </c>
      <c r="V181" s="1062" t="str">
        <f>IFERROR(VLOOKUP($A181,'2018'!$A:$BB,23,FALSE),"")</f>
        <v>Advantage</v>
      </c>
      <c r="W181" s="1062" t="str">
        <f>IFERROR(VLOOKUP($A181,'2018'!$A:$BB,24,FALSE),"")</f>
        <v>No</v>
      </c>
      <c r="X181" s="1062" t="str">
        <f>IFERROR(VLOOKUP($A181,'2018'!$A:$BB,41,FALSE),"")</f>
        <v>Region 3</v>
      </c>
      <c r="Y181" s="1062" t="str">
        <f>IFERROR(VLOOKUP($A181,'2018'!$A:$BB,42,FALSE),"")</f>
        <v>(50-99)</v>
      </c>
      <c r="Z181" s="1062" t="str">
        <f>IFERROR(VLOOKUP($A181,'2018'!$A:$BB,45,FALSE),"")</f>
        <v>(50-99)</v>
      </c>
      <c r="AA181" s="730">
        <v>2018</v>
      </c>
      <c r="AB181" s="728" t="s">
        <v>3846</v>
      </c>
      <c r="AC181" s="727" t="s">
        <v>303</v>
      </c>
      <c r="AD181" s="727" t="s">
        <v>3648</v>
      </c>
      <c r="AE181" s="727" t="s">
        <v>307</v>
      </c>
      <c r="AF181" s="727" t="s">
        <v>113</v>
      </c>
      <c r="AG181" s="726" t="s">
        <v>3981</v>
      </c>
      <c r="AH181" s="726" t="s">
        <v>3973</v>
      </c>
      <c r="AI181" s="727">
        <v>11</v>
      </c>
      <c r="AJ181" s="747" t="s">
        <v>3982</v>
      </c>
      <c r="AK181" s="757">
        <v>909678</v>
      </c>
      <c r="AL181" s="754">
        <v>469</v>
      </c>
      <c r="AM181" s="755">
        <v>909678</v>
      </c>
      <c r="AN181" s="754">
        <v>470</v>
      </c>
      <c r="AO181" s="776">
        <f t="shared" si="42"/>
        <v>909678</v>
      </c>
      <c r="AP181" s="754">
        <f t="shared" si="19"/>
        <v>471</v>
      </c>
      <c r="AQ181" s="770"/>
      <c r="AR181" s="726" t="s">
        <v>2661</v>
      </c>
      <c r="AS181" s="726" t="s">
        <v>3983</v>
      </c>
      <c r="AT181" s="726">
        <v>4690469</v>
      </c>
      <c r="AU181" s="726" t="s">
        <v>3966</v>
      </c>
      <c r="AV181" s="726" t="s">
        <v>4061</v>
      </c>
      <c r="AW181" s="726">
        <v>4700470</v>
      </c>
    </row>
    <row r="182" spans="1:49">
      <c r="A182" s="736" t="s">
        <v>1260</v>
      </c>
      <c r="B182" s="736" t="s">
        <v>1260</v>
      </c>
      <c r="C182" s="736"/>
      <c r="D182" s="738" t="s">
        <v>3716</v>
      </c>
      <c r="E182" s="738" t="s">
        <v>3716</v>
      </c>
      <c r="F182" s="1059">
        <f>IFERROR(VLOOKUP($A182,'2018'!$A:$BB,3,FALSE),"")</f>
        <v>273873317</v>
      </c>
      <c r="G182" s="1055" t="str">
        <f>IFERROR(VLOOKUP($A182,'2018'!$A:$BB,4,FALSE),"")</f>
        <v>303 Bryant St.
Mountain View, CA 94041</v>
      </c>
      <c r="H182" s="1055" t="str">
        <f>IFERROR(VLOOKUP($A182,'2018'!$A:$BB,5,FALSE),"")</f>
        <v>Vanessa Gutierrez
650-720-5310
Vanessa@glooko.com</v>
      </c>
      <c r="I182" s="1055" t="str">
        <f>IFERROR(VLOOKUP($A182,'2018'!$A:$BB,6,FALSE),"")</f>
        <v>Annie Wayne
650-720-5310
Annie@glooko.com</v>
      </c>
      <c r="J182" s="1055" t="str">
        <f>IFERROR(VLOOKUP($A182,'2018'!$A:$BB,7,FALSE),"")</f>
        <v>Woodruff-Sawyer</v>
      </c>
      <c r="K182" s="1055" t="str">
        <f>IFERROR(VLOOKUP($A182,'2018'!$A:$BB,8,FALSE),"")</f>
        <v xml:space="preserve">Account Managed by Woodruff-Sawyer Team
Producer - Sheila Villaroman
Service Lead - Kimmy Fung
</v>
      </c>
      <c r="L182" s="1062" t="str">
        <f>IFERROR(VLOOKUP($A182,'2018'!$A:$BB,9,FALSE),"")</f>
        <v>New</v>
      </c>
      <c r="M182" s="1067">
        <f>IFERROR(VLOOKUP($A182,'2018'!$A:$BB,10,FALSE),"")</f>
        <v>43101</v>
      </c>
      <c r="N182" s="1062">
        <f>IFERROR(VLOOKUP($A182,'2018'!$A:$BB,12,FALSE),"")</f>
        <v>84</v>
      </c>
      <c r="O182" s="1055" t="str">
        <f>IFERROR(VLOOKUP($A182,'2018'!$A:$BB,13,FALSE),"")</f>
        <v xml:space="preserve">IGOE </v>
      </c>
      <c r="P182" s="1055" t="str">
        <f>IFERROR(VLOOKUP($A182,'2018'!$A:$BB,14,FALSE),"")</f>
        <v>Maestro</v>
      </c>
      <c r="Q182" s="1055" t="str">
        <f>IFERROR(VLOOKUP($A182,'2018'!$A:$BB,16,FALSE),"")</f>
        <v>IGOE</v>
      </c>
      <c r="R182" s="1055" t="str">
        <f>IFERROR(VLOOKUP($A182,'2018'!$A:$BB,17,FALSE),"")</f>
        <v>Optum Health</v>
      </c>
      <c r="S182" s="1062" t="str">
        <f>IFERROR(VLOOKUP($A182,'2018'!$A:$BB,20,FALSE),"")</f>
        <v>NCAL</v>
      </c>
      <c r="T182" s="1062" t="str">
        <f>IFERROR(VLOOKUP($A182,'2018'!$A:$BB,21,FALSE),"")</f>
        <v>Group B (34-44)</v>
      </c>
      <c r="U182" s="1062" t="str">
        <f>IFERROR(VLOOKUP($A182,'2018'!$A:$BB,22,FALSE),"")</f>
        <v>Expanded</v>
      </c>
      <c r="V182" s="1062" t="str">
        <f>IFERROR(VLOOKUP($A182,'2018'!$A:$BB,23,FALSE),"")</f>
        <v>Advantage</v>
      </c>
      <c r="W182" s="1062" t="str">
        <f>IFERROR(VLOOKUP($A182,'2018'!$A:$BB,24,FALSE),"")</f>
        <v>No</v>
      </c>
      <c r="X182" s="1062" t="str">
        <f>IFERROR(VLOOKUP($A182,'2018'!$A:$BB,41,FALSE),"")</f>
        <v>Region 3</v>
      </c>
      <c r="Y182" s="1062" t="str">
        <f>IFERROR(VLOOKUP($A182,'2018'!$A:$BB,42,FALSE),"")</f>
        <v>(50-99)</v>
      </c>
      <c r="Z182" s="1062" t="str">
        <f>IFERROR(VLOOKUP($A182,'2018'!$A:$BB,45,FALSE),"")</f>
        <v>(50-99)</v>
      </c>
      <c r="AA182" s="731">
        <v>2018</v>
      </c>
      <c r="AB182" s="733" t="s">
        <v>3846</v>
      </c>
      <c r="AC182" s="734" t="s">
        <v>303</v>
      </c>
      <c r="AD182" s="734" t="s">
        <v>3648</v>
      </c>
      <c r="AE182" s="734" t="s">
        <v>307</v>
      </c>
      <c r="AF182" s="734" t="s">
        <v>113</v>
      </c>
      <c r="AG182" s="732" t="s">
        <v>3981</v>
      </c>
      <c r="AH182" s="732" t="s">
        <v>3977</v>
      </c>
      <c r="AI182" s="734">
        <v>16</v>
      </c>
      <c r="AJ182" s="748" t="s">
        <v>3985</v>
      </c>
      <c r="AK182" s="757">
        <v>909678</v>
      </c>
      <c r="AL182" s="756">
        <v>721</v>
      </c>
      <c r="AM182" s="755">
        <v>909678</v>
      </c>
      <c r="AN182" s="756">
        <v>722</v>
      </c>
      <c r="AO182" s="776">
        <f t="shared" si="42"/>
        <v>909678</v>
      </c>
      <c r="AP182" s="754">
        <f t="shared" si="19"/>
        <v>723</v>
      </c>
      <c r="AQ182" s="771" t="s">
        <v>3979</v>
      </c>
      <c r="AR182" s="732" t="s">
        <v>2661</v>
      </c>
      <c r="AS182" s="735"/>
      <c r="AT182" s="735"/>
      <c r="AU182" s="732" t="s">
        <v>3980</v>
      </c>
      <c r="AV182" s="735"/>
      <c r="AW182" s="735"/>
    </row>
    <row r="183" spans="1:49">
      <c r="A183" s="738"/>
      <c r="B183" s="738"/>
      <c r="C183" s="738"/>
      <c r="D183" s="738"/>
      <c r="E183" s="738"/>
      <c r="F183" s="1059" t="str">
        <f>IFERROR(VLOOKUP($A183,'2018'!$A:$BB,3,FALSE),"")</f>
        <v/>
      </c>
      <c r="G183" s="1055" t="str">
        <f>IFERROR(VLOOKUP($A183,'2018'!$A:$BB,4,FALSE),"")</f>
        <v/>
      </c>
      <c r="H183" s="1055" t="str">
        <f>IFERROR(VLOOKUP($A183,'2018'!$A:$BB,5,FALSE),"")</f>
        <v/>
      </c>
      <c r="I183" s="1055" t="str">
        <f>IFERROR(VLOOKUP($A183,'2018'!$A:$BB,6,FALSE),"")</f>
        <v/>
      </c>
      <c r="J183" s="1055" t="str">
        <f>IFERROR(VLOOKUP($A183,'2018'!$A:$BB,7,FALSE),"")</f>
        <v/>
      </c>
      <c r="K183" s="1055" t="str">
        <f>IFERROR(VLOOKUP($A183,'2018'!$A:$BB,8,FALSE),"")</f>
        <v/>
      </c>
      <c r="L183" s="1062" t="str">
        <f>IFERROR(VLOOKUP($A183,'2018'!$A:$BB,9,FALSE),"")</f>
        <v/>
      </c>
      <c r="M183" s="1067" t="str">
        <f>IFERROR(VLOOKUP($A183,'2018'!$A:$BB,10,FALSE),"")</f>
        <v/>
      </c>
      <c r="N183" s="1062" t="str">
        <f>IFERROR(VLOOKUP($A183,'2018'!$A:$BB,12,FALSE),"")</f>
        <v/>
      </c>
      <c r="O183" s="1055" t="str">
        <f>IFERROR(VLOOKUP($A183,'2018'!$A:$BB,13,FALSE),"")</f>
        <v/>
      </c>
      <c r="P183" s="1055" t="str">
        <f>IFERROR(VLOOKUP($A183,'2018'!$A:$BB,14,FALSE),"")</f>
        <v/>
      </c>
      <c r="Q183" s="1055" t="str">
        <f>IFERROR(VLOOKUP($A183,'2018'!$A:$BB,16,FALSE),"")</f>
        <v/>
      </c>
      <c r="R183" s="1055" t="str">
        <f>IFERROR(VLOOKUP($A183,'2018'!$A:$BB,17,FALSE),"")</f>
        <v/>
      </c>
      <c r="S183" s="1062" t="str">
        <f>IFERROR(VLOOKUP($A183,'2018'!$A:$BB,20,FALSE),"")</f>
        <v/>
      </c>
      <c r="T183" s="1062" t="str">
        <f>IFERROR(VLOOKUP($A183,'2018'!$A:$BB,21,FALSE),"")</f>
        <v/>
      </c>
      <c r="U183" s="1062" t="str">
        <f>IFERROR(VLOOKUP($A183,'2018'!$A:$BB,22,FALSE),"")</f>
        <v/>
      </c>
      <c r="V183" s="1062" t="str">
        <f>IFERROR(VLOOKUP($A183,'2018'!$A:$BB,23,FALSE),"")</f>
        <v/>
      </c>
      <c r="W183" s="1062" t="str">
        <f>IFERROR(VLOOKUP($A183,'2018'!$A:$BB,24,FALSE),"")</f>
        <v/>
      </c>
      <c r="X183" s="1062" t="str">
        <f>IFERROR(VLOOKUP($A183,'2018'!$A:$BB,41,FALSE),"")</f>
        <v/>
      </c>
      <c r="Y183" s="1062" t="str">
        <f>IFERROR(VLOOKUP($A183,'2018'!$A:$BB,42,FALSE),"")</f>
        <v/>
      </c>
      <c r="Z183" s="1062" t="str">
        <f>IFERROR(VLOOKUP($A183,'2018'!$A:$BB,45,FALSE),"")</f>
        <v/>
      </c>
      <c r="AA183" s="727"/>
      <c r="AB183" s="728"/>
      <c r="AC183" s="727"/>
      <c r="AD183" s="727"/>
      <c r="AE183" s="727"/>
      <c r="AF183" s="727"/>
      <c r="AG183" s="726"/>
      <c r="AH183" s="726"/>
      <c r="AI183" s="727"/>
      <c r="AJ183" s="747"/>
      <c r="AK183" s="753"/>
      <c r="AL183" s="754"/>
      <c r="AM183" s="753"/>
      <c r="AN183" s="754"/>
      <c r="AO183" s="776"/>
      <c r="AP183" s="754"/>
      <c r="AQ183" s="770"/>
      <c r="AR183" s="726"/>
      <c r="AS183" s="726"/>
      <c r="AT183" s="726"/>
      <c r="AU183" s="726"/>
      <c r="AV183" s="726"/>
      <c r="AW183" s="726"/>
    </row>
    <row r="184" spans="1:49">
      <c r="A184" s="736" t="s">
        <v>3619</v>
      </c>
      <c r="B184" s="736" t="s">
        <v>3619</v>
      </c>
      <c r="C184" s="736"/>
      <c r="D184" s="736"/>
      <c r="E184" s="736"/>
      <c r="F184" s="1059">
        <f>IFERROR(VLOOKUP($A184,'2018'!$A:$BB,3,FALSE),"")</f>
        <v>330936180</v>
      </c>
      <c r="G184" s="1055" t="str">
        <f>IFERROR(VLOOKUP($A184,'2018'!$A:$BB,4,FALSE),"")</f>
        <v>70 Doppler
Irvine, CA 92618</v>
      </c>
      <c r="H184" s="1055" t="str">
        <f>IFERROR(VLOOKUP($A184,'2018'!$A:$BB,5,FALSE),"")</f>
        <v>William Abbott
(949) 261-2900
BillAbbott@hjlinc.com</v>
      </c>
      <c r="I184" s="1055" t="str">
        <f>IFERROR(VLOOKUP($A184,'2018'!$A:$BB,6,FALSE),"")</f>
        <v>Margot Gilpin
(714) 841-9411
Margot@bcpsco.com</v>
      </c>
      <c r="J184" s="1055" t="str">
        <f>IFERROR(VLOOKUP($A184,'2018'!$A:$BB,7,FALSE),"")</f>
        <v>Woodruff-Sawyer</v>
      </c>
      <c r="K184" s="1055" t="str">
        <f>IFERROR(VLOOKUP($A184,'2018'!$A:$BB,8,FALSE),"")</f>
        <v xml:space="preserve">Account Managed by Woodruff-Sawyer Team
Producer - Leslie Slay
Service Lead - Danielle Fike
</v>
      </c>
      <c r="L184" s="1062" t="str">
        <f>IFERROR(VLOOKUP($A184,'2018'!$A:$BB,9,FALSE),"")</f>
        <v>New</v>
      </c>
      <c r="M184" s="1067">
        <f>IFERROR(VLOOKUP($A184,'2018'!$A:$BB,10,FALSE),"")</f>
        <v>43132</v>
      </c>
      <c r="N184" s="1062">
        <f>IFERROR(VLOOKUP($A184,'2018'!$A:$BB,12,FALSE),"")</f>
        <v>8</v>
      </c>
      <c r="O184" s="1055" t="str">
        <f>IFERROR(VLOOKUP($A184,'2018'!$A:$BB,13,FALSE),"")</f>
        <v xml:space="preserve">IGOE </v>
      </c>
      <c r="P184" s="1055" t="str">
        <f>IFERROR(VLOOKUP($A184,'2018'!$A:$BB,14,FALSE),"")</f>
        <v>Maestro</v>
      </c>
      <c r="Q184" s="1055" t="str">
        <f>IFERROR(VLOOKUP($A184,'2018'!$A:$BB,16,FALSE),"")</f>
        <v>N/A</v>
      </c>
      <c r="R184" s="1055" t="str">
        <f>IFERROR(VLOOKUP($A184,'2018'!$A:$BB,17,FALSE),"")</f>
        <v>N/A</v>
      </c>
      <c r="S184" s="1062" t="str">
        <f>IFERROR(VLOOKUP($A184,'2018'!$A:$BB,20,FALSE),"")</f>
        <v>SCAL</v>
      </c>
      <c r="T184" s="1062" t="str">
        <f>IFERROR(VLOOKUP($A184,'2018'!$A:$BB,21,FALSE),"")</f>
        <v>Group D (54+)</v>
      </c>
      <c r="U184" s="1062" t="str">
        <f>IFERROR(VLOOKUP($A184,'2018'!$A:$BB,22,FALSE),"")</f>
        <v>Expanded</v>
      </c>
      <c r="V184" s="1062" t="str">
        <f>IFERROR(VLOOKUP($A184,'2018'!$A:$BB,23,FALSE),"")</f>
        <v>Advantage</v>
      </c>
      <c r="W184" s="1062" t="str">
        <f>IFERROR(VLOOKUP($A184,'2018'!$A:$BB,24,FALSE),"")</f>
        <v>No</v>
      </c>
      <c r="X184" s="1062" t="str">
        <f>IFERROR(VLOOKUP($A184,'2018'!$A:$BB,41,FALSE),"")</f>
        <v>Region 3</v>
      </c>
      <c r="Y184" s="1062" t="str">
        <f>IFERROR(VLOOKUP($A184,'2018'!$A:$BB,42,FALSE),"")</f>
        <v>(2-9)</v>
      </c>
      <c r="Z184" s="1062" t="str">
        <f>IFERROR(VLOOKUP($A184,'2018'!$A:$BB,45,FALSE),"")</f>
        <v xml:space="preserve"> (2-49)</v>
      </c>
      <c r="AA184" s="731">
        <v>2018</v>
      </c>
      <c r="AB184" s="1020" t="s">
        <v>4345</v>
      </c>
      <c r="AC184" s="734" t="s">
        <v>317</v>
      </c>
      <c r="AD184" s="734" t="s">
        <v>3658</v>
      </c>
      <c r="AE184" s="734" t="s">
        <v>307</v>
      </c>
      <c r="AF184" s="734" t="s">
        <v>113</v>
      </c>
      <c r="AG184" s="732" t="s">
        <v>3972</v>
      </c>
      <c r="AH184" s="732" t="s">
        <v>3973</v>
      </c>
      <c r="AI184" s="734">
        <v>7</v>
      </c>
      <c r="AJ184" s="748" t="s">
        <v>4001</v>
      </c>
      <c r="AK184" s="757">
        <v>909678</v>
      </c>
      <c r="AL184" s="756">
        <v>343</v>
      </c>
      <c r="AM184" s="755">
        <v>909678</v>
      </c>
      <c r="AN184" s="756">
        <v>344</v>
      </c>
      <c r="AO184" s="776">
        <f t="shared" ref="AO184:AO185" si="43">AM184</f>
        <v>909678</v>
      </c>
      <c r="AP184" s="754">
        <f>AN184+1</f>
        <v>345</v>
      </c>
      <c r="AQ184" s="771" t="s">
        <v>3979</v>
      </c>
      <c r="AR184" s="732" t="s">
        <v>2661</v>
      </c>
      <c r="AS184" s="735"/>
      <c r="AT184" s="735"/>
      <c r="AU184" s="732" t="s">
        <v>3980</v>
      </c>
      <c r="AV184" s="735"/>
      <c r="AW184" s="735"/>
    </row>
    <row r="185" spans="1:49" s="739" customFormat="1">
      <c r="A185" s="736" t="s">
        <v>3619</v>
      </c>
      <c r="B185" s="736" t="s">
        <v>3619</v>
      </c>
      <c r="C185" s="736"/>
      <c r="D185" s="736"/>
      <c r="E185" s="736"/>
      <c r="F185" s="1059">
        <f>IFERROR(VLOOKUP($A185,'2018'!$A:$BB,3,FALSE),"")</f>
        <v>330936180</v>
      </c>
      <c r="G185" s="1055" t="str">
        <f>IFERROR(VLOOKUP($A185,'2018'!$A:$BB,4,FALSE),"")</f>
        <v>70 Doppler
Irvine, CA 92618</v>
      </c>
      <c r="H185" s="1055" t="str">
        <f>IFERROR(VLOOKUP($A185,'2018'!$A:$BB,5,FALSE),"")</f>
        <v>William Abbott
(949) 261-2900
BillAbbott@hjlinc.com</v>
      </c>
      <c r="I185" s="1055" t="str">
        <f>IFERROR(VLOOKUP($A185,'2018'!$A:$BB,6,FALSE),"")</f>
        <v>Margot Gilpin
(714) 841-9411
Margot@bcpsco.com</v>
      </c>
      <c r="J185" s="1055" t="str">
        <f>IFERROR(VLOOKUP($A185,'2018'!$A:$BB,7,FALSE),"")</f>
        <v>Woodruff-Sawyer</v>
      </c>
      <c r="K185" s="1055" t="str">
        <f>IFERROR(VLOOKUP($A185,'2018'!$A:$BB,8,FALSE),"")</f>
        <v xml:space="preserve">Account Managed by Woodruff-Sawyer Team
Producer - Leslie Slay
Service Lead - Danielle Fike
</v>
      </c>
      <c r="L185" s="1062" t="str">
        <f>IFERROR(VLOOKUP($A185,'2018'!$A:$BB,9,FALSE),"")</f>
        <v>New</v>
      </c>
      <c r="M185" s="1067">
        <f>IFERROR(VLOOKUP($A185,'2018'!$A:$BB,10,FALSE),"")</f>
        <v>43132</v>
      </c>
      <c r="N185" s="1062">
        <f>IFERROR(VLOOKUP($A185,'2018'!$A:$BB,12,FALSE),"")</f>
        <v>8</v>
      </c>
      <c r="O185" s="1055" t="str">
        <f>IFERROR(VLOOKUP($A185,'2018'!$A:$BB,13,FALSE),"")</f>
        <v xml:space="preserve">IGOE </v>
      </c>
      <c r="P185" s="1055" t="str">
        <f>IFERROR(VLOOKUP($A185,'2018'!$A:$BB,14,FALSE),"")</f>
        <v>Maestro</v>
      </c>
      <c r="Q185" s="1055" t="str">
        <f>IFERROR(VLOOKUP($A185,'2018'!$A:$BB,16,FALSE),"")</f>
        <v>N/A</v>
      </c>
      <c r="R185" s="1055" t="str">
        <f>IFERROR(VLOOKUP($A185,'2018'!$A:$BB,17,FALSE),"")</f>
        <v>N/A</v>
      </c>
      <c r="S185" s="1062" t="str">
        <f>IFERROR(VLOOKUP($A185,'2018'!$A:$BB,20,FALSE),"")</f>
        <v>SCAL</v>
      </c>
      <c r="T185" s="1062" t="str">
        <f>IFERROR(VLOOKUP($A185,'2018'!$A:$BB,21,FALSE),"")</f>
        <v>Group D (54+)</v>
      </c>
      <c r="U185" s="1062" t="str">
        <f>IFERROR(VLOOKUP($A185,'2018'!$A:$BB,22,FALSE),"")</f>
        <v>Expanded</v>
      </c>
      <c r="V185" s="1062" t="str">
        <f>IFERROR(VLOOKUP($A185,'2018'!$A:$BB,23,FALSE),"")</f>
        <v>Advantage</v>
      </c>
      <c r="W185" s="1062" t="str">
        <f>IFERROR(VLOOKUP($A185,'2018'!$A:$BB,24,FALSE),"")</f>
        <v>No</v>
      </c>
      <c r="X185" s="1062" t="str">
        <f>IFERROR(VLOOKUP($A185,'2018'!$A:$BB,41,FALSE),"")</f>
        <v>Region 3</v>
      </c>
      <c r="Y185" s="1062" t="str">
        <f>IFERROR(VLOOKUP($A185,'2018'!$A:$BB,42,FALSE),"")</f>
        <v>(2-9)</v>
      </c>
      <c r="Z185" s="1062" t="str">
        <f>IFERROR(VLOOKUP($A185,'2018'!$A:$BB,45,FALSE),"")</f>
        <v xml:space="preserve"> (2-49)</v>
      </c>
      <c r="AA185" s="731">
        <v>2018</v>
      </c>
      <c r="AB185" s="1020" t="s">
        <v>4345</v>
      </c>
      <c r="AC185" s="734" t="s">
        <v>317</v>
      </c>
      <c r="AD185" s="734" t="s">
        <v>3658</v>
      </c>
      <c r="AE185" s="734" t="s">
        <v>307</v>
      </c>
      <c r="AF185" s="734" t="s">
        <v>113</v>
      </c>
      <c r="AG185" s="732" t="s">
        <v>3972</v>
      </c>
      <c r="AH185" s="732" t="s">
        <v>3977</v>
      </c>
      <c r="AI185" s="734">
        <v>13</v>
      </c>
      <c r="AJ185" s="748" t="s">
        <v>4004</v>
      </c>
      <c r="AK185" s="757">
        <v>909678</v>
      </c>
      <c r="AL185" s="756">
        <v>595</v>
      </c>
      <c r="AM185" s="755">
        <v>909678</v>
      </c>
      <c r="AN185" s="756">
        <v>596</v>
      </c>
      <c r="AO185" s="776">
        <f t="shared" si="43"/>
        <v>909678</v>
      </c>
      <c r="AP185" s="754">
        <f>AN185+1</f>
        <v>597</v>
      </c>
      <c r="AQ185" s="771" t="s">
        <v>3979</v>
      </c>
      <c r="AR185" s="732" t="s">
        <v>2661</v>
      </c>
      <c r="AS185" s="735"/>
      <c r="AT185" s="735"/>
      <c r="AU185" s="732" t="s">
        <v>3980</v>
      </c>
      <c r="AV185" s="735"/>
      <c r="AW185" s="735"/>
    </row>
    <row r="186" spans="1:49" s="739" customFormat="1">
      <c r="A186" s="736"/>
      <c r="B186" s="736"/>
      <c r="C186" s="736"/>
      <c r="D186" s="736"/>
      <c r="E186" s="736"/>
      <c r="F186" s="1059" t="str">
        <f>IFERROR(VLOOKUP($A186,'2018'!$A:$BB,3,FALSE),"")</f>
        <v/>
      </c>
      <c r="G186" s="1055" t="str">
        <f>IFERROR(VLOOKUP($A186,'2018'!$A:$BB,4,FALSE),"")</f>
        <v/>
      </c>
      <c r="H186" s="1055" t="str">
        <f>IFERROR(VLOOKUP($A186,'2018'!$A:$BB,5,FALSE),"")</f>
        <v/>
      </c>
      <c r="I186" s="1055" t="str">
        <f>IFERROR(VLOOKUP($A186,'2018'!$A:$BB,6,FALSE),"")</f>
        <v/>
      </c>
      <c r="J186" s="1055" t="str">
        <f>IFERROR(VLOOKUP($A186,'2018'!$A:$BB,7,FALSE),"")</f>
        <v/>
      </c>
      <c r="K186" s="1055" t="str">
        <f>IFERROR(VLOOKUP($A186,'2018'!$A:$BB,8,FALSE),"")</f>
        <v/>
      </c>
      <c r="L186" s="1062" t="str">
        <f>IFERROR(VLOOKUP($A186,'2018'!$A:$BB,9,FALSE),"")</f>
        <v/>
      </c>
      <c r="M186" s="1067" t="str">
        <f>IFERROR(VLOOKUP($A186,'2018'!$A:$BB,10,FALSE),"")</f>
        <v/>
      </c>
      <c r="N186" s="1062" t="str">
        <f>IFERROR(VLOOKUP($A186,'2018'!$A:$BB,12,FALSE),"")</f>
        <v/>
      </c>
      <c r="O186" s="1055" t="str">
        <f>IFERROR(VLOOKUP($A186,'2018'!$A:$BB,13,FALSE),"")</f>
        <v/>
      </c>
      <c r="P186" s="1055" t="str">
        <f>IFERROR(VLOOKUP($A186,'2018'!$A:$BB,14,FALSE),"")</f>
        <v/>
      </c>
      <c r="Q186" s="1055" t="str">
        <f>IFERROR(VLOOKUP($A186,'2018'!$A:$BB,16,FALSE),"")</f>
        <v/>
      </c>
      <c r="R186" s="1055" t="str">
        <f>IFERROR(VLOOKUP($A186,'2018'!$A:$BB,17,FALSE),"")</f>
        <v/>
      </c>
      <c r="S186" s="1062" t="str">
        <f>IFERROR(VLOOKUP($A186,'2018'!$A:$BB,20,FALSE),"")</f>
        <v/>
      </c>
      <c r="T186" s="1062" t="str">
        <f>IFERROR(VLOOKUP($A186,'2018'!$A:$BB,21,FALSE),"")</f>
        <v/>
      </c>
      <c r="U186" s="1062" t="str">
        <f>IFERROR(VLOOKUP($A186,'2018'!$A:$BB,22,FALSE),"")</f>
        <v/>
      </c>
      <c r="V186" s="1062" t="str">
        <f>IFERROR(VLOOKUP($A186,'2018'!$A:$BB,23,FALSE),"")</f>
        <v/>
      </c>
      <c r="W186" s="1062" t="str">
        <f>IFERROR(VLOOKUP($A186,'2018'!$A:$BB,24,FALSE),"")</f>
        <v/>
      </c>
      <c r="X186" s="1062" t="str">
        <f>IFERROR(VLOOKUP($A186,'2018'!$A:$BB,41,FALSE),"")</f>
        <v/>
      </c>
      <c r="Y186" s="1062" t="str">
        <f>IFERROR(VLOOKUP($A186,'2018'!$A:$BB,42,FALSE),"")</f>
        <v/>
      </c>
      <c r="Z186" s="1062" t="str">
        <f>IFERROR(VLOOKUP($A186,'2018'!$A:$BB,45,FALSE),"")</f>
        <v/>
      </c>
      <c r="AA186" s="731"/>
      <c r="AB186" s="733"/>
      <c r="AC186" s="734"/>
      <c r="AD186" s="734"/>
      <c r="AE186" s="734"/>
      <c r="AF186" s="734"/>
      <c r="AG186" s="732"/>
      <c r="AH186" s="732"/>
      <c r="AI186" s="734"/>
      <c r="AJ186" s="748"/>
      <c r="AK186" s="757"/>
      <c r="AL186" s="756"/>
      <c r="AM186" s="755"/>
      <c r="AN186" s="756"/>
      <c r="AO186" s="776"/>
      <c r="AP186" s="754"/>
      <c r="AQ186" s="771"/>
      <c r="AR186" s="732"/>
      <c r="AS186" s="735"/>
      <c r="AT186" s="735"/>
      <c r="AU186" s="732"/>
      <c r="AV186" s="735"/>
      <c r="AW186" s="735"/>
    </row>
    <row r="187" spans="1:49">
      <c r="A187" s="738" t="s">
        <v>1255</v>
      </c>
      <c r="B187" s="738" t="s">
        <v>4062</v>
      </c>
      <c r="C187" s="738" t="s">
        <v>4174</v>
      </c>
      <c r="D187" s="738"/>
      <c r="E187" s="738"/>
      <c r="F187" s="1059">
        <f>IFERROR(VLOOKUP($A187,'2018'!$A:$BB,3,FALSE),"")</f>
        <v>770557236</v>
      </c>
      <c r="G187" s="1055" t="str">
        <f>IFERROR(VLOOKUP($A187,'2018'!$A:$BB,4,FALSE),"")</f>
        <v>533 Airport Boulevard, Suite 400
Burlingame, CA 94010</v>
      </c>
      <c r="H187" s="1055" t="str">
        <f>IFERROR(VLOOKUP($A187,'2018'!$A:$BB,5,FALSE),"")</f>
        <v>Deborah Brown
650-243-3109
dbrown@humanigen.com</v>
      </c>
      <c r="I187" s="1055" t="str">
        <f>IFERROR(VLOOKUP($A187,'2018'!$A:$BB,6,FALSE),"")</f>
        <v>Deborah Brown
650-243-3109
dbrown@humanigen.com</v>
      </c>
      <c r="J187" s="1055" t="str">
        <f>IFERROR(VLOOKUP($A187,'2018'!$A:$BB,7,FALSE),"")</f>
        <v>ABD</v>
      </c>
      <c r="K187" s="1055" t="str">
        <f>IFERROR(VLOOKUP($A187,'2018'!$A:$BB,8,FALSE),"")</f>
        <v>Account Managed by ABD Team
Mark Anderson
Mark.Anderson@theabdteam.com
Tommy Hendrickson
tommy.hendrickson@theabdteam.com</v>
      </c>
      <c r="L187" s="1062" t="str">
        <f>IFERROR(VLOOKUP($A187,'2018'!$A:$BB,9,FALSE),"")</f>
        <v>New</v>
      </c>
      <c r="M187" s="1067">
        <f>IFERROR(VLOOKUP($A187,'2018'!$A:$BB,10,FALSE),"")</f>
        <v>43101</v>
      </c>
      <c r="N187" s="1062">
        <f>IFERROR(VLOOKUP($A187,'2018'!$A:$BB,12,FALSE),"")</f>
        <v>4</v>
      </c>
      <c r="O187" s="1055" t="str">
        <f>IFERROR(VLOOKUP($A187,'2018'!$A:$BB,13,FALSE),"")</f>
        <v xml:space="preserve">IGOE </v>
      </c>
      <c r="P187" s="1055" t="str">
        <f>IFERROR(VLOOKUP($A187,'2018'!$A:$BB,14,FALSE),"")</f>
        <v>Maestro</v>
      </c>
      <c r="Q187" s="1055" t="str">
        <f>IFERROR(VLOOKUP($A187,'2018'!$A:$BB,16,FALSE),"")</f>
        <v>IGOE</v>
      </c>
      <c r="R187" s="1055" t="str">
        <f>IFERROR(VLOOKUP($A187,'2018'!$A:$BB,17,FALSE),"")</f>
        <v>N/A</v>
      </c>
      <c r="S187" s="1062" t="str">
        <f>IFERROR(VLOOKUP($A187,'2018'!$A:$BB,20,FALSE),"")</f>
        <v>NCAL</v>
      </c>
      <c r="T187" s="1062" t="str">
        <f>IFERROR(VLOOKUP($A187,'2018'!$A:$BB,21,FALSE),"")</f>
        <v>Group C (44-54)</v>
      </c>
      <c r="U187" s="1062" t="str">
        <f>IFERROR(VLOOKUP($A187,'2018'!$A:$BB,22,FALSE),"")</f>
        <v>Expanded</v>
      </c>
      <c r="V187" s="1062" t="str">
        <f>IFERROR(VLOOKUP($A187,'2018'!$A:$BB,23,FALSE),"")</f>
        <v>Advantage</v>
      </c>
      <c r="W187" s="1062" t="str">
        <f>IFERROR(VLOOKUP($A187,'2018'!$A:$BB,24,FALSE),"")</f>
        <v>No</v>
      </c>
      <c r="X187" s="1062" t="str">
        <f>IFERROR(VLOOKUP($A187,'2018'!$A:$BB,41,FALSE),"")</f>
        <v>Region 3</v>
      </c>
      <c r="Y187" s="1062" t="str">
        <f>IFERROR(VLOOKUP($A187,'2018'!$A:$BB,42,FALSE),"")</f>
        <v>(2-9)</v>
      </c>
      <c r="Z187" s="1062" t="str">
        <f>IFERROR(VLOOKUP($A187,'2018'!$A:$BB,45,FALSE),"")</f>
        <v xml:space="preserve"> (2-49)</v>
      </c>
      <c r="AA187" s="730">
        <v>2018</v>
      </c>
      <c r="AB187" s="728" t="s">
        <v>3849</v>
      </c>
      <c r="AC187" s="727" t="s">
        <v>303</v>
      </c>
      <c r="AD187" s="727" t="s">
        <v>3656</v>
      </c>
      <c r="AE187" s="727" t="s">
        <v>307</v>
      </c>
      <c r="AF187" s="727" t="s">
        <v>113</v>
      </c>
      <c r="AG187" s="726" t="s">
        <v>3972</v>
      </c>
      <c r="AH187" s="726" t="s">
        <v>3973</v>
      </c>
      <c r="AI187" s="727">
        <v>7</v>
      </c>
      <c r="AJ187" s="747" t="s">
        <v>4001</v>
      </c>
      <c r="AK187" s="757">
        <v>909678</v>
      </c>
      <c r="AL187" s="754">
        <v>328</v>
      </c>
      <c r="AM187" s="755">
        <v>909678</v>
      </c>
      <c r="AN187" s="754">
        <v>329</v>
      </c>
      <c r="AO187" s="776">
        <f t="shared" ref="AO187:AO188" si="44">AM187</f>
        <v>909678</v>
      </c>
      <c r="AP187" s="754">
        <f t="shared" si="19"/>
        <v>330</v>
      </c>
      <c r="AQ187" s="770"/>
      <c r="AR187" s="726" t="s">
        <v>2661</v>
      </c>
      <c r="AS187" s="726" t="s">
        <v>4002</v>
      </c>
      <c r="AT187" s="726">
        <v>3280328</v>
      </c>
      <c r="AU187" s="726" t="s">
        <v>3980</v>
      </c>
      <c r="AV187" s="726"/>
      <c r="AW187" s="726"/>
    </row>
    <row r="188" spans="1:49">
      <c r="A188" s="736" t="s">
        <v>1255</v>
      </c>
      <c r="B188" s="736" t="s">
        <v>4062</v>
      </c>
      <c r="C188" s="738" t="s">
        <v>4174</v>
      </c>
      <c r="D188" s="738"/>
      <c r="E188" s="738"/>
      <c r="F188" s="1059">
        <f>IFERROR(VLOOKUP($A188,'2018'!$A:$BB,3,FALSE),"")</f>
        <v>770557236</v>
      </c>
      <c r="G188" s="1055" t="str">
        <f>IFERROR(VLOOKUP($A188,'2018'!$A:$BB,4,FALSE),"")</f>
        <v>533 Airport Boulevard, Suite 400
Burlingame, CA 94010</v>
      </c>
      <c r="H188" s="1055" t="str">
        <f>IFERROR(VLOOKUP($A188,'2018'!$A:$BB,5,FALSE),"")</f>
        <v>Deborah Brown
650-243-3109
dbrown@humanigen.com</v>
      </c>
      <c r="I188" s="1055" t="str">
        <f>IFERROR(VLOOKUP($A188,'2018'!$A:$BB,6,FALSE),"")</f>
        <v>Deborah Brown
650-243-3109
dbrown@humanigen.com</v>
      </c>
      <c r="J188" s="1055" t="str">
        <f>IFERROR(VLOOKUP($A188,'2018'!$A:$BB,7,FALSE),"")</f>
        <v>ABD</v>
      </c>
      <c r="K188" s="1055" t="str">
        <f>IFERROR(VLOOKUP($A188,'2018'!$A:$BB,8,FALSE),"")</f>
        <v>Account Managed by ABD Team
Mark Anderson
Mark.Anderson@theabdteam.com
Tommy Hendrickson
tommy.hendrickson@theabdteam.com</v>
      </c>
      <c r="L188" s="1062" t="str">
        <f>IFERROR(VLOOKUP($A188,'2018'!$A:$BB,9,FALSE),"")</f>
        <v>New</v>
      </c>
      <c r="M188" s="1067">
        <f>IFERROR(VLOOKUP($A188,'2018'!$A:$BB,10,FALSE),"")</f>
        <v>43101</v>
      </c>
      <c r="N188" s="1062">
        <f>IFERROR(VLOOKUP($A188,'2018'!$A:$BB,12,FALSE),"")</f>
        <v>4</v>
      </c>
      <c r="O188" s="1055" t="str">
        <f>IFERROR(VLOOKUP($A188,'2018'!$A:$BB,13,FALSE),"")</f>
        <v xml:space="preserve">IGOE </v>
      </c>
      <c r="P188" s="1055" t="str">
        <f>IFERROR(VLOOKUP($A188,'2018'!$A:$BB,14,FALSE),"")</f>
        <v>Maestro</v>
      </c>
      <c r="Q188" s="1055" t="str">
        <f>IFERROR(VLOOKUP($A188,'2018'!$A:$BB,16,FALSE),"")</f>
        <v>IGOE</v>
      </c>
      <c r="R188" s="1055" t="str">
        <f>IFERROR(VLOOKUP($A188,'2018'!$A:$BB,17,FALSE),"")</f>
        <v>N/A</v>
      </c>
      <c r="S188" s="1062" t="str">
        <f>IFERROR(VLOOKUP($A188,'2018'!$A:$BB,20,FALSE),"")</f>
        <v>NCAL</v>
      </c>
      <c r="T188" s="1062" t="str">
        <f>IFERROR(VLOOKUP($A188,'2018'!$A:$BB,21,FALSE),"")</f>
        <v>Group C (44-54)</v>
      </c>
      <c r="U188" s="1062" t="str">
        <f>IFERROR(VLOOKUP($A188,'2018'!$A:$BB,22,FALSE),"")</f>
        <v>Expanded</v>
      </c>
      <c r="V188" s="1062" t="str">
        <f>IFERROR(VLOOKUP($A188,'2018'!$A:$BB,23,FALSE),"")</f>
        <v>Advantage</v>
      </c>
      <c r="W188" s="1062" t="str">
        <f>IFERROR(VLOOKUP($A188,'2018'!$A:$BB,24,FALSE),"")</f>
        <v>No</v>
      </c>
      <c r="X188" s="1062" t="str">
        <f>IFERROR(VLOOKUP($A188,'2018'!$A:$BB,41,FALSE),"")</f>
        <v>Region 3</v>
      </c>
      <c r="Y188" s="1062" t="str">
        <f>IFERROR(VLOOKUP($A188,'2018'!$A:$BB,42,FALSE),"")</f>
        <v>(2-9)</v>
      </c>
      <c r="Z188" s="1062" t="str">
        <f>IFERROR(VLOOKUP($A188,'2018'!$A:$BB,45,FALSE),"")</f>
        <v xml:space="preserve"> (2-49)</v>
      </c>
      <c r="AA188" s="731">
        <v>2018</v>
      </c>
      <c r="AB188" s="733" t="s">
        <v>3849</v>
      </c>
      <c r="AC188" s="734" t="s">
        <v>303</v>
      </c>
      <c r="AD188" s="734" t="s">
        <v>3656</v>
      </c>
      <c r="AE188" s="734" t="s">
        <v>307</v>
      </c>
      <c r="AF188" s="734" t="s">
        <v>113</v>
      </c>
      <c r="AG188" s="732" t="s">
        <v>3972</v>
      </c>
      <c r="AH188" s="732" t="s">
        <v>3977</v>
      </c>
      <c r="AI188" s="734">
        <v>13</v>
      </c>
      <c r="AJ188" s="748" t="s">
        <v>4004</v>
      </c>
      <c r="AK188" s="757">
        <v>909678</v>
      </c>
      <c r="AL188" s="756">
        <v>580</v>
      </c>
      <c r="AM188" s="755">
        <v>909678</v>
      </c>
      <c r="AN188" s="756">
        <v>581</v>
      </c>
      <c r="AO188" s="776">
        <f t="shared" si="44"/>
        <v>909678</v>
      </c>
      <c r="AP188" s="754">
        <f t="shared" si="19"/>
        <v>582</v>
      </c>
      <c r="AQ188" s="771" t="s">
        <v>3979</v>
      </c>
      <c r="AR188" s="732" t="s">
        <v>2661</v>
      </c>
      <c r="AS188" s="735"/>
      <c r="AT188" s="735"/>
      <c r="AU188" s="732" t="s">
        <v>3980</v>
      </c>
      <c r="AV188" s="735"/>
      <c r="AW188" s="735"/>
    </row>
    <row r="189" spans="1:49">
      <c r="A189" s="738"/>
      <c r="B189" s="738"/>
      <c r="C189" s="738"/>
      <c r="D189" s="738"/>
      <c r="E189" s="738"/>
      <c r="F189" s="1059" t="str">
        <f>IFERROR(VLOOKUP($A189,'2018'!$A:$BB,3,FALSE),"")</f>
        <v/>
      </c>
      <c r="G189" s="1055" t="str">
        <f>IFERROR(VLOOKUP($A189,'2018'!$A:$BB,4,FALSE),"")</f>
        <v/>
      </c>
      <c r="H189" s="1055" t="str">
        <f>IFERROR(VLOOKUP($A189,'2018'!$A:$BB,5,FALSE),"")</f>
        <v/>
      </c>
      <c r="I189" s="1055" t="str">
        <f>IFERROR(VLOOKUP($A189,'2018'!$A:$BB,6,FALSE),"")</f>
        <v/>
      </c>
      <c r="J189" s="1055" t="str">
        <f>IFERROR(VLOOKUP($A189,'2018'!$A:$BB,7,FALSE),"")</f>
        <v/>
      </c>
      <c r="K189" s="1055" t="str">
        <f>IFERROR(VLOOKUP($A189,'2018'!$A:$BB,8,FALSE),"")</f>
        <v/>
      </c>
      <c r="L189" s="1062" t="str">
        <f>IFERROR(VLOOKUP($A189,'2018'!$A:$BB,9,FALSE),"")</f>
        <v/>
      </c>
      <c r="M189" s="1067" t="str">
        <f>IFERROR(VLOOKUP($A189,'2018'!$A:$BB,10,FALSE),"")</f>
        <v/>
      </c>
      <c r="N189" s="1062" t="str">
        <f>IFERROR(VLOOKUP($A189,'2018'!$A:$BB,12,FALSE),"")</f>
        <v/>
      </c>
      <c r="O189" s="1055" t="str">
        <f>IFERROR(VLOOKUP($A189,'2018'!$A:$BB,13,FALSE),"")</f>
        <v/>
      </c>
      <c r="P189" s="1055" t="str">
        <f>IFERROR(VLOOKUP($A189,'2018'!$A:$BB,14,FALSE),"")</f>
        <v/>
      </c>
      <c r="Q189" s="1055" t="str">
        <f>IFERROR(VLOOKUP($A189,'2018'!$A:$BB,16,FALSE),"")</f>
        <v/>
      </c>
      <c r="R189" s="1055" t="str">
        <f>IFERROR(VLOOKUP($A189,'2018'!$A:$BB,17,FALSE),"")</f>
        <v/>
      </c>
      <c r="S189" s="1062" t="str">
        <f>IFERROR(VLOOKUP($A189,'2018'!$A:$BB,20,FALSE),"")</f>
        <v/>
      </c>
      <c r="T189" s="1062" t="str">
        <f>IFERROR(VLOOKUP($A189,'2018'!$A:$BB,21,FALSE),"")</f>
        <v/>
      </c>
      <c r="U189" s="1062" t="str">
        <f>IFERROR(VLOOKUP($A189,'2018'!$A:$BB,22,FALSE),"")</f>
        <v/>
      </c>
      <c r="V189" s="1062" t="str">
        <f>IFERROR(VLOOKUP($A189,'2018'!$A:$BB,23,FALSE),"")</f>
        <v/>
      </c>
      <c r="W189" s="1062" t="str">
        <f>IFERROR(VLOOKUP($A189,'2018'!$A:$BB,24,FALSE),"")</f>
        <v/>
      </c>
      <c r="X189" s="1062" t="str">
        <f>IFERROR(VLOOKUP($A189,'2018'!$A:$BB,41,FALSE),"")</f>
        <v/>
      </c>
      <c r="Y189" s="1062" t="str">
        <f>IFERROR(VLOOKUP($A189,'2018'!$A:$BB,42,FALSE),"")</f>
        <v/>
      </c>
      <c r="Z189" s="1062" t="str">
        <f>IFERROR(VLOOKUP($A189,'2018'!$A:$BB,45,FALSE),"")</f>
        <v/>
      </c>
      <c r="AA189" s="727"/>
      <c r="AB189" s="728"/>
      <c r="AC189" s="727"/>
      <c r="AD189" s="727"/>
      <c r="AE189" s="727"/>
      <c r="AF189" s="727"/>
      <c r="AG189" s="726"/>
      <c r="AH189" s="726"/>
      <c r="AI189" s="727"/>
      <c r="AJ189" s="747"/>
      <c r="AK189" s="753"/>
      <c r="AL189" s="754"/>
      <c r="AM189" s="753"/>
      <c r="AN189" s="754"/>
      <c r="AO189" s="776"/>
      <c r="AP189" s="754"/>
      <c r="AQ189" s="770"/>
      <c r="AR189" s="726"/>
      <c r="AS189" s="726"/>
      <c r="AT189" s="726"/>
      <c r="AU189" s="726"/>
      <c r="AV189" s="726"/>
      <c r="AW189" s="726"/>
    </row>
    <row r="190" spans="1:49">
      <c r="A190" s="738" t="s">
        <v>394</v>
      </c>
      <c r="B190" s="738" t="s">
        <v>3853</v>
      </c>
      <c r="C190" s="738"/>
      <c r="D190" s="967" t="s">
        <v>3853</v>
      </c>
      <c r="E190" s="967" t="s">
        <v>4187</v>
      </c>
      <c r="F190" s="1059">
        <f>IFERROR(VLOOKUP($A190,'2018'!$A:$BB,3,FALSE),"")</f>
        <v>980376225</v>
      </c>
      <c r="G190" s="1055" t="str">
        <f>IFERROR(VLOOKUP($A190,'2018'!$A:$BB,4,FALSE),"")</f>
        <v>5900 Pasteur Ct #125
Carlsbad, CA 92008</v>
      </c>
      <c r="H190" s="1055" t="str">
        <f>IFERROR(VLOOKUP($A190,'2018'!$A:$BB,5,FALSE),"")</f>
        <v>Nancy Deisinger
760-585-2130
ndeisinger@impedimed.com</v>
      </c>
      <c r="I190" s="1055" t="str">
        <f>IFERROR(VLOOKUP($A190,'2018'!$A:$BB,6,FALSE),"")</f>
        <v>Zak Rico
760-585-2100
ap@impedimed.com</v>
      </c>
      <c r="J190" s="1055" t="str">
        <f>IFERROR(VLOOKUP($A190,'2018'!$A:$BB,7,FALSE),"")</f>
        <v>HUB (San Diego)</v>
      </c>
      <c r="K190" s="1055" t="str">
        <f>IFERROR(VLOOKUP($A190,'2018'!$A:$BB,8,FALSE),"")</f>
        <v>Account Managed by HUB SD Team
Producer - Neal Cook
Service Lead - Domenica Hernandez
Account Rep - Courtney Stanley</v>
      </c>
      <c r="L190" s="1062" t="str">
        <f>IFERROR(VLOOKUP($A190,'2018'!$A:$BB,9,FALSE),"")</f>
        <v>New</v>
      </c>
      <c r="M190" s="1067">
        <f>IFERROR(VLOOKUP($A190,'2018'!$A:$BB,10,FALSE),"")</f>
        <v>43101</v>
      </c>
      <c r="N190" s="1062">
        <f>IFERROR(VLOOKUP($A190,'2018'!$A:$BB,12,FALSE),"")</f>
        <v>48</v>
      </c>
      <c r="O190" s="1055" t="str">
        <f>IFERROR(VLOOKUP($A190,'2018'!$A:$BB,13,FALSE),"")</f>
        <v xml:space="preserve">IGOE </v>
      </c>
      <c r="P190" s="1055" t="str">
        <f>IFERROR(VLOOKUP($A190,'2018'!$A:$BB,14,FALSE),"")</f>
        <v>Maestro</v>
      </c>
      <c r="Q190" s="1055" t="str">
        <f>IFERROR(VLOOKUP($A190,'2018'!$A:$BB,16,FALSE),"")</f>
        <v>IGOE</v>
      </c>
      <c r="R190" s="1055" t="str">
        <f>IFERROR(VLOOKUP($A190,'2018'!$A:$BB,17,FALSE),"")</f>
        <v>N/A - Health Equity</v>
      </c>
      <c r="S190" s="1062" t="str">
        <f>IFERROR(VLOOKUP($A190,'2018'!$A:$BB,20,FALSE),"")</f>
        <v>SCAL</v>
      </c>
      <c r="T190" s="1062" t="str">
        <f>IFERROR(VLOOKUP($A190,'2018'!$A:$BB,21,FALSE),"")</f>
        <v>Group B (34-44)</v>
      </c>
      <c r="U190" s="1062" t="str">
        <f>IFERROR(VLOOKUP($A190,'2018'!$A:$BB,22,FALSE),"")</f>
        <v>Expanded</v>
      </c>
      <c r="V190" s="1062" t="str">
        <f>IFERROR(VLOOKUP($A190,'2018'!$A:$BB,23,FALSE),"")</f>
        <v>Advantage</v>
      </c>
      <c r="W190" s="1062" t="str">
        <f>IFERROR(VLOOKUP($A190,'2018'!$A:$BB,24,FALSE),"")</f>
        <v>No</v>
      </c>
      <c r="X190" s="1062" t="str">
        <f>IFERROR(VLOOKUP($A190,'2018'!$A:$BB,41,FALSE),"")</f>
        <v>Region 1</v>
      </c>
      <c r="Y190" s="1062" t="str">
        <f>IFERROR(VLOOKUP($A190,'2018'!$A:$BB,42,FALSE),"")</f>
        <v>(50-99)</v>
      </c>
      <c r="Z190" s="1062" t="str">
        <f>IFERROR(VLOOKUP($A190,'2018'!$A:$BB,45,FALSE),"")</f>
        <v xml:space="preserve"> (50-99)</v>
      </c>
      <c r="AA190" s="730">
        <v>2018</v>
      </c>
      <c r="AB190" s="728" t="s">
        <v>3854</v>
      </c>
      <c r="AC190" s="727" t="s">
        <v>317</v>
      </c>
      <c r="AD190" s="727" t="s">
        <v>3648</v>
      </c>
      <c r="AE190" s="727" t="s">
        <v>307</v>
      </c>
      <c r="AF190" s="727" t="s">
        <v>113</v>
      </c>
      <c r="AG190" s="726" t="s">
        <v>3962</v>
      </c>
      <c r="AH190" s="726" t="s">
        <v>3963</v>
      </c>
      <c r="AI190" s="727">
        <v>2</v>
      </c>
      <c r="AJ190" s="747" t="s">
        <v>3964</v>
      </c>
      <c r="AK190" s="753">
        <v>260089</v>
      </c>
      <c r="AL190" s="754">
        <v>190</v>
      </c>
      <c r="AM190" s="753">
        <v>260090</v>
      </c>
      <c r="AN190" s="754">
        <v>191</v>
      </c>
      <c r="AO190" s="776">
        <f t="shared" si="20"/>
        <v>260091</v>
      </c>
      <c r="AP190" s="754">
        <f t="shared" si="19"/>
        <v>192</v>
      </c>
      <c r="AQ190" s="770"/>
      <c r="AR190" s="726" t="s">
        <v>2661</v>
      </c>
      <c r="AS190" s="726" t="s">
        <v>3965</v>
      </c>
      <c r="AT190" s="726">
        <v>1900190</v>
      </c>
      <c r="AU190" s="726" t="s">
        <v>3966</v>
      </c>
      <c r="AV190" s="726" t="s">
        <v>4063</v>
      </c>
      <c r="AW190" s="726">
        <v>1910191</v>
      </c>
    </row>
    <row r="191" spans="1:49">
      <c r="A191" s="738" t="s">
        <v>394</v>
      </c>
      <c r="B191" s="738" t="s">
        <v>3853</v>
      </c>
      <c r="C191" s="738"/>
      <c r="D191" s="967" t="s">
        <v>3853</v>
      </c>
      <c r="E191" s="967" t="s">
        <v>4187</v>
      </c>
      <c r="F191" s="1059">
        <f>IFERROR(VLOOKUP($A191,'2018'!$A:$BB,3,FALSE),"")</f>
        <v>980376225</v>
      </c>
      <c r="G191" s="1055" t="str">
        <f>IFERROR(VLOOKUP($A191,'2018'!$A:$BB,4,FALSE),"")</f>
        <v>5900 Pasteur Ct #125
Carlsbad, CA 92008</v>
      </c>
      <c r="H191" s="1055" t="str">
        <f>IFERROR(VLOOKUP($A191,'2018'!$A:$BB,5,FALSE),"")</f>
        <v>Nancy Deisinger
760-585-2130
ndeisinger@impedimed.com</v>
      </c>
      <c r="I191" s="1055" t="str">
        <f>IFERROR(VLOOKUP($A191,'2018'!$A:$BB,6,FALSE),"")</f>
        <v>Zak Rico
760-585-2100
ap@impedimed.com</v>
      </c>
      <c r="J191" s="1055" t="str">
        <f>IFERROR(VLOOKUP($A191,'2018'!$A:$BB,7,FALSE),"")</f>
        <v>HUB (San Diego)</v>
      </c>
      <c r="K191" s="1055" t="str">
        <f>IFERROR(VLOOKUP($A191,'2018'!$A:$BB,8,FALSE),"")</f>
        <v>Account Managed by HUB SD Team
Producer - Neal Cook
Service Lead - Domenica Hernandez
Account Rep - Courtney Stanley</v>
      </c>
      <c r="L191" s="1062" t="str">
        <f>IFERROR(VLOOKUP($A191,'2018'!$A:$BB,9,FALSE),"")</f>
        <v>New</v>
      </c>
      <c r="M191" s="1067">
        <f>IFERROR(VLOOKUP($A191,'2018'!$A:$BB,10,FALSE),"")</f>
        <v>43101</v>
      </c>
      <c r="N191" s="1062">
        <f>IFERROR(VLOOKUP($A191,'2018'!$A:$BB,12,FALSE),"")</f>
        <v>48</v>
      </c>
      <c r="O191" s="1055" t="str">
        <f>IFERROR(VLOOKUP($A191,'2018'!$A:$BB,13,FALSE),"")</f>
        <v xml:space="preserve">IGOE </v>
      </c>
      <c r="P191" s="1055" t="str">
        <f>IFERROR(VLOOKUP($A191,'2018'!$A:$BB,14,FALSE),"")</f>
        <v>Maestro</v>
      </c>
      <c r="Q191" s="1055" t="str">
        <f>IFERROR(VLOOKUP($A191,'2018'!$A:$BB,16,FALSE),"")</f>
        <v>IGOE</v>
      </c>
      <c r="R191" s="1055" t="str">
        <f>IFERROR(VLOOKUP($A191,'2018'!$A:$BB,17,FALSE),"")</f>
        <v>N/A - Health Equity</v>
      </c>
      <c r="S191" s="1062" t="str">
        <f>IFERROR(VLOOKUP($A191,'2018'!$A:$BB,20,FALSE),"")</f>
        <v>SCAL</v>
      </c>
      <c r="T191" s="1062" t="str">
        <f>IFERROR(VLOOKUP($A191,'2018'!$A:$BB,21,FALSE),"")</f>
        <v>Group B (34-44)</v>
      </c>
      <c r="U191" s="1062" t="str">
        <f>IFERROR(VLOOKUP($A191,'2018'!$A:$BB,22,FALSE),"")</f>
        <v>Expanded</v>
      </c>
      <c r="V191" s="1062" t="str">
        <f>IFERROR(VLOOKUP($A191,'2018'!$A:$BB,23,FALSE),"")</f>
        <v>Advantage</v>
      </c>
      <c r="W191" s="1062" t="str">
        <f>IFERROR(VLOOKUP($A191,'2018'!$A:$BB,24,FALSE),"")</f>
        <v>No</v>
      </c>
      <c r="X191" s="1062" t="str">
        <f>IFERROR(VLOOKUP($A191,'2018'!$A:$BB,41,FALSE),"")</f>
        <v>Region 1</v>
      </c>
      <c r="Y191" s="1062" t="str">
        <f>IFERROR(VLOOKUP($A191,'2018'!$A:$BB,42,FALSE),"")</f>
        <v>(50-99)</v>
      </c>
      <c r="Z191" s="1062" t="str">
        <f>IFERROR(VLOOKUP($A191,'2018'!$A:$BB,45,FALSE),"")</f>
        <v xml:space="preserve"> (50-99)</v>
      </c>
      <c r="AA191" s="730">
        <v>2018</v>
      </c>
      <c r="AB191" s="728" t="s">
        <v>3854</v>
      </c>
      <c r="AC191" s="727" t="s">
        <v>317</v>
      </c>
      <c r="AD191" s="727" t="s">
        <v>3648</v>
      </c>
      <c r="AE191" s="727" t="s">
        <v>307</v>
      </c>
      <c r="AF191" s="727" t="s">
        <v>113</v>
      </c>
      <c r="AG191" s="726" t="s">
        <v>3972</v>
      </c>
      <c r="AH191" s="726" t="s">
        <v>3973</v>
      </c>
      <c r="AI191" s="727">
        <v>8</v>
      </c>
      <c r="AJ191" s="747" t="s">
        <v>3992</v>
      </c>
      <c r="AK191" s="757">
        <v>909678</v>
      </c>
      <c r="AL191" s="754">
        <v>373</v>
      </c>
      <c r="AM191" s="755">
        <v>909678</v>
      </c>
      <c r="AN191" s="754">
        <v>374</v>
      </c>
      <c r="AO191" s="776">
        <f t="shared" ref="AO191:AO194" si="45">AM191</f>
        <v>909678</v>
      </c>
      <c r="AP191" s="754">
        <f t="shared" si="19"/>
        <v>375</v>
      </c>
      <c r="AQ191" s="770"/>
      <c r="AR191" s="726" t="s">
        <v>2661</v>
      </c>
      <c r="AS191" s="726" t="s">
        <v>4007</v>
      </c>
      <c r="AT191" s="726">
        <v>3730373</v>
      </c>
      <c r="AU191" s="726" t="s">
        <v>3966</v>
      </c>
      <c r="AV191" s="726" t="s">
        <v>4064</v>
      </c>
      <c r="AW191" s="726">
        <v>3740374</v>
      </c>
    </row>
    <row r="192" spans="1:49">
      <c r="A192" s="738" t="s">
        <v>394</v>
      </c>
      <c r="B192" s="738" t="s">
        <v>3853</v>
      </c>
      <c r="C192" s="738"/>
      <c r="D192" s="967" t="s">
        <v>3853</v>
      </c>
      <c r="E192" s="967" t="s">
        <v>4187</v>
      </c>
      <c r="F192" s="1059">
        <f>IFERROR(VLOOKUP($A192,'2018'!$A:$BB,3,FALSE),"")</f>
        <v>980376225</v>
      </c>
      <c r="G192" s="1055" t="str">
        <f>IFERROR(VLOOKUP($A192,'2018'!$A:$BB,4,FALSE),"")</f>
        <v>5900 Pasteur Ct #125
Carlsbad, CA 92008</v>
      </c>
      <c r="H192" s="1055" t="str">
        <f>IFERROR(VLOOKUP($A192,'2018'!$A:$BB,5,FALSE),"")</f>
        <v>Nancy Deisinger
760-585-2130
ndeisinger@impedimed.com</v>
      </c>
      <c r="I192" s="1055" t="str">
        <f>IFERROR(VLOOKUP($A192,'2018'!$A:$BB,6,FALSE),"")</f>
        <v>Zak Rico
760-585-2100
ap@impedimed.com</v>
      </c>
      <c r="J192" s="1055" t="str">
        <f>IFERROR(VLOOKUP($A192,'2018'!$A:$BB,7,FALSE),"")</f>
        <v>HUB (San Diego)</v>
      </c>
      <c r="K192" s="1055" t="str">
        <f>IFERROR(VLOOKUP($A192,'2018'!$A:$BB,8,FALSE),"")</f>
        <v>Account Managed by HUB SD Team
Producer - Neal Cook
Service Lead - Domenica Hernandez
Account Rep - Courtney Stanley</v>
      </c>
      <c r="L192" s="1062" t="str">
        <f>IFERROR(VLOOKUP($A192,'2018'!$A:$BB,9,FALSE),"")</f>
        <v>New</v>
      </c>
      <c r="M192" s="1067">
        <f>IFERROR(VLOOKUP($A192,'2018'!$A:$BB,10,FALSE),"")</f>
        <v>43101</v>
      </c>
      <c r="N192" s="1062">
        <f>IFERROR(VLOOKUP($A192,'2018'!$A:$BB,12,FALSE),"")</f>
        <v>48</v>
      </c>
      <c r="O192" s="1055" t="str">
        <f>IFERROR(VLOOKUP($A192,'2018'!$A:$BB,13,FALSE),"")</f>
        <v xml:space="preserve">IGOE </v>
      </c>
      <c r="P192" s="1055" t="str">
        <f>IFERROR(VLOOKUP($A192,'2018'!$A:$BB,14,FALSE),"")</f>
        <v>Maestro</v>
      </c>
      <c r="Q192" s="1055" t="str">
        <f>IFERROR(VLOOKUP($A192,'2018'!$A:$BB,16,FALSE),"")</f>
        <v>IGOE</v>
      </c>
      <c r="R192" s="1055" t="str">
        <f>IFERROR(VLOOKUP($A192,'2018'!$A:$BB,17,FALSE),"")</f>
        <v>N/A - Health Equity</v>
      </c>
      <c r="S192" s="1062" t="str">
        <f>IFERROR(VLOOKUP($A192,'2018'!$A:$BB,20,FALSE),"")</f>
        <v>SCAL</v>
      </c>
      <c r="T192" s="1062" t="str">
        <f>IFERROR(VLOOKUP($A192,'2018'!$A:$BB,21,FALSE),"")</f>
        <v>Group B (34-44)</v>
      </c>
      <c r="U192" s="1062" t="str">
        <f>IFERROR(VLOOKUP($A192,'2018'!$A:$BB,22,FALSE),"")</f>
        <v>Expanded</v>
      </c>
      <c r="V192" s="1062" t="str">
        <f>IFERROR(VLOOKUP($A192,'2018'!$A:$BB,23,FALSE),"")</f>
        <v>Advantage</v>
      </c>
      <c r="W192" s="1062" t="str">
        <f>IFERROR(VLOOKUP($A192,'2018'!$A:$BB,24,FALSE),"")</f>
        <v>No</v>
      </c>
      <c r="X192" s="1062" t="str">
        <f>IFERROR(VLOOKUP($A192,'2018'!$A:$BB,41,FALSE),"")</f>
        <v>Region 1</v>
      </c>
      <c r="Y192" s="1062" t="str">
        <f>IFERROR(VLOOKUP($A192,'2018'!$A:$BB,42,FALSE),"")</f>
        <v>(50-99)</v>
      </c>
      <c r="Z192" s="1062" t="str">
        <f>IFERROR(VLOOKUP($A192,'2018'!$A:$BB,45,FALSE),"")</f>
        <v xml:space="preserve"> (50-99)</v>
      </c>
      <c r="AA192" s="730">
        <v>2018</v>
      </c>
      <c r="AB192" s="728" t="s">
        <v>3854</v>
      </c>
      <c r="AC192" s="727" t="s">
        <v>317</v>
      </c>
      <c r="AD192" s="727" t="s">
        <v>3648</v>
      </c>
      <c r="AE192" s="727" t="s">
        <v>307</v>
      </c>
      <c r="AF192" s="727" t="s">
        <v>113</v>
      </c>
      <c r="AG192" s="726" t="s">
        <v>3972</v>
      </c>
      <c r="AH192" s="726" t="s">
        <v>3977</v>
      </c>
      <c r="AI192" s="727">
        <v>14</v>
      </c>
      <c r="AJ192" s="747" t="s">
        <v>3994</v>
      </c>
      <c r="AK192" s="757">
        <v>909678</v>
      </c>
      <c r="AL192" s="754">
        <v>625</v>
      </c>
      <c r="AM192" s="755">
        <v>909678</v>
      </c>
      <c r="AN192" s="754">
        <v>626</v>
      </c>
      <c r="AO192" s="776">
        <f t="shared" si="45"/>
        <v>909678</v>
      </c>
      <c r="AP192" s="754">
        <f t="shared" si="19"/>
        <v>627</v>
      </c>
      <c r="AQ192" s="770"/>
      <c r="AR192" s="726" t="s">
        <v>2661</v>
      </c>
      <c r="AS192" s="726" t="s">
        <v>4060</v>
      </c>
      <c r="AT192" s="726">
        <v>6250625</v>
      </c>
      <c r="AU192" s="726" t="s">
        <v>3980</v>
      </c>
      <c r="AV192" s="726"/>
      <c r="AW192" s="726"/>
    </row>
    <row r="193" spans="1:49">
      <c r="A193" s="738" t="s">
        <v>394</v>
      </c>
      <c r="B193" s="738" t="s">
        <v>3853</v>
      </c>
      <c r="C193" s="738"/>
      <c r="D193" s="967" t="s">
        <v>3853</v>
      </c>
      <c r="E193" s="967" t="s">
        <v>4187</v>
      </c>
      <c r="F193" s="1059">
        <f>IFERROR(VLOOKUP($A193,'2018'!$A:$BB,3,FALSE),"")</f>
        <v>980376225</v>
      </c>
      <c r="G193" s="1055" t="str">
        <f>IFERROR(VLOOKUP($A193,'2018'!$A:$BB,4,FALSE),"")</f>
        <v>5900 Pasteur Ct #125
Carlsbad, CA 92008</v>
      </c>
      <c r="H193" s="1055" t="str">
        <f>IFERROR(VLOOKUP($A193,'2018'!$A:$BB,5,FALSE),"")</f>
        <v>Nancy Deisinger
760-585-2130
ndeisinger@impedimed.com</v>
      </c>
      <c r="I193" s="1055" t="str">
        <f>IFERROR(VLOOKUP($A193,'2018'!$A:$BB,6,FALSE),"")</f>
        <v>Zak Rico
760-585-2100
ap@impedimed.com</v>
      </c>
      <c r="J193" s="1055" t="str">
        <f>IFERROR(VLOOKUP($A193,'2018'!$A:$BB,7,FALSE),"")</f>
        <v>HUB (San Diego)</v>
      </c>
      <c r="K193" s="1055" t="str">
        <f>IFERROR(VLOOKUP($A193,'2018'!$A:$BB,8,FALSE),"")</f>
        <v>Account Managed by HUB SD Team
Producer - Neal Cook
Service Lead - Domenica Hernandez
Account Rep - Courtney Stanley</v>
      </c>
      <c r="L193" s="1062" t="str">
        <f>IFERROR(VLOOKUP($A193,'2018'!$A:$BB,9,FALSE),"")</f>
        <v>New</v>
      </c>
      <c r="M193" s="1067">
        <f>IFERROR(VLOOKUP($A193,'2018'!$A:$BB,10,FALSE),"")</f>
        <v>43101</v>
      </c>
      <c r="N193" s="1062">
        <f>IFERROR(VLOOKUP($A193,'2018'!$A:$BB,12,FALSE),"")</f>
        <v>48</v>
      </c>
      <c r="O193" s="1055" t="str">
        <f>IFERROR(VLOOKUP($A193,'2018'!$A:$BB,13,FALSE),"")</f>
        <v xml:space="preserve">IGOE </v>
      </c>
      <c r="P193" s="1055" t="str">
        <f>IFERROR(VLOOKUP($A193,'2018'!$A:$BB,14,FALSE),"")</f>
        <v>Maestro</v>
      </c>
      <c r="Q193" s="1055" t="str">
        <f>IFERROR(VLOOKUP($A193,'2018'!$A:$BB,16,FALSE),"")</f>
        <v>IGOE</v>
      </c>
      <c r="R193" s="1055" t="str">
        <f>IFERROR(VLOOKUP($A193,'2018'!$A:$BB,17,FALSE),"")</f>
        <v>N/A - Health Equity</v>
      </c>
      <c r="S193" s="1062" t="str">
        <f>IFERROR(VLOOKUP($A193,'2018'!$A:$BB,20,FALSE),"")</f>
        <v>SCAL</v>
      </c>
      <c r="T193" s="1062" t="str">
        <f>IFERROR(VLOOKUP($A193,'2018'!$A:$BB,21,FALSE),"")</f>
        <v>Group B (34-44)</v>
      </c>
      <c r="U193" s="1062" t="str">
        <f>IFERROR(VLOOKUP($A193,'2018'!$A:$BB,22,FALSE),"")</f>
        <v>Expanded</v>
      </c>
      <c r="V193" s="1062" t="str">
        <f>IFERROR(VLOOKUP($A193,'2018'!$A:$BB,23,FALSE),"")</f>
        <v>Advantage</v>
      </c>
      <c r="W193" s="1062" t="str">
        <f>IFERROR(VLOOKUP($A193,'2018'!$A:$BB,24,FALSE),"")</f>
        <v>No</v>
      </c>
      <c r="X193" s="1062" t="str">
        <f>IFERROR(VLOOKUP($A193,'2018'!$A:$BB,41,FALSE),"")</f>
        <v>Region 1</v>
      </c>
      <c r="Y193" s="1062" t="str">
        <f>IFERROR(VLOOKUP($A193,'2018'!$A:$BB,42,FALSE),"")</f>
        <v>(50-99)</v>
      </c>
      <c r="Z193" s="1062" t="str">
        <f>IFERROR(VLOOKUP($A193,'2018'!$A:$BB,45,FALSE),"")</f>
        <v xml:space="preserve"> (50-99)</v>
      </c>
      <c r="AA193" s="730">
        <v>2018</v>
      </c>
      <c r="AB193" s="728" t="s">
        <v>3854</v>
      </c>
      <c r="AC193" s="727" t="s">
        <v>317</v>
      </c>
      <c r="AD193" s="727" t="s">
        <v>3648</v>
      </c>
      <c r="AE193" s="727" t="s">
        <v>307</v>
      </c>
      <c r="AF193" s="727" t="s">
        <v>113</v>
      </c>
      <c r="AG193" s="726" t="s">
        <v>3981</v>
      </c>
      <c r="AH193" s="726" t="s">
        <v>3973</v>
      </c>
      <c r="AI193" s="727">
        <v>11</v>
      </c>
      <c r="AJ193" s="747" t="s">
        <v>3982</v>
      </c>
      <c r="AK193" s="757">
        <v>909678</v>
      </c>
      <c r="AL193" s="754">
        <v>481</v>
      </c>
      <c r="AM193" s="755">
        <v>909678</v>
      </c>
      <c r="AN193" s="754">
        <v>482</v>
      </c>
      <c r="AO193" s="776">
        <f t="shared" si="45"/>
        <v>909678</v>
      </c>
      <c r="AP193" s="754">
        <f t="shared" ref="AP193:AP286" si="46">AN193+1</f>
        <v>483</v>
      </c>
      <c r="AQ193" s="770"/>
      <c r="AR193" s="726" t="s">
        <v>2661</v>
      </c>
      <c r="AS193" s="726" t="s">
        <v>3983</v>
      </c>
      <c r="AT193" s="726">
        <v>4810481</v>
      </c>
      <c r="AU193" s="726" t="s">
        <v>3966</v>
      </c>
      <c r="AV193" s="726" t="s">
        <v>4065</v>
      </c>
      <c r="AW193" s="726">
        <v>4820482</v>
      </c>
    </row>
    <row r="194" spans="1:49">
      <c r="A194" s="738" t="s">
        <v>394</v>
      </c>
      <c r="B194" s="738" t="s">
        <v>3853</v>
      </c>
      <c r="C194" s="738"/>
      <c r="D194" s="967" t="s">
        <v>3853</v>
      </c>
      <c r="E194" s="967" t="s">
        <v>4187</v>
      </c>
      <c r="F194" s="1059">
        <f>IFERROR(VLOOKUP($A194,'2018'!$A:$BB,3,FALSE),"")</f>
        <v>980376225</v>
      </c>
      <c r="G194" s="1055" t="str">
        <f>IFERROR(VLOOKUP($A194,'2018'!$A:$BB,4,FALSE),"")</f>
        <v>5900 Pasteur Ct #125
Carlsbad, CA 92008</v>
      </c>
      <c r="H194" s="1055" t="str">
        <f>IFERROR(VLOOKUP($A194,'2018'!$A:$BB,5,FALSE),"")</f>
        <v>Nancy Deisinger
760-585-2130
ndeisinger@impedimed.com</v>
      </c>
      <c r="I194" s="1055" t="str">
        <f>IFERROR(VLOOKUP($A194,'2018'!$A:$BB,6,FALSE),"")</f>
        <v>Zak Rico
760-585-2100
ap@impedimed.com</v>
      </c>
      <c r="J194" s="1055" t="str">
        <f>IFERROR(VLOOKUP($A194,'2018'!$A:$BB,7,FALSE),"")</f>
        <v>HUB (San Diego)</v>
      </c>
      <c r="K194" s="1055" t="str">
        <f>IFERROR(VLOOKUP($A194,'2018'!$A:$BB,8,FALSE),"")</f>
        <v>Account Managed by HUB SD Team
Producer - Neal Cook
Service Lead - Domenica Hernandez
Account Rep - Courtney Stanley</v>
      </c>
      <c r="L194" s="1062" t="str">
        <f>IFERROR(VLOOKUP($A194,'2018'!$A:$BB,9,FALSE),"")</f>
        <v>New</v>
      </c>
      <c r="M194" s="1067">
        <f>IFERROR(VLOOKUP($A194,'2018'!$A:$BB,10,FALSE),"")</f>
        <v>43101</v>
      </c>
      <c r="N194" s="1062">
        <f>IFERROR(VLOOKUP($A194,'2018'!$A:$BB,12,FALSE),"")</f>
        <v>48</v>
      </c>
      <c r="O194" s="1055" t="str">
        <f>IFERROR(VLOOKUP($A194,'2018'!$A:$BB,13,FALSE),"")</f>
        <v xml:space="preserve">IGOE </v>
      </c>
      <c r="P194" s="1055" t="str">
        <f>IFERROR(VLOOKUP($A194,'2018'!$A:$BB,14,FALSE),"")</f>
        <v>Maestro</v>
      </c>
      <c r="Q194" s="1055" t="str">
        <f>IFERROR(VLOOKUP($A194,'2018'!$A:$BB,16,FALSE),"")</f>
        <v>IGOE</v>
      </c>
      <c r="R194" s="1055" t="str">
        <f>IFERROR(VLOOKUP($A194,'2018'!$A:$BB,17,FALSE),"")</f>
        <v>N/A - Health Equity</v>
      </c>
      <c r="S194" s="1062" t="str">
        <f>IFERROR(VLOOKUP($A194,'2018'!$A:$BB,20,FALSE),"")</f>
        <v>SCAL</v>
      </c>
      <c r="T194" s="1062" t="str">
        <f>IFERROR(VLOOKUP($A194,'2018'!$A:$BB,21,FALSE),"")</f>
        <v>Group B (34-44)</v>
      </c>
      <c r="U194" s="1062" t="str">
        <f>IFERROR(VLOOKUP($A194,'2018'!$A:$BB,22,FALSE),"")</f>
        <v>Expanded</v>
      </c>
      <c r="V194" s="1062" t="str">
        <f>IFERROR(VLOOKUP($A194,'2018'!$A:$BB,23,FALSE),"")</f>
        <v>Advantage</v>
      </c>
      <c r="W194" s="1062" t="str">
        <f>IFERROR(VLOOKUP($A194,'2018'!$A:$BB,24,FALSE),"")</f>
        <v>No</v>
      </c>
      <c r="X194" s="1062" t="str">
        <f>IFERROR(VLOOKUP($A194,'2018'!$A:$BB,41,FALSE),"")</f>
        <v>Region 1</v>
      </c>
      <c r="Y194" s="1062" t="str">
        <f>IFERROR(VLOOKUP($A194,'2018'!$A:$BB,42,FALSE),"")</f>
        <v>(50-99)</v>
      </c>
      <c r="Z194" s="1062" t="str">
        <f>IFERROR(VLOOKUP($A194,'2018'!$A:$BB,45,FALSE),"")</f>
        <v xml:space="preserve"> (50-99)</v>
      </c>
      <c r="AA194" s="730">
        <v>2018</v>
      </c>
      <c r="AB194" s="728" t="s">
        <v>3854</v>
      </c>
      <c r="AC194" s="727" t="s">
        <v>317</v>
      </c>
      <c r="AD194" s="727" t="s">
        <v>3648</v>
      </c>
      <c r="AE194" s="727" t="s">
        <v>307</v>
      </c>
      <c r="AF194" s="727" t="s">
        <v>113</v>
      </c>
      <c r="AG194" s="726" t="s">
        <v>3981</v>
      </c>
      <c r="AH194" s="726" t="s">
        <v>3977</v>
      </c>
      <c r="AI194" s="727">
        <v>16</v>
      </c>
      <c r="AJ194" s="747" t="s">
        <v>3985</v>
      </c>
      <c r="AK194" s="757">
        <v>909678</v>
      </c>
      <c r="AL194" s="754">
        <v>733</v>
      </c>
      <c r="AM194" s="755">
        <v>909678</v>
      </c>
      <c r="AN194" s="754">
        <v>734</v>
      </c>
      <c r="AO194" s="776">
        <f t="shared" si="45"/>
        <v>909678</v>
      </c>
      <c r="AP194" s="754">
        <f t="shared" si="46"/>
        <v>735</v>
      </c>
      <c r="AQ194" s="770"/>
      <c r="AR194" s="726" t="s">
        <v>2661</v>
      </c>
      <c r="AS194" s="726" t="s">
        <v>4066</v>
      </c>
      <c r="AT194" s="726">
        <v>7330733</v>
      </c>
      <c r="AU194" s="726" t="s">
        <v>3980</v>
      </c>
      <c r="AV194" s="726"/>
      <c r="AW194" s="726"/>
    </row>
    <row r="195" spans="1:49">
      <c r="A195" s="738"/>
      <c r="B195" s="738"/>
      <c r="C195" s="738"/>
      <c r="D195" s="738"/>
      <c r="E195" s="738"/>
      <c r="F195" s="1059" t="str">
        <f>IFERROR(VLOOKUP($A195,'2018'!$A:$BB,3,FALSE),"")</f>
        <v/>
      </c>
      <c r="G195" s="1055" t="str">
        <f>IFERROR(VLOOKUP($A195,'2018'!$A:$BB,4,FALSE),"")</f>
        <v/>
      </c>
      <c r="H195" s="1055" t="str">
        <f>IFERROR(VLOOKUP($A195,'2018'!$A:$BB,5,FALSE),"")</f>
        <v/>
      </c>
      <c r="I195" s="1055" t="str">
        <f>IFERROR(VLOOKUP($A195,'2018'!$A:$BB,6,FALSE),"")</f>
        <v/>
      </c>
      <c r="J195" s="1055" t="str">
        <f>IFERROR(VLOOKUP($A195,'2018'!$A:$BB,7,FALSE),"")</f>
        <v/>
      </c>
      <c r="K195" s="1055" t="str">
        <f>IFERROR(VLOOKUP($A195,'2018'!$A:$BB,8,FALSE),"")</f>
        <v/>
      </c>
      <c r="L195" s="1062" t="str">
        <f>IFERROR(VLOOKUP($A195,'2018'!$A:$BB,9,FALSE),"")</f>
        <v/>
      </c>
      <c r="M195" s="1067" t="str">
        <f>IFERROR(VLOOKUP($A195,'2018'!$A:$BB,10,FALSE),"")</f>
        <v/>
      </c>
      <c r="N195" s="1062" t="str">
        <f>IFERROR(VLOOKUP($A195,'2018'!$A:$BB,12,FALSE),"")</f>
        <v/>
      </c>
      <c r="O195" s="1055" t="str">
        <f>IFERROR(VLOOKUP($A195,'2018'!$A:$BB,13,FALSE),"")</f>
        <v/>
      </c>
      <c r="P195" s="1055" t="str">
        <f>IFERROR(VLOOKUP($A195,'2018'!$A:$BB,14,FALSE),"")</f>
        <v/>
      </c>
      <c r="Q195" s="1055" t="str">
        <f>IFERROR(VLOOKUP($A195,'2018'!$A:$BB,16,FALSE),"")</f>
        <v/>
      </c>
      <c r="R195" s="1055" t="str">
        <f>IFERROR(VLOOKUP($A195,'2018'!$A:$BB,17,FALSE),"")</f>
        <v/>
      </c>
      <c r="S195" s="1062" t="str">
        <f>IFERROR(VLOOKUP($A195,'2018'!$A:$BB,20,FALSE),"")</f>
        <v/>
      </c>
      <c r="T195" s="1062" t="str">
        <f>IFERROR(VLOOKUP($A195,'2018'!$A:$BB,21,FALSE),"")</f>
        <v/>
      </c>
      <c r="U195" s="1062" t="str">
        <f>IFERROR(VLOOKUP($A195,'2018'!$A:$BB,22,FALSE),"")</f>
        <v/>
      </c>
      <c r="V195" s="1062" t="str">
        <f>IFERROR(VLOOKUP($A195,'2018'!$A:$BB,23,FALSE),"")</f>
        <v/>
      </c>
      <c r="W195" s="1062" t="str">
        <f>IFERROR(VLOOKUP($A195,'2018'!$A:$BB,24,FALSE),"")</f>
        <v/>
      </c>
      <c r="X195" s="1062" t="str">
        <f>IFERROR(VLOOKUP($A195,'2018'!$A:$BB,41,FALSE),"")</f>
        <v/>
      </c>
      <c r="Y195" s="1062" t="str">
        <f>IFERROR(VLOOKUP($A195,'2018'!$A:$BB,42,FALSE),"")</f>
        <v/>
      </c>
      <c r="Z195" s="1062" t="str">
        <f>IFERROR(VLOOKUP($A195,'2018'!$A:$BB,45,FALSE),"")</f>
        <v/>
      </c>
      <c r="AA195" s="727"/>
      <c r="AB195" s="728"/>
      <c r="AC195" s="727"/>
      <c r="AD195" s="727"/>
      <c r="AE195" s="727"/>
      <c r="AF195" s="727"/>
      <c r="AG195" s="726"/>
      <c r="AH195" s="726"/>
      <c r="AI195" s="727"/>
      <c r="AJ195" s="747"/>
      <c r="AK195" s="753"/>
      <c r="AL195" s="754"/>
      <c r="AM195" s="753"/>
      <c r="AN195" s="754"/>
      <c r="AO195" s="776"/>
      <c r="AP195" s="754"/>
      <c r="AQ195" s="770"/>
      <c r="AR195" s="726"/>
      <c r="AS195" s="726"/>
      <c r="AT195" s="726"/>
      <c r="AU195" s="726"/>
      <c r="AV195" s="726"/>
      <c r="AW195" s="726"/>
    </row>
    <row r="196" spans="1:49">
      <c r="A196" s="736" t="s">
        <v>141</v>
      </c>
      <c r="B196" s="736" t="s">
        <v>141</v>
      </c>
      <c r="C196" s="736"/>
      <c r="D196" s="736" t="s">
        <v>141</v>
      </c>
      <c r="E196" s="736" t="s">
        <v>141</v>
      </c>
      <c r="F196" s="1059">
        <f>IFERROR(VLOOKUP($A196,'2018'!$A:$BB,3,FALSE),"")</f>
        <v>812767509</v>
      </c>
      <c r="G196" s="1055" t="str">
        <f>IFERROR(VLOOKUP($A196,'2018'!$A:$BB,4,FALSE),"")</f>
        <v>863 Mitten Road, Suite 104
Burlingame, CA 94010</v>
      </c>
      <c r="H196" s="1055" t="str">
        <f>IFERROR(VLOOKUP($A196,'2018'!$A:$BB,5,FALSE),"")</f>
        <v xml:space="preserve">Jonathan Romanowsky
650.219.2141
Jonathan@inflammatix.com </v>
      </c>
      <c r="I196" s="1055" t="str">
        <f>IFERROR(VLOOKUP($A196,'2018'!$A:$BB,6,FALSE),"")</f>
        <v xml:space="preserve">Jonathan Romanowsky
650.219.2141
Jonathan@inflammatix.com </v>
      </c>
      <c r="J196" s="1055" t="str">
        <f>IFERROR(VLOOKUP($A196,'2018'!$A:$BB,7,FALSE),"")</f>
        <v>HUB (San Diego)</v>
      </c>
      <c r="K196" s="1055" t="str">
        <f>IFERROR(VLOOKUP($A196,'2018'!$A:$BB,8,FALSE),"")</f>
        <v>Account Managed by HUB SD Team
Producer - Dave Duenas
Service Lead - Courtney Stanley</v>
      </c>
      <c r="L196" s="1062" t="str">
        <f>IFERROR(VLOOKUP($A196,'2018'!$A:$BB,9,FALSE),"")</f>
        <v>Renewal</v>
      </c>
      <c r="M196" s="1067">
        <f>IFERROR(VLOOKUP($A196,'2018'!$A:$BB,10,FALSE),"")</f>
        <v>42826</v>
      </c>
      <c r="N196" s="1062">
        <f>IFERROR(VLOOKUP($A196,'2018'!$A:$BB,12,FALSE),"")</f>
        <v>11</v>
      </c>
      <c r="O196" s="1055" t="str">
        <f>IFERROR(VLOOKUP($A196,'2018'!$A:$BB,13,FALSE),"")</f>
        <v xml:space="preserve">IGOE </v>
      </c>
      <c r="P196" s="1055" t="str">
        <f>IFERROR(VLOOKUP($A196,'2018'!$A:$BB,14,FALSE),"")</f>
        <v xml:space="preserve">Maestro </v>
      </c>
      <c r="Q196" s="1055" t="str">
        <f>IFERROR(VLOOKUP($A196,'2018'!$A:$BB,16,FALSE),"")</f>
        <v>N/A</v>
      </c>
      <c r="R196" s="1055" t="str">
        <f>IFERROR(VLOOKUP($A196,'2018'!$A:$BB,17,FALSE),"")</f>
        <v>Optum Health</v>
      </c>
      <c r="S196" s="1062" t="str">
        <f>IFERROR(VLOOKUP($A196,'2018'!$A:$BB,20,FALSE),"")</f>
        <v>NCAL</v>
      </c>
      <c r="T196" s="1062" t="str">
        <f>IFERROR(VLOOKUP($A196,'2018'!$A:$BB,21,FALSE),"")</f>
        <v>Group B (34-44)</v>
      </c>
      <c r="U196" s="1062" t="str">
        <f>IFERROR(VLOOKUP($A196,'2018'!$A:$BB,22,FALSE),"")</f>
        <v>Expanded</v>
      </c>
      <c r="V196" s="1062" t="str">
        <f>IFERROR(VLOOKUP($A196,'2018'!$A:$BB,23,FALSE),"")</f>
        <v>Advantage</v>
      </c>
      <c r="W196" s="1062" t="str">
        <f>IFERROR(VLOOKUP($A196,'2018'!$A:$BB,24,FALSE),"")</f>
        <v>No</v>
      </c>
      <c r="X196" s="1062" t="str">
        <f>IFERROR(VLOOKUP($A196,'2018'!$A:$BB,41,FALSE),"")</f>
        <v xml:space="preserve">Region 4 </v>
      </c>
      <c r="Y196" s="1062" t="str">
        <f>IFERROR(VLOOKUP($A196,'2018'!$A:$BB,42,FALSE),"")</f>
        <v>(2-9)</v>
      </c>
      <c r="Z196" s="1062" t="str">
        <f>IFERROR(VLOOKUP($A196,'2018'!$A:$BB,45,FALSE),"")</f>
        <v xml:space="preserve"> (2-49)</v>
      </c>
      <c r="AA196" s="731">
        <v>2018</v>
      </c>
      <c r="AB196" s="733" t="s">
        <v>3857</v>
      </c>
      <c r="AC196" s="734" t="s">
        <v>303</v>
      </c>
      <c r="AD196" s="734" t="s">
        <v>3648</v>
      </c>
      <c r="AE196" s="734" t="s">
        <v>307</v>
      </c>
      <c r="AF196" s="734" t="s">
        <v>113</v>
      </c>
      <c r="AG196" s="732" t="s">
        <v>3962</v>
      </c>
      <c r="AH196" s="732" t="s">
        <v>3963</v>
      </c>
      <c r="AI196" s="734">
        <v>2</v>
      </c>
      <c r="AJ196" s="748" t="s">
        <v>3964</v>
      </c>
      <c r="AK196" s="758">
        <v>260077</v>
      </c>
      <c r="AL196" s="756">
        <v>178</v>
      </c>
      <c r="AM196" s="758">
        <v>260078</v>
      </c>
      <c r="AN196" s="756">
        <v>179</v>
      </c>
      <c r="AO196" s="776">
        <f>AM196+1</f>
        <v>260079</v>
      </c>
      <c r="AP196" s="754">
        <f>AN196+1</f>
        <v>180</v>
      </c>
      <c r="AQ196" s="771" t="s">
        <v>3979</v>
      </c>
      <c r="AR196" s="732" t="s">
        <v>2661</v>
      </c>
      <c r="AS196" s="735"/>
      <c r="AT196" s="735"/>
      <c r="AU196" s="732" t="s">
        <v>3980</v>
      </c>
      <c r="AV196" s="735"/>
      <c r="AW196" s="735"/>
    </row>
    <row r="197" spans="1:49" s="739" customFormat="1">
      <c r="A197" s="736" t="s">
        <v>141</v>
      </c>
      <c r="B197" s="736" t="s">
        <v>141</v>
      </c>
      <c r="C197" s="736"/>
      <c r="D197" s="736" t="s">
        <v>141</v>
      </c>
      <c r="E197" s="736" t="s">
        <v>141</v>
      </c>
      <c r="F197" s="1059">
        <f>IFERROR(VLOOKUP($A197,'2018'!$A:$BB,3,FALSE),"")</f>
        <v>812767509</v>
      </c>
      <c r="G197" s="1055" t="str">
        <f>IFERROR(VLOOKUP($A197,'2018'!$A:$BB,4,FALSE),"")</f>
        <v>863 Mitten Road, Suite 104
Burlingame, CA 94010</v>
      </c>
      <c r="H197" s="1055" t="str">
        <f>IFERROR(VLOOKUP($A197,'2018'!$A:$BB,5,FALSE),"")</f>
        <v xml:space="preserve">Jonathan Romanowsky
650.219.2141
Jonathan@inflammatix.com </v>
      </c>
      <c r="I197" s="1055" t="str">
        <f>IFERROR(VLOOKUP($A197,'2018'!$A:$BB,6,FALSE),"")</f>
        <v xml:space="preserve">Jonathan Romanowsky
650.219.2141
Jonathan@inflammatix.com </v>
      </c>
      <c r="J197" s="1055" t="str">
        <f>IFERROR(VLOOKUP($A197,'2018'!$A:$BB,7,FALSE),"")</f>
        <v>HUB (San Diego)</v>
      </c>
      <c r="K197" s="1055" t="str">
        <f>IFERROR(VLOOKUP($A197,'2018'!$A:$BB,8,FALSE),"")</f>
        <v>Account Managed by HUB SD Team
Producer - Dave Duenas
Service Lead - Courtney Stanley</v>
      </c>
      <c r="L197" s="1062" t="str">
        <f>IFERROR(VLOOKUP($A197,'2018'!$A:$BB,9,FALSE),"")</f>
        <v>Renewal</v>
      </c>
      <c r="M197" s="1067">
        <f>IFERROR(VLOOKUP($A197,'2018'!$A:$BB,10,FALSE),"")</f>
        <v>42826</v>
      </c>
      <c r="N197" s="1062">
        <f>IFERROR(VLOOKUP($A197,'2018'!$A:$BB,12,FALSE),"")</f>
        <v>11</v>
      </c>
      <c r="O197" s="1055" t="str">
        <f>IFERROR(VLOOKUP($A197,'2018'!$A:$BB,13,FALSE),"")</f>
        <v xml:space="preserve">IGOE </v>
      </c>
      <c r="P197" s="1055" t="str">
        <f>IFERROR(VLOOKUP($A197,'2018'!$A:$BB,14,FALSE),"")</f>
        <v xml:space="preserve">Maestro </v>
      </c>
      <c r="Q197" s="1055" t="str">
        <f>IFERROR(VLOOKUP($A197,'2018'!$A:$BB,16,FALSE),"")</f>
        <v>N/A</v>
      </c>
      <c r="R197" s="1055" t="str">
        <f>IFERROR(VLOOKUP($A197,'2018'!$A:$BB,17,FALSE),"")</f>
        <v>Optum Health</v>
      </c>
      <c r="S197" s="1062" t="str">
        <f>IFERROR(VLOOKUP($A197,'2018'!$A:$BB,20,FALSE),"")</f>
        <v>NCAL</v>
      </c>
      <c r="T197" s="1062" t="str">
        <f>IFERROR(VLOOKUP($A197,'2018'!$A:$BB,21,FALSE),"")</f>
        <v>Group B (34-44)</v>
      </c>
      <c r="U197" s="1062" t="str">
        <f>IFERROR(VLOOKUP($A197,'2018'!$A:$BB,22,FALSE),"")</f>
        <v>Expanded</v>
      </c>
      <c r="V197" s="1062" t="str">
        <f>IFERROR(VLOOKUP($A197,'2018'!$A:$BB,23,FALSE),"")</f>
        <v>Advantage</v>
      </c>
      <c r="W197" s="1062" t="str">
        <f>IFERROR(VLOOKUP($A197,'2018'!$A:$BB,24,FALSE),"")</f>
        <v>No</v>
      </c>
      <c r="X197" s="1062" t="str">
        <f>IFERROR(VLOOKUP($A197,'2018'!$A:$BB,41,FALSE),"")</f>
        <v xml:space="preserve">Region 4 </v>
      </c>
      <c r="Y197" s="1062" t="str">
        <f>IFERROR(VLOOKUP($A197,'2018'!$A:$BB,42,FALSE),"")</f>
        <v>(2-9)</v>
      </c>
      <c r="Z197" s="1062" t="str">
        <f>IFERROR(VLOOKUP($A197,'2018'!$A:$BB,45,FALSE),"")</f>
        <v xml:space="preserve"> (2-49)</v>
      </c>
      <c r="AA197" s="731">
        <v>2018</v>
      </c>
      <c r="AB197" s="733" t="s">
        <v>3857</v>
      </c>
      <c r="AC197" s="734" t="s">
        <v>303</v>
      </c>
      <c r="AD197" s="734" t="s">
        <v>3648</v>
      </c>
      <c r="AE197" s="734" t="s">
        <v>307</v>
      </c>
      <c r="AF197" s="734" t="s">
        <v>113</v>
      </c>
      <c r="AG197" s="732" t="s">
        <v>3972</v>
      </c>
      <c r="AH197" s="732" t="s">
        <v>3973</v>
      </c>
      <c r="AI197" s="734">
        <v>7</v>
      </c>
      <c r="AJ197" s="748" t="s">
        <v>4001</v>
      </c>
      <c r="AK197" s="757">
        <v>909678</v>
      </c>
      <c r="AL197" s="756">
        <v>325</v>
      </c>
      <c r="AM197" s="755">
        <v>909678</v>
      </c>
      <c r="AN197" s="756">
        <v>326</v>
      </c>
      <c r="AO197" s="776">
        <f t="shared" ref="AO197:AO200" si="47">AM197</f>
        <v>909678</v>
      </c>
      <c r="AP197" s="754">
        <f>AN197+1</f>
        <v>327</v>
      </c>
      <c r="AQ197" s="771" t="s">
        <v>3979</v>
      </c>
      <c r="AR197" s="732" t="s">
        <v>2661</v>
      </c>
      <c r="AS197" s="735"/>
      <c r="AT197" s="735"/>
      <c r="AU197" s="732" t="s">
        <v>3980</v>
      </c>
      <c r="AV197" s="735"/>
      <c r="AW197" s="735"/>
    </row>
    <row r="198" spans="1:49" s="739" customFormat="1">
      <c r="A198" s="736" t="s">
        <v>141</v>
      </c>
      <c r="B198" s="736" t="s">
        <v>141</v>
      </c>
      <c r="C198" s="736"/>
      <c r="D198" s="736" t="s">
        <v>141</v>
      </c>
      <c r="E198" s="736" t="s">
        <v>141</v>
      </c>
      <c r="F198" s="1059">
        <f>IFERROR(VLOOKUP($A198,'2018'!$A:$BB,3,FALSE),"")</f>
        <v>812767509</v>
      </c>
      <c r="G198" s="1055" t="str">
        <f>IFERROR(VLOOKUP($A198,'2018'!$A:$BB,4,FALSE),"")</f>
        <v>863 Mitten Road, Suite 104
Burlingame, CA 94010</v>
      </c>
      <c r="H198" s="1055" t="str">
        <f>IFERROR(VLOOKUP($A198,'2018'!$A:$BB,5,FALSE),"")</f>
        <v xml:space="preserve">Jonathan Romanowsky
650.219.2141
Jonathan@inflammatix.com </v>
      </c>
      <c r="I198" s="1055" t="str">
        <f>IFERROR(VLOOKUP($A198,'2018'!$A:$BB,6,FALSE),"")</f>
        <v xml:space="preserve">Jonathan Romanowsky
650.219.2141
Jonathan@inflammatix.com </v>
      </c>
      <c r="J198" s="1055" t="str">
        <f>IFERROR(VLOOKUP($A198,'2018'!$A:$BB,7,FALSE),"")</f>
        <v>HUB (San Diego)</v>
      </c>
      <c r="K198" s="1055" t="str">
        <f>IFERROR(VLOOKUP($A198,'2018'!$A:$BB,8,FALSE),"")</f>
        <v>Account Managed by HUB SD Team
Producer - Dave Duenas
Service Lead - Courtney Stanley</v>
      </c>
      <c r="L198" s="1062" t="str">
        <f>IFERROR(VLOOKUP($A198,'2018'!$A:$BB,9,FALSE),"")</f>
        <v>Renewal</v>
      </c>
      <c r="M198" s="1067">
        <f>IFERROR(VLOOKUP($A198,'2018'!$A:$BB,10,FALSE),"")</f>
        <v>42826</v>
      </c>
      <c r="N198" s="1062">
        <f>IFERROR(VLOOKUP($A198,'2018'!$A:$BB,12,FALSE),"")</f>
        <v>11</v>
      </c>
      <c r="O198" s="1055" t="str">
        <f>IFERROR(VLOOKUP($A198,'2018'!$A:$BB,13,FALSE),"")</f>
        <v xml:space="preserve">IGOE </v>
      </c>
      <c r="P198" s="1055" t="str">
        <f>IFERROR(VLOOKUP($A198,'2018'!$A:$BB,14,FALSE),"")</f>
        <v xml:space="preserve">Maestro </v>
      </c>
      <c r="Q198" s="1055" t="str">
        <f>IFERROR(VLOOKUP($A198,'2018'!$A:$BB,16,FALSE),"")</f>
        <v>N/A</v>
      </c>
      <c r="R198" s="1055" t="str">
        <f>IFERROR(VLOOKUP($A198,'2018'!$A:$BB,17,FALSE),"")</f>
        <v>Optum Health</v>
      </c>
      <c r="S198" s="1062" t="str">
        <f>IFERROR(VLOOKUP($A198,'2018'!$A:$BB,20,FALSE),"")</f>
        <v>NCAL</v>
      </c>
      <c r="T198" s="1062" t="str">
        <f>IFERROR(VLOOKUP($A198,'2018'!$A:$BB,21,FALSE),"")</f>
        <v>Group B (34-44)</v>
      </c>
      <c r="U198" s="1062" t="str">
        <f>IFERROR(VLOOKUP($A198,'2018'!$A:$BB,22,FALSE),"")</f>
        <v>Expanded</v>
      </c>
      <c r="V198" s="1062" t="str">
        <f>IFERROR(VLOOKUP($A198,'2018'!$A:$BB,23,FALSE),"")</f>
        <v>Advantage</v>
      </c>
      <c r="W198" s="1062" t="str">
        <f>IFERROR(VLOOKUP($A198,'2018'!$A:$BB,24,FALSE),"")</f>
        <v>No</v>
      </c>
      <c r="X198" s="1062" t="str">
        <f>IFERROR(VLOOKUP($A198,'2018'!$A:$BB,41,FALSE),"")</f>
        <v xml:space="preserve">Region 4 </v>
      </c>
      <c r="Y198" s="1062" t="str">
        <f>IFERROR(VLOOKUP($A198,'2018'!$A:$BB,42,FALSE),"")</f>
        <v>(2-9)</v>
      </c>
      <c r="Z198" s="1062" t="str">
        <f>IFERROR(VLOOKUP($A198,'2018'!$A:$BB,45,FALSE),"")</f>
        <v xml:space="preserve"> (2-49)</v>
      </c>
      <c r="AA198" s="731">
        <v>2018</v>
      </c>
      <c r="AB198" s="733" t="s">
        <v>3857</v>
      </c>
      <c r="AC198" s="734" t="s">
        <v>303</v>
      </c>
      <c r="AD198" s="734" t="s">
        <v>3648</v>
      </c>
      <c r="AE198" s="734" t="s">
        <v>307</v>
      </c>
      <c r="AF198" s="734" t="s">
        <v>113</v>
      </c>
      <c r="AG198" s="732" t="s">
        <v>3972</v>
      </c>
      <c r="AH198" s="732" t="s">
        <v>3977</v>
      </c>
      <c r="AI198" s="734">
        <v>13</v>
      </c>
      <c r="AJ198" s="748" t="s">
        <v>4004</v>
      </c>
      <c r="AK198" s="757">
        <v>909678</v>
      </c>
      <c r="AL198" s="756">
        <v>577</v>
      </c>
      <c r="AM198" s="755">
        <v>909678</v>
      </c>
      <c r="AN198" s="756">
        <v>578</v>
      </c>
      <c r="AO198" s="776">
        <f t="shared" si="47"/>
        <v>909678</v>
      </c>
      <c r="AP198" s="754">
        <f>AN198+1</f>
        <v>579</v>
      </c>
      <c r="AQ198" s="771" t="s">
        <v>3979</v>
      </c>
      <c r="AR198" s="732" t="s">
        <v>2661</v>
      </c>
      <c r="AS198" s="735"/>
      <c r="AT198" s="735"/>
      <c r="AU198" s="732" t="s">
        <v>3980</v>
      </c>
      <c r="AV198" s="735"/>
      <c r="AW198" s="735"/>
    </row>
    <row r="199" spans="1:49" s="739" customFormat="1">
      <c r="A199" s="736" t="s">
        <v>141</v>
      </c>
      <c r="B199" s="736" t="s">
        <v>141</v>
      </c>
      <c r="C199" s="736"/>
      <c r="D199" s="736" t="s">
        <v>141</v>
      </c>
      <c r="E199" s="736" t="s">
        <v>141</v>
      </c>
      <c r="F199" s="1059">
        <f>IFERROR(VLOOKUP($A199,'2018'!$A:$BB,3,FALSE),"")</f>
        <v>812767509</v>
      </c>
      <c r="G199" s="1055" t="str">
        <f>IFERROR(VLOOKUP($A199,'2018'!$A:$BB,4,FALSE),"")</f>
        <v>863 Mitten Road, Suite 104
Burlingame, CA 94010</v>
      </c>
      <c r="H199" s="1055" t="str">
        <f>IFERROR(VLOOKUP($A199,'2018'!$A:$BB,5,FALSE),"")</f>
        <v xml:space="preserve">Jonathan Romanowsky
650.219.2141
Jonathan@inflammatix.com </v>
      </c>
      <c r="I199" s="1055" t="str">
        <f>IFERROR(VLOOKUP($A199,'2018'!$A:$BB,6,FALSE),"")</f>
        <v xml:space="preserve">Jonathan Romanowsky
650.219.2141
Jonathan@inflammatix.com </v>
      </c>
      <c r="J199" s="1055" t="str">
        <f>IFERROR(VLOOKUP($A199,'2018'!$A:$BB,7,FALSE),"")</f>
        <v>HUB (San Diego)</v>
      </c>
      <c r="K199" s="1055" t="str">
        <f>IFERROR(VLOOKUP($A199,'2018'!$A:$BB,8,FALSE),"")</f>
        <v>Account Managed by HUB SD Team
Producer - Dave Duenas
Service Lead - Courtney Stanley</v>
      </c>
      <c r="L199" s="1062" t="str">
        <f>IFERROR(VLOOKUP($A199,'2018'!$A:$BB,9,FALSE),"")</f>
        <v>Renewal</v>
      </c>
      <c r="M199" s="1067">
        <f>IFERROR(VLOOKUP($A199,'2018'!$A:$BB,10,FALSE),"")</f>
        <v>42826</v>
      </c>
      <c r="N199" s="1062">
        <f>IFERROR(VLOOKUP($A199,'2018'!$A:$BB,12,FALSE),"")</f>
        <v>11</v>
      </c>
      <c r="O199" s="1055" t="str">
        <f>IFERROR(VLOOKUP($A199,'2018'!$A:$BB,13,FALSE),"")</f>
        <v xml:space="preserve">IGOE </v>
      </c>
      <c r="P199" s="1055" t="str">
        <f>IFERROR(VLOOKUP($A199,'2018'!$A:$BB,14,FALSE),"")</f>
        <v xml:space="preserve">Maestro </v>
      </c>
      <c r="Q199" s="1055" t="str">
        <f>IFERROR(VLOOKUP($A199,'2018'!$A:$BB,16,FALSE),"")</f>
        <v>N/A</v>
      </c>
      <c r="R199" s="1055" t="str">
        <f>IFERROR(VLOOKUP($A199,'2018'!$A:$BB,17,FALSE),"")</f>
        <v>Optum Health</v>
      </c>
      <c r="S199" s="1062" t="str">
        <f>IFERROR(VLOOKUP($A199,'2018'!$A:$BB,20,FALSE),"")</f>
        <v>NCAL</v>
      </c>
      <c r="T199" s="1062" t="str">
        <f>IFERROR(VLOOKUP($A199,'2018'!$A:$BB,21,FALSE),"")</f>
        <v>Group B (34-44)</v>
      </c>
      <c r="U199" s="1062" t="str">
        <f>IFERROR(VLOOKUP($A199,'2018'!$A:$BB,22,FALSE),"")</f>
        <v>Expanded</v>
      </c>
      <c r="V199" s="1062" t="str">
        <f>IFERROR(VLOOKUP($A199,'2018'!$A:$BB,23,FALSE),"")</f>
        <v>Advantage</v>
      </c>
      <c r="W199" s="1062" t="str">
        <f>IFERROR(VLOOKUP($A199,'2018'!$A:$BB,24,FALSE),"")</f>
        <v>No</v>
      </c>
      <c r="X199" s="1062" t="str">
        <f>IFERROR(VLOOKUP($A199,'2018'!$A:$BB,41,FALSE),"")</f>
        <v xml:space="preserve">Region 4 </v>
      </c>
      <c r="Y199" s="1062" t="str">
        <f>IFERROR(VLOOKUP($A199,'2018'!$A:$BB,42,FALSE),"")</f>
        <v>(2-9)</v>
      </c>
      <c r="Z199" s="1062" t="str">
        <f>IFERROR(VLOOKUP($A199,'2018'!$A:$BB,45,FALSE),"")</f>
        <v xml:space="preserve"> (2-49)</v>
      </c>
      <c r="AA199" s="731">
        <v>2018</v>
      </c>
      <c r="AB199" s="733" t="s">
        <v>3857</v>
      </c>
      <c r="AC199" s="734" t="s">
        <v>303</v>
      </c>
      <c r="AD199" s="734" t="s">
        <v>3648</v>
      </c>
      <c r="AE199" s="734" t="s">
        <v>307</v>
      </c>
      <c r="AF199" s="734" t="s">
        <v>113</v>
      </c>
      <c r="AG199" s="732" t="s">
        <v>3981</v>
      </c>
      <c r="AH199" s="732" t="s">
        <v>3973</v>
      </c>
      <c r="AI199" s="734">
        <v>11</v>
      </c>
      <c r="AJ199" s="748" t="s">
        <v>3982</v>
      </c>
      <c r="AK199" s="757">
        <v>909678</v>
      </c>
      <c r="AL199" s="756">
        <v>469</v>
      </c>
      <c r="AM199" s="755">
        <v>909678</v>
      </c>
      <c r="AN199" s="756">
        <v>470</v>
      </c>
      <c r="AO199" s="776">
        <f t="shared" si="47"/>
        <v>909678</v>
      </c>
      <c r="AP199" s="754">
        <f>AN199+1</f>
        <v>471</v>
      </c>
      <c r="AQ199" s="771" t="s">
        <v>3979</v>
      </c>
      <c r="AR199" s="732" t="s">
        <v>2661</v>
      </c>
      <c r="AS199" s="735"/>
      <c r="AT199" s="735"/>
      <c r="AU199" s="732" t="s">
        <v>3980</v>
      </c>
      <c r="AV199" s="735"/>
      <c r="AW199" s="735"/>
    </row>
    <row r="200" spans="1:49" s="739" customFormat="1">
      <c r="A200" s="736" t="s">
        <v>141</v>
      </c>
      <c r="B200" s="736" t="s">
        <v>141</v>
      </c>
      <c r="C200" s="736"/>
      <c r="D200" s="736" t="s">
        <v>141</v>
      </c>
      <c r="E200" s="736" t="s">
        <v>141</v>
      </c>
      <c r="F200" s="1059">
        <f>IFERROR(VLOOKUP($A200,'2018'!$A:$BB,3,FALSE),"")</f>
        <v>812767509</v>
      </c>
      <c r="G200" s="1055" t="str">
        <f>IFERROR(VLOOKUP($A200,'2018'!$A:$BB,4,FALSE),"")</f>
        <v>863 Mitten Road, Suite 104
Burlingame, CA 94010</v>
      </c>
      <c r="H200" s="1055" t="str">
        <f>IFERROR(VLOOKUP($A200,'2018'!$A:$BB,5,FALSE),"")</f>
        <v xml:space="preserve">Jonathan Romanowsky
650.219.2141
Jonathan@inflammatix.com </v>
      </c>
      <c r="I200" s="1055" t="str">
        <f>IFERROR(VLOOKUP($A200,'2018'!$A:$BB,6,FALSE),"")</f>
        <v xml:space="preserve">Jonathan Romanowsky
650.219.2141
Jonathan@inflammatix.com </v>
      </c>
      <c r="J200" s="1055" t="str">
        <f>IFERROR(VLOOKUP($A200,'2018'!$A:$BB,7,FALSE),"")</f>
        <v>HUB (San Diego)</v>
      </c>
      <c r="K200" s="1055" t="str">
        <f>IFERROR(VLOOKUP($A200,'2018'!$A:$BB,8,FALSE),"")</f>
        <v>Account Managed by HUB SD Team
Producer - Dave Duenas
Service Lead - Courtney Stanley</v>
      </c>
      <c r="L200" s="1062" t="str">
        <f>IFERROR(VLOOKUP($A200,'2018'!$A:$BB,9,FALSE),"")</f>
        <v>Renewal</v>
      </c>
      <c r="M200" s="1067">
        <f>IFERROR(VLOOKUP($A200,'2018'!$A:$BB,10,FALSE),"")</f>
        <v>42826</v>
      </c>
      <c r="N200" s="1062">
        <f>IFERROR(VLOOKUP($A200,'2018'!$A:$BB,12,FALSE),"")</f>
        <v>11</v>
      </c>
      <c r="O200" s="1055" t="str">
        <f>IFERROR(VLOOKUP($A200,'2018'!$A:$BB,13,FALSE),"")</f>
        <v xml:space="preserve">IGOE </v>
      </c>
      <c r="P200" s="1055" t="str">
        <f>IFERROR(VLOOKUP($A200,'2018'!$A:$BB,14,FALSE),"")</f>
        <v xml:space="preserve">Maestro </v>
      </c>
      <c r="Q200" s="1055" t="str">
        <f>IFERROR(VLOOKUP($A200,'2018'!$A:$BB,16,FALSE),"")</f>
        <v>N/A</v>
      </c>
      <c r="R200" s="1055" t="str">
        <f>IFERROR(VLOOKUP($A200,'2018'!$A:$BB,17,FALSE),"")</f>
        <v>Optum Health</v>
      </c>
      <c r="S200" s="1062" t="str">
        <f>IFERROR(VLOOKUP($A200,'2018'!$A:$BB,20,FALSE),"")</f>
        <v>NCAL</v>
      </c>
      <c r="T200" s="1062" t="str">
        <f>IFERROR(VLOOKUP($A200,'2018'!$A:$BB,21,FALSE),"")</f>
        <v>Group B (34-44)</v>
      </c>
      <c r="U200" s="1062" t="str">
        <f>IFERROR(VLOOKUP($A200,'2018'!$A:$BB,22,FALSE),"")</f>
        <v>Expanded</v>
      </c>
      <c r="V200" s="1062" t="str">
        <f>IFERROR(VLOOKUP($A200,'2018'!$A:$BB,23,FALSE),"")</f>
        <v>Advantage</v>
      </c>
      <c r="W200" s="1062" t="str">
        <f>IFERROR(VLOOKUP($A200,'2018'!$A:$BB,24,FALSE),"")</f>
        <v>No</v>
      </c>
      <c r="X200" s="1062" t="str">
        <f>IFERROR(VLOOKUP($A200,'2018'!$A:$BB,41,FALSE),"")</f>
        <v xml:space="preserve">Region 4 </v>
      </c>
      <c r="Y200" s="1062" t="str">
        <f>IFERROR(VLOOKUP($A200,'2018'!$A:$BB,42,FALSE),"")</f>
        <v>(2-9)</v>
      </c>
      <c r="Z200" s="1062" t="str">
        <f>IFERROR(VLOOKUP($A200,'2018'!$A:$BB,45,FALSE),"")</f>
        <v xml:space="preserve"> (2-49)</v>
      </c>
      <c r="AA200" s="731">
        <v>2018</v>
      </c>
      <c r="AB200" s="733" t="s">
        <v>3857</v>
      </c>
      <c r="AC200" s="734" t="s">
        <v>303</v>
      </c>
      <c r="AD200" s="734" t="s">
        <v>3648</v>
      </c>
      <c r="AE200" s="734" t="s">
        <v>307</v>
      </c>
      <c r="AF200" s="734" t="s">
        <v>113</v>
      </c>
      <c r="AG200" s="732" t="s">
        <v>3981</v>
      </c>
      <c r="AH200" s="732" t="s">
        <v>3977</v>
      </c>
      <c r="AI200" s="734">
        <v>16</v>
      </c>
      <c r="AJ200" s="748" t="s">
        <v>3985</v>
      </c>
      <c r="AK200" s="757">
        <v>909678</v>
      </c>
      <c r="AL200" s="756">
        <v>721</v>
      </c>
      <c r="AM200" s="755">
        <v>909678</v>
      </c>
      <c r="AN200" s="756">
        <v>722</v>
      </c>
      <c r="AO200" s="776">
        <f t="shared" si="47"/>
        <v>909678</v>
      </c>
      <c r="AP200" s="754">
        <f>AN200+1</f>
        <v>723</v>
      </c>
      <c r="AQ200" s="771" t="s">
        <v>3979</v>
      </c>
      <c r="AR200" s="732" t="s">
        <v>2661</v>
      </c>
      <c r="AS200" s="735"/>
      <c r="AT200" s="735"/>
      <c r="AU200" s="732" t="s">
        <v>3980</v>
      </c>
      <c r="AV200" s="735"/>
      <c r="AW200" s="735"/>
    </row>
    <row r="201" spans="1:49" s="739" customFormat="1">
      <c r="A201" s="736"/>
      <c r="B201" s="736"/>
      <c r="C201" s="736"/>
      <c r="D201" s="736"/>
      <c r="E201" s="736"/>
      <c r="F201" s="1059" t="str">
        <f>IFERROR(VLOOKUP($A201,'2018'!$A:$BB,3,FALSE),"")</f>
        <v/>
      </c>
      <c r="G201" s="1055" t="str">
        <f>IFERROR(VLOOKUP($A201,'2018'!$A:$BB,4,FALSE),"")</f>
        <v/>
      </c>
      <c r="H201" s="1055" t="str">
        <f>IFERROR(VLOOKUP($A201,'2018'!$A:$BB,5,FALSE),"")</f>
        <v/>
      </c>
      <c r="I201" s="1055" t="str">
        <f>IFERROR(VLOOKUP($A201,'2018'!$A:$BB,6,FALSE),"")</f>
        <v/>
      </c>
      <c r="J201" s="1055" t="str">
        <f>IFERROR(VLOOKUP($A201,'2018'!$A:$BB,7,FALSE),"")</f>
        <v/>
      </c>
      <c r="K201" s="1055" t="str">
        <f>IFERROR(VLOOKUP($A201,'2018'!$A:$BB,8,FALSE),"")</f>
        <v/>
      </c>
      <c r="L201" s="1062" t="str">
        <f>IFERROR(VLOOKUP($A201,'2018'!$A:$BB,9,FALSE),"")</f>
        <v/>
      </c>
      <c r="M201" s="1067" t="str">
        <f>IFERROR(VLOOKUP($A201,'2018'!$A:$BB,10,FALSE),"")</f>
        <v/>
      </c>
      <c r="N201" s="1062" t="str">
        <f>IFERROR(VLOOKUP($A201,'2018'!$A:$BB,12,FALSE),"")</f>
        <v/>
      </c>
      <c r="O201" s="1055" t="str">
        <f>IFERROR(VLOOKUP($A201,'2018'!$A:$BB,13,FALSE),"")</f>
        <v/>
      </c>
      <c r="P201" s="1055" t="str">
        <f>IFERROR(VLOOKUP($A201,'2018'!$A:$BB,14,FALSE),"")</f>
        <v/>
      </c>
      <c r="Q201" s="1055" t="str">
        <f>IFERROR(VLOOKUP($A201,'2018'!$A:$BB,16,FALSE),"")</f>
        <v/>
      </c>
      <c r="R201" s="1055" t="str">
        <f>IFERROR(VLOOKUP($A201,'2018'!$A:$BB,17,FALSE),"")</f>
        <v/>
      </c>
      <c r="S201" s="1062" t="str">
        <f>IFERROR(VLOOKUP($A201,'2018'!$A:$BB,20,FALSE),"")</f>
        <v/>
      </c>
      <c r="T201" s="1062" t="str">
        <f>IFERROR(VLOOKUP($A201,'2018'!$A:$BB,21,FALSE),"")</f>
        <v/>
      </c>
      <c r="U201" s="1062" t="str">
        <f>IFERROR(VLOOKUP($A201,'2018'!$A:$BB,22,FALSE),"")</f>
        <v/>
      </c>
      <c r="V201" s="1062" t="str">
        <f>IFERROR(VLOOKUP($A201,'2018'!$A:$BB,23,FALSE),"")</f>
        <v/>
      </c>
      <c r="W201" s="1062" t="str">
        <f>IFERROR(VLOOKUP($A201,'2018'!$A:$BB,24,FALSE),"")</f>
        <v/>
      </c>
      <c r="X201" s="1062" t="str">
        <f>IFERROR(VLOOKUP($A201,'2018'!$A:$BB,41,FALSE),"")</f>
        <v/>
      </c>
      <c r="Y201" s="1062" t="str">
        <f>IFERROR(VLOOKUP($A201,'2018'!$A:$BB,42,FALSE),"")</f>
        <v/>
      </c>
      <c r="Z201" s="1062" t="str">
        <f>IFERROR(VLOOKUP($A201,'2018'!$A:$BB,45,FALSE),"")</f>
        <v/>
      </c>
      <c r="AA201" s="741"/>
      <c r="AB201" s="733"/>
      <c r="AC201" s="734"/>
      <c r="AD201" s="734"/>
      <c r="AE201" s="734"/>
      <c r="AF201" s="734"/>
      <c r="AG201" s="732"/>
      <c r="AH201" s="732"/>
      <c r="AI201" s="734"/>
      <c r="AJ201" s="748"/>
      <c r="AK201" s="758"/>
      <c r="AL201" s="756"/>
      <c r="AM201" s="753"/>
      <c r="AN201" s="754"/>
      <c r="AO201" s="776"/>
      <c r="AP201" s="754"/>
      <c r="AQ201" s="771"/>
      <c r="AR201" s="732"/>
      <c r="AS201" s="732"/>
      <c r="AT201" s="732"/>
      <c r="AU201" s="732"/>
      <c r="AV201" s="732"/>
      <c r="AW201" s="732"/>
    </row>
    <row r="202" spans="1:49">
      <c r="A202" s="736" t="s">
        <v>142</v>
      </c>
      <c r="B202" s="736" t="s">
        <v>142</v>
      </c>
      <c r="C202" s="736"/>
      <c r="D202" s="736"/>
      <c r="E202" s="736"/>
      <c r="F202" s="1059">
        <f>IFERROR(VLOOKUP($A202,'2018'!$A:$BB,3,FALSE),"")</f>
        <v>475205835</v>
      </c>
      <c r="G202" s="1055" t="str">
        <f>IFERROR(VLOOKUP($A202,'2018'!$A:$BB,4,FALSE),"")</f>
        <v xml:space="preserve">1224 Prospect Street 
Suite 150 
La Jolla, CA 92037 </v>
      </c>
      <c r="H202" s="1055" t="str">
        <f>IFERROR(VLOOKUP($A202,'2018'!$A:$BB,5,FALSE),"")</f>
        <v xml:space="preserve">David Moss
858 964-3720 
dmoss@inmunebio.com </v>
      </c>
      <c r="I202" s="1055" t="str">
        <f>IFERROR(VLOOKUP($A202,'2018'!$A:$BB,6,FALSE),"")</f>
        <v xml:space="preserve">David Moss
858 964-3720 
dmoss@inmunebio.com </v>
      </c>
      <c r="J202" s="1055" t="str">
        <f>IFERROR(VLOOKUP($A202,'2018'!$A:$BB,7,FALSE),"")</f>
        <v>HUB (San Diego)</v>
      </c>
      <c r="K202" s="1055" t="str">
        <f>IFERROR(VLOOKUP($A202,'2018'!$A:$BB,8,FALSE),"")</f>
        <v>Account Managed by HUB SD Team
Producer - Dave Duenas
Service Lead - Courtney Stanley</v>
      </c>
      <c r="L202" s="1062" t="str">
        <f>IFERROR(VLOOKUP($A202,'2018'!$A:$BB,9,FALSE),"")</f>
        <v>Renewal</v>
      </c>
      <c r="M202" s="1067">
        <f>IFERROR(VLOOKUP($A202,'2018'!$A:$BB,10,FALSE),"")</f>
        <v>42736</v>
      </c>
      <c r="N202" s="1062">
        <f>IFERROR(VLOOKUP($A202,'2018'!$A:$BB,12,FALSE),"")</f>
        <v>2</v>
      </c>
      <c r="O202" s="1055" t="str">
        <f>IFERROR(VLOOKUP($A202,'2018'!$A:$BB,13,FALSE),"")</f>
        <v xml:space="preserve">IGOE </v>
      </c>
      <c r="P202" s="1055" t="str">
        <f>IFERROR(VLOOKUP($A202,'2018'!$A:$BB,14,FALSE),"")</f>
        <v>Maestro</v>
      </c>
      <c r="Q202" s="1055" t="str">
        <f>IFERROR(VLOOKUP($A202,'2018'!$A:$BB,16,FALSE),"")</f>
        <v>N/A</v>
      </c>
      <c r="R202" s="1055" t="str">
        <f>IFERROR(VLOOKUP($A202,'2018'!$A:$BB,17,FALSE),"")</f>
        <v>Optum Health</v>
      </c>
      <c r="S202" s="1062" t="str">
        <f>IFERROR(VLOOKUP($A202,'2018'!$A:$BB,20,FALSE),"")</f>
        <v>SCAL</v>
      </c>
      <c r="T202" s="1062" t="str">
        <f>IFERROR(VLOOKUP($A202,'2018'!$A:$BB,21,FALSE),"")</f>
        <v>Group D (54+)</v>
      </c>
      <c r="U202" s="1062" t="str">
        <f>IFERROR(VLOOKUP($A202,'2018'!$A:$BB,22,FALSE),"")</f>
        <v>Expanded</v>
      </c>
      <c r="V202" s="1062" t="str">
        <f>IFERROR(VLOOKUP($A202,'2018'!$A:$BB,23,FALSE),"")</f>
        <v>Advantage</v>
      </c>
      <c r="W202" s="1062" t="str">
        <f>IFERROR(VLOOKUP($A202,'2018'!$A:$BB,24,FALSE),"")</f>
        <v>No</v>
      </c>
      <c r="X202" s="1062" t="str">
        <f>IFERROR(VLOOKUP($A202,'2018'!$A:$BB,41,FALSE),"")</f>
        <v>N/A</v>
      </c>
      <c r="Y202" s="1062" t="str">
        <f>IFERROR(VLOOKUP($A202,'2018'!$A:$BB,42,FALSE),"")</f>
        <v>N/A</v>
      </c>
      <c r="Z202" s="1062" t="str">
        <f>IFERROR(VLOOKUP($A202,'2018'!$A:$BB,45,FALSE),"")</f>
        <v>N/A</v>
      </c>
      <c r="AA202" s="731">
        <v>2018</v>
      </c>
      <c r="AB202" s="1020" t="s">
        <v>4138</v>
      </c>
      <c r="AC202" s="734" t="s">
        <v>317</v>
      </c>
      <c r="AD202" s="734" t="s">
        <v>3658</v>
      </c>
      <c r="AE202" s="734" t="s">
        <v>307</v>
      </c>
      <c r="AF202" s="734" t="s">
        <v>113</v>
      </c>
      <c r="AG202" s="732" t="s">
        <v>3981</v>
      </c>
      <c r="AH202" s="732" t="s">
        <v>3973</v>
      </c>
      <c r="AI202" s="734">
        <v>11</v>
      </c>
      <c r="AJ202" s="748" t="s">
        <v>3982</v>
      </c>
      <c r="AK202" s="757">
        <v>909678</v>
      </c>
      <c r="AL202" s="756">
        <v>487</v>
      </c>
      <c r="AM202" s="755">
        <v>909678</v>
      </c>
      <c r="AN202" s="756">
        <v>488</v>
      </c>
      <c r="AO202" s="776">
        <f t="shared" ref="AO202:AO203" si="48">AM202</f>
        <v>909678</v>
      </c>
      <c r="AP202" s="754">
        <f>AN202+1</f>
        <v>489</v>
      </c>
      <c r="AQ202" s="771" t="s">
        <v>3979</v>
      </c>
      <c r="AR202" s="732" t="s">
        <v>2661</v>
      </c>
      <c r="AS202" s="735"/>
      <c r="AT202" s="735"/>
      <c r="AU202" s="732" t="s">
        <v>3980</v>
      </c>
      <c r="AV202" s="735"/>
      <c r="AW202" s="735"/>
    </row>
    <row r="203" spans="1:49" s="739" customFormat="1">
      <c r="A203" s="736" t="s">
        <v>142</v>
      </c>
      <c r="B203" s="736" t="s">
        <v>142</v>
      </c>
      <c r="C203" s="736"/>
      <c r="D203" s="736"/>
      <c r="E203" s="736"/>
      <c r="F203" s="1059">
        <f>IFERROR(VLOOKUP($A203,'2018'!$A:$BB,3,FALSE),"")</f>
        <v>475205835</v>
      </c>
      <c r="G203" s="1055" t="str">
        <f>IFERROR(VLOOKUP($A203,'2018'!$A:$BB,4,FALSE),"")</f>
        <v xml:space="preserve">1224 Prospect Street 
Suite 150 
La Jolla, CA 92037 </v>
      </c>
      <c r="H203" s="1055" t="str">
        <f>IFERROR(VLOOKUP($A203,'2018'!$A:$BB,5,FALSE),"")</f>
        <v xml:space="preserve">David Moss
858 964-3720 
dmoss@inmunebio.com </v>
      </c>
      <c r="I203" s="1055" t="str">
        <f>IFERROR(VLOOKUP($A203,'2018'!$A:$BB,6,FALSE),"")</f>
        <v xml:space="preserve">David Moss
858 964-3720 
dmoss@inmunebio.com </v>
      </c>
      <c r="J203" s="1055" t="str">
        <f>IFERROR(VLOOKUP($A203,'2018'!$A:$BB,7,FALSE),"")</f>
        <v>HUB (San Diego)</v>
      </c>
      <c r="K203" s="1055" t="str">
        <f>IFERROR(VLOOKUP($A203,'2018'!$A:$BB,8,FALSE),"")</f>
        <v>Account Managed by HUB SD Team
Producer - Dave Duenas
Service Lead - Courtney Stanley</v>
      </c>
      <c r="L203" s="1062" t="str">
        <f>IFERROR(VLOOKUP($A203,'2018'!$A:$BB,9,FALSE),"")</f>
        <v>Renewal</v>
      </c>
      <c r="M203" s="1067">
        <f>IFERROR(VLOOKUP($A203,'2018'!$A:$BB,10,FALSE),"")</f>
        <v>42736</v>
      </c>
      <c r="N203" s="1062">
        <f>IFERROR(VLOOKUP($A203,'2018'!$A:$BB,12,FALSE),"")</f>
        <v>2</v>
      </c>
      <c r="O203" s="1055" t="str">
        <f>IFERROR(VLOOKUP($A203,'2018'!$A:$BB,13,FALSE),"")</f>
        <v xml:space="preserve">IGOE </v>
      </c>
      <c r="P203" s="1055" t="str">
        <f>IFERROR(VLOOKUP($A203,'2018'!$A:$BB,14,FALSE),"")</f>
        <v>Maestro</v>
      </c>
      <c r="Q203" s="1055" t="str">
        <f>IFERROR(VLOOKUP($A203,'2018'!$A:$BB,16,FALSE),"")</f>
        <v>N/A</v>
      </c>
      <c r="R203" s="1055" t="str">
        <f>IFERROR(VLOOKUP($A203,'2018'!$A:$BB,17,FALSE),"")</f>
        <v>Optum Health</v>
      </c>
      <c r="S203" s="1062" t="str">
        <f>IFERROR(VLOOKUP($A203,'2018'!$A:$BB,20,FALSE),"")</f>
        <v>SCAL</v>
      </c>
      <c r="T203" s="1062" t="str">
        <f>IFERROR(VLOOKUP($A203,'2018'!$A:$BB,21,FALSE),"")</f>
        <v>Group D (54+)</v>
      </c>
      <c r="U203" s="1062" t="str">
        <f>IFERROR(VLOOKUP($A203,'2018'!$A:$BB,22,FALSE),"")</f>
        <v>Expanded</v>
      </c>
      <c r="V203" s="1062" t="str">
        <f>IFERROR(VLOOKUP($A203,'2018'!$A:$BB,23,FALSE),"")</f>
        <v>Advantage</v>
      </c>
      <c r="W203" s="1062" t="str">
        <f>IFERROR(VLOOKUP($A203,'2018'!$A:$BB,24,FALSE),"")</f>
        <v>No</v>
      </c>
      <c r="X203" s="1062" t="str">
        <f>IFERROR(VLOOKUP($A203,'2018'!$A:$BB,41,FALSE),"")</f>
        <v>N/A</v>
      </c>
      <c r="Y203" s="1062" t="str">
        <f>IFERROR(VLOOKUP($A203,'2018'!$A:$BB,42,FALSE),"")</f>
        <v>N/A</v>
      </c>
      <c r="Z203" s="1062" t="str">
        <f>IFERROR(VLOOKUP($A203,'2018'!$A:$BB,45,FALSE),"")</f>
        <v>N/A</v>
      </c>
      <c r="AA203" s="731">
        <v>2018</v>
      </c>
      <c r="AB203" s="1020" t="s">
        <v>4138</v>
      </c>
      <c r="AC203" s="734" t="s">
        <v>317</v>
      </c>
      <c r="AD203" s="734" t="s">
        <v>3658</v>
      </c>
      <c r="AE203" s="734" t="s">
        <v>307</v>
      </c>
      <c r="AF203" s="734" t="s">
        <v>113</v>
      </c>
      <c r="AG203" s="732" t="s">
        <v>3981</v>
      </c>
      <c r="AH203" s="732" t="s">
        <v>3977</v>
      </c>
      <c r="AI203" s="734">
        <v>16</v>
      </c>
      <c r="AJ203" s="748" t="s">
        <v>3985</v>
      </c>
      <c r="AK203" s="757">
        <v>909678</v>
      </c>
      <c r="AL203" s="756">
        <v>739</v>
      </c>
      <c r="AM203" s="755">
        <v>909678</v>
      </c>
      <c r="AN203" s="756">
        <v>740</v>
      </c>
      <c r="AO203" s="776">
        <f t="shared" si="48"/>
        <v>909678</v>
      </c>
      <c r="AP203" s="754">
        <f>AN203+1</f>
        <v>741</v>
      </c>
      <c r="AQ203" s="771" t="s">
        <v>3979</v>
      </c>
      <c r="AR203" s="732" t="s">
        <v>2661</v>
      </c>
      <c r="AS203" s="735"/>
      <c r="AT203" s="735"/>
      <c r="AU203" s="732" t="s">
        <v>3980</v>
      </c>
      <c r="AV203" s="735"/>
      <c r="AW203" s="735"/>
    </row>
    <row r="204" spans="1:49" s="739" customFormat="1">
      <c r="A204" s="736"/>
      <c r="B204" s="736"/>
      <c r="C204" s="736"/>
      <c r="D204" s="736"/>
      <c r="E204" s="736"/>
      <c r="F204" s="1059" t="str">
        <f>IFERROR(VLOOKUP($A204,'2018'!$A:$BB,3,FALSE),"")</f>
        <v/>
      </c>
      <c r="G204" s="1055" t="str">
        <f>IFERROR(VLOOKUP($A204,'2018'!$A:$BB,4,FALSE),"")</f>
        <v/>
      </c>
      <c r="H204" s="1055" t="str">
        <f>IFERROR(VLOOKUP($A204,'2018'!$A:$BB,5,FALSE),"")</f>
        <v/>
      </c>
      <c r="I204" s="1055" t="str">
        <f>IFERROR(VLOOKUP($A204,'2018'!$A:$BB,6,FALSE),"")</f>
        <v/>
      </c>
      <c r="J204" s="1055" t="str">
        <f>IFERROR(VLOOKUP($A204,'2018'!$A:$BB,7,FALSE),"")</f>
        <v/>
      </c>
      <c r="K204" s="1055" t="str">
        <f>IFERROR(VLOOKUP($A204,'2018'!$A:$BB,8,FALSE),"")</f>
        <v/>
      </c>
      <c r="L204" s="1062" t="str">
        <f>IFERROR(VLOOKUP($A204,'2018'!$A:$BB,9,FALSE),"")</f>
        <v/>
      </c>
      <c r="M204" s="1067" t="str">
        <f>IFERROR(VLOOKUP($A204,'2018'!$A:$BB,10,FALSE),"")</f>
        <v/>
      </c>
      <c r="N204" s="1062" t="str">
        <f>IFERROR(VLOOKUP($A204,'2018'!$A:$BB,12,FALSE),"")</f>
        <v/>
      </c>
      <c r="O204" s="1055" t="str">
        <f>IFERROR(VLOOKUP($A204,'2018'!$A:$BB,13,FALSE),"")</f>
        <v/>
      </c>
      <c r="P204" s="1055" t="str">
        <f>IFERROR(VLOOKUP($A204,'2018'!$A:$BB,14,FALSE),"")</f>
        <v/>
      </c>
      <c r="Q204" s="1055" t="str">
        <f>IFERROR(VLOOKUP($A204,'2018'!$A:$BB,16,FALSE),"")</f>
        <v/>
      </c>
      <c r="R204" s="1055" t="str">
        <f>IFERROR(VLOOKUP($A204,'2018'!$A:$BB,17,FALSE),"")</f>
        <v/>
      </c>
      <c r="S204" s="1062" t="str">
        <f>IFERROR(VLOOKUP($A204,'2018'!$A:$BB,20,FALSE),"")</f>
        <v/>
      </c>
      <c r="T204" s="1062" t="str">
        <f>IFERROR(VLOOKUP($A204,'2018'!$A:$BB,21,FALSE),"")</f>
        <v/>
      </c>
      <c r="U204" s="1062" t="str">
        <f>IFERROR(VLOOKUP($A204,'2018'!$A:$BB,22,FALSE),"")</f>
        <v/>
      </c>
      <c r="V204" s="1062" t="str">
        <f>IFERROR(VLOOKUP($A204,'2018'!$A:$BB,23,FALSE),"")</f>
        <v/>
      </c>
      <c r="W204" s="1062" t="str">
        <f>IFERROR(VLOOKUP($A204,'2018'!$A:$BB,24,FALSE),"")</f>
        <v/>
      </c>
      <c r="X204" s="1062" t="str">
        <f>IFERROR(VLOOKUP($A204,'2018'!$A:$BB,41,FALSE),"")</f>
        <v/>
      </c>
      <c r="Y204" s="1062" t="str">
        <f>IFERROR(VLOOKUP($A204,'2018'!$A:$BB,42,FALSE),"")</f>
        <v/>
      </c>
      <c r="Z204" s="1062" t="str">
        <f>IFERROR(VLOOKUP($A204,'2018'!$A:$BB,45,FALSE),"")</f>
        <v/>
      </c>
      <c r="AA204" s="741"/>
      <c r="AB204" s="733"/>
      <c r="AC204" s="734"/>
      <c r="AD204" s="734"/>
      <c r="AE204" s="734"/>
      <c r="AF204" s="734"/>
      <c r="AG204" s="732"/>
      <c r="AH204" s="732"/>
      <c r="AI204" s="734"/>
      <c r="AJ204" s="748"/>
      <c r="AK204" s="758"/>
      <c r="AL204" s="756"/>
      <c r="AM204" s="753"/>
      <c r="AN204" s="754"/>
      <c r="AO204" s="776"/>
      <c r="AP204" s="754"/>
      <c r="AQ204" s="771"/>
      <c r="AR204" s="732"/>
      <c r="AS204" s="732"/>
      <c r="AT204" s="732"/>
      <c r="AU204" s="732"/>
      <c r="AV204" s="732"/>
      <c r="AW204" s="732"/>
    </row>
    <row r="205" spans="1:49">
      <c r="A205" s="736" t="s">
        <v>262</v>
      </c>
      <c r="B205" s="736" t="s">
        <v>262</v>
      </c>
      <c r="C205" s="736"/>
      <c r="D205" s="736" t="s">
        <v>3701</v>
      </c>
      <c r="E205" s="736" t="s">
        <v>3701</v>
      </c>
      <c r="F205" s="1059" t="str">
        <f>IFERROR(VLOOKUP($A205,'2018'!$A:$BB,3,FALSE),"")</f>
        <v>81-4147567</v>
      </c>
      <c r="G205" s="1055" t="str">
        <f>IFERROR(VLOOKUP($A205,'2018'!$A:$BB,4,FALSE),"")</f>
        <v>11575 Sorrento Valley Rd, Suite 200
San Diego, CA 92121</v>
      </c>
      <c r="H205" s="1055" t="str">
        <f>IFERROR(VLOOKUP($A205,'2018'!$A:$BB,5,FALSE),"")</f>
        <v>Robin Jackman
858.764.1987
robin@januarytx.com</v>
      </c>
      <c r="I205" s="1055" t="str">
        <f>IFERROR(VLOOKUP($A205,'2018'!$A:$BB,6,FALSE),"")</f>
        <v>Jason Kahana
215.740.1415
Jason@januarytx.com</v>
      </c>
      <c r="J205" s="1055" t="str">
        <f>IFERROR(VLOOKUP($A205,'2018'!$A:$BB,7,FALSE),"")</f>
        <v>HUB (San Diego)</v>
      </c>
      <c r="K205" s="1055" t="str">
        <f>IFERROR(VLOOKUP($A205,'2018'!$A:$BB,8,FALSE),"")</f>
        <v>Account Managed by HUB SD Team
Producer - Dave Duenas
Service Lead - Courtney Stanley</v>
      </c>
      <c r="L205" s="1062" t="str">
        <f>IFERROR(VLOOKUP($A205,'2018'!$A:$BB,9,FALSE),"")</f>
        <v>Renewal</v>
      </c>
      <c r="M205" s="1067">
        <f>IFERROR(VLOOKUP($A205,'2018'!$A:$BB,10,FALSE),"")</f>
        <v>42979</v>
      </c>
      <c r="N205" s="1062">
        <f>IFERROR(VLOOKUP($A205,'2018'!$A:$BB,12,FALSE),"")</f>
        <v>3</v>
      </c>
      <c r="O205" s="1055" t="str">
        <f>IFERROR(VLOOKUP($A205,'2018'!$A:$BB,13,FALSE),"")</f>
        <v xml:space="preserve">IGOE </v>
      </c>
      <c r="P205" s="1055" t="str">
        <f>IFERROR(VLOOKUP($A205,'2018'!$A:$BB,14,FALSE),"")</f>
        <v xml:space="preserve">Maestro </v>
      </c>
      <c r="Q205" s="1055" t="str">
        <f>IFERROR(VLOOKUP($A205,'2018'!$A:$BB,16,FALSE),"")</f>
        <v>N/A</v>
      </c>
      <c r="R205" s="1055" t="str">
        <f>IFERROR(VLOOKUP($A205,'2018'!$A:$BB,17,FALSE),"")</f>
        <v>Optum Health</v>
      </c>
      <c r="S205" s="1062" t="str">
        <f>IFERROR(VLOOKUP($A205,'2018'!$A:$BB,20,FALSE),"")</f>
        <v>SCAL</v>
      </c>
      <c r="T205" s="1062" t="str">
        <f>IFERROR(VLOOKUP($A205,'2018'!$A:$BB,21,FALSE),"")</f>
        <v>Group C (44-54)</v>
      </c>
      <c r="U205" s="1062" t="str">
        <f>IFERROR(VLOOKUP($A205,'2018'!$A:$BB,22,FALSE),"")</f>
        <v>Expanded</v>
      </c>
      <c r="V205" s="1062" t="str">
        <f>IFERROR(VLOOKUP($A205,'2018'!$A:$BB,23,FALSE),"")</f>
        <v>Advantage</v>
      </c>
      <c r="W205" s="1062" t="str">
        <f>IFERROR(VLOOKUP($A205,'2018'!$A:$BB,24,FALSE),"")</f>
        <v>No</v>
      </c>
      <c r="X205" s="1062" t="str">
        <f>IFERROR(VLOOKUP($A205,'2018'!$A:$BB,41,FALSE),"")</f>
        <v>Region 2</v>
      </c>
      <c r="Y205" s="1062" t="str">
        <f>IFERROR(VLOOKUP($A205,'2018'!$A:$BB,42,FALSE),"")</f>
        <v>(2-9)</v>
      </c>
      <c r="Z205" s="1062" t="str">
        <f>IFERROR(VLOOKUP($A205,'2018'!$A:$BB,45,FALSE),"")</f>
        <v xml:space="preserve"> (2-49)</v>
      </c>
      <c r="AA205" s="731">
        <v>2018</v>
      </c>
      <c r="AB205" s="733" t="s">
        <v>3861</v>
      </c>
      <c r="AC205" s="734" t="s">
        <v>317</v>
      </c>
      <c r="AD205" s="734" t="s">
        <v>3656</v>
      </c>
      <c r="AE205" s="734" t="s">
        <v>307</v>
      </c>
      <c r="AF205" s="734" t="s">
        <v>113</v>
      </c>
      <c r="AG205" s="732" t="s">
        <v>3981</v>
      </c>
      <c r="AH205" s="732" t="s">
        <v>3973</v>
      </c>
      <c r="AI205" s="734">
        <v>11</v>
      </c>
      <c r="AJ205" s="748" t="s">
        <v>3982</v>
      </c>
      <c r="AK205" s="757">
        <v>909678</v>
      </c>
      <c r="AL205" s="756">
        <v>484</v>
      </c>
      <c r="AM205" s="755">
        <v>909678</v>
      </c>
      <c r="AN205" s="756">
        <v>485</v>
      </c>
      <c r="AO205" s="776">
        <f t="shared" ref="AO205:AO206" si="49">AM205</f>
        <v>909678</v>
      </c>
      <c r="AP205" s="754">
        <f>AN205+1</f>
        <v>486</v>
      </c>
      <c r="AQ205" s="771" t="s">
        <v>3979</v>
      </c>
      <c r="AR205" s="732" t="s">
        <v>2661</v>
      </c>
      <c r="AS205" s="735"/>
      <c r="AT205" s="735"/>
      <c r="AU205" s="732" t="s">
        <v>3980</v>
      </c>
      <c r="AV205" s="735"/>
      <c r="AW205" s="735"/>
    </row>
    <row r="206" spans="1:49" s="739" customFormat="1">
      <c r="A206" s="736" t="s">
        <v>262</v>
      </c>
      <c r="B206" s="736" t="s">
        <v>262</v>
      </c>
      <c r="C206" s="736"/>
      <c r="D206" s="736" t="s">
        <v>3701</v>
      </c>
      <c r="E206" s="736" t="s">
        <v>3701</v>
      </c>
      <c r="F206" s="1059" t="str">
        <f>IFERROR(VLOOKUP($A206,'2018'!$A:$BB,3,FALSE),"")</f>
        <v>81-4147567</v>
      </c>
      <c r="G206" s="1055" t="str">
        <f>IFERROR(VLOOKUP($A206,'2018'!$A:$BB,4,FALSE),"")</f>
        <v>11575 Sorrento Valley Rd, Suite 200
San Diego, CA 92121</v>
      </c>
      <c r="H206" s="1055" t="str">
        <f>IFERROR(VLOOKUP($A206,'2018'!$A:$BB,5,FALSE),"")</f>
        <v>Robin Jackman
858.764.1987
robin@januarytx.com</v>
      </c>
      <c r="I206" s="1055" t="str">
        <f>IFERROR(VLOOKUP($A206,'2018'!$A:$BB,6,FALSE),"")</f>
        <v>Jason Kahana
215.740.1415
Jason@januarytx.com</v>
      </c>
      <c r="J206" s="1055" t="str">
        <f>IFERROR(VLOOKUP($A206,'2018'!$A:$BB,7,FALSE),"")</f>
        <v>HUB (San Diego)</v>
      </c>
      <c r="K206" s="1055" t="str">
        <f>IFERROR(VLOOKUP($A206,'2018'!$A:$BB,8,FALSE),"")</f>
        <v>Account Managed by HUB SD Team
Producer - Dave Duenas
Service Lead - Courtney Stanley</v>
      </c>
      <c r="L206" s="1062" t="str">
        <f>IFERROR(VLOOKUP($A206,'2018'!$A:$BB,9,FALSE),"")</f>
        <v>Renewal</v>
      </c>
      <c r="M206" s="1067">
        <f>IFERROR(VLOOKUP($A206,'2018'!$A:$BB,10,FALSE),"")</f>
        <v>42979</v>
      </c>
      <c r="N206" s="1062">
        <f>IFERROR(VLOOKUP($A206,'2018'!$A:$BB,12,FALSE),"")</f>
        <v>3</v>
      </c>
      <c r="O206" s="1055" t="str">
        <f>IFERROR(VLOOKUP($A206,'2018'!$A:$BB,13,FALSE),"")</f>
        <v xml:space="preserve">IGOE </v>
      </c>
      <c r="P206" s="1055" t="str">
        <f>IFERROR(VLOOKUP($A206,'2018'!$A:$BB,14,FALSE),"")</f>
        <v xml:space="preserve">Maestro </v>
      </c>
      <c r="Q206" s="1055" t="str">
        <f>IFERROR(VLOOKUP($A206,'2018'!$A:$BB,16,FALSE),"")</f>
        <v>N/A</v>
      </c>
      <c r="R206" s="1055" t="str">
        <f>IFERROR(VLOOKUP($A206,'2018'!$A:$BB,17,FALSE),"")</f>
        <v>Optum Health</v>
      </c>
      <c r="S206" s="1062" t="str">
        <f>IFERROR(VLOOKUP($A206,'2018'!$A:$BB,20,FALSE),"")</f>
        <v>SCAL</v>
      </c>
      <c r="T206" s="1062" t="str">
        <f>IFERROR(VLOOKUP($A206,'2018'!$A:$BB,21,FALSE),"")</f>
        <v>Group C (44-54)</v>
      </c>
      <c r="U206" s="1062" t="str">
        <f>IFERROR(VLOOKUP($A206,'2018'!$A:$BB,22,FALSE),"")</f>
        <v>Expanded</v>
      </c>
      <c r="V206" s="1062" t="str">
        <f>IFERROR(VLOOKUP($A206,'2018'!$A:$BB,23,FALSE),"")</f>
        <v>Advantage</v>
      </c>
      <c r="W206" s="1062" t="str">
        <f>IFERROR(VLOOKUP($A206,'2018'!$A:$BB,24,FALSE),"")</f>
        <v>No</v>
      </c>
      <c r="X206" s="1062" t="str">
        <f>IFERROR(VLOOKUP($A206,'2018'!$A:$BB,41,FALSE),"")</f>
        <v>Region 2</v>
      </c>
      <c r="Y206" s="1062" t="str">
        <f>IFERROR(VLOOKUP($A206,'2018'!$A:$BB,42,FALSE),"")</f>
        <v>(2-9)</v>
      </c>
      <c r="Z206" s="1062" t="str">
        <f>IFERROR(VLOOKUP($A206,'2018'!$A:$BB,45,FALSE),"")</f>
        <v xml:space="preserve"> (2-49)</v>
      </c>
      <c r="AA206" s="731">
        <v>2018</v>
      </c>
      <c r="AB206" s="733" t="s">
        <v>3861</v>
      </c>
      <c r="AC206" s="734" t="s">
        <v>317</v>
      </c>
      <c r="AD206" s="734" t="s">
        <v>3656</v>
      </c>
      <c r="AE206" s="734" t="s">
        <v>307</v>
      </c>
      <c r="AF206" s="734" t="s">
        <v>113</v>
      </c>
      <c r="AG206" s="732" t="s">
        <v>3981</v>
      </c>
      <c r="AH206" s="732" t="s">
        <v>3977</v>
      </c>
      <c r="AI206" s="734">
        <v>16</v>
      </c>
      <c r="AJ206" s="748" t="s">
        <v>3985</v>
      </c>
      <c r="AK206" s="757">
        <v>909678</v>
      </c>
      <c r="AL206" s="756">
        <v>736</v>
      </c>
      <c r="AM206" s="755">
        <v>909678</v>
      </c>
      <c r="AN206" s="756">
        <v>737</v>
      </c>
      <c r="AO206" s="776">
        <f t="shared" si="49"/>
        <v>909678</v>
      </c>
      <c r="AP206" s="754">
        <f>AN206+1</f>
        <v>738</v>
      </c>
      <c r="AQ206" s="771" t="s">
        <v>3979</v>
      </c>
      <c r="AR206" s="732" t="s">
        <v>2661</v>
      </c>
      <c r="AS206" s="735"/>
      <c r="AT206" s="735"/>
      <c r="AU206" s="732" t="s">
        <v>3980</v>
      </c>
      <c r="AV206" s="735"/>
      <c r="AW206" s="735"/>
    </row>
    <row r="207" spans="1:49" s="739" customFormat="1">
      <c r="A207" s="736"/>
      <c r="B207" s="736"/>
      <c r="C207" s="736"/>
      <c r="D207" s="736"/>
      <c r="E207" s="736"/>
      <c r="F207" s="1059" t="str">
        <f>IFERROR(VLOOKUP($A207,'2018'!$A:$BB,3,FALSE),"")</f>
        <v/>
      </c>
      <c r="G207" s="1055" t="str">
        <f>IFERROR(VLOOKUP($A207,'2018'!$A:$BB,4,FALSE),"")</f>
        <v/>
      </c>
      <c r="H207" s="1055" t="str">
        <f>IFERROR(VLOOKUP($A207,'2018'!$A:$BB,5,FALSE),"")</f>
        <v/>
      </c>
      <c r="I207" s="1055" t="str">
        <f>IFERROR(VLOOKUP($A207,'2018'!$A:$BB,6,FALSE),"")</f>
        <v/>
      </c>
      <c r="J207" s="1055" t="str">
        <f>IFERROR(VLOOKUP($A207,'2018'!$A:$BB,7,FALSE),"")</f>
        <v/>
      </c>
      <c r="K207" s="1055" t="str">
        <f>IFERROR(VLOOKUP($A207,'2018'!$A:$BB,8,FALSE),"")</f>
        <v/>
      </c>
      <c r="L207" s="1062" t="str">
        <f>IFERROR(VLOOKUP($A207,'2018'!$A:$BB,9,FALSE),"")</f>
        <v/>
      </c>
      <c r="M207" s="1067" t="str">
        <f>IFERROR(VLOOKUP($A207,'2018'!$A:$BB,10,FALSE),"")</f>
        <v/>
      </c>
      <c r="N207" s="1062" t="str">
        <f>IFERROR(VLOOKUP($A207,'2018'!$A:$BB,12,FALSE),"")</f>
        <v/>
      </c>
      <c r="O207" s="1055" t="str">
        <f>IFERROR(VLOOKUP($A207,'2018'!$A:$BB,13,FALSE),"")</f>
        <v/>
      </c>
      <c r="P207" s="1055" t="str">
        <f>IFERROR(VLOOKUP($A207,'2018'!$A:$BB,14,FALSE),"")</f>
        <v/>
      </c>
      <c r="Q207" s="1055" t="str">
        <f>IFERROR(VLOOKUP($A207,'2018'!$A:$BB,16,FALSE),"")</f>
        <v/>
      </c>
      <c r="R207" s="1055" t="str">
        <f>IFERROR(VLOOKUP($A207,'2018'!$A:$BB,17,FALSE),"")</f>
        <v/>
      </c>
      <c r="S207" s="1062" t="str">
        <f>IFERROR(VLOOKUP($A207,'2018'!$A:$BB,20,FALSE),"")</f>
        <v/>
      </c>
      <c r="T207" s="1062" t="str">
        <f>IFERROR(VLOOKUP($A207,'2018'!$A:$BB,21,FALSE),"")</f>
        <v/>
      </c>
      <c r="U207" s="1062" t="str">
        <f>IFERROR(VLOOKUP($A207,'2018'!$A:$BB,22,FALSE),"")</f>
        <v/>
      </c>
      <c r="V207" s="1062" t="str">
        <f>IFERROR(VLOOKUP($A207,'2018'!$A:$BB,23,FALSE),"")</f>
        <v/>
      </c>
      <c r="W207" s="1062" t="str">
        <f>IFERROR(VLOOKUP($A207,'2018'!$A:$BB,24,FALSE),"")</f>
        <v/>
      </c>
      <c r="X207" s="1062" t="str">
        <f>IFERROR(VLOOKUP($A207,'2018'!$A:$BB,41,FALSE),"")</f>
        <v/>
      </c>
      <c r="Y207" s="1062" t="str">
        <f>IFERROR(VLOOKUP($A207,'2018'!$A:$BB,42,FALSE),"")</f>
        <v/>
      </c>
      <c r="Z207" s="1062" t="str">
        <f>IFERROR(VLOOKUP($A207,'2018'!$A:$BB,45,FALSE),"")</f>
        <v/>
      </c>
      <c r="AA207" s="741"/>
      <c r="AB207" s="733"/>
      <c r="AC207" s="734"/>
      <c r="AD207" s="734"/>
      <c r="AE207" s="734"/>
      <c r="AF207" s="734"/>
      <c r="AG207" s="732"/>
      <c r="AH207" s="732"/>
      <c r="AI207" s="734"/>
      <c r="AJ207" s="748"/>
      <c r="AK207" s="758"/>
      <c r="AL207" s="756"/>
      <c r="AM207" s="753"/>
      <c r="AN207" s="754"/>
      <c r="AO207" s="776"/>
      <c r="AP207" s="754"/>
      <c r="AQ207" s="771"/>
      <c r="AR207" s="732"/>
      <c r="AS207" s="732"/>
      <c r="AT207" s="732"/>
      <c r="AU207" s="732"/>
      <c r="AV207" s="732"/>
      <c r="AW207" s="732"/>
    </row>
    <row r="208" spans="1:49">
      <c r="A208" s="736" t="s">
        <v>4489</v>
      </c>
      <c r="B208" s="736" t="s">
        <v>4489</v>
      </c>
      <c r="C208" s="736"/>
      <c r="D208" s="736"/>
      <c r="E208" s="736"/>
      <c r="F208" s="1059" t="str">
        <f>IFERROR(VLOOKUP($A208,'2018'!$A:$BB,3,FALSE),"")</f>
        <v>47-3366145</v>
      </c>
      <c r="G208" s="1055" t="str">
        <f>IFERROR(VLOOKUP($A208,'2018'!$A:$BB,4,FALSE),"")</f>
        <v>4000 Shoreline, Suite 300
South San Francisco, CA  94080</v>
      </c>
      <c r="H208" s="1055" t="str">
        <f>IFERROR(VLOOKUP($A208,'2018'!$A:$BB,5,FALSE),"")</f>
        <v>Marc Belsky
415-509-6168
mbelsky@kezarbio.com</v>
      </c>
      <c r="I208" s="1055" t="str">
        <f>IFERROR(VLOOKUP($A208,'2018'!$A:$BB,6,FALSE),"")</f>
        <v>Mike Wolfe
650-822-5601
mwolfe@kezarbio.com</v>
      </c>
      <c r="J208" s="1055" t="str">
        <f>IFERROR(VLOOKUP($A208,'2018'!$A:$BB,7,FALSE),"")</f>
        <v>ABD</v>
      </c>
      <c r="K208" s="1055" t="str">
        <f>IFERROR(VLOOKUP($A208,'2018'!$A:$BB,8,FALSE),"")</f>
        <v xml:space="preserve">Account Managed by ABD Team
Mark Anderson
Mark.Anderson@theabdteam.com
Angie Lopez
angie.lopez@theabdteam.com </v>
      </c>
      <c r="L208" s="1062" t="str">
        <f>IFERROR(VLOOKUP($A208,'2018'!$A:$BB,9,FALSE),"")</f>
        <v>New</v>
      </c>
      <c r="M208" s="1067">
        <f>IFERROR(VLOOKUP($A208,'2018'!$A:$BB,10,FALSE),"")</f>
        <v>43252</v>
      </c>
      <c r="N208" s="1062">
        <f>IFERROR(VLOOKUP($A208,'2018'!$A:$BB,12,FALSE),"")</f>
        <v>20</v>
      </c>
      <c r="O208" s="1055" t="str">
        <f>IFERROR(VLOOKUP($A208,'2018'!$A:$BB,13,FALSE),"")</f>
        <v xml:space="preserve">IGOE </v>
      </c>
      <c r="P208" s="1055" t="str">
        <f>IFERROR(VLOOKUP($A208,'2018'!$A:$BB,14,FALSE),"")</f>
        <v xml:space="preserve">Zuman </v>
      </c>
      <c r="Q208" s="1055" t="str">
        <f>IFERROR(VLOOKUP($A208,'2018'!$A:$BB,16,FALSE),"")</f>
        <v>N/A</v>
      </c>
      <c r="R208" s="1055" t="str">
        <f>IFERROR(VLOOKUP($A208,'2018'!$A:$BB,17,FALSE),"")</f>
        <v>Optum Health</v>
      </c>
      <c r="S208" s="1062" t="str">
        <f>IFERROR(VLOOKUP($A208,'2018'!$A:$BB,20,FALSE),"")</f>
        <v>NCAL</v>
      </c>
      <c r="T208" s="1062" t="str">
        <f>IFERROR(VLOOKUP($A208,'2018'!$A:$BB,21,FALSE),"")</f>
        <v>Group C (44-54)</v>
      </c>
      <c r="U208" s="1062" t="str">
        <f>IFERROR(VLOOKUP($A208,'2018'!$A:$BB,22,FALSE),"")</f>
        <v>Expanded</v>
      </c>
      <c r="V208" s="1062" t="str">
        <f>IFERROR(VLOOKUP($A208,'2018'!$A:$BB,23,FALSE),"")</f>
        <v>Advantage</v>
      </c>
      <c r="W208" s="1062" t="str">
        <f>IFERROR(VLOOKUP($A208,'2018'!$A:$BB,24,FALSE),"")</f>
        <v>No</v>
      </c>
      <c r="X208" s="1062" t="str">
        <f>IFERROR(VLOOKUP($A208,'2018'!$A:$BB,41,FALSE),"")</f>
        <v>Region 3</v>
      </c>
      <c r="Y208" s="1062" t="str">
        <f>IFERROR(VLOOKUP($A208,'2018'!$A:$BB,42,FALSE),"")</f>
        <v>(10-24)</v>
      </c>
      <c r="Z208" s="1062" t="str">
        <f>IFERROR(VLOOKUP($A208,'2018'!$A:$BB,45,FALSE),"")</f>
        <v xml:space="preserve"> (2-49)</v>
      </c>
      <c r="AA208" s="731">
        <v>2018</v>
      </c>
      <c r="AB208" s="1032" t="s">
        <v>4357</v>
      </c>
      <c r="AC208" s="734" t="s">
        <v>303</v>
      </c>
      <c r="AD208" s="734" t="s">
        <v>3656</v>
      </c>
      <c r="AE208" s="734" t="s">
        <v>307</v>
      </c>
      <c r="AF208" s="734" t="s">
        <v>113</v>
      </c>
      <c r="AG208" s="732" t="s">
        <v>3962</v>
      </c>
      <c r="AH208" s="732" t="s">
        <v>3963</v>
      </c>
      <c r="AI208" s="734">
        <v>1</v>
      </c>
      <c r="AJ208" s="748" t="s">
        <v>3998</v>
      </c>
      <c r="AK208" s="758">
        <v>260056</v>
      </c>
      <c r="AL208" s="756">
        <v>157</v>
      </c>
      <c r="AM208" s="758">
        <v>260057</v>
      </c>
      <c r="AN208" s="756">
        <v>158</v>
      </c>
      <c r="AO208" s="776">
        <f>AM208+1</f>
        <v>260058</v>
      </c>
      <c r="AP208" s="754">
        <f>AN208+1</f>
        <v>159</v>
      </c>
      <c r="AQ208" s="771"/>
      <c r="AR208" s="732" t="s">
        <v>2661</v>
      </c>
      <c r="AS208" s="735"/>
      <c r="AT208" s="735"/>
      <c r="AU208" s="732" t="s">
        <v>3980</v>
      </c>
      <c r="AV208" s="735"/>
      <c r="AW208" s="735"/>
    </row>
    <row r="209" spans="1:49">
      <c r="A209" s="736" t="s">
        <v>4489</v>
      </c>
      <c r="B209" s="736" t="s">
        <v>4489</v>
      </c>
      <c r="C209" s="736"/>
      <c r="D209" s="738"/>
      <c r="E209" s="738"/>
      <c r="F209" s="1059" t="str">
        <f>IFERROR(VLOOKUP($A209,'2018'!$A:$BB,3,FALSE),"")</f>
        <v>47-3366145</v>
      </c>
      <c r="G209" s="1055" t="str">
        <f>IFERROR(VLOOKUP($A209,'2018'!$A:$BB,4,FALSE),"")</f>
        <v>4000 Shoreline, Suite 300
South San Francisco, CA  94080</v>
      </c>
      <c r="H209" s="1055" t="str">
        <f>IFERROR(VLOOKUP($A209,'2018'!$A:$BB,5,FALSE),"")</f>
        <v>Marc Belsky
415-509-6168
mbelsky@kezarbio.com</v>
      </c>
      <c r="I209" s="1055" t="str">
        <f>IFERROR(VLOOKUP($A209,'2018'!$A:$BB,6,FALSE),"")</f>
        <v>Mike Wolfe
650-822-5601
mwolfe@kezarbio.com</v>
      </c>
      <c r="J209" s="1055" t="str">
        <f>IFERROR(VLOOKUP($A209,'2018'!$A:$BB,7,FALSE),"")</f>
        <v>ABD</v>
      </c>
      <c r="K209" s="1055" t="str">
        <f>IFERROR(VLOOKUP($A209,'2018'!$A:$BB,8,FALSE),"")</f>
        <v xml:space="preserve">Account Managed by ABD Team
Mark Anderson
Mark.Anderson@theabdteam.com
Angie Lopez
angie.lopez@theabdteam.com </v>
      </c>
      <c r="L209" s="1062" t="str">
        <f>IFERROR(VLOOKUP($A209,'2018'!$A:$BB,9,FALSE),"")</f>
        <v>New</v>
      </c>
      <c r="M209" s="1067">
        <f>IFERROR(VLOOKUP($A209,'2018'!$A:$BB,10,FALSE),"")</f>
        <v>43252</v>
      </c>
      <c r="N209" s="1062">
        <f>IFERROR(VLOOKUP($A209,'2018'!$A:$BB,12,FALSE),"")</f>
        <v>20</v>
      </c>
      <c r="O209" s="1055" t="str">
        <f>IFERROR(VLOOKUP($A209,'2018'!$A:$BB,13,FALSE),"")</f>
        <v xml:space="preserve">IGOE </v>
      </c>
      <c r="P209" s="1055" t="str">
        <f>IFERROR(VLOOKUP($A209,'2018'!$A:$BB,14,FALSE),"")</f>
        <v xml:space="preserve">Zuman </v>
      </c>
      <c r="Q209" s="1055" t="str">
        <f>IFERROR(VLOOKUP($A209,'2018'!$A:$BB,16,FALSE),"")</f>
        <v>N/A</v>
      </c>
      <c r="R209" s="1055" t="str">
        <f>IFERROR(VLOOKUP($A209,'2018'!$A:$BB,17,FALSE),"")</f>
        <v>Optum Health</v>
      </c>
      <c r="S209" s="1062" t="str">
        <f>IFERROR(VLOOKUP($A209,'2018'!$A:$BB,20,FALSE),"")</f>
        <v>NCAL</v>
      </c>
      <c r="T209" s="1062" t="str">
        <f>IFERROR(VLOOKUP($A209,'2018'!$A:$BB,21,FALSE),"")</f>
        <v>Group C (44-54)</v>
      </c>
      <c r="U209" s="1062" t="str">
        <f>IFERROR(VLOOKUP($A209,'2018'!$A:$BB,22,FALSE),"")</f>
        <v>Expanded</v>
      </c>
      <c r="V209" s="1062" t="str">
        <f>IFERROR(VLOOKUP($A209,'2018'!$A:$BB,23,FALSE),"")</f>
        <v>Advantage</v>
      </c>
      <c r="W209" s="1062" t="str">
        <f>IFERROR(VLOOKUP($A209,'2018'!$A:$BB,24,FALSE),"")</f>
        <v>No</v>
      </c>
      <c r="X209" s="1062" t="str">
        <f>IFERROR(VLOOKUP($A209,'2018'!$A:$BB,41,FALSE),"")</f>
        <v>Region 3</v>
      </c>
      <c r="Y209" s="1062" t="str">
        <f>IFERROR(VLOOKUP($A209,'2018'!$A:$BB,42,FALSE),"")</f>
        <v>(10-24)</v>
      </c>
      <c r="Z209" s="1062" t="str">
        <f>IFERROR(VLOOKUP($A209,'2018'!$A:$BB,45,FALSE),"")</f>
        <v xml:space="preserve"> (2-49)</v>
      </c>
      <c r="AA209" s="731">
        <v>2018</v>
      </c>
      <c r="AB209" s="1032" t="s">
        <v>4357</v>
      </c>
      <c r="AC209" s="727" t="s">
        <v>303</v>
      </c>
      <c r="AD209" s="727" t="s">
        <v>3656</v>
      </c>
      <c r="AE209" s="727" t="s">
        <v>307</v>
      </c>
      <c r="AF209" s="727" t="s">
        <v>113</v>
      </c>
      <c r="AG209" s="726" t="s">
        <v>3981</v>
      </c>
      <c r="AH209" s="726" t="s">
        <v>3973</v>
      </c>
      <c r="AI209" s="727">
        <v>11</v>
      </c>
      <c r="AJ209" s="747" t="s">
        <v>3982</v>
      </c>
      <c r="AK209" s="763">
        <v>909678</v>
      </c>
      <c r="AL209" s="754">
        <v>472</v>
      </c>
      <c r="AM209" s="755">
        <v>909678</v>
      </c>
      <c r="AN209" s="754">
        <v>473</v>
      </c>
      <c r="AO209" s="776">
        <f t="shared" ref="AO209:AO210" si="50">AM209</f>
        <v>909678</v>
      </c>
      <c r="AP209" s="754">
        <f t="shared" ref="AP209:AP210" si="51">AN209+1</f>
        <v>474</v>
      </c>
      <c r="AQ209" s="770"/>
      <c r="AR209" s="726" t="s">
        <v>2661</v>
      </c>
      <c r="AS209" s="726"/>
      <c r="AT209" s="726"/>
      <c r="AU209" s="726" t="s">
        <v>3980</v>
      </c>
      <c r="AV209" s="726"/>
      <c r="AW209" s="726"/>
    </row>
    <row r="210" spans="1:49">
      <c r="A210" s="736" t="s">
        <v>4489</v>
      </c>
      <c r="B210" s="736" t="s">
        <v>4489</v>
      </c>
      <c r="C210" s="736"/>
      <c r="D210" s="738"/>
      <c r="E210" s="738"/>
      <c r="F210" s="1059" t="str">
        <f>IFERROR(VLOOKUP($A210,'2018'!$A:$BB,3,FALSE),"")</f>
        <v>47-3366145</v>
      </c>
      <c r="G210" s="1055" t="str">
        <f>IFERROR(VLOOKUP($A210,'2018'!$A:$BB,4,FALSE),"")</f>
        <v>4000 Shoreline, Suite 300
South San Francisco, CA  94080</v>
      </c>
      <c r="H210" s="1055" t="str">
        <f>IFERROR(VLOOKUP($A210,'2018'!$A:$BB,5,FALSE),"")</f>
        <v>Marc Belsky
415-509-6168
mbelsky@kezarbio.com</v>
      </c>
      <c r="I210" s="1055" t="str">
        <f>IFERROR(VLOOKUP($A210,'2018'!$A:$BB,6,FALSE),"")</f>
        <v>Mike Wolfe
650-822-5601
mwolfe@kezarbio.com</v>
      </c>
      <c r="J210" s="1055" t="str">
        <f>IFERROR(VLOOKUP($A210,'2018'!$A:$BB,7,FALSE),"")</f>
        <v>ABD</v>
      </c>
      <c r="K210" s="1055" t="str">
        <f>IFERROR(VLOOKUP($A210,'2018'!$A:$BB,8,FALSE),"")</f>
        <v xml:space="preserve">Account Managed by ABD Team
Mark Anderson
Mark.Anderson@theabdteam.com
Angie Lopez
angie.lopez@theabdteam.com </v>
      </c>
      <c r="L210" s="1062" t="str">
        <f>IFERROR(VLOOKUP($A210,'2018'!$A:$BB,9,FALSE),"")</f>
        <v>New</v>
      </c>
      <c r="M210" s="1067">
        <f>IFERROR(VLOOKUP($A210,'2018'!$A:$BB,10,FALSE),"")</f>
        <v>43252</v>
      </c>
      <c r="N210" s="1062">
        <f>IFERROR(VLOOKUP($A210,'2018'!$A:$BB,12,FALSE),"")</f>
        <v>20</v>
      </c>
      <c r="O210" s="1055" t="str">
        <f>IFERROR(VLOOKUP($A210,'2018'!$A:$BB,13,FALSE),"")</f>
        <v xml:space="preserve">IGOE </v>
      </c>
      <c r="P210" s="1055" t="str">
        <f>IFERROR(VLOOKUP($A210,'2018'!$A:$BB,14,FALSE),"")</f>
        <v xml:space="preserve">Zuman </v>
      </c>
      <c r="Q210" s="1055" t="str">
        <f>IFERROR(VLOOKUP($A210,'2018'!$A:$BB,16,FALSE),"")</f>
        <v>N/A</v>
      </c>
      <c r="R210" s="1055" t="str">
        <f>IFERROR(VLOOKUP($A210,'2018'!$A:$BB,17,FALSE),"")</f>
        <v>Optum Health</v>
      </c>
      <c r="S210" s="1062" t="str">
        <f>IFERROR(VLOOKUP($A210,'2018'!$A:$BB,20,FALSE),"")</f>
        <v>NCAL</v>
      </c>
      <c r="T210" s="1062" t="str">
        <f>IFERROR(VLOOKUP($A210,'2018'!$A:$BB,21,FALSE),"")</f>
        <v>Group C (44-54)</v>
      </c>
      <c r="U210" s="1062" t="str">
        <f>IFERROR(VLOOKUP($A210,'2018'!$A:$BB,22,FALSE),"")</f>
        <v>Expanded</v>
      </c>
      <c r="V210" s="1062" t="str">
        <f>IFERROR(VLOOKUP($A210,'2018'!$A:$BB,23,FALSE),"")</f>
        <v>Advantage</v>
      </c>
      <c r="W210" s="1062" t="str">
        <f>IFERROR(VLOOKUP($A210,'2018'!$A:$BB,24,FALSE),"")</f>
        <v>No</v>
      </c>
      <c r="X210" s="1062" t="str">
        <f>IFERROR(VLOOKUP($A210,'2018'!$A:$BB,41,FALSE),"")</f>
        <v>Region 3</v>
      </c>
      <c r="Y210" s="1062" t="str">
        <f>IFERROR(VLOOKUP($A210,'2018'!$A:$BB,42,FALSE),"")</f>
        <v>(10-24)</v>
      </c>
      <c r="Z210" s="1062" t="str">
        <f>IFERROR(VLOOKUP($A210,'2018'!$A:$BB,45,FALSE),"")</f>
        <v xml:space="preserve"> (2-49)</v>
      </c>
      <c r="AA210" s="731">
        <v>2018</v>
      </c>
      <c r="AB210" s="1032" t="s">
        <v>4357</v>
      </c>
      <c r="AC210" s="734" t="s">
        <v>303</v>
      </c>
      <c r="AD210" s="734" t="s">
        <v>3656</v>
      </c>
      <c r="AE210" s="734" t="s">
        <v>307</v>
      </c>
      <c r="AF210" s="734" t="s">
        <v>113</v>
      </c>
      <c r="AG210" s="732" t="s">
        <v>3981</v>
      </c>
      <c r="AH210" s="732" t="s">
        <v>3977</v>
      </c>
      <c r="AI210" s="734">
        <v>16</v>
      </c>
      <c r="AJ210" s="748" t="s">
        <v>3985</v>
      </c>
      <c r="AK210" s="763">
        <v>909678</v>
      </c>
      <c r="AL210" s="756">
        <v>724</v>
      </c>
      <c r="AM210" s="755">
        <v>909678</v>
      </c>
      <c r="AN210" s="756">
        <v>725</v>
      </c>
      <c r="AO210" s="776">
        <f t="shared" si="50"/>
        <v>909678</v>
      </c>
      <c r="AP210" s="754">
        <f t="shared" si="51"/>
        <v>726</v>
      </c>
      <c r="AQ210" s="771"/>
      <c r="AR210" s="732" t="s">
        <v>2661</v>
      </c>
      <c r="AS210" s="735"/>
      <c r="AT210" s="735"/>
      <c r="AU210" s="732" t="s">
        <v>3980</v>
      </c>
      <c r="AV210" s="735"/>
      <c r="AW210" s="735"/>
    </row>
    <row r="211" spans="1:49">
      <c r="A211" s="1138"/>
      <c r="B211" s="1138"/>
      <c r="C211" s="1138"/>
      <c r="D211" s="1151"/>
      <c r="E211" s="1151"/>
      <c r="F211" s="1139"/>
      <c r="G211" s="1140"/>
      <c r="H211" s="1140"/>
      <c r="I211" s="1140"/>
      <c r="J211" s="1140"/>
      <c r="K211" s="1140"/>
      <c r="L211" s="1141"/>
      <c r="M211" s="1142"/>
      <c r="N211" s="1141"/>
      <c r="O211" s="1140"/>
      <c r="P211" s="1140"/>
      <c r="Q211" s="1140"/>
      <c r="R211" s="1140"/>
      <c r="S211" s="1141"/>
      <c r="T211" s="1141"/>
      <c r="U211" s="1141"/>
      <c r="V211" s="1141"/>
      <c r="W211" s="1141"/>
      <c r="X211" s="1141"/>
      <c r="Y211" s="1141"/>
      <c r="Z211" s="1141"/>
      <c r="AA211" s="1152"/>
      <c r="AB211" s="1143"/>
      <c r="AC211" s="1144"/>
      <c r="AD211" s="1144"/>
      <c r="AE211" s="1144"/>
      <c r="AF211" s="1144"/>
      <c r="AG211" s="1145"/>
      <c r="AH211" s="1145"/>
      <c r="AI211" s="1144"/>
      <c r="AJ211" s="1146"/>
      <c r="AK211" s="1153"/>
      <c r="AL211" s="1147"/>
      <c r="AM211" s="1154"/>
      <c r="AN211" s="1147"/>
      <c r="AO211" s="1149"/>
      <c r="AP211" s="1148"/>
      <c r="AQ211" s="1150"/>
      <c r="AR211" s="1145"/>
      <c r="AS211" s="1155"/>
      <c r="AT211" s="1155"/>
      <c r="AU211" s="1145"/>
      <c r="AV211" s="1155"/>
      <c r="AW211" s="1155"/>
    </row>
    <row r="212" spans="1:49">
      <c r="A212" s="738" t="s">
        <v>424</v>
      </c>
      <c r="B212" s="738" t="s">
        <v>424</v>
      </c>
      <c r="C212" s="738"/>
      <c r="D212" s="738"/>
      <c r="E212" s="738"/>
      <c r="F212" s="1059">
        <f>IFERROR(VLOOKUP($A212,'2018'!$A:$BB,3,FALSE),"")</f>
        <v>270476525</v>
      </c>
      <c r="G212" s="1055" t="str">
        <f>IFERROR(VLOOKUP($A212,'2018'!$A:$BB,4,FALSE),"")</f>
        <v>2631 Hanover St.
Palo Alto, CA 94304</v>
      </c>
      <c r="H212" s="1055" t="str">
        <f>IFERROR(VLOOKUP($A212,'2018'!$A:$BB,5,FALSE),"")</f>
        <v>Jordan Smail
(650) 281-0803 
jsmail@kodiak.com</v>
      </c>
      <c r="I212" s="1055" t="str">
        <f>IFERROR(VLOOKUP($A212,'2018'!$A:$BB,6,FALSE),"")</f>
        <v>Kaushik Hansjee
650-281-0804
khansjee@kodiak.com</v>
      </c>
      <c r="J212" s="1055" t="str">
        <f>IFERROR(VLOOKUP($A212,'2018'!$A:$BB,7,FALSE),"")</f>
        <v>Woodruff-Sawyer</v>
      </c>
      <c r="K212" s="1055" t="str">
        <f>IFERROR(VLOOKUP($A212,'2018'!$A:$BB,8,FALSE),"")</f>
        <v xml:space="preserve">Account Managed by Woodruff-Sawyer Team
Producer - Chris Nussbaum 
Service Lead - Kimmy Fung
</v>
      </c>
      <c r="L212" s="1062" t="str">
        <f>IFERROR(VLOOKUP($A212,'2018'!$A:$BB,9,FALSE),"")</f>
        <v>New</v>
      </c>
      <c r="M212" s="1067">
        <f>IFERROR(VLOOKUP($A212,'2018'!$A:$BB,10,FALSE),"")</f>
        <v>43101</v>
      </c>
      <c r="N212" s="1062">
        <f>IFERROR(VLOOKUP($A212,'2018'!$A:$BB,12,FALSE),"")</f>
        <v>19</v>
      </c>
      <c r="O212" s="1055" t="str">
        <f>IFERROR(VLOOKUP($A212,'2018'!$A:$BB,13,FALSE),"")</f>
        <v xml:space="preserve">IGOE </v>
      </c>
      <c r="P212" s="1055" t="str">
        <f>IFERROR(VLOOKUP($A212,'2018'!$A:$BB,14,FALSE),"")</f>
        <v>Maestro</v>
      </c>
      <c r="Q212" s="1055" t="str">
        <f>IFERROR(VLOOKUP($A212,'2018'!$A:$BB,16,FALSE),"")</f>
        <v>IGOE (Limited FSA)
BASIC
(commuter only)</v>
      </c>
      <c r="R212" s="1055" t="str">
        <f>IFERROR(VLOOKUP($A212,'2018'!$A:$BB,17,FALSE),"")</f>
        <v>Optum Health</v>
      </c>
      <c r="S212" s="1062" t="str">
        <f>IFERROR(VLOOKUP($A212,'2018'!$A:$BB,20,FALSE),"")</f>
        <v>NCAL</v>
      </c>
      <c r="T212" s="1062" t="str">
        <f>IFERROR(VLOOKUP($A212,'2018'!$A:$BB,21,FALSE),"")</f>
        <v>Group B (34-44)</v>
      </c>
      <c r="U212" s="1062" t="str">
        <f>IFERROR(VLOOKUP($A212,'2018'!$A:$BB,22,FALSE),"")</f>
        <v>Expanded</v>
      </c>
      <c r="V212" s="1062" t="str">
        <f>IFERROR(VLOOKUP($A212,'2018'!$A:$BB,23,FALSE),"")</f>
        <v>Advantage</v>
      </c>
      <c r="W212" s="1062" t="str">
        <f>IFERROR(VLOOKUP($A212,'2018'!$A:$BB,24,FALSE),"")</f>
        <v>No</v>
      </c>
      <c r="X212" s="1062" t="str">
        <f>IFERROR(VLOOKUP($A212,'2018'!$A:$BB,41,FALSE),"")</f>
        <v>Region 5</v>
      </c>
      <c r="Y212" s="1062" t="str">
        <f>IFERROR(VLOOKUP($A212,'2018'!$A:$BB,42,FALSE),"")</f>
        <v>(10-24)</v>
      </c>
      <c r="Z212" s="1062" t="str">
        <f>IFERROR(VLOOKUP($A212,'2018'!$A:$BB,45,FALSE),"")</f>
        <v xml:space="preserve"> (2-49)</v>
      </c>
      <c r="AA212" s="730">
        <v>2018</v>
      </c>
      <c r="AB212" s="728" t="s">
        <v>3864</v>
      </c>
      <c r="AC212" s="727" t="s">
        <v>303</v>
      </c>
      <c r="AD212" s="727" t="s">
        <v>3648</v>
      </c>
      <c r="AE212" s="727" t="s">
        <v>307</v>
      </c>
      <c r="AF212" s="727" t="s">
        <v>113</v>
      </c>
      <c r="AG212" s="726" t="s">
        <v>3981</v>
      </c>
      <c r="AH212" s="726" t="s">
        <v>3973</v>
      </c>
      <c r="AI212" s="727">
        <v>11</v>
      </c>
      <c r="AJ212" s="747" t="s">
        <v>3982</v>
      </c>
      <c r="AK212" s="757">
        <v>909678</v>
      </c>
      <c r="AL212" s="754">
        <v>469</v>
      </c>
      <c r="AM212" s="755">
        <v>909678</v>
      </c>
      <c r="AN212" s="754">
        <v>470</v>
      </c>
      <c r="AO212" s="776">
        <f t="shared" ref="AO212:AO213" si="52">AM212</f>
        <v>909678</v>
      </c>
      <c r="AP212" s="754">
        <f t="shared" si="46"/>
        <v>471</v>
      </c>
      <c r="AQ212" s="770"/>
      <c r="AR212" s="726" t="s">
        <v>2661</v>
      </c>
      <c r="AS212" s="726" t="s">
        <v>3983</v>
      </c>
      <c r="AT212" s="726">
        <v>4690469</v>
      </c>
      <c r="AU212" s="726" t="s">
        <v>3980</v>
      </c>
      <c r="AV212" s="726"/>
      <c r="AW212" s="726"/>
    </row>
    <row r="213" spans="1:49">
      <c r="A213" s="736" t="s">
        <v>424</v>
      </c>
      <c r="B213" s="736" t="s">
        <v>424</v>
      </c>
      <c r="C213" s="736"/>
      <c r="D213" s="738"/>
      <c r="E213" s="738"/>
      <c r="F213" s="1059">
        <f>IFERROR(VLOOKUP($A213,'2018'!$A:$BB,3,FALSE),"")</f>
        <v>270476525</v>
      </c>
      <c r="G213" s="1055" t="str">
        <f>IFERROR(VLOOKUP($A213,'2018'!$A:$BB,4,FALSE),"")</f>
        <v>2631 Hanover St.
Palo Alto, CA 94304</v>
      </c>
      <c r="H213" s="1055" t="str">
        <f>IFERROR(VLOOKUP($A213,'2018'!$A:$BB,5,FALSE),"")</f>
        <v>Jordan Smail
(650) 281-0803 
jsmail@kodiak.com</v>
      </c>
      <c r="I213" s="1055" t="str">
        <f>IFERROR(VLOOKUP($A213,'2018'!$A:$BB,6,FALSE),"")</f>
        <v>Kaushik Hansjee
650-281-0804
khansjee@kodiak.com</v>
      </c>
      <c r="J213" s="1055" t="str">
        <f>IFERROR(VLOOKUP($A213,'2018'!$A:$BB,7,FALSE),"")</f>
        <v>Woodruff-Sawyer</v>
      </c>
      <c r="K213" s="1055" t="str">
        <f>IFERROR(VLOOKUP($A213,'2018'!$A:$BB,8,FALSE),"")</f>
        <v xml:space="preserve">Account Managed by Woodruff-Sawyer Team
Producer - Chris Nussbaum 
Service Lead - Kimmy Fung
</v>
      </c>
      <c r="L213" s="1062" t="str">
        <f>IFERROR(VLOOKUP($A213,'2018'!$A:$BB,9,FALSE),"")</f>
        <v>New</v>
      </c>
      <c r="M213" s="1067">
        <f>IFERROR(VLOOKUP($A213,'2018'!$A:$BB,10,FALSE),"")</f>
        <v>43101</v>
      </c>
      <c r="N213" s="1062">
        <f>IFERROR(VLOOKUP($A213,'2018'!$A:$BB,12,FALSE),"")</f>
        <v>19</v>
      </c>
      <c r="O213" s="1055" t="str">
        <f>IFERROR(VLOOKUP($A213,'2018'!$A:$BB,13,FALSE),"")</f>
        <v xml:space="preserve">IGOE </v>
      </c>
      <c r="P213" s="1055" t="str">
        <f>IFERROR(VLOOKUP($A213,'2018'!$A:$BB,14,FALSE),"")</f>
        <v>Maestro</v>
      </c>
      <c r="Q213" s="1055" t="str">
        <f>IFERROR(VLOOKUP($A213,'2018'!$A:$BB,16,FALSE),"")</f>
        <v>IGOE (Limited FSA)
BASIC
(commuter only)</v>
      </c>
      <c r="R213" s="1055" t="str">
        <f>IFERROR(VLOOKUP($A213,'2018'!$A:$BB,17,FALSE),"")</f>
        <v>Optum Health</v>
      </c>
      <c r="S213" s="1062" t="str">
        <f>IFERROR(VLOOKUP($A213,'2018'!$A:$BB,20,FALSE),"")</f>
        <v>NCAL</v>
      </c>
      <c r="T213" s="1062" t="str">
        <f>IFERROR(VLOOKUP($A213,'2018'!$A:$BB,21,FALSE),"")</f>
        <v>Group B (34-44)</v>
      </c>
      <c r="U213" s="1062" t="str">
        <f>IFERROR(VLOOKUP($A213,'2018'!$A:$BB,22,FALSE),"")</f>
        <v>Expanded</v>
      </c>
      <c r="V213" s="1062" t="str">
        <f>IFERROR(VLOOKUP($A213,'2018'!$A:$BB,23,FALSE),"")</f>
        <v>Advantage</v>
      </c>
      <c r="W213" s="1062" t="str">
        <f>IFERROR(VLOOKUP($A213,'2018'!$A:$BB,24,FALSE),"")</f>
        <v>No</v>
      </c>
      <c r="X213" s="1062" t="str">
        <f>IFERROR(VLOOKUP($A213,'2018'!$A:$BB,41,FALSE),"")</f>
        <v>Region 5</v>
      </c>
      <c r="Y213" s="1062" t="str">
        <f>IFERROR(VLOOKUP($A213,'2018'!$A:$BB,42,FALSE),"")</f>
        <v>(10-24)</v>
      </c>
      <c r="Z213" s="1062" t="str">
        <f>IFERROR(VLOOKUP($A213,'2018'!$A:$BB,45,FALSE),"")</f>
        <v xml:space="preserve"> (2-49)</v>
      </c>
      <c r="AA213" s="731">
        <v>2018</v>
      </c>
      <c r="AB213" s="733" t="s">
        <v>3864</v>
      </c>
      <c r="AC213" s="734" t="s">
        <v>303</v>
      </c>
      <c r="AD213" s="734" t="s">
        <v>3648</v>
      </c>
      <c r="AE213" s="734" t="s">
        <v>307</v>
      </c>
      <c r="AF213" s="734" t="s">
        <v>113</v>
      </c>
      <c r="AG213" s="732" t="s">
        <v>3981</v>
      </c>
      <c r="AH213" s="732" t="s">
        <v>3977</v>
      </c>
      <c r="AI213" s="734">
        <v>16</v>
      </c>
      <c r="AJ213" s="748" t="s">
        <v>3985</v>
      </c>
      <c r="AK213" s="757">
        <v>909678</v>
      </c>
      <c r="AL213" s="756">
        <v>721</v>
      </c>
      <c r="AM213" s="755">
        <v>909678</v>
      </c>
      <c r="AN213" s="756">
        <v>722</v>
      </c>
      <c r="AO213" s="776">
        <f t="shared" si="52"/>
        <v>909678</v>
      </c>
      <c r="AP213" s="754">
        <f t="shared" si="46"/>
        <v>723</v>
      </c>
      <c r="AQ213" s="771" t="s">
        <v>3979</v>
      </c>
      <c r="AR213" s="732" t="s">
        <v>2661</v>
      </c>
      <c r="AS213" s="735"/>
      <c r="AT213" s="735"/>
      <c r="AU213" s="732" t="s">
        <v>3980</v>
      </c>
      <c r="AV213" s="735"/>
      <c r="AW213" s="735"/>
    </row>
    <row r="214" spans="1:49">
      <c r="A214" s="738"/>
      <c r="B214" s="738"/>
      <c r="C214" s="738"/>
      <c r="D214" s="738"/>
      <c r="E214" s="738"/>
      <c r="F214" s="1059" t="str">
        <f>IFERROR(VLOOKUP($A214,'2018'!$A:$BB,3,FALSE),"")</f>
        <v/>
      </c>
      <c r="G214" s="1055" t="str">
        <f>IFERROR(VLOOKUP($A214,'2018'!$A:$BB,4,FALSE),"")</f>
        <v/>
      </c>
      <c r="H214" s="1055" t="str">
        <f>IFERROR(VLOOKUP($A214,'2018'!$A:$BB,5,FALSE),"")</f>
        <v/>
      </c>
      <c r="I214" s="1055" t="str">
        <f>IFERROR(VLOOKUP($A214,'2018'!$A:$BB,6,FALSE),"")</f>
        <v/>
      </c>
      <c r="J214" s="1055" t="str">
        <f>IFERROR(VLOOKUP($A214,'2018'!$A:$BB,7,FALSE),"")</f>
        <v/>
      </c>
      <c r="K214" s="1055" t="str">
        <f>IFERROR(VLOOKUP($A214,'2018'!$A:$BB,8,FALSE),"")</f>
        <v/>
      </c>
      <c r="L214" s="1062" t="str">
        <f>IFERROR(VLOOKUP($A214,'2018'!$A:$BB,9,FALSE),"")</f>
        <v/>
      </c>
      <c r="M214" s="1067" t="str">
        <f>IFERROR(VLOOKUP($A214,'2018'!$A:$BB,10,FALSE),"")</f>
        <v/>
      </c>
      <c r="N214" s="1062" t="str">
        <f>IFERROR(VLOOKUP($A214,'2018'!$A:$BB,12,FALSE),"")</f>
        <v/>
      </c>
      <c r="O214" s="1055" t="str">
        <f>IFERROR(VLOOKUP($A214,'2018'!$A:$BB,13,FALSE),"")</f>
        <v/>
      </c>
      <c r="P214" s="1055" t="str">
        <f>IFERROR(VLOOKUP($A214,'2018'!$A:$BB,14,FALSE),"")</f>
        <v/>
      </c>
      <c r="Q214" s="1055" t="str">
        <f>IFERROR(VLOOKUP($A214,'2018'!$A:$BB,16,FALSE),"")</f>
        <v/>
      </c>
      <c r="R214" s="1055" t="str">
        <f>IFERROR(VLOOKUP($A214,'2018'!$A:$BB,17,FALSE),"")</f>
        <v/>
      </c>
      <c r="S214" s="1062" t="str">
        <f>IFERROR(VLOOKUP($A214,'2018'!$A:$BB,20,FALSE),"")</f>
        <v/>
      </c>
      <c r="T214" s="1062" t="str">
        <f>IFERROR(VLOOKUP($A214,'2018'!$A:$BB,21,FALSE),"")</f>
        <v/>
      </c>
      <c r="U214" s="1062" t="str">
        <f>IFERROR(VLOOKUP($A214,'2018'!$A:$BB,22,FALSE),"")</f>
        <v/>
      </c>
      <c r="V214" s="1062" t="str">
        <f>IFERROR(VLOOKUP($A214,'2018'!$A:$BB,23,FALSE),"")</f>
        <v/>
      </c>
      <c r="W214" s="1062" t="str">
        <f>IFERROR(VLOOKUP($A214,'2018'!$A:$BB,24,FALSE),"")</f>
        <v/>
      </c>
      <c r="X214" s="1062" t="str">
        <f>IFERROR(VLOOKUP($A214,'2018'!$A:$BB,41,FALSE),"")</f>
        <v/>
      </c>
      <c r="Y214" s="1062" t="str">
        <f>IFERROR(VLOOKUP($A214,'2018'!$A:$BB,42,FALSE),"")</f>
        <v/>
      </c>
      <c r="Z214" s="1062" t="str">
        <f>IFERROR(VLOOKUP($A214,'2018'!$A:$BB,45,FALSE),"")</f>
        <v/>
      </c>
      <c r="AA214" s="727"/>
      <c r="AB214" s="728"/>
      <c r="AC214" s="727"/>
      <c r="AD214" s="727"/>
      <c r="AE214" s="727"/>
      <c r="AF214" s="727"/>
      <c r="AG214" s="726"/>
      <c r="AH214" s="726"/>
      <c r="AI214" s="727"/>
      <c r="AJ214" s="747"/>
      <c r="AK214" s="753"/>
      <c r="AL214" s="754"/>
      <c r="AM214" s="753"/>
      <c r="AN214" s="754"/>
      <c r="AO214" s="776"/>
      <c r="AP214" s="754"/>
      <c r="AQ214" s="770"/>
      <c r="AR214" s="726"/>
      <c r="AS214" s="726"/>
      <c r="AT214" s="726"/>
      <c r="AU214" s="726"/>
      <c r="AV214" s="726"/>
      <c r="AW214" s="726"/>
    </row>
    <row r="215" spans="1:49">
      <c r="A215" s="738" t="s">
        <v>3745</v>
      </c>
      <c r="B215" s="738" t="s">
        <v>3745</v>
      </c>
      <c r="C215" s="738" t="s">
        <v>4170</v>
      </c>
      <c r="D215" s="968" t="s">
        <v>3745</v>
      </c>
      <c r="E215" s="968" t="s">
        <v>4170</v>
      </c>
      <c r="F215" s="1059">
        <f>IFERROR(VLOOKUP($A215,'2018'!$A:$BB,3,FALSE),"")</f>
        <v>330663715</v>
      </c>
      <c r="G215" s="1055" t="str">
        <f>IFERROR(VLOOKUP($A215,'2018'!$A:$BB,4,FALSE),"")</f>
        <v>14351 Myford Road
Tustin, CA 92780</v>
      </c>
      <c r="H215" s="1055" t="str">
        <f>IFERROR(VLOOKUP($A215,'2018'!$A:$BB,5,FALSE),"")</f>
        <v xml:space="preserve">Debbie Mason
714-210-6610
debbie.mason@integrium.com </v>
      </c>
      <c r="I215" s="1055" t="str">
        <f>IFERROR(VLOOKUP($A215,'2018'!$A:$BB,6,FALSE),"")</f>
        <v>Ewa Olesiak-Deptuch
908 375 2014
Ewa.Olesiak@integrium.com</v>
      </c>
      <c r="J215" s="1055" t="str">
        <f>IFERROR(VLOOKUP($A215,'2018'!$A:$BB,7,FALSE),"")</f>
        <v>HUB (San Diego)</v>
      </c>
      <c r="K215" s="1055" t="str">
        <f>IFERROR(VLOOKUP($A215,'2018'!$A:$BB,8,FALSE),"")</f>
        <v>Account Managed by HUB SD Team
Producer - Neal Cook
Service Lead - Domenica Hernandez
Account Rep - Courtney Stanley</v>
      </c>
      <c r="L215" s="1062" t="str">
        <f>IFERROR(VLOOKUP($A215,'2018'!$A:$BB,9,FALSE),"")</f>
        <v>New</v>
      </c>
      <c r="M215" s="1067">
        <f>IFERROR(VLOOKUP($A215,'2018'!$A:$BB,10,FALSE),"")</f>
        <v>43101</v>
      </c>
      <c r="N215" s="1062">
        <f>IFERROR(VLOOKUP($A215,'2018'!$A:$BB,12,FALSE),"")</f>
        <v>63</v>
      </c>
      <c r="O215" s="1055" t="str">
        <f>IFERROR(VLOOKUP($A215,'2018'!$A:$BB,13,FALSE),"")</f>
        <v xml:space="preserve">IGOE </v>
      </c>
      <c r="P215" s="1055" t="str">
        <f>IFERROR(VLOOKUP($A215,'2018'!$A:$BB,14,FALSE),"")</f>
        <v>Maestro</v>
      </c>
      <c r="Q215" s="1055" t="str">
        <f>IFERROR(VLOOKUP($A215,'2018'!$A:$BB,16,FALSE),"")</f>
        <v>IGOE</v>
      </c>
      <c r="R215" s="1055" t="str">
        <f>IFERROR(VLOOKUP($A215,'2018'!$A:$BB,17,FALSE),"")</f>
        <v>Optum Health</v>
      </c>
      <c r="S215" s="1062" t="str">
        <f>IFERROR(VLOOKUP($A215,'2018'!$A:$BB,20,FALSE),"")</f>
        <v>SCAL</v>
      </c>
      <c r="T215" s="1062" t="str">
        <f>IFERROR(VLOOKUP($A215,'2018'!$A:$BB,21,FALSE),"")</f>
        <v>Group C (44-54)</v>
      </c>
      <c r="U215" s="1062" t="str">
        <f>IFERROR(VLOOKUP($A215,'2018'!$A:$BB,22,FALSE),"")</f>
        <v>Expanded</v>
      </c>
      <c r="V215" s="1062" t="str">
        <f>IFERROR(VLOOKUP($A215,'2018'!$A:$BB,23,FALSE),"")</f>
        <v>Advantage</v>
      </c>
      <c r="W215" s="1062" t="str">
        <f>IFERROR(VLOOKUP($A215,'2018'!$A:$BB,24,FALSE),"")</f>
        <v>No</v>
      </c>
      <c r="X215" s="1062" t="str">
        <f>IFERROR(VLOOKUP($A215,'2018'!$A:$BB,41,FALSE),"")</f>
        <v>Region 3</v>
      </c>
      <c r="Y215" s="1062" t="str">
        <f>IFERROR(VLOOKUP($A215,'2018'!$A:$BB,42,FALSE),"")</f>
        <v>(50-99)</v>
      </c>
      <c r="Z215" s="1062" t="str">
        <f>IFERROR(VLOOKUP($A215,'2018'!$A:$BB,45,FALSE),"")</f>
        <v>(50-99)</v>
      </c>
      <c r="AA215" s="730">
        <v>2018</v>
      </c>
      <c r="AB215" s="728" t="s">
        <v>3867</v>
      </c>
      <c r="AC215" s="727" t="s">
        <v>317</v>
      </c>
      <c r="AD215" s="727" t="s">
        <v>3656</v>
      </c>
      <c r="AE215" s="727" t="s">
        <v>307</v>
      </c>
      <c r="AF215" s="727" t="s">
        <v>113</v>
      </c>
      <c r="AG215" s="726" t="s">
        <v>3962</v>
      </c>
      <c r="AH215" s="726" t="s">
        <v>3963</v>
      </c>
      <c r="AI215" s="727">
        <v>2</v>
      </c>
      <c r="AJ215" s="747" t="s">
        <v>3964</v>
      </c>
      <c r="AK215" s="753">
        <v>260092</v>
      </c>
      <c r="AL215" s="754">
        <v>193</v>
      </c>
      <c r="AM215" s="753">
        <v>260093</v>
      </c>
      <c r="AN215" s="754">
        <v>194</v>
      </c>
      <c r="AO215" s="776">
        <f t="shared" ref="AO215:AO284" si="53">AM215+1</f>
        <v>260094</v>
      </c>
      <c r="AP215" s="754">
        <f t="shared" si="46"/>
        <v>195</v>
      </c>
      <c r="AQ215" s="770"/>
      <c r="AR215" s="726" t="s">
        <v>2661</v>
      </c>
      <c r="AS215" s="726" t="s">
        <v>3965</v>
      </c>
      <c r="AT215" s="726">
        <v>1930193</v>
      </c>
      <c r="AU215" s="726" t="s">
        <v>3980</v>
      </c>
      <c r="AV215" s="726"/>
      <c r="AW215" s="726"/>
    </row>
    <row r="216" spans="1:49">
      <c r="A216" s="738" t="s">
        <v>3745</v>
      </c>
      <c r="B216" s="738" t="s">
        <v>3745</v>
      </c>
      <c r="C216" s="738" t="s">
        <v>4170</v>
      </c>
      <c r="D216" s="968" t="s">
        <v>3745</v>
      </c>
      <c r="E216" s="968" t="s">
        <v>4170</v>
      </c>
      <c r="F216" s="1059">
        <f>IFERROR(VLOOKUP($A216,'2018'!$A:$BB,3,FALSE),"")</f>
        <v>330663715</v>
      </c>
      <c r="G216" s="1055" t="str">
        <f>IFERROR(VLOOKUP($A216,'2018'!$A:$BB,4,FALSE),"")</f>
        <v>14351 Myford Road
Tustin, CA 92780</v>
      </c>
      <c r="H216" s="1055" t="str">
        <f>IFERROR(VLOOKUP($A216,'2018'!$A:$BB,5,FALSE),"")</f>
        <v xml:space="preserve">Debbie Mason
714-210-6610
debbie.mason@integrium.com </v>
      </c>
      <c r="I216" s="1055" t="str">
        <f>IFERROR(VLOOKUP($A216,'2018'!$A:$BB,6,FALSE),"")</f>
        <v>Ewa Olesiak-Deptuch
908 375 2014
Ewa.Olesiak@integrium.com</v>
      </c>
      <c r="J216" s="1055" t="str">
        <f>IFERROR(VLOOKUP($A216,'2018'!$A:$BB,7,FALSE),"")</f>
        <v>HUB (San Diego)</v>
      </c>
      <c r="K216" s="1055" t="str">
        <f>IFERROR(VLOOKUP($A216,'2018'!$A:$BB,8,FALSE),"")</f>
        <v>Account Managed by HUB SD Team
Producer - Neal Cook
Service Lead - Domenica Hernandez
Account Rep - Courtney Stanley</v>
      </c>
      <c r="L216" s="1062" t="str">
        <f>IFERROR(VLOOKUP($A216,'2018'!$A:$BB,9,FALSE),"")</f>
        <v>New</v>
      </c>
      <c r="M216" s="1067">
        <f>IFERROR(VLOOKUP($A216,'2018'!$A:$BB,10,FALSE),"")</f>
        <v>43101</v>
      </c>
      <c r="N216" s="1062">
        <f>IFERROR(VLOOKUP($A216,'2018'!$A:$BB,12,FALSE),"")</f>
        <v>63</v>
      </c>
      <c r="O216" s="1055" t="str">
        <f>IFERROR(VLOOKUP($A216,'2018'!$A:$BB,13,FALSE),"")</f>
        <v xml:space="preserve">IGOE </v>
      </c>
      <c r="P216" s="1055" t="str">
        <f>IFERROR(VLOOKUP($A216,'2018'!$A:$BB,14,FALSE),"")</f>
        <v>Maestro</v>
      </c>
      <c r="Q216" s="1055" t="str">
        <f>IFERROR(VLOOKUP($A216,'2018'!$A:$BB,16,FALSE),"")</f>
        <v>IGOE</v>
      </c>
      <c r="R216" s="1055" t="str">
        <f>IFERROR(VLOOKUP($A216,'2018'!$A:$BB,17,FALSE),"")</f>
        <v>Optum Health</v>
      </c>
      <c r="S216" s="1062" t="str">
        <f>IFERROR(VLOOKUP($A216,'2018'!$A:$BB,20,FALSE),"")</f>
        <v>SCAL</v>
      </c>
      <c r="T216" s="1062" t="str">
        <f>IFERROR(VLOOKUP($A216,'2018'!$A:$BB,21,FALSE),"")</f>
        <v>Group C (44-54)</v>
      </c>
      <c r="U216" s="1062" t="str">
        <f>IFERROR(VLOOKUP($A216,'2018'!$A:$BB,22,FALSE),"")</f>
        <v>Expanded</v>
      </c>
      <c r="V216" s="1062" t="str">
        <f>IFERROR(VLOOKUP($A216,'2018'!$A:$BB,23,FALSE),"")</f>
        <v>Advantage</v>
      </c>
      <c r="W216" s="1062" t="str">
        <f>IFERROR(VLOOKUP($A216,'2018'!$A:$BB,24,FALSE),"")</f>
        <v>No</v>
      </c>
      <c r="X216" s="1062" t="str">
        <f>IFERROR(VLOOKUP($A216,'2018'!$A:$BB,41,FALSE),"")</f>
        <v>Region 3</v>
      </c>
      <c r="Y216" s="1062" t="str">
        <f>IFERROR(VLOOKUP($A216,'2018'!$A:$BB,42,FALSE),"")</f>
        <v>(50-99)</v>
      </c>
      <c r="Z216" s="1062" t="str">
        <f>IFERROR(VLOOKUP($A216,'2018'!$A:$BB,45,FALSE),"")</f>
        <v>(50-99)</v>
      </c>
      <c r="AA216" s="730">
        <v>2018</v>
      </c>
      <c r="AB216" s="728" t="s">
        <v>3867</v>
      </c>
      <c r="AC216" s="727" t="s">
        <v>317</v>
      </c>
      <c r="AD216" s="727" t="s">
        <v>3656</v>
      </c>
      <c r="AE216" s="727" t="s">
        <v>307</v>
      </c>
      <c r="AF216" s="727" t="s">
        <v>113</v>
      </c>
      <c r="AG216" s="726" t="s">
        <v>3972</v>
      </c>
      <c r="AH216" s="726" t="s">
        <v>3973</v>
      </c>
      <c r="AI216" s="727">
        <v>8</v>
      </c>
      <c r="AJ216" s="747" t="s">
        <v>3992</v>
      </c>
      <c r="AK216" s="757">
        <v>909678</v>
      </c>
      <c r="AL216" s="754">
        <v>376</v>
      </c>
      <c r="AM216" s="755">
        <v>909678</v>
      </c>
      <c r="AN216" s="754">
        <v>377</v>
      </c>
      <c r="AO216" s="776">
        <f t="shared" ref="AO216:AO219" si="54">AM216</f>
        <v>909678</v>
      </c>
      <c r="AP216" s="754">
        <f t="shared" si="46"/>
        <v>378</v>
      </c>
      <c r="AQ216" s="770"/>
      <c r="AR216" s="726" t="s">
        <v>2661</v>
      </c>
      <c r="AS216" s="726" t="s">
        <v>4007</v>
      </c>
      <c r="AT216" s="726">
        <v>3760376</v>
      </c>
      <c r="AU216" s="726" t="s">
        <v>3980</v>
      </c>
      <c r="AV216" s="726"/>
      <c r="AW216" s="726"/>
    </row>
    <row r="217" spans="1:49">
      <c r="A217" s="738" t="s">
        <v>3745</v>
      </c>
      <c r="B217" s="738" t="s">
        <v>3745</v>
      </c>
      <c r="C217" s="738" t="s">
        <v>4170</v>
      </c>
      <c r="D217" s="968" t="s">
        <v>3745</v>
      </c>
      <c r="E217" s="968" t="s">
        <v>4170</v>
      </c>
      <c r="F217" s="1059">
        <f>IFERROR(VLOOKUP($A217,'2018'!$A:$BB,3,FALSE),"")</f>
        <v>330663715</v>
      </c>
      <c r="G217" s="1055" t="str">
        <f>IFERROR(VLOOKUP($A217,'2018'!$A:$BB,4,FALSE),"")</f>
        <v>14351 Myford Road
Tustin, CA 92780</v>
      </c>
      <c r="H217" s="1055" t="str">
        <f>IFERROR(VLOOKUP($A217,'2018'!$A:$BB,5,FALSE),"")</f>
        <v xml:space="preserve">Debbie Mason
714-210-6610
debbie.mason@integrium.com </v>
      </c>
      <c r="I217" s="1055" t="str">
        <f>IFERROR(VLOOKUP($A217,'2018'!$A:$BB,6,FALSE),"")</f>
        <v>Ewa Olesiak-Deptuch
908 375 2014
Ewa.Olesiak@integrium.com</v>
      </c>
      <c r="J217" s="1055" t="str">
        <f>IFERROR(VLOOKUP($A217,'2018'!$A:$BB,7,FALSE),"")</f>
        <v>HUB (San Diego)</v>
      </c>
      <c r="K217" s="1055" t="str">
        <f>IFERROR(VLOOKUP($A217,'2018'!$A:$BB,8,FALSE),"")</f>
        <v>Account Managed by HUB SD Team
Producer - Neal Cook
Service Lead - Domenica Hernandez
Account Rep - Courtney Stanley</v>
      </c>
      <c r="L217" s="1062" t="str">
        <f>IFERROR(VLOOKUP($A217,'2018'!$A:$BB,9,FALSE),"")</f>
        <v>New</v>
      </c>
      <c r="M217" s="1067">
        <f>IFERROR(VLOOKUP($A217,'2018'!$A:$BB,10,FALSE),"")</f>
        <v>43101</v>
      </c>
      <c r="N217" s="1062">
        <f>IFERROR(VLOOKUP($A217,'2018'!$A:$BB,12,FALSE),"")</f>
        <v>63</v>
      </c>
      <c r="O217" s="1055" t="str">
        <f>IFERROR(VLOOKUP($A217,'2018'!$A:$BB,13,FALSE),"")</f>
        <v xml:space="preserve">IGOE </v>
      </c>
      <c r="P217" s="1055" t="str">
        <f>IFERROR(VLOOKUP($A217,'2018'!$A:$BB,14,FALSE),"")</f>
        <v>Maestro</v>
      </c>
      <c r="Q217" s="1055" t="str">
        <f>IFERROR(VLOOKUP($A217,'2018'!$A:$BB,16,FALSE),"")</f>
        <v>IGOE</v>
      </c>
      <c r="R217" s="1055" t="str">
        <f>IFERROR(VLOOKUP($A217,'2018'!$A:$BB,17,FALSE),"")</f>
        <v>Optum Health</v>
      </c>
      <c r="S217" s="1062" t="str">
        <f>IFERROR(VLOOKUP($A217,'2018'!$A:$BB,20,FALSE),"")</f>
        <v>SCAL</v>
      </c>
      <c r="T217" s="1062" t="str">
        <f>IFERROR(VLOOKUP($A217,'2018'!$A:$BB,21,FALSE),"")</f>
        <v>Group C (44-54)</v>
      </c>
      <c r="U217" s="1062" t="str">
        <f>IFERROR(VLOOKUP($A217,'2018'!$A:$BB,22,FALSE),"")</f>
        <v>Expanded</v>
      </c>
      <c r="V217" s="1062" t="str">
        <f>IFERROR(VLOOKUP($A217,'2018'!$A:$BB,23,FALSE),"")</f>
        <v>Advantage</v>
      </c>
      <c r="W217" s="1062" t="str">
        <f>IFERROR(VLOOKUP($A217,'2018'!$A:$BB,24,FALSE),"")</f>
        <v>No</v>
      </c>
      <c r="X217" s="1062" t="str">
        <f>IFERROR(VLOOKUP($A217,'2018'!$A:$BB,41,FALSE),"")</f>
        <v>Region 3</v>
      </c>
      <c r="Y217" s="1062" t="str">
        <f>IFERROR(VLOOKUP($A217,'2018'!$A:$BB,42,FALSE),"")</f>
        <v>(50-99)</v>
      </c>
      <c r="Z217" s="1062" t="str">
        <f>IFERROR(VLOOKUP($A217,'2018'!$A:$BB,45,FALSE),"")</f>
        <v>(50-99)</v>
      </c>
      <c r="AA217" s="731">
        <v>2018</v>
      </c>
      <c r="AB217" s="733" t="s">
        <v>3867</v>
      </c>
      <c r="AC217" s="734" t="s">
        <v>317</v>
      </c>
      <c r="AD217" s="734" t="s">
        <v>3656</v>
      </c>
      <c r="AE217" s="734" t="s">
        <v>307</v>
      </c>
      <c r="AF217" s="734" t="s">
        <v>113</v>
      </c>
      <c r="AG217" s="732" t="s">
        <v>3972</v>
      </c>
      <c r="AH217" s="732" t="s">
        <v>3977</v>
      </c>
      <c r="AI217" s="734">
        <v>14</v>
      </c>
      <c r="AJ217" s="748" t="s">
        <v>3994</v>
      </c>
      <c r="AK217" s="757">
        <v>909678</v>
      </c>
      <c r="AL217" s="756">
        <v>628</v>
      </c>
      <c r="AM217" s="755">
        <v>909678</v>
      </c>
      <c r="AN217" s="756">
        <v>629</v>
      </c>
      <c r="AO217" s="776">
        <f t="shared" si="54"/>
        <v>909678</v>
      </c>
      <c r="AP217" s="754">
        <f t="shared" si="46"/>
        <v>630</v>
      </c>
      <c r="AQ217" s="771" t="s">
        <v>3979</v>
      </c>
      <c r="AR217" s="732" t="s">
        <v>2661</v>
      </c>
      <c r="AS217" s="735"/>
      <c r="AT217" s="735"/>
      <c r="AU217" s="732" t="s">
        <v>3980</v>
      </c>
      <c r="AV217" s="735"/>
      <c r="AW217" s="735"/>
    </row>
    <row r="218" spans="1:49">
      <c r="A218" s="738" t="s">
        <v>3745</v>
      </c>
      <c r="B218" s="738" t="s">
        <v>3745</v>
      </c>
      <c r="C218" s="738" t="s">
        <v>4170</v>
      </c>
      <c r="D218" s="968" t="s">
        <v>3745</v>
      </c>
      <c r="E218" s="968" t="s">
        <v>4170</v>
      </c>
      <c r="F218" s="1059">
        <f>IFERROR(VLOOKUP($A218,'2018'!$A:$BB,3,FALSE),"")</f>
        <v>330663715</v>
      </c>
      <c r="G218" s="1055" t="str">
        <f>IFERROR(VLOOKUP($A218,'2018'!$A:$BB,4,FALSE),"")</f>
        <v>14351 Myford Road
Tustin, CA 92780</v>
      </c>
      <c r="H218" s="1055" t="str">
        <f>IFERROR(VLOOKUP($A218,'2018'!$A:$BB,5,FALSE),"")</f>
        <v xml:space="preserve">Debbie Mason
714-210-6610
debbie.mason@integrium.com </v>
      </c>
      <c r="I218" s="1055" t="str">
        <f>IFERROR(VLOOKUP($A218,'2018'!$A:$BB,6,FALSE),"")</f>
        <v>Ewa Olesiak-Deptuch
908 375 2014
Ewa.Olesiak@integrium.com</v>
      </c>
      <c r="J218" s="1055" t="str">
        <f>IFERROR(VLOOKUP($A218,'2018'!$A:$BB,7,FALSE),"")</f>
        <v>HUB (San Diego)</v>
      </c>
      <c r="K218" s="1055" t="str">
        <f>IFERROR(VLOOKUP($A218,'2018'!$A:$BB,8,FALSE),"")</f>
        <v>Account Managed by HUB SD Team
Producer - Neal Cook
Service Lead - Domenica Hernandez
Account Rep - Courtney Stanley</v>
      </c>
      <c r="L218" s="1062" t="str">
        <f>IFERROR(VLOOKUP($A218,'2018'!$A:$BB,9,FALSE),"")</f>
        <v>New</v>
      </c>
      <c r="M218" s="1067">
        <f>IFERROR(VLOOKUP($A218,'2018'!$A:$BB,10,FALSE),"")</f>
        <v>43101</v>
      </c>
      <c r="N218" s="1062">
        <f>IFERROR(VLOOKUP($A218,'2018'!$A:$BB,12,FALSE),"")</f>
        <v>63</v>
      </c>
      <c r="O218" s="1055" t="str">
        <f>IFERROR(VLOOKUP($A218,'2018'!$A:$BB,13,FALSE),"")</f>
        <v xml:space="preserve">IGOE </v>
      </c>
      <c r="P218" s="1055" t="str">
        <f>IFERROR(VLOOKUP($A218,'2018'!$A:$BB,14,FALSE),"")</f>
        <v>Maestro</v>
      </c>
      <c r="Q218" s="1055" t="str">
        <f>IFERROR(VLOOKUP($A218,'2018'!$A:$BB,16,FALSE),"")</f>
        <v>IGOE</v>
      </c>
      <c r="R218" s="1055" t="str">
        <f>IFERROR(VLOOKUP($A218,'2018'!$A:$BB,17,FALSE),"")</f>
        <v>Optum Health</v>
      </c>
      <c r="S218" s="1062" t="str">
        <f>IFERROR(VLOOKUP($A218,'2018'!$A:$BB,20,FALSE),"")</f>
        <v>SCAL</v>
      </c>
      <c r="T218" s="1062" t="str">
        <f>IFERROR(VLOOKUP($A218,'2018'!$A:$BB,21,FALSE),"")</f>
        <v>Group C (44-54)</v>
      </c>
      <c r="U218" s="1062" t="str">
        <f>IFERROR(VLOOKUP($A218,'2018'!$A:$BB,22,FALSE),"")</f>
        <v>Expanded</v>
      </c>
      <c r="V218" s="1062" t="str">
        <f>IFERROR(VLOOKUP($A218,'2018'!$A:$BB,23,FALSE),"")</f>
        <v>Advantage</v>
      </c>
      <c r="W218" s="1062" t="str">
        <f>IFERROR(VLOOKUP($A218,'2018'!$A:$BB,24,FALSE),"")</f>
        <v>No</v>
      </c>
      <c r="X218" s="1062" t="str">
        <f>IFERROR(VLOOKUP($A218,'2018'!$A:$BB,41,FALSE),"")</f>
        <v>Region 3</v>
      </c>
      <c r="Y218" s="1062" t="str">
        <f>IFERROR(VLOOKUP($A218,'2018'!$A:$BB,42,FALSE),"")</f>
        <v>(50-99)</v>
      </c>
      <c r="Z218" s="1062" t="str">
        <f>IFERROR(VLOOKUP($A218,'2018'!$A:$BB,45,FALSE),"")</f>
        <v>(50-99)</v>
      </c>
      <c r="AA218" s="730">
        <v>2018</v>
      </c>
      <c r="AB218" s="728" t="s">
        <v>3867</v>
      </c>
      <c r="AC218" s="727" t="s">
        <v>317</v>
      </c>
      <c r="AD218" s="727" t="s">
        <v>3656</v>
      </c>
      <c r="AE218" s="727" t="s">
        <v>307</v>
      </c>
      <c r="AF218" s="727" t="s">
        <v>113</v>
      </c>
      <c r="AG218" s="726" t="s">
        <v>3981</v>
      </c>
      <c r="AH218" s="726" t="s">
        <v>3973</v>
      </c>
      <c r="AI218" s="727">
        <v>18</v>
      </c>
      <c r="AJ218" s="747" t="s">
        <v>4067</v>
      </c>
      <c r="AK218" s="757">
        <v>909678</v>
      </c>
      <c r="AL218" s="754">
        <v>844</v>
      </c>
      <c r="AM218" s="755">
        <v>909678</v>
      </c>
      <c r="AN218" s="754">
        <v>845</v>
      </c>
      <c r="AO218" s="776">
        <f t="shared" si="54"/>
        <v>909678</v>
      </c>
      <c r="AP218" s="754">
        <f t="shared" si="46"/>
        <v>846</v>
      </c>
      <c r="AQ218" s="770" t="s">
        <v>4068</v>
      </c>
      <c r="AR218" s="726" t="s">
        <v>2661</v>
      </c>
      <c r="AS218" s="737" t="s">
        <v>3983</v>
      </c>
      <c r="AT218" s="738">
        <v>8440844</v>
      </c>
      <c r="AU218" s="726" t="s">
        <v>3980</v>
      </c>
      <c r="AV218" s="726"/>
      <c r="AW218" s="726"/>
    </row>
    <row r="219" spans="1:49">
      <c r="A219" s="738" t="s">
        <v>3745</v>
      </c>
      <c r="B219" s="738" t="s">
        <v>3745</v>
      </c>
      <c r="C219" s="738" t="s">
        <v>4170</v>
      </c>
      <c r="D219" s="968" t="s">
        <v>3745</v>
      </c>
      <c r="E219" s="968" t="s">
        <v>4170</v>
      </c>
      <c r="F219" s="1059">
        <f>IFERROR(VLOOKUP($A219,'2018'!$A:$BB,3,FALSE),"")</f>
        <v>330663715</v>
      </c>
      <c r="G219" s="1055" t="str">
        <f>IFERROR(VLOOKUP($A219,'2018'!$A:$BB,4,FALSE),"")</f>
        <v>14351 Myford Road
Tustin, CA 92780</v>
      </c>
      <c r="H219" s="1055" t="str">
        <f>IFERROR(VLOOKUP($A219,'2018'!$A:$BB,5,FALSE),"")</f>
        <v xml:space="preserve">Debbie Mason
714-210-6610
debbie.mason@integrium.com </v>
      </c>
      <c r="I219" s="1055" t="str">
        <f>IFERROR(VLOOKUP($A219,'2018'!$A:$BB,6,FALSE),"")</f>
        <v>Ewa Olesiak-Deptuch
908 375 2014
Ewa.Olesiak@integrium.com</v>
      </c>
      <c r="J219" s="1055" t="str">
        <f>IFERROR(VLOOKUP($A219,'2018'!$A:$BB,7,FALSE),"")</f>
        <v>HUB (San Diego)</v>
      </c>
      <c r="K219" s="1055" t="str">
        <f>IFERROR(VLOOKUP($A219,'2018'!$A:$BB,8,FALSE),"")</f>
        <v>Account Managed by HUB SD Team
Producer - Neal Cook
Service Lead - Domenica Hernandez
Account Rep - Courtney Stanley</v>
      </c>
      <c r="L219" s="1062" t="str">
        <f>IFERROR(VLOOKUP($A219,'2018'!$A:$BB,9,FALSE),"")</f>
        <v>New</v>
      </c>
      <c r="M219" s="1067">
        <f>IFERROR(VLOOKUP($A219,'2018'!$A:$BB,10,FALSE),"")</f>
        <v>43101</v>
      </c>
      <c r="N219" s="1062">
        <f>IFERROR(VLOOKUP($A219,'2018'!$A:$BB,12,FALSE),"")</f>
        <v>63</v>
      </c>
      <c r="O219" s="1055" t="str">
        <f>IFERROR(VLOOKUP($A219,'2018'!$A:$BB,13,FALSE),"")</f>
        <v xml:space="preserve">IGOE </v>
      </c>
      <c r="P219" s="1055" t="str">
        <f>IFERROR(VLOOKUP($A219,'2018'!$A:$BB,14,FALSE),"")</f>
        <v>Maestro</v>
      </c>
      <c r="Q219" s="1055" t="str">
        <f>IFERROR(VLOOKUP($A219,'2018'!$A:$BB,16,FALSE),"")</f>
        <v>IGOE</v>
      </c>
      <c r="R219" s="1055" t="str">
        <f>IFERROR(VLOOKUP($A219,'2018'!$A:$BB,17,FALSE),"")</f>
        <v>Optum Health</v>
      </c>
      <c r="S219" s="1062" t="str">
        <f>IFERROR(VLOOKUP($A219,'2018'!$A:$BB,20,FALSE),"")</f>
        <v>SCAL</v>
      </c>
      <c r="T219" s="1062" t="str">
        <f>IFERROR(VLOOKUP($A219,'2018'!$A:$BB,21,FALSE),"")</f>
        <v>Group C (44-54)</v>
      </c>
      <c r="U219" s="1062" t="str">
        <f>IFERROR(VLOOKUP($A219,'2018'!$A:$BB,22,FALSE),"")</f>
        <v>Expanded</v>
      </c>
      <c r="V219" s="1062" t="str">
        <f>IFERROR(VLOOKUP($A219,'2018'!$A:$BB,23,FALSE),"")</f>
        <v>Advantage</v>
      </c>
      <c r="W219" s="1062" t="str">
        <f>IFERROR(VLOOKUP($A219,'2018'!$A:$BB,24,FALSE),"")</f>
        <v>No</v>
      </c>
      <c r="X219" s="1062" t="str">
        <f>IFERROR(VLOOKUP($A219,'2018'!$A:$BB,41,FALSE),"")</f>
        <v>Region 3</v>
      </c>
      <c r="Y219" s="1062" t="str">
        <f>IFERROR(VLOOKUP($A219,'2018'!$A:$BB,42,FALSE),"")</f>
        <v>(50-99)</v>
      </c>
      <c r="Z219" s="1062" t="str">
        <f>IFERROR(VLOOKUP($A219,'2018'!$A:$BB,45,FALSE),"")</f>
        <v>(50-99)</v>
      </c>
      <c r="AA219" s="731">
        <v>2018</v>
      </c>
      <c r="AB219" s="733" t="s">
        <v>3867</v>
      </c>
      <c r="AC219" s="734" t="s">
        <v>317</v>
      </c>
      <c r="AD219" s="734" t="s">
        <v>3656</v>
      </c>
      <c r="AE219" s="734" t="s">
        <v>307</v>
      </c>
      <c r="AF219" s="734" t="s">
        <v>113</v>
      </c>
      <c r="AG219" s="732" t="s">
        <v>3981</v>
      </c>
      <c r="AH219" s="732" t="s">
        <v>3977</v>
      </c>
      <c r="AI219" s="734">
        <v>19</v>
      </c>
      <c r="AJ219" s="748" t="s">
        <v>4069</v>
      </c>
      <c r="AK219" s="757">
        <v>909678</v>
      </c>
      <c r="AL219" s="756">
        <v>880</v>
      </c>
      <c r="AM219" s="755">
        <v>909678</v>
      </c>
      <c r="AN219" s="756">
        <v>881</v>
      </c>
      <c r="AO219" s="776">
        <f t="shared" si="54"/>
        <v>909678</v>
      </c>
      <c r="AP219" s="754">
        <f t="shared" si="46"/>
        <v>882</v>
      </c>
      <c r="AQ219" s="771" t="s">
        <v>3979</v>
      </c>
      <c r="AR219" s="732" t="s">
        <v>2661</v>
      </c>
      <c r="AS219" s="735"/>
      <c r="AT219" s="735"/>
      <c r="AU219" s="732" t="s">
        <v>3980</v>
      </c>
      <c r="AV219" s="735"/>
      <c r="AW219" s="735"/>
    </row>
    <row r="220" spans="1:49">
      <c r="A220" s="738"/>
      <c r="B220" s="738"/>
      <c r="C220" s="738"/>
      <c r="D220" s="738"/>
      <c r="E220" s="738"/>
      <c r="F220" s="1059" t="str">
        <f>IFERROR(VLOOKUP($A220,'2018'!$A:$BB,3,FALSE),"")</f>
        <v/>
      </c>
      <c r="G220" s="1055" t="str">
        <f>IFERROR(VLOOKUP($A220,'2018'!$A:$BB,4,FALSE),"")</f>
        <v/>
      </c>
      <c r="H220" s="1055" t="str">
        <f>IFERROR(VLOOKUP($A220,'2018'!$A:$BB,5,FALSE),"")</f>
        <v/>
      </c>
      <c r="I220" s="1055" t="str">
        <f>IFERROR(VLOOKUP($A220,'2018'!$A:$BB,6,FALSE),"")</f>
        <v/>
      </c>
      <c r="J220" s="1055" t="str">
        <f>IFERROR(VLOOKUP($A220,'2018'!$A:$BB,7,FALSE),"")</f>
        <v/>
      </c>
      <c r="K220" s="1055" t="str">
        <f>IFERROR(VLOOKUP($A220,'2018'!$A:$BB,8,FALSE),"")</f>
        <v/>
      </c>
      <c r="L220" s="1062" t="str">
        <f>IFERROR(VLOOKUP($A220,'2018'!$A:$BB,9,FALSE),"")</f>
        <v/>
      </c>
      <c r="M220" s="1067" t="str">
        <f>IFERROR(VLOOKUP($A220,'2018'!$A:$BB,10,FALSE),"")</f>
        <v/>
      </c>
      <c r="N220" s="1062" t="str">
        <f>IFERROR(VLOOKUP($A220,'2018'!$A:$BB,12,FALSE),"")</f>
        <v/>
      </c>
      <c r="O220" s="1055" t="str">
        <f>IFERROR(VLOOKUP($A220,'2018'!$A:$BB,13,FALSE),"")</f>
        <v/>
      </c>
      <c r="P220" s="1055" t="str">
        <f>IFERROR(VLOOKUP($A220,'2018'!$A:$BB,14,FALSE),"")</f>
        <v/>
      </c>
      <c r="Q220" s="1055" t="str">
        <f>IFERROR(VLOOKUP($A220,'2018'!$A:$BB,16,FALSE),"")</f>
        <v/>
      </c>
      <c r="R220" s="1055" t="str">
        <f>IFERROR(VLOOKUP($A220,'2018'!$A:$BB,17,FALSE),"")</f>
        <v/>
      </c>
      <c r="S220" s="1062" t="str">
        <f>IFERROR(VLOOKUP($A220,'2018'!$A:$BB,20,FALSE),"")</f>
        <v/>
      </c>
      <c r="T220" s="1062" t="str">
        <f>IFERROR(VLOOKUP($A220,'2018'!$A:$BB,21,FALSE),"")</f>
        <v/>
      </c>
      <c r="U220" s="1062" t="str">
        <f>IFERROR(VLOOKUP($A220,'2018'!$A:$BB,22,FALSE),"")</f>
        <v/>
      </c>
      <c r="V220" s="1062" t="str">
        <f>IFERROR(VLOOKUP($A220,'2018'!$A:$BB,23,FALSE),"")</f>
        <v/>
      </c>
      <c r="W220" s="1062" t="str">
        <f>IFERROR(VLOOKUP($A220,'2018'!$A:$BB,24,FALSE),"")</f>
        <v/>
      </c>
      <c r="X220" s="1062" t="str">
        <f>IFERROR(VLOOKUP($A220,'2018'!$A:$BB,41,FALSE),"")</f>
        <v/>
      </c>
      <c r="Y220" s="1062" t="str">
        <f>IFERROR(VLOOKUP($A220,'2018'!$A:$BB,42,FALSE),"")</f>
        <v/>
      </c>
      <c r="Z220" s="1062" t="str">
        <f>IFERROR(VLOOKUP($A220,'2018'!$A:$BB,45,FALSE),"")</f>
        <v/>
      </c>
      <c r="AA220" s="727"/>
      <c r="AB220" s="728"/>
      <c r="AC220" s="727"/>
      <c r="AD220" s="727"/>
      <c r="AE220" s="727"/>
      <c r="AF220" s="727"/>
      <c r="AG220" s="726"/>
      <c r="AH220" s="726"/>
      <c r="AI220" s="727"/>
      <c r="AJ220" s="747"/>
      <c r="AK220" s="753"/>
      <c r="AL220" s="754"/>
      <c r="AM220" s="753"/>
      <c r="AN220" s="754"/>
      <c r="AO220" s="776"/>
      <c r="AP220" s="754"/>
      <c r="AQ220" s="770"/>
      <c r="AR220" s="726"/>
      <c r="AS220" s="726"/>
      <c r="AT220" s="726"/>
      <c r="AU220" s="726"/>
      <c r="AV220" s="726"/>
      <c r="AW220" s="726"/>
    </row>
    <row r="221" spans="1:49">
      <c r="A221" s="738" t="s">
        <v>358</v>
      </c>
      <c r="B221" s="738" t="s">
        <v>3706</v>
      </c>
      <c r="C221" s="738"/>
      <c r="D221" s="738"/>
      <c r="E221" s="738"/>
      <c r="F221" s="1059">
        <f>IFERROR(VLOOKUP($A221,'2018'!$A:$BB,3,FALSE),"")</f>
        <v>474885455</v>
      </c>
      <c r="G221" s="1055" t="str">
        <f>IFERROR(VLOOKUP($A221,'2018'!$A:$BB,4,FALSE),"")</f>
        <v>10835 Road to the Cure 
#100 
San Diego, CA 92121</v>
      </c>
      <c r="H221" s="1055" t="str">
        <f>IFERROR(VLOOKUP($A221,'2018'!$A:$BB,5,FALSE),"")</f>
        <v xml:space="preserve">Brent Vetter
619.672.7363
bvetter@molecularstethoscope.com </v>
      </c>
      <c r="I221" s="1055" t="str">
        <f>IFERROR(VLOOKUP($A221,'2018'!$A:$BB,6,FALSE),"")</f>
        <v xml:space="preserve">Brent Vetter
619.672.7363
bvetter@molecularstethoscope.com </v>
      </c>
      <c r="J221" s="1055" t="str">
        <f>IFERROR(VLOOKUP($A221,'2018'!$A:$BB,7,FALSE),"")</f>
        <v>HUB (San Diego)</v>
      </c>
      <c r="K221" s="1055" t="str">
        <f>IFERROR(VLOOKUP($A221,'2018'!$A:$BB,8,FALSE),"")</f>
        <v>Account Managed by HUB SD Team
Producer - Neal Cook
Service Lead - Pam Andrakowicz</v>
      </c>
      <c r="L221" s="1062" t="str">
        <f>IFERROR(VLOOKUP($A221,'2018'!$A:$BB,9,FALSE),"")</f>
        <v>New</v>
      </c>
      <c r="M221" s="1067">
        <f>IFERROR(VLOOKUP($A221,'2018'!$A:$BB,10,FALSE),"")</f>
        <v>43101</v>
      </c>
      <c r="N221" s="1062">
        <f>IFERROR(VLOOKUP($A221,'2018'!$A:$BB,12,FALSE),"")</f>
        <v>11</v>
      </c>
      <c r="O221" s="1055" t="str">
        <f>IFERROR(VLOOKUP($A221,'2018'!$A:$BB,13,FALSE),"")</f>
        <v xml:space="preserve">IGOE </v>
      </c>
      <c r="P221" s="1055" t="str">
        <f>IFERROR(VLOOKUP($A221,'2018'!$A:$BB,14,FALSE),"")</f>
        <v>Maestro</v>
      </c>
      <c r="Q221" s="1055" t="str">
        <f>IFERROR(VLOOKUP($A221,'2018'!$A:$BB,16,FALSE),"")</f>
        <v>N/A</v>
      </c>
      <c r="R221" s="1055" t="str">
        <f>IFERROR(VLOOKUP($A221,'2018'!$A:$BB,17,FALSE),"")</f>
        <v>Optum Health</v>
      </c>
      <c r="S221" s="1062" t="str">
        <f>IFERROR(VLOOKUP($A221,'2018'!$A:$BB,20,FALSE),"")</f>
        <v>SCAL</v>
      </c>
      <c r="T221" s="1062" t="str">
        <f>IFERROR(VLOOKUP($A221,'2018'!$A:$BB,21,FALSE),"")</f>
        <v>Group B (34-44)</v>
      </c>
      <c r="U221" s="1062" t="str">
        <f>IFERROR(VLOOKUP($A221,'2018'!$A:$BB,22,FALSE),"")</f>
        <v>Expanded</v>
      </c>
      <c r="V221" s="1062" t="str">
        <f>IFERROR(VLOOKUP($A221,'2018'!$A:$BB,23,FALSE),"")</f>
        <v>Advantage</v>
      </c>
      <c r="W221" s="1062" t="str">
        <f>IFERROR(VLOOKUP($A221,'2018'!$A:$BB,24,FALSE),"")</f>
        <v>No</v>
      </c>
      <c r="X221" s="1062" t="str">
        <f>IFERROR(VLOOKUP($A221,'2018'!$A:$BB,41,FALSE),"")</f>
        <v>Region 2</v>
      </c>
      <c r="Y221" s="1062" t="str">
        <f>IFERROR(VLOOKUP($A221,'2018'!$A:$BB,42,FALSE),"")</f>
        <v>(10-24)</v>
      </c>
      <c r="Z221" s="1062" t="str">
        <f>IFERROR(VLOOKUP($A221,'2018'!$A:$BB,45,FALSE),"")</f>
        <v xml:space="preserve"> (2-49)</v>
      </c>
      <c r="AA221" s="730">
        <v>2018</v>
      </c>
      <c r="AB221" s="728" t="s">
        <v>3870</v>
      </c>
      <c r="AC221" s="727" t="s">
        <v>317</v>
      </c>
      <c r="AD221" s="727" t="s">
        <v>3648</v>
      </c>
      <c r="AE221" s="727" t="s">
        <v>307</v>
      </c>
      <c r="AF221" s="727" t="s">
        <v>113</v>
      </c>
      <c r="AG221" s="726" t="s">
        <v>3962</v>
      </c>
      <c r="AH221" s="726" t="s">
        <v>3963</v>
      </c>
      <c r="AI221" s="727">
        <v>1</v>
      </c>
      <c r="AJ221" s="747" t="s">
        <v>3998</v>
      </c>
      <c r="AK221" s="753">
        <v>260065</v>
      </c>
      <c r="AL221" s="754">
        <v>166</v>
      </c>
      <c r="AM221" s="753">
        <v>260066</v>
      </c>
      <c r="AN221" s="754">
        <v>167</v>
      </c>
      <c r="AO221" s="776">
        <f t="shared" si="53"/>
        <v>260067</v>
      </c>
      <c r="AP221" s="754">
        <f t="shared" si="46"/>
        <v>168</v>
      </c>
      <c r="AQ221" s="770"/>
      <c r="AR221" s="726" t="s">
        <v>2661</v>
      </c>
      <c r="AS221" s="726" t="s">
        <v>3999</v>
      </c>
      <c r="AT221" s="726">
        <v>1660166</v>
      </c>
      <c r="AU221" s="726" t="s">
        <v>3980</v>
      </c>
      <c r="AV221" s="726"/>
      <c r="AW221" s="726"/>
    </row>
    <row r="222" spans="1:49">
      <c r="A222" s="738" t="s">
        <v>358</v>
      </c>
      <c r="B222" s="738" t="s">
        <v>3706</v>
      </c>
      <c r="C222" s="738"/>
      <c r="D222" s="738"/>
      <c r="E222" s="738"/>
      <c r="F222" s="1059">
        <f>IFERROR(VLOOKUP($A222,'2018'!$A:$BB,3,FALSE),"")</f>
        <v>474885455</v>
      </c>
      <c r="G222" s="1055" t="str">
        <f>IFERROR(VLOOKUP($A222,'2018'!$A:$BB,4,FALSE),"")</f>
        <v>10835 Road to the Cure 
#100 
San Diego, CA 92121</v>
      </c>
      <c r="H222" s="1055" t="str">
        <f>IFERROR(VLOOKUP($A222,'2018'!$A:$BB,5,FALSE),"")</f>
        <v xml:space="preserve">Brent Vetter
619.672.7363
bvetter@molecularstethoscope.com </v>
      </c>
      <c r="I222" s="1055" t="str">
        <f>IFERROR(VLOOKUP($A222,'2018'!$A:$BB,6,FALSE),"")</f>
        <v xml:space="preserve">Brent Vetter
619.672.7363
bvetter@molecularstethoscope.com </v>
      </c>
      <c r="J222" s="1055" t="str">
        <f>IFERROR(VLOOKUP($A222,'2018'!$A:$BB,7,FALSE),"")</f>
        <v>HUB (San Diego)</v>
      </c>
      <c r="K222" s="1055" t="str">
        <f>IFERROR(VLOOKUP($A222,'2018'!$A:$BB,8,FALSE),"")</f>
        <v>Account Managed by HUB SD Team
Producer - Neal Cook
Service Lead - Pam Andrakowicz</v>
      </c>
      <c r="L222" s="1062" t="str">
        <f>IFERROR(VLOOKUP($A222,'2018'!$A:$BB,9,FALSE),"")</f>
        <v>New</v>
      </c>
      <c r="M222" s="1067">
        <f>IFERROR(VLOOKUP($A222,'2018'!$A:$BB,10,FALSE),"")</f>
        <v>43101</v>
      </c>
      <c r="N222" s="1062">
        <f>IFERROR(VLOOKUP($A222,'2018'!$A:$BB,12,FALSE),"")</f>
        <v>11</v>
      </c>
      <c r="O222" s="1055" t="str">
        <f>IFERROR(VLOOKUP($A222,'2018'!$A:$BB,13,FALSE),"")</f>
        <v xml:space="preserve">IGOE </v>
      </c>
      <c r="P222" s="1055" t="str">
        <f>IFERROR(VLOOKUP($A222,'2018'!$A:$BB,14,FALSE),"")</f>
        <v>Maestro</v>
      </c>
      <c r="Q222" s="1055" t="str">
        <f>IFERROR(VLOOKUP($A222,'2018'!$A:$BB,16,FALSE),"")</f>
        <v>N/A</v>
      </c>
      <c r="R222" s="1055" t="str">
        <f>IFERROR(VLOOKUP($A222,'2018'!$A:$BB,17,FALSE),"")</f>
        <v>Optum Health</v>
      </c>
      <c r="S222" s="1062" t="str">
        <f>IFERROR(VLOOKUP($A222,'2018'!$A:$BB,20,FALSE),"")</f>
        <v>SCAL</v>
      </c>
      <c r="T222" s="1062" t="str">
        <f>IFERROR(VLOOKUP($A222,'2018'!$A:$BB,21,FALSE),"")</f>
        <v>Group B (34-44)</v>
      </c>
      <c r="U222" s="1062" t="str">
        <f>IFERROR(VLOOKUP($A222,'2018'!$A:$BB,22,FALSE),"")</f>
        <v>Expanded</v>
      </c>
      <c r="V222" s="1062" t="str">
        <f>IFERROR(VLOOKUP($A222,'2018'!$A:$BB,23,FALSE),"")</f>
        <v>Advantage</v>
      </c>
      <c r="W222" s="1062" t="str">
        <f>IFERROR(VLOOKUP($A222,'2018'!$A:$BB,24,FALSE),"")</f>
        <v>No</v>
      </c>
      <c r="X222" s="1062" t="str">
        <f>IFERROR(VLOOKUP($A222,'2018'!$A:$BB,41,FALSE),"")</f>
        <v>Region 2</v>
      </c>
      <c r="Y222" s="1062" t="str">
        <f>IFERROR(VLOOKUP($A222,'2018'!$A:$BB,42,FALSE),"")</f>
        <v>(10-24)</v>
      </c>
      <c r="Z222" s="1062" t="str">
        <f>IFERROR(VLOOKUP($A222,'2018'!$A:$BB,45,FALSE),"")</f>
        <v xml:space="preserve"> (2-49)</v>
      </c>
      <c r="AA222" s="730">
        <v>2018</v>
      </c>
      <c r="AB222" s="728" t="s">
        <v>3870</v>
      </c>
      <c r="AC222" s="727" t="s">
        <v>317</v>
      </c>
      <c r="AD222" s="727" t="s">
        <v>3648</v>
      </c>
      <c r="AE222" s="727" t="s">
        <v>307</v>
      </c>
      <c r="AF222" s="727" t="s">
        <v>113</v>
      </c>
      <c r="AG222" s="726" t="s">
        <v>3972</v>
      </c>
      <c r="AH222" s="726" t="s">
        <v>3973</v>
      </c>
      <c r="AI222" s="727">
        <v>7</v>
      </c>
      <c r="AJ222" s="747" t="s">
        <v>4001</v>
      </c>
      <c r="AK222" s="757">
        <v>909678</v>
      </c>
      <c r="AL222" s="759">
        <v>337</v>
      </c>
      <c r="AM222" s="755">
        <v>909678</v>
      </c>
      <c r="AN222" s="754">
        <v>338</v>
      </c>
      <c r="AO222" s="776">
        <f t="shared" ref="AO222:AO225" si="55">AM222</f>
        <v>909678</v>
      </c>
      <c r="AP222" s="754">
        <f t="shared" si="46"/>
        <v>339</v>
      </c>
      <c r="AQ222" s="770"/>
      <c r="AR222" s="726" t="s">
        <v>2661</v>
      </c>
      <c r="AS222" s="726" t="s">
        <v>4002</v>
      </c>
      <c r="AT222" s="726">
        <v>3370337</v>
      </c>
      <c r="AU222" s="726" t="s">
        <v>3980</v>
      </c>
      <c r="AV222" s="726"/>
      <c r="AW222" s="726"/>
    </row>
    <row r="223" spans="1:49">
      <c r="A223" s="738" t="s">
        <v>358</v>
      </c>
      <c r="B223" s="736" t="s">
        <v>3706</v>
      </c>
      <c r="C223" s="736"/>
      <c r="D223" s="736"/>
      <c r="E223" s="736"/>
      <c r="F223" s="1059">
        <f>IFERROR(VLOOKUP($A223,'2018'!$A:$BB,3,FALSE),"")</f>
        <v>474885455</v>
      </c>
      <c r="G223" s="1055" t="str">
        <f>IFERROR(VLOOKUP($A223,'2018'!$A:$BB,4,FALSE),"")</f>
        <v>10835 Road to the Cure 
#100 
San Diego, CA 92121</v>
      </c>
      <c r="H223" s="1055" t="str">
        <f>IFERROR(VLOOKUP($A223,'2018'!$A:$BB,5,FALSE),"")</f>
        <v xml:space="preserve">Brent Vetter
619.672.7363
bvetter@molecularstethoscope.com </v>
      </c>
      <c r="I223" s="1055" t="str">
        <f>IFERROR(VLOOKUP($A223,'2018'!$A:$BB,6,FALSE),"")</f>
        <v xml:space="preserve">Brent Vetter
619.672.7363
bvetter@molecularstethoscope.com </v>
      </c>
      <c r="J223" s="1055" t="str">
        <f>IFERROR(VLOOKUP($A223,'2018'!$A:$BB,7,FALSE),"")</f>
        <v>HUB (San Diego)</v>
      </c>
      <c r="K223" s="1055" t="str">
        <f>IFERROR(VLOOKUP($A223,'2018'!$A:$BB,8,FALSE),"")</f>
        <v>Account Managed by HUB SD Team
Producer - Neal Cook
Service Lead - Pam Andrakowicz</v>
      </c>
      <c r="L223" s="1062" t="str">
        <f>IFERROR(VLOOKUP($A223,'2018'!$A:$BB,9,FALSE),"")</f>
        <v>New</v>
      </c>
      <c r="M223" s="1067">
        <f>IFERROR(VLOOKUP($A223,'2018'!$A:$BB,10,FALSE),"")</f>
        <v>43101</v>
      </c>
      <c r="N223" s="1062">
        <f>IFERROR(VLOOKUP($A223,'2018'!$A:$BB,12,FALSE),"")</f>
        <v>11</v>
      </c>
      <c r="O223" s="1055" t="str">
        <f>IFERROR(VLOOKUP($A223,'2018'!$A:$BB,13,FALSE),"")</f>
        <v xml:space="preserve">IGOE </v>
      </c>
      <c r="P223" s="1055" t="str">
        <f>IFERROR(VLOOKUP($A223,'2018'!$A:$BB,14,FALSE),"")</f>
        <v>Maestro</v>
      </c>
      <c r="Q223" s="1055" t="str">
        <f>IFERROR(VLOOKUP($A223,'2018'!$A:$BB,16,FALSE),"")</f>
        <v>N/A</v>
      </c>
      <c r="R223" s="1055" t="str">
        <f>IFERROR(VLOOKUP($A223,'2018'!$A:$BB,17,FALSE),"")</f>
        <v>Optum Health</v>
      </c>
      <c r="S223" s="1062" t="str">
        <f>IFERROR(VLOOKUP($A223,'2018'!$A:$BB,20,FALSE),"")</f>
        <v>SCAL</v>
      </c>
      <c r="T223" s="1062" t="str">
        <f>IFERROR(VLOOKUP($A223,'2018'!$A:$BB,21,FALSE),"")</f>
        <v>Group B (34-44)</v>
      </c>
      <c r="U223" s="1062" t="str">
        <f>IFERROR(VLOOKUP($A223,'2018'!$A:$BB,22,FALSE),"")</f>
        <v>Expanded</v>
      </c>
      <c r="V223" s="1062" t="str">
        <f>IFERROR(VLOOKUP($A223,'2018'!$A:$BB,23,FALSE),"")</f>
        <v>Advantage</v>
      </c>
      <c r="W223" s="1062" t="str">
        <f>IFERROR(VLOOKUP($A223,'2018'!$A:$BB,24,FALSE),"")</f>
        <v>No</v>
      </c>
      <c r="X223" s="1062" t="str">
        <f>IFERROR(VLOOKUP($A223,'2018'!$A:$BB,41,FALSE),"")</f>
        <v>Region 2</v>
      </c>
      <c r="Y223" s="1062" t="str">
        <f>IFERROR(VLOOKUP($A223,'2018'!$A:$BB,42,FALSE),"")</f>
        <v>(10-24)</v>
      </c>
      <c r="Z223" s="1062" t="str">
        <f>IFERROR(VLOOKUP($A223,'2018'!$A:$BB,45,FALSE),"")</f>
        <v xml:space="preserve"> (2-49)</v>
      </c>
      <c r="AA223" s="731">
        <v>2018</v>
      </c>
      <c r="AB223" s="733" t="s">
        <v>3870</v>
      </c>
      <c r="AC223" s="734" t="s">
        <v>317</v>
      </c>
      <c r="AD223" s="734" t="s">
        <v>3648</v>
      </c>
      <c r="AE223" s="734" t="s">
        <v>307</v>
      </c>
      <c r="AF223" s="734" t="s">
        <v>113</v>
      </c>
      <c r="AG223" s="732" t="s">
        <v>3972</v>
      </c>
      <c r="AH223" s="732" t="s">
        <v>3977</v>
      </c>
      <c r="AI223" s="734">
        <v>13</v>
      </c>
      <c r="AJ223" s="748" t="s">
        <v>4004</v>
      </c>
      <c r="AK223" s="757">
        <v>909678</v>
      </c>
      <c r="AL223" s="756">
        <v>589</v>
      </c>
      <c r="AM223" s="755">
        <v>909678</v>
      </c>
      <c r="AN223" s="756">
        <v>590</v>
      </c>
      <c r="AO223" s="776">
        <f t="shared" si="55"/>
        <v>909678</v>
      </c>
      <c r="AP223" s="754">
        <f t="shared" si="46"/>
        <v>591</v>
      </c>
      <c r="AQ223" s="771" t="s">
        <v>3979</v>
      </c>
      <c r="AR223" s="732" t="s">
        <v>2661</v>
      </c>
      <c r="AS223" s="735"/>
      <c r="AT223" s="735"/>
      <c r="AU223" s="732" t="s">
        <v>3980</v>
      </c>
      <c r="AV223" s="735"/>
      <c r="AW223" s="735"/>
    </row>
    <row r="224" spans="1:49">
      <c r="A224" s="738" t="s">
        <v>358</v>
      </c>
      <c r="B224" s="738" t="s">
        <v>3706</v>
      </c>
      <c r="C224" s="738"/>
      <c r="D224" s="738"/>
      <c r="E224" s="738"/>
      <c r="F224" s="1059">
        <f>IFERROR(VLOOKUP($A224,'2018'!$A:$BB,3,FALSE),"")</f>
        <v>474885455</v>
      </c>
      <c r="G224" s="1055" t="str">
        <f>IFERROR(VLOOKUP($A224,'2018'!$A:$BB,4,FALSE),"")</f>
        <v>10835 Road to the Cure 
#100 
San Diego, CA 92121</v>
      </c>
      <c r="H224" s="1055" t="str">
        <f>IFERROR(VLOOKUP($A224,'2018'!$A:$BB,5,FALSE),"")</f>
        <v xml:space="preserve">Brent Vetter
619.672.7363
bvetter@molecularstethoscope.com </v>
      </c>
      <c r="I224" s="1055" t="str">
        <f>IFERROR(VLOOKUP($A224,'2018'!$A:$BB,6,FALSE),"")</f>
        <v xml:space="preserve">Brent Vetter
619.672.7363
bvetter@molecularstethoscope.com </v>
      </c>
      <c r="J224" s="1055" t="str">
        <f>IFERROR(VLOOKUP($A224,'2018'!$A:$BB,7,FALSE),"")</f>
        <v>HUB (San Diego)</v>
      </c>
      <c r="K224" s="1055" t="str">
        <f>IFERROR(VLOOKUP($A224,'2018'!$A:$BB,8,FALSE),"")</f>
        <v>Account Managed by HUB SD Team
Producer - Neal Cook
Service Lead - Pam Andrakowicz</v>
      </c>
      <c r="L224" s="1062" t="str">
        <f>IFERROR(VLOOKUP($A224,'2018'!$A:$BB,9,FALSE),"")</f>
        <v>New</v>
      </c>
      <c r="M224" s="1067">
        <f>IFERROR(VLOOKUP($A224,'2018'!$A:$BB,10,FALSE),"")</f>
        <v>43101</v>
      </c>
      <c r="N224" s="1062">
        <f>IFERROR(VLOOKUP($A224,'2018'!$A:$BB,12,FALSE),"")</f>
        <v>11</v>
      </c>
      <c r="O224" s="1055" t="str">
        <f>IFERROR(VLOOKUP($A224,'2018'!$A:$BB,13,FALSE),"")</f>
        <v xml:space="preserve">IGOE </v>
      </c>
      <c r="P224" s="1055" t="str">
        <f>IFERROR(VLOOKUP($A224,'2018'!$A:$BB,14,FALSE),"")</f>
        <v>Maestro</v>
      </c>
      <c r="Q224" s="1055" t="str">
        <f>IFERROR(VLOOKUP($A224,'2018'!$A:$BB,16,FALSE),"")</f>
        <v>N/A</v>
      </c>
      <c r="R224" s="1055" t="str">
        <f>IFERROR(VLOOKUP($A224,'2018'!$A:$BB,17,FALSE),"")</f>
        <v>Optum Health</v>
      </c>
      <c r="S224" s="1062" t="str">
        <f>IFERROR(VLOOKUP($A224,'2018'!$A:$BB,20,FALSE),"")</f>
        <v>SCAL</v>
      </c>
      <c r="T224" s="1062" t="str">
        <f>IFERROR(VLOOKUP($A224,'2018'!$A:$BB,21,FALSE),"")</f>
        <v>Group B (34-44)</v>
      </c>
      <c r="U224" s="1062" t="str">
        <f>IFERROR(VLOOKUP($A224,'2018'!$A:$BB,22,FALSE),"")</f>
        <v>Expanded</v>
      </c>
      <c r="V224" s="1062" t="str">
        <f>IFERROR(VLOOKUP($A224,'2018'!$A:$BB,23,FALSE),"")</f>
        <v>Advantage</v>
      </c>
      <c r="W224" s="1062" t="str">
        <f>IFERROR(VLOOKUP($A224,'2018'!$A:$BB,24,FALSE),"")</f>
        <v>No</v>
      </c>
      <c r="X224" s="1062" t="str">
        <f>IFERROR(VLOOKUP($A224,'2018'!$A:$BB,41,FALSE),"")</f>
        <v>Region 2</v>
      </c>
      <c r="Y224" s="1062" t="str">
        <f>IFERROR(VLOOKUP($A224,'2018'!$A:$BB,42,FALSE),"")</f>
        <v>(10-24)</v>
      </c>
      <c r="Z224" s="1062" t="str">
        <f>IFERROR(VLOOKUP($A224,'2018'!$A:$BB,45,FALSE),"")</f>
        <v xml:space="preserve"> (2-49)</v>
      </c>
      <c r="AA224" s="730">
        <v>2018</v>
      </c>
      <c r="AB224" s="728" t="s">
        <v>3870</v>
      </c>
      <c r="AC224" s="727" t="s">
        <v>317</v>
      </c>
      <c r="AD224" s="727" t="s">
        <v>3648</v>
      </c>
      <c r="AE224" s="727" t="s">
        <v>307</v>
      </c>
      <c r="AF224" s="727" t="s">
        <v>113</v>
      </c>
      <c r="AG224" s="726" t="s">
        <v>3981</v>
      </c>
      <c r="AH224" s="726" t="s">
        <v>3973</v>
      </c>
      <c r="AI224" s="727">
        <v>11</v>
      </c>
      <c r="AJ224" s="747" t="s">
        <v>3982</v>
      </c>
      <c r="AK224" s="757">
        <v>909678</v>
      </c>
      <c r="AL224" s="754">
        <v>481</v>
      </c>
      <c r="AM224" s="755">
        <v>909678</v>
      </c>
      <c r="AN224" s="754">
        <v>482</v>
      </c>
      <c r="AO224" s="776">
        <f t="shared" si="55"/>
        <v>909678</v>
      </c>
      <c r="AP224" s="754">
        <f t="shared" si="46"/>
        <v>483</v>
      </c>
      <c r="AQ224" s="770"/>
      <c r="AR224" s="726" t="s">
        <v>2661</v>
      </c>
      <c r="AS224" s="726" t="s">
        <v>3983</v>
      </c>
      <c r="AT224" s="726">
        <v>4810481</v>
      </c>
      <c r="AU224" s="726" t="s">
        <v>3980</v>
      </c>
      <c r="AV224" s="726"/>
      <c r="AW224" s="726"/>
    </row>
    <row r="225" spans="1:49">
      <c r="A225" s="738" t="s">
        <v>358</v>
      </c>
      <c r="B225" s="736" t="s">
        <v>3706</v>
      </c>
      <c r="C225" s="736"/>
      <c r="D225" s="736"/>
      <c r="E225" s="736"/>
      <c r="F225" s="1059">
        <f>IFERROR(VLOOKUP($A225,'2018'!$A:$BB,3,FALSE),"")</f>
        <v>474885455</v>
      </c>
      <c r="G225" s="1055" t="str">
        <f>IFERROR(VLOOKUP($A225,'2018'!$A:$BB,4,FALSE),"")</f>
        <v>10835 Road to the Cure 
#100 
San Diego, CA 92121</v>
      </c>
      <c r="H225" s="1055" t="str">
        <f>IFERROR(VLOOKUP($A225,'2018'!$A:$BB,5,FALSE),"")</f>
        <v xml:space="preserve">Brent Vetter
619.672.7363
bvetter@molecularstethoscope.com </v>
      </c>
      <c r="I225" s="1055" t="str">
        <f>IFERROR(VLOOKUP($A225,'2018'!$A:$BB,6,FALSE),"")</f>
        <v xml:space="preserve">Brent Vetter
619.672.7363
bvetter@molecularstethoscope.com </v>
      </c>
      <c r="J225" s="1055" t="str">
        <f>IFERROR(VLOOKUP($A225,'2018'!$A:$BB,7,FALSE),"")</f>
        <v>HUB (San Diego)</v>
      </c>
      <c r="K225" s="1055" t="str">
        <f>IFERROR(VLOOKUP($A225,'2018'!$A:$BB,8,FALSE),"")</f>
        <v>Account Managed by HUB SD Team
Producer - Neal Cook
Service Lead - Pam Andrakowicz</v>
      </c>
      <c r="L225" s="1062" t="str">
        <f>IFERROR(VLOOKUP($A225,'2018'!$A:$BB,9,FALSE),"")</f>
        <v>New</v>
      </c>
      <c r="M225" s="1067">
        <f>IFERROR(VLOOKUP($A225,'2018'!$A:$BB,10,FALSE),"")</f>
        <v>43101</v>
      </c>
      <c r="N225" s="1062">
        <f>IFERROR(VLOOKUP($A225,'2018'!$A:$BB,12,FALSE),"")</f>
        <v>11</v>
      </c>
      <c r="O225" s="1055" t="str">
        <f>IFERROR(VLOOKUP($A225,'2018'!$A:$BB,13,FALSE),"")</f>
        <v xml:space="preserve">IGOE </v>
      </c>
      <c r="P225" s="1055" t="str">
        <f>IFERROR(VLOOKUP($A225,'2018'!$A:$BB,14,FALSE),"")</f>
        <v>Maestro</v>
      </c>
      <c r="Q225" s="1055" t="str">
        <f>IFERROR(VLOOKUP($A225,'2018'!$A:$BB,16,FALSE),"")</f>
        <v>N/A</v>
      </c>
      <c r="R225" s="1055" t="str">
        <f>IFERROR(VLOOKUP($A225,'2018'!$A:$BB,17,FALSE),"")</f>
        <v>Optum Health</v>
      </c>
      <c r="S225" s="1062" t="str">
        <f>IFERROR(VLOOKUP($A225,'2018'!$A:$BB,20,FALSE),"")</f>
        <v>SCAL</v>
      </c>
      <c r="T225" s="1062" t="str">
        <f>IFERROR(VLOOKUP($A225,'2018'!$A:$BB,21,FALSE),"")</f>
        <v>Group B (34-44)</v>
      </c>
      <c r="U225" s="1062" t="str">
        <f>IFERROR(VLOOKUP($A225,'2018'!$A:$BB,22,FALSE),"")</f>
        <v>Expanded</v>
      </c>
      <c r="V225" s="1062" t="str">
        <f>IFERROR(VLOOKUP($A225,'2018'!$A:$BB,23,FALSE),"")</f>
        <v>Advantage</v>
      </c>
      <c r="W225" s="1062" t="str">
        <f>IFERROR(VLOOKUP($A225,'2018'!$A:$BB,24,FALSE),"")</f>
        <v>No</v>
      </c>
      <c r="X225" s="1062" t="str">
        <f>IFERROR(VLOOKUP($A225,'2018'!$A:$BB,41,FALSE),"")</f>
        <v>Region 2</v>
      </c>
      <c r="Y225" s="1062" t="str">
        <f>IFERROR(VLOOKUP($A225,'2018'!$A:$BB,42,FALSE),"")</f>
        <v>(10-24)</v>
      </c>
      <c r="Z225" s="1062" t="str">
        <f>IFERROR(VLOOKUP($A225,'2018'!$A:$BB,45,FALSE),"")</f>
        <v xml:space="preserve"> (2-49)</v>
      </c>
      <c r="AA225" s="731">
        <v>2018</v>
      </c>
      <c r="AB225" s="733" t="s">
        <v>3870</v>
      </c>
      <c r="AC225" s="734" t="s">
        <v>317</v>
      </c>
      <c r="AD225" s="734" t="s">
        <v>3648</v>
      </c>
      <c r="AE225" s="734" t="s">
        <v>307</v>
      </c>
      <c r="AF225" s="734" t="s">
        <v>113</v>
      </c>
      <c r="AG225" s="732" t="s">
        <v>3981</v>
      </c>
      <c r="AH225" s="732" t="s">
        <v>3977</v>
      </c>
      <c r="AI225" s="734">
        <v>16</v>
      </c>
      <c r="AJ225" s="748" t="s">
        <v>3985</v>
      </c>
      <c r="AK225" s="757">
        <v>909678</v>
      </c>
      <c r="AL225" s="756">
        <v>733</v>
      </c>
      <c r="AM225" s="755">
        <v>909678</v>
      </c>
      <c r="AN225" s="756">
        <v>734</v>
      </c>
      <c r="AO225" s="776">
        <f t="shared" si="55"/>
        <v>909678</v>
      </c>
      <c r="AP225" s="754">
        <f t="shared" si="46"/>
        <v>735</v>
      </c>
      <c r="AQ225" s="771" t="s">
        <v>3979</v>
      </c>
      <c r="AR225" s="732" t="s">
        <v>2661</v>
      </c>
      <c r="AS225" s="735"/>
      <c r="AT225" s="735"/>
      <c r="AU225" s="732" t="s">
        <v>3980</v>
      </c>
      <c r="AV225" s="735"/>
      <c r="AW225" s="735"/>
    </row>
    <row r="226" spans="1:49">
      <c r="A226" s="738"/>
      <c r="B226" s="738"/>
      <c r="C226" s="738"/>
      <c r="D226" s="738"/>
      <c r="E226" s="738"/>
      <c r="F226" s="1059" t="str">
        <f>IFERROR(VLOOKUP($A226,'2018'!$A:$BB,3,FALSE),"")</f>
        <v/>
      </c>
      <c r="G226" s="1055" t="str">
        <f>IFERROR(VLOOKUP($A226,'2018'!$A:$BB,4,FALSE),"")</f>
        <v/>
      </c>
      <c r="H226" s="1055" t="str">
        <f>IFERROR(VLOOKUP($A226,'2018'!$A:$BB,5,FALSE),"")</f>
        <v/>
      </c>
      <c r="I226" s="1055" t="str">
        <f>IFERROR(VLOOKUP($A226,'2018'!$A:$BB,6,FALSE),"")</f>
        <v/>
      </c>
      <c r="J226" s="1055" t="str">
        <f>IFERROR(VLOOKUP($A226,'2018'!$A:$BB,7,FALSE),"")</f>
        <v/>
      </c>
      <c r="K226" s="1055" t="str">
        <f>IFERROR(VLOOKUP($A226,'2018'!$A:$BB,8,FALSE),"")</f>
        <v/>
      </c>
      <c r="L226" s="1062" t="str">
        <f>IFERROR(VLOOKUP($A226,'2018'!$A:$BB,9,FALSE),"")</f>
        <v/>
      </c>
      <c r="M226" s="1067" t="str">
        <f>IFERROR(VLOOKUP($A226,'2018'!$A:$BB,10,FALSE),"")</f>
        <v/>
      </c>
      <c r="N226" s="1062" t="str">
        <f>IFERROR(VLOOKUP($A226,'2018'!$A:$BB,12,FALSE),"")</f>
        <v/>
      </c>
      <c r="O226" s="1055" t="str">
        <f>IFERROR(VLOOKUP($A226,'2018'!$A:$BB,13,FALSE),"")</f>
        <v/>
      </c>
      <c r="P226" s="1055" t="str">
        <f>IFERROR(VLOOKUP($A226,'2018'!$A:$BB,14,FALSE),"")</f>
        <v/>
      </c>
      <c r="Q226" s="1055" t="str">
        <f>IFERROR(VLOOKUP($A226,'2018'!$A:$BB,16,FALSE),"")</f>
        <v/>
      </c>
      <c r="R226" s="1055" t="str">
        <f>IFERROR(VLOOKUP($A226,'2018'!$A:$BB,17,FALSE),"")</f>
        <v/>
      </c>
      <c r="S226" s="1062" t="str">
        <f>IFERROR(VLOOKUP($A226,'2018'!$A:$BB,20,FALSE),"")</f>
        <v/>
      </c>
      <c r="T226" s="1062" t="str">
        <f>IFERROR(VLOOKUP($A226,'2018'!$A:$BB,21,FALSE),"")</f>
        <v/>
      </c>
      <c r="U226" s="1062" t="str">
        <f>IFERROR(VLOOKUP($A226,'2018'!$A:$BB,22,FALSE),"")</f>
        <v/>
      </c>
      <c r="V226" s="1062" t="str">
        <f>IFERROR(VLOOKUP($A226,'2018'!$A:$BB,23,FALSE),"")</f>
        <v/>
      </c>
      <c r="W226" s="1062" t="str">
        <f>IFERROR(VLOOKUP($A226,'2018'!$A:$BB,24,FALSE),"")</f>
        <v/>
      </c>
      <c r="X226" s="1062" t="str">
        <f>IFERROR(VLOOKUP($A226,'2018'!$A:$BB,41,FALSE),"")</f>
        <v/>
      </c>
      <c r="Y226" s="1062" t="str">
        <f>IFERROR(VLOOKUP($A226,'2018'!$A:$BB,42,FALSE),"")</f>
        <v/>
      </c>
      <c r="Z226" s="1062" t="str">
        <f>IFERROR(VLOOKUP($A226,'2018'!$A:$BB,45,FALSE),"")</f>
        <v/>
      </c>
      <c r="AA226" s="727"/>
      <c r="AB226" s="728"/>
      <c r="AC226" s="727"/>
      <c r="AD226" s="727"/>
      <c r="AE226" s="727"/>
      <c r="AF226" s="727"/>
      <c r="AG226" s="726"/>
      <c r="AH226" s="726"/>
      <c r="AI226" s="727"/>
      <c r="AJ226" s="747"/>
      <c r="AK226" s="753"/>
      <c r="AL226" s="754"/>
      <c r="AM226" s="753"/>
      <c r="AN226" s="754"/>
      <c r="AO226" s="776"/>
      <c r="AP226" s="754"/>
      <c r="AQ226" s="770"/>
      <c r="AR226" s="726"/>
      <c r="AS226" s="726"/>
      <c r="AT226" s="726"/>
      <c r="AU226" s="726"/>
      <c r="AV226" s="726"/>
      <c r="AW226" s="726"/>
    </row>
    <row r="227" spans="1:49">
      <c r="A227" s="738" t="s">
        <v>3673</v>
      </c>
      <c r="B227" s="738" t="s">
        <v>3674</v>
      </c>
      <c r="C227" s="738" t="s">
        <v>3673</v>
      </c>
      <c r="D227" s="967" t="s">
        <v>4182</v>
      </c>
      <c r="E227" s="967" t="s">
        <v>3674</v>
      </c>
      <c r="F227" s="1059">
        <f>IFERROR(VLOOKUP($A227,'2018'!$A:$BB,3,FALSE),"")</f>
        <v>912091977</v>
      </c>
      <c r="G227" s="1055" t="str">
        <f>IFERROR(VLOOKUP($A227,'2018'!$A:$BB,4,FALSE),"")</f>
        <v>1325 Sycamore Avenue, Suite A
Vista, CA  92081</v>
      </c>
      <c r="H227" s="1055" t="str">
        <f>IFERROR(VLOOKUP($A227,'2018'!$A:$BB,5,FALSE),"")</f>
        <v>Mindy Schwartz
760-509-1186
mschwartz@mynuface.com</v>
      </c>
      <c r="I227" s="1055" t="str">
        <f>IFERROR(VLOOKUP($A227,'2018'!$A:$BB,6,FALSE),"")</f>
        <v>Valerie Alsman
760-509-1189
valsmar@mynuface.com</v>
      </c>
      <c r="J227" s="1055" t="str">
        <f>IFERROR(VLOOKUP($A227,'2018'!$A:$BB,7,FALSE),"")</f>
        <v>HUB (Carlsbad)</v>
      </c>
      <c r="K227" s="1055" t="str">
        <f>IFERROR(VLOOKUP($A227,'2018'!$A:$BB,8,FALSE),"")</f>
        <v>Account Managed by HUB Carlsbad Team
Producer - Dori Wittman
Service Lead - Lisa Cameron</v>
      </c>
      <c r="L227" s="1062" t="str">
        <f>IFERROR(VLOOKUP($A227,'2018'!$A:$BB,9,FALSE),"")</f>
        <v>New</v>
      </c>
      <c r="M227" s="1067">
        <f>IFERROR(VLOOKUP($A227,'2018'!$A:$BB,10,FALSE),"")</f>
        <v>43101</v>
      </c>
      <c r="N227" s="1062">
        <f>IFERROR(VLOOKUP($A227,'2018'!$A:$BB,12,FALSE),"")</f>
        <v>88</v>
      </c>
      <c r="O227" s="1055" t="str">
        <f>IFERROR(VLOOKUP($A227,'2018'!$A:$BB,13,FALSE),"")</f>
        <v xml:space="preserve">IGOE </v>
      </c>
      <c r="P227" s="1055" t="str">
        <f>IFERROR(VLOOKUP($A227,'2018'!$A:$BB,14,FALSE),"")</f>
        <v>Maestro</v>
      </c>
      <c r="Q227" s="1055" t="str">
        <f>IFERROR(VLOOKUP($A227,'2018'!$A:$BB,16,FALSE),"")</f>
        <v>IGOE</v>
      </c>
      <c r="R227" s="1055" t="str">
        <f>IFERROR(VLOOKUP($A227,'2018'!$A:$BB,17,FALSE),"")</f>
        <v>Optum Health</v>
      </c>
      <c r="S227" s="1062" t="str">
        <f>IFERROR(VLOOKUP($A227,'2018'!$A:$BB,20,FALSE),"")</f>
        <v>SCAL</v>
      </c>
      <c r="T227" s="1062" t="str">
        <f>IFERROR(VLOOKUP($A227,'2018'!$A:$BB,21,FALSE),"")</f>
        <v>Group A (&lt;34)</v>
      </c>
      <c r="U227" s="1062" t="str">
        <f>IFERROR(VLOOKUP($A227,'2018'!$A:$BB,22,FALSE),"")</f>
        <v>Expanded</v>
      </c>
      <c r="V227" s="1062" t="str">
        <f>IFERROR(VLOOKUP($A227,'2018'!$A:$BB,23,FALSE),"")</f>
        <v>Advantage</v>
      </c>
      <c r="W227" s="1062" t="str">
        <f>IFERROR(VLOOKUP($A227,'2018'!$A:$BB,24,FALSE),"")</f>
        <v>No</v>
      </c>
      <c r="X227" s="1062" t="str">
        <f>IFERROR(VLOOKUP($A227,'2018'!$A:$BB,41,FALSE),"")</f>
        <v>Region 1</v>
      </c>
      <c r="Y227" s="1062" t="str">
        <f>IFERROR(VLOOKUP($A227,'2018'!$A:$BB,42,FALSE),"")</f>
        <v>(50-99)</v>
      </c>
      <c r="Z227" s="1062" t="str">
        <f>IFERROR(VLOOKUP($A227,'2018'!$A:$BB,45,FALSE),"")</f>
        <v xml:space="preserve"> (50-99)</v>
      </c>
      <c r="AA227" s="730">
        <v>2018</v>
      </c>
      <c r="AB227" s="728" t="s">
        <v>3873</v>
      </c>
      <c r="AC227" s="727" t="s">
        <v>317</v>
      </c>
      <c r="AD227" s="727" t="s">
        <v>3655</v>
      </c>
      <c r="AE227" s="727" t="s">
        <v>307</v>
      </c>
      <c r="AF227" s="727" t="s">
        <v>113</v>
      </c>
      <c r="AG227" s="726" t="s">
        <v>3962</v>
      </c>
      <c r="AH227" s="726" t="s">
        <v>3963</v>
      </c>
      <c r="AI227" s="727">
        <v>1</v>
      </c>
      <c r="AJ227" s="747" t="s">
        <v>3998</v>
      </c>
      <c r="AK227" s="753">
        <v>260062</v>
      </c>
      <c r="AL227" s="754">
        <v>163</v>
      </c>
      <c r="AM227" s="753">
        <v>260063</v>
      </c>
      <c r="AN227" s="754">
        <v>164</v>
      </c>
      <c r="AO227" s="776">
        <f t="shared" si="53"/>
        <v>260064</v>
      </c>
      <c r="AP227" s="754">
        <f t="shared" si="46"/>
        <v>165</v>
      </c>
      <c r="AQ227" s="770"/>
      <c r="AR227" s="726" t="s">
        <v>2661</v>
      </c>
      <c r="AS227" s="726" t="s">
        <v>3999</v>
      </c>
      <c r="AT227" s="726">
        <v>1630163</v>
      </c>
      <c r="AU227" s="726" t="s">
        <v>3966</v>
      </c>
      <c r="AV227" s="726" t="s">
        <v>4070</v>
      </c>
      <c r="AW227" s="726">
        <v>1640164</v>
      </c>
    </row>
    <row r="228" spans="1:49">
      <c r="A228" s="738" t="s">
        <v>3673</v>
      </c>
      <c r="B228" s="738" t="s">
        <v>3674</v>
      </c>
      <c r="C228" s="738" t="s">
        <v>3673</v>
      </c>
      <c r="D228" s="967" t="s">
        <v>4182</v>
      </c>
      <c r="E228" s="967" t="s">
        <v>3674</v>
      </c>
      <c r="F228" s="1059">
        <f>IFERROR(VLOOKUP($A228,'2018'!$A:$BB,3,FALSE),"")</f>
        <v>912091977</v>
      </c>
      <c r="G228" s="1055" t="str">
        <f>IFERROR(VLOOKUP($A228,'2018'!$A:$BB,4,FALSE),"")</f>
        <v>1325 Sycamore Avenue, Suite A
Vista, CA  92081</v>
      </c>
      <c r="H228" s="1055" t="str">
        <f>IFERROR(VLOOKUP($A228,'2018'!$A:$BB,5,FALSE),"")</f>
        <v>Mindy Schwartz
760-509-1186
mschwartz@mynuface.com</v>
      </c>
      <c r="I228" s="1055" t="str">
        <f>IFERROR(VLOOKUP($A228,'2018'!$A:$BB,6,FALSE),"")</f>
        <v>Valerie Alsman
760-509-1189
valsmar@mynuface.com</v>
      </c>
      <c r="J228" s="1055" t="str">
        <f>IFERROR(VLOOKUP($A228,'2018'!$A:$BB,7,FALSE),"")</f>
        <v>HUB (Carlsbad)</v>
      </c>
      <c r="K228" s="1055" t="str">
        <f>IFERROR(VLOOKUP($A228,'2018'!$A:$BB,8,FALSE),"")</f>
        <v>Account Managed by HUB Carlsbad Team
Producer - Dori Wittman
Service Lead - Lisa Cameron</v>
      </c>
      <c r="L228" s="1062" t="str">
        <f>IFERROR(VLOOKUP($A228,'2018'!$A:$BB,9,FALSE),"")</f>
        <v>New</v>
      </c>
      <c r="M228" s="1067">
        <f>IFERROR(VLOOKUP($A228,'2018'!$A:$BB,10,FALSE),"")</f>
        <v>43101</v>
      </c>
      <c r="N228" s="1062">
        <f>IFERROR(VLOOKUP($A228,'2018'!$A:$BB,12,FALSE),"")</f>
        <v>88</v>
      </c>
      <c r="O228" s="1055" t="str">
        <f>IFERROR(VLOOKUP($A228,'2018'!$A:$BB,13,FALSE),"")</f>
        <v xml:space="preserve">IGOE </v>
      </c>
      <c r="P228" s="1055" t="str">
        <f>IFERROR(VLOOKUP($A228,'2018'!$A:$BB,14,FALSE),"")</f>
        <v>Maestro</v>
      </c>
      <c r="Q228" s="1055" t="str">
        <f>IFERROR(VLOOKUP($A228,'2018'!$A:$BB,16,FALSE),"")</f>
        <v>IGOE</v>
      </c>
      <c r="R228" s="1055" t="str">
        <f>IFERROR(VLOOKUP($A228,'2018'!$A:$BB,17,FALSE),"")</f>
        <v>Optum Health</v>
      </c>
      <c r="S228" s="1062" t="str">
        <f>IFERROR(VLOOKUP($A228,'2018'!$A:$BB,20,FALSE),"")</f>
        <v>SCAL</v>
      </c>
      <c r="T228" s="1062" t="str">
        <f>IFERROR(VLOOKUP($A228,'2018'!$A:$BB,21,FALSE),"")</f>
        <v>Group A (&lt;34)</v>
      </c>
      <c r="U228" s="1062" t="str">
        <f>IFERROR(VLOOKUP($A228,'2018'!$A:$BB,22,FALSE),"")</f>
        <v>Expanded</v>
      </c>
      <c r="V228" s="1062" t="str">
        <f>IFERROR(VLOOKUP($A228,'2018'!$A:$BB,23,FALSE),"")</f>
        <v>Advantage</v>
      </c>
      <c r="W228" s="1062" t="str">
        <f>IFERROR(VLOOKUP($A228,'2018'!$A:$BB,24,FALSE),"")</f>
        <v>No</v>
      </c>
      <c r="X228" s="1062" t="str">
        <f>IFERROR(VLOOKUP($A228,'2018'!$A:$BB,41,FALSE),"")</f>
        <v>Region 1</v>
      </c>
      <c r="Y228" s="1062" t="str">
        <f>IFERROR(VLOOKUP($A228,'2018'!$A:$BB,42,FALSE),"")</f>
        <v>(50-99)</v>
      </c>
      <c r="Z228" s="1062" t="str">
        <f>IFERROR(VLOOKUP($A228,'2018'!$A:$BB,45,FALSE),"")</f>
        <v xml:space="preserve"> (50-99)</v>
      </c>
      <c r="AA228" s="730">
        <v>2018</v>
      </c>
      <c r="AB228" s="728" t="s">
        <v>3873</v>
      </c>
      <c r="AC228" s="727" t="s">
        <v>317</v>
      </c>
      <c r="AD228" s="727" t="s">
        <v>3655</v>
      </c>
      <c r="AE228" s="727" t="s">
        <v>307</v>
      </c>
      <c r="AF228" s="727" t="s">
        <v>113</v>
      </c>
      <c r="AG228" s="726" t="s">
        <v>3981</v>
      </c>
      <c r="AH228" s="726" t="s">
        <v>3973</v>
      </c>
      <c r="AI228" s="727">
        <v>11</v>
      </c>
      <c r="AJ228" s="747" t="s">
        <v>3982</v>
      </c>
      <c r="AK228" s="757">
        <v>909678</v>
      </c>
      <c r="AL228" s="754">
        <v>478</v>
      </c>
      <c r="AM228" s="755">
        <v>909678</v>
      </c>
      <c r="AN228" s="754">
        <v>479</v>
      </c>
      <c r="AO228" s="776">
        <f t="shared" ref="AO228:AO229" si="56">AM228</f>
        <v>909678</v>
      </c>
      <c r="AP228" s="754">
        <f t="shared" si="46"/>
        <v>480</v>
      </c>
      <c r="AQ228" s="770"/>
      <c r="AR228" s="726" t="s">
        <v>2661</v>
      </c>
      <c r="AS228" s="726" t="s">
        <v>3983</v>
      </c>
      <c r="AT228" s="726">
        <v>4780478</v>
      </c>
      <c r="AU228" s="726" t="s">
        <v>3966</v>
      </c>
      <c r="AV228" s="726" t="s">
        <v>4071</v>
      </c>
      <c r="AW228" s="726">
        <v>4790479</v>
      </c>
    </row>
    <row r="229" spans="1:49">
      <c r="A229" s="738" t="s">
        <v>3673</v>
      </c>
      <c r="B229" s="738" t="s">
        <v>3674</v>
      </c>
      <c r="C229" s="738" t="s">
        <v>3673</v>
      </c>
      <c r="D229" s="967" t="s">
        <v>4182</v>
      </c>
      <c r="E229" s="967" t="s">
        <v>3674</v>
      </c>
      <c r="F229" s="1059">
        <f>IFERROR(VLOOKUP($A229,'2018'!$A:$BB,3,FALSE),"")</f>
        <v>912091977</v>
      </c>
      <c r="G229" s="1055" t="str">
        <f>IFERROR(VLOOKUP($A229,'2018'!$A:$BB,4,FALSE),"")</f>
        <v>1325 Sycamore Avenue, Suite A
Vista, CA  92081</v>
      </c>
      <c r="H229" s="1055" t="str">
        <f>IFERROR(VLOOKUP($A229,'2018'!$A:$BB,5,FALSE),"")</f>
        <v>Mindy Schwartz
760-509-1186
mschwartz@mynuface.com</v>
      </c>
      <c r="I229" s="1055" t="str">
        <f>IFERROR(VLOOKUP($A229,'2018'!$A:$BB,6,FALSE),"")</f>
        <v>Valerie Alsman
760-509-1189
valsmar@mynuface.com</v>
      </c>
      <c r="J229" s="1055" t="str">
        <f>IFERROR(VLOOKUP($A229,'2018'!$A:$BB,7,FALSE),"")</f>
        <v>HUB (Carlsbad)</v>
      </c>
      <c r="K229" s="1055" t="str">
        <f>IFERROR(VLOOKUP($A229,'2018'!$A:$BB,8,FALSE),"")</f>
        <v>Account Managed by HUB Carlsbad Team
Producer - Dori Wittman
Service Lead - Lisa Cameron</v>
      </c>
      <c r="L229" s="1062" t="str">
        <f>IFERROR(VLOOKUP($A229,'2018'!$A:$BB,9,FALSE),"")</f>
        <v>New</v>
      </c>
      <c r="M229" s="1067">
        <f>IFERROR(VLOOKUP($A229,'2018'!$A:$BB,10,FALSE),"")</f>
        <v>43101</v>
      </c>
      <c r="N229" s="1062">
        <f>IFERROR(VLOOKUP($A229,'2018'!$A:$BB,12,FALSE),"")</f>
        <v>88</v>
      </c>
      <c r="O229" s="1055" t="str">
        <f>IFERROR(VLOOKUP($A229,'2018'!$A:$BB,13,FALSE),"")</f>
        <v xml:space="preserve">IGOE </v>
      </c>
      <c r="P229" s="1055" t="str">
        <f>IFERROR(VLOOKUP($A229,'2018'!$A:$BB,14,FALSE),"")</f>
        <v>Maestro</v>
      </c>
      <c r="Q229" s="1055" t="str">
        <f>IFERROR(VLOOKUP($A229,'2018'!$A:$BB,16,FALSE),"")</f>
        <v>IGOE</v>
      </c>
      <c r="R229" s="1055" t="str">
        <f>IFERROR(VLOOKUP($A229,'2018'!$A:$BB,17,FALSE),"")</f>
        <v>Optum Health</v>
      </c>
      <c r="S229" s="1062" t="str">
        <f>IFERROR(VLOOKUP($A229,'2018'!$A:$BB,20,FALSE),"")</f>
        <v>SCAL</v>
      </c>
      <c r="T229" s="1062" t="str">
        <f>IFERROR(VLOOKUP($A229,'2018'!$A:$BB,21,FALSE),"")</f>
        <v>Group A (&lt;34)</v>
      </c>
      <c r="U229" s="1062" t="str">
        <f>IFERROR(VLOOKUP($A229,'2018'!$A:$BB,22,FALSE),"")</f>
        <v>Expanded</v>
      </c>
      <c r="V229" s="1062" t="str">
        <f>IFERROR(VLOOKUP($A229,'2018'!$A:$BB,23,FALSE),"")</f>
        <v>Advantage</v>
      </c>
      <c r="W229" s="1062" t="str">
        <f>IFERROR(VLOOKUP($A229,'2018'!$A:$BB,24,FALSE),"")</f>
        <v>No</v>
      </c>
      <c r="X229" s="1062" t="str">
        <f>IFERROR(VLOOKUP($A229,'2018'!$A:$BB,41,FALSE),"")</f>
        <v>Region 1</v>
      </c>
      <c r="Y229" s="1062" t="str">
        <f>IFERROR(VLOOKUP($A229,'2018'!$A:$BB,42,FALSE),"")</f>
        <v>(50-99)</v>
      </c>
      <c r="Z229" s="1062" t="str">
        <f>IFERROR(VLOOKUP($A229,'2018'!$A:$BB,45,FALSE),"")</f>
        <v xml:space="preserve"> (50-99)</v>
      </c>
      <c r="AA229" s="730">
        <v>2018</v>
      </c>
      <c r="AB229" s="728" t="s">
        <v>3873</v>
      </c>
      <c r="AC229" s="727" t="s">
        <v>317</v>
      </c>
      <c r="AD229" s="727" t="s">
        <v>3655</v>
      </c>
      <c r="AE229" s="727" t="s">
        <v>307</v>
      </c>
      <c r="AF229" s="727" t="s">
        <v>113</v>
      </c>
      <c r="AG229" s="726" t="s">
        <v>3981</v>
      </c>
      <c r="AH229" s="726" t="s">
        <v>3977</v>
      </c>
      <c r="AI229" s="727">
        <v>16</v>
      </c>
      <c r="AJ229" s="747" t="s">
        <v>3985</v>
      </c>
      <c r="AK229" s="757">
        <v>909678</v>
      </c>
      <c r="AL229" s="754">
        <v>730</v>
      </c>
      <c r="AM229" s="755">
        <v>909678</v>
      </c>
      <c r="AN229" s="754">
        <v>731</v>
      </c>
      <c r="AO229" s="776">
        <f t="shared" si="56"/>
        <v>909678</v>
      </c>
      <c r="AP229" s="754">
        <f t="shared" si="46"/>
        <v>732</v>
      </c>
      <c r="AQ229" s="770"/>
      <c r="AR229" s="726" t="s">
        <v>2661</v>
      </c>
      <c r="AS229" s="726" t="s">
        <v>4066</v>
      </c>
      <c r="AT229" s="726">
        <v>7300730</v>
      </c>
      <c r="AU229" s="726" t="s">
        <v>3966</v>
      </c>
      <c r="AV229" s="726" t="s">
        <v>4071</v>
      </c>
      <c r="AW229" s="726">
        <v>7310731</v>
      </c>
    </row>
    <row r="230" spans="1:49">
      <c r="A230" s="738"/>
      <c r="B230" s="738"/>
      <c r="C230" s="738"/>
      <c r="D230" s="738"/>
      <c r="E230" s="738"/>
      <c r="F230" s="1059" t="str">
        <f>IFERROR(VLOOKUP($A230,'2018'!$A:$BB,3,FALSE),"")</f>
        <v/>
      </c>
      <c r="G230" s="1055" t="str">
        <f>IFERROR(VLOOKUP($A230,'2018'!$A:$BB,4,FALSE),"")</f>
        <v/>
      </c>
      <c r="H230" s="1055" t="str">
        <f>IFERROR(VLOOKUP($A230,'2018'!$A:$BB,5,FALSE),"")</f>
        <v/>
      </c>
      <c r="I230" s="1055" t="str">
        <f>IFERROR(VLOOKUP($A230,'2018'!$A:$BB,6,FALSE),"")</f>
        <v/>
      </c>
      <c r="J230" s="1055" t="str">
        <f>IFERROR(VLOOKUP($A230,'2018'!$A:$BB,7,FALSE),"")</f>
        <v/>
      </c>
      <c r="K230" s="1055" t="str">
        <f>IFERROR(VLOOKUP($A230,'2018'!$A:$BB,8,FALSE),"")</f>
        <v/>
      </c>
      <c r="L230" s="1062" t="str">
        <f>IFERROR(VLOOKUP($A230,'2018'!$A:$BB,9,FALSE),"")</f>
        <v/>
      </c>
      <c r="M230" s="1067" t="str">
        <f>IFERROR(VLOOKUP($A230,'2018'!$A:$BB,10,FALSE),"")</f>
        <v/>
      </c>
      <c r="N230" s="1062" t="str">
        <f>IFERROR(VLOOKUP($A230,'2018'!$A:$BB,12,FALSE),"")</f>
        <v/>
      </c>
      <c r="O230" s="1055" t="str">
        <f>IFERROR(VLOOKUP($A230,'2018'!$A:$BB,13,FALSE),"")</f>
        <v/>
      </c>
      <c r="P230" s="1055" t="str">
        <f>IFERROR(VLOOKUP($A230,'2018'!$A:$BB,14,FALSE),"")</f>
        <v/>
      </c>
      <c r="Q230" s="1055" t="str">
        <f>IFERROR(VLOOKUP($A230,'2018'!$A:$BB,16,FALSE),"")</f>
        <v/>
      </c>
      <c r="R230" s="1055" t="str">
        <f>IFERROR(VLOOKUP($A230,'2018'!$A:$BB,17,FALSE),"")</f>
        <v/>
      </c>
      <c r="S230" s="1062" t="str">
        <f>IFERROR(VLOOKUP($A230,'2018'!$A:$BB,20,FALSE),"")</f>
        <v/>
      </c>
      <c r="T230" s="1062" t="str">
        <f>IFERROR(VLOOKUP($A230,'2018'!$A:$BB,21,FALSE),"")</f>
        <v/>
      </c>
      <c r="U230" s="1062" t="str">
        <f>IFERROR(VLOOKUP($A230,'2018'!$A:$BB,22,FALSE),"")</f>
        <v/>
      </c>
      <c r="V230" s="1062" t="str">
        <f>IFERROR(VLOOKUP($A230,'2018'!$A:$BB,23,FALSE),"")</f>
        <v/>
      </c>
      <c r="W230" s="1062" t="str">
        <f>IFERROR(VLOOKUP($A230,'2018'!$A:$BB,24,FALSE),"")</f>
        <v/>
      </c>
      <c r="X230" s="1062" t="str">
        <f>IFERROR(VLOOKUP($A230,'2018'!$A:$BB,41,FALSE),"")</f>
        <v/>
      </c>
      <c r="Y230" s="1062" t="str">
        <f>IFERROR(VLOOKUP($A230,'2018'!$A:$BB,42,FALSE),"")</f>
        <v/>
      </c>
      <c r="Z230" s="1062" t="str">
        <f>IFERROR(VLOOKUP($A230,'2018'!$A:$BB,45,FALSE),"")</f>
        <v/>
      </c>
      <c r="AA230" s="727"/>
      <c r="AB230" s="728"/>
      <c r="AC230" s="727"/>
      <c r="AD230" s="727"/>
      <c r="AE230" s="727"/>
      <c r="AF230" s="727"/>
      <c r="AG230" s="726"/>
      <c r="AH230" s="726"/>
      <c r="AI230" s="727"/>
      <c r="AJ230" s="747"/>
      <c r="AK230" s="753"/>
      <c r="AL230" s="754"/>
      <c r="AM230" s="753"/>
      <c r="AN230" s="754"/>
      <c r="AO230" s="776"/>
      <c r="AP230" s="754"/>
      <c r="AQ230" s="770"/>
      <c r="AR230" s="726"/>
      <c r="AS230" s="726"/>
      <c r="AT230" s="726"/>
      <c r="AU230" s="726"/>
      <c r="AV230" s="726"/>
      <c r="AW230" s="726"/>
    </row>
    <row r="231" spans="1:49">
      <c r="A231" s="738" t="s">
        <v>4072</v>
      </c>
      <c r="B231" s="738" t="s">
        <v>4072</v>
      </c>
      <c r="C231" s="738" t="s">
        <v>145</v>
      </c>
      <c r="D231" s="968" t="s">
        <v>4189</v>
      </c>
      <c r="E231" s="968" t="s">
        <v>145</v>
      </c>
      <c r="F231" s="1059">
        <f>IFERROR(VLOOKUP($A231,'2018'!$A:$BB,3,FALSE),"")</f>
        <v>461617513</v>
      </c>
      <c r="G231" s="1055" t="str">
        <f>IFERROR(VLOOKUP($A231,'2018'!$A:$BB,4,FALSE),"")</f>
        <v xml:space="preserve">374 N Coast Highway 101 
Suite B 
Encinitas, CA 92024 </v>
      </c>
      <c r="H231" s="1055" t="str">
        <f>IFERROR(VLOOKUP($A231,'2018'!$A:$BB,5,FALSE),"")</f>
        <v xml:space="preserve">Amy Rowland
760 723-3231
Amy@pangeabiological.com </v>
      </c>
      <c r="I231" s="1055" t="str">
        <f>IFERROR(VLOOKUP($A231,'2018'!$A:$BB,6,FALSE),"")</f>
        <v xml:space="preserve">Amy Rowland
760 723-3231
Amy@pangeabiological.com </v>
      </c>
      <c r="J231" s="1055" t="str">
        <f>IFERROR(VLOOKUP($A231,'2018'!$A:$BB,7,FALSE),"")</f>
        <v>HUB (San Diego)</v>
      </c>
      <c r="K231" s="1055" t="str">
        <f>IFERROR(VLOOKUP($A231,'2018'!$A:$BB,8,FALSE),"")</f>
        <v>Account Managed by HUB SD Team
Producer - Dave Duenas
Service Lead - Randell Jacobs</v>
      </c>
      <c r="L231" s="1062" t="str">
        <f>IFERROR(VLOOKUP($A231,'2018'!$A:$BB,9,FALSE),"")</f>
        <v>Renewal</v>
      </c>
      <c r="M231" s="1067">
        <f>IFERROR(VLOOKUP($A231,'2018'!$A:$BB,10,FALSE),"")</f>
        <v>42705</v>
      </c>
      <c r="N231" s="1062">
        <f>IFERROR(VLOOKUP($A231,'2018'!$A:$BB,12,FALSE),"")</f>
        <v>15</v>
      </c>
      <c r="O231" s="1055" t="str">
        <f>IFERROR(VLOOKUP($A231,'2018'!$A:$BB,13,FALSE),"")</f>
        <v xml:space="preserve">IGOE </v>
      </c>
      <c r="P231" s="1055" t="str">
        <f>IFERROR(VLOOKUP($A231,'2018'!$A:$BB,14,FALSE),"")</f>
        <v xml:space="preserve">Maestro </v>
      </c>
      <c r="Q231" s="1055" t="str">
        <f>IFERROR(VLOOKUP($A231,'2018'!$A:$BB,16,FALSE),"")</f>
        <v>N/A - TASC</v>
      </c>
      <c r="R231" s="1055" t="str">
        <f>IFERROR(VLOOKUP($A231,'2018'!$A:$BB,17,FALSE),"")</f>
        <v>Optum Health</v>
      </c>
      <c r="S231" s="1062" t="str">
        <f>IFERROR(VLOOKUP($A231,'2018'!$A:$BB,20,FALSE),"")</f>
        <v>SCAL</v>
      </c>
      <c r="T231" s="1062" t="str">
        <f>IFERROR(VLOOKUP($A231,'2018'!$A:$BB,21,FALSE),"")</f>
        <v>Group B (34-44)</v>
      </c>
      <c r="U231" s="1062" t="str">
        <f>IFERROR(VLOOKUP($A231,'2018'!$A:$BB,22,FALSE),"")</f>
        <v>Expanded</v>
      </c>
      <c r="V231" s="1062" t="str">
        <f>IFERROR(VLOOKUP($A231,'2018'!$A:$BB,23,FALSE),"")</f>
        <v>Advantage</v>
      </c>
      <c r="W231" s="1062" t="str">
        <f>IFERROR(VLOOKUP($A231,'2018'!$A:$BB,24,FALSE),"")</f>
        <v>No</v>
      </c>
      <c r="X231" s="1062" t="str">
        <f>IFERROR(VLOOKUP($A231,'2018'!$A:$BB,41,FALSE),"")</f>
        <v>Region 2</v>
      </c>
      <c r="Y231" s="1062" t="str">
        <f>IFERROR(VLOOKUP($A231,'2018'!$A:$BB,42,FALSE),"")</f>
        <v>(25-49)</v>
      </c>
      <c r="Z231" s="1062" t="str">
        <f>IFERROR(VLOOKUP($A231,'2018'!$A:$BB,45,FALSE),"")</f>
        <v xml:space="preserve"> (2-49)</v>
      </c>
      <c r="AA231" s="730">
        <v>2018</v>
      </c>
      <c r="AB231" s="728" t="s">
        <v>3877</v>
      </c>
      <c r="AC231" s="727" t="s">
        <v>317</v>
      </c>
      <c r="AD231" s="727" t="s">
        <v>3648</v>
      </c>
      <c r="AE231" s="727" t="s">
        <v>307</v>
      </c>
      <c r="AF231" s="727" t="s">
        <v>113</v>
      </c>
      <c r="AG231" s="726" t="s">
        <v>3962</v>
      </c>
      <c r="AH231" s="726" t="s">
        <v>3963</v>
      </c>
      <c r="AI231" s="727">
        <v>1</v>
      </c>
      <c r="AJ231" s="747" t="s">
        <v>3998</v>
      </c>
      <c r="AK231" s="753">
        <v>260065</v>
      </c>
      <c r="AL231" s="754">
        <v>166</v>
      </c>
      <c r="AM231" s="753">
        <v>260066</v>
      </c>
      <c r="AN231" s="754">
        <v>167</v>
      </c>
      <c r="AO231" s="776">
        <f t="shared" si="53"/>
        <v>260067</v>
      </c>
      <c r="AP231" s="754">
        <f t="shared" si="46"/>
        <v>168</v>
      </c>
      <c r="AQ231" s="770"/>
      <c r="AR231" s="726" t="s">
        <v>2661</v>
      </c>
      <c r="AS231" s="726" t="s">
        <v>3999</v>
      </c>
      <c r="AT231" s="726">
        <v>1660166</v>
      </c>
      <c r="AU231" s="726" t="s">
        <v>3980</v>
      </c>
      <c r="AV231" s="726"/>
      <c r="AW231" s="726"/>
    </row>
    <row r="232" spans="1:49">
      <c r="A232" s="738" t="s">
        <v>4072</v>
      </c>
      <c r="B232" s="738" t="s">
        <v>4072</v>
      </c>
      <c r="C232" s="738" t="s">
        <v>145</v>
      </c>
      <c r="D232" s="968" t="s">
        <v>4189</v>
      </c>
      <c r="E232" s="968" t="s">
        <v>145</v>
      </c>
      <c r="F232" s="1059">
        <f>IFERROR(VLOOKUP($A232,'2018'!$A:$BB,3,FALSE),"")</f>
        <v>461617513</v>
      </c>
      <c r="G232" s="1055" t="str">
        <f>IFERROR(VLOOKUP($A232,'2018'!$A:$BB,4,FALSE),"")</f>
        <v xml:space="preserve">374 N Coast Highway 101 
Suite B 
Encinitas, CA 92024 </v>
      </c>
      <c r="H232" s="1055" t="str">
        <f>IFERROR(VLOOKUP($A232,'2018'!$A:$BB,5,FALSE),"")</f>
        <v xml:space="preserve">Amy Rowland
760 723-3231
Amy@pangeabiological.com </v>
      </c>
      <c r="I232" s="1055" t="str">
        <f>IFERROR(VLOOKUP($A232,'2018'!$A:$BB,6,FALSE),"")</f>
        <v xml:space="preserve">Amy Rowland
760 723-3231
Amy@pangeabiological.com </v>
      </c>
      <c r="J232" s="1055" t="str">
        <f>IFERROR(VLOOKUP($A232,'2018'!$A:$BB,7,FALSE),"")</f>
        <v>HUB (San Diego)</v>
      </c>
      <c r="K232" s="1055" t="str">
        <f>IFERROR(VLOOKUP($A232,'2018'!$A:$BB,8,FALSE),"")</f>
        <v>Account Managed by HUB SD Team
Producer - Dave Duenas
Service Lead - Randell Jacobs</v>
      </c>
      <c r="L232" s="1062" t="str">
        <f>IFERROR(VLOOKUP($A232,'2018'!$A:$BB,9,FALSE),"")</f>
        <v>Renewal</v>
      </c>
      <c r="M232" s="1067">
        <f>IFERROR(VLOOKUP($A232,'2018'!$A:$BB,10,FALSE),"")</f>
        <v>42705</v>
      </c>
      <c r="N232" s="1062">
        <f>IFERROR(VLOOKUP($A232,'2018'!$A:$BB,12,FALSE),"")</f>
        <v>15</v>
      </c>
      <c r="O232" s="1055" t="str">
        <f>IFERROR(VLOOKUP($A232,'2018'!$A:$BB,13,FALSE),"")</f>
        <v xml:space="preserve">IGOE </v>
      </c>
      <c r="P232" s="1055" t="str">
        <f>IFERROR(VLOOKUP($A232,'2018'!$A:$BB,14,FALSE),"")</f>
        <v xml:space="preserve">Maestro </v>
      </c>
      <c r="Q232" s="1055" t="str">
        <f>IFERROR(VLOOKUP($A232,'2018'!$A:$BB,16,FALSE),"")</f>
        <v>N/A - TASC</v>
      </c>
      <c r="R232" s="1055" t="str">
        <f>IFERROR(VLOOKUP($A232,'2018'!$A:$BB,17,FALSE),"")</f>
        <v>Optum Health</v>
      </c>
      <c r="S232" s="1062" t="str">
        <f>IFERROR(VLOOKUP($A232,'2018'!$A:$BB,20,FALSE),"")</f>
        <v>SCAL</v>
      </c>
      <c r="T232" s="1062" t="str">
        <f>IFERROR(VLOOKUP($A232,'2018'!$A:$BB,21,FALSE),"")</f>
        <v>Group B (34-44)</v>
      </c>
      <c r="U232" s="1062" t="str">
        <f>IFERROR(VLOOKUP($A232,'2018'!$A:$BB,22,FALSE),"")</f>
        <v>Expanded</v>
      </c>
      <c r="V232" s="1062" t="str">
        <f>IFERROR(VLOOKUP($A232,'2018'!$A:$BB,23,FALSE),"")</f>
        <v>Advantage</v>
      </c>
      <c r="W232" s="1062" t="str">
        <f>IFERROR(VLOOKUP($A232,'2018'!$A:$BB,24,FALSE),"")</f>
        <v>No</v>
      </c>
      <c r="X232" s="1062" t="str">
        <f>IFERROR(VLOOKUP($A232,'2018'!$A:$BB,41,FALSE),"")</f>
        <v>Region 2</v>
      </c>
      <c r="Y232" s="1062" t="str">
        <f>IFERROR(VLOOKUP($A232,'2018'!$A:$BB,42,FALSE),"")</f>
        <v>(25-49)</v>
      </c>
      <c r="Z232" s="1062" t="str">
        <f>IFERROR(VLOOKUP($A232,'2018'!$A:$BB,45,FALSE),"")</f>
        <v xml:space="preserve"> (2-49)</v>
      </c>
      <c r="AA232" s="730">
        <v>2018</v>
      </c>
      <c r="AB232" s="728" t="s">
        <v>3877</v>
      </c>
      <c r="AC232" s="727" t="s">
        <v>317</v>
      </c>
      <c r="AD232" s="727" t="s">
        <v>3648</v>
      </c>
      <c r="AE232" s="727" t="s">
        <v>307</v>
      </c>
      <c r="AF232" s="727" t="s">
        <v>113</v>
      </c>
      <c r="AG232" s="726" t="s">
        <v>3972</v>
      </c>
      <c r="AH232" s="726" t="s">
        <v>3973</v>
      </c>
      <c r="AI232" s="727">
        <v>7</v>
      </c>
      <c r="AJ232" s="747" t="s">
        <v>4001</v>
      </c>
      <c r="AK232" s="757">
        <v>909678</v>
      </c>
      <c r="AL232" s="759">
        <v>337</v>
      </c>
      <c r="AM232" s="755">
        <v>909678</v>
      </c>
      <c r="AN232" s="754">
        <v>338</v>
      </c>
      <c r="AO232" s="776">
        <f t="shared" ref="AO232:AO235" si="57">AM232</f>
        <v>909678</v>
      </c>
      <c r="AP232" s="754">
        <f t="shared" si="46"/>
        <v>339</v>
      </c>
      <c r="AQ232" s="770"/>
      <c r="AR232" s="726" t="s">
        <v>2661</v>
      </c>
      <c r="AS232" s="726" t="s">
        <v>4002</v>
      </c>
      <c r="AT232" s="726">
        <v>3370337</v>
      </c>
      <c r="AU232" s="726" t="s">
        <v>3980</v>
      </c>
      <c r="AV232" s="726"/>
      <c r="AW232" s="726"/>
    </row>
    <row r="233" spans="1:49">
      <c r="A233" s="738" t="s">
        <v>4072</v>
      </c>
      <c r="B233" s="736" t="s">
        <v>4072</v>
      </c>
      <c r="C233" s="738" t="s">
        <v>145</v>
      </c>
      <c r="D233" s="968" t="s">
        <v>4189</v>
      </c>
      <c r="E233" s="968" t="s">
        <v>145</v>
      </c>
      <c r="F233" s="1059">
        <f>IFERROR(VLOOKUP($A233,'2018'!$A:$BB,3,FALSE),"")</f>
        <v>461617513</v>
      </c>
      <c r="G233" s="1055" t="str">
        <f>IFERROR(VLOOKUP($A233,'2018'!$A:$BB,4,FALSE),"")</f>
        <v xml:space="preserve">374 N Coast Highway 101 
Suite B 
Encinitas, CA 92024 </v>
      </c>
      <c r="H233" s="1055" t="str">
        <f>IFERROR(VLOOKUP($A233,'2018'!$A:$BB,5,FALSE),"")</f>
        <v xml:space="preserve">Amy Rowland
760 723-3231
Amy@pangeabiological.com </v>
      </c>
      <c r="I233" s="1055" t="str">
        <f>IFERROR(VLOOKUP($A233,'2018'!$A:$BB,6,FALSE),"")</f>
        <v xml:space="preserve">Amy Rowland
760 723-3231
Amy@pangeabiological.com </v>
      </c>
      <c r="J233" s="1055" t="str">
        <f>IFERROR(VLOOKUP($A233,'2018'!$A:$BB,7,FALSE),"")</f>
        <v>HUB (San Diego)</v>
      </c>
      <c r="K233" s="1055" t="str">
        <f>IFERROR(VLOOKUP($A233,'2018'!$A:$BB,8,FALSE),"")</f>
        <v>Account Managed by HUB SD Team
Producer - Dave Duenas
Service Lead - Randell Jacobs</v>
      </c>
      <c r="L233" s="1062" t="str">
        <f>IFERROR(VLOOKUP($A233,'2018'!$A:$BB,9,FALSE),"")</f>
        <v>Renewal</v>
      </c>
      <c r="M233" s="1067">
        <f>IFERROR(VLOOKUP($A233,'2018'!$A:$BB,10,FALSE),"")</f>
        <v>42705</v>
      </c>
      <c r="N233" s="1062">
        <f>IFERROR(VLOOKUP($A233,'2018'!$A:$BB,12,FALSE),"")</f>
        <v>15</v>
      </c>
      <c r="O233" s="1055" t="str">
        <f>IFERROR(VLOOKUP($A233,'2018'!$A:$BB,13,FALSE),"")</f>
        <v xml:space="preserve">IGOE </v>
      </c>
      <c r="P233" s="1055" t="str">
        <f>IFERROR(VLOOKUP($A233,'2018'!$A:$BB,14,FALSE),"")</f>
        <v xml:space="preserve">Maestro </v>
      </c>
      <c r="Q233" s="1055" t="str">
        <f>IFERROR(VLOOKUP($A233,'2018'!$A:$BB,16,FALSE),"")</f>
        <v>N/A - TASC</v>
      </c>
      <c r="R233" s="1055" t="str">
        <f>IFERROR(VLOOKUP($A233,'2018'!$A:$BB,17,FALSE),"")</f>
        <v>Optum Health</v>
      </c>
      <c r="S233" s="1062" t="str">
        <f>IFERROR(VLOOKUP($A233,'2018'!$A:$BB,20,FALSE),"")</f>
        <v>SCAL</v>
      </c>
      <c r="T233" s="1062" t="str">
        <f>IFERROR(VLOOKUP($A233,'2018'!$A:$BB,21,FALSE),"")</f>
        <v>Group B (34-44)</v>
      </c>
      <c r="U233" s="1062" t="str">
        <f>IFERROR(VLOOKUP($A233,'2018'!$A:$BB,22,FALSE),"")</f>
        <v>Expanded</v>
      </c>
      <c r="V233" s="1062" t="str">
        <f>IFERROR(VLOOKUP($A233,'2018'!$A:$BB,23,FALSE),"")</f>
        <v>Advantage</v>
      </c>
      <c r="W233" s="1062" t="str">
        <f>IFERROR(VLOOKUP($A233,'2018'!$A:$BB,24,FALSE),"")</f>
        <v>No</v>
      </c>
      <c r="X233" s="1062" t="str">
        <f>IFERROR(VLOOKUP($A233,'2018'!$A:$BB,41,FALSE),"")</f>
        <v>Region 2</v>
      </c>
      <c r="Y233" s="1062" t="str">
        <f>IFERROR(VLOOKUP($A233,'2018'!$A:$BB,42,FALSE),"")</f>
        <v>(25-49)</v>
      </c>
      <c r="Z233" s="1062" t="str">
        <f>IFERROR(VLOOKUP($A233,'2018'!$A:$BB,45,FALSE),"")</f>
        <v xml:space="preserve"> (2-49)</v>
      </c>
      <c r="AA233" s="731">
        <v>2018</v>
      </c>
      <c r="AB233" s="733" t="s">
        <v>3877</v>
      </c>
      <c r="AC233" s="734" t="s">
        <v>317</v>
      </c>
      <c r="AD233" s="734" t="s">
        <v>3648</v>
      </c>
      <c r="AE233" s="734" t="s">
        <v>307</v>
      </c>
      <c r="AF233" s="734" t="s">
        <v>113</v>
      </c>
      <c r="AG233" s="732" t="s">
        <v>3972</v>
      </c>
      <c r="AH233" s="732" t="s">
        <v>3977</v>
      </c>
      <c r="AI233" s="734">
        <v>13</v>
      </c>
      <c r="AJ233" s="748" t="s">
        <v>4004</v>
      </c>
      <c r="AK233" s="757">
        <v>909678</v>
      </c>
      <c r="AL233" s="756">
        <v>589</v>
      </c>
      <c r="AM233" s="755">
        <v>909678</v>
      </c>
      <c r="AN233" s="756">
        <v>590</v>
      </c>
      <c r="AO233" s="776">
        <f t="shared" si="57"/>
        <v>909678</v>
      </c>
      <c r="AP233" s="754">
        <f t="shared" si="46"/>
        <v>591</v>
      </c>
      <c r="AQ233" s="771" t="s">
        <v>3979</v>
      </c>
      <c r="AR233" s="732" t="s">
        <v>2661</v>
      </c>
      <c r="AS233" s="735"/>
      <c r="AT233" s="735"/>
      <c r="AU233" s="732" t="s">
        <v>3980</v>
      </c>
      <c r="AV233" s="735"/>
      <c r="AW233" s="735"/>
    </row>
    <row r="234" spans="1:49">
      <c r="A234" s="738" t="s">
        <v>4072</v>
      </c>
      <c r="B234" s="738" t="s">
        <v>4072</v>
      </c>
      <c r="C234" s="738" t="s">
        <v>145</v>
      </c>
      <c r="D234" s="968" t="s">
        <v>4189</v>
      </c>
      <c r="E234" s="968" t="s">
        <v>145</v>
      </c>
      <c r="F234" s="1059">
        <f>IFERROR(VLOOKUP($A234,'2018'!$A:$BB,3,FALSE),"")</f>
        <v>461617513</v>
      </c>
      <c r="G234" s="1055" t="str">
        <f>IFERROR(VLOOKUP($A234,'2018'!$A:$BB,4,FALSE),"")</f>
        <v xml:space="preserve">374 N Coast Highway 101 
Suite B 
Encinitas, CA 92024 </v>
      </c>
      <c r="H234" s="1055" t="str">
        <f>IFERROR(VLOOKUP($A234,'2018'!$A:$BB,5,FALSE),"")</f>
        <v xml:space="preserve">Amy Rowland
760 723-3231
Amy@pangeabiological.com </v>
      </c>
      <c r="I234" s="1055" t="str">
        <f>IFERROR(VLOOKUP($A234,'2018'!$A:$BB,6,FALSE),"")</f>
        <v xml:space="preserve">Amy Rowland
760 723-3231
Amy@pangeabiological.com </v>
      </c>
      <c r="J234" s="1055" t="str">
        <f>IFERROR(VLOOKUP($A234,'2018'!$A:$BB,7,FALSE),"")</f>
        <v>HUB (San Diego)</v>
      </c>
      <c r="K234" s="1055" t="str">
        <f>IFERROR(VLOOKUP($A234,'2018'!$A:$BB,8,FALSE),"")</f>
        <v>Account Managed by HUB SD Team
Producer - Dave Duenas
Service Lead - Randell Jacobs</v>
      </c>
      <c r="L234" s="1062" t="str">
        <f>IFERROR(VLOOKUP($A234,'2018'!$A:$BB,9,FALSE),"")</f>
        <v>Renewal</v>
      </c>
      <c r="M234" s="1067">
        <f>IFERROR(VLOOKUP($A234,'2018'!$A:$BB,10,FALSE),"")</f>
        <v>42705</v>
      </c>
      <c r="N234" s="1062">
        <f>IFERROR(VLOOKUP($A234,'2018'!$A:$BB,12,FALSE),"")</f>
        <v>15</v>
      </c>
      <c r="O234" s="1055" t="str">
        <f>IFERROR(VLOOKUP($A234,'2018'!$A:$BB,13,FALSE),"")</f>
        <v xml:space="preserve">IGOE </v>
      </c>
      <c r="P234" s="1055" t="str">
        <f>IFERROR(VLOOKUP($A234,'2018'!$A:$BB,14,FALSE),"")</f>
        <v xml:space="preserve">Maestro </v>
      </c>
      <c r="Q234" s="1055" t="str">
        <f>IFERROR(VLOOKUP($A234,'2018'!$A:$BB,16,FALSE),"")</f>
        <v>N/A - TASC</v>
      </c>
      <c r="R234" s="1055" t="str">
        <f>IFERROR(VLOOKUP($A234,'2018'!$A:$BB,17,FALSE),"")</f>
        <v>Optum Health</v>
      </c>
      <c r="S234" s="1062" t="str">
        <f>IFERROR(VLOOKUP($A234,'2018'!$A:$BB,20,FALSE),"")</f>
        <v>SCAL</v>
      </c>
      <c r="T234" s="1062" t="str">
        <f>IFERROR(VLOOKUP($A234,'2018'!$A:$BB,21,FALSE),"")</f>
        <v>Group B (34-44)</v>
      </c>
      <c r="U234" s="1062" t="str">
        <f>IFERROR(VLOOKUP($A234,'2018'!$A:$BB,22,FALSE),"")</f>
        <v>Expanded</v>
      </c>
      <c r="V234" s="1062" t="str">
        <f>IFERROR(VLOOKUP($A234,'2018'!$A:$BB,23,FALSE),"")</f>
        <v>Advantage</v>
      </c>
      <c r="W234" s="1062" t="str">
        <f>IFERROR(VLOOKUP($A234,'2018'!$A:$BB,24,FALSE),"")</f>
        <v>No</v>
      </c>
      <c r="X234" s="1062" t="str">
        <f>IFERROR(VLOOKUP($A234,'2018'!$A:$BB,41,FALSE),"")</f>
        <v>Region 2</v>
      </c>
      <c r="Y234" s="1062" t="str">
        <f>IFERROR(VLOOKUP($A234,'2018'!$A:$BB,42,FALSE),"")</f>
        <v>(25-49)</v>
      </c>
      <c r="Z234" s="1062" t="str">
        <f>IFERROR(VLOOKUP($A234,'2018'!$A:$BB,45,FALSE),"")</f>
        <v xml:space="preserve"> (2-49)</v>
      </c>
      <c r="AA234" s="730">
        <v>2018</v>
      </c>
      <c r="AB234" s="728" t="s">
        <v>3877</v>
      </c>
      <c r="AC234" s="727" t="s">
        <v>317</v>
      </c>
      <c r="AD234" s="727" t="s">
        <v>3648</v>
      </c>
      <c r="AE234" s="727" t="s">
        <v>307</v>
      </c>
      <c r="AF234" s="727" t="s">
        <v>113</v>
      </c>
      <c r="AG234" s="726" t="s">
        <v>3981</v>
      </c>
      <c r="AH234" s="726" t="s">
        <v>3973</v>
      </c>
      <c r="AI234" s="727">
        <v>11</v>
      </c>
      <c r="AJ234" s="747" t="s">
        <v>3982</v>
      </c>
      <c r="AK234" s="757">
        <v>909678</v>
      </c>
      <c r="AL234" s="754">
        <v>481</v>
      </c>
      <c r="AM234" s="755">
        <v>909678</v>
      </c>
      <c r="AN234" s="754">
        <v>482</v>
      </c>
      <c r="AO234" s="776">
        <f t="shared" si="57"/>
        <v>909678</v>
      </c>
      <c r="AP234" s="754">
        <f t="shared" si="46"/>
        <v>483</v>
      </c>
      <c r="AQ234" s="770"/>
      <c r="AR234" s="726" t="s">
        <v>2661</v>
      </c>
      <c r="AS234" s="726" t="s">
        <v>3983</v>
      </c>
      <c r="AT234" s="726">
        <v>4810481</v>
      </c>
      <c r="AU234" s="726" t="s">
        <v>3980</v>
      </c>
      <c r="AV234" s="726"/>
      <c r="AW234" s="726"/>
    </row>
    <row r="235" spans="1:49">
      <c r="A235" s="738" t="s">
        <v>4072</v>
      </c>
      <c r="B235" s="736" t="s">
        <v>4072</v>
      </c>
      <c r="C235" s="738" t="s">
        <v>145</v>
      </c>
      <c r="D235" s="968" t="s">
        <v>4189</v>
      </c>
      <c r="E235" s="968" t="s">
        <v>145</v>
      </c>
      <c r="F235" s="1059">
        <f>IFERROR(VLOOKUP($A235,'2018'!$A:$BB,3,FALSE),"")</f>
        <v>461617513</v>
      </c>
      <c r="G235" s="1055" t="str">
        <f>IFERROR(VLOOKUP($A235,'2018'!$A:$BB,4,FALSE),"")</f>
        <v xml:space="preserve">374 N Coast Highway 101 
Suite B 
Encinitas, CA 92024 </v>
      </c>
      <c r="H235" s="1055" t="str">
        <f>IFERROR(VLOOKUP($A235,'2018'!$A:$BB,5,FALSE),"")</f>
        <v xml:space="preserve">Amy Rowland
760 723-3231
Amy@pangeabiological.com </v>
      </c>
      <c r="I235" s="1055" t="str">
        <f>IFERROR(VLOOKUP($A235,'2018'!$A:$BB,6,FALSE),"")</f>
        <v xml:space="preserve">Amy Rowland
760 723-3231
Amy@pangeabiological.com </v>
      </c>
      <c r="J235" s="1055" t="str">
        <f>IFERROR(VLOOKUP($A235,'2018'!$A:$BB,7,FALSE),"")</f>
        <v>HUB (San Diego)</v>
      </c>
      <c r="K235" s="1055" t="str">
        <f>IFERROR(VLOOKUP($A235,'2018'!$A:$BB,8,FALSE),"")</f>
        <v>Account Managed by HUB SD Team
Producer - Dave Duenas
Service Lead - Randell Jacobs</v>
      </c>
      <c r="L235" s="1062" t="str">
        <f>IFERROR(VLOOKUP($A235,'2018'!$A:$BB,9,FALSE),"")</f>
        <v>Renewal</v>
      </c>
      <c r="M235" s="1067">
        <f>IFERROR(VLOOKUP($A235,'2018'!$A:$BB,10,FALSE),"")</f>
        <v>42705</v>
      </c>
      <c r="N235" s="1062">
        <f>IFERROR(VLOOKUP($A235,'2018'!$A:$BB,12,FALSE),"")</f>
        <v>15</v>
      </c>
      <c r="O235" s="1055" t="str">
        <f>IFERROR(VLOOKUP($A235,'2018'!$A:$BB,13,FALSE),"")</f>
        <v xml:space="preserve">IGOE </v>
      </c>
      <c r="P235" s="1055" t="str">
        <f>IFERROR(VLOOKUP($A235,'2018'!$A:$BB,14,FALSE),"")</f>
        <v xml:space="preserve">Maestro </v>
      </c>
      <c r="Q235" s="1055" t="str">
        <f>IFERROR(VLOOKUP($A235,'2018'!$A:$BB,16,FALSE),"")</f>
        <v>N/A - TASC</v>
      </c>
      <c r="R235" s="1055" t="str">
        <f>IFERROR(VLOOKUP($A235,'2018'!$A:$BB,17,FALSE),"")</f>
        <v>Optum Health</v>
      </c>
      <c r="S235" s="1062" t="str">
        <f>IFERROR(VLOOKUP($A235,'2018'!$A:$BB,20,FALSE),"")</f>
        <v>SCAL</v>
      </c>
      <c r="T235" s="1062" t="str">
        <f>IFERROR(VLOOKUP($A235,'2018'!$A:$BB,21,FALSE),"")</f>
        <v>Group B (34-44)</v>
      </c>
      <c r="U235" s="1062" t="str">
        <f>IFERROR(VLOOKUP($A235,'2018'!$A:$BB,22,FALSE),"")</f>
        <v>Expanded</v>
      </c>
      <c r="V235" s="1062" t="str">
        <f>IFERROR(VLOOKUP($A235,'2018'!$A:$BB,23,FALSE),"")</f>
        <v>Advantage</v>
      </c>
      <c r="W235" s="1062" t="str">
        <f>IFERROR(VLOOKUP($A235,'2018'!$A:$BB,24,FALSE),"")</f>
        <v>No</v>
      </c>
      <c r="X235" s="1062" t="str">
        <f>IFERROR(VLOOKUP($A235,'2018'!$A:$BB,41,FALSE),"")</f>
        <v>Region 2</v>
      </c>
      <c r="Y235" s="1062" t="str">
        <f>IFERROR(VLOOKUP($A235,'2018'!$A:$BB,42,FALSE),"")</f>
        <v>(25-49)</v>
      </c>
      <c r="Z235" s="1062" t="str">
        <f>IFERROR(VLOOKUP($A235,'2018'!$A:$BB,45,FALSE),"")</f>
        <v xml:space="preserve"> (2-49)</v>
      </c>
      <c r="AA235" s="731">
        <v>2018</v>
      </c>
      <c r="AB235" s="733" t="s">
        <v>3877</v>
      </c>
      <c r="AC235" s="734" t="s">
        <v>317</v>
      </c>
      <c r="AD235" s="734" t="s">
        <v>3648</v>
      </c>
      <c r="AE235" s="734" t="s">
        <v>307</v>
      </c>
      <c r="AF235" s="734" t="s">
        <v>113</v>
      </c>
      <c r="AG235" s="732" t="s">
        <v>3981</v>
      </c>
      <c r="AH235" s="732" t="s">
        <v>3977</v>
      </c>
      <c r="AI235" s="734">
        <v>16</v>
      </c>
      <c r="AJ235" s="748" t="s">
        <v>3985</v>
      </c>
      <c r="AK235" s="757">
        <v>909678</v>
      </c>
      <c r="AL235" s="756">
        <v>733</v>
      </c>
      <c r="AM235" s="755">
        <v>909678</v>
      </c>
      <c r="AN235" s="756">
        <v>734</v>
      </c>
      <c r="AO235" s="776">
        <f t="shared" si="57"/>
        <v>909678</v>
      </c>
      <c r="AP235" s="754">
        <f t="shared" si="46"/>
        <v>735</v>
      </c>
      <c r="AQ235" s="771" t="s">
        <v>3979</v>
      </c>
      <c r="AR235" s="732" t="s">
        <v>2661</v>
      </c>
      <c r="AS235" s="735"/>
      <c r="AT235" s="735"/>
      <c r="AU235" s="732" t="s">
        <v>3980</v>
      </c>
      <c r="AV235" s="735"/>
      <c r="AW235" s="735"/>
    </row>
    <row r="236" spans="1:49">
      <c r="A236" s="738"/>
      <c r="B236" s="738"/>
      <c r="C236" s="738"/>
      <c r="D236" s="738"/>
      <c r="E236" s="738"/>
      <c r="F236" s="1059" t="str">
        <f>IFERROR(VLOOKUP($A236,'2018'!$A:$BB,3,FALSE),"")</f>
        <v/>
      </c>
      <c r="G236" s="1055" t="str">
        <f>IFERROR(VLOOKUP($A236,'2018'!$A:$BB,4,FALSE),"")</f>
        <v/>
      </c>
      <c r="H236" s="1055" t="str">
        <f>IFERROR(VLOOKUP($A236,'2018'!$A:$BB,5,FALSE),"")</f>
        <v/>
      </c>
      <c r="I236" s="1055" t="str">
        <f>IFERROR(VLOOKUP($A236,'2018'!$A:$BB,6,FALSE),"")</f>
        <v/>
      </c>
      <c r="J236" s="1055" t="str">
        <f>IFERROR(VLOOKUP($A236,'2018'!$A:$BB,7,FALSE),"")</f>
        <v/>
      </c>
      <c r="K236" s="1055" t="str">
        <f>IFERROR(VLOOKUP($A236,'2018'!$A:$BB,8,FALSE),"")</f>
        <v/>
      </c>
      <c r="L236" s="1062" t="str">
        <f>IFERROR(VLOOKUP($A236,'2018'!$A:$BB,9,FALSE),"")</f>
        <v/>
      </c>
      <c r="M236" s="1067" t="str">
        <f>IFERROR(VLOOKUP($A236,'2018'!$A:$BB,10,FALSE),"")</f>
        <v/>
      </c>
      <c r="N236" s="1062" t="str">
        <f>IFERROR(VLOOKUP($A236,'2018'!$A:$BB,12,FALSE),"")</f>
        <v/>
      </c>
      <c r="O236" s="1055" t="str">
        <f>IFERROR(VLOOKUP($A236,'2018'!$A:$BB,13,FALSE),"")</f>
        <v/>
      </c>
      <c r="P236" s="1055" t="str">
        <f>IFERROR(VLOOKUP($A236,'2018'!$A:$BB,14,FALSE),"")</f>
        <v/>
      </c>
      <c r="Q236" s="1055" t="str">
        <f>IFERROR(VLOOKUP($A236,'2018'!$A:$BB,16,FALSE),"")</f>
        <v/>
      </c>
      <c r="R236" s="1055" t="str">
        <f>IFERROR(VLOOKUP($A236,'2018'!$A:$BB,17,FALSE),"")</f>
        <v/>
      </c>
      <c r="S236" s="1062" t="str">
        <f>IFERROR(VLOOKUP($A236,'2018'!$A:$BB,20,FALSE),"")</f>
        <v/>
      </c>
      <c r="T236" s="1062" t="str">
        <f>IFERROR(VLOOKUP($A236,'2018'!$A:$BB,21,FALSE),"")</f>
        <v/>
      </c>
      <c r="U236" s="1062" t="str">
        <f>IFERROR(VLOOKUP($A236,'2018'!$A:$BB,22,FALSE),"")</f>
        <v/>
      </c>
      <c r="V236" s="1062" t="str">
        <f>IFERROR(VLOOKUP($A236,'2018'!$A:$BB,23,FALSE),"")</f>
        <v/>
      </c>
      <c r="W236" s="1062" t="str">
        <f>IFERROR(VLOOKUP($A236,'2018'!$A:$BB,24,FALSE),"")</f>
        <v/>
      </c>
      <c r="X236" s="1062" t="str">
        <f>IFERROR(VLOOKUP($A236,'2018'!$A:$BB,41,FALSE),"")</f>
        <v/>
      </c>
      <c r="Y236" s="1062" t="str">
        <f>IFERROR(VLOOKUP($A236,'2018'!$A:$BB,42,FALSE),"")</f>
        <v/>
      </c>
      <c r="Z236" s="1062" t="str">
        <f>IFERROR(VLOOKUP($A236,'2018'!$A:$BB,45,FALSE),"")</f>
        <v/>
      </c>
      <c r="AA236" s="727"/>
      <c r="AB236" s="728"/>
      <c r="AC236" s="727"/>
      <c r="AD236" s="727"/>
      <c r="AE236" s="727"/>
      <c r="AF236" s="727"/>
      <c r="AG236" s="726"/>
      <c r="AH236" s="726"/>
      <c r="AI236" s="727"/>
      <c r="AJ236" s="747"/>
      <c r="AK236" s="753"/>
      <c r="AL236" s="754"/>
      <c r="AM236" s="753"/>
      <c r="AN236" s="754"/>
      <c r="AO236" s="776"/>
      <c r="AP236" s="754"/>
      <c r="AQ236" s="770"/>
      <c r="AR236" s="726"/>
      <c r="AS236" s="726"/>
      <c r="AT236" s="726"/>
      <c r="AU236" s="726"/>
      <c r="AV236" s="726"/>
      <c r="AW236" s="726"/>
    </row>
    <row r="237" spans="1:49">
      <c r="A237" s="736" t="s">
        <v>347</v>
      </c>
      <c r="B237" s="736" t="s">
        <v>347</v>
      </c>
      <c r="C237" s="736"/>
      <c r="D237" s="736" t="s">
        <v>4190</v>
      </c>
      <c r="E237" s="736" t="s">
        <v>4190</v>
      </c>
      <c r="F237" s="1059">
        <f>IFERROR(VLOOKUP($A237,'2018'!$A:$BB,3,FALSE),"")</f>
        <v>821490132</v>
      </c>
      <c r="G237" s="1055" t="str">
        <f>IFERROR(VLOOKUP($A237,'2018'!$A:$BB,4,FALSE),"")</f>
        <v>10578 Science Center Drive, Suite 200
San Diego, CA 92121</v>
      </c>
      <c r="H237" s="1055" t="str">
        <f>IFERROR(VLOOKUP($A237,'2018'!$A:$BB,5,FALSE),"")</f>
        <v>Anne Song
(503) 679-8967
asong@pipelinetherapeutics.com</v>
      </c>
      <c r="I237" s="1055" t="str">
        <f>IFERROR(VLOOKUP($A237,'2018'!$A:$BB,6,FALSE),"")</f>
        <v>Anne Song
(503) 679-8967
asong@pipelinetherapeutics.com</v>
      </c>
      <c r="J237" s="1055" t="str">
        <f>IFERROR(VLOOKUP($A237,'2018'!$A:$BB,7,FALSE),"")</f>
        <v>HUB (San Diego)</v>
      </c>
      <c r="K237" s="1055" t="str">
        <f>IFERROR(VLOOKUP($A237,'2018'!$A:$BB,8,FALSE),"")</f>
        <v>Account Managed by HUB SD Team
Producer - Bo Lebherz
Service Lead - Michelle Brady</v>
      </c>
      <c r="L237" s="1062" t="str">
        <f>IFERROR(VLOOKUP($A237,'2018'!$A:$BB,9,FALSE),"")</f>
        <v>New</v>
      </c>
      <c r="M237" s="1067">
        <f>IFERROR(VLOOKUP($A237,'2018'!$A:$BB,10,FALSE),"")</f>
        <v>43009</v>
      </c>
      <c r="N237" s="1062">
        <f>IFERROR(VLOOKUP($A237,'2018'!$A:$BB,12,FALSE),"")</f>
        <v>6</v>
      </c>
      <c r="O237" s="1055" t="str">
        <f>IFERROR(VLOOKUP($A237,'2018'!$A:$BB,13,FALSE),"")</f>
        <v xml:space="preserve">IGOE </v>
      </c>
      <c r="P237" s="1055" t="str">
        <f>IFERROR(VLOOKUP($A237,'2018'!$A:$BB,14,FALSE),"")</f>
        <v xml:space="preserve">Zuman </v>
      </c>
      <c r="Q237" s="1055" t="str">
        <f>IFERROR(VLOOKUP($A237,'2018'!$A:$BB,16,FALSE),"")</f>
        <v>N/A</v>
      </c>
      <c r="R237" s="1055" t="str">
        <f>IFERROR(VLOOKUP($A237,'2018'!$A:$BB,17,FALSE),"")</f>
        <v>N/A</v>
      </c>
      <c r="S237" s="1062" t="str">
        <f>IFERROR(VLOOKUP($A237,'2018'!$A:$BB,20,FALSE),"")</f>
        <v>SCAL</v>
      </c>
      <c r="T237" s="1062" t="str">
        <f>IFERROR(VLOOKUP($A237,'2018'!$A:$BB,21,FALSE),"")</f>
        <v>Group B (34-44)</v>
      </c>
      <c r="U237" s="1062" t="str">
        <f>IFERROR(VLOOKUP($A237,'2018'!$A:$BB,22,FALSE),"")</f>
        <v>Expanded</v>
      </c>
      <c r="V237" s="1062" t="str">
        <f>IFERROR(VLOOKUP($A237,'2018'!$A:$BB,23,FALSE),"")</f>
        <v>Advantage</v>
      </c>
      <c r="W237" s="1062" t="str">
        <f>IFERROR(VLOOKUP($A237,'2018'!$A:$BB,24,FALSE),"")</f>
        <v>No</v>
      </c>
      <c r="X237" s="1062" t="str">
        <f>IFERROR(VLOOKUP($A237,'2018'!$A:$BB,41,FALSE),"")</f>
        <v>Region 2</v>
      </c>
      <c r="Y237" s="1062" t="str">
        <f>IFERROR(VLOOKUP($A237,'2018'!$A:$BB,42,FALSE),"")</f>
        <v>(2-9)</v>
      </c>
      <c r="Z237" s="1062" t="str">
        <f>IFERROR(VLOOKUP($A237,'2018'!$A:$BB,45,FALSE),"")</f>
        <v xml:space="preserve"> (2-49)</v>
      </c>
      <c r="AA237" s="731">
        <v>2018</v>
      </c>
      <c r="AB237" s="733" t="s">
        <v>4134</v>
      </c>
      <c r="AC237" s="734" t="s">
        <v>317</v>
      </c>
      <c r="AD237" s="734" t="s">
        <v>3648</v>
      </c>
      <c r="AE237" s="734" t="s">
        <v>307</v>
      </c>
      <c r="AF237" s="734" t="s">
        <v>113</v>
      </c>
      <c r="AG237" s="732" t="s">
        <v>3962</v>
      </c>
      <c r="AH237" s="732" t="s">
        <v>3963</v>
      </c>
      <c r="AI237" s="734">
        <v>1</v>
      </c>
      <c r="AJ237" s="748" t="s">
        <v>3998</v>
      </c>
      <c r="AK237" s="758">
        <v>260065</v>
      </c>
      <c r="AL237" s="756">
        <v>166</v>
      </c>
      <c r="AM237" s="758">
        <v>260066</v>
      </c>
      <c r="AN237" s="756">
        <v>167</v>
      </c>
      <c r="AO237" s="776">
        <f>AM237+1</f>
        <v>260067</v>
      </c>
      <c r="AP237" s="754">
        <f>AN237+1</f>
        <v>168</v>
      </c>
      <c r="AQ237" s="771" t="s">
        <v>3979</v>
      </c>
      <c r="AR237" s="732" t="s">
        <v>2661</v>
      </c>
      <c r="AS237" s="735"/>
      <c r="AT237" s="735"/>
      <c r="AU237" s="732" t="s">
        <v>3980</v>
      </c>
      <c r="AV237" s="735"/>
      <c r="AW237" s="735"/>
    </row>
    <row r="238" spans="1:49" s="739" customFormat="1">
      <c r="A238" s="736" t="s">
        <v>347</v>
      </c>
      <c r="B238" s="736" t="s">
        <v>347</v>
      </c>
      <c r="C238" s="736"/>
      <c r="D238" s="736" t="s">
        <v>4190</v>
      </c>
      <c r="E238" s="736" t="s">
        <v>4190</v>
      </c>
      <c r="F238" s="1059">
        <f>IFERROR(VLOOKUP($A238,'2018'!$A:$BB,3,FALSE),"")</f>
        <v>821490132</v>
      </c>
      <c r="G238" s="1055" t="str">
        <f>IFERROR(VLOOKUP($A238,'2018'!$A:$BB,4,FALSE),"")</f>
        <v>10578 Science Center Drive, Suite 200
San Diego, CA 92121</v>
      </c>
      <c r="H238" s="1055" t="str">
        <f>IFERROR(VLOOKUP($A238,'2018'!$A:$BB,5,FALSE),"")</f>
        <v>Anne Song
(503) 679-8967
asong@pipelinetherapeutics.com</v>
      </c>
      <c r="I238" s="1055" t="str">
        <f>IFERROR(VLOOKUP($A238,'2018'!$A:$BB,6,FALSE),"")</f>
        <v>Anne Song
(503) 679-8967
asong@pipelinetherapeutics.com</v>
      </c>
      <c r="J238" s="1055" t="str">
        <f>IFERROR(VLOOKUP($A238,'2018'!$A:$BB,7,FALSE),"")</f>
        <v>HUB (San Diego)</v>
      </c>
      <c r="K238" s="1055" t="str">
        <f>IFERROR(VLOOKUP($A238,'2018'!$A:$BB,8,FALSE),"")</f>
        <v>Account Managed by HUB SD Team
Producer - Bo Lebherz
Service Lead - Michelle Brady</v>
      </c>
      <c r="L238" s="1062" t="str">
        <f>IFERROR(VLOOKUP($A238,'2018'!$A:$BB,9,FALSE),"")</f>
        <v>New</v>
      </c>
      <c r="M238" s="1067">
        <f>IFERROR(VLOOKUP($A238,'2018'!$A:$BB,10,FALSE),"")</f>
        <v>43009</v>
      </c>
      <c r="N238" s="1062">
        <f>IFERROR(VLOOKUP($A238,'2018'!$A:$BB,12,FALSE),"")</f>
        <v>6</v>
      </c>
      <c r="O238" s="1055" t="str">
        <f>IFERROR(VLOOKUP($A238,'2018'!$A:$BB,13,FALSE),"")</f>
        <v xml:space="preserve">IGOE </v>
      </c>
      <c r="P238" s="1055" t="str">
        <f>IFERROR(VLOOKUP($A238,'2018'!$A:$BB,14,FALSE),"")</f>
        <v xml:space="preserve">Zuman </v>
      </c>
      <c r="Q238" s="1055" t="str">
        <f>IFERROR(VLOOKUP($A238,'2018'!$A:$BB,16,FALSE),"")</f>
        <v>N/A</v>
      </c>
      <c r="R238" s="1055" t="str">
        <f>IFERROR(VLOOKUP($A238,'2018'!$A:$BB,17,FALSE),"")</f>
        <v>N/A</v>
      </c>
      <c r="S238" s="1062" t="str">
        <f>IFERROR(VLOOKUP($A238,'2018'!$A:$BB,20,FALSE),"")</f>
        <v>SCAL</v>
      </c>
      <c r="T238" s="1062" t="str">
        <f>IFERROR(VLOOKUP($A238,'2018'!$A:$BB,21,FALSE),"")</f>
        <v>Group B (34-44)</v>
      </c>
      <c r="U238" s="1062" t="str">
        <f>IFERROR(VLOOKUP($A238,'2018'!$A:$BB,22,FALSE),"")</f>
        <v>Expanded</v>
      </c>
      <c r="V238" s="1062" t="str">
        <f>IFERROR(VLOOKUP($A238,'2018'!$A:$BB,23,FALSE),"")</f>
        <v>Advantage</v>
      </c>
      <c r="W238" s="1062" t="str">
        <f>IFERROR(VLOOKUP($A238,'2018'!$A:$BB,24,FALSE),"")</f>
        <v>No</v>
      </c>
      <c r="X238" s="1062" t="str">
        <f>IFERROR(VLOOKUP($A238,'2018'!$A:$BB,41,FALSE),"")</f>
        <v>Region 2</v>
      </c>
      <c r="Y238" s="1062" t="str">
        <f>IFERROR(VLOOKUP($A238,'2018'!$A:$BB,42,FALSE),"")</f>
        <v>(2-9)</v>
      </c>
      <c r="Z238" s="1062" t="str">
        <f>IFERROR(VLOOKUP($A238,'2018'!$A:$BB,45,FALSE),"")</f>
        <v xml:space="preserve"> (2-49)</v>
      </c>
      <c r="AA238" s="731">
        <v>2018</v>
      </c>
      <c r="AB238" s="733" t="s">
        <v>4134</v>
      </c>
      <c r="AC238" s="734" t="s">
        <v>317</v>
      </c>
      <c r="AD238" s="734" t="s">
        <v>3648</v>
      </c>
      <c r="AE238" s="734" t="s">
        <v>307</v>
      </c>
      <c r="AF238" s="734" t="s">
        <v>113</v>
      </c>
      <c r="AG238" s="732" t="s">
        <v>3972</v>
      </c>
      <c r="AH238" s="732" t="s">
        <v>3973</v>
      </c>
      <c r="AI238" s="734">
        <v>7</v>
      </c>
      <c r="AJ238" s="748" t="s">
        <v>4001</v>
      </c>
      <c r="AK238" s="757">
        <v>909678</v>
      </c>
      <c r="AL238" s="756">
        <v>337</v>
      </c>
      <c r="AM238" s="755">
        <v>909678</v>
      </c>
      <c r="AN238" s="756">
        <v>338</v>
      </c>
      <c r="AO238" s="776">
        <f t="shared" ref="AO238:AO239" si="58">AM238</f>
        <v>909678</v>
      </c>
      <c r="AP238" s="754">
        <f>AN238+1</f>
        <v>339</v>
      </c>
      <c r="AQ238" s="771" t="s">
        <v>3979</v>
      </c>
      <c r="AR238" s="732" t="s">
        <v>2661</v>
      </c>
      <c r="AS238" s="735"/>
      <c r="AT238" s="735"/>
      <c r="AU238" s="732" t="s">
        <v>3980</v>
      </c>
      <c r="AV238" s="735"/>
      <c r="AW238" s="735"/>
    </row>
    <row r="239" spans="1:49" s="739" customFormat="1">
      <c r="A239" s="736" t="s">
        <v>347</v>
      </c>
      <c r="B239" s="736" t="s">
        <v>347</v>
      </c>
      <c r="C239" s="736"/>
      <c r="D239" s="736" t="s">
        <v>4190</v>
      </c>
      <c r="E239" s="736" t="s">
        <v>4190</v>
      </c>
      <c r="F239" s="1059">
        <f>IFERROR(VLOOKUP($A239,'2018'!$A:$BB,3,FALSE),"")</f>
        <v>821490132</v>
      </c>
      <c r="G239" s="1055" t="str">
        <f>IFERROR(VLOOKUP($A239,'2018'!$A:$BB,4,FALSE),"")</f>
        <v>10578 Science Center Drive, Suite 200
San Diego, CA 92121</v>
      </c>
      <c r="H239" s="1055" t="str">
        <f>IFERROR(VLOOKUP($A239,'2018'!$A:$BB,5,FALSE),"")</f>
        <v>Anne Song
(503) 679-8967
asong@pipelinetherapeutics.com</v>
      </c>
      <c r="I239" s="1055" t="str">
        <f>IFERROR(VLOOKUP($A239,'2018'!$A:$BB,6,FALSE),"")</f>
        <v>Anne Song
(503) 679-8967
asong@pipelinetherapeutics.com</v>
      </c>
      <c r="J239" s="1055" t="str">
        <f>IFERROR(VLOOKUP($A239,'2018'!$A:$BB,7,FALSE),"")</f>
        <v>HUB (San Diego)</v>
      </c>
      <c r="K239" s="1055" t="str">
        <f>IFERROR(VLOOKUP($A239,'2018'!$A:$BB,8,FALSE),"")</f>
        <v>Account Managed by HUB SD Team
Producer - Bo Lebherz
Service Lead - Michelle Brady</v>
      </c>
      <c r="L239" s="1062" t="str">
        <f>IFERROR(VLOOKUP($A239,'2018'!$A:$BB,9,FALSE),"")</f>
        <v>New</v>
      </c>
      <c r="M239" s="1067">
        <f>IFERROR(VLOOKUP($A239,'2018'!$A:$BB,10,FALSE),"")</f>
        <v>43009</v>
      </c>
      <c r="N239" s="1062">
        <f>IFERROR(VLOOKUP($A239,'2018'!$A:$BB,12,FALSE),"")</f>
        <v>6</v>
      </c>
      <c r="O239" s="1055" t="str">
        <f>IFERROR(VLOOKUP($A239,'2018'!$A:$BB,13,FALSE),"")</f>
        <v xml:space="preserve">IGOE </v>
      </c>
      <c r="P239" s="1055" t="str">
        <f>IFERROR(VLOOKUP($A239,'2018'!$A:$BB,14,FALSE),"")</f>
        <v xml:space="preserve">Zuman </v>
      </c>
      <c r="Q239" s="1055" t="str">
        <f>IFERROR(VLOOKUP($A239,'2018'!$A:$BB,16,FALSE),"")</f>
        <v>N/A</v>
      </c>
      <c r="R239" s="1055" t="str">
        <f>IFERROR(VLOOKUP($A239,'2018'!$A:$BB,17,FALSE),"")</f>
        <v>N/A</v>
      </c>
      <c r="S239" s="1062" t="str">
        <f>IFERROR(VLOOKUP($A239,'2018'!$A:$BB,20,FALSE),"")</f>
        <v>SCAL</v>
      </c>
      <c r="T239" s="1062" t="str">
        <f>IFERROR(VLOOKUP($A239,'2018'!$A:$BB,21,FALSE),"")</f>
        <v>Group B (34-44)</v>
      </c>
      <c r="U239" s="1062" t="str">
        <f>IFERROR(VLOOKUP($A239,'2018'!$A:$BB,22,FALSE),"")</f>
        <v>Expanded</v>
      </c>
      <c r="V239" s="1062" t="str">
        <f>IFERROR(VLOOKUP($A239,'2018'!$A:$BB,23,FALSE),"")</f>
        <v>Advantage</v>
      </c>
      <c r="W239" s="1062" t="str">
        <f>IFERROR(VLOOKUP($A239,'2018'!$A:$BB,24,FALSE),"")</f>
        <v>No</v>
      </c>
      <c r="X239" s="1062" t="str">
        <f>IFERROR(VLOOKUP($A239,'2018'!$A:$BB,41,FALSE),"")</f>
        <v>Region 2</v>
      </c>
      <c r="Y239" s="1062" t="str">
        <f>IFERROR(VLOOKUP($A239,'2018'!$A:$BB,42,FALSE),"")</f>
        <v>(2-9)</v>
      </c>
      <c r="Z239" s="1062" t="str">
        <f>IFERROR(VLOOKUP($A239,'2018'!$A:$BB,45,FALSE),"")</f>
        <v xml:space="preserve"> (2-49)</v>
      </c>
      <c r="AA239" s="731">
        <v>2018</v>
      </c>
      <c r="AB239" s="733" t="s">
        <v>4134</v>
      </c>
      <c r="AC239" s="734" t="s">
        <v>317</v>
      </c>
      <c r="AD239" s="734" t="s">
        <v>3648</v>
      </c>
      <c r="AE239" s="734" t="s">
        <v>307</v>
      </c>
      <c r="AF239" s="734" t="s">
        <v>113</v>
      </c>
      <c r="AG239" s="732" t="s">
        <v>3972</v>
      </c>
      <c r="AH239" s="732" t="s">
        <v>3977</v>
      </c>
      <c r="AI239" s="734">
        <v>13</v>
      </c>
      <c r="AJ239" s="748" t="s">
        <v>4004</v>
      </c>
      <c r="AK239" s="757">
        <v>909678</v>
      </c>
      <c r="AL239" s="756">
        <v>589</v>
      </c>
      <c r="AM239" s="755">
        <v>909678</v>
      </c>
      <c r="AN239" s="756">
        <v>590</v>
      </c>
      <c r="AO239" s="776">
        <f t="shared" si="58"/>
        <v>909678</v>
      </c>
      <c r="AP239" s="754">
        <f>AN239+1</f>
        <v>591</v>
      </c>
      <c r="AQ239" s="771" t="s">
        <v>3979</v>
      </c>
      <c r="AR239" s="732" t="s">
        <v>2661</v>
      </c>
      <c r="AS239" s="735"/>
      <c r="AT239" s="735"/>
      <c r="AU239" s="732" t="s">
        <v>3980</v>
      </c>
      <c r="AV239" s="735"/>
      <c r="AW239" s="735"/>
    </row>
    <row r="240" spans="1:49" s="739" customFormat="1">
      <c r="A240" s="736"/>
      <c r="B240" s="736"/>
      <c r="C240" s="736"/>
      <c r="D240" s="736"/>
      <c r="E240" s="736"/>
      <c r="F240" s="1059" t="str">
        <f>IFERROR(VLOOKUP($A240,'2018'!$A:$BB,3,FALSE),"")</f>
        <v/>
      </c>
      <c r="G240" s="1055" t="str">
        <f>IFERROR(VLOOKUP($A240,'2018'!$A:$BB,4,FALSE),"")</f>
        <v/>
      </c>
      <c r="H240" s="1055" t="str">
        <f>IFERROR(VLOOKUP($A240,'2018'!$A:$BB,5,FALSE),"")</f>
        <v/>
      </c>
      <c r="I240" s="1055" t="str">
        <f>IFERROR(VLOOKUP($A240,'2018'!$A:$BB,6,FALSE),"")</f>
        <v/>
      </c>
      <c r="J240" s="1055" t="str">
        <f>IFERROR(VLOOKUP($A240,'2018'!$A:$BB,7,FALSE),"")</f>
        <v/>
      </c>
      <c r="K240" s="1055" t="str">
        <f>IFERROR(VLOOKUP($A240,'2018'!$A:$BB,8,FALSE),"")</f>
        <v/>
      </c>
      <c r="L240" s="1062" t="str">
        <f>IFERROR(VLOOKUP($A240,'2018'!$A:$BB,9,FALSE),"")</f>
        <v/>
      </c>
      <c r="M240" s="1067" t="str">
        <f>IFERROR(VLOOKUP($A240,'2018'!$A:$BB,10,FALSE),"")</f>
        <v/>
      </c>
      <c r="N240" s="1062" t="str">
        <f>IFERROR(VLOOKUP($A240,'2018'!$A:$BB,12,FALSE),"")</f>
        <v/>
      </c>
      <c r="O240" s="1055" t="str">
        <f>IFERROR(VLOOKUP($A240,'2018'!$A:$BB,13,FALSE),"")</f>
        <v/>
      </c>
      <c r="P240" s="1055" t="str">
        <f>IFERROR(VLOOKUP($A240,'2018'!$A:$BB,14,FALSE),"")</f>
        <v/>
      </c>
      <c r="Q240" s="1055" t="str">
        <f>IFERROR(VLOOKUP($A240,'2018'!$A:$BB,16,FALSE),"")</f>
        <v/>
      </c>
      <c r="R240" s="1055" t="str">
        <f>IFERROR(VLOOKUP($A240,'2018'!$A:$BB,17,FALSE),"")</f>
        <v/>
      </c>
      <c r="S240" s="1062" t="str">
        <f>IFERROR(VLOOKUP($A240,'2018'!$A:$BB,20,FALSE),"")</f>
        <v/>
      </c>
      <c r="T240" s="1062" t="str">
        <f>IFERROR(VLOOKUP($A240,'2018'!$A:$BB,21,FALSE),"")</f>
        <v/>
      </c>
      <c r="U240" s="1062" t="str">
        <f>IFERROR(VLOOKUP($A240,'2018'!$A:$BB,22,FALSE),"")</f>
        <v/>
      </c>
      <c r="V240" s="1062" t="str">
        <f>IFERROR(VLOOKUP($A240,'2018'!$A:$BB,23,FALSE),"")</f>
        <v/>
      </c>
      <c r="W240" s="1062" t="str">
        <f>IFERROR(VLOOKUP($A240,'2018'!$A:$BB,24,FALSE),"")</f>
        <v/>
      </c>
      <c r="X240" s="1062" t="str">
        <f>IFERROR(VLOOKUP($A240,'2018'!$A:$BB,41,FALSE),"")</f>
        <v/>
      </c>
      <c r="Y240" s="1062" t="str">
        <f>IFERROR(VLOOKUP($A240,'2018'!$A:$BB,42,FALSE),"")</f>
        <v/>
      </c>
      <c r="Z240" s="1062" t="str">
        <f>IFERROR(VLOOKUP($A240,'2018'!$A:$BB,45,FALSE),"")</f>
        <v/>
      </c>
      <c r="AA240" s="741"/>
      <c r="AB240" s="733"/>
      <c r="AC240" s="734"/>
      <c r="AD240" s="734"/>
      <c r="AE240" s="734"/>
      <c r="AF240" s="734"/>
      <c r="AG240" s="732"/>
      <c r="AH240" s="732"/>
      <c r="AI240" s="734"/>
      <c r="AJ240" s="748"/>
      <c r="AK240" s="758"/>
      <c r="AL240" s="756"/>
      <c r="AM240" s="753"/>
      <c r="AN240" s="754"/>
      <c r="AO240" s="776"/>
      <c r="AP240" s="754"/>
      <c r="AQ240" s="771"/>
      <c r="AR240" s="732"/>
      <c r="AS240" s="732"/>
      <c r="AT240" s="732"/>
      <c r="AU240" s="732"/>
      <c r="AV240" s="732"/>
      <c r="AW240" s="732"/>
    </row>
    <row r="241" spans="1:49">
      <c r="A241" s="738" t="s">
        <v>149</v>
      </c>
      <c r="B241" s="738" t="s">
        <v>4073</v>
      </c>
      <c r="C241" s="738"/>
      <c r="D241" s="738" t="s">
        <v>4191</v>
      </c>
      <c r="E241" s="738" t="s">
        <v>4191</v>
      </c>
      <c r="F241" s="1059">
        <f>IFERROR(VLOOKUP($A241,'2018'!$A:$BB,3,FALSE),"")</f>
        <v>943382925</v>
      </c>
      <c r="G241" s="1055" t="str">
        <f>IFERROR(VLOOKUP($A241,'2018'!$A:$BB,4,FALSE),"")</f>
        <v xml:space="preserve">91 Bolivar Drive 
Berkeley, CA 94710 </v>
      </c>
      <c r="H241" s="1055" t="str">
        <f>IFERROR(VLOOKUP($A241,'2018'!$A:$BB,5,FALSE),"")</f>
        <v xml:space="preserve">Kate Walker
415-254-6855
KWalker@plexxikon.com </v>
      </c>
      <c r="I241" s="1055" t="str">
        <f>IFERROR(VLOOKUP($A241,'2018'!$A:$BB,6,FALSE),"")</f>
        <v xml:space="preserve">Kate Walker
415-254-6855
KWalker@plexxikon.com </v>
      </c>
      <c r="J241" s="1055" t="str">
        <f>IFERROR(VLOOKUP($A241,'2018'!$A:$BB,7,FALSE),"")</f>
        <v>ABD</v>
      </c>
      <c r="K241" s="1055" t="str">
        <f>IFERROR(VLOOKUP($A241,'2018'!$A:$BB,8,FALSE),"")</f>
        <v>Account Managed by ABD Team
Producer - Faye Lewis
Faye.Lewis@theabdteam.com
Service Lead-Michelle Parker
Michelle.Parker@theabdteam.com</v>
      </c>
      <c r="L241" s="1062" t="str">
        <f>IFERROR(VLOOKUP($A241,'2018'!$A:$BB,9,FALSE),"")</f>
        <v>Renewal</v>
      </c>
      <c r="M241" s="1067">
        <f>IFERROR(VLOOKUP($A241,'2018'!$A:$BB,10,FALSE),"")</f>
        <v>42736</v>
      </c>
      <c r="N241" s="1062">
        <f>IFERROR(VLOOKUP($A241,'2018'!$A:$BB,12,FALSE),"")</f>
        <v>70</v>
      </c>
      <c r="O241" s="1055" t="str">
        <f>IFERROR(VLOOKUP($A241,'2018'!$A:$BB,13,FALSE),"")</f>
        <v xml:space="preserve">IGOE </v>
      </c>
      <c r="P241" s="1055" t="str">
        <f>IFERROR(VLOOKUP($A241,'2018'!$A:$BB,14,FALSE),"")</f>
        <v>Flock</v>
      </c>
      <c r="Q241" s="1055" t="str">
        <f>IFERROR(VLOOKUP($A241,'2018'!$A:$BB,16,FALSE),"")</f>
        <v>N/A</v>
      </c>
      <c r="R241" s="1055" t="str">
        <f>IFERROR(VLOOKUP($A241,'2018'!$A:$BB,17,FALSE),"")</f>
        <v>N/A</v>
      </c>
      <c r="S241" s="1062" t="str">
        <f>IFERROR(VLOOKUP($A241,'2018'!$A:$BB,20,FALSE),"")</f>
        <v>NCAL</v>
      </c>
      <c r="T241" s="1062" t="str">
        <f>IFERROR(VLOOKUP($A241,'2018'!$A:$BB,21,FALSE),"")</f>
        <v>Group C (44-54)</v>
      </c>
      <c r="U241" s="1062" t="str">
        <f>IFERROR(VLOOKUP($A241,'2018'!$A:$BB,22,FALSE),"")</f>
        <v>Expanded</v>
      </c>
      <c r="V241" s="1062" t="str">
        <f>IFERROR(VLOOKUP($A241,'2018'!$A:$BB,23,FALSE),"")</f>
        <v>Advantage</v>
      </c>
      <c r="W241" s="1062" t="str">
        <f>IFERROR(VLOOKUP($A241,'2018'!$A:$BB,24,FALSE),"")</f>
        <v>No</v>
      </c>
      <c r="X241" s="1062" t="str">
        <f>IFERROR(VLOOKUP($A241,'2018'!$A:$BB,41,FALSE),"")</f>
        <v xml:space="preserve"> Region 3</v>
      </c>
      <c r="Y241" s="1062" t="str">
        <f>IFERROR(VLOOKUP($A241,'2018'!$A:$BB,42,FALSE),"")</f>
        <v>(50-99)</v>
      </c>
      <c r="Z241" s="1062" t="str">
        <f>IFERROR(VLOOKUP($A241,'2018'!$A:$BB,45,FALSE),"")</f>
        <v>(50-99)</v>
      </c>
      <c r="AA241" s="730">
        <v>2018</v>
      </c>
      <c r="AB241" s="728" t="s">
        <v>3881</v>
      </c>
      <c r="AC241" s="727" t="s">
        <v>303</v>
      </c>
      <c r="AD241" s="727" t="s">
        <v>3656</v>
      </c>
      <c r="AE241" s="727" t="s">
        <v>307</v>
      </c>
      <c r="AF241" s="727" t="s">
        <v>113</v>
      </c>
      <c r="AG241" s="726" t="s">
        <v>3962</v>
      </c>
      <c r="AH241" s="726" t="s">
        <v>3963</v>
      </c>
      <c r="AI241" s="727">
        <v>3</v>
      </c>
      <c r="AJ241" s="747" t="s">
        <v>4021</v>
      </c>
      <c r="AK241" s="753">
        <v>260104</v>
      </c>
      <c r="AL241" s="754">
        <v>205</v>
      </c>
      <c r="AM241" s="753">
        <v>260105</v>
      </c>
      <c r="AN241" s="754">
        <v>206</v>
      </c>
      <c r="AO241" s="776">
        <f>AM241+1</f>
        <v>260106</v>
      </c>
      <c r="AP241" s="754">
        <f>AN241+1</f>
        <v>207</v>
      </c>
      <c r="AQ241" s="770"/>
      <c r="AR241" s="726" t="s">
        <v>2661</v>
      </c>
      <c r="AS241" s="726" t="s">
        <v>4074</v>
      </c>
      <c r="AT241" s="726">
        <v>2050205</v>
      </c>
      <c r="AU241" s="726" t="s">
        <v>3966</v>
      </c>
      <c r="AV241" s="726" t="s">
        <v>4058</v>
      </c>
      <c r="AW241" s="726">
        <v>2060206</v>
      </c>
    </row>
    <row r="242" spans="1:49">
      <c r="A242" s="738" t="s">
        <v>149</v>
      </c>
      <c r="B242" s="738" t="s">
        <v>4073</v>
      </c>
      <c r="C242" s="738"/>
      <c r="D242" s="738" t="s">
        <v>4191</v>
      </c>
      <c r="E242" s="738" t="s">
        <v>4191</v>
      </c>
      <c r="F242" s="1059">
        <f>IFERROR(VLOOKUP($A242,'2018'!$A:$BB,3,FALSE),"")</f>
        <v>943382925</v>
      </c>
      <c r="G242" s="1055" t="str">
        <f>IFERROR(VLOOKUP($A242,'2018'!$A:$BB,4,FALSE),"")</f>
        <v xml:space="preserve">91 Bolivar Drive 
Berkeley, CA 94710 </v>
      </c>
      <c r="H242" s="1055" t="str">
        <f>IFERROR(VLOOKUP($A242,'2018'!$A:$BB,5,FALSE),"")</f>
        <v xml:space="preserve">Kate Walker
415-254-6855
KWalker@plexxikon.com </v>
      </c>
      <c r="I242" s="1055" t="str">
        <f>IFERROR(VLOOKUP($A242,'2018'!$A:$BB,6,FALSE),"")</f>
        <v xml:space="preserve">Kate Walker
415-254-6855
KWalker@plexxikon.com </v>
      </c>
      <c r="J242" s="1055" t="str">
        <f>IFERROR(VLOOKUP($A242,'2018'!$A:$BB,7,FALSE),"")</f>
        <v>ABD</v>
      </c>
      <c r="K242" s="1055" t="str">
        <f>IFERROR(VLOOKUP($A242,'2018'!$A:$BB,8,FALSE),"")</f>
        <v>Account Managed by ABD Team
Producer - Faye Lewis
Faye.Lewis@theabdteam.com
Service Lead-Michelle Parker
Michelle.Parker@theabdteam.com</v>
      </c>
      <c r="L242" s="1062" t="str">
        <f>IFERROR(VLOOKUP($A242,'2018'!$A:$BB,9,FALSE),"")</f>
        <v>Renewal</v>
      </c>
      <c r="M242" s="1067">
        <f>IFERROR(VLOOKUP($A242,'2018'!$A:$BB,10,FALSE),"")</f>
        <v>42736</v>
      </c>
      <c r="N242" s="1062">
        <f>IFERROR(VLOOKUP($A242,'2018'!$A:$BB,12,FALSE),"")</f>
        <v>70</v>
      </c>
      <c r="O242" s="1055" t="str">
        <f>IFERROR(VLOOKUP($A242,'2018'!$A:$BB,13,FALSE),"")</f>
        <v xml:space="preserve">IGOE </v>
      </c>
      <c r="P242" s="1055" t="str">
        <f>IFERROR(VLOOKUP($A242,'2018'!$A:$BB,14,FALSE),"")</f>
        <v>Flock</v>
      </c>
      <c r="Q242" s="1055" t="str">
        <f>IFERROR(VLOOKUP($A242,'2018'!$A:$BB,16,FALSE),"")</f>
        <v>N/A</v>
      </c>
      <c r="R242" s="1055" t="str">
        <f>IFERROR(VLOOKUP($A242,'2018'!$A:$BB,17,FALSE),"")</f>
        <v>N/A</v>
      </c>
      <c r="S242" s="1062" t="str">
        <f>IFERROR(VLOOKUP($A242,'2018'!$A:$BB,20,FALSE),"")</f>
        <v>NCAL</v>
      </c>
      <c r="T242" s="1062" t="str">
        <f>IFERROR(VLOOKUP($A242,'2018'!$A:$BB,21,FALSE),"")</f>
        <v>Group C (44-54)</v>
      </c>
      <c r="U242" s="1062" t="str">
        <f>IFERROR(VLOOKUP($A242,'2018'!$A:$BB,22,FALSE),"")</f>
        <v>Expanded</v>
      </c>
      <c r="V242" s="1062" t="str">
        <f>IFERROR(VLOOKUP($A242,'2018'!$A:$BB,23,FALSE),"")</f>
        <v>Advantage</v>
      </c>
      <c r="W242" s="1062" t="str">
        <f>IFERROR(VLOOKUP($A242,'2018'!$A:$BB,24,FALSE),"")</f>
        <v>No</v>
      </c>
      <c r="X242" s="1062" t="str">
        <f>IFERROR(VLOOKUP($A242,'2018'!$A:$BB,41,FALSE),"")</f>
        <v xml:space="preserve"> Region 3</v>
      </c>
      <c r="Y242" s="1062" t="str">
        <f>IFERROR(VLOOKUP($A242,'2018'!$A:$BB,42,FALSE),"")</f>
        <v>(50-99)</v>
      </c>
      <c r="Z242" s="1062" t="str">
        <f>IFERROR(VLOOKUP($A242,'2018'!$A:$BB,45,FALSE),"")</f>
        <v>(50-99)</v>
      </c>
      <c r="AA242" s="730">
        <v>2018</v>
      </c>
      <c r="AB242" s="728" t="s">
        <v>3881</v>
      </c>
      <c r="AC242" s="727" t="s">
        <v>303</v>
      </c>
      <c r="AD242" s="727" t="s">
        <v>3656</v>
      </c>
      <c r="AE242" s="727" t="s">
        <v>307</v>
      </c>
      <c r="AF242" s="727" t="s">
        <v>113</v>
      </c>
      <c r="AG242" s="726" t="s">
        <v>3972</v>
      </c>
      <c r="AH242" s="726" t="s">
        <v>3973</v>
      </c>
      <c r="AI242" s="727">
        <v>7</v>
      </c>
      <c r="AJ242" s="747" t="s">
        <v>4001</v>
      </c>
      <c r="AK242" s="757">
        <v>909678</v>
      </c>
      <c r="AL242" s="754">
        <v>328</v>
      </c>
      <c r="AM242" s="755">
        <v>909678</v>
      </c>
      <c r="AN242" s="754">
        <v>329</v>
      </c>
      <c r="AO242" s="776">
        <f t="shared" ref="AO242:AO243" si="59">AM242</f>
        <v>909678</v>
      </c>
      <c r="AP242" s="754">
        <f>AN242+1</f>
        <v>330</v>
      </c>
      <c r="AQ242" s="770"/>
      <c r="AR242" s="726" t="s">
        <v>2661</v>
      </c>
      <c r="AS242" s="726" t="s">
        <v>4075</v>
      </c>
      <c r="AT242" s="726">
        <v>3280328</v>
      </c>
      <c r="AU242" s="726" t="s">
        <v>3966</v>
      </c>
      <c r="AV242" s="726" t="s">
        <v>4059</v>
      </c>
      <c r="AW242" s="726">
        <v>3290329</v>
      </c>
    </row>
    <row r="243" spans="1:49">
      <c r="A243" s="738" t="s">
        <v>149</v>
      </c>
      <c r="B243" s="736" t="s">
        <v>4073</v>
      </c>
      <c r="C243" s="736"/>
      <c r="D243" s="736" t="s">
        <v>4191</v>
      </c>
      <c r="E243" s="736" t="s">
        <v>4191</v>
      </c>
      <c r="F243" s="1059">
        <f>IFERROR(VLOOKUP($A243,'2018'!$A:$BB,3,FALSE),"")</f>
        <v>943382925</v>
      </c>
      <c r="G243" s="1055" t="str">
        <f>IFERROR(VLOOKUP($A243,'2018'!$A:$BB,4,FALSE),"")</f>
        <v xml:space="preserve">91 Bolivar Drive 
Berkeley, CA 94710 </v>
      </c>
      <c r="H243" s="1055" t="str">
        <f>IFERROR(VLOOKUP($A243,'2018'!$A:$BB,5,FALSE),"")</f>
        <v xml:space="preserve">Kate Walker
415-254-6855
KWalker@plexxikon.com </v>
      </c>
      <c r="I243" s="1055" t="str">
        <f>IFERROR(VLOOKUP($A243,'2018'!$A:$BB,6,FALSE),"")</f>
        <v xml:space="preserve">Kate Walker
415-254-6855
KWalker@plexxikon.com </v>
      </c>
      <c r="J243" s="1055" t="str">
        <f>IFERROR(VLOOKUP($A243,'2018'!$A:$BB,7,FALSE),"")</f>
        <v>ABD</v>
      </c>
      <c r="K243" s="1055" t="str">
        <f>IFERROR(VLOOKUP($A243,'2018'!$A:$BB,8,FALSE),"")</f>
        <v>Account Managed by ABD Team
Producer - Faye Lewis
Faye.Lewis@theabdteam.com
Service Lead-Michelle Parker
Michelle.Parker@theabdteam.com</v>
      </c>
      <c r="L243" s="1062" t="str">
        <f>IFERROR(VLOOKUP($A243,'2018'!$A:$BB,9,FALSE),"")</f>
        <v>Renewal</v>
      </c>
      <c r="M243" s="1067">
        <f>IFERROR(VLOOKUP($A243,'2018'!$A:$BB,10,FALSE),"")</f>
        <v>42736</v>
      </c>
      <c r="N243" s="1062">
        <f>IFERROR(VLOOKUP($A243,'2018'!$A:$BB,12,FALSE),"")</f>
        <v>70</v>
      </c>
      <c r="O243" s="1055" t="str">
        <f>IFERROR(VLOOKUP($A243,'2018'!$A:$BB,13,FALSE),"")</f>
        <v xml:space="preserve">IGOE </v>
      </c>
      <c r="P243" s="1055" t="str">
        <f>IFERROR(VLOOKUP($A243,'2018'!$A:$BB,14,FALSE),"")</f>
        <v>Flock</v>
      </c>
      <c r="Q243" s="1055" t="str">
        <f>IFERROR(VLOOKUP($A243,'2018'!$A:$BB,16,FALSE),"")</f>
        <v>N/A</v>
      </c>
      <c r="R243" s="1055" t="str">
        <f>IFERROR(VLOOKUP($A243,'2018'!$A:$BB,17,FALSE),"")</f>
        <v>N/A</v>
      </c>
      <c r="S243" s="1062" t="str">
        <f>IFERROR(VLOOKUP($A243,'2018'!$A:$BB,20,FALSE),"")</f>
        <v>NCAL</v>
      </c>
      <c r="T243" s="1062" t="str">
        <f>IFERROR(VLOOKUP($A243,'2018'!$A:$BB,21,FALSE),"")</f>
        <v>Group C (44-54)</v>
      </c>
      <c r="U243" s="1062" t="str">
        <f>IFERROR(VLOOKUP($A243,'2018'!$A:$BB,22,FALSE),"")</f>
        <v>Expanded</v>
      </c>
      <c r="V243" s="1062" t="str">
        <f>IFERROR(VLOOKUP($A243,'2018'!$A:$BB,23,FALSE),"")</f>
        <v>Advantage</v>
      </c>
      <c r="W243" s="1062" t="str">
        <f>IFERROR(VLOOKUP($A243,'2018'!$A:$BB,24,FALSE),"")</f>
        <v>No</v>
      </c>
      <c r="X243" s="1062" t="str">
        <f>IFERROR(VLOOKUP($A243,'2018'!$A:$BB,41,FALSE),"")</f>
        <v xml:space="preserve"> Region 3</v>
      </c>
      <c r="Y243" s="1062" t="str">
        <f>IFERROR(VLOOKUP($A243,'2018'!$A:$BB,42,FALSE),"")</f>
        <v>(50-99)</v>
      </c>
      <c r="Z243" s="1062" t="str">
        <f>IFERROR(VLOOKUP($A243,'2018'!$A:$BB,45,FALSE),"")</f>
        <v>(50-99)</v>
      </c>
      <c r="AA243" s="731">
        <v>2018</v>
      </c>
      <c r="AB243" s="733" t="s">
        <v>3881</v>
      </c>
      <c r="AC243" s="734" t="s">
        <v>303</v>
      </c>
      <c r="AD243" s="734" t="s">
        <v>3656</v>
      </c>
      <c r="AE243" s="734" t="s">
        <v>307</v>
      </c>
      <c r="AF243" s="734" t="s">
        <v>113</v>
      </c>
      <c r="AG243" s="732" t="s">
        <v>3972</v>
      </c>
      <c r="AH243" s="732" t="s">
        <v>3977</v>
      </c>
      <c r="AI243" s="734">
        <v>13</v>
      </c>
      <c r="AJ243" s="748" t="s">
        <v>4004</v>
      </c>
      <c r="AK243" s="757">
        <v>909678</v>
      </c>
      <c r="AL243" s="756">
        <v>580</v>
      </c>
      <c r="AM243" s="755">
        <v>909678</v>
      </c>
      <c r="AN243" s="756">
        <v>581</v>
      </c>
      <c r="AO243" s="776">
        <f t="shared" si="59"/>
        <v>909678</v>
      </c>
      <c r="AP243" s="754">
        <f>AN243+1</f>
        <v>582</v>
      </c>
      <c r="AQ243" s="771" t="s">
        <v>3979</v>
      </c>
      <c r="AR243" s="732" t="s">
        <v>2661</v>
      </c>
      <c r="AS243" s="735"/>
      <c r="AT243" s="735"/>
      <c r="AU243" s="732" t="s">
        <v>3980</v>
      </c>
      <c r="AV243" s="735"/>
      <c r="AW243" s="735"/>
    </row>
    <row r="244" spans="1:49">
      <c r="A244" s="738"/>
      <c r="B244" s="738"/>
      <c r="C244" s="738"/>
      <c r="D244" s="738"/>
      <c r="E244" s="738"/>
      <c r="F244" s="1059" t="str">
        <f>IFERROR(VLOOKUP($A244,'2018'!$A:$BB,3,FALSE),"")</f>
        <v/>
      </c>
      <c r="G244" s="1055" t="str">
        <f>IFERROR(VLOOKUP($A244,'2018'!$A:$BB,4,FALSE),"")</f>
        <v/>
      </c>
      <c r="H244" s="1055" t="str">
        <f>IFERROR(VLOOKUP($A244,'2018'!$A:$BB,5,FALSE),"")</f>
        <v/>
      </c>
      <c r="I244" s="1055" t="str">
        <f>IFERROR(VLOOKUP($A244,'2018'!$A:$BB,6,FALSE),"")</f>
        <v/>
      </c>
      <c r="J244" s="1055" t="str">
        <f>IFERROR(VLOOKUP($A244,'2018'!$A:$BB,7,FALSE),"")</f>
        <v/>
      </c>
      <c r="K244" s="1055" t="str">
        <f>IFERROR(VLOOKUP($A244,'2018'!$A:$BB,8,FALSE),"")</f>
        <v/>
      </c>
      <c r="L244" s="1062" t="str">
        <f>IFERROR(VLOOKUP($A244,'2018'!$A:$BB,9,FALSE),"")</f>
        <v/>
      </c>
      <c r="M244" s="1067" t="str">
        <f>IFERROR(VLOOKUP($A244,'2018'!$A:$BB,10,FALSE),"")</f>
        <v/>
      </c>
      <c r="N244" s="1062" t="str">
        <f>IFERROR(VLOOKUP($A244,'2018'!$A:$BB,12,FALSE),"")</f>
        <v/>
      </c>
      <c r="O244" s="1055" t="str">
        <f>IFERROR(VLOOKUP($A244,'2018'!$A:$BB,13,FALSE),"")</f>
        <v/>
      </c>
      <c r="P244" s="1055" t="str">
        <f>IFERROR(VLOOKUP($A244,'2018'!$A:$BB,14,FALSE),"")</f>
        <v/>
      </c>
      <c r="Q244" s="1055" t="str">
        <f>IFERROR(VLOOKUP($A244,'2018'!$A:$BB,16,FALSE),"")</f>
        <v/>
      </c>
      <c r="R244" s="1055" t="str">
        <f>IFERROR(VLOOKUP($A244,'2018'!$A:$BB,17,FALSE),"")</f>
        <v/>
      </c>
      <c r="S244" s="1062" t="str">
        <f>IFERROR(VLOOKUP($A244,'2018'!$A:$BB,20,FALSE),"")</f>
        <v/>
      </c>
      <c r="T244" s="1062" t="str">
        <f>IFERROR(VLOOKUP($A244,'2018'!$A:$BB,21,FALSE),"")</f>
        <v/>
      </c>
      <c r="U244" s="1062" t="str">
        <f>IFERROR(VLOOKUP($A244,'2018'!$A:$BB,22,FALSE),"")</f>
        <v/>
      </c>
      <c r="V244" s="1062" t="str">
        <f>IFERROR(VLOOKUP($A244,'2018'!$A:$BB,23,FALSE),"")</f>
        <v/>
      </c>
      <c r="W244" s="1062" t="str">
        <f>IFERROR(VLOOKUP($A244,'2018'!$A:$BB,24,FALSE),"")</f>
        <v/>
      </c>
      <c r="X244" s="1062" t="str">
        <f>IFERROR(VLOOKUP($A244,'2018'!$A:$BB,41,FALSE),"")</f>
        <v/>
      </c>
      <c r="Y244" s="1062" t="str">
        <f>IFERROR(VLOOKUP($A244,'2018'!$A:$BB,42,FALSE),"")</f>
        <v/>
      </c>
      <c r="Z244" s="1062" t="str">
        <f>IFERROR(VLOOKUP($A244,'2018'!$A:$BB,45,FALSE),"")</f>
        <v/>
      </c>
      <c r="AA244" s="727"/>
      <c r="AB244" s="728"/>
      <c r="AC244" s="727"/>
      <c r="AD244" s="727"/>
      <c r="AE244" s="727"/>
      <c r="AF244" s="727"/>
      <c r="AG244" s="726"/>
      <c r="AH244" s="726"/>
      <c r="AI244" s="727"/>
      <c r="AJ244" s="747"/>
      <c r="AK244" s="753"/>
      <c r="AL244" s="754"/>
      <c r="AM244" s="753"/>
      <c r="AN244" s="754"/>
      <c r="AO244" s="776"/>
      <c r="AP244" s="754"/>
      <c r="AQ244" s="770"/>
      <c r="AR244" s="726"/>
      <c r="AS244" s="726"/>
      <c r="AT244" s="726"/>
      <c r="AU244" s="726"/>
      <c r="AV244" s="726"/>
      <c r="AW244" s="726"/>
    </row>
    <row r="245" spans="1:49">
      <c r="A245" s="736" t="s">
        <v>4173</v>
      </c>
      <c r="B245" s="736" t="s">
        <v>4076</v>
      </c>
      <c r="C245" s="736" t="s">
        <v>4173</v>
      </c>
      <c r="D245" s="736"/>
      <c r="E245" s="736"/>
      <c r="F245" s="1059">
        <f>IFERROR(VLOOKUP($A245,'2018'!$A:$BB,3,FALSE),"")</f>
        <v>680492065</v>
      </c>
      <c r="G245" s="1055" t="str">
        <f>IFERROR(VLOOKUP($A245,'2018'!$A:$BB,4,FALSE),"")</f>
        <v>1160 Battery St., Ste. 225
San Francisco, CA 94111</v>
      </c>
      <c r="H245" s="1055" t="str">
        <f>IFERROR(VLOOKUP($A245,'2018'!$A:$BB,5,FALSE),"")</f>
        <v>Nicole Song
415-590-3512
nsong@plos.org</v>
      </c>
      <c r="I245" s="1055" t="str">
        <f>IFERROR(VLOOKUP($A245,'2018'!$A:$BB,6,FALSE),"")</f>
        <v>Nicole Song
415-590-3512
nsong@plos.org</v>
      </c>
      <c r="J245" s="1055" t="str">
        <f>IFERROR(VLOOKUP($A245,'2018'!$A:$BB,7,FALSE),"")</f>
        <v>Woodruff-Sawyer</v>
      </c>
      <c r="K245" s="1055" t="str">
        <f>IFERROR(VLOOKUP($A245,'2018'!$A:$BB,8,FALSE),"")</f>
        <v>Account Managed by Woodruff-Sawyer 
Producer - Suzanne Haslman
shaslam@wsandco.com
Service Lead - Vanessa Stuckey
vstuckey@wsandco.com</v>
      </c>
      <c r="L245" s="1062" t="str">
        <f>IFERROR(VLOOKUP($A245,'2018'!$A:$BB,9,FALSE),"")</f>
        <v>New</v>
      </c>
      <c r="M245" s="1067">
        <f>IFERROR(VLOOKUP($A245,'2018'!$A:$BB,10,FALSE),"")</f>
        <v>43101</v>
      </c>
      <c r="N245" s="1062">
        <f>IFERROR(VLOOKUP($A245,'2018'!$A:$BB,12,FALSE),"")</f>
        <v>171</v>
      </c>
      <c r="O245" s="1055" t="str">
        <f>IFERROR(VLOOKUP($A245,'2018'!$A:$BB,13,FALSE),"")</f>
        <v>TASC</v>
      </c>
      <c r="P245" s="1055" t="str">
        <f>IFERROR(VLOOKUP($A245,'2018'!$A:$BB,14,FALSE),"")</f>
        <v>Ultipro</v>
      </c>
      <c r="Q245" s="1055" t="str">
        <f>IFERROR(VLOOKUP($A245,'2018'!$A:$BB,16,FALSE),"")</f>
        <v>TASC</v>
      </c>
      <c r="R245" s="1055" t="str">
        <f>IFERROR(VLOOKUP($A245,'2018'!$A:$BB,17,FALSE),"")</f>
        <v>Optum Health</v>
      </c>
      <c r="S245" s="1062" t="str">
        <f>IFERROR(VLOOKUP($A245,'2018'!$A:$BB,20,FALSE),"")</f>
        <v>NCAL</v>
      </c>
      <c r="T245" s="1062" t="str">
        <f>IFERROR(VLOOKUP($A245,'2018'!$A:$BB,21,FALSE),"")</f>
        <v>Group C (44-54)</v>
      </c>
      <c r="U245" s="1062" t="str">
        <f>IFERROR(VLOOKUP($A245,'2018'!$A:$BB,22,FALSE),"")</f>
        <v>Expanded</v>
      </c>
      <c r="V245" s="1062" t="str">
        <f>IFERROR(VLOOKUP($A245,'2018'!$A:$BB,23,FALSE),"")</f>
        <v>Advantage</v>
      </c>
      <c r="W245" s="1062" t="str">
        <f>IFERROR(VLOOKUP($A245,'2018'!$A:$BB,24,FALSE),"")</f>
        <v>No</v>
      </c>
      <c r="X245" s="1062" t="str">
        <f>IFERROR(VLOOKUP($A245,'2018'!$A:$BB,41,FALSE),"")</f>
        <v>N/A</v>
      </c>
      <c r="Y245" s="1062" t="str">
        <f>IFERROR(VLOOKUP($A245,'2018'!$A:$BB,42,FALSE),"")</f>
        <v>N/A</v>
      </c>
      <c r="Z245" s="1062" t="str">
        <f>IFERROR(VLOOKUP($A245,'2018'!$A:$BB,45,FALSE),"")</f>
        <v>N/A</v>
      </c>
      <c r="AA245" s="731">
        <v>2018</v>
      </c>
      <c r="AB245" s="728" t="s">
        <v>3897</v>
      </c>
      <c r="AC245" s="727" t="s">
        <v>303</v>
      </c>
      <c r="AD245" s="727" t="s">
        <v>3656</v>
      </c>
      <c r="AE245" s="727" t="s">
        <v>307</v>
      </c>
      <c r="AF245" s="727" t="s">
        <v>113</v>
      </c>
      <c r="AG245" s="726" t="s">
        <v>3962</v>
      </c>
      <c r="AH245" s="726" t="s">
        <v>3963</v>
      </c>
      <c r="AI245" s="727">
        <v>2</v>
      </c>
      <c r="AJ245" s="747" t="s">
        <v>3964</v>
      </c>
      <c r="AK245" s="753">
        <v>260080</v>
      </c>
      <c r="AL245" s="754">
        <v>181</v>
      </c>
      <c r="AM245" s="753">
        <v>260081</v>
      </c>
      <c r="AN245" s="754">
        <v>182</v>
      </c>
      <c r="AO245" s="776">
        <f>AM245+1</f>
        <v>260082</v>
      </c>
      <c r="AP245" s="754">
        <f>AN245+1</f>
        <v>183</v>
      </c>
      <c r="AQ245" s="770"/>
      <c r="AR245" s="726" t="s">
        <v>2661</v>
      </c>
      <c r="AS245" s="726" t="s">
        <v>4077</v>
      </c>
      <c r="AT245" s="726">
        <v>1810181</v>
      </c>
      <c r="AU245" s="726" t="s">
        <v>3980</v>
      </c>
      <c r="AV245" s="726"/>
      <c r="AW245" s="726"/>
    </row>
    <row r="246" spans="1:49">
      <c r="A246" s="736" t="s">
        <v>4173</v>
      </c>
      <c r="B246" s="736" t="s">
        <v>4076</v>
      </c>
      <c r="C246" s="736" t="s">
        <v>4173</v>
      </c>
      <c r="D246" s="736"/>
      <c r="E246" s="736"/>
      <c r="F246" s="1059">
        <f>IFERROR(VLOOKUP($A246,'2018'!$A:$BB,3,FALSE),"")</f>
        <v>680492065</v>
      </c>
      <c r="G246" s="1055" t="str">
        <f>IFERROR(VLOOKUP($A246,'2018'!$A:$BB,4,FALSE),"")</f>
        <v>1160 Battery St., Ste. 225
San Francisco, CA 94111</v>
      </c>
      <c r="H246" s="1055" t="str">
        <f>IFERROR(VLOOKUP($A246,'2018'!$A:$BB,5,FALSE),"")</f>
        <v>Nicole Song
415-590-3512
nsong@plos.org</v>
      </c>
      <c r="I246" s="1055" t="str">
        <f>IFERROR(VLOOKUP($A246,'2018'!$A:$BB,6,FALSE),"")</f>
        <v>Nicole Song
415-590-3512
nsong@plos.org</v>
      </c>
      <c r="J246" s="1055" t="str">
        <f>IFERROR(VLOOKUP($A246,'2018'!$A:$BB,7,FALSE),"")</f>
        <v>Woodruff-Sawyer</v>
      </c>
      <c r="K246" s="1055" t="str">
        <f>IFERROR(VLOOKUP($A246,'2018'!$A:$BB,8,FALSE),"")</f>
        <v>Account Managed by Woodruff-Sawyer 
Producer - Suzanne Haslman
shaslam@wsandco.com
Service Lead - Vanessa Stuckey
vstuckey@wsandco.com</v>
      </c>
      <c r="L246" s="1062" t="str">
        <f>IFERROR(VLOOKUP($A246,'2018'!$A:$BB,9,FALSE),"")</f>
        <v>New</v>
      </c>
      <c r="M246" s="1067">
        <f>IFERROR(VLOOKUP($A246,'2018'!$A:$BB,10,FALSE),"")</f>
        <v>43101</v>
      </c>
      <c r="N246" s="1062">
        <f>IFERROR(VLOOKUP($A246,'2018'!$A:$BB,12,FALSE),"")</f>
        <v>171</v>
      </c>
      <c r="O246" s="1055" t="str">
        <f>IFERROR(VLOOKUP($A246,'2018'!$A:$BB,13,FALSE),"")</f>
        <v>TASC</v>
      </c>
      <c r="P246" s="1055" t="str">
        <f>IFERROR(VLOOKUP($A246,'2018'!$A:$BB,14,FALSE),"")</f>
        <v>Ultipro</v>
      </c>
      <c r="Q246" s="1055" t="str">
        <f>IFERROR(VLOOKUP($A246,'2018'!$A:$BB,16,FALSE),"")</f>
        <v>TASC</v>
      </c>
      <c r="R246" s="1055" t="str">
        <f>IFERROR(VLOOKUP($A246,'2018'!$A:$BB,17,FALSE),"")</f>
        <v>Optum Health</v>
      </c>
      <c r="S246" s="1062" t="str">
        <f>IFERROR(VLOOKUP($A246,'2018'!$A:$BB,20,FALSE),"")</f>
        <v>NCAL</v>
      </c>
      <c r="T246" s="1062" t="str">
        <f>IFERROR(VLOOKUP($A246,'2018'!$A:$BB,21,FALSE),"")</f>
        <v>Group C (44-54)</v>
      </c>
      <c r="U246" s="1062" t="str">
        <f>IFERROR(VLOOKUP($A246,'2018'!$A:$BB,22,FALSE),"")</f>
        <v>Expanded</v>
      </c>
      <c r="V246" s="1062" t="str">
        <f>IFERROR(VLOOKUP($A246,'2018'!$A:$BB,23,FALSE),"")</f>
        <v>Advantage</v>
      </c>
      <c r="W246" s="1062" t="str">
        <f>IFERROR(VLOOKUP($A246,'2018'!$A:$BB,24,FALSE),"")</f>
        <v>No</v>
      </c>
      <c r="X246" s="1062" t="str">
        <f>IFERROR(VLOOKUP($A246,'2018'!$A:$BB,41,FALSE),"")</f>
        <v>N/A</v>
      </c>
      <c r="Y246" s="1062" t="str">
        <f>IFERROR(VLOOKUP($A246,'2018'!$A:$BB,42,FALSE),"")</f>
        <v>N/A</v>
      </c>
      <c r="Z246" s="1062" t="str">
        <f>IFERROR(VLOOKUP($A246,'2018'!$A:$BB,45,FALSE),"")</f>
        <v>N/A</v>
      </c>
      <c r="AA246" s="731">
        <v>2018</v>
      </c>
      <c r="AB246" s="728" t="s">
        <v>3897</v>
      </c>
      <c r="AC246" s="727" t="s">
        <v>303</v>
      </c>
      <c r="AD246" s="727" t="s">
        <v>3656</v>
      </c>
      <c r="AE246" s="727" t="s">
        <v>307</v>
      </c>
      <c r="AF246" s="727" t="s">
        <v>113</v>
      </c>
      <c r="AG246" s="726" t="s">
        <v>3972</v>
      </c>
      <c r="AH246" s="726" t="s">
        <v>3973</v>
      </c>
      <c r="AI246" s="727">
        <v>8</v>
      </c>
      <c r="AJ246" s="747" t="s">
        <v>3992</v>
      </c>
      <c r="AK246" s="757">
        <v>909678</v>
      </c>
      <c r="AL246" s="754">
        <v>364</v>
      </c>
      <c r="AM246" s="755">
        <v>909678</v>
      </c>
      <c r="AN246" s="754">
        <v>365</v>
      </c>
      <c r="AO246" s="776">
        <f t="shared" ref="AO246:AO249" si="60">AM246</f>
        <v>909678</v>
      </c>
      <c r="AP246" s="754">
        <f>AN246+1</f>
        <v>366</v>
      </c>
      <c r="AQ246" s="770"/>
      <c r="AR246" s="726" t="s">
        <v>2661</v>
      </c>
      <c r="AS246" s="726" t="s">
        <v>4078</v>
      </c>
      <c r="AT246" s="726">
        <v>3640364</v>
      </c>
      <c r="AU246" s="726" t="s">
        <v>3980</v>
      </c>
      <c r="AV246" s="726"/>
      <c r="AW246" s="726"/>
    </row>
    <row r="247" spans="1:49">
      <c r="A247" s="736" t="s">
        <v>4173</v>
      </c>
      <c r="B247" s="736" t="s">
        <v>4076</v>
      </c>
      <c r="C247" s="736" t="s">
        <v>4173</v>
      </c>
      <c r="D247" s="736"/>
      <c r="E247" s="736"/>
      <c r="F247" s="1059">
        <f>IFERROR(VLOOKUP($A247,'2018'!$A:$BB,3,FALSE),"")</f>
        <v>680492065</v>
      </c>
      <c r="G247" s="1055" t="str">
        <f>IFERROR(VLOOKUP($A247,'2018'!$A:$BB,4,FALSE),"")</f>
        <v>1160 Battery St., Ste. 225
San Francisco, CA 94111</v>
      </c>
      <c r="H247" s="1055" t="str">
        <f>IFERROR(VLOOKUP($A247,'2018'!$A:$BB,5,FALSE),"")</f>
        <v>Nicole Song
415-590-3512
nsong@plos.org</v>
      </c>
      <c r="I247" s="1055" t="str">
        <f>IFERROR(VLOOKUP($A247,'2018'!$A:$BB,6,FALSE),"")</f>
        <v>Nicole Song
415-590-3512
nsong@plos.org</v>
      </c>
      <c r="J247" s="1055" t="str">
        <f>IFERROR(VLOOKUP($A247,'2018'!$A:$BB,7,FALSE),"")</f>
        <v>Woodruff-Sawyer</v>
      </c>
      <c r="K247" s="1055" t="str">
        <f>IFERROR(VLOOKUP($A247,'2018'!$A:$BB,8,FALSE),"")</f>
        <v>Account Managed by Woodruff-Sawyer 
Producer - Suzanne Haslman
shaslam@wsandco.com
Service Lead - Vanessa Stuckey
vstuckey@wsandco.com</v>
      </c>
      <c r="L247" s="1062" t="str">
        <f>IFERROR(VLOOKUP($A247,'2018'!$A:$BB,9,FALSE),"")</f>
        <v>New</v>
      </c>
      <c r="M247" s="1067">
        <f>IFERROR(VLOOKUP($A247,'2018'!$A:$BB,10,FALSE),"")</f>
        <v>43101</v>
      </c>
      <c r="N247" s="1062">
        <f>IFERROR(VLOOKUP($A247,'2018'!$A:$BB,12,FALSE),"")</f>
        <v>171</v>
      </c>
      <c r="O247" s="1055" t="str">
        <f>IFERROR(VLOOKUP($A247,'2018'!$A:$BB,13,FALSE),"")</f>
        <v>TASC</v>
      </c>
      <c r="P247" s="1055" t="str">
        <f>IFERROR(VLOOKUP($A247,'2018'!$A:$BB,14,FALSE),"")</f>
        <v>Ultipro</v>
      </c>
      <c r="Q247" s="1055" t="str">
        <f>IFERROR(VLOOKUP($A247,'2018'!$A:$BB,16,FALSE),"")</f>
        <v>TASC</v>
      </c>
      <c r="R247" s="1055" t="str">
        <f>IFERROR(VLOOKUP($A247,'2018'!$A:$BB,17,FALSE),"")</f>
        <v>Optum Health</v>
      </c>
      <c r="S247" s="1062" t="str">
        <f>IFERROR(VLOOKUP($A247,'2018'!$A:$BB,20,FALSE),"")</f>
        <v>NCAL</v>
      </c>
      <c r="T247" s="1062" t="str">
        <f>IFERROR(VLOOKUP($A247,'2018'!$A:$BB,21,FALSE),"")</f>
        <v>Group C (44-54)</v>
      </c>
      <c r="U247" s="1062" t="str">
        <f>IFERROR(VLOOKUP($A247,'2018'!$A:$BB,22,FALSE),"")</f>
        <v>Expanded</v>
      </c>
      <c r="V247" s="1062" t="str">
        <f>IFERROR(VLOOKUP($A247,'2018'!$A:$BB,23,FALSE),"")</f>
        <v>Advantage</v>
      </c>
      <c r="W247" s="1062" t="str">
        <f>IFERROR(VLOOKUP($A247,'2018'!$A:$BB,24,FALSE),"")</f>
        <v>No</v>
      </c>
      <c r="X247" s="1062" t="str">
        <f>IFERROR(VLOOKUP($A247,'2018'!$A:$BB,41,FALSE),"")</f>
        <v>N/A</v>
      </c>
      <c r="Y247" s="1062" t="str">
        <f>IFERROR(VLOOKUP($A247,'2018'!$A:$BB,42,FALSE),"")</f>
        <v>N/A</v>
      </c>
      <c r="Z247" s="1062" t="str">
        <f>IFERROR(VLOOKUP($A247,'2018'!$A:$BB,45,FALSE),"")</f>
        <v>N/A</v>
      </c>
      <c r="AA247" s="731">
        <v>2018</v>
      </c>
      <c r="AB247" s="733" t="s">
        <v>3897</v>
      </c>
      <c r="AC247" s="734" t="s">
        <v>303</v>
      </c>
      <c r="AD247" s="734" t="s">
        <v>3656</v>
      </c>
      <c r="AE247" s="734" t="s">
        <v>307</v>
      </c>
      <c r="AF247" s="734" t="s">
        <v>113</v>
      </c>
      <c r="AG247" s="732" t="s">
        <v>3972</v>
      </c>
      <c r="AH247" s="732" t="s">
        <v>3977</v>
      </c>
      <c r="AI247" s="734">
        <v>14</v>
      </c>
      <c r="AJ247" s="748" t="s">
        <v>3994</v>
      </c>
      <c r="AK247" s="757">
        <v>909678</v>
      </c>
      <c r="AL247" s="756">
        <v>616</v>
      </c>
      <c r="AM247" s="755">
        <v>909678</v>
      </c>
      <c r="AN247" s="756">
        <v>617</v>
      </c>
      <c r="AO247" s="776">
        <f t="shared" si="60"/>
        <v>909678</v>
      </c>
      <c r="AP247" s="754">
        <f>AN247+1</f>
        <v>618</v>
      </c>
      <c r="AQ247" s="771" t="s">
        <v>3979</v>
      </c>
      <c r="AR247" s="732" t="s">
        <v>2661</v>
      </c>
      <c r="AS247" s="735"/>
      <c r="AT247" s="735"/>
      <c r="AU247" s="732" t="s">
        <v>3980</v>
      </c>
      <c r="AV247" s="735"/>
      <c r="AW247" s="735"/>
    </row>
    <row r="248" spans="1:49">
      <c r="A248" s="736" t="s">
        <v>4173</v>
      </c>
      <c r="B248" s="736" t="s">
        <v>4076</v>
      </c>
      <c r="C248" s="736" t="s">
        <v>4173</v>
      </c>
      <c r="D248" s="736"/>
      <c r="E248" s="736"/>
      <c r="F248" s="1059">
        <f>IFERROR(VLOOKUP($A248,'2018'!$A:$BB,3,FALSE),"")</f>
        <v>680492065</v>
      </c>
      <c r="G248" s="1055" t="str">
        <f>IFERROR(VLOOKUP($A248,'2018'!$A:$BB,4,FALSE),"")</f>
        <v>1160 Battery St., Ste. 225
San Francisco, CA 94111</v>
      </c>
      <c r="H248" s="1055" t="str">
        <f>IFERROR(VLOOKUP($A248,'2018'!$A:$BB,5,FALSE),"")</f>
        <v>Nicole Song
415-590-3512
nsong@plos.org</v>
      </c>
      <c r="I248" s="1055" t="str">
        <f>IFERROR(VLOOKUP($A248,'2018'!$A:$BB,6,FALSE),"")</f>
        <v>Nicole Song
415-590-3512
nsong@plos.org</v>
      </c>
      <c r="J248" s="1055" t="str">
        <f>IFERROR(VLOOKUP($A248,'2018'!$A:$BB,7,FALSE),"")</f>
        <v>Woodruff-Sawyer</v>
      </c>
      <c r="K248" s="1055" t="str">
        <f>IFERROR(VLOOKUP($A248,'2018'!$A:$BB,8,FALSE),"")</f>
        <v>Account Managed by Woodruff-Sawyer 
Producer - Suzanne Haslman
shaslam@wsandco.com
Service Lead - Vanessa Stuckey
vstuckey@wsandco.com</v>
      </c>
      <c r="L248" s="1062" t="str">
        <f>IFERROR(VLOOKUP($A248,'2018'!$A:$BB,9,FALSE),"")</f>
        <v>New</v>
      </c>
      <c r="M248" s="1067">
        <f>IFERROR(VLOOKUP($A248,'2018'!$A:$BB,10,FALSE),"")</f>
        <v>43101</v>
      </c>
      <c r="N248" s="1062">
        <f>IFERROR(VLOOKUP($A248,'2018'!$A:$BB,12,FALSE),"")</f>
        <v>171</v>
      </c>
      <c r="O248" s="1055" t="str">
        <f>IFERROR(VLOOKUP($A248,'2018'!$A:$BB,13,FALSE),"")</f>
        <v>TASC</v>
      </c>
      <c r="P248" s="1055" t="str">
        <f>IFERROR(VLOOKUP($A248,'2018'!$A:$BB,14,FALSE),"")</f>
        <v>Ultipro</v>
      </c>
      <c r="Q248" s="1055" t="str">
        <f>IFERROR(VLOOKUP($A248,'2018'!$A:$BB,16,FALSE),"")</f>
        <v>TASC</v>
      </c>
      <c r="R248" s="1055" t="str">
        <f>IFERROR(VLOOKUP($A248,'2018'!$A:$BB,17,FALSE),"")</f>
        <v>Optum Health</v>
      </c>
      <c r="S248" s="1062" t="str">
        <f>IFERROR(VLOOKUP($A248,'2018'!$A:$BB,20,FALSE),"")</f>
        <v>NCAL</v>
      </c>
      <c r="T248" s="1062" t="str">
        <f>IFERROR(VLOOKUP($A248,'2018'!$A:$BB,21,FALSE),"")</f>
        <v>Group C (44-54)</v>
      </c>
      <c r="U248" s="1062" t="str">
        <f>IFERROR(VLOOKUP($A248,'2018'!$A:$BB,22,FALSE),"")</f>
        <v>Expanded</v>
      </c>
      <c r="V248" s="1062" t="str">
        <f>IFERROR(VLOOKUP($A248,'2018'!$A:$BB,23,FALSE),"")</f>
        <v>Advantage</v>
      </c>
      <c r="W248" s="1062" t="str">
        <f>IFERROR(VLOOKUP($A248,'2018'!$A:$BB,24,FALSE),"")</f>
        <v>No</v>
      </c>
      <c r="X248" s="1062" t="str">
        <f>IFERROR(VLOOKUP($A248,'2018'!$A:$BB,41,FALSE),"")</f>
        <v>N/A</v>
      </c>
      <c r="Y248" s="1062" t="str">
        <f>IFERROR(VLOOKUP($A248,'2018'!$A:$BB,42,FALSE),"")</f>
        <v>N/A</v>
      </c>
      <c r="Z248" s="1062" t="str">
        <f>IFERROR(VLOOKUP($A248,'2018'!$A:$BB,45,FALSE),"")</f>
        <v>N/A</v>
      </c>
      <c r="AA248" s="731">
        <v>2018</v>
      </c>
      <c r="AB248" s="728" t="s">
        <v>3897</v>
      </c>
      <c r="AC248" s="727" t="s">
        <v>303</v>
      </c>
      <c r="AD248" s="727" t="s">
        <v>3656</v>
      </c>
      <c r="AE248" s="727" t="s">
        <v>307</v>
      </c>
      <c r="AF248" s="727" t="s">
        <v>113</v>
      </c>
      <c r="AG248" s="726" t="s">
        <v>3981</v>
      </c>
      <c r="AH248" s="726" t="s">
        <v>3973</v>
      </c>
      <c r="AI248" s="727">
        <v>11</v>
      </c>
      <c r="AJ248" s="747" t="s">
        <v>3982</v>
      </c>
      <c r="AK248" s="757">
        <v>909678</v>
      </c>
      <c r="AL248" s="754">
        <v>472</v>
      </c>
      <c r="AM248" s="755">
        <v>909678</v>
      </c>
      <c r="AN248" s="754">
        <v>473</v>
      </c>
      <c r="AO248" s="776">
        <f t="shared" si="60"/>
        <v>909678</v>
      </c>
      <c r="AP248" s="754">
        <f>AN248+1</f>
        <v>474</v>
      </c>
      <c r="AQ248" s="770"/>
      <c r="AR248" s="726" t="s">
        <v>2661</v>
      </c>
      <c r="AS248" s="726" t="s">
        <v>4079</v>
      </c>
      <c r="AT248" s="726">
        <v>4720472</v>
      </c>
      <c r="AU248" s="726" t="s">
        <v>3980</v>
      </c>
      <c r="AV248" s="726"/>
      <c r="AW248" s="726"/>
    </row>
    <row r="249" spans="1:49">
      <c r="A249" s="736" t="s">
        <v>4173</v>
      </c>
      <c r="B249" s="736" t="s">
        <v>4076</v>
      </c>
      <c r="C249" s="736" t="s">
        <v>4173</v>
      </c>
      <c r="D249" s="736"/>
      <c r="E249" s="736"/>
      <c r="F249" s="1059">
        <f>IFERROR(VLOOKUP($A249,'2018'!$A:$BB,3,FALSE),"")</f>
        <v>680492065</v>
      </c>
      <c r="G249" s="1055" t="str">
        <f>IFERROR(VLOOKUP($A249,'2018'!$A:$BB,4,FALSE),"")</f>
        <v>1160 Battery St., Ste. 225
San Francisco, CA 94111</v>
      </c>
      <c r="H249" s="1055" t="str">
        <f>IFERROR(VLOOKUP($A249,'2018'!$A:$BB,5,FALSE),"")</f>
        <v>Nicole Song
415-590-3512
nsong@plos.org</v>
      </c>
      <c r="I249" s="1055" t="str">
        <f>IFERROR(VLOOKUP($A249,'2018'!$A:$BB,6,FALSE),"")</f>
        <v>Nicole Song
415-590-3512
nsong@plos.org</v>
      </c>
      <c r="J249" s="1055" t="str">
        <f>IFERROR(VLOOKUP($A249,'2018'!$A:$BB,7,FALSE),"")</f>
        <v>Woodruff-Sawyer</v>
      </c>
      <c r="K249" s="1055" t="str">
        <f>IFERROR(VLOOKUP($A249,'2018'!$A:$BB,8,FALSE),"")</f>
        <v>Account Managed by Woodruff-Sawyer 
Producer - Suzanne Haslman
shaslam@wsandco.com
Service Lead - Vanessa Stuckey
vstuckey@wsandco.com</v>
      </c>
      <c r="L249" s="1062" t="str">
        <f>IFERROR(VLOOKUP($A249,'2018'!$A:$BB,9,FALSE),"")</f>
        <v>New</v>
      </c>
      <c r="M249" s="1067">
        <f>IFERROR(VLOOKUP($A249,'2018'!$A:$BB,10,FALSE),"")</f>
        <v>43101</v>
      </c>
      <c r="N249" s="1062">
        <f>IFERROR(VLOOKUP($A249,'2018'!$A:$BB,12,FALSE),"")</f>
        <v>171</v>
      </c>
      <c r="O249" s="1055" t="str">
        <f>IFERROR(VLOOKUP($A249,'2018'!$A:$BB,13,FALSE),"")</f>
        <v>TASC</v>
      </c>
      <c r="P249" s="1055" t="str">
        <f>IFERROR(VLOOKUP($A249,'2018'!$A:$BB,14,FALSE),"")</f>
        <v>Ultipro</v>
      </c>
      <c r="Q249" s="1055" t="str">
        <f>IFERROR(VLOOKUP($A249,'2018'!$A:$BB,16,FALSE),"")</f>
        <v>TASC</v>
      </c>
      <c r="R249" s="1055" t="str">
        <f>IFERROR(VLOOKUP($A249,'2018'!$A:$BB,17,FALSE),"")</f>
        <v>Optum Health</v>
      </c>
      <c r="S249" s="1062" t="str">
        <f>IFERROR(VLOOKUP($A249,'2018'!$A:$BB,20,FALSE),"")</f>
        <v>NCAL</v>
      </c>
      <c r="T249" s="1062" t="str">
        <f>IFERROR(VLOOKUP($A249,'2018'!$A:$BB,21,FALSE),"")</f>
        <v>Group C (44-54)</v>
      </c>
      <c r="U249" s="1062" t="str">
        <f>IFERROR(VLOOKUP($A249,'2018'!$A:$BB,22,FALSE),"")</f>
        <v>Expanded</v>
      </c>
      <c r="V249" s="1062" t="str">
        <f>IFERROR(VLOOKUP($A249,'2018'!$A:$BB,23,FALSE),"")</f>
        <v>Advantage</v>
      </c>
      <c r="W249" s="1062" t="str">
        <f>IFERROR(VLOOKUP($A249,'2018'!$A:$BB,24,FALSE),"")</f>
        <v>No</v>
      </c>
      <c r="X249" s="1062" t="str">
        <f>IFERROR(VLOOKUP($A249,'2018'!$A:$BB,41,FALSE),"")</f>
        <v>N/A</v>
      </c>
      <c r="Y249" s="1062" t="str">
        <f>IFERROR(VLOOKUP($A249,'2018'!$A:$BB,42,FALSE),"")</f>
        <v>N/A</v>
      </c>
      <c r="Z249" s="1062" t="str">
        <f>IFERROR(VLOOKUP($A249,'2018'!$A:$BB,45,FALSE),"")</f>
        <v>N/A</v>
      </c>
      <c r="AA249" s="731">
        <v>2018</v>
      </c>
      <c r="AB249" s="733" t="s">
        <v>3897</v>
      </c>
      <c r="AC249" s="734" t="s">
        <v>303</v>
      </c>
      <c r="AD249" s="734" t="s">
        <v>3656</v>
      </c>
      <c r="AE249" s="734" t="s">
        <v>307</v>
      </c>
      <c r="AF249" s="734" t="s">
        <v>113</v>
      </c>
      <c r="AG249" s="732" t="s">
        <v>3981</v>
      </c>
      <c r="AH249" s="732" t="s">
        <v>3977</v>
      </c>
      <c r="AI249" s="734">
        <v>16</v>
      </c>
      <c r="AJ249" s="748" t="s">
        <v>3985</v>
      </c>
      <c r="AK249" s="757">
        <v>909678</v>
      </c>
      <c r="AL249" s="756">
        <v>724</v>
      </c>
      <c r="AM249" s="755">
        <v>909678</v>
      </c>
      <c r="AN249" s="756">
        <v>725</v>
      </c>
      <c r="AO249" s="776">
        <f t="shared" si="60"/>
        <v>909678</v>
      </c>
      <c r="AP249" s="754">
        <f>AN249+1</f>
        <v>726</v>
      </c>
      <c r="AQ249" s="771" t="s">
        <v>3979</v>
      </c>
      <c r="AR249" s="732" t="s">
        <v>2661</v>
      </c>
      <c r="AS249" s="735"/>
      <c r="AT249" s="735"/>
      <c r="AU249" s="732" t="s">
        <v>3980</v>
      </c>
      <c r="AV249" s="735"/>
      <c r="AW249" s="735"/>
    </row>
    <row r="250" spans="1:49">
      <c r="A250" s="736"/>
      <c r="B250" s="736"/>
      <c r="C250" s="736"/>
      <c r="D250" s="736"/>
      <c r="E250" s="736"/>
      <c r="F250" s="1059" t="str">
        <f>IFERROR(VLOOKUP($A250,'2018'!$A:$BB,3,FALSE),"")</f>
        <v/>
      </c>
      <c r="G250" s="1055" t="str">
        <f>IFERROR(VLOOKUP($A250,'2018'!$A:$BB,4,FALSE),"")</f>
        <v/>
      </c>
      <c r="H250" s="1055" t="str">
        <f>IFERROR(VLOOKUP($A250,'2018'!$A:$BB,5,FALSE),"")</f>
        <v/>
      </c>
      <c r="I250" s="1055" t="str">
        <f>IFERROR(VLOOKUP($A250,'2018'!$A:$BB,6,FALSE),"")</f>
        <v/>
      </c>
      <c r="J250" s="1055" t="str">
        <f>IFERROR(VLOOKUP($A250,'2018'!$A:$BB,7,FALSE),"")</f>
        <v/>
      </c>
      <c r="K250" s="1055" t="str">
        <f>IFERROR(VLOOKUP($A250,'2018'!$A:$BB,8,FALSE),"")</f>
        <v/>
      </c>
      <c r="L250" s="1062" t="str">
        <f>IFERROR(VLOOKUP($A250,'2018'!$A:$BB,9,FALSE),"")</f>
        <v/>
      </c>
      <c r="M250" s="1067" t="str">
        <f>IFERROR(VLOOKUP($A250,'2018'!$A:$BB,10,FALSE),"")</f>
        <v/>
      </c>
      <c r="N250" s="1062" t="str">
        <f>IFERROR(VLOOKUP($A250,'2018'!$A:$BB,12,FALSE),"")</f>
        <v/>
      </c>
      <c r="O250" s="1055" t="str">
        <f>IFERROR(VLOOKUP($A250,'2018'!$A:$BB,13,FALSE),"")</f>
        <v/>
      </c>
      <c r="P250" s="1055" t="str">
        <f>IFERROR(VLOOKUP($A250,'2018'!$A:$BB,14,FALSE),"")</f>
        <v/>
      </c>
      <c r="Q250" s="1055" t="str">
        <f>IFERROR(VLOOKUP($A250,'2018'!$A:$BB,16,FALSE),"")</f>
        <v/>
      </c>
      <c r="R250" s="1055" t="str">
        <f>IFERROR(VLOOKUP($A250,'2018'!$A:$BB,17,FALSE),"")</f>
        <v/>
      </c>
      <c r="S250" s="1062" t="str">
        <f>IFERROR(VLOOKUP($A250,'2018'!$A:$BB,20,FALSE),"")</f>
        <v/>
      </c>
      <c r="T250" s="1062" t="str">
        <f>IFERROR(VLOOKUP($A250,'2018'!$A:$BB,21,FALSE),"")</f>
        <v/>
      </c>
      <c r="U250" s="1062" t="str">
        <f>IFERROR(VLOOKUP($A250,'2018'!$A:$BB,22,FALSE),"")</f>
        <v/>
      </c>
      <c r="V250" s="1062" t="str">
        <f>IFERROR(VLOOKUP($A250,'2018'!$A:$BB,23,FALSE),"")</f>
        <v/>
      </c>
      <c r="W250" s="1062" t="str">
        <f>IFERROR(VLOOKUP($A250,'2018'!$A:$BB,24,FALSE),"")</f>
        <v/>
      </c>
      <c r="X250" s="1062" t="str">
        <f>IFERROR(VLOOKUP($A250,'2018'!$A:$BB,41,FALSE),"")</f>
        <v/>
      </c>
      <c r="Y250" s="1062" t="str">
        <f>IFERROR(VLOOKUP($A250,'2018'!$A:$BB,42,FALSE),"")</f>
        <v/>
      </c>
      <c r="Z250" s="1062" t="str">
        <f>IFERROR(VLOOKUP($A250,'2018'!$A:$BB,45,FALSE),"")</f>
        <v/>
      </c>
      <c r="AA250" s="731"/>
      <c r="AB250" s="733"/>
      <c r="AC250" s="734"/>
      <c r="AD250" s="734"/>
      <c r="AE250" s="734"/>
      <c r="AF250" s="734"/>
      <c r="AG250" s="732"/>
      <c r="AH250" s="732"/>
      <c r="AI250" s="734"/>
      <c r="AJ250" s="748"/>
      <c r="AK250" s="757"/>
      <c r="AL250" s="756"/>
      <c r="AM250" s="755"/>
      <c r="AN250" s="756"/>
      <c r="AO250" s="776"/>
      <c r="AP250" s="754"/>
      <c r="AQ250" s="771"/>
      <c r="AR250" s="732"/>
      <c r="AS250" s="735"/>
      <c r="AT250" s="735"/>
      <c r="AU250" s="732"/>
      <c r="AV250" s="735"/>
      <c r="AW250" s="735"/>
    </row>
    <row r="251" spans="1:49">
      <c r="A251" s="736" t="s">
        <v>152</v>
      </c>
      <c r="B251" s="736" t="s">
        <v>152</v>
      </c>
      <c r="C251" s="736"/>
      <c r="D251" s="736" t="s">
        <v>152</v>
      </c>
      <c r="E251" s="736" t="s">
        <v>152</v>
      </c>
      <c r="F251" s="1059">
        <f>IFERROR(VLOOKUP($A251,'2018'!$A:$BB,3,FALSE),"")</f>
        <v>452597954</v>
      </c>
      <c r="G251" s="1055" t="str">
        <f>IFERROR(VLOOKUP($A251,'2018'!$A:$BB,4,FALSE),"")</f>
        <v xml:space="preserve">250 Natural Bridges Drive, 
Santa Cruz, CA 95060
</v>
      </c>
      <c r="H251" s="1055" t="str">
        <f>IFERROR(VLOOKUP($A251,'2018'!$A:$BB,5,FALSE),"")</f>
        <v xml:space="preserve">Melanie Mahtani
(650) 799-9910
mmahtani@companiondx.com </v>
      </c>
      <c r="I251" s="1055" t="str">
        <f>IFERROR(VLOOKUP($A251,'2018'!$A:$BB,6,FALSE),"")</f>
        <v xml:space="preserve">Melanie Mahtani
(650) 799-9910
mmahtani@companiondx.com </v>
      </c>
      <c r="J251" s="1055" t="str">
        <f>IFERROR(VLOOKUP($A251,'2018'!$A:$BB,7,FALSE),"")</f>
        <v>HUB (San Diego)</v>
      </c>
      <c r="K251" s="1055" t="str">
        <f>IFERROR(VLOOKUP($A251,'2018'!$A:$BB,8,FALSE),"")</f>
        <v>Account Managed by HUB SD Team
Producer - Dave Duenas
Service Lead - Courtney Stanley</v>
      </c>
      <c r="L251" s="1062" t="str">
        <f>IFERROR(VLOOKUP($A251,'2018'!$A:$BB,9,FALSE),"")</f>
        <v>Renewal</v>
      </c>
      <c r="M251" s="1067">
        <f>IFERROR(VLOOKUP($A251,'2018'!$A:$BB,10,FALSE),"")</f>
        <v>42826</v>
      </c>
      <c r="N251" s="1062">
        <f>IFERROR(VLOOKUP($A251,'2018'!$A:$BB,12,FALSE),"")</f>
        <v>2</v>
      </c>
      <c r="O251" s="1055" t="str">
        <f>IFERROR(VLOOKUP($A251,'2018'!$A:$BB,13,FALSE),"")</f>
        <v xml:space="preserve">IGOE </v>
      </c>
      <c r="P251" s="1055" t="str">
        <f>IFERROR(VLOOKUP($A251,'2018'!$A:$BB,14,FALSE),"")</f>
        <v>Maestro</v>
      </c>
      <c r="Q251" s="1055" t="str">
        <f>IFERROR(VLOOKUP($A251,'2018'!$A:$BB,16,FALSE),"")</f>
        <v>N/A</v>
      </c>
      <c r="R251" s="1055" t="str">
        <f>IFERROR(VLOOKUP($A251,'2018'!$A:$BB,17,FALSE),"")</f>
        <v>Optum Health</v>
      </c>
      <c r="S251" s="1062" t="str">
        <f>IFERROR(VLOOKUP($A251,'2018'!$A:$BB,20,FALSE),"")</f>
        <v>NCAL</v>
      </c>
      <c r="T251" s="1062" t="str">
        <f>IFERROR(VLOOKUP($A251,'2018'!$A:$BB,21,FALSE),"")</f>
        <v>Group C (44-54)</v>
      </c>
      <c r="U251" s="1062" t="str">
        <f>IFERROR(VLOOKUP($A251,'2018'!$A:$BB,22,FALSE),"")</f>
        <v>Expanded</v>
      </c>
      <c r="V251" s="1062" t="str">
        <f>IFERROR(VLOOKUP($A251,'2018'!$A:$BB,23,FALSE),"")</f>
        <v>Advantage</v>
      </c>
      <c r="W251" s="1062" t="str">
        <f>IFERROR(VLOOKUP($A251,'2018'!$A:$BB,24,FALSE),"")</f>
        <v>No</v>
      </c>
      <c r="X251" s="1062" t="str">
        <f>IFERROR(VLOOKUP($A251,'2018'!$A:$BB,41,FALSE),"")</f>
        <v xml:space="preserve">Region 4 </v>
      </c>
      <c r="Y251" s="1062" t="str">
        <f>IFERROR(VLOOKUP($A251,'2018'!$A:$BB,42,FALSE),"")</f>
        <v>(2-9)</v>
      </c>
      <c r="Z251" s="1062" t="str">
        <f>IFERROR(VLOOKUP($A251,'2018'!$A:$BB,45,FALSE),"")</f>
        <v xml:space="preserve"> (2-49)</v>
      </c>
      <c r="AA251" s="731">
        <v>2018</v>
      </c>
      <c r="AB251" s="733" t="s">
        <v>3884</v>
      </c>
      <c r="AC251" s="734" t="s">
        <v>303</v>
      </c>
      <c r="AD251" s="734" t="s">
        <v>3656</v>
      </c>
      <c r="AE251" s="734" t="s">
        <v>307</v>
      </c>
      <c r="AF251" s="734" t="s">
        <v>113</v>
      </c>
      <c r="AG251" s="732" t="s">
        <v>3962</v>
      </c>
      <c r="AH251" s="732" t="s">
        <v>3963</v>
      </c>
      <c r="AI251" s="734">
        <v>1</v>
      </c>
      <c r="AJ251" s="748" t="s">
        <v>3998</v>
      </c>
      <c r="AK251" s="758">
        <v>260056</v>
      </c>
      <c r="AL251" s="756">
        <v>157</v>
      </c>
      <c r="AM251" s="758">
        <v>260057</v>
      </c>
      <c r="AN251" s="756">
        <v>158</v>
      </c>
      <c r="AO251" s="776">
        <f>AM251+1</f>
        <v>260058</v>
      </c>
      <c r="AP251" s="754">
        <f>AN251+1</f>
        <v>159</v>
      </c>
      <c r="AQ251" s="771" t="s">
        <v>3979</v>
      </c>
      <c r="AR251" s="732" t="s">
        <v>2661</v>
      </c>
      <c r="AS251" s="735"/>
      <c r="AT251" s="735"/>
      <c r="AU251" s="732" t="s">
        <v>3980</v>
      </c>
      <c r="AV251" s="735"/>
      <c r="AW251" s="735"/>
    </row>
    <row r="252" spans="1:49" s="739" customFormat="1">
      <c r="A252" s="736" t="s">
        <v>152</v>
      </c>
      <c r="B252" s="736" t="s">
        <v>152</v>
      </c>
      <c r="C252" s="736"/>
      <c r="D252" s="736" t="s">
        <v>152</v>
      </c>
      <c r="E252" s="736" t="s">
        <v>152</v>
      </c>
      <c r="F252" s="1059">
        <f>IFERROR(VLOOKUP($A252,'2018'!$A:$BB,3,FALSE),"")</f>
        <v>452597954</v>
      </c>
      <c r="G252" s="1055" t="str">
        <f>IFERROR(VLOOKUP($A252,'2018'!$A:$BB,4,FALSE),"")</f>
        <v xml:space="preserve">250 Natural Bridges Drive, 
Santa Cruz, CA 95060
</v>
      </c>
      <c r="H252" s="1055" t="str">
        <f>IFERROR(VLOOKUP($A252,'2018'!$A:$BB,5,FALSE),"")</f>
        <v xml:space="preserve">Melanie Mahtani
(650) 799-9910
mmahtani@companiondx.com </v>
      </c>
      <c r="I252" s="1055" t="str">
        <f>IFERROR(VLOOKUP($A252,'2018'!$A:$BB,6,FALSE),"")</f>
        <v xml:space="preserve">Melanie Mahtani
(650) 799-9910
mmahtani@companiondx.com </v>
      </c>
      <c r="J252" s="1055" t="str">
        <f>IFERROR(VLOOKUP($A252,'2018'!$A:$BB,7,FALSE),"")</f>
        <v>HUB (San Diego)</v>
      </c>
      <c r="K252" s="1055" t="str">
        <f>IFERROR(VLOOKUP($A252,'2018'!$A:$BB,8,FALSE),"")</f>
        <v>Account Managed by HUB SD Team
Producer - Dave Duenas
Service Lead - Courtney Stanley</v>
      </c>
      <c r="L252" s="1062" t="str">
        <f>IFERROR(VLOOKUP($A252,'2018'!$A:$BB,9,FALSE),"")</f>
        <v>Renewal</v>
      </c>
      <c r="M252" s="1067">
        <f>IFERROR(VLOOKUP($A252,'2018'!$A:$BB,10,FALSE),"")</f>
        <v>42826</v>
      </c>
      <c r="N252" s="1062">
        <f>IFERROR(VLOOKUP($A252,'2018'!$A:$BB,12,FALSE),"")</f>
        <v>2</v>
      </c>
      <c r="O252" s="1055" t="str">
        <f>IFERROR(VLOOKUP($A252,'2018'!$A:$BB,13,FALSE),"")</f>
        <v xml:space="preserve">IGOE </v>
      </c>
      <c r="P252" s="1055" t="str">
        <f>IFERROR(VLOOKUP($A252,'2018'!$A:$BB,14,FALSE),"")</f>
        <v>Maestro</v>
      </c>
      <c r="Q252" s="1055" t="str">
        <f>IFERROR(VLOOKUP($A252,'2018'!$A:$BB,16,FALSE),"")</f>
        <v>N/A</v>
      </c>
      <c r="R252" s="1055" t="str">
        <f>IFERROR(VLOOKUP($A252,'2018'!$A:$BB,17,FALSE),"")</f>
        <v>Optum Health</v>
      </c>
      <c r="S252" s="1062" t="str">
        <f>IFERROR(VLOOKUP($A252,'2018'!$A:$BB,20,FALSE),"")</f>
        <v>NCAL</v>
      </c>
      <c r="T252" s="1062" t="str">
        <f>IFERROR(VLOOKUP($A252,'2018'!$A:$BB,21,FALSE),"")</f>
        <v>Group C (44-54)</v>
      </c>
      <c r="U252" s="1062" t="str">
        <f>IFERROR(VLOOKUP($A252,'2018'!$A:$BB,22,FALSE),"")</f>
        <v>Expanded</v>
      </c>
      <c r="V252" s="1062" t="str">
        <f>IFERROR(VLOOKUP($A252,'2018'!$A:$BB,23,FALSE),"")</f>
        <v>Advantage</v>
      </c>
      <c r="W252" s="1062" t="str">
        <f>IFERROR(VLOOKUP($A252,'2018'!$A:$BB,24,FALSE),"")</f>
        <v>No</v>
      </c>
      <c r="X252" s="1062" t="str">
        <f>IFERROR(VLOOKUP($A252,'2018'!$A:$BB,41,FALSE),"")</f>
        <v xml:space="preserve">Region 4 </v>
      </c>
      <c r="Y252" s="1062" t="str">
        <f>IFERROR(VLOOKUP($A252,'2018'!$A:$BB,42,FALSE),"")</f>
        <v>(2-9)</v>
      </c>
      <c r="Z252" s="1062" t="str">
        <f>IFERROR(VLOOKUP($A252,'2018'!$A:$BB,45,FALSE),"")</f>
        <v xml:space="preserve"> (2-49)</v>
      </c>
      <c r="AA252" s="731">
        <v>2018</v>
      </c>
      <c r="AB252" s="733" t="s">
        <v>3884</v>
      </c>
      <c r="AC252" s="734" t="s">
        <v>303</v>
      </c>
      <c r="AD252" s="734" t="s">
        <v>3656</v>
      </c>
      <c r="AE252" s="734" t="s">
        <v>307</v>
      </c>
      <c r="AF252" s="734" t="s">
        <v>113</v>
      </c>
      <c r="AG252" s="732" t="s">
        <v>3972</v>
      </c>
      <c r="AH252" s="732" t="s">
        <v>3973</v>
      </c>
      <c r="AI252" s="734">
        <v>7</v>
      </c>
      <c r="AJ252" s="748" t="s">
        <v>4001</v>
      </c>
      <c r="AK252" s="757">
        <v>909678</v>
      </c>
      <c r="AL252" s="756">
        <v>328</v>
      </c>
      <c r="AM252" s="755">
        <v>909678</v>
      </c>
      <c r="AN252" s="756">
        <v>329</v>
      </c>
      <c r="AO252" s="776">
        <f t="shared" ref="AO252:AO255" si="61">AM252</f>
        <v>909678</v>
      </c>
      <c r="AP252" s="754">
        <f>AN252+1</f>
        <v>330</v>
      </c>
      <c r="AQ252" s="771" t="s">
        <v>3979</v>
      </c>
      <c r="AR252" s="732" t="s">
        <v>2661</v>
      </c>
      <c r="AS252" s="735"/>
      <c r="AT252" s="735"/>
      <c r="AU252" s="732" t="s">
        <v>3980</v>
      </c>
      <c r="AV252" s="735"/>
      <c r="AW252" s="735"/>
    </row>
    <row r="253" spans="1:49" s="739" customFormat="1">
      <c r="A253" s="736" t="s">
        <v>152</v>
      </c>
      <c r="B253" s="736" t="s">
        <v>152</v>
      </c>
      <c r="C253" s="736"/>
      <c r="D253" s="736" t="s">
        <v>152</v>
      </c>
      <c r="E253" s="736" t="s">
        <v>152</v>
      </c>
      <c r="F253" s="1059">
        <f>IFERROR(VLOOKUP($A253,'2018'!$A:$BB,3,FALSE),"")</f>
        <v>452597954</v>
      </c>
      <c r="G253" s="1055" t="str">
        <f>IFERROR(VLOOKUP($A253,'2018'!$A:$BB,4,FALSE),"")</f>
        <v xml:space="preserve">250 Natural Bridges Drive, 
Santa Cruz, CA 95060
</v>
      </c>
      <c r="H253" s="1055" t="str">
        <f>IFERROR(VLOOKUP($A253,'2018'!$A:$BB,5,FALSE),"")</f>
        <v xml:space="preserve">Melanie Mahtani
(650) 799-9910
mmahtani@companiondx.com </v>
      </c>
      <c r="I253" s="1055" t="str">
        <f>IFERROR(VLOOKUP($A253,'2018'!$A:$BB,6,FALSE),"")</f>
        <v xml:space="preserve">Melanie Mahtani
(650) 799-9910
mmahtani@companiondx.com </v>
      </c>
      <c r="J253" s="1055" t="str">
        <f>IFERROR(VLOOKUP($A253,'2018'!$A:$BB,7,FALSE),"")</f>
        <v>HUB (San Diego)</v>
      </c>
      <c r="K253" s="1055" t="str">
        <f>IFERROR(VLOOKUP($A253,'2018'!$A:$BB,8,FALSE),"")</f>
        <v>Account Managed by HUB SD Team
Producer - Dave Duenas
Service Lead - Courtney Stanley</v>
      </c>
      <c r="L253" s="1062" t="str">
        <f>IFERROR(VLOOKUP($A253,'2018'!$A:$BB,9,FALSE),"")</f>
        <v>Renewal</v>
      </c>
      <c r="M253" s="1067">
        <f>IFERROR(VLOOKUP($A253,'2018'!$A:$BB,10,FALSE),"")</f>
        <v>42826</v>
      </c>
      <c r="N253" s="1062">
        <f>IFERROR(VLOOKUP($A253,'2018'!$A:$BB,12,FALSE),"")</f>
        <v>2</v>
      </c>
      <c r="O253" s="1055" t="str">
        <f>IFERROR(VLOOKUP($A253,'2018'!$A:$BB,13,FALSE),"")</f>
        <v xml:space="preserve">IGOE </v>
      </c>
      <c r="P253" s="1055" t="str">
        <f>IFERROR(VLOOKUP($A253,'2018'!$A:$BB,14,FALSE),"")</f>
        <v>Maestro</v>
      </c>
      <c r="Q253" s="1055" t="str">
        <f>IFERROR(VLOOKUP($A253,'2018'!$A:$BB,16,FALSE),"")</f>
        <v>N/A</v>
      </c>
      <c r="R253" s="1055" t="str">
        <f>IFERROR(VLOOKUP($A253,'2018'!$A:$BB,17,FALSE),"")</f>
        <v>Optum Health</v>
      </c>
      <c r="S253" s="1062" t="str">
        <f>IFERROR(VLOOKUP($A253,'2018'!$A:$BB,20,FALSE),"")</f>
        <v>NCAL</v>
      </c>
      <c r="T253" s="1062" t="str">
        <f>IFERROR(VLOOKUP($A253,'2018'!$A:$BB,21,FALSE),"")</f>
        <v>Group C (44-54)</v>
      </c>
      <c r="U253" s="1062" t="str">
        <f>IFERROR(VLOOKUP($A253,'2018'!$A:$BB,22,FALSE),"")</f>
        <v>Expanded</v>
      </c>
      <c r="V253" s="1062" t="str">
        <f>IFERROR(VLOOKUP($A253,'2018'!$A:$BB,23,FALSE),"")</f>
        <v>Advantage</v>
      </c>
      <c r="W253" s="1062" t="str">
        <f>IFERROR(VLOOKUP($A253,'2018'!$A:$BB,24,FALSE),"")</f>
        <v>No</v>
      </c>
      <c r="X253" s="1062" t="str">
        <f>IFERROR(VLOOKUP($A253,'2018'!$A:$BB,41,FALSE),"")</f>
        <v xml:space="preserve">Region 4 </v>
      </c>
      <c r="Y253" s="1062" t="str">
        <f>IFERROR(VLOOKUP($A253,'2018'!$A:$BB,42,FALSE),"")</f>
        <v>(2-9)</v>
      </c>
      <c r="Z253" s="1062" t="str">
        <f>IFERROR(VLOOKUP($A253,'2018'!$A:$BB,45,FALSE),"")</f>
        <v xml:space="preserve"> (2-49)</v>
      </c>
      <c r="AA253" s="731">
        <v>2018</v>
      </c>
      <c r="AB253" s="733" t="s">
        <v>3884</v>
      </c>
      <c r="AC253" s="734" t="s">
        <v>303</v>
      </c>
      <c r="AD253" s="734" t="s">
        <v>3656</v>
      </c>
      <c r="AE253" s="734" t="s">
        <v>307</v>
      </c>
      <c r="AF253" s="734" t="s">
        <v>113</v>
      </c>
      <c r="AG253" s="732" t="s">
        <v>3972</v>
      </c>
      <c r="AH253" s="732" t="s">
        <v>3977</v>
      </c>
      <c r="AI253" s="734">
        <v>13</v>
      </c>
      <c r="AJ253" s="748" t="s">
        <v>4004</v>
      </c>
      <c r="AK253" s="757">
        <v>909678</v>
      </c>
      <c r="AL253" s="756">
        <v>580</v>
      </c>
      <c r="AM253" s="755">
        <v>909678</v>
      </c>
      <c r="AN253" s="756">
        <v>581</v>
      </c>
      <c r="AO253" s="776">
        <f t="shared" si="61"/>
        <v>909678</v>
      </c>
      <c r="AP253" s="754">
        <f>AN253+1</f>
        <v>582</v>
      </c>
      <c r="AQ253" s="771" t="s">
        <v>3979</v>
      </c>
      <c r="AR253" s="732" t="s">
        <v>2661</v>
      </c>
      <c r="AS253" s="735"/>
      <c r="AT253" s="735"/>
      <c r="AU253" s="732" t="s">
        <v>3980</v>
      </c>
      <c r="AV253" s="735"/>
      <c r="AW253" s="735"/>
    </row>
    <row r="254" spans="1:49" s="739" customFormat="1">
      <c r="A254" s="736" t="s">
        <v>152</v>
      </c>
      <c r="B254" s="736" t="s">
        <v>152</v>
      </c>
      <c r="C254" s="736"/>
      <c r="D254" s="736" t="s">
        <v>152</v>
      </c>
      <c r="E254" s="736" t="s">
        <v>152</v>
      </c>
      <c r="F254" s="1059">
        <f>IFERROR(VLOOKUP($A254,'2018'!$A:$BB,3,FALSE),"")</f>
        <v>452597954</v>
      </c>
      <c r="G254" s="1055" t="str">
        <f>IFERROR(VLOOKUP($A254,'2018'!$A:$BB,4,FALSE),"")</f>
        <v xml:space="preserve">250 Natural Bridges Drive, 
Santa Cruz, CA 95060
</v>
      </c>
      <c r="H254" s="1055" t="str">
        <f>IFERROR(VLOOKUP($A254,'2018'!$A:$BB,5,FALSE),"")</f>
        <v xml:space="preserve">Melanie Mahtani
(650) 799-9910
mmahtani@companiondx.com </v>
      </c>
      <c r="I254" s="1055" t="str">
        <f>IFERROR(VLOOKUP($A254,'2018'!$A:$BB,6,FALSE),"")</f>
        <v xml:space="preserve">Melanie Mahtani
(650) 799-9910
mmahtani@companiondx.com </v>
      </c>
      <c r="J254" s="1055" t="str">
        <f>IFERROR(VLOOKUP($A254,'2018'!$A:$BB,7,FALSE),"")</f>
        <v>HUB (San Diego)</v>
      </c>
      <c r="K254" s="1055" t="str">
        <f>IFERROR(VLOOKUP($A254,'2018'!$A:$BB,8,FALSE),"")</f>
        <v>Account Managed by HUB SD Team
Producer - Dave Duenas
Service Lead - Courtney Stanley</v>
      </c>
      <c r="L254" s="1062" t="str">
        <f>IFERROR(VLOOKUP($A254,'2018'!$A:$BB,9,FALSE),"")</f>
        <v>Renewal</v>
      </c>
      <c r="M254" s="1067">
        <f>IFERROR(VLOOKUP($A254,'2018'!$A:$BB,10,FALSE),"")</f>
        <v>42826</v>
      </c>
      <c r="N254" s="1062">
        <f>IFERROR(VLOOKUP($A254,'2018'!$A:$BB,12,FALSE),"")</f>
        <v>2</v>
      </c>
      <c r="O254" s="1055" t="str">
        <f>IFERROR(VLOOKUP($A254,'2018'!$A:$BB,13,FALSE),"")</f>
        <v xml:space="preserve">IGOE </v>
      </c>
      <c r="P254" s="1055" t="str">
        <f>IFERROR(VLOOKUP($A254,'2018'!$A:$BB,14,FALSE),"")</f>
        <v>Maestro</v>
      </c>
      <c r="Q254" s="1055" t="str">
        <f>IFERROR(VLOOKUP($A254,'2018'!$A:$BB,16,FALSE),"")</f>
        <v>N/A</v>
      </c>
      <c r="R254" s="1055" t="str">
        <f>IFERROR(VLOOKUP($A254,'2018'!$A:$BB,17,FALSE),"")</f>
        <v>Optum Health</v>
      </c>
      <c r="S254" s="1062" t="str">
        <f>IFERROR(VLOOKUP($A254,'2018'!$A:$BB,20,FALSE),"")</f>
        <v>NCAL</v>
      </c>
      <c r="T254" s="1062" t="str">
        <f>IFERROR(VLOOKUP($A254,'2018'!$A:$BB,21,FALSE),"")</f>
        <v>Group C (44-54)</v>
      </c>
      <c r="U254" s="1062" t="str">
        <f>IFERROR(VLOOKUP($A254,'2018'!$A:$BB,22,FALSE),"")</f>
        <v>Expanded</v>
      </c>
      <c r="V254" s="1062" t="str">
        <f>IFERROR(VLOOKUP($A254,'2018'!$A:$BB,23,FALSE),"")</f>
        <v>Advantage</v>
      </c>
      <c r="W254" s="1062" t="str">
        <f>IFERROR(VLOOKUP($A254,'2018'!$A:$BB,24,FALSE),"")</f>
        <v>No</v>
      </c>
      <c r="X254" s="1062" t="str">
        <f>IFERROR(VLOOKUP($A254,'2018'!$A:$BB,41,FALSE),"")</f>
        <v xml:space="preserve">Region 4 </v>
      </c>
      <c r="Y254" s="1062" t="str">
        <f>IFERROR(VLOOKUP($A254,'2018'!$A:$BB,42,FALSE),"")</f>
        <v>(2-9)</v>
      </c>
      <c r="Z254" s="1062" t="str">
        <f>IFERROR(VLOOKUP($A254,'2018'!$A:$BB,45,FALSE),"")</f>
        <v xml:space="preserve"> (2-49)</v>
      </c>
      <c r="AA254" s="731">
        <v>2018</v>
      </c>
      <c r="AB254" s="733" t="s">
        <v>3884</v>
      </c>
      <c r="AC254" s="734" t="s">
        <v>303</v>
      </c>
      <c r="AD254" s="734" t="s">
        <v>3656</v>
      </c>
      <c r="AE254" s="734" t="s">
        <v>307</v>
      </c>
      <c r="AF254" s="734" t="s">
        <v>113</v>
      </c>
      <c r="AG254" s="732" t="s">
        <v>3981</v>
      </c>
      <c r="AH254" s="732" t="s">
        <v>3973</v>
      </c>
      <c r="AI254" s="734">
        <v>11</v>
      </c>
      <c r="AJ254" s="748" t="s">
        <v>3982</v>
      </c>
      <c r="AK254" s="757">
        <v>909678</v>
      </c>
      <c r="AL254" s="756">
        <v>472</v>
      </c>
      <c r="AM254" s="755">
        <v>909678</v>
      </c>
      <c r="AN254" s="756">
        <v>473</v>
      </c>
      <c r="AO254" s="776">
        <f t="shared" si="61"/>
        <v>909678</v>
      </c>
      <c r="AP254" s="754">
        <f>AN254+1</f>
        <v>474</v>
      </c>
      <c r="AQ254" s="771" t="s">
        <v>3979</v>
      </c>
      <c r="AR254" s="732" t="s">
        <v>2661</v>
      </c>
      <c r="AS254" s="735"/>
      <c r="AT254" s="735"/>
      <c r="AU254" s="732" t="s">
        <v>3980</v>
      </c>
      <c r="AV254" s="735"/>
      <c r="AW254" s="735"/>
    </row>
    <row r="255" spans="1:49" s="739" customFormat="1">
      <c r="A255" s="736" t="s">
        <v>152</v>
      </c>
      <c r="B255" s="736" t="s">
        <v>152</v>
      </c>
      <c r="C255" s="736"/>
      <c r="D255" s="736" t="s">
        <v>152</v>
      </c>
      <c r="E255" s="736" t="s">
        <v>152</v>
      </c>
      <c r="F255" s="1059">
        <f>IFERROR(VLOOKUP($A255,'2018'!$A:$BB,3,FALSE),"")</f>
        <v>452597954</v>
      </c>
      <c r="G255" s="1055" t="str">
        <f>IFERROR(VLOOKUP($A255,'2018'!$A:$BB,4,FALSE),"")</f>
        <v xml:space="preserve">250 Natural Bridges Drive, 
Santa Cruz, CA 95060
</v>
      </c>
      <c r="H255" s="1055" t="str">
        <f>IFERROR(VLOOKUP($A255,'2018'!$A:$BB,5,FALSE),"")</f>
        <v xml:space="preserve">Melanie Mahtani
(650) 799-9910
mmahtani@companiondx.com </v>
      </c>
      <c r="I255" s="1055" t="str">
        <f>IFERROR(VLOOKUP($A255,'2018'!$A:$BB,6,FALSE),"")</f>
        <v xml:space="preserve">Melanie Mahtani
(650) 799-9910
mmahtani@companiondx.com </v>
      </c>
      <c r="J255" s="1055" t="str">
        <f>IFERROR(VLOOKUP($A255,'2018'!$A:$BB,7,FALSE),"")</f>
        <v>HUB (San Diego)</v>
      </c>
      <c r="K255" s="1055" t="str">
        <f>IFERROR(VLOOKUP($A255,'2018'!$A:$BB,8,FALSE),"")</f>
        <v>Account Managed by HUB SD Team
Producer - Dave Duenas
Service Lead - Courtney Stanley</v>
      </c>
      <c r="L255" s="1062" t="str">
        <f>IFERROR(VLOOKUP($A255,'2018'!$A:$BB,9,FALSE),"")</f>
        <v>Renewal</v>
      </c>
      <c r="M255" s="1067">
        <f>IFERROR(VLOOKUP($A255,'2018'!$A:$BB,10,FALSE),"")</f>
        <v>42826</v>
      </c>
      <c r="N255" s="1062">
        <f>IFERROR(VLOOKUP($A255,'2018'!$A:$BB,12,FALSE),"")</f>
        <v>2</v>
      </c>
      <c r="O255" s="1055" t="str">
        <f>IFERROR(VLOOKUP($A255,'2018'!$A:$BB,13,FALSE),"")</f>
        <v xml:space="preserve">IGOE </v>
      </c>
      <c r="P255" s="1055" t="str">
        <f>IFERROR(VLOOKUP($A255,'2018'!$A:$BB,14,FALSE),"")</f>
        <v>Maestro</v>
      </c>
      <c r="Q255" s="1055" t="str">
        <f>IFERROR(VLOOKUP($A255,'2018'!$A:$BB,16,FALSE),"")</f>
        <v>N/A</v>
      </c>
      <c r="R255" s="1055" t="str">
        <f>IFERROR(VLOOKUP($A255,'2018'!$A:$BB,17,FALSE),"")</f>
        <v>Optum Health</v>
      </c>
      <c r="S255" s="1062" t="str">
        <f>IFERROR(VLOOKUP($A255,'2018'!$A:$BB,20,FALSE),"")</f>
        <v>NCAL</v>
      </c>
      <c r="T255" s="1062" t="str">
        <f>IFERROR(VLOOKUP($A255,'2018'!$A:$BB,21,FALSE),"")</f>
        <v>Group C (44-54)</v>
      </c>
      <c r="U255" s="1062" t="str">
        <f>IFERROR(VLOOKUP($A255,'2018'!$A:$BB,22,FALSE),"")</f>
        <v>Expanded</v>
      </c>
      <c r="V255" s="1062" t="str">
        <f>IFERROR(VLOOKUP($A255,'2018'!$A:$BB,23,FALSE),"")</f>
        <v>Advantage</v>
      </c>
      <c r="W255" s="1062" t="str">
        <f>IFERROR(VLOOKUP($A255,'2018'!$A:$BB,24,FALSE),"")</f>
        <v>No</v>
      </c>
      <c r="X255" s="1062" t="str">
        <f>IFERROR(VLOOKUP($A255,'2018'!$A:$BB,41,FALSE),"")</f>
        <v xml:space="preserve">Region 4 </v>
      </c>
      <c r="Y255" s="1062" t="str">
        <f>IFERROR(VLOOKUP($A255,'2018'!$A:$BB,42,FALSE),"")</f>
        <v>(2-9)</v>
      </c>
      <c r="Z255" s="1062" t="str">
        <f>IFERROR(VLOOKUP($A255,'2018'!$A:$BB,45,FALSE),"")</f>
        <v xml:space="preserve"> (2-49)</v>
      </c>
      <c r="AA255" s="731">
        <v>2018</v>
      </c>
      <c r="AB255" s="733" t="s">
        <v>3884</v>
      </c>
      <c r="AC255" s="734" t="s">
        <v>303</v>
      </c>
      <c r="AD255" s="734" t="s">
        <v>3656</v>
      </c>
      <c r="AE255" s="734" t="s">
        <v>307</v>
      </c>
      <c r="AF255" s="734" t="s">
        <v>113</v>
      </c>
      <c r="AG255" s="732" t="s">
        <v>3981</v>
      </c>
      <c r="AH255" s="732" t="s">
        <v>3977</v>
      </c>
      <c r="AI255" s="734">
        <v>16</v>
      </c>
      <c r="AJ255" s="748" t="s">
        <v>3985</v>
      </c>
      <c r="AK255" s="757">
        <v>909678</v>
      </c>
      <c r="AL255" s="756">
        <v>724</v>
      </c>
      <c r="AM255" s="755">
        <v>909678</v>
      </c>
      <c r="AN255" s="756">
        <v>725</v>
      </c>
      <c r="AO255" s="776">
        <f t="shared" si="61"/>
        <v>909678</v>
      </c>
      <c r="AP255" s="754">
        <f>AN255+1</f>
        <v>726</v>
      </c>
      <c r="AQ255" s="771" t="s">
        <v>3979</v>
      </c>
      <c r="AR255" s="732" t="s">
        <v>2661</v>
      </c>
      <c r="AS255" s="735"/>
      <c r="AT255" s="735"/>
      <c r="AU255" s="732" t="s">
        <v>3980</v>
      </c>
      <c r="AV255" s="735"/>
      <c r="AW255" s="735"/>
    </row>
    <row r="256" spans="1:49" s="739" customFormat="1">
      <c r="A256" s="736"/>
      <c r="B256" s="736"/>
      <c r="C256" s="736"/>
      <c r="D256" s="736"/>
      <c r="E256" s="736"/>
      <c r="F256" s="1059" t="str">
        <f>IFERROR(VLOOKUP($A256,'2018'!$A:$BB,3,FALSE),"")</f>
        <v/>
      </c>
      <c r="G256" s="1055" t="str">
        <f>IFERROR(VLOOKUP($A256,'2018'!$A:$BB,4,FALSE),"")</f>
        <v/>
      </c>
      <c r="H256" s="1055" t="str">
        <f>IFERROR(VLOOKUP($A256,'2018'!$A:$BB,5,FALSE),"")</f>
        <v/>
      </c>
      <c r="I256" s="1055" t="str">
        <f>IFERROR(VLOOKUP($A256,'2018'!$A:$BB,6,FALSE),"")</f>
        <v/>
      </c>
      <c r="J256" s="1055" t="str">
        <f>IFERROR(VLOOKUP($A256,'2018'!$A:$BB,7,FALSE),"")</f>
        <v/>
      </c>
      <c r="K256" s="1055" t="str">
        <f>IFERROR(VLOOKUP($A256,'2018'!$A:$BB,8,FALSE),"")</f>
        <v/>
      </c>
      <c r="L256" s="1062" t="str">
        <f>IFERROR(VLOOKUP($A256,'2018'!$A:$BB,9,FALSE),"")</f>
        <v/>
      </c>
      <c r="M256" s="1067" t="str">
        <f>IFERROR(VLOOKUP($A256,'2018'!$A:$BB,10,FALSE),"")</f>
        <v/>
      </c>
      <c r="N256" s="1062" t="str">
        <f>IFERROR(VLOOKUP($A256,'2018'!$A:$BB,12,FALSE),"")</f>
        <v/>
      </c>
      <c r="O256" s="1055" t="str">
        <f>IFERROR(VLOOKUP($A256,'2018'!$A:$BB,13,FALSE),"")</f>
        <v/>
      </c>
      <c r="P256" s="1055" t="str">
        <f>IFERROR(VLOOKUP($A256,'2018'!$A:$BB,14,FALSE),"")</f>
        <v/>
      </c>
      <c r="Q256" s="1055" t="str">
        <f>IFERROR(VLOOKUP($A256,'2018'!$A:$BB,16,FALSE),"")</f>
        <v/>
      </c>
      <c r="R256" s="1055" t="str">
        <f>IFERROR(VLOOKUP($A256,'2018'!$A:$BB,17,FALSE),"")</f>
        <v/>
      </c>
      <c r="S256" s="1062" t="str">
        <f>IFERROR(VLOOKUP($A256,'2018'!$A:$BB,20,FALSE),"")</f>
        <v/>
      </c>
      <c r="T256" s="1062" t="str">
        <f>IFERROR(VLOOKUP($A256,'2018'!$A:$BB,21,FALSE),"")</f>
        <v/>
      </c>
      <c r="U256" s="1062" t="str">
        <f>IFERROR(VLOOKUP($A256,'2018'!$A:$BB,22,FALSE),"")</f>
        <v/>
      </c>
      <c r="V256" s="1062" t="str">
        <f>IFERROR(VLOOKUP($A256,'2018'!$A:$BB,23,FALSE),"")</f>
        <v/>
      </c>
      <c r="W256" s="1062" t="str">
        <f>IFERROR(VLOOKUP($A256,'2018'!$A:$BB,24,FALSE),"")</f>
        <v/>
      </c>
      <c r="X256" s="1062" t="str">
        <f>IFERROR(VLOOKUP($A256,'2018'!$A:$BB,41,FALSE),"")</f>
        <v/>
      </c>
      <c r="Y256" s="1062" t="str">
        <f>IFERROR(VLOOKUP($A256,'2018'!$A:$BB,42,FALSE),"")</f>
        <v/>
      </c>
      <c r="Z256" s="1062" t="str">
        <f>IFERROR(VLOOKUP($A256,'2018'!$A:$BB,45,FALSE),"")</f>
        <v/>
      </c>
      <c r="AA256" s="741"/>
      <c r="AB256" s="733"/>
      <c r="AC256" s="734"/>
      <c r="AD256" s="734"/>
      <c r="AE256" s="734"/>
      <c r="AF256" s="734"/>
      <c r="AG256" s="732"/>
      <c r="AH256" s="732"/>
      <c r="AI256" s="734"/>
      <c r="AJ256" s="748"/>
      <c r="AK256" s="758"/>
      <c r="AL256" s="756"/>
      <c r="AM256" s="753"/>
      <c r="AN256" s="754"/>
      <c r="AO256" s="776"/>
      <c r="AP256" s="754"/>
      <c r="AQ256" s="771"/>
      <c r="AR256" s="732"/>
      <c r="AS256" s="732"/>
      <c r="AT256" s="732"/>
      <c r="AU256" s="732"/>
      <c r="AV256" s="732"/>
      <c r="AW256" s="732"/>
    </row>
    <row r="257" spans="1:49">
      <c r="A257" s="738" t="s">
        <v>1293</v>
      </c>
      <c r="B257" s="738" t="s">
        <v>1293</v>
      </c>
      <c r="C257" s="738"/>
      <c r="D257" s="738" t="s">
        <v>4192</v>
      </c>
      <c r="E257" s="738" t="s">
        <v>4192</v>
      </c>
      <c r="F257" s="1059">
        <f>IFERROR(VLOOKUP($A257,'2018'!$A:$BB,3,FALSE),"")</f>
        <v>823006157</v>
      </c>
      <c r="G257" s="1055" t="str">
        <f>IFERROR(VLOOKUP($A257,'2018'!$A:$BB,4,FALSE),"")</f>
        <v>1929 East Pointe Ave
Carlsbad, CA 92008</v>
      </c>
      <c r="H257" s="1055" t="str">
        <f>IFERROR(VLOOKUP($A257,'2018'!$A:$BB,5,FALSE),"")</f>
        <v>Paulo Rangel
(858) 205-2281
prangel@primmunerx.com</v>
      </c>
      <c r="I257" s="1055" t="str">
        <f>IFERROR(VLOOKUP($A257,'2018'!$A:$BB,6,FALSE),"")</f>
        <v>Paulo Rangel
(858) 205-2281
prangel@primmunerx.com</v>
      </c>
      <c r="J257" s="1055" t="str">
        <f>IFERROR(VLOOKUP($A257,'2018'!$A:$BB,7,FALSE),"")</f>
        <v>HUB (San Diego)</v>
      </c>
      <c r="K257" s="1055" t="str">
        <f>IFERROR(VLOOKUP($A257,'2018'!$A:$BB,8,FALSE),"")</f>
        <v xml:space="preserve">Account Managed by HUB SD Team
Producer - Neal Cook
Service Lead - Pam Andrakowicz
</v>
      </c>
      <c r="L257" s="1062" t="str">
        <f>IFERROR(VLOOKUP($A257,'2018'!$A:$BB,9,FALSE),"")</f>
        <v>New</v>
      </c>
      <c r="M257" s="1067">
        <f>IFERROR(VLOOKUP($A257,'2018'!$A:$BB,10,FALSE),"")</f>
        <v>43101</v>
      </c>
      <c r="N257" s="1062">
        <f>IFERROR(VLOOKUP($A257,'2018'!$A:$BB,12,FALSE),"")</f>
        <v>2</v>
      </c>
      <c r="O257" s="1055" t="str">
        <f>IFERROR(VLOOKUP($A257,'2018'!$A:$BB,13,FALSE),"")</f>
        <v xml:space="preserve">IGOE </v>
      </c>
      <c r="P257" s="1055" t="str">
        <f>IFERROR(VLOOKUP($A257,'2018'!$A:$BB,14,FALSE),"")</f>
        <v>Maestro</v>
      </c>
      <c r="Q257" s="1055" t="str">
        <f>IFERROR(VLOOKUP($A257,'2018'!$A:$BB,16,FALSE),"")</f>
        <v>N/A</v>
      </c>
      <c r="R257" s="1055" t="str">
        <f>IFERROR(VLOOKUP($A257,'2018'!$A:$BB,17,FALSE),"")</f>
        <v>Optum Health</v>
      </c>
      <c r="S257" s="1062" t="str">
        <f>IFERROR(VLOOKUP($A257,'2018'!$A:$BB,20,FALSE),"")</f>
        <v>SCAL</v>
      </c>
      <c r="T257" s="1062" t="str">
        <f>IFERROR(VLOOKUP($A257,'2018'!$A:$BB,21,FALSE),"")</f>
        <v>Group D (54+)</v>
      </c>
      <c r="U257" s="1062" t="str">
        <f>IFERROR(VLOOKUP($A257,'2018'!$A:$BB,22,FALSE),"")</f>
        <v>Expanded</v>
      </c>
      <c r="V257" s="1062" t="str">
        <f>IFERROR(VLOOKUP($A257,'2018'!$A:$BB,23,FALSE),"")</f>
        <v>Advantage</v>
      </c>
      <c r="W257" s="1062" t="str">
        <f>IFERROR(VLOOKUP($A257,'2018'!$A:$BB,24,FALSE),"")</f>
        <v>No</v>
      </c>
      <c r="X257" s="1062" t="str">
        <f>IFERROR(VLOOKUP($A257,'2018'!$A:$BB,41,FALSE),"")</f>
        <v>Region 1</v>
      </c>
      <c r="Y257" s="1062" t="str">
        <f>IFERROR(VLOOKUP($A257,'2018'!$A:$BB,42,FALSE),"")</f>
        <v>(2-9)</v>
      </c>
      <c r="Z257" s="1062" t="str">
        <f>IFERROR(VLOOKUP($A257,'2018'!$A:$BB,45,FALSE),"")</f>
        <v xml:space="preserve"> (2-49)</v>
      </c>
      <c r="AA257" s="730">
        <v>2018</v>
      </c>
      <c r="AB257" s="728" t="s">
        <v>3887</v>
      </c>
      <c r="AC257" s="727" t="s">
        <v>317</v>
      </c>
      <c r="AD257" s="727" t="s">
        <v>3658</v>
      </c>
      <c r="AE257" s="727" t="s">
        <v>307</v>
      </c>
      <c r="AF257" s="727" t="s">
        <v>113</v>
      </c>
      <c r="AG257" s="726" t="s">
        <v>3981</v>
      </c>
      <c r="AH257" s="726" t="s">
        <v>3973</v>
      </c>
      <c r="AI257" s="727">
        <v>11</v>
      </c>
      <c r="AJ257" s="747" t="s">
        <v>3982</v>
      </c>
      <c r="AK257" s="757">
        <v>909678</v>
      </c>
      <c r="AL257" s="754">
        <v>487</v>
      </c>
      <c r="AM257" s="755">
        <v>909678</v>
      </c>
      <c r="AN257" s="754">
        <v>488</v>
      </c>
      <c r="AO257" s="776">
        <f t="shared" ref="AO257:AO258" si="62">AM257</f>
        <v>909678</v>
      </c>
      <c r="AP257" s="754">
        <f t="shared" si="46"/>
        <v>489</v>
      </c>
      <c r="AQ257" s="770"/>
      <c r="AR257" s="726" t="s">
        <v>2661</v>
      </c>
      <c r="AS257" s="726" t="s">
        <v>3983</v>
      </c>
      <c r="AT257" s="726">
        <v>4870487</v>
      </c>
      <c r="AU257" s="726" t="s">
        <v>3966</v>
      </c>
      <c r="AV257" s="726" t="s">
        <v>4080</v>
      </c>
      <c r="AW257" s="726">
        <v>4880488</v>
      </c>
    </row>
    <row r="258" spans="1:49">
      <c r="A258" s="736" t="s">
        <v>1293</v>
      </c>
      <c r="B258" s="736" t="s">
        <v>1293</v>
      </c>
      <c r="C258" s="736"/>
      <c r="D258" s="736" t="s">
        <v>4192</v>
      </c>
      <c r="E258" s="736" t="s">
        <v>4192</v>
      </c>
      <c r="F258" s="1059">
        <f>IFERROR(VLOOKUP($A258,'2018'!$A:$BB,3,FALSE),"")</f>
        <v>823006157</v>
      </c>
      <c r="G258" s="1055" t="str">
        <f>IFERROR(VLOOKUP($A258,'2018'!$A:$BB,4,FALSE),"")</f>
        <v>1929 East Pointe Ave
Carlsbad, CA 92008</v>
      </c>
      <c r="H258" s="1055" t="str">
        <f>IFERROR(VLOOKUP($A258,'2018'!$A:$BB,5,FALSE),"")</f>
        <v>Paulo Rangel
(858) 205-2281
prangel@primmunerx.com</v>
      </c>
      <c r="I258" s="1055" t="str">
        <f>IFERROR(VLOOKUP($A258,'2018'!$A:$BB,6,FALSE),"")</f>
        <v>Paulo Rangel
(858) 205-2281
prangel@primmunerx.com</v>
      </c>
      <c r="J258" s="1055" t="str">
        <f>IFERROR(VLOOKUP($A258,'2018'!$A:$BB,7,FALSE),"")</f>
        <v>HUB (San Diego)</v>
      </c>
      <c r="K258" s="1055" t="str">
        <f>IFERROR(VLOOKUP($A258,'2018'!$A:$BB,8,FALSE),"")</f>
        <v xml:space="preserve">Account Managed by HUB SD Team
Producer - Neal Cook
Service Lead - Pam Andrakowicz
</v>
      </c>
      <c r="L258" s="1062" t="str">
        <f>IFERROR(VLOOKUP($A258,'2018'!$A:$BB,9,FALSE),"")</f>
        <v>New</v>
      </c>
      <c r="M258" s="1067">
        <f>IFERROR(VLOOKUP($A258,'2018'!$A:$BB,10,FALSE),"")</f>
        <v>43101</v>
      </c>
      <c r="N258" s="1062">
        <f>IFERROR(VLOOKUP($A258,'2018'!$A:$BB,12,FALSE),"")</f>
        <v>2</v>
      </c>
      <c r="O258" s="1055" t="str">
        <f>IFERROR(VLOOKUP($A258,'2018'!$A:$BB,13,FALSE),"")</f>
        <v xml:space="preserve">IGOE </v>
      </c>
      <c r="P258" s="1055" t="str">
        <f>IFERROR(VLOOKUP($A258,'2018'!$A:$BB,14,FALSE),"")</f>
        <v>Maestro</v>
      </c>
      <c r="Q258" s="1055" t="str">
        <f>IFERROR(VLOOKUP($A258,'2018'!$A:$BB,16,FALSE),"")</f>
        <v>N/A</v>
      </c>
      <c r="R258" s="1055" t="str">
        <f>IFERROR(VLOOKUP($A258,'2018'!$A:$BB,17,FALSE),"")</f>
        <v>Optum Health</v>
      </c>
      <c r="S258" s="1062" t="str">
        <f>IFERROR(VLOOKUP($A258,'2018'!$A:$BB,20,FALSE),"")</f>
        <v>SCAL</v>
      </c>
      <c r="T258" s="1062" t="str">
        <f>IFERROR(VLOOKUP($A258,'2018'!$A:$BB,21,FALSE),"")</f>
        <v>Group D (54+)</v>
      </c>
      <c r="U258" s="1062" t="str">
        <f>IFERROR(VLOOKUP($A258,'2018'!$A:$BB,22,FALSE),"")</f>
        <v>Expanded</v>
      </c>
      <c r="V258" s="1062" t="str">
        <f>IFERROR(VLOOKUP($A258,'2018'!$A:$BB,23,FALSE),"")</f>
        <v>Advantage</v>
      </c>
      <c r="W258" s="1062" t="str">
        <f>IFERROR(VLOOKUP($A258,'2018'!$A:$BB,24,FALSE),"")</f>
        <v>No</v>
      </c>
      <c r="X258" s="1062" t="str">
        <f>IFERROR(VLOOKUP($A258,'2018'!$A:$BB,41,FALSE),"")</f>
        <v>Region 1</v>
      </c>
      <c r="Y258" s="1062" t="str">
        <f>IFERROR(VLOOKUP($A258,'2018'!$A:$BB,42,FALSE),"")</f>
        <v>(2-9)</v>
      </c>
      <c r="Z258" s="1062" t="str">
        <f>IFERROR(VLOOKUP($A258,'2018'!$A:$BB,45,FALSE),"")</f>
        <v xml:space="preserve"> (2-49)</v>
      </c>
      <c r="AA258" s="731">
        <v>2018</v>
      </c>
      <c r="AB258" s="733" t="s">
        <v>3887</v>
      </c>
      <c r="AC258" s="734" t="s">
        <v>317</v>
      </c>
      <c r="AD258" s="734" t="s">
        <v>3658</v>
      </c>
      <c r="AE258" s="734" t="s">
        <v>307</v>
      </c>
      <c r="AF258" s="734" t="s">
        <v>113</v>
      </c>
      <c r="AG258" s="732" t="s">
        <v>3981</v>
      </c>
      <c r="AH258" s="732" t="s">
        <v>3977</v>
      </c>
      <c r="AI258" s="734">
        <v>16</v>
      </c>
      <c r="AJ258" s="748" t="s">
        <v>3985</v>
      </c>
      <c r="AK258" s="757">
        <v>909678</v>
      </c>
      <c r="AL258" s="756">
        <v>739</v>
      </c>
      <c r="AM258" s="755">
        <v>909678</v>
      </c>
      <c r="AN258" s="756">
        <v>740</v>
      </c>
      <c r="AO258" s="776">
        <f t="shared" si="62"/>
        <v>909678</v>
      </c>
      <c r="AP258" s="754">
        <f t="shared" si="46"/>
        <v>741</v>
      </c>
      <c r="AQ258" s="771" t="s">
        <v>3979</v>
      </c>
      <c r="AR258" s="732" t="s">
        <v>2661</v>
      </c>
      <c r="AS258" s="735"/>
      <c r="AT258" s="735"/>
      <c r="AU258" s="732" t="s">
        <v>3980</v>
      </c>
      <c r="AV258" s="735"/>
      <c r="AW258" s="735"/>
    </row>
    <row r="259" spans="1:49">
      <c r="A259" s="738"/>
      <c r="B259" s="738"/>
      <c r="C259" s="738"/>
      <c r="D259" s="738"/>
      <c r="E259" s="738"/>
      <c r="F259" s="1059" t="str">
        <f>IFERROR(VLOOKUP($A259,'2018'!$A:$BB,3,FALSE),"")</f>
        <v/>
      </c>
      <c r="G259" s="1055" t="str">
        <f>IFERROR(VLOOKUP($A259,'2018'!$A:$BB,4,FALSE),"")</f>
        <v/>
      </c>
      <c r="H259" s="1055" t="str">
        <f>IFERROR(VLOOKUP($A259,'2018'!$A:$BB,5,FALSE),"")</f>
        <v/>
      </c>
      <c r="I259" s="1055" t="str">
        <f>IFERROR(VLOOKUP($A259,'2018'!$A:$BB,6,FALSE),"")</f>
        <v/>
      </c>
      <c r="J259" s="1055" t="str">
        <f>IFERROR(VLOOKUP($A259,'2018'!$A:$BB,7,FALSE),"")</f>
        <v/>
      </c>
      <c r="K259" s="1055" t="str">
        <f>IFERROR(VLOOKUP($A259,'2018'!$A:$BB,8,FALSE),"")</f>
        <v/>
      </c>
      <c r="L259" s="1062" t="str">
        <f>IFERROR(VLOOKUP($A259,'2018'!$A:$BB,9,FALSE),"")</f>
        <v/>
      </c>
      <c r="M259" s="1067" t="str">
        <f>IFERROR(VLOOKUP($A259,'2018'!$A:$BB,10,FALSE),"")</f>
        <v/>
      </c>
      <c r="N259" s="1062" t="str">
        <f>IFERROR(VLOOKUP($A259,'2018'!$A:$BB,12,FALSE),"")</f>
        <v/>
      </c>
      <c r="O259" s="1055" t="str">
        <f>IFERROR(VLOOKUP($A259,'2018'!$A:$BB,13,FALSE),"")</f>
        <v/>
      </c>
      <c r="P259" s="1055" t="str">
        <f>IFERROR(VLOOKUP($A259,'2018'!$A:$BB,14,FALSE),"")</f>
        <v/>
      </c>
      <c r="Q259" s="1055" t="str">
        <f>IFERROR(VLOOKUP($A259,'2018'!$A:$BB,16,FALSE),"")</f>
        <v/>
      </c>
      <c r="R259" s="1055" t="str">
        <f>IFERROR(VLOOKUP($A259,'2018'!$A:$BB,17,FALSE),"")</f>
        <v/>
      </c>
      <c r="S259" s="1062" t="str">
        <f>IFERROR(VLOOKUP($A259,'2018'!$A:$BB,20,FALSE),"")</f>
        <v/>
      </c>
      <c r="T259" s="1062" t="str">
        <f>IFERROR(VLOOKUP($A259,'2018'!$A:$BB,21,FALSE),"")</f>
        <v/>
      </c>
      <c r="U259" s="1062" t="str">
        <f>IFERROR(VLOOKUP($A259,'2018'!$A:$BB,22,FALSE),"")</f>
        <v/>
      </c>
      <c r="V259" s="1062" t="str">
        <f>IFERROR(VLOOKUP($A259,'2018'!$A:$BB,23,FALSE),"")</f>
        <v/>
      </c>
      <c r="W259" s="1062" t="str">
        <f>IFERROR(VLOOKUP($A259,'2018'!$A:$BB,24,FALSE),"")</f>
        <v/>
      </c>
      <c r="X259" s="1062" t="str">
        <f>IFERROR(VLOOKUP($A259,'2018'!$A:$BB,41,FALSE),"")</f>
        <v/>
      </c>
      <c r="Y259" s="1062" t="str">
        <f>IFERROR(VLOOKUP($A259,'2018'!$A:$BB,42,FALSE),"")</f>
        <v/>
      </c>
      <c r="Z259" s="1062" t="str">
        <f>IFERROR(VLOOKUP($A259,'2018'!$A:$BB,45,FALSE),"")</f>
        <v/>
      </c>
      <c r="AA259" s="727"/>
      <c r="AB259" s="728"/>
      <c r="AC259" s="727"/>
      <c r="AD259" s="727"/>
      <c r="AE259" s="727"/>
      <c r="AF259" s="727"/>
      <c r="AG259" s="726"/>
      <c r="AH259" s="726"/>
      <c r="AI259" s="727"/>
      <c r="AJ259" s="747"/>
      <c r="AK259" s="753"/>
      <c r="AL259" s="754"/>
      <c r="AM259" s="753"/>
      <c r="AN259" s="754"/>
      <c r="AO259" s="776"/>
      <c r="AP259" s="754"/>
      <c r="AQ259" s="770"/>
      <c r="AR259" s="726"/>
      <c r="AS259" s="726"/>
      <c r="AT259" s="726"/>
      <c r="AU259" s="726"/>
      <c r="AV259" s="726"/>
      <c r="AW259" s="726"/>
    </row>
    <row r="260" spans="1:49">
      <c r="A260" s="738" t="s">
        <v>154</v>
      </c>
      <c r="B260" s="738" t="s">
        <v>3889</v>
      </c>
      <c r="C260" s="738"/>
      <c r="D260" s="738" t="s">
        <v>154</v>
      </c>
      <c r="E260" s="738" t="s">
        <v>154</v>
      </c>
      <c r="F260" s="1059">
        <f>IFERROR(VLOOKUP($A260,'2018'!$A:$BB,3,FALSE),"")</f>
        <v>841261240</v>
      </c>
      <c r="G260" s="1055" t="str">
        <f>IFERROR(VLOOKUP($A260,'2018'!$A:$BB,4,FALSE),"")</f>
        <v>2361 McGaw Ave 
Irvine, CA 92614</v>
      </c>
      <c r="H260" s="1055" t="str">
        <f>IFERROR(VLOOKUP($A260,'2018'!$A:$BB,5,FALSE),"")</f>
        <v>Rosie Hokanson
949-769-3243
Rosie.hokanson@pro-dex.com</v>
      </c>
      <c r="I260" s="1055" t="str">
        <f>IFERROR(VLOOKUP($A260,'2018'!$A:$BB,6,FALSE),"")</f>
        <v>Rosie Hokanson
949-769-3243
Rosie.hokanson@pro-dex.com</v>
      </c>
      <c r="J260" s="1055" t="str">
        <f>IFERROR(VLOOKUP($A260,'2018'!$A:$BB,7,FALSE),"")</f>
        <v>HUB (Orange County)</v>
      </c>
      <c r="K260" s="1055" t="str">
        <f>IFERROR(VLOOKUP($A260,'2018'!$A:$BB,8,FALSE),"")</f>
        <v>Account Managed by HUB OC Team
Producer - Rob Queen
Service Lead - Ann Wilson 
AR- Elise Greenwood</v>
      </c>
      <c r="L260" s="1062" t="str">
        <f>IFERROR(VLOOKUP($A260,'2018'!$A:$BB,9,FALSE),"")</f>
        <v>Renewal</v>
      </c>
      <c r="M260" s="1067">
        <f>IFERROR(VLOOKUP($A260,'2018'!$A:$BB,10,FALSE),"")</f>
        <v>42705</v>
      </c>
      <c r="N260" s="1062">
        <f>IFERROR(VLOOKUP($A260,'2018'!$A:$BB,12,FALSE),"")</f>
        <v>77</v>
      </c>
      <c r="O260" s="1055" t="str">
        <f>IFERROR(VLOOKUP($A260,'2018'!$A:$BB,13,FALSE),"")</f>
        <v xml:space="preserve">IGOE </v>
      </c>
      <c r="P260" s="1055" t="str">
        <f>IFERROR(VLOOKUP($A260,'2018'!$A:$BB,14,FALSE),"")</f>
        <v>OnCore</v>
      </c>
      <c r="Q260" s="1055" t="str">
        <f>IFERROR(VLOOKUP($A260,'2018'!$A:$BB,16,FALSE),"")</f>
        <v>IGOE</v>
      </c>
      <c r="R260" s="1055" t="str">
        <f>IFERROR(VLOOKUP($A260,'2018'!$A:$BB,17,FALSE),"")</f>
        <v>Optum Health</v>
      </c>
      <c r="S260" s="1062" t="str">
        <f>IFERROR(VLOOKUP($A260,'2018'!$A:$BB,20,FALSE),"")</f>
        <v>SCAL</v>
      </c>
      <c r="T260" s="1062" t="str">
        <f>IFERROR(VLOOKUP($A260,'2018'!$A:$BB,21,FALSE),"")</f>
        <v>Group C (44-54)</v>
      </c>
      <c r="U260" s="1062" t="str">
        <f>IFERROR(VLOOKUP($A260,'2018'!$A:$BB,22,FALSE),"")</f>
        <v>Expanded</v>
      </c>
      <c r="V260" s="1062" t="str">
        <f>IFERROR(VLOOKUP($A260,'2018'!$A:$BB,23,FALSE),"")</f>
        <v>Advantage</v>
      </c>
      <c r="W260" s="1062" t="str">
        <f>IFERROR(VLOOKUP($A260,'2018'!$A:$BB,24,FALSE),"")</f>
        <v>No</v>
      </c>
      <c r="X260" s="1062" t="str">
        <f>IFERROR(VLOOKUP($A260,'2018'!$A:$BB,41,FALSE),"")</f>
        <v xml:space="preserve">Region 2 </v>
      </c>
      <c r="Y260" s="1062" t="str">
        <f>IFERROR(VLOOKUP($A260,'2018'!$A:$BB,42,FALSE),"")</f>
        <v>(50-99)</v>
      </c>
      <c r="Z260" s="1062" t="str">
        <f>IFERROR(VLOOKUP($A260,'2018'!$A:$BB,45,FALSE),"")</f>
        <v xml:space="preserve"> (50-99)</v>
      </c>
      <c r="AA260" s="730">
        <v>2018</v>
      </c>
      <c r="AB260" s="1020" t="s">
        <v>3890</v>
      </c>
      <c r="AC260" s="727" t="s">
        <v>317</v>
      </c>
      <c r="AD260" s="727" t="s">
        <v>3656</v>
      </c>
      <c r="AE260" s="727" t="s">
        <v>307</v>
      </c>
      <c r="AF260" s="727" t="s">
        <v>113</v>
      </c>
      <c r="AG260" s="726" t="s">
        <v>3962</v>
      </c>
      <c r="AH260" s="726" t="s">
        <v>3963</v>
      </c>
      <c r="AI260" s="727">
        <v>3</v>
      </c>
      <c r="AJ260" s="747" t="s">
        <v>4021</v>
      </c>
      <c r="AK260" s="753">
        <v>260116</v>
      </c>
      <c r="AL260" s="754">
        <v>217</v>
      </c>
      <c r="AM260" s="753">
        <v>260117</v>
      </c>
      <c r="AN260" s="754">
        <v>218</v>
      </c>
      <c r="AO260" s="776">
        <f t="shared" si="53"/>
        <v>260118</v>
      </c>
      <c r="AP260" s="754">
        <f t="shared" si="46"/>
        <v>219</v>
      </c>
      <c r="AQ260" s="770"/>
      <c r="AR260" s="726" t="s">
        <v>2661</v>
      </c>
      <c r="AS260" s="726" t="s">
        <v>4081</v>
      </c>
      <c r="AT260" s="726">
        <v>2170217</v>
      </c>
      <c r="AU260" s="726" t="s">
        <v>3966</v>
      </c>
      <c r="AV260" s="726" t="s">
        <v>4006</v>
      </c>
      <c r="AW260" s="726">
        <v>2180218</v>
      </c>
    </row>
    <row r="261" spans="1:49">
      <c r="A261" s="738" t="s">
        <v>154</v>
      </c>
      <c r="B261" s="738" t="s">
        <v>3889</v>
      </c>
      <c r="C261" s="738"/>
      <c r="D261" s="738" t="s">
        <v>154</v>
      </c>
      <c r="E261" s="738" t="s">
        <v>154</v>
      </c>
      <c r="F261" s="1059">
        <f>IFERROR(VLOOKUP($A261,'2018'!$A:$BB,3,FALSE),"")</f>
        <v>841261240</v>
      </c>
      <c r="G261" s="1055" t="str">
        <f>IFERROR(VLOOKUP($A261,'2018'!$A:$BB,4,FALSE),"")</f>
        <v>2361 McGaw Ave 
Irvine, CA 92614</v>
      </c>
      <c r="H261" s="1055" t="str">
        <f>IFERROR(VLOOKUP($A261,'2018'!$A:$BB,5,FALSE),"")</f>
        <v>Rosie Hokanson
949-769-3243
Rosie.hokanson@pro-dex.com</v>
      </c>
      <c r="I261" s="1055" t="str">
        <f>IFERROR(VLOOKUP($A261,'2018'!$A:$BB,6,FALSE),"")</f>
        <v>Rosie Hokanson
949-769-3243
Rosie.hokanson@pro-dex.com</v>
      </c>
      <c r="J261" s="1055" t="str">
        <f>IFERROR(VLOOKUP($A261,'2018'!$A:$BB,7,FALSE),"")</f>
        <v>HUB (Orange County)</v>
      </c>
      <c r="K261" s="1055" t="str">
        <f>IFERROR(VLOOKUP($A261,'2018'!$A:$BB,8,FALSE),"")</f>
        <v>Account Managed by HUB OC Team
Producer - Rob Queen
Service Lead - Ann Wilson 
AR- Elise Greenwood</v>
      </c>
      <c r="L261" s="1062" t="str">
        <f>IFERROR(VLOOKUP($A261,'2018'!$A:$BB,9,FALSE),"")</f>
        <v>Renewal</v>
      </c>
      <c r="M261" s="1067">
        <f>IFERROR(VLOOKUP($A261,'2018'!$A:$BB,10,FALSE),"")</f>
        <v>42705</v>
      </c>
      <c r="N261" s="1062">
        <f>IFERROR(VLOOKUP($A261,'2018'!$A:$BB,12,FALSE),"")</f>
        <v>77</v>
      </c>
      <c r="O261" s="1055" t="str">
        <f>IFERROR(VLOOKUP($A261,'2018'!$A:$BB,13,FALSE),"")</f>
        <v xml:space="preserve">IGOE </v>
      </c>
      <c r="P261" s="1055" t="str">
        <f>IFERROR(VLOOKUP($A261,'2018'!$A:$BB,14,FALSE),"")</f>
        <v>OnCore</v>
      </c>
      <c r="Q261" s="1055" t="str">
        <f>IFERROR(VLOOKUP($A261,'2018'!$A:$BB,16,FALSE),"")</f>
        <v>IGOE</v>
      </c>
      <c r="R261" s="1055" t="str">
        <f>IFERROR(VLOOKUP($A261,'2018'!$A:$BB,17,FALSE),"")</f>
        <v>Optum Health</v>
      </c>
      <c r="S261" s="1062" t="str">
        <f>IFERROR(VLOOKUP($A261,'2018'!$A:$BB,20,FALSE),"")</f>
        <v>SCAL</v>
      </c>
      <c r="T261" s="1062" t="str">
        <f>IFERROR(VLOOKUP($A261,'2018'!$A:$BB,21,FALSE),"")</f>
        <v>Group C (44-54)</v>
      </c>
      <c r="U261" s="1062" t="str">
        <f>IFERROR(VLOOKUP($A261,'2018'!$A:$BB,22,FALSE),"")</f>
        <v>Expanded</v>
      </c>
      <c r="V261" s="1062" t="str">
        <f>IFERROR(VLOOKUP($A261,'2018'!$A:$BB,23,FALSE),"")</f>
        <v>Advantage</v>
      </c>
      <c r="W261" s="1062" t="str">
        <f>IFERROR(VLOOKUP($A261,'2018'!$A:$BB,24,FALSE),"")</f>
        <v>No</v>
      </c>
      <c r="X261" s="1062" t="str">
        <f>IFERROR(VLOOKUP($A261,'2018'!$A:$BB,41,FALSE),"")</f>
        <v xml:space="preserve">Region 2 </v>
      </c>
      <c r="Y261" s="1062" t="str">
        <f>IFERROR(VLOOKUP($A261,'2018'!$A:$BB,42,FALSE),"")</f>
        <v>(50-99)</v>
      </c>
      <c r="Z261" s="1062" t="str">
        <f>IFERROR(VLOOKUP($A261,'2018'!$A:$BB,45,FALSE),"")</f>
        <v xml:space="preserve"> (50-99)</v>
      </c>
      <c r="AA261" s="730">
        <v>2018</v>
      </c>
      <c r="AB261" s="1020" t="s">
        <v>3890</v>
      </c>
      <c r="AC261" s="727" t="s">
        <v>317</v>
      </c>
      <c r="AD261" s="727" t="s">
        <v>3656</v>
      </c>
      <c r="AE261" s="727" t="s">
        <v>307</v>
      </c>
      <c r="AF261" s="727" t="s">
        <v>113</v>
      </c>
      <c r="AG261" s="726" t="s">
        <v>3962</v>
      </c>
      <c r="AH261" s="726" t="s">
        <v>3968</v>
      </c>
      <c r="AI261" s="727">
        <v>5</v>
      </c>
      <c r="AJ261" s="747" t="s">
        <v>4082</v>
      </c>
      <c r="AK261" s="753">
        <v>260164</v>
      </c>
      <c r="AL261" s="754">
        <v>265</v>
      </c>
      <c r="AM261" s="753">
        <v>260165</v>
      </c>
      <c r="AN261" s="754">
        <v>266</v>
      </c>
      <c r="AO261" s="776">
        <f t="shared" si="53"/>
        <v>260166</v>
      </c>
      <c r="AP261" s="754">
        <f t="shared" si="46"/>
        <v>267</v>
      </c>
      <c r="AQ261" s="770"/>
      <c r="AR261" s="726" t="s">
        <v>2661</v>
      </c>
      <c r="AS261" s="726" t="s">
        <v>4083</v>
      </c>
      <c r="AT261" s="726">
        <v>2650265</v>
      </c>
      <c r="AU261" s="726" t="s">
        <v>3966</v>
      </c>
      <c r="AV261" s="726" t="s">
        <v>4084</v>
      </c>
      <c r="AW261" s="726">
        <v>2660266</v>
      </c>
    </row>
    <row r="262" spans="1:49">
      <c r="A262" s="738" t="s">
        <v>154</v>
      </c>
      <c r="B262" s="738" t="s">
        <v>3889</v>
      </c>
      <c r="C262" s="738"/>
      <c r="D262" s="738" t="s">
        <v>154</v>
      </c>
      <c r="E262" s="738" t="s">
        <v>154</v>
      </c>
      <c r="F262" s="1059">
        <f>IFERROR(VLOOKUP($A262,'2018'!$A:$BB,3,FALSE),"")</f>
        <v>841261240</v>
      </c>
      <c r="G262" s="1055" t="str">
        <f>IFERROR(VLOOKUP($A262,'2018'!$A:$BB,4,FALSE),"")</f>
        <v>2361 McGaw Ave 
Irvine, CA 92614</v>
      </c>
      <c r="H262" s="1055" t="str">
        <f>IFERROR(VLOOKUP($A262,'2018'!$A:$BB,5,FALSE),"")</f>
        <v>Rosie Hokanson
949-769-3243
Rosie.hokanson@pro-dex.com</v>
      </c>
      <c r="I262" s="1055" t="str">
        <f>IFERROR(VLOOKUP($A262,'2018'!$A:$BB,6,FALSE),"")</f>
        <v>Rosie Hokanson
949-769-3243
Rosie.hokanson@pro-dex.com</v>
      </c>
      <c r="J262" s="1055" t="str">
        <f>IFERROR(VLOOKUP($A262,'2018'!$A:$BB,7,FALSE),"")</f>
        <v>HUB (Orange County)</v>
      </c>
      <c r="K262" s="1055" t="str">
        <f>IFERROR(VLOOKUP($A262,'2018'!$A:$BB,8,FALSE),"")</f>
        <v>Account Managed by HUB OC Team
Producer - Rob Queen
Service Lead - Ann Wilson 
AR- Elise Greenwood</v>
      </c>
      <c r="L262" s="1062" t="str">
        <f>IFERROR(VLOOKUP($A262,'2018'!$A:$BB,9,FALSE),"")</f>
        <v>Renewal</v>
      </c>
      <c r="M262" s="1067">
        <f>IFERROR(VLOOKUP($A262,'2018'!$A:$BB,10,FALSE),"")</f>
        <v>42705</v>
      </c>
      <c r="N262" s="1062">
        <f>IFERROR(VLOOKUP($A262,'2018'!$A:$BB,12,FALSE),"")</f>
        <v>77</v>
      </c>
      <c r="O262" s="1055" t="str">
        <f>IFERROR(VLOOKUP($A262,'2018'!$A:$BB,13,FALSE),"")</f>
        <v xml:space="preserve">IGOE </v>
      </c>
      <c r="P262" s="1055" t="str">
        <f>IFERROR(VLOOKUP($A262,'2018'!$A:$BB,14,FALSE),"")</f>
        <v>OnCore</v>
      </c>
      <c r="Q262" s="1055" t="str">
        <f>IFERROR(VLOOKUP($A262,'2018'!$A:$BB,16,FALSE),"")</f>
        <v>IGOE</v>
      </c>
      <c r="R262" s="1055" t="str">
        <f>IFERROR(VLOOKUP($A262,'2018'!$A:$BB,17,FALSE),"")</f>
        <v>Optum Health</v>
      </c>
      <c r="S262" s="1062" t="str">
        <f>IFERROR(VLOOKUP($A262,'2018'!$A:$BB,20,FALSE),"")</f>
        <v>SCAL</v>
      </c>
      <c r="T262" s="1062" t="str">
        <f>IFERROR(VLOOKUP($A262,'2018'!$A:$BB,21,FALSE),"")</f>
        <v>Group C (44-54)</v>
      </c>
      <c r="U262" s="1062" t="str">
        <f>IFERROR(VLOOKUP($A262,'2018'!$A:$BB,22,FALSE),"")</f>
        <v>Expanded</v>
      </c>
      <c r="V262" s="1062" t="str">
        <f>IFERROR(VLOOKUP($A262,'2018'!$A:$BB,23,FALSE),"")</f>
        <v>Advantage</v>
      </c>
      <c r="W262" s="1062" t="str">
        <f>IFERROR(VLOOKUP($A262,'2018'!$A:$BB,24,FALSE),"")</f>
        <v>No</v>
      </c>
      <c r="X262" s="1062" t="str">
        <f>IFERROR(VLOOKUP($A262,'2018'!$A:$BB,41,FALSE),"")</f>
        <v xml:space="preserve">Region 2 </v>
      </c>
      <c r="Y262" s="1062" t="str">
        <f>IFERROR(VLOOKUP($A262,'2018'!$A:$BB,42,FALSE),"")</f>
        <v>(50-99)</v>
      </c>
      <c r="Z262" s="1062" t="str">
        <f>IFERROR(VLOOKUP($A262,'2018'!$A:$BB,45,FALSE),"")</f>
        <v xml:space="preserve"> (50-99)</v>
      </c>
      <c r="AA262" s="730">
        <v>2018</v>
      </c>
      <c r="AB262" s="1020" t="s">
        <v>3890</v>
      </c>
      <c r="AC262" s="727" t="s">
        <v>317</v>
      </c>
      <c r="AD262" s="727" t="s">
        <v>3656</v>
      </c>
      <c r="AE262" s="727" t="s">
        <v>307</v>
      </c>
      <c r="AF262" s="727" t="s">
        <v>113</v>
      </c>
      <c r="AG262" s="726" t="s">
        <v>3972</v>
      </c>
      <c r="AH262" s="726" t="s">
        <v>3973</v>
      </c>
      <c r="AI262" s="727">
        <v>8</v>
      </c>
      <c r="AJ262" s="747" t="s">
        <v>3992</v>
      </c>
      <c r="AK262" s="757">
        <v>909678</v>
      </c>
      <c r="AL262" s="754">
        <v>376</v>
      </c>
      <c r="AM262" s="755">
        <v>909678</v>
      </c>
      <c r="AN262" s="754">
        <v>377</v>
      </c>
      <c r="AO262" s="776">
        <f t="shared" ref="AO262:AO265" si="63">AM262</f>
        <v>909678</v>
      </c>
      <c r="AP262" s="754">
        <f t="shared" si="46"/>
        <v>378</v>
      </c>
      <c r="AQ262" s="770"/>
      <c r="AR262" s="726" t="s">
        <v>2661</v>
      </c>
      <c r="AS262" s="726" t="s">
        <v>4085</v>
      </c>
      <c r="AT262" s="726">
        <v>3760376</v>
      </c>
      <c r="AU262" s="726" t="s">
        <v>3966</v>
      </c>
      <c r="AV262" s="726" t="s">
        <v>3976</v>
      </c>
      <c r="AW262" s="726">
        <v>3770377</v>
      </c>
    </row>
    <row r="263" spans="1:49">
      <c r="A263" s="738" t="s">
        <v>154</v>
      </c>
      <c r="B263" s="736" t="s">
        <v>3889</v>
      </c>
      <c r="C263" s="736"/>
      <c r="D263" s="736" t="s">
        <v>154</v>
      </c>
      <c r="E263" s="736" t="s">
        <v>154</v>
      </c>
      <c r="F263" s="1059">
        <f>IFERROR(VLOOKUP($A263,'2018'!$A:$BB,3,FALSE),"")</f>
        <v>841261240</v>
      </c>
      <c r="G263" s="1055" t="str">
        <f>IFERROR(VLOOKUP($A263,'2018'!$A:$BB,4,FALSE),"")</f>
        <v>2361 McGaw Ave 
Irvine, CA 92614</v>
      </c>
      <c r="H263" s="1055" t="str">
        <f>IFERROR(VLOOKUP($A263,'2018'!$A:$BB,5,FALSE),"")</f>
        <v>Rosie Hokanson
949-769-3243
Rosie.hokanson@pro-dex.com</v>
      </c>
      <c r="I263" s="1055" t="str">
        <f>IFERROR(VLOOKUP($A263,'2018'!$A:$BB,6,FALSE),"")</f>
        <v>Rosie Hokanson
949-769-3243
Rosie.hokanson@pro-dex.com</v>
      </c>
      <c r="J263" s="1055" t="str">
        <f>IFERROR(VLOOKUP($A263,'2018'!$A:$BB,7,FALSE),"")</f>
        <v>HUB (Orange County)</v>
      </c>
      <c r="K263" s="1055" t="str">
        <f>IFERROR(VLOOKUP($A263,'2018'!$A:$BB,8,FALSE),"")</f>
        <v>Account Managed by HUB OC Team
Producer - Rob Queen
Service Lead - Ann Wilson 
AR- Elise Greenwood</v>
      </c>
      <c r="L263" s="1062" t="str">
        <f>IFERROR(VLOOKUP($A263,'2018'!$A:$BB,9,FALSE),"")</f>
        <v>Renewal</v>
      </c>
      <c r="M263" s="1067">
        <f>IFERROR(VLOOKUP($A263,'2018'!$A:$BB,10,FALSE),"")</f>
        <v>42705</v>
      </c>
      <c r="N263" s="1062">
        <f>IFERROR(VLOOKUP($A263,'2018'!$A:$BB,12,FALSE),"")</f>
        <v>77</v>
      </c>
      <c r="O263" s="1055" t="str">
        <f>IFERROR(VLOOKUP($A263,'2018'!$A:$BB,13,FALSE),"")</f>
        <v xml:space="preserve">IGOE </v>
      </c>
      <c r="P263" s="1055" t="str">
        <f>IFERROR(VLOOKUP($A263,'2018'!$A:$BB,14,FALSE),"")</f>
        <v>OnCore</v>
      </c>
      <c r="Q263" s="1055" t="str">
        <f>IFERROR(VLOOKUP($A263,'2018'!$A:$BB,16,FALSE),"")</f>
        <v>IGOE</v>
      </c>
      <c r="R263" s="1055" t="str">
        <f>IFERROR(VLOOKUP($A263,'2018'!$A:$BB,17,FALSE),"")</f>
        <v>Optum Health</v>
      </c>
      <c r="S263" s="1062" t="str">
        <f>IFERROR(VLOOKUP($A263,'2018'!$A:$BB,20,FALSE),"")</f>
        <v>SCAL</v>
      </c>
      <c r="T263" s="1062" t="str">
        <f>IFERROR(VLOOKUP($A263,'2018'!$A:$BB,21,FALSE),"")</f>
        <v>Group C (44-54)</v>
      </c>
      <c r="U263" s="1062" t="str">
        <f>IFERROR(VLOOKUP($A263,'2018'!$A:$BB,22,FALSE),"")</f>
        <v>Expanded</v>
      </c>
      <c r="V263" s="1062" t="str">
        <f>IFERROR(VLOOKUP($A263,'2018'!$A:$BB,23,FALSE),"")</f>
        <v>Advantage</v>
      </c>
      <c r="W263" s="1062" t="str">
        <f>IFERROR(VLOOKUP($A263,'2018'!$A:$BB,24,FALSE),"")</f>
        <v>No</v>
      </c>
      <c r="X263" s="1062" t="str">
        <f>IFERROR(VLOOKUP($A263,'2018'!$A:$BB,41,FALSE),"")</f>
        <v xml:space="preserve">Region 2 </v>
      </c>
      <c r="Y263" s="1062" t="str">
        <f>IFERROR(VLOOKUP($A263,'2018'!$A:$BB,42,FALSE),"")</f>
        <v>(50-99)</v>
      </c>
      <c r="Z263" s="1062" t="str">
        <f>IFERROR(VLOOKUP($A263,'2018'!$A:$BB,45,FALSE),"")</f>
        <v xml:space="preserve"> (50-99)</v>
      </c>
      <c r="AA263" s="731">
        <v>2018</v>
      </c>
      <c r="AB263" s="1020" t="s">
        <v>3890</v>
      </c>
      <c r="AC263" s="734" t="s">
        <v>317</v>
      </c>
      <c r="AD263" s="734" t="s">
        <v>3656</v>
      </c>
      <c r="AE263" s="734" t="s">
        <v>307</v>
      </c>
      <c r="AF263" s="734" t="s">
        <v>113</v>
      </c>
      <c r="AG263" s="732" t="s">
        <v>3972</v>
      </c>
      <c r="AH263" s="732" t="s">
        <v>3977</v>
      </c>
      <c r="AI263" s="734">
        <v>14</v>
      </c>
      <c r="AJ263" s="748" t="s">
        <v>3994</v>
      </c>
      <c r="AK263" s="757">
        <v>909678</v>
      </c>
      <c r="AL263" s="756">
        <v>628</v>
      </c>
      <c r="AM263" s="755">
        <v>909678</v>
      </c>
      <c r="AN263" s="756">
        <v>629</v>
      </c>
      <c r="AO263" s="776">
        <f t="shared" si="63"/>
        <v>909678</v>
      </c>
      <c r="AP263" s="754">
        <f t="shared" si="46"/>
        <v>630</v>
      </c>
      <c r="AQ263" s="771" t="s">
        <v>3979</v>
      </c>
      <c r="AR263" s="732" t="s">
        <v>2661</v>
      </c>
      <c r="AS263" s="735"/>
      <c r="AT263" s="735"/>
      <c r="AU263" s="732" t="s">
        <v>3980</v>
      </c>
      <c r="AV263" s="735"/>
      <c r="AW263" s="735"/>
    </row>
    <row r="264" spans="1:49">
      <c r="A264" s="738" t="s">
        <v>154</v>
      </c>
      <c r="B264" s="738" t="s">
        <v>3889</v>
      </c>
      <c r="C264" s="738"/>
      <c r="D264" s="738" t="s">
        <v>154</v>
      </c>
      <c r="E264" s="738" t="s">
        <v>154</v>
      </c>
      <c r="F264" s="1059">
        <f>IFERROR(VLOOKUP($A264,'2018'!$A:$BB,3,FALSE),"")</f>
        <v>841261240</v>
      </c>
      <c r="G264" s="1055" t="str">
        <f>IFERROR(VLOOKUP($A264,'2018'!$A:$BB,4,FALSE),"")</f>
        <v>2361 McGaw Ave 
Irvine, CA 92614</v>
      </c>
      <c r="H264" s="1055" t="str">
        <f>IFERROR(VLOOKUP($A264,'2018'!$A:$BB,5,FALSE),"")</f>
        <v>Rosie Hokanson
949-769-3243
Rosie.hokanson@pro-dex.com</v>
      </c>
      <c r="I264" s="1055" t="str">
        <f>IFERROR(VLOOKUP($A264,'2018'!$A:$BB,6,FALSE),"")</f>
        <v>Rosie Hokanson
949-769-3243
Rosie.hokanson@pro-dex.com</v>
      </c>
      <c r="J264" s="1055" t="str">
        <f>IFERROR(VLOOKUP($A264,'2018'!$A:$BB,7,FALSE),"")</f>
        <v>HUB (Orange County)</v>
      </c>
      <c r="K264" s="1055" t="str">
        <f>IFERROR(VLOOKUP($A264,'2018'!$A:$BB,8,FALSE),"")</f>
        <v>Account Managed by HUB OC Team
Producer - Rob Queen
Service Lead - Ann Wilson 
AR- Elise Greenwood</v>
      </c>
      <c r="L264" s="1062" t="str">
        <f>IFERROR(VLOOKUP($A264,'2018'!$A:$BB,9,FALSE),"")</f>
        <v>Renewal</v>
      </c>
      <c r="M264" s="1067">
        <f>IFERROR(VLOOKUP($A264,'2018'!$A:$BB,10,FALSE),"")</f>
        <v>42705</v>
      </c>
      <c r="N264" s="1062">
        <f>IFERROR(VLOOKUP($A264,'2018'!$A:$BB,12,FALSE),"")</f>
        <v>77</v>
      </c>
      <c r="O264" s="1055" t="str">
        <f>IFERROR(VLOOKUP($A264,'2018'!$A:$BB,13,FALSE),"")</f>
        <v xml:space="preserve">IGOE </v>
      </c>
      <c r="P264" s="1055" t="str">
        <f>IFERROR(VLOOKUP($A264,'2018'!$A:$BB,14,FALSE),"")</f>
        <v>OnCore</v>
      </c>
      <c r="Q264" s="1055" t="str">
        <f>IFERROR(VLOOKUP($A264,'2018'!$A:$BB,16,FALSE),"")</f>
        <v>IGOE</v>
      </c>
      <c r="R264" s="1055" t="str">
        <f>IFERROR(VLOOKUP($A264,'2018'!$A:$BB,17,FALSE),"")</f>
        <v>Optum Health</v>
      </c>
      <c r="S264" s="1062" t="str">
        <f>IFERROR(VLOOKUP($A264,'2018'!$A:$BB,20,FALSE),"")</f>
        <v>SCAL</v>
      </c>
      <c r="T264" s="1062" t="str">
        <f>IFERROR(VLOOKUP($A264,'2018'!$A:$BB,21,FALSE),"")</f>
        <v>Group C (44-54)</v>
      </c>
      <c r="U264" s="1062" t="str">
        <f>IFERROR(VLOOKUP($A264,'2018'!$A:$BB,22,FALSE),"")</f>
        <v>Expanded</v>
      </c>
      <c r="V264" s="1062" t="str">
        <f>IFERROR(VLOOKUP($A264,'2018'!$A:$BB,23,FALSE),"")</f>
        <v>Advantage</v>
      </c>
      <c r="W264" s="1062" t="str">
        <f>IFERROR(VLOOKUP($A264,'2018'!$A:$BB,24,FALSE),"")</f>
        <v>No</v>
      </c>
      <c r="X264" s="1062" t="str">
        <f>IFERROR(VLOOKUP($A264,'2018'!$A:$BB,41,FALSE),"")</f>
        <v xml:space="preserve">Region 2 </v>
      </c>
      <c r="Y264" s="1062" t="str">
        <f>IFERROR(VLOOKUP($A264,'2018'!$A:$BB,42,FALSE),"")</f>
        <v>(50-99)</v>
      </c>
      <c r="Z264" s="1062" t="str">
        <f>IFERROR(VLOOKUP($A264,'2018'!$A:$BB,45,FALSE),"")</f>
        <v xml:space="preserve"> (50-99)</v>
      </c>
      <c r="AA264" s="730">
        <v>2018</v>
      </c>
      <c r="AB264" s="1020" t="s">
        <v>3890</v>
      </c>
      <c r="AC264" s="727" t="s">
        <v>317</v>
      </c>
      <c r="AD264" s="727" t="s">
        <v>3656</v>
      </c>
      <c r="AE264" s="727" t="s">
        <v>307</v>
      </c>
      <c r="AF264" s="727" t="s">
        <v>113</v>
      </c>
      <c r="AG264" s="726" t="s">
        <v>3981</v>
      </c>
      <c r="AH264" s="726" t="s">
        <v>3973</v>
      </c>
      <c r="AI264" s="727">
        <v>11</v>
      </c>
      <c r="AJ264" s="747" t="s">
        <v>3982</v>
      </c>
      <c r="AK264" s="757">
        <v>909678</v>
      </c>
      <c r="AL264" s="754">
        <v>484</v>
      </c>
      <c r="AM264" s="755">
        <v>909678</v>
      </c>
      <c r="AN264" s="754">
        <v>485</v>
      </c>
      <c r="AO264" s="776">
        <f t="shared" si="63"/>
        <v>909678</v>
      </c>
      <c r="AP264" s="754">
        <f t="shared" si="46"/>
        <v>486</v>
      </c>
      <c r="AQ264" s="770"/>
      <c r="AR264" s="726" t="s">
        <v>2661</v>
      </c>
      <c r="AS264" s="726" t="s">
        <v>4018</v>
      </c>
      <c r="AT264" s="726">
        <v>4840484</v>
      </c>
      <c r="AU264" s="726" t="s">
        <v>3966</v>
      </c>
      <c r="AV264" s="726" t="s">
        <v>4086</v>
      </c>
      <c r="AW264" s="726">
        <v>4850485</v>
      </c>
    </row>
    <row r="265" spans="1:49">
      <c r="A265" s="738" t="s">
        <v>154</v>
      </c>
      <c r="B265" s="736" t="s">
        <v>3889</v>
      </c>
      <c r="C265" s="736"/>
      <c r="D265" s="736" t="s">
        <v>154</v>
      </c>
      <c r="E265" s="736" t="s">
        <v>154</v>
      </c>
      <c r="F265" s="1059">
        <f>IFERROR(VLOOKUP($A265,'2018'!$A:$BB,3,FALSE),"")</f>
        <v>841261240</v>
      </c>
      <c r="G265" s="1055" t="str">
        <f>IFERROR(VLOOKUP($A265,'2018'!$A:$BB,4,FALSE),"")</f>
        <v>2361 McGaw Ave 
Irvine, CA 92614</v>
      </c>
      <c r="H265" s="1055" t="str">
        <f>IFERROR(VLOOKUP($A265,'2018'!$A:$BB,5,FALSE),"")</f>
        <v>Rosie Hokanson
949-769-3243
Rosie.hokanson@pro-dex.com</v>
      </c>
      <c r="I265" s="1055" t="str">
        <f>IFERROR(VLOOKUP($A265,'2018'!$A:$BB,6,FALSE),"")</f>
        <v>Rosie Hokanson
949-769-3243
Rosie.hokanson@pro-dex.com</v>
      </c>
      <c r="J265" s="1055" t="str">
        <f>IFERROR(VLOOKUP($A265,'2018'!$A:$BB,7,FALSE),"")</f>
        <v>HUB (Orange County)</v>
      </c>
      <c r="K265" s="1055" t="str">
        <f>IFERROR(VLOOKUP($A265,'2018'!$A:$BB,8,FALSE),"")</f>
        <v>Account Managed by HUB OC Team
Producer - Rob Queen
Service Lead - Ann Wilson 
AR- Elise Greenwood</v>
      </c>
      <c r="L265" s="1062" t="str">
        <f>IFERROR(VLOOKUP($A265,'2018'!$A:$BB,9,FALSE),"")</f>
        <v>Renewal</v>
      </c>
      <c r="M265" s="1067">
        <f>IFERROR(VLOOKUP($A265,'2018'!$A:$BB,10,FALSE),"")</f>
        <v>42705</v>
      </c>
      <c r="N265" s="1062">
        <f>IFERROR(VLOOKUP($A265,'2018'!$A:$BB,12,FALSE),"")</f>
        <v>77</v>
      </c>
      <c r="O265" s="1055" t="str">
        <f>IFERROR(VLOOKUP($A265,'2018'!$A:$BB,13,FALSE),"")</f>
        <v xml:space="preserve">IGOE </v>
      </c>
      <c r="P265" s="1055" t="str">
        <f>IFERROR(VLOOKUP($A265,'2018'!$A:$BB,14,FALSE),"")</f>
        <v>OnCore</v>
      </c>
      <c r="Q265" s="1055" t="str">
        <f>IFERROR(VLOOKUP($A265,'2018'!$A:$BB,16,FALSE),"")</f>
        <v>IGOE</v>
      </c>
      <c r="R265" s="1055" t="str">
        <f>IFERROR(VLOOKUP($A265,'2018'!$A:$BB,17,FALSE),"")</f>
        <v>Optum Health</v>
      </c>
      <c r="S265" s="1062" t="str">
        <f>IFERROR(VLOOKUP($A265,'2018'!$A:$BB,20,FALSE),"")</f>
        <v>SCAL</v>
      </c>
      <c r="T265" s="1062" t="str">
        <f>IFERROR(VLOOKUP($A265,'2018'!$A:$BB,21,FALSE),"")</f>
        <v>Group C (44-54)</v>
      </c>
      <c r="U265" s="1062" t="str">
        <f>IFERROR(VLOOKUP($A265,'2018'!$A:$BB,22,FALSE),"")</f>
        <v>Expanded</v>
      </c>
      <c r="V265" s="1062" t="str">
        <f>IFERROR(VLOOKUP($A265,'2018'!$A:$BB,23,FALSE),"")</f>
        <v>Advantage</v>
      </c>
      <c r="W265" s="1062" t="str">
        <f>IFERROR(VLOOKUP($A265,'2018'!$A:$BB,24,FALSE),"")</f>
        <v>No</v>
      </c>
      <c r="X265" s="1062" t="str">
        <f>IFERROR(VLOOKUP($A265,'2018'!$A:$BB,41,FALSE),"")</f>
        <v xml:space="preserve">Region 2 </v>
      </c>
      <c r="Y265" s="1062" t="str">
        <f>IFERROR(VLOOKUP($A265,'2018'!$A:$BB,42,FALSE),"")</f>
        <v>(50-99)</v>
      </c>
      <c r="Z265" s="1062" t="str">
        <f>IFERROR(VLOOKUP($A265,'2018'!$A:$BB,45,FALSE),"")</f>
        <v xml:space="preserve"> (50-99)</v>
      </c>
      <c r="AA265" s="731">
        <v>2018</v>
      </c>
      <c r="AB265" s="1020" t="s">
        <v>3890</v>
      </c>
      <c r="AC265" s="734" t="s">
        <v>317</v>
      </c>
      <c r="AD265" s="734" t="s">
        <v>3656</v>
      </c>
      <c r="AE265" s="734" t="s">
        <v>307</v>
      </c>
      <c r="AF265" s="734" t="s">
        <v>113</v>
      </c>
      <c r="AG265" s="732" t="s">
        <v>3981</v>
      </c>
      <c r="AH265" s="732" t="s">
        <v>3977</v>
      </c>
      <c r="AI265" s="734">
        <v>16</v>
      </c>
      <c r="AJ265" s="748" t="s">
        <v>3985</v>
      </c>
      <c r="AK265" s="757">
        <v>909678</v>
      </c>
      <c r="AL265" s="756">
        <v>736</v>
      </c>
      <c r="AM265" s="755">
        <v>909678</v>
      </c>
      <c r="AN265" s="756">
        <v>737</v>
      </c>
      <c r="AO265" s="776">
        <f t="shared" si="63"/>
        <v>909678</v>
      </c>
      <c r="AP265" s="754">
        <f t="shared" si="46"/>
        <v>738</v>
      </c>
      <c r="AQ265" s="771" t="s">
        <v>3979</v>
      </c>
      <c r="AR265" s="732" t="s">
        <v>2661</v>
      </c>
      <c r="AS265" s="735"/>
      <c r="AT265" s="735"/>
      <c r="AU265" s="732" t="s">
        <v>3980</v>
      </c>
      <c r="AV265" s="735"/>
      <c r="AW265" s="735"/>
    </row>
    <row r="266" spans="1:49">
      <c r="A266" s="738"/>
      <c r="B266" s="738"/>
      <c r="C266" s="738"/>
      <c r="D266" s="738"/>
      <c r="E266" s="738"/>
      <c r="F266" s="1059" t="str">
        <f>IFERROR(VLOOKUP($A266,'2018'!$A:$BB,3,FALSE),"")</f>
        <v/>
      </c>
      <c r="G266" s="1055" t="str">
        <f>IFERROR(VLOOKUP($A266,'2018'!$A:$BB,4,FALSE),"")</f>
        <v/>
      </c>
      <c r="H266" s="1055" t="str">
        <f>IFERROR(VLOOKUP($A266,'2018'!$A:$BB,5,FALSE),"")</f>
        <v/>
      </c>
      <c r="I266" s="1055" t="str">
        <f>IFERROR(VLOOKUP($A266,'2018'!$A:$BB,6,FALSE),"")</f>
        <v/>
      </c>
      <c r="J266" s="1055" t="str">
        <f>IFERROR(VLOOKUP($A266,'2018'!$A:$BB,7,FALSE),"")</f>
        <v/>
      </c>
      <c r="K266" s="1055" t="str">
        <f>IFERROR(VLOOKUP($A266,'2018'!$A:$BB,8,FALSE),"")</f>
        <v/>
      </c>
      <c r="L266" s="1062" t="str">
        <f>IFERROR(VLOOKUP($A266,'2018'!$A:$BB,9,FALSE),"")</f>
        <v/>
      </c>
      <c r="M266" s="1067" t="str">
        <f>IFERROR(VLOOKUP($A266,'2018'!$A:$BB,10,FALSE),"")</f>
        <v/>
      </c>
      <c r="N266" s="1062" t="str">
        <f>IFERROR(VLOOKUP($A266,'2018'!$A:$BB,12,FALSE),"")</f>
        <v/>
      </c>
      <c r="O266" s="1055" t="str">
        <f>IFERROR(VLOOKUP($A266,'2018'!$A:$BB,13,FALSE),"")</f>
        <v/>
      </c>
      <c r="P266" s="1055" t="str">
        <f>IFERROR(VLOOKUP($A266,'2018'!$A:$BB,14,FALSE),"")</f>
        <v/>
      </c>
      <c r="Q266" s="1055" t="str">
        <f>IFERROR(VLOOKUP($A266,'2018'!$A:$BB,16,FALSE),"")</f>
        <v/>
      </c>
      <c r="R266" s="1055" t="str">
        <f>IFERROR(VLOOKUP($A266,'2018'!$A:$BB,17,FALSE),"")</f>
        <v/>
      </c>
      <c r="S266" s="1062" t="str">
        <f>IFERROR(VLOOKUP($A266,'2018'!$A:$BB,20,FALSE),"")</f>
        <v/>
      </c>
      <c r="T266" s="1062" t="str">
        <f>IFERROR(VLOOKUP($A266,'2018'!$A:$BB,21,FALSE),"")</f>
        <v/>
      </c>
      <c r="U266" s="1062" t="str">
        <f>IFERROR(VLOOKUP($A266,'2018'!$A:$BB,22,FALSE),"")</f>
        <v/>
      </c>
      <c r="V266" s="1062" t="str">
        <f>IFERROR(VLOOKUP($A266,'2018'!$A:$BB,23,FALSE),"")</f>
        <v/>
      </c>
      <c r="W266" s="1062" t="str">
        <f>IFERROR(VLOOKUP($A266,'2018'!$A:$BB,24,FALSE),"")</f>
        <v/>
      </c>
      <c r="X266" s="1062" t="str">
        <f>IFERROR(VLOOKUP($A266,'2018'!$A:$BB,41,FALSE),"")</f>
        <v/>
      </c>
      <c r="Y266" s="1062" t="str">
        <f>IFERROR(VLOOKUP($A266,'2018'!$A:$BB,42,FALSE),"")</f>
        <v/>
      </c>
      <c r="Z266" s="1062" t="str">
        <f>IFERROR(VLOOKUP($A266,'2018'!$A:$BB,45,FALSE),"")</f>
        <v/>
      </c>
      <c r="AA266" s="727"/>
      <c r="AB266" s="728"/>
      <c r="AC266" s="727"/>
      <c r="AD266" s="727"/>
      <c r="AE266" s="727"/>
      <c r="AF266" s="727"/>
      <c r="AG266" s="726"/>
      <c r="AH266" s="726"/>
      <c r="AI266" s="727"/>
      <c r="AJ266" s="747"/>
      <c r="AK266" s="753"/>
      <c r="AL266" s="754"/>
      <c r="AM266" s="753"/>
      <c r="AN266" s="754"/>
      <c r="AO266" s="776"/>
      <c r="AP266" s="754"/>
      <c r="AQ266" s="770"/>
      <c r="AR266" s="726"/>
      <c r="AS266" s="726"/>
      <c r="AT266" s="726"/>
      <c r="AU266" s="726"/>
      <c r="AV266" s="726"/>
      <c r="AW266" s="726"/>
    </row>
    <row r="267" spans="1:49">
      <c r="A267" s="738" t="s">
        <v>427</v>
      </c>
      <c r="B267" s="738" t="s">
        <v>4087</v>
      </c>
      <c r="C267" s="738"/>
      <c r="D267" s="738" t="s">
        <v>4193</v>
      </c>
      <c r="E267" s="738" t="s">
        <v>4193</v>
      </c>
      <c r="F267" s="1059">
        <f>IFERROR(VLOOKUP($A267,'2018'!$A:$BB,3,FALSE),"")</f>
        <v>461256213</v>
      </c>
      <c r="G267" s="1055" t="str">
        <f>IFERROR(VLOOKUP($A267,'2018'!$A:$BB,4,FALSE),"")</f>
        <v>331 Oyster Point Blvd.
South San Francisco, CA 94080</v>
      </c>
      <c r="H267" s="1055" t="str">
        <f>IFERROR(VLOOKUP($A267,'2018'!$A:$BB,5,FALSE),"")</f>
        <v>Anne Moriarty
650-837-8550
anne.moriarty@prothena.com
Ria Palarca (Additional Contact)
650-615-2133
ria.palarca@prothena.com 
Kevin Hickey (Contract Signer)
650-837-8545
kevin.hickey@prothena.com</v>
      </c>
      <c r="I267" s="1055" t="str">
        <f>IFERROR(VLOOKUP($A267,'2018'!$A:$BB,6,FALSE),"")</f>
        <v>Anne Moriarty
650-837-8550
anne.moriarty@prothena.com</v>
      </c>
      <c r="J267" s="1055" t="str">
        <f>IFERROR(VLOOKUP($A267,'2018'!$A:$BB,7,FALSE),"")</f>
        <v>Woodruff-Sawyer</v>
      </c>
      <c r="K267" s="1055" t="str">
        <f>IFERROR(VLOOKUP($A267,'2018'!$A:$BB,8,FALSE),"")</f>
        <v xml:space="preserve">Account Managed by Woodruff-Sawyer Team
Producer - Chris Nussbaum
Service Lead - Camille Couture
</v>
      </c>
      <c r="L267" s="1062" t="str">
        <f>IFERROR(VLOOKUP($A267,'2018'!$A:$BB,9,FALSE),"")</f>
        <v>New</v>
      </c>
      <c r="M267" s="1067">
        <f>IFERROR(VLOOKUP($A267,'2018'!$A:$BB,10,FALSE),"")</f>
        <v>43101</v>
      </c>
      <c r="N267" s="1062">
        <f>IFERROR(VLOOKUP($A267,'2018'!$A:$BB,12,FALSE),"")</f>
        <v>101</v>
      </c>
      <c r="O267" s="1055" t="str">
        <f>IFERROR(VLOOKUP($A267,'2018'!$A:$BB,13,FALSE),"")</f>
        <v xml:space="preserve">IGOE </v>
      </c>
      <c r="P267" s="1055" t="str">
        <f>IFERROR(VLOOKUP($A267,'2018'!$A:$BB,14,FALSE),"")</f>
        <v>Maestro</v>
      </c>
      <c r="Q267" s="1055" t="str">
        <f>IFERROR(VLOOKUP($A267,'2018'!$A:$BB,16,FALSE),"")</f>
        <v>IGOE
(Commuter with BASIC)</v>
      </c>
      <c r="R267" s="1055" t="str">
        <f>IFERROR(VLOOKUP($A267,'2018'!$A:$BB,17,FALSE),"")</f>
        <v>Optum Health</v>
      </c>
      <c r="S267" s="1062" t="str">
        <f>IFERROR(VLOOKUP($A267,'2018'!$A:$BB,20,FALSE),"")</f>
        <v>NCAL</v>
      </c>
      <c r="T267" s="1062" t="str">
        <f>IFERROR(VLOOKUP($A267,'2018'!$A:$BB,21,FALSE),"")</f>
        <v>Group C (44-54)</v>
      </c>
      <c r="U267" s="1062" t="str">
        <f>IFERROR(VLOOKUP($A267,'2018'!$A:$BB,22,FALSE),"")</f>
        <v>Expanded</v>
      </c>
      <c r="V267" s="1062" t="str">
        <f>IFERROR(VLOOKUP($A267,'2018'!$A:$BB,23,FALSE),"")</f>
        <v>Advantage</v>
      </c>
      <c r="W267" s="1062" t="str">
        <f>IFERROR(VLOOKUP($A267,'2018'!$A:$BB,24,FALSE),"")</f>
        <v>No</v>
      </c>
      <c r="X267" s="1062" t="str">
        <f>IFERROR(VLOOKUP($A267,'2018'!$A:$BB,41,FALSE),"")</f>
        <v>Region 3</v>
      </c>
      <c r="Y267" s="1062" t="str">
        <f>IFERROR(VLOOKUP($A267,'2018'!$A:$BB,42,FALSE),"")</f>
        <v>(50-99)</v>
      </c>
      <c r="Z267" s="1062" t="str">
        <f>IFERROR(VLOOKUP($A267,'2018'!$A:$BB,45,FALSE),"")</f>
        <v xml:space="preserve"> (50-99)</v>
      </c>
      <c r="AA267" s="730">
        <v>2018</v>
      </c>
      <c r="AB267" s="728" t="s">
        <v>3893</v>
      </c>
      <c r="AC267" s="727" t="s">
        <v>303</v>
      </c>
      <c r="AD267" s="727" t="s">
        <v>3656</v>
      </c>
      <c r="AE267" s="727" t="s">
        <v>307</v>
      </c>
      <c r="AF267" s="727" t="s">
        <v>113</v>
      </c>
      <c r="AG267" s="726" t="s">
        <v>3962</v>
      </c>
      <c r="AH267" s="726" t="s">
        <v>3963</v>
      </c>
      <c r="AI267" s="727">
        <v>3</v>
      </c>
      <c r="AJ267" s="747" t="s">
        <v>4043</v>
      </c>
      <c r="AK267" s="753">
        <v>260104</v>
      </c>
      <c r="AL267" s="754">
        <v>205</v>
      </c>
      <c r="AM267" s="753">
        <v>260105</v>
      </c>
      <c r="AN267" s="754">
        <v>206</v>
      </c>
      <c r="AO267" s="776">
        <f t="shared" si="53"/>
        <v>260106</v>
      </c>
      <c r="AP267" s="754">
        <f t="shared" si="46"/>
        <v>207</v>
      </c>
      <c r="AQ267" s="770"/>
      <c r="AR267" s="726" t="s">
        <v>2661</v>
      </c>
      <c r="AS267" s="726" t="s">
        <v>4044</v>
      </c>
      <c r="AT267" s="726">
        <v>2050205</v>
      </c>
      <c r="AU267" s="726" t="s">
        <v>3966</v>
      </c>
      <c r="AV267" s="726" t="s">
        <v>4088</v>
      </c>
      <c r="AW267" s="726">
        <v>2060206</v>
      </c>
    </row>
    <row r="268" spans="1:49">
      <c r="A268" s="738" t="s">
        <v>427</v>
      </c>
      <c r="B268" s="738" t="s">
        <v>4087</v>
      </c>
      <c r="C268" s="738"/>
      <c r="D268" s="738" t="s">
        <v>4193</v>
      </c>
      <c r="E268" s="738" t="s">
        <v>4193</v>
      </c>
      <c r="F268" s="1059">
        <f>IFERROR(VLOOKUP($A268,'2018'!$A:$BB,3,FALSE),"")</f>
        <v>461256213</v>
      </c>
      <c r="G268" s="1055" t="str">
        <f>IFERROR(VLOOKUP($A268,'2018'!$A:$BB,4,FALSE),"")</f>
        <v>331 Oyster Point Blvd.
South San Francisco, CA 94080</v>
      </c>
      <c r="H268" s="1055" t="str">
        <f>IFERROR(VLOOKUP($A268,'2018'!$A:$BB,5,FALSE),"")</f>
        <v>Anne Moriarty
650-837-8550
anne.moriarty@prothena.com
Ria Palarca (Additional Contact)
650-615-2133
ria.palarca@prothena.com 
Kevin Hickey (Contract Signer)
650-837-8545
kevin.hickey@prothena.com</v>
      </c>
      <c r="I268" s="1055" t="str">
        <f>IFERROR(VLOOKUP($A268,'2018'!$A:$BB,6,FALSE),"")</f>
        <v>Anne Moriarty
650-837-8550
anne.moriarty@prothena.com</v>
      </c>
      <c r="J268" s="1055" t="str">
        <f>IFERROR(VLOOKUP($A268,'2018'!$A:$BB,7,FALSE),"")</f>
        <v>Woodruff-Sawyer</v>
      </c>
      <c r="K268" s="1055" t="str">
        <f>IFERROR(VLOOKUP($A268,'2018'!$A:$BB,8,FALSE),"")</f>
        <v xml:space="preserve">Account Managed by Woodruff-Sawyer Team
Producer - Chris Nussbaum
Service Lead - Camille Couture
</v>
      </c>
      <c r="L268" s="1062" t="str">
        <f>IFERROR(VLOOKUP($A268,'2018'!$A:$BB,9,FALSE),"")</f>
        <v>New</v>
      </c>
      <c r="M268" s="1067">
        <f>IFERROR(VLOOKUP($A268,'2018'!$A:$BB,10,FALSE),"")</f>
        <v>43101</v>
      </c>
      <c r="N268" s="1062">
        <f>IFERROR(VLOOKUP($A268,'2018'!$A:$BB,12,FALSE),"")</f>
        <v>101</v>
      </c>
      <c r="O268" s="1055" t="str">
        <f>IFERROR(VLOOKUP($A268,'2018'!$A:$BB,13,FALSE),"")</f>
        <v xml:space="preserve">IGOE </v>
      </c>
      <c r="P268" s="1055" t="str">
        <f>IFERROR(VLOOKUP($A268,'2018'!$A:$BB,14,FALSE),"")</f>
        <v>Maestro</v>
      </c>
      <c r="Q268" s="1055" t="str">
        <f>IFERROR(VLOOKUP($A268,'2018'!$A:$BB,16,FALSE),"")</f>
        <v>IGOE
(Commuter with BASIC)</v>
      </c>
      <c r="R268" s="1055" t="str">
        <f>IFERROR(VLOOKUP($A268,'2018'!$A:$BB,17,FALSE),"")</f>
        <v>Optum Health</v>
      </c>
      <c r="S268" s="1062" t="str">
        <f>IFERROR(VLOOKUP($A268,'2018'!$A:$BB,20,FALSE),"")</f>
        <v>NCAL</v>
      </c>
      <c r="T268" s="1062" t="str">
        <f>IFERROR(VLOOKUP($A268,'2018'!$A:$BB,21,FALSE),"")</f>
        <v>Group C (44-54)</v>
      </c>
      <c r="U268" s="1062" t="str">
        <f>IFERROR(VLOOKUP($A268,'2018'!$A:$BB,22,FALSE),"")</f>
        <v>Expanded</v>
      </c>
      <c r="V268" s="1062" t="str">
        <f>IFERROR(VLOOKUP($A268,'2018'!$A:$BB,23,FALSE),"")</f>
        <v>Advantage</v>
      </c>
      <c r="W268" s="1062" t="str">
        <f>IFERROR(VLOOKUP($A268,'2018'!$A:$BB,24,FALSE),"")</f>
        <v>No</v>
      </c>
      <c r="X268" s="1062" t="str">
        <f>IFERROR(VLOOKUP($A268,'2018'!$A:$BB,41,FALSE),"")</f>
        <v>Region 3</v>
      </c>
      <c r="Y268" s="1062" t="str">
        <f>IFERROR(VLOOKUP($A268,'2018'!$A:$BB,42,FALSE),"")</f>
        <v>(50-99)</v>
      </c>
      <c r="Z268" s="1062" t="str">
        <f>IFERROR(VLOOKUP($A268,'2018'!$A:$BB,45,FALSE),"")</f>
        <v xml:space="preserve"> (50-99)</v>
      </c>
      <c r="AA268" s="730">
        <v>2018</v>
      </c>
      <c r="AB268" s="728" t="s">
        <v>3893</v>
      </c>
      <c r="AC268" s="727" t="s">
        <v>303</v>
      </c>
      <c r="AD268" s="727" t="s">
        <v>3656</v>
      </c>
      <c r="AE268" s="727" t="s">
        <v>307</v>
      </c>
      <c r="AF268" s="727" t="s">
        <v>113</v>
      </c>
      <c r="AG268" s="726" t="s">
        <v>3972</v>
      </c>
      <c r="AH268" s="726" t="s">
        <v>3973</v>
      </c>
      <c r="AI268" s="727">
        <v>7</v>
      </c>
      <c r="AJ268" s="747" t="s">
        <v>4001</v>
      </c>
      <c r="AK268" s="757">
        <v>909678</v>
      </c>
      <c r="AL268" s="754">
        <v>328</v>
      </c>
      <c r="AM268" s="755">
        <v>909678</v>
      </c>
      <c r="AN268" s="754">
        <v>329</v>
      </c>
      <c r="AO268" s="776">
        <f t="shared" ref="AO268:AO276" si="64">AM268</f>
        <v>909678</v>
      </c>
      <c r="AP268" s="754">
        <f t="shared" si="46"/>
        <v>330</v>
      </c>
      <c r="AQ268" s="770"/>
      <c r="AR268" s="726" t="s">
        <v>2661</v>
      </c>
      <c r="AS268" s="726" t="s">
        <v>4002</v>
      </c>
      <c r="AT268" s="726">
        <v>3280328</v>
      </c>
      <c r="AU268" s="726" t="s">
        <v>3966</v>
      </c>
      <c r="AV268" s="726" t="s">
        <v>4089</v>
      </c>
      <c r="AW268" s="726">
        <v>3290329</v>
      </c>
    </row>
    <row r="269" spans="1:49">
      <c r="A269" s="738" t="s">
        <v>427</v>
      </c>
      <c r="B269" s="738" t="s">
        <v>4087</v>
      </c>
      <c r="C269" s="738"/>
      <c r="D269" s="738" t="s">
        <v>4193</v>
      </c>
      <c r="E269" s="738" t="s">
        <v>4193</v>
      </c>
      <c r="F269" s="1059">
        <f>IFERROR(VLOOKUP($A269,'2018'!$A:$BB,3,FALSE),"")</f>
        <v>461256213</v>
      </c>
      <c r="G269" s="1055" t="str">
        <f>IFERROR(VLOOKUP($A269,'2018'!$A:$BB,4,FALSE),"")</f>
        <v>331 Oyster Point Blvd.
South San Francisco, CA 94080</v>
      </c>
      <c r="H269" s="1055" t="str">
        <f>IFERROR(VLOOKUP($A269,'2018'!$A:$BB,5,FALSE),"")</f>
        <v>Anne Moriarty
650-837-8550
anne.moriarty@prothena.com
Ria Palarca (Additional Contact)
650-615-2133
ria.palarca@prothena.com 
Kevin Hickey (Contract Signer)
650-837-8545
kevin.hickey@prothena.com</v>
      </c>
      <c r="I269" s="1055" t="str">
        <f>IFERROR(VLOOKUP($A269,'2018'!$A:$BB,6,FALSE),"")</f>
        <v>Anne Moriarty
650-837-8550
anne.moriarty@prothena.com</v>
      </c>
      <c r="J269" s="1055" t="str">
        <f>IFERROR(VLOOKUP($A269,'2018'!$A:$BB,7,FALSE),"")</f>
        <v>Woodruff-Sawyer</v>
      </c>
      <c r="K269" s="1055" t="str">
        <f>IFERROR(VLOOKUP($A269,'2018'!$A:$BB,8,FALSE),"")</f>
        <v xml:space="preserve">Account Managed by Woodruff-Sawyer Team
Producer - Chris Nussbaum
Service Lead - Camille Couture
</v>
      </c>
      <c r="L269" s="1062" t="str">
        <f>IFERROR(VLOOKUP($A269,'2018'!$A:$BB,9,FALSE),"")</f>
        <v>New</v>
      </c>
      <c r="M269" s="1067">
        <f>IFERROR(VLOOKUP($A269,'2018'!$A:$BB,10,FALSE),"")</f>
        <v>43101</v>
      </c>
      <c r="N269" s="1062">
        <f>IFERROR(VLOOKUP($A269,'2018'!$A:$BB,12,FALSE),"")</f>
        <v>101</v>
      </c>
      <c r="O269" s="1055" t="str">
        <f>IFERROR(VLOOKUP($A269,'2018'!$A:$BB,13,FALSE),"")</f>
        <v xml:space="preserve">IGOE </v>
      </c>
      <c r="P269" s="1055" t="str">
        <f>IFERROR(VLOOKUP($A269,'2018'!$A:$BB,14,FALSE),"")</f>
        <v>Maestro</v>
      </c>
      <c r="Q269" s="1055" t="str">
        <f>IFERROR(VLOOKUP($A269,'2018'!$A:$BB,16,FALSE),"")</f>
        <v>IGOE
(Commuter with BASIC)</v>
      </c>
      <c r="R269" s="1055" t="str">
        <f>IFERROR(VLOOKUP($A269,'2018'!$A:$BB,17,FALSE),"")</f>
        <v>Optum Health</v>
      </c>
      <c r="S269" s="1062" t="str">
        <f>IFERROR(VLOOKUP($A269,'2018'!$A:$BB,20,FALSE),"")</f>
        <v>NCAL</v>
      </c>
      <c r="T269" s="1062" t="str">
        <f>IFERROR(VLOOKUP($A269,'2018'!$A:$BB,21,FALSE),"")</f>
        <v>Group C (44-54)</v>
      </c>
      <c r="U269" s="1062" t="str">
        <f>IFERROR(VLOOKUP($A269,'2018'!$A:$BB,22,FALSE),"")</f>
        <v>Expanded</v>
      </c>
      <c r="V269" s="1062" t="str">
        <f>IFERROR(VLOOKUP($A269,'2018'!$A:$BB,23,FALSE),"")</f>
        <v>Advantage</v>
      </c>
      <c r="W269" s="1062" t="str">
        <f>IFERROR(VLOOKUP($A269,'2018'!$A:$BB,24,FALSE),"")</f>
        <v>No</v>
      </c>
      <c r="X269" s="1062" t="str">
        <f>IFERROR(VLOOKUP($A269,'2018'!$A:$BB,41,FALSE),"")</f>
        <v>Region 3</v>
      </c>
      <c r="Y269" s="1062" t="str">
        <f>IFERROR(VLOOKUP($A269,'2018'!$A:$BB,42,FALSE),"")</f>
        <v>(50-99)</v>
      </c>
      <c r="Z269" s="1062" t="str">
        <f>IFERROR(VLOOKUP($A269,'2018'!$A:$BB,45,FALSE),"")</f>
        <v xml:space="preserve"> (50-99)</v>
      </c>
      <c r="AA269" s="730">
        <v>2018</v>
      </c>
      <c r="AB269" s="728" t="s">
        <v>3893</v>
      </c>
      <c r="AC269" s="727" t="s">
        <v>303</v>
      </c>
      <c r="AD269" s="727" t="s">
        <v>3656</v>
      </c>
      <c r="AE269" s="727" t="s">
        <v>307</v>
      </c>
      <c r="AF269" s="727" t="s">
        <v>113</v>
      </c>
      <c r="AG269" s="726" t="s">
        <v>3972</v>
      </c>
      <c r="AH269" s="726" t="s">
        <v>3977</v>
      </c>
      <c r="AI269" s="727">
        <v>13</v>
      </c>
      <c r="AJ269" s="747" t="s">
        <v>4004</v>
      </c>
      <c r="AK269" s="757">
        <v>909678</v>
      </c>
      <c r="AL269" s="754">
        <v>580</v>
      </c>
      <c r="AM269" s="755">
        <v>909678</v>
      </c>
      <c r="AN269" s="754">
        <v>581</v>
      </c>
      <c r="AO269" s="776">
        <f t="shared" si="64"/>
        <v>909678</v>
      </c>
      <c r="AP269" s="754">
        <f t="shared" si="46"/>
        <v>582</v>
      </c>
      <c r="AQ269" s="770"/>
      <c r="AR269" s="726" t="s">
        <v>2661</v>
      </c>
      <c r="AS269" s="726" t="s">
        <v>4090</v>
      </c>
      <c r="AT269" s="726">
        <v>5800580</v>
      </c>
      <c r="AU269" s="726" t="s">
        <v>3980</v>
      </c>
      <c r="AV269" s="726"/>
      <c r="AW269" s="726"/>
    </row>
    <row r="270" spans="1:49">
      <c r="A270" s="738" t="s">
        <v>427</v>
      </c>
      <c r="B270" s="738" t="s">
        <v>4087</v>
      </c>
      <c r="C270" s="738"/>
      <c r="D270" s="738" t="s">
        <v>4193</v>
      </c>
      <c r="E270" s="738" t="s">
        <v>4193</v>
      </c>
      <c r="F270" s="1059">
        <f>IFERROR(VLOOKUP($A270,'2018'!$A:$BB,3,FALSE),"")</f>
        <v>461256213</v>
      </c>
      <c r="G270" s="1055" t="str">
        <f>IFERROR(VLOOKUP($A270,'2018'!$A:$BB,4,FALSE),"")</f>
        <v>331 Oyster Point Blvd.
South San Francisco, CA 94080</v>
      </c>
      <c r="H270" s="1055" t="str">
        <f>IFERROR(VLOOKUP($A270,'2018'!$A:$BB,5,FALSE),"")</f>
        <v>Anne Moriarty
650-837-8550
anne.moriarty@prothena.com
Ria Palarca (Additional Contact)
650-615-2133
ria.palarca@prothena.com 
Kevin Hickey (Contract Signer)
650-837-8545
kevin.hickey@prothena.com</v>
      </c>
      <c r="I270" s="1055" t="str">
        <f>IFERROR(VLOOKUP($A270,'2018'!$A:$BB,6,FALSE),"")</f>
        <v>Anne Moriarty
650-837-8550
anne.moriarty@prothena.com</v>
      </c>
      <c r="J270" s="1055" t="str">
        <f>IFERROR(VLOOKUP($A270,'2018'!$A:$BB,7,FALSE),"")</f>
        <v>Woodruff-Sawyer</v>
      </c>
      <c r="K270" s="1055" t="str">
        <f>IFERROR(VLOOKUP($A270,'2018'!$A:$BB,8,FALSE),"")</f>
        <v xml:space="preserve">Account Managed by Woodruff-Sawyer Team
Producer - Chris Nussbaum
Service Lead - Camille Couture
</v>
      </c>
      <c r="L270" s="1062" t="str">
        <f>IFERROR(VLOOKUP($A270,'2018'!$A:$BB,9,FALSE),"")</f>
        <v>New</v>
      </c>
      <c r="M270" s="1067">
        <f>IFERROR(VLOOKUP($A270,'2018'!$A:$BB,10,FALSE),"")</f>
        <v>43101</v>
      </c>
      <c r="N270" s="1062">
        <f>IFERROR(VLOOKUP($A270,'2018'!$A:$BB,12,FALSE),"")</f>
        <v>101</v>
      </c>
      <c r="O270" s="1055" t="str">
        <f>IFERROR(VLOOKUP($A270,'2018'!$A:$BB,13,FALSE),"")</f>
        <v xml:space="preserve">IGOE </v>
      </c>
      <c r="P270" s="1055" t="str">
        <f>IFERROR(VLOOKUP($A270,'2018'!$A:$BB,14,FALSE),"")</f>
        <v>Maestro</v>
      </c>
      <c r="Q270" s="1055" t="str">
        <f>IFERROR(VLOOKUP($A270,'2018'!$A:$BB,16,FALSE),"")</f>
        <v>IGOE
(Commuter with BASIC)</v>
      </c>
      <c r="R270" s="1055" t="str">
        <f>IFERROR(VLOOKUP($A270,'2018'!$A:$BB,17,FALSE),"")</f>
        <v>Optum Health</v>
      </c>
      <c r="S270" s="1062" t="str">
        <f>IFERROR(VLOOKUP($A270,'2018'!$A:$BB,20,FALSE),"")</f>
        <v>NCAL</v>
      </c>
      <c r="T270" s="1062" t="str">
        <f>IFERROR(VLOOKUP($A270,'2018'!$A:$BB,21,FALSE),"")</f>
        <v>Group C (44-54)</v>
      </c>
      <c r="U270" s="1062" t="str">
        <f>IFERROR(VLOOKUP($A270,'2018'!$A:$BB,22,FALSE),"")</f>
        <v>Expanded</v>
      </c>
      <c r="V270" s="1062" t="str">
        <f>IFERROR(VLOOKUP($A270,'2018'!$A:$BB,23,FALSE),"")</f>
        <v>Advantage</v>
      </c>
      <c r="W270" s="1062" t="str">
        <f>IFERROR(VLOOKUP($A270,'2018'!$A:$BB,24,FALSE),"")</f>
        <v>No</v>
      </c>
      <c r="X270" s="1062" t="str">
        <f>IFERROR(VLOOKUP($A270,'2018'!$A:$BB,41,FALSE),"")</f>
        <v>Region 3</v>
      </c>
      <c r="Y270" s="1062" t="str">
        <f>IFERROR(VLOOKUP($A270,'2018'!$A:$BB,42,FALSE),"")</f>
        <v>(50-99)</v>
      </c>
      <c r="Z270" s="1062" t="str">
        <f>IFERROR(VLOOKUP($A270,'2018'!$A:$BB,45,FALSE),"")</f>
        <v xml:space="preserve"> (50-99)</v>
      </c>
      <c r="AA270" s="730">
        <v>2018</v>
      </c>
      <c r="AB270" s="728" t="s">
        <v>3893</v>
      </c>
      <c r="AC270" s="727" t="s">
        <v>303</v>
      </c>
      <c r="AD270" s="727" t="s">
        <v>3656</v>
      </c>
      <c r="AE270" s="727" t="s">
        <v>307</v>
      </c>
      <c r="AF270" s="727" t="s">
        <v>113</v>
      </c>
      <c r="AG270" s="726" t="s">
        <v>3981</v>
      </c>
      <c r="AH270" s="726" t="s">
        <v>3973</v>
      </c>
      <c r="AI270" s="727">
        <v>11</v>
      </c>
      <c r="AJ270" s="747" t="s">
        <v>3982</v>
      </c>
      <c r="AK270" s="757">
        <v>909678</v>
      </c>
      <c r="AL270" s="754">
        <v>472</v>
      </c>
      <c r="AM270" s="755">
        <v>909678</v>
      </c>
      <c r="AN270" s="754">
        <v>473</v>
      </c>
      <c r="AO270" s="776">
        <f t="shared" si="64"/>
        <v>909678</v>
      </c>
      <c r="AP270" s="754">
        <f t="shared" si="46"/>
        <v>474</v>
      </c>
      <c r="AQ270" s="770"/>
      <c r="AR270" s="726" t="s">
        <v>2661</v>
      </c>
      <c r="AS270" s="726" t="s">
        <v>3983</v>
      </c>
      <c r="AT270" s="726">
        <v>4720472</v>
      </c>
      <c r="AU270" s="726" t="s">
        <v>3966</v>
      </c>
      <c r="AV270" s="726" t="s">
        <v>4091</v>
      </c>
      <c r="AW270" s="726">
        <v>4730473</v>
      </c>
    </row>
    <row r="271" spans="1:49">
      <c r="A271" s="738" t="s">
        <v>427</v>
      </c>
      <c r="B271" s="738" t="s">
        <v>4087</v>
      </c>
      <c r="C271" s="738"/>
      <c r="D271" s="738" t="s">
        <v>4193</v>
      </c>
      <c r="E271" s="738" t="s">
        <v>4193</v>
      </c>
      <c r="F271" s="1059">
        <f>IFERROR(VLOOKUP($A271,'2018'!$A:$BB,3,FALSE),"")</f>
        <v>461256213</v>
      </c>
      <c r="G271" s="1055" t="str">
        <f>IFERROR(VLOOKUP($A271,'2018'!$A:$BB,4,FALSE),"")</f>
        <v>331 Oyster Point Blvd.
South San Francisco, CA 94080</v>
      </c>
      <c r="H271" s="1055" t="str">
        <f>IFERROR(VLOOKUP($A271,'2018'!$A:$BB,5,FALSE),"")</f>
        <v>Anne Moriarty
650-837-8550
anne.moriarty@prothena.com
Ria Palarca (Additional Contact)
650-615-2133
ria.palarca@prothena.com 
Kevin Hickey (Contract Signer)
650-837-8545
kevin.hickey@prothena.com</v>
      </c>
      <c r="I271" s="1055" t="str">
        <f>IFERROR(VLOOKUP($A271,'2018'!$A:$BB,6,FALSE),"")</f>
        <v>Anne Moriarty
650-837-8550
anne.moriarty@prothena.com</v>
      </c>
      <c r="J271" s="1055" t="str">
        <f>IFERROR(VLOOKUP($A271,'2018'!$A:$BB,7,FALSE),"")</f>
        <v>Woodruff-Sawyer</v>
      </c>
      <c r="K271" s="1055" t="str">
        <f>IFERROR(VLOOKUP($A271,'2018'!$A:$BB,8,FALSE),"")</f>
        <v xml:space="preserve">Account Managed by Woodruff-Sawyer Team
Producer - Chris Nussbaum
Service Lead - Camille Couture
</v>
      </c>
      <c r="L271" s="1062" t="str">
        <f>IFERROR(VLOOKUP($A271,'2018'!$A:$BB,9,FALSE),"")</f>
        <v>New</v>
      </c>
      <c r="M271" s="1067">
        <f>IFERROR(VLOOKUP($A271,'2018'!$A:$BB,10,FALSE),"")</f>
        <v>43101</v>
      </c>
      <c r="N271" s="1062">
        <f>IFERROR(VLOOKUP($A271,'2018'!$A:$BB,12,FALSE),"")</f>
        <v>101</v>
      </c>
      <c r="O271" s="1055" t="str">
        <f>IFERROR(VLOOKUP($A271,'2018'!$A:$BB,13,FALSE),"")</f>
        <v xml:space="preserve">IGOE </v>
      </c>
      <c r="P271" s="1055" t="str">
        <f>IFERROR(VLOOKUP($A271,'2018'!$A:$BB,14,FALSE),"")</f>
        <v>Maestro</v>
      </c>
      <c r="Q271" s="1055" t="str">
        <f>IFERROR(VLOOKUP($A271,'2018'!$A:$BB,16,FALSE),"")</f>
        <v>IGOE
(Commuter with BASIC)</v>
      </c>
      <c r="R271" s="1055" t="str">
        <f>IFERROR(VLOOKUP($A271,'2018'!$A:$BB,17,FALSE),"")</f>
        <v>Optum Health</v>
      </c>
      <c r="S271" s="1062" t="str">
        <f>IFERROR(VLOOKUP($A271,'2018'!$A:$BB,20,FALSE),"")</f>
        <v>NCAL</v>
      </c>
      <c r="T271" s="1062" t="str">
        <f>IFERROR(VLOOKUP($A271,'2018'!$A:$BB,21,FALSE),"")</f>
        <v>Group C (44-54)</v>
      </c>
      <c r="U271" s="1062" t="str">
        <f>IFERROR(VLOOKUP($A271,'2018'!$A:$BB,22,FALSE),"")</f>
        <v>Expanded</v>
      </c>
      <c r="V271" s="1062" t="str">
        <f>IFERROR(VLOOKUP($A271,'2018'!$A:$BB,23,FALSE),"")</f>
        <v>Advantage</v>
      </c>
      <c r="W271" s="1062" t="str">
        <f>IFERROR(VLOOKUP($A271,'2018'!$A:$BB,24,FALSE),"")</f>
        <v>No</v>
      </c>
      <c r="X271" s="1062" t="str">
        <f>IFERROR(VLOOKUP($A271,'2018'!$A:$BB,41,FALSE),"")</f>
        <v>Region 3</v>
      </c>
      <c r="Y271" s="1062" t="str">
        <f>IFERROR(VLOOKUP($A271,'2018'!$A:$BB,42,FALSE),"")</f>
        <v>(50-99)</v>
      </c>
      <c r="Z271" s="1062" t="str">
        <f>IFERROR(VLOOKUP($A271,'2018'!$A:$BB,45,FALSE),"")</f>
        <v xml:space="preserve"> (50-99)</v>
      </c>
      <c r="AA271" s="730">
        <v>2018</v>
      </c>
      <c r="AB271" s="728" t="s">
        <v>3893</v>
      </c>
      <c r="AC271" s="727" t="s">
        <v>303</v>
      </c>
      <c r="AD271" s="727" t="s">
        <v>3656</v>
      </c>
      <c r="AE271" s="727" t="s">
        <v>307</v>
      </c>
      <c r="AF271" s="727" t="s">
        <v>113</v>
      </c>
      <c r="AG271" s="726" t="s">
        <v>3981</v>
      </c>
      <c r="AH271" s="726" t="s">
        <v>3977</v>
      </c>
      <c r="AI271" s="727">
        <v>16</v>
      </c>
      <c r="AJ271" s="747" t="s">
        <v>3985</v>
      </c>
      <c r="AK271" s="757">
        <v>909678</v>
      </c>
      <c r="AL271" s="754">
        <v>724</v>
      </c>
      <c r="AM271" s="755">
        <v>909678</v>
      </c>
      <c r="AN271" s="754">
        <v>725</v>
      </c>
      <c r="AO271" s="776">
        <f t="shared" si="64"/>
        <v>909678</v>
      </c>
      <c r="AP271" s="754">
        <f t="shared" si="46"/>
        <v>726</v>
      </c>
      <c r="AQ271" s="770"/>
      <c r="AR271" s="726" t="s">
        <v>2661</v>
      </c>
      <c r="AS271" s="726" t="s">
        <v>4066</v>
      </c>
      <c r="AT271" s="726">
        <v>7240724</v>
      </c>
      <c r="AU271" s="726" t="s">
        <v>3980</v>
      </c>
      <c r="AV271" s="726"/>
      <c r="AW271" s="726"/>
    </row>
    <row r="272" spans="1:49">
      <c r="A272" s="738"/>
      <c r="B272" s="738"/>
      <c r="C272" s="738"/>
      <c r="D272" s="738"/>
      <c r="E272" s="738"/>
      <c r="F272" s="1059" t="str">
        <f>IFERROR(VLOOKUP($A272,'2018'!$A:$BB,3,FALSE),"")</f>
        <v/>
      </c>
      <c r="G272" s="1055" t="str">
        <f>IFERROR(VLOOKUP($A272,'2018'!$A:$BB,4,FALSE),"")</f>
        <v/>
      </c>
      <c r="H272" s="1055" t="str">
        <f>IFERROR(VLOOKUP($A272,'2018'!$A:$BB,5,FALSE),"")</f>
        <v/>
      </c>
      <c r="I272" s="1055" t="str">
        <f>IFERROR(VLOOKUP($A272,'2018'!$A:$BB,6,FALSE),"")</f>
        <v/>
      </c>
      <c r="J272" s="1055" t="str">
        <f>IFERROR(VLOOKUP($A272,'2018'!$A:$BB,7,FALSE),"")</f>
        <v/>
      </c>
      <c r="K272" s="1055" t="str">
        <f>IFERROR(VLOOKUP($A272,'2018'!$A:$BB,8,FALSE),"")</f>
        <v/>
      </c>
      <c r="L272" s="1062" t="str">
        <f>IFERROR(VLOOKUP($A272,'2018'!$A:$BB,9,FALSE),"")</f>
        <v/>
      </c>
      <c r="M272" s="1067" t="str">
        <f>IFERROR(VLOOKUP($A272,'2018'!$A:$BB,10,FALSE),"")</f>
        <v/>
      </c>
      <c r="N272" s="1062" t="str">
        <f>IFERROR(VLOOKUP($A272,'2018'!$A:$BB,12,FALSE),"")</f>
        <v/>
      </c>
      <c r="O272" s="1055" t="str">
        <f>IFERROR(VLOOKUP($A272,'2018'!$A:$BB,13,FALSE),"")</f>
        <v/>
      </c>
      <c r="P272" s="1055" t="str">
        <f>IFERROR(VLOOKUP($A272,'2018'!$A:$BB,14,FALSE),"")</f>
        <v/>
      </c>
      <c r="Q272" s="1055" t="str">
        <f>IFERROR(VLOOKUP($A272,'2018'!$A:$BB,16,FALSE),"")</f>
        <v/>
      </c>
      <c r="R272" s="1055" t="str">
        <f>IFERROR(VLOOKUP($A272,'2018'!$A:$BB,17,FALSE),"")</f>
        <v/>
      </c>
      <c r="S272" s="1062" t="str">
        <f>IFERROR(VLOOKUP($A272,'2018'!$A:$BB,20,FALSE),"")</f>
        <v/>
      </c>
      <c r="T272" s="1062" t="str">
        <f>IFERROR(VLOOKUP($A272,'2018'!$A:$BB,21,FALSE),"")</f>
        <v/>
      </c>
      <c r="U272" s="1062" t="str">
        <f>IFERROR(VLOOKUP($A272,'2018'!$A:$BB,22,FALSE),"")</f>
        <v/>
      </c>
      <c r="V272" s="1062" t="str">
        <f>IFERROR(VLOOKUP($A272,'2018'!$A:$BB,23,FALSE),"")</f>
        <v/>
      </c>
      <c r="W272" s="1062" t="str">
        <f>IFERROR(VLOOKUP($A272,'2018'!$A:$BB,24,FALSE),"")</f>
        <v/>
      </c>
      <c r="X272" s="1062" t="str">
        <f>IFERROR(VLOOKUP($A272,'2018'!$A:$BB,41,FALSE),"")</f>
        <v/>
      </c>
      <c r="Y272" s="1062" t="str">
        <f>IFERROR(VLOOKUP($A272,'2018'!$A:$BB,42,FALSE),"")</f>
        <v/>
      </c>
      <c r="Z272" s="1062" t="str">
        <f>IFERROR(VLOOKUP($A272,'2018'!$A:$BB,45,FALSE),"")</f>
        <v/>
      </c>
      <c r="AA272" s="727"/>
      <c r="AB272" s="728"/>
      <c r="AC272" s="727"/>
      <c r="AD272" s="727"/>
      <c r="AE272" s="727"/>
      <c r="AF272" s="727"/>
      <c r="AG272" s="726"/>
      <c r="AH272" s="726"/>
      <c r="AI272" s="727"/>
      <c r="AJ272" s="747"/>
      <c r="AK272" s="753"/>
      <c r="AL272" s="754"/>
      <c r="AM272" s="753"/>
      <c r="AN272" s="754"/>
      <c r="AO272" s="776"/>
      <c r="AP272" s="754"/>
      <c r="AQ272" s="770"/>
      <c r="AR272" s="726"/>
      <c r="AS272" s="726"/>
      <c r="AT272" s="726"/>
      <c r="AU272" s="726"/>
      <c r="AV272" s="726"/>
      <c r="AW272" s="726"/>
    </row>
    <row r="273" spans="1:49">
      <c r="A273" s="738" t="s">
        <v>4354</v>
      </c>
      <c r="B273" s="738" t="s">
        <v>4354</v>
      </c>
      <c r="C273" s="738"/>
      <c r="D273" s="738"/>
      <c r="E273" s="738"/>
      <c r="F273" s="1059" t="str">
        <f>IFERROR(VLOOKUP($A273,'2018'!$A:$BB,3,FALSE),"")</f>
        <v>81-1664243</v>
      </c>
      <c r="G273" s="1055" t="str">
        <f>IFERROR(VLOOKUP($A273,'2018'!$A:$BB,4,FALSE),"")</f>
        <v>953 Indiana St., San Francisco, CA 94107</v>
      </c>
      <c r="H273" s="1055" t="str">
        <f>IFERROR(VLOOKUP($A273,'2018'!$A:$BB,5,FALSE),"")</f>
        <v>Christian Ewton
858-229-4077
Christian@provenance.bio</v>
      </c>
      <c r="I273" s="1055" t="str">
        <f>IFERROR(VLOOKUP($A273,'2018'!$A:$BB,6,FALSE),"")</f>
        <v>Christian Ewton
858-229-4077
Christian@provenance.bio</v>
      </c>
      <c r="J273" s="1055" t="str">
        <f>IFERROR(VLOOKUP($A273,'2018'!$A:$BB,7,FALSE),"")</f>
        <v>HUB (San Diego)</v>
      </c>
      <c r="K273" s="1055" t="str">
        <f>IFERROR(VLOOKUP($A273,'2018'!$A:$BB,8,FALSE),"")</f>
        <v>Account Managed by HUB SD Team
Producer - Maggie Osburn
Service Lead - Courtney Stanley</v>
      </c>
      <c r="L273" s="1062" t="str">
        <f>IFERROR(VLOOKUP($A273,'2018'!$A:$BB,9,FALSE),"")</f>
        <v>New</v>
      </c>
      <c r="M273" s="1067" t="str">
        <f>IFERROR(VLOOKUP($A273,'2018'!$A:$BB,10,FALSE),"")</f>
        <v>TBD</v>
      </c>
      <c r="N273" s="1062">
        <f>IFERROR(VLOOKUP($A273,'2018'!$A:$BB,12,FALSE),"")</f>
        <v>3</v>
      </c>
      <c r="O273" s="1055" t="str">
        <f>IFERROR(VLOOKUP($A273,'2018'!$A:$BB,13,FALSE),"")</f>
        <v xml:space="preserve">IGOE </v>
      </c>
      <c r="P273" s="1055" t="str">
        <f>IFERROR(VLOOKUP($A273,'2018'!$A:$BB,14,FALSE),"")</f>
        <v>Maestro</v>
      </c>
      <c r="Q273" s="1055" t="str">
        <f>IFERROR(VLOOKUP($A273,'2018'!$A:$BB,16,FALSE),"")</f>
        <v>N/A</v>
      </c>
      <c r="R273" s="1055" t="str">
        <f>IFERROR(VLOOKUP($A273,'2018'!$A:$BB,17,FALSE),"")</f>
        <v>Optum Health</v>
      </c>
      <c r="S273" s="1062" t="str">
        <f>IFERROR(VLOOKUP($A273,'2018'!$A:$BB,20,FALSE),"")</f>
        <v>NCAL</v>
      </c>
      <c r="T273" s="1062" t="str">
        <f>IFERROR(VLOOKUP($A273,'2018'!$A:$BB,21,FALSE),"")</f>
        <v>Group B (34-44)</v>
      </c>
      <c r="U273" s="1062" t="str">
        <f>IFERROR(VLOOKUP($A273,'2018'!$A:$BB,22,FALSE),"")</f>
        <v>Expanded</v>
      </c>
      <c r="V273" s="1062" t="str">
        <f>IFERROR(VLOOKUP($A273,'2018'!$A:$BB,23,FALSE),"")</f>
        <v>Advantage</v>
      </c>
      <c r="W273" s="1062" t="str">
        <f>IFERROR(VLOOKUP($A273,'2018'!$A:$BB,24,FALSE),"")</f>
        <v>No</v>
      </c>
      <c r="X273" s="1062" t="str">
        <f>IFERROR(VLOOKUP($A273,'2018'!$A:$BB,41,FALSE),"")</f>
        <v>Region 4</v>
      </c>
      <c r="Y273" s="1062" t="str">
        <f>IFERROR(VLOOKUP($A273,'2018'!$A:$BB,42,FALSE),"")</f>
        <v>(2-9)</v>
      </c>
      <c r="Z273" s="1062" t="str">
        <f>IFERROR(VLOOKUP($A273,'2018'!$A:$BB,45,FALSE),"")</f>
        <v xml:space="preserve"> (2-49)</v>
      </c>
      <c r="AA273" s="730">
        <v>2018</v>
      </c>
      <c r="AB273" s="1032" t="s">
        <v>4357</v>
      </c>
      <c r="AC273" s="727" t="s">
        <v>303</v>
      </c>
      <c r="AD273" s="727" t="s">
        <v>3648</v>
      </c>
      <c r="AE273" s="727" t="s">
        <v>307</v>
      </c>
      <c r="AF273" s="727" t="s">
        <v>113</v>
      </c>
      <c r="AG273" s="726" t="s">
        <v>3972</v>
      </c>
      <c r="AH273" s="726" t="s">
        <v>3973</v>
      </c>
      <c r="AI273" s="727">
        <v>7</v>
      </c>
      <c r="AJ273" s="747" t="s">
        <v>4001</v>
      </c>
      <c r="AK273" s="763">
        <v>909678</v>
      </c>
      <c r="AL273" s="754">
        <v>325</v>
      </c>
      <c r="AM273" s="755">
        <v>909678</v>
      </c>
      <c r="AN273" s="754">
        <v>326</v>
      </c>
      <c r="AO273" s="776">
        <f t="shared" si="64"/>
        <v>909678</v>
      </c>
      <c r="AP273" s="754">
        <f t="shared" ref="AP273:AP276" si="65">AN273+1</f>
        <v>327</v>
      </c>
      <c r="AQ273" s="770"/>
      <c r="AR273" s="726" t="s">
        <v>2661</v>
      </c>
      <c r="AS273" s="726"/>
      <c r="AT273" s="726"/>
      <c r="AU273" s="726"/>
      <c r="AV273" s="726"/>
      <c r="AW273" s="726"/>
    </row>
    <row r="274" spans="1:49">
      <c r="A274" s="738" t="s">
        <v>4354</v>
      </c>
      <c r="B274" s="738" t="s">
        <v>4354</v>
      </c>
      <c r="C274" s="738"/>
      <c r="D274" s="736"/>
      <c r="E274" s="736"/>
      <c r="F274" s="1059" t="str">
        <f>IFERROR(VLOOKUP($A274,'2018'!$A:$BB,3,FALSE),"")</f>
        <v>81-1664243</v>
      </c>
      <c r="G274" s="1055" t="str">
        <f>IFERROR(VLOOKUP($A274,'2018'!$A:$BB,4,FALSE),"")</f>
        <v>953 Indiana St., San Francisco, CA 94107</v>
      </c>
      <c r="H274" s="1055" t="str">
        <f>IFERROR(VLOOKUP($A274,'2018'!$A:$BB,5,FALSE),"")</f>
        <v>Christian Ewton
858-229-4077
Christian@provenance.bio</v>
      </c>
      <c r="I274" s="1055" t="str">
        <f>IFERROR(VLOOKUP($A274,'2018'!$A:$BB,6,FALSE),"")</f>
        <v>Christian Ewton
858-229-4077
Christian@provenance.bio</v>
      </c>
      <c r="J274" s="1055" t="str">
        <f>IFERROR(VLOOKUP($A274,'2018'!$A:$BB,7,FALSE),"")</f>
        <v>HUB (San Diego)</v>
      </c>
      <c r="K274" s="1055" t="str">
        <f>IFERROR(VLOOKUP($A274,'2018'!$A:$BB,8,FALSE),"")</f>
        <v>Account Managed by HUB SD Team
Producer - Maggie Osburn
Service Lead - Courtney Stanley</v>
      </c>
      <c r="L274" s="1062" t="str">
        <f>IFERROR(VLOOKUP($A274,'2018'!$A:$BB,9,FALSE),"")</f>
        <v>New</v>
      </c>
      <c r="M274" s="1067" t="str">
        <f>IFERROR(VLOOKUP($A274,'2018'!$A:$BB,10,FALSE),"")</f>
        <v>TBD</v>
      </c>
      <c r="N274" s="1062">
        <f>IFERROR(VLOOKUP($A274,'2018'!$A:$BB,12,FALSE),"")</f>
        <v>3</v>
      </c>
      <c r="O274" s="1055" t="str">
        <f>IFERROR(VLOOKUP($A274,'2018'!$A:$BB,13,FALSE),"")</f>
        <v xml:space="preserve">IGOE </v>
      </c>
      <c r="P274" s="1055" t="str">
        <f>IFERROR(VLOOKUP($A274,'2018'!$A:$BB,14,FALSE),"")</f>
        <v>Maestro</v>
      </c>
      <c r="Q274" s="1055" t="str">
        <f>IFERROR(VLOOKUP($A274,'2018'!$A:$BB,16,FALSE),"")</f>
        <v>N/A</v>
      </c>
      <c r="R274" s="1055" t="str">
        <f>IFERROR(VLOOKUP($A274,'2018'!$A:$BB,17,FALSE),"")</f>
        <v>Optum Health</v>
      </c>
      <c r="S274" s="1062" t="str">
        <f>IFERROR(VLOOKUP($A274,'2018'!$A:$BB,20,FALSE),"")</f>
        <v>NCAL</v>
      </c>
      <c r="T274" s="1062" t="str">
        <f>IFERROR(VLOOKUP($A274,'2018'!$A:$BB,21,FALSE),"")</f>
        <v>Group B (34-44)</v>
      </c>
      <c r="U274" s="1062" t="str">
        <f>IFERROR(VLOOKUP($A274,'2018'!$A:$BB,22,FALSE),"")</f>
        <v>Expanded</v>
      </c>
      <c r="V274" s="1062" t="str">
        <f>IFERROR(VLOOKUP($A274,'2018'!$A:$BB,23,FALSE),"")</f>
        <v>Advantage</v>
      </c>
      <c r="W274" s="1062" t="str">
        <f>IFERROR(VLOOKUP($A274,'2018'!$A:$BB,24,FALSE),"")</f>
        <v>No</v>
      </c>
      <c r="X274" s="1062" t="str">
        <f>IFERROR(VLOOKUP($A274,'2018'!$A:$BB,41,FALSE),"")</f>
        <v>Region 4</v>
      </c>
      <c r="Y274" s="1062" t="str">
        <f>IFERROR(VLOOKUP($A274,'2018'!$A:$BB,42,FALSE),"")</f>
        <v>(2-9)</v>
      </c>
      <c r="Z274" s="1062" t="str">
        <f>IFERROR(VLOOKUP($A274,'2018'!$A:$BB,45,FALSE),"")</f>
        <v xml:space="preserve"> (2-49)</v>
      </c>
      <c r="AA274" s="731">
        <v>2018</v>
      </c>
      <c r="AB274" s="1032" t="s">
        <v>4357</v>
      </c>
      <c r="AC274" s="734" t="s">
        <v>303</v>
      </c>
      <c r="AD274" s="734" t="s">
        <v>3648</v>
      </c>
      <c r="AE274" s="734" t="s">
        <v>307</v>
      </c>
      <c r="AF274" s="734" t="s">
        <v>113</v>
      </c>
      <c r="AG274" s="732" t="s">
        <v>3972</v>
      </c>
      <c r="AH274" s="732" t="s">
        <v>3977</v>
      </c>
      <c r="AI274" s="734">
        <v>13</v>
      </c>
      <c r="AJ274" s="748" t="s">
        <v>4004</v>
      </c>
      <c r="AK274" s="763">
        <v>909678</v>
      </c>
      <c r="AL274" s="756">
        <v>577</v>
      </c>
      <c r="AM274" s="755">
        <v>909678</v>
      </c>
      <c r="AN274" s="756">
        <v>578</v>
      </c>
      <c r="AO274" s="776">
        <f t="shared" si="64"/>
        <v>909678</v>
      </c>
      <c r="AP274" s="754">
        <f t="shared" si="65"/>
        <v>579</v>
      </c>
      <c r="AQ274" s="771"/>
      <c r="AR274" s="732" t="s">
        <v>2661</v>
      </c>
      <c r="AS274" s="735"/>
      <c r="AT274" s="735"/>
      <c r="AU274" s="732"/>
      <c r="AV274" s="735"/>
      <c r="AW274" s="735"/>
    </row>
    <row r="275" spans="1:49">
      <c r="A275" s="738" t="s">
        <v>4354</v>
      </c>
      <c r="B275" s="738" t="s">
        <v>4354</v>
      </c>
      <c r="C275" s="738"/>
      <c r="D275" s="738"/>
      <c r="E275" s="738"/>
      <c r="F275" s="1059" t="str">
        <f>IFERROR(VLOOKUP($A275,'2018'!$A:$BB,3,FALSE),"")</f>
        <v>81-1664243</v>
      </c>
      <c r="G275" s="1055" t="str">
        <f>IFERROR(VLOOKUP($A275,'2018'!$A:$BB,4,FALSE),"")</f>
        <v>953 Indiana St., San Francisco, CA 94107</v>
      </c>
      <c r="H275" s="1055" t="str">
        <f>IFERROR(VLOOKUP($A275,'2018'!$A:$BB,5,FALSE),"")</f>
        <v>Christian Ewton
858-229-4077
Christian@provenance.bio</v>
      </c>
      <c r="I275" s="1055" t="str">
        <f>IFERROR(VLOOKUP($A275,'2018'!$A:$BB,6,FALSE),"")</f>
        <v>Christian Ewton
858-229-4077
Christian@provenance.bio</v>
      </c>
      <c r="J275" s="1055" t="str">
        <f>IFERROR(VLOOKUP($A275,'2018'!$A:$BB,7,FALSE),"")</f>
        <v>HUB (San Diego)</v>
      </c>
      <c r="K275" s="1055" t="str">
        <f>IFERROR(VLOOKUP($A275,'2018'!$A:$BB,8,FALSE),"")</f>
        <v>Account Managed by HUB SD Team
Producer - Maggie Osburn
Service Lead - Courtney Stanley</v>
      </c>
      <c r="L275" s="1062" t="str">
        <f>IFERROR(VLOOKUP($A275,'2018'!$A:$BB,9,FALSE),"")</f>
        <v>New</v>
      </c>
      <c r="M275" s="1067" t="str">
        <f>IFERROR(VLOOKUP($A275,'2018'!$A:$BB,10,FALSE),"")</f>
        <v>TBD</v>
      </c>
      <c r="N275" s="1062">
        <f>IFERROR(VLOOKUP($A275,'2018'!$A:$BB,12,FALSE),"")</f>
        <v>3</v>
      </c>
      <c r="O275" s="1055" t="str">
        <f>IFERROR(VLOOKUP($A275,'2018'!$A:$BB,13,FALSE),"")</f>
        <v xml:space="preserve">IGOE </v>
      </c>
      <c r="P275" s="1055" t="str">
        <f>IFERROR(VLOOKUP($A275,'2018'!$A:$BB,14,FALSE),"")</f>
        <v>Maestro</v>
      </c>
      <c r="Q275" s="1055" t="str">
        <f>IFERROR(VLOOKUP($A275,'2018'!$A:$BB,16,FALSE),"")</f>
        <v>N/A</v>
      </c>
      <c r="R275" s="1055" t="str">
        <f>IFERROR(VLOOKUP($A275,'2018'!$A:$BB,17,FALSE),"")</f>
        <v>Optum Health</v>
      </c>
      <c r="S275" s="1062" t="str">
        <f>IFERROR(VLOOKUP($A275,'2018'!$A:$BB,20,FALSE),"")</f>
        <v>NCAL</v>
      </c>
      <c r="T275" s="1062" t="str">
        <f>IFERROR(VLOOKUP($A275,'2018'!$A:$BB,21,FALSE),"")</f>
        <v>Group B (34-44)</v>
      </c>
      <c r="U275" s="1062" t="str">
        <f>IFERROR(VLOOKUP($A275,'2018'!$A:$BB,22,FALSE),"")</f>
        <v>Expanded</v>
      </c>
      <c r="V275" s="1062" t="str">
        <f>IFERROR(VLOOKUP($A275,'2018'!$A:$BB,23,FALSE),"")</f>
        <v>Advantage</v>
      </c>
      <c r="W275" s="1062" t="str">
        <f>IFERROR(VLOOKUP($A275,'2018'!$A:$BB,24,FALSE),"")</f>
        <v>No</v>
      </c>
      <c r="X275" s="1062" t="str">
        <f>IFERROR(VLOOKUP($A275,'2018'!$A:$BB,41,FALSE),"")</f>
        <v>Region 4</v>
      </c>
      <c r="Y275" s="1062" t="str">
        <f>IFERROR(VLOOKUP($A275,'2018'!$A:$BB,42,FALSE),"")</f>
        <v>(2-9)</v>
      </c>
      <c r="Z275" s="1062" t="str">
        <f>IFERROR(VLOOKUP($A275,'2018'!$A:$BB,45,FALSE),"")</f>
        <v xml:space="preserve"> (2-49)</v>
      </c>
      <c r="AA275" s="730">
        <v>2018</v>
      </c>
      <c r="AB275" s="1032" t="s">
        <v>4357</v>
      </c>
      <c r="AC275" s="727" t="s">
        <v>303</v>
      </c>
      <c r="AD275" s="727" t="s">
        <v>3648</v>
      </c>
      <c r="AE275" s="727" t="s">
        <v>307</v>
      </c>
      <c r="AF275" s="727" t="s">
        <v>113</v>
      </c>
      <c r="AG275" s="726" t="s">
        <v>3981</v>
      </c>
      <c r="AH275" s="726" t="s">
        <v>3973</v>
      </c>
      <c r="AI275" s="727">
        <v>11</v>
      </c>
      <c r="AJ275" s="747" t="s">
        <v>3982</v>
      </c>
      <c r="AK275" s="763">
        <v>909678</v>
      </c>
      <c r="AL275" s="754">
        <v>469</v>
      </c>
      <c r="AM275" s="755">
        <v>909678</v>
      </c>
      <c r="AN275" s="754">
        <v>470</v>
      </c>
      <c r="AO275" s="776">
        <f t="shared" si="64"/>
        <v>909678</v>
      </c>
      <c r="AP275" s="754">
        <f t="shared" si="65"/>
        <v>471</v>
      </c>
      <c r="AQ275" s="770"/>
      <c r="AR275" s="726" t="s">
        <v>2661</v>
      </c>
      <c r="AS275" s="726"/>
      <c r="AT275" s="726"/>
      <c r="AU275" s="726"/>
      <c r="AV275" s="726"/>
      <c r="AW275" s="726"/>
    </row>
    <row r="276" spans="1:49">
      <c r="A276" s="738" t="s">
        <v>4354</v>
      </c>
      <c r="B276" s="738" t="s">
        <v>4354</v>
      </c>
      <c r="C276" s="738"/>
      <c r="D276" s="736"/>
      <c r="E276" s="736"/>
      <c r="F276" s="1059" t="str">
        <f>IFERROR(VLOOKUP($A276,'2018'!$A:$BB,3,FALSE),"")</f>
        <v>81-1664243</v>
      </c>
      <c r="G276" s="1055" t="str">
        <f>IFERROR(VLOOKUP($A276,'2018'!$A:$BB,4,FALSE),"")</f>
        <v>953 Indiana St., San Francisco, CA 94107</v>
      </c>
      <c r="H276" s="1055" t="str">
        <f>IFERROR(VLOOKUP($A276,'2018'!$A:$BB,5,FALSE),"")</f>
        <v>Christian Ewton
858-229-4077
Christian@provenance.bio</v>
      </c>
      <c r="I276" s="1055" t="str">
        <f>IFERROR(VLOOKUP($A276,'2018'!$A:$BB,6,FALSE),"")</f>
        <v>Christian Ewton
858-229-4077
Christian@provenance.bio</v>
      </c>
      <c r="J276" s="1055" t="str">
        <f>IFERROR(VLOOKUP($A276,'2018'!$A:$BB,7,FALSE),"")</f>
        <v>HUB (San Diego)</v>
      </c>
      <c r="K276" s="1055" t="str">
        <f>IFERROR(VLOOKUP($A276,'2018'!$A:$BB,8,FALSE),"")</f>
        <v>Account Managed by HUB SD Team
Producer - Maggie Osburn
Service Lead - Courtney Stanley</v>
      </c>
      <c r="L276" s="1062" t="str">
        <f>IFERROR(VLOOKUP($A276,'2018'!$A:$BB,9,FALSE),"")</f>
        <v>New</v>
      </c>
      <c r="M276" s="1067" t="str">
        <f>IFERROR(VLOOKUP($A276,'2018'!$A:$BB,10,FALSE),"")</f>
        <v>TBD</v>
      </c>
      <c r="N276" s="1062">
        <f>IFERROR(VLOOKUP($A276,'2018'!$A:$BB,12,FALSE),"")</f>
        <v>3</v>
      </c>
      <c r="O276" s="1055" t="str">
        <f>IFERROR(VLOOKUP($A276,'2018'!$A:$BB,13,FALSE),"")</f>
        <v xml:space="preserve">IGOE </v>
      </c>
      <c r="P276" s="1055" t="str">
        <f>IFERROR(VLOOKUP($A276,'2018'!$A:$BB,14,FALSE),"")</f>
        <v>Maestro</v>
      </c>
      <c r="Q276" s="1055" t="str">
        <f>IFERROR(VLOOKUP($A276,'2018'!$A:$BB,16,FALSE),"")</f>
        <v>N/A</v>
      </c>
      <c r="R276" s="1055" t="str">
        <f>IFERROR(VLOOKUP($A276,'2018'!$A:$BB,17,FALSE),"")</f>
        <v>Optum Health</v>
      </c>
      <c r="S276" s="1062" t="str">
        <f>IFERROR(VLOOKUP($A276,'2018'!$A:$BB,20,FALSE),"")</f>
        <v>NCAL</v>
      </c>
      <c r="T276" s="1062" t="str">
        <f>IFERROR(VLOOKUP($A276,'2018'!$A:$BB,21,FALSE),"")</f>
        <v>Group B (34-44)</v>
      </c>
      <c r="U276" s="1062" t="str">
        <f>IFERROR(VLOOKUP($A276,'2018'!$A:$BB,22,FALSE),"")</f>
        <v>Expanded</v>
      </c>
      <c r="V276" s="1062" t="str">
        <f>IFERROR(VLOOKUP($A276,'2018'!$A:$BB,23,FALSE),"")</f>
        <v>Advantage</v>
      </c>
      <c r="W276" s="1062" t="str">
        <f>IFERROR(VLOOKUP($A276,'2018'!$A:$BB,24,FALSE),"")</f>
        <v>No</v>
      </c>
      <c r="X276" s="1062" t="str">
        <f>IFERROR(VLOOKUP($A276,'2018'!$A:$BB,41,FALSE),"")</f>
        <v>Region 4</v>
      </c>
      <c r="Y276" s="1062" t="str">
        <f>IFERROR(VLOOKUP($A276,'2018'!$A:$BB,42,FALSE),"")</f>
        <v>(2-9)</v>
      </c>
      <c r="Z276" s="1062" t="str">
        <f>IFERROR(VLOOKUP($A276,'2018'!$A:$BB,45,FALSE),"")</f>
        <v xml:space="preserve"> (2-49)</v>
      </c>
      <c r="AA276" s="731">
        <v>2018</v>
      </c>
      <c r="AB276" s="1032" t="s">
        <v>4357</v>
      </c>
      <c r="AC276" s="734" t="s">
        <v>303</v>
      </c>
      <c r="AD276" s="734" t="s">
        <v>3648</v>
      </c>
      <c r="AE276" s="734" t="s">
        <v>307</v>
      </c>
      <c r="AF276" s="734" t="s">
        <v>113</v>
      </c>
      <c r="AG276" s="732" t="s">
        <v>3981</v>
      </c>
      <c r="AH276" s="732" t="s">
        <v>3977</v>
      </c>
      <c r="AI276" s="734">
        <v>16</v>
      </c>
      <c r="AJ276" s="748" t="s">
        <v>3985</v>
      </c>
      <c r="AK276" s="763">
        <v>909678</v>
      </c>
      <c r="AL276" s="756">
        <v>721</v>
      </c>
      <c r="AM276" s="755">
        <v>909678</v>
      </c>
      <c r="AN276" s="756">
        <v>722</v>
      </c>
      <c r="AO276" s="776">
        <f t="shared" si="64"/>
        <v>909678</v>
      </c>
      <c r="AP276" s="754">
        <f t="shared" si="65"/>
        <v>723</v>
      </c>
      <c r="AQ276" s="771"/>
      <c r="AR276" s="732" t="s">
        <v>2661</v>
      </c>
      <c r="AS276" s="735"/>
      <c r="AT276" s="735"/>
      <c r="AU276" s="732"/>
      <c r="AV276" s="735"/>
      <c r="AW276" s="735"/>
    </row>
    <row r="277" spans="1:49">
      <c r="A277" s="738"/>
      <c r="B277" s="738"/>
      <c r="C277" s="738"/>
      <c r="D277" s="738"/>
      <c r="E277" s="738"/>
      <c r="F277" s="1059" t="str">
        <f>IFERROR(VLOOKUP($A277,'2018'!$A:$BB,3,FALSE),"")</f>
        <v/>
      </c>
      <c r="G277" s="1055" t="str">
        <f>IFERROR(VLOOKUP($A277,'2018'!$A:$BB,4,FALSE),"")</f>
        <v/>
      </c>
      <c r="H277" s="1055" t="str">
        <f>IFERROR(VLOOKUP($A277,'2018'!$A:$BB,5,FALSE),"")</f>
        <v/>
      </c>
      <c r="I277" s="1055" t="str">
        <f>IFERROR(VLOOKUP($A277,'2018'!$A:$BB,6,FALSE),"")</f>
        <v/>
      </c>
      <c r="J277" s="1055" t="str">
        <f>IFERROR(VLOOKUP($A277,'2018'!$A:$BB,7,FALSE),"")</f>
        <v/>
      </c>
      <c r="K277" s="1055" t="str">
        <f>IFERROR(VLOOKUP($A277,'2018'!$A:$BB,8,FALSE),"")</f>
        <v/>
      </c>
      <c r="L277" s="1062" t="str">
        <f>IFERROR(VLOOKUP($A277,'2018'!$A:$BB,9,FALSE),"")</f>
        <v/>
      </c>
      <c r="M277" s="1067" t="str">
        <f>IFERROR(VLOOKUP($A277,'2018'!$A:$BB,10,FALSE),"")</f>
        <v/>
      </c>
      <c r="N277" s="1062" t="str">
        <f>IFERROR(VLOOKUP($A277,'2018'!$A:$BB,12,FALSE),"")</f>
        <v/>
      </c>
      <c r="O277" s="1055" t="str">
        <f>IFERROR(VLOOKUP($A277,'2018'!$A:$BB,13,FALSE),"")</f>
        <v/>
      </c>
      <c r="P277" s="1055" t="str">
        <f>IFERROR(VLOOKUP($A277,'2018'!$A:$BB,14,FALSE),"")</f>
        <v/>
      </c>
      <c r="Q277" s="1055" t="str">
        <f>IFERROR(VLOOKUP($A277,'2018'!$A:$BB,16,FALSE),"")</f>
        <v/>
      </c>
      <c r="R277" s="1055" t="str">
        <f>IFERROR(VLOOKUP($A277,'2018'!$A:$BB,17,FALSE),"")</f>
        <v/>
      </c>
      <c r="S277" s="1062" t="str">
        <f>IFERROR(VLOOKUP($A277,'2018'!$A:$BB,20,FALSE),"")</f>
        <v/>
      </c>
      <c r="T277" s="1062" t="str">
        <f>IFERROR(VLOOKUP($A277,'2018'!$A:$BB,21,FALSE),"")</f>
        <v/>
      </c>
      <c r="U277" s="1062" t="str">
        <f>IFERROR(VLOOKUP($A277,'2018'!$A:$BB,22,FALSE),"")</f>
        <v/>
      </c>
      <c r="V277" s="1062" t="str">
        <f>IFERROR(VLOOKUP($A277,'2018'!$A:$BB,23,FALSE),"")</f>
        <v/>
      </c>
      <c r="W277" s="1062" t="str">
        <f>IFERROR(VLOOKUP($A277,'2018'!$A:$BB,24,FALSE),"")</f>
        <v/>
      </c>
      <c r="X277" s="1062" t="str">
        <f>IFERROR(VLOOKUP($A277,'2018'!$A:$BB,41,FALSE),"")</f>
        <v/>
      </c>
      <c r="Y277" s="1062" t="str">
        <f>IFERROR(VLOOKUP($A277,'2018'!$A:$BB,42,FALSE),"")</f>
        <v/>
      </c>
      <c r="Z277" s="1062" t="str">
        <f>IFERROR(VLOOKUP($A277,'2018'!$A:$BB,45,FALSE),"")</f>
        <v/>
      </c>
      <c r="AA277" s="727"/>
      <c r="AB277" s="728"/>
      <c r="AC277" s="727"/>
      <c r="AD277" s="727"/>
      <c r="AE277" s="727"/>
      <c r="AF277" s="727"/>
      <c r="AG277" s="726"/>
      <c r="AH277" s="726"/>
      <c r="AI277" s="727"/>
      <c r="AJ277" s="747"/>
      <c r="AK277" s="753"/>
      <c r="AL277" s="754"/>
      <c r="AM277" s="753"/>
      <c r="AN277" s="754"/>
      <c r="AO277" s="776"/>
      <c r="AP277" s="754"/>
      <c r="AQ277" s="770"/>
      <c r="AR277" s="726"/>
      <c r="AS277" s="726"/>
      <c r="AT277" s="726"/>
      <c r="AU277" s="726"/>
      <c r="AV277" s="726"/>
      <c r="AW277" s="726"/>
    </row>
    <row r="278" spans="1:49">
      <c r="A278" s="736" t="s">
        <v>1283</v>
      </c>
      <c r="B278" s="736" t="s">
        <v>4092</v>
      </c>
      <c r="C278" s="736"/>
      <c r="D278" s="736" t="s">
        <v>4092</v>
      </c>
      <c r="E278" s="736" t="s">
        <v>4092</v>
      </c>
      <c r="F278" s="1059">
        <f>IFERROR(VLOOKUP($A278,'2018'!$A:$BB,3,FALSE),"")</f>
        <v>202814592</v>
      </c>
      <c r="G278" s="1055" t="str">
        <f>IFERROR(VLOOKUP($A278,'2018'!$A:$BB,4,FALSE),"")</f>
        <v>1455 Adams Court
Menlo Park, CA 94025</v>
      </c>
      <c r="H278" s="1055" t="str">
        <f>IFERROR(VLOOKUP($A278,'2018'!$A:$BB,5,FALSE),"")</f>
        <v>Beverly Huss
415-602-2862
bhuss@qooltherapeutics.com</v>
      </c>
      <c r="I278" s="1055" t="str">
        <f>IFERROR(VLOOKUP($A278,'2018'!$A:$BB,6,FALSE),"")</f>
        <v>Beverly Huss
415-602-2862
bhuss@qooltherapeutics.com</v>
      </c>
      <c r="J278" s="1055" t="str">
        <f>IFERROR(VLOOKUP($A278,'2018'!$A:$BB,7,FALSE),"")</f>
        <v>ABD</v>
      </c>
      <c r="K278" s="1055" t="str">
        <f>IFERROR(VLOOKUP($A278,'2018'!$A:$BB,8,FALSE),"")</f>
        <v xml:space="preserve">Account Managed by ABD Team
Mark Anderson
Mark.Anderson@theabdteam.com
Angie Lopez
angie.lopez@theabdteam.com </v>
      </c>
      <c r="L278" s="1062" t="str">
        <f>IFERROR(VLOOKUP($A278,'2018'!$A:$BB,9,FALSE),"")</f>
        <v>New</v>
      </c>
      <c r="M278" s="1067">
        <f>IFERROR(VLOOKUP($A278,'2018'!$A:$BB,10,FALSE),"")</f>
        <v>43101</v>
      </c>
      <c r="N278" s="1062">
        <f>IFERROR(VLOOKUP($A278,'2018'!$A:$BB,12,FALSE),"")</f>
        <v>3</v>
      </c>
      <c r="O278" s="1055" t="str">
        <f>IFERROR(VLOOKUP($A278,'2018'!$A:$BB,13,FALSE),"")</f>
        <v xml:space="preserve">IGOE </v>
      </c>
      <c r="P278" s="1055" t="str">
        <f>IFERROR(VLOOKUP($A278,'2018'!$A:$BB,14,FALSE),"")</f>
        <v>Maestro</v>
      </c>
      <c r="Q278" s="1055" t="str">
        <f>IFERROR(VLOOKUP($A278,'2018'!$A:$BB,16,FALSE),"")</f>
        <v>N/A</v>
      </c>
      <c r="R278" s="1055" t="str">
        <f>IFERROR(VLOOKUP($A278,'2018'!$A:$BB,17,FALSE),"")</f>
        <v>Optum Health</v>
      </c>
      <c r="S278" s="1062" t="str">
        <f>IFERROR(VLOOKUP($A278,'2018'!$A:$BB,20,FALSE),"")</f>
        <v>NCAL</v>
      </c>
      <c r="T278" s="1062" t="str">
        <f>IFERROR(VLOOKUP($A278,'2018'!$A:$BB,21,FALSE),"")</f>
        <v>Group B (34-44)</v>
      </c>
      <c r="U278" s="1062" t="str">
        <f>IFERROR(VLOOKUP($A278,'2018'!$A:$BB,22,FALSE),"")</f>
        <v>Expanded</v>
      </c>
      <c r="V278" s="1062" t="str">
        <f>IFERROR(VLOOKUP($A278,'2018'!$A:$BB,23,FALSE),"")</f>
        <v>Advantage</v>
      </c>
      <c r="W278" s="1062" t="str">
        <f>IFERROR(VLOOKUP($A278,'2018'!$A:$BB,24,FALSE),"")</f>
        <v>No</v>
      </c>
      <c r="X278" s="1062" t="str">
        <f>IFERROR(VLOOKUP($A278,'2018'!$A:$BB,41,FALSE),"")</f>
        <v>Region 3</v>
      </c>
      <c r="Y278" s="1062" t="str">
        <f>IFERROR(VLOOKUP($A278,'2018'!$A:$BB,42,FALSE),"")</f>
        <v>(2-9)</v>
      </c>
      <c r="Z278" s="1062" t="str">
        <f>IFERROR(VLOOKUP($A278,'2018'!$A:$BB,45,FALSE),"")</f>
        <v xml:space="preserve"> (2-49)</v>
      </c>
      <c r="AA278" s="731">
        <v>2018</v>
      </c>
      <c r="AB278" s="1020" t="s">
        <v>3900</v>
      </c>
      <c r="AC278" s="734" t="s">
        <v>303</v>
      </c>
      <c r="AD278" s="734" t="s">
        <v>3648</v>
      </c>
      <c r="AE278" s="734" t="s">
        <v>307</v>
      </c>
      <c r="AF278" s="734" t="s">
        <v>113</v>
      </c>
      <c r="AG278" s="732" t="s">
        <v>3962</v>
      </c>
      <c r="AH278" s="732" t="s">
        <v>3963</v>
      </c>
      <c r="AI278" s="734">
        <v>1</v>
      </c>
      <c r="AJ278" s="748" t="s">
        <v>3998</v>
      </c>
      <c r="AK278" s="758">
        <v>260053</v>
      </c>
      <c r="AL278" s="756">
        <v>154</v>
      </c>
      <c r="AM278" s="758">
        <v>260054</v>
      </c>
      <c r="AN278" s="756">
        <v>155</v>
      </c>
      <c r="AO278" s="776">
        <f t="shared" si="53"/>
        <v>260055</v>
      </c>
      <c r="AP278" s="754">
        <f t="shared" si="46"/>
        <v>156</v>
      </c>
      <c r="AQ278" s="771" t="s">
        <v>3979</v>
      </c>
      <c r="AR278" s="732" t="s">
        <v>2661</v>
      </c>
      <c r="AS278" s="735"/>
      <c r="AT278" s="735"/>
      <c r="AU278" s="732" t="s">
        <v>3980</v>
      </c>
      <c r="AV278" s="735"/>
      <c r="AW278" s="735"/>
    </row>
    <row r="279" spans="1:49">
      <c r="A279" s="736" t="s">
        <v>1283</v>
      </c>
      <c r="B279" s="738" t="s">
        <v>4092</v>
      </c>
      <c r="C279" s="738"/>
      <c r="D279" s="738" t="s">
        <v>4092</v>
      </c>
      <c r="E279" s="738" t="s">
        <v>4092</v>
      </c>
      <c r="F279" s="1059">
        <f>IFERROR(VLOOKUP($A279,'2018'!$A:$BB,3,FALSE),"")</f>
        <v>202814592</v>
      </c>
      <c r="G279" s="1055" t="str">
        <f>IFERROR(VLOOKUP($A279,'2018'!$A:$BB,4,FALSE),"")</f>
        <v>1455 Adams Court
Menlo Park, CA 94025</v>
      </c>
      <c r="H279" s="1055" t="str">
        <f>IFERROR(VLOOKUP($A279,'2018'!$A:$BB,5,FALSE),"")</f>
        <v>Beverly Huss
415-602-2862
bhuss@qooltherapeutics.com</v>
      </c>
      <c r="I279" s="1055" t="str">
        <f>IFERROR(VLOOKUP($A279,'2018'!$A:$BB,6,FALSE),"")</f>
        <v>Beverly Huss
415-602-2862
bhuss@qooltherapeutics.com</v>
      </c>
      <c r="J279" s="1055" t="str">
        <f>IFERROR(VLOOKUP($A279,'2018'!$A:$BB,7,FALSE),"")</f>
        <v>ABD</v>
      </c>
      <c r="K279" s="1055" t="str">
        <f>IFERROR(VLOOKUP($A279,'2018'!$A:$BB,8,FALSE),"")</f>
        <v xml:space="preserve">Account Managed by ABD Team
Mark Anderson
Mark.Anderson@theabdteam.com
Angie Lopez
angie.lopez@theabdteam.com </v>
      </c>
      <c r="L279" s="1062" t="str">
        <f>IFERROR(VLOOKUP($A279,'2018'!$A:$BB,9,FALSE),"")</f>
        <v>New</v>
      </c>
      <c r="M279" s="1067">
        <f>IFERROR(VLOOKUP($A279,'2018'!$A:$BB,10,FALSE),"")</f>
        <v>43101</v>
      </c>
      <c r="N279" s="1062">
        <f>IFERROR(VLOOKUP($A279,'2018'!$A:$BB,12,FALSE),"")</f>
        <v>3</v>
      </c>
      <c r="O279" s="1055" t="str">
        <f>IFERROR(VLOOKUP($A279,'2018'!$A:$BB,13,FALSE),"")</f>
        <v xml:space="preserve">IGOE </v>
      </c>
      <c r="P279" s="1055" t="str">
        <f>IFERROR(VLOOKUP($A279,'2018'!$A:$BB,14,FALSE),"")</f>
        <v>Maestro</v>
      </c>
      <c r="Q279" s="1055" t="str">
        <f>IFERROR(VLOOKUP($A279,'2018'!$A:$BB,16,FALSE),"")</f>
        <v>N/A</v>
      </c>
      <c r="R279" s="1055" t="str">
        <f>IFERROR(VLOOKUP($A279,'2018'!$A:$BB,17,FALSE),"")</f>
        <v>Optum Health</v>
      </c>
      <c r="S279" s="1062" t="str">
        <f>IFERROR(VLOOKUP($A279,'2018'!$A:$BB,20,FALSE),"")</f>
        <v>NCAL</v>
      </c>
      <c r="T279" s="1062" t="str">
        <f>IFERROR(VLOOKUP($A279,'2018'!$A:$BB,21,FALSE),"")</f>
        <v>Group B (34-44)</v>
      </c>
      <c r="U279" s="1062" t="str">
        <f>IFERROR(VLOOKUP($A279,'2018'!$A:$BB,22,FALSE),"")</f>
        <v>Expanded</v>
      </c>
      <c r="V279" s="1062" t="str">
        <f>IFERROR(VLOOKUP($A279,'2018'!$A:$BB,23,FALSE),"")</f>
        <v>Advantage</v>
      </c>
      <c r="W279" s="1062" t="str">
        <f>IFERROR(VLOOKUP($A279,'2018'!$A:$BB,24,FALSE),"")</f>
        <v>No</v>
      </c>
      <c r="X279" s="1062" t="str">
        <f>IFERROR(VLOOKUP($A279,'2018'!$A:$BB,41,FALSE),"")</f>
        <v>Region 3</v>
      </c>
      <c r="Y279" s="1062" t="str">
        <f>IFERROR(VLOOKUP($A279,'2018'!$A:$BB,42,FALSE),"")</f>
        <v>(2-9)</v>
      </c>
      <c r="Z279" s="1062" t="str">
        <f>IFERROR(VLOOKUP($A279,'2018'!$A:$BB,45,FALSE),"")</f>
        <v xml:space="preserve"> (2-49)</v>
      </c>
      <c r="AA279" s="730">
        <v>2018</v>
      </c>
      <c r="AB279" s="1020" t="s">
        <v>3900</v>
      </c>
      <c r="AC279" s="727" t="s">
        <v>303</v>
      </c>
      <c r="AD279" s="727" t="s">
        <v>3648</v>
      </c>
      <c r="AE279" s="727" t="s">
        <v>307</v>
      </c>
      <c r="AF279" s="727" t="s">
        <v>113</v>
      </c>
      <c r="AG279" s="726" t="s">
        <v>3972</v>
      </c>
      <c r="AH279" s="726" t="s">
        <v>3973</v>
      </c>
      <c r="AI279" s="727">
        <v>7</v>
      </c>
      <c r="AJ279" s="747" t="s">
        <v>4001</v>
      </c>
      <c r="AK279" s="757">
        <v>909678</v>
      </c>
      <c r="AL279" s="754">
        <v>325</v>
      </c>
      <c r="AM279" s="755">
        <v>909678</v>
      </c>
      <c r="AN279" s="754">
        <v>326</v>
      </c>
      <c r="AO279" s="776">
        <f t="shared" ref="AO279:AO282" si="66">AM279</f>
        <v>909678</v>
      </c>
      <c r="AP279" s="754">
        <f t="shared" si="46"/>
        <v>327</v>
      </c>
      <c r="AQ279" s="770"/>
      <c r="AR279" s="726" t="s">
        <v>2661</v>
      </c>
      <c r="AS279" s="726" t="s">
        <v>4002</v>
      </c>
      <c r="AT279" s="726">
        <v>3250325</v>
      </c>
      <c r="AU279" s="726" t="s">
        <v>3966</v>
      </c>
      <c r="AV279" s="726" t="s">
        <v>4093</v>
      </c>
      <c r="AW279" s="726">
        <v>3260326</v>
      </c>
    </row>
    <row r="280" spans="1:49">
      <c r="A280" s="736" t="s">
        <v>1283</v>
      </c>
      <c r="B280" s="736" t="s">
        <v>4092</v>
      </c>
      <c r="C280" s="736"/>
      <c r="D280" s="736" t="s">
        <v>4092</v>
      </c>
      <c r="E280" s="736" t="s">
        <v>4092</v>
      </c>
      <c r="F280" s="1059">
        <f>IFERROR(VLOOKUP($A280,'2018'!$A:$BB,3,FALSE),"")</f>
        <v>202814592</v>
      </c>
      <c r="G280" s="1055" t="str">
        <f>IFERROR(VLOOKUP($A280,'2018'!$A:$BB,4,FALSE),"")</f>
        <v>1455 Adams Court
Menlo Park, CA 94025</v>
      </c>
      <c r="H280" s="1055" t="str">
        <f>IFERROR(VLOOKUP($A280,'2018'!$A:$BB,5,FALSE),"")</f>
        <v>Beverly Huss
415-602-2862
bhuss@qooltherapeutics.com</v>
      </c>
      <c r="I280" s="1055" t="str">
        <f>IFERROR(VLOOKUP($A280,'2018'!$A:$BB,6,FALSE),"")</f>
        <v>Beverly Huss
415-602-2862
bhuss@qooltherapeutics.com</v>
      </c>
      <c r="J280" s="1055" t="str">
        <f>IFERROR(VLOOKUP($A280,'2018'!$A:$BB,7,FALSE),"")</f>
        <v>ABD</v>
      </c>
      <c r="K280" s="1055" t="str">
        <f>IFERROR(VLOOKUP($A280,'2018'!$A:$BB,8,FALSE),"")</f>
        <v xml:space="preserve">Account Managed by ABD Team
Mark Anderson
Mark.Anderson@theabdteam.com
Angie Lopez
angie.lopez@theabdteam.com </v>
      </c>
      <c r="L280" s="1062" t="str">
        <f>IFERROR(VLOOKUP($A280,'2018'!$A:$BB,9,FALSE),"")</f>
        <v>New</v>
      </c>
      <c r="M280" s="1067">
        <f>IFERROR(VLOOKUP($A280,'2018'!$A:$BB,10,FALSE),"")</f>
        <v>43101</v>
      </c>
      <c r="N280" s="1062">
        <f>IFERROR(VLOOKUP($A280,'2018'!$A:$BB,12,FALSE),"")</f>
        <v>3</v>
      </c>
      <c r="O280" s="1055" t="str">
        <f>IFERROR(VLOOKUP($A280,'2018'!$A:$BB,13,FALSE),"")</f>
        <v xml:space="preserve">IGOE </v>
      </c>
      <c r="P280" s="1055" t="str">
        <f>IFERROR(VLOOKUP($A280,'2018'!$A:$BB,14,FALSE),"")</f>
        <v>Maestro</v>
      </c>
      <c r="Q280" s="1055" t="str">
        <f>IFERROR(VLOOKUP($A280,'2018'!$A:$BB,16,FALSE),"")</f>
        <v>N/A</v>
      </c>
      <c r="R280" s="1055" t="str">
        <f>IFERROR(VLOOKUP($A280,'2018'!$A:$BB,17,FALSE),"")</f>
        <v>Optum Health</v>
      </c>
      <c r="S280" s="1062" t="str">
        <f>IFERROR(VLOOKUP($A280,'2018'!$A:$BB,20,FALSE),"")</f>
        <v>NCAL</v>
      </c>
      <c r="T280" s="1062" t="str">
        <f>IFERROR(VLOOKUP($A280,'2018'!$A:$BB,21,FALSE),"")</f>
        <v>Group B (34-44)</v>
      </c>
      <c r="U280" s="1062" t="str">
        <f>IFERROR(VLOOKUP($A280,'2018'!$A:$BB,22,FALSE),"")</f>
        <v>Expanded</v>
      </c>
      <c r="V280" s="1062" t="str">
        <f>IFERROR(VLOOKUP($A280,'2018'!$A:$BB,23,FALSE),"")</f>
        <v>Advantage</v>
      </c>
      <c r="W280" s="1062" t="str">
        <f>IFERROR(VLOOKUP($A280,'2018'!$A:$BB,24,FALSE),"")</f>
        <v>No</v>
      </c>
      <c r="X280" s="1062" t="str">
        <f>IFERROR(VLOOKUP($A280,'2018'!$A:$BB,41,FALSE),"")</f>
        <v>Region 3</v>
      </c>
      <c r="Y280" s="1062" t="str">
        <f>IFERROR(VLOOKUP($A280,'2018'!$A:$BB,42,FALSE),"")</f>
        <v>(2-9)</v>
      </c>
      <c r="Z280" s="1062" t="str">
        <f>IFERROR(VLOOKUP($A280,'2018'!$A:$BB,45,FALSE),"")</f>
        <v xml:space="preserve"> (2-49)</v>
      </c>
      <c r="AA280" s="731">
        <v>2018</v>
      </c>
      <c r="AB280" s="1020" t="s">
        <v>3900</v>
      </c>
      <c r="AC280" s="734" t="s">
        <v>303</v>
      </c>
      <c r="AD280" s="734" t="s">
        <v>3648</v>
      </c>
      <c r="AE280" s="734" t="s">
        <v>307</v>
      </c>
      <c r="AF280" s="734" t="s">
        <v>113</v>
      </c>
      <c r="AG280" s="732" t="s">
        <v>3972</v>
      </c>
      <c r="AH280" s="732" t="s">
        <v>3977</v>
      </c>
      <c r="AI280" s="734">
        <v>13</v>
      </c>
      <c r="AJ280" s="748" t="s">
        <v>4004</v>
      </c>
      <c r="AK280" s="757">
        <v>909678</v>
      </c>
      <c r="AL280" s="756">
        <v>577</v>
      </c>
      <c r="AM280" s="755">
        <v>909678</v>
      </c>
      <c r="AN280" s="756">
        <v>578</v>
      </c>
      <c r="AO280" s="776">
        <f t="shared" si="66"/>
        <v>909678</v>
      </c>
      <c r="AP280" s="754">
        <f t="shared" si="46"/>
        <v>579</v>
      </c>
      <c r="AQ280" s="771" t="s">
        <v>3979</v>
      </c>
      <c r="AR280" s="732" t="s">
        <v>2661</v>
      </c>
      <c r="AS280" s="735"/>
      <c r="AT280" s="735"/>
      <c r="AU280" s="732" t="s">
        <v>3980</v>
      </c>
      <c r="AV280" s="735"/>
      <c r="AW280" s="735"/>
    </row>
    <row r="281" spans="1:49">
      <c r="A281" s="736" t="s">
        <v>1283</v>
      </c>
      <c r="B281" s="738" t="s">
        <v>4092</v>
      </c>
      <c r="C281" s="738"/>
      <c r="D281" s="738" t="s">
        <v>4092</v>
      </c>
      <c r="E281" s="738" t="s">
        <v>4092</v>
      </c>
      <c r="F281" s="1059">
        <f>IFERROR(VLOOKUP($A281,'2018'!$A:$BB,3,FALSE),"")</f>
        <v>202814592</v>
      </c>
      <c r="G281" s="1055" t="str">
        <f>IFERROR(VLOOKUP($A281,'2018'!$A:$BB,4,FALSE),"")</f>
        <v>1455 Adams Court
Menlo Park, CA 94025</v>
      </c>
      <c r="H281" s="1055" t="str">
        <f>IFERROR(VLOOKUP($A281,'2018'!$A:$BB,5,FALSE),"")</f>
        <v>Beverly Huss
415-602-2862
bhuss@qooltherapeutics.com</v>
      </c>
      <c r="I281" s="1055" t="str">
        <f>IFERROR(VLOOKUP($A281,'2018'!$A:$BB,6,FALSE),"")</f>
        <v>Beverly Huss
415-602-2862
bhuss@qooltherapeutics.com</v>
      </c>
      <c r="J281" s="1055" t="str">
        <f>IFERROR(VLOOKUP($A281,'2018'!$A:$BB,7,FALSE),"")</f>
        <v>ABD</v>
      </c>
      <c r="K281" s="1055" t="str">
        <f>IFERROR(VLOOKUP($A281,'2018'!$A:$BB,8,FALSE),"")</f>
        <v xml:space="preserve">Account Managed by ABD Team
Mark Anderson
Mark.Anderson@theabdteam.com
Angie Lopez
angie.lopez@theabdteam.com </v>
      </c>
      <c r="L281" s="1062" t="str">
        <f>IFERROR(VLOOKUP($A281,'2018'!$A:$BB,9,FALSE),"")</f>
        <v>New</v>
      </c>
      <c r="M281" s="1067">
        <f>IFERROR(VLOOKUP($A281,'2018'!$A:$BB,10,FALSE),"")</f>
        <v>43101</v>
      </c>
      <c r="N281" s="1062">
        <f>IFERROR(VLOOKUP($A281,'2018'!$A:$BB,12,FALSE),"")</f>
        <v>3</v>
      </c>
      <c r="O281" s="1055" t="str">
        <f>IFERROR(VLOOKUP($A281,'2018'!$A:$BB,13,FALSE),"")</f>
        <v xml:space="preserve">IGOE </v>
      </c>
      <c r="P281" s="1055" t="str">
        <f>IFERROR(VLOOKUP($A281,'2018'!$A:$BB,14,FALSE),"")</f>
        <v>Maestro</v>
      </c>
      <c r="Q281" s="1055" t="str">
        <f>IFERROR(VLOOKUP($A281,'2018'!$A:$BB,16,FALSE),"")</f>
        <v>N/A</v>
      </c>
      <c r="R281" s="1055" t="str">
        <f>IFERROR(VLOOKUP($A281,'2018'!$A:$BB,17,FALSE),"")</f>
        <v>Optum Health</v>
      </c>
      <c r="S281" s="1062" t="str">
        <f>IFERROR(VLOOKUP($A281,'2018'!$A:$BB,20,FALSE),"")</f>
        <v>NCAL</v>
      </c>
      <c r="T281" s="1062" t="str">
        <f>IFERROR(VLOOKUP($A281,'2018'!$A:$BB,21,FALSE),"")</f>
        <v>Group B (34-44)</v>
      </c>
      <c r="U281" s="1062" t="str">
        <f>IFERROR(VLOOKUP($A281,'2018'!$A:$BB,22,FALSE),"")</f>
        <v>Expanded</v>
      </c>
      <c r="V281" s="1062" t="str">
        <f>IFERROR(VLOOKUP($A281,'2018'!$A:$BB,23,FALSE),"")</f>
        <v>Advantage</v>
      </c>
      <c r="W281" s="1062" t="str">
        <f>IFERROR(VLOOKUP($A281,'2018'!$A:$BB,24,FALSE),"")</f>
        <v>No</v>
      </c>
      <c r="X281" s="1062" t="str">
        <f>IFERROR(VLOOKUP($A281,'2018'!$A:$BB,41,FALSE),"")</f>
        <v>Region 3</v>
      </c>
      <c r="Y281" s="1062" t="str">
        <f>IFERROR(VLOOKUP($A281,'2018'!$A:$BB,42,FALSE),"")</f>
        <v>(2-9)</v>
      </c>
      <c r="Z281" s="1062" t="str">
        <f>IFERROR(VLOOKUP($A281,'2018'!$A:$BB,45,FALSE),"")</f>
        <v xml:space="preserve"> (2-49)</v>
      </c>
      <c r="AA281" s="730">
        <v>2018</v>
      </c>
      <c r="AB281" s="1020" t="s">
        <v>3900</v>
      </c>
      <c r="AC281" s="727" t="s">
        <v>303</v>
      </c>
      <c r="AD281" s="727" t="s">
        <v>3648</v>
      </c>
      <c r="AE281" s="727" t="s">
        <v>307</v>
      </c>
      <c r="AF281" s="727" t="s">
        <v>113</v>
      </c>
      <c r="AG281" s="726" t="s">
        <v>3981</v>
      </c>
      <c r="AH281" s="726" t="s">
        <v>3973</v>
      </c>
      <c r="AI281" s="727">
        <v>11</v>
      </c>
      <c r="AJ281" s="747" t="s">
        <v>3982</v>
      </c>
      <c r="AK281" s="757">
        <v>909678</v>
      </c>
      <c r="AL281" s="754">
        <v>469</v>
      </c>
      <c r="AM281" s="755">
        <v>909678</v>
      </c>
      <c r="AN281" s="754">
        <v>470</v>
      </c>
      <c r="AO281" s="776">
        <f t="shared" si="66"/>
        <v>909678</v>
      </c>
      <c r="AP281" s="754">
        <f t="shared" si="46"/>
        <v>471</v>
      </c>
      <c r="AQ281" s="770"/>
      <c r="AR281" s="726" t="s">
        <v>2661</v>
      </c>
      <c r="AS281" s="726" t="s">
        <v>3983</v>
      </c>
      <c r="AT281" s="726">
        <v>4690469</v>
      </c>
      <c r="AU281" s="726" t="s">
        <v>3966</v>
      </c>
      <c r="AV281" s="726" t="s">
        <v>4094</v>
      </c>
      <c r="AW281" s="726">
        <v>4700470</v>
      </c>
    </row>
    <row r="282" spans="1:49">
      <c r="A282" s="736" t="s">
        <v>1283</v>
      </c>
      <c r="B282" s="736" t="s">
        <v>4092</v>
      </c>
      <c r="C282" s="736"/>
      <c r="D282" s="736" t="s">
        <v>4092</v>
      </c>
      <c r="E282" s="736" t="s">
        <v>4092</v>
      </c>
      <c r="F282" s="1059">
        <f>IFERROR(VLOOKUP($A282,'2018'!$A:$BB,3,FALSE),"")</f>
        <v>202814592</v>
      </c>
      <c r="G282" s="1055" t="str">
        <f>IFERROR(VLOOKUP($A282,'2018'!$A:$BB,4,FALSE),"")</f>
        <v>1455 Adams Court
Menlo Park, CA 94025</v>
      </c>
      <c r="H282" s="1055" t="str">
        <f>IFERROR(VLOOKUP($A282,'2018'!$A:$BB,5,FALSE),"")</f>
        <v>Beverly Huss
415-602-2862
bhuss@qooltherapeutics.com</v>
      </c>
      <c r="I282" s="1055" t="str">
        <f>IFERROR(VLOOKUP($A282,'2018'!$A:$BB,6,FALSE),"")</f>
        <v>Beverly Huss
415-602-2862
bhuss@qooltherapeutics.com</v>
      </c>
      <c r="J282" s="1055" t="str">
        <f>IFERROR(VLOOKUP($A282,'2018'!$A:$BB,7,FALSE),"")</f>
        <v>ABD</v>
      </c>
      <c r="K282" s="1055" t="str">
        <f>IFERROR(VLOOKUP($A282,'2018'!$A:$BB,8,FALSE),"")</f>
        <v xml:space="preserve">Account Managed by ABD Team
Mark Anderson
Mark.Anderson@theabdteam.com
Angie Lopez
angie.lopez@theabdteam.com </v>
      </c>
      <c r="L282" s="1062" t="str">
        <f>IFERROR(VLOOKUP($A282,'2018'!$A:$BB,9,FALSE),"")</f>
        <v>New</v>
      </c>
      <c r="M282" s="1067">
        <f>IFERROR(VLOOKUP($A282,'2018'!$A:$BB,10,FALSE),"")</f>
        <v>43101</v>
      </c>
      <c r="N282" s="1062">
        <f>IFERROR(VLOOKUP($A282,'2018'!$A:$BB,12,FALSE),"")</f>
        <v>3</v>
      </c>
      <c r="O282" s="1055" t="str">
        <f>IFERROR(VLOOKUP($A282,'2018'!$A:$BB,13,FALSE),"")</f>
        <v xml:space="preserve">IGOE </v>
      </c>
      <c r="P282" s="1055" t="str">
        <f>IFERROR(VLOOKUP($A282,'2018'!$A:$BB,14,FALSE),"")</f>
        <v>Maestro</v>
      </c>
      <c r="Q282" s="1055" t="str">
        <f>IFERROR(VLOOKUP($A282,'2018'!$A:$BB,16,FALSE),"")</f>
        <v>N/A</v>
      </c>
      <c r="R282" s="1055" t="str">
        <f>IFERROR(VLOOKUP($A282,'2018'!$A:$BB,17,FALSE),"")</f>
        <v>Optum Health</v>
      </c>
      <c r="S282" s="1062" t="str">
        <f>IFERROR(VLOOKUP($A282,'2018'!$A:$BB,20,FALSE),"")</f>
        <v>NCAL</v>
      </c>
      <c r="T282" s="1062" t="str">
        <f>IFERROR(VLOOKUP($A282,'2018'!$A:$BB,21,FALSE),"")</f>
        <v>Group B (34-44)</v>
      </c>
      <c r="U282" s="1062" t="str">
        <f>IFERROR(VLOOKUP($A282,'2018'!$A:$BB,22,FALSE),"")</f>
        <v>Expanded</v>
      </c>
      <c r="V282" s="1062" t="str">
        <f>IFERROR(VLOOKUP($A282,'2018'!$A:$BB,23,FALSE),"")</f>
        <v>Advantage</v>
      </c>
      <c r="W282" s="1062" t="str">
        <f>IFERROR(VLOOKUP($A282,'2018'!$A:$BB,24,FALSE),"")</f>
        <v>No</v>
      </c>
      <c r="X282" s="1062" t="str">
        <f>IFERROR(VLOOKUP($A282,'2018'!$A:$BB,41,FALSE),"")</f>
        <v>Region 3</v>
      </c>
      <c r="Y282" s="1062" t="str">
        <f>IFERROR(VLOOKUP($A282,'2018'!$A:$BB,42,FALSE),"")</f>
        <v>(2-9)</v>
      </c>
      <c r="Z282" s="1062" t="str">
        <f>IFERROR(VLOOKUP($A282,'2018'!$A:$BB,45,FALSE),"")</f>
        <v xml:space="preserve"> (2-49)</v>
      </c>
      <c r="AA282" s="731">
        <v>2018</v>
      </c>
      <c r="AB282" s="1020" t="s">
        <v>3900</v>
      </c>
      <c r="AC282" s="734" t="s">
        <v>303</v>
      </c>
      <c r="AD282" s="734" t="s">
        <v>3648</v>
      </c>
      <c r="AE282" s="734" t="s">
        <v>307</v>
      </c>
      <c r="AF282" s="734" t="s">
        <v>113</v>
      </c>
      <c r="AG282" s="732" t="s">
        <v>3981</v>
      </c>
      <c r="AH282" s="732" t="s">
        <v>3977</v>
      </c>
      <c r="AI282" s="734">
        <v>16</v>
      </c>
      <c r="AJ282" s="748" t="s">
        <v>3985</v>
      </c>
      <c r="AK282" s="757">
        <v>909678</v>
      </c>
      <c r="AL282" s="756">
        <v>721</v>
      </c>
      <c r="AM282" s="755">
        <v>909678</v>
      </c>
      <c r="AN282" s="756">
        <v>722</v>
      </c>
      <c r="AO282" s="776">
        <f t="shared" si="66"/>
        <v>909678</v>
      </c>
      <c r="AP282" s="754">
        <f t="shared" si="46"/>
        <v>723</v>
      </c>
      <c r="AQ282" s="771" t="s">
        <v>3979</v>
      </c>
      <c r="AR282" s="732" t="s">
        <v>2661</v>
      </c>
      <c r="AS282" s="735"/>
      <c r="AT282" s="735"/>
      <c r="AU282" s="732" t="s">
        <v>3980</v>
      </c>
      <c r="AV282" s="735"/>
      <c r="AW282" s="735"/>
    </row>
    <row r="283" spans="1:49">
      <c r="A283" s="738"/>
      <c r="B283" s="738"/>
      <c r="C283" s="738"/>
      <c r="D283" s="738"/>
      <c r="E283" s="738"/>
      <c r="F283" s="1059" t="str">
        <f>IFERROR(VLOOKUP($A283,'2018'!$A:$BB,3,FALSE),"")</f>
        <v/>
      </c>
      <c r="G283" s="1055" t="str">
        <f>IFERROR(VLOOKUP($A283,'2018'!$A:$BB,4,FALSE),"")</f>
        <v/>
      </c>
      <c r="H283" s="1055" t="str">
        <f>IFERROR(VLOOKUP($A283,'2018'!$A:$BB,5,FALSE),"")</f>
        <v/>
      </c>
      <c r="I283" s="1055" t="str">
        <f>IFERROR(VLOOKUP($A283,'2018'!$A:$BB,6,FALSE),"")</f>
        <v/>
      </c>
      <c r="J283" s="1055" t="str">
        <f>IFERROR(VLOOKUP($A283,'2018'!$A:$BB,7,FALSE),"")</f>
        <v/>
      </c>
      <c r="K283" s="1055" t="str">
        <f>IFERROR(VLOOKUP($A283,'2018'!$A:$BB,8,FALSE),"")</f>
        <v/>
      </c>
      <c r="L283" s="1062" t="str">
        <f>IFERROR(VLOOKUP($A283,'2018'!$A:$BB,9,FALSE),"")</f>
        <v/>
      </c>
      <c r="M283" s="1067" t="str">
        <f>IFERROR(VLOOKUP($A283,'2018'!$A:$BB,10,FALSE),"")</f>
        <v/>
      </c>
      <c r="N283" s="1062" t="str">
        <f>IFERROR(VLOOKUP($A283,'2018'!$A:$BB,12,FALSE),"")</f>
        <v/>
      </c>
      <c r="O283" s="1055" t="str">
        <f>IFERROR(VLOOKUP($A283,'2018'!$A:$BB,13,FALSE),"")</f>
        <v/>
      </c>
      <c r="P283" s="1055" t="str">
        <f>IFERROR(VLOOKUP($A283,'2018'!$A:$BB,14,FALSE),"")</f>
        <v/>
      </c>
      <c r="Q283" s="1055" t="str">
        <f>IFERROR(VLOOKUP($A283,'2018'!$A:$BB,16,FALSE),"")</f>
        <v/>
      </c>
      <c r="R283" s="1055" t="str">
        <f>IFERROR(VLOOKUP($A283,'2018'!$A:$BB,17,FALSE),"")</f>
        <v/>
      </c>
      <c r="S283" s="1062" t="str">
        <f>IFERROR(VLOOKUP($A283,'2018'!$A:$BB,20,FALSE),"")</f>
        <v/>
      </c>
      <c r="T283" s="1062" t="str">
        <f>IFERROR(VLOOKUP($A283,'2018'!$A:$BB,21,FALSE),"")</f>
        <v/>
      </c>
      <c r="U283" s="1062" t="str">
        <f>IFERROR(VLOOKUP($A283,'2018'!$A:$BB,22,FALSE),"")</f>
        <v/>
      </c>
      <c r="V283" s="1062" t="str">
        <f>IFERROR(VLOOKUP($A283,'2018'!$A:$BB,23,FALSE),"")</f>
        <v/>
      </c>
      <c r="W283" s="1062" t="str">
        <f>IFERROR(VLOOKUP($A283,'2018'!$A:$BB,24,FALSE),"")</f>
        <v/>
      </c>
      <c r="X283" s="1062" t="str">
        <f>IFERROR(VLOOKUP($A283,'2018'!$A:$BB,41,FALSE),"")</f>
        <v/>
      </c>
      <c r="Y283" s="1062" t="str">
        <f>IFERROR(VLOOKUP($A283,'2018'!$A:$BB,42,FALSE),"")</f>
        <v/>
      </c>
      <c r="Z283" s="1062" t="str">
        <f>IFERROR(VLOOKUP($A283,'2018'!$A:$BB,45,FALSE),"")</f>
        <v/>
      </c>
      <c r="AA283" s="727"/>
      <c r="AB283" s="728"/>
      <c r="AC283" s="727"/>
      <c r="AD283" s="727"/>
      <c r="AE283" s="727"/>
      <c r="AF283" s="727"/>
      <c r="AG283" s="726"/>
      <c r="AH283" s="726"/>
      <c r="AI283" s="727"/>
      <c r="AJ283" s="747"/>
      <c r="AK283" s="753"/>
      <c r="AL283" s="754"/>
      <c r="AM283" s="753"/>
      <c r="AN283" s="754"/>
      <c r="AO283" s="776"/>
      <c r="AP283" s="754"/>
      <c r="AQ283" s="770"/>
      <c r="AR283" s="726"/>
      <c r="AS283" s="726"/>
      <c r="AT283" s="726"/>
      <c r="AU283" s="726"/>
      <c r="AV283" s="726"/>
      <c r="AW283" s="726"/>
    </row>
    <row r="284" spans="1:49">
      <c r="A284" s="738" t="s">
        <v>426</v>
      </c>
      <c r="B284" s="738" t="s">
        <v>426</v>
      </c>
      <c r="C284" s="738"/>
      <c r="D284" s="738" t="s">
        <v>4194</v>
      </c>
      <c r="E284" s="738" t="s">
        <v>4194</v>
      </c>
      <c r="F284" s="1059">
        <f>IFERROR(VLOOKUP($A284,'2018'!$A:$BB,3,FALSE),"")</f>
        <v>274842691</v>
      </c>
      <c r="G284" s="1055" t="str">
        <f>IFERROR(VLOOKUP($A284,'2018'!$A:$BB,4,FALSE),"")</f>
        <v>3721 Valley Centre Drive, Suite 200
San Diego, CA 92130</v>
      </c>
      <c r="H284" s="1055" t="str">
        <f>IFERROR(VLOOKUP($A284,'2018'!$A:$BB,5,FALSE),"")</f>
        <v xml:space="preserve">Erin Crowe
(760)447-5432
Erin.Crowe@retrophin.com </v>
      </c>
      <c r="I284" s="1055" t="str">
        <f>IFERROR(VLOOKUP($A284,'2018'!$A:$BB,6,FALSE),"")</f>
        <v xml:space="preserve">Erin Crowe
(760)447-5432
Erin.Crowe@retrophin.com </v>
      </c>
      <c r="J284" s="1055" t="str">
        <f>IFERROR(VLOOKUP($A284,'2018'!$A:$BB,7,FALSE),"")</f>
        <v>HUB (San Diego)</v>
      </c>
      <c r="K284" s="1055" t="str">
        <f>IFERROR(VLOOKUP($A284,'2018'!$A:$BB,8,FALSE),"")</f>
        <v>Account Managed by HUB SD Team
Producer - Bev Gregory
Service Lead - Lisa Barone
AM- Susan Shaw</v>
      </c>
      <c r="L284" s="1062" t="str">
        <f>IFERROR(VLOOKUP($A284,'2018'!$A:$BB,9,FALSE),"")</f>
        <v>New</v>
      </c>
      <c r="M284" s="1067">
        <f>IFERROR(VLOOKUP($A284,'2018'!$A:$BB,10,FALSE),"")</f>
        <v>43101</v>
      </c>
      <c r="N284" s="1062">
        <f>IFERROR(VLOOKUP($A284,'2018'!$A:$BB,12,FALSE),"")</f>
        <v>180</v>
      </c>
      <c r="O284" s="1055" t="str">
        <f>IFERROR(VLOOKUP($A284,'2018'!$A:$BB,13,FALSE),"")</f>
        <v xml:space="preserve">IGOE </v>
      </c>
      <c r="P284" s="1055" t="str">
        <f>IFERROR(VLOOKUP($A284,'2018'!$A:$BB,14,FALSE),"")</f>
        <v>ADP</v>
      </c>
      <c r="Q284" s="1055" t="str">
        <f>IFERROR(VLOOKUP($A284,'2018'!$A:$BB,16,FALSE),"")</f>
        <v>IGOE - Not part of Trust</v>
      </c>
      <c r="R284" s="1055" t="str">
        <f>IFERROR(VLOOKUP($A284,'2018'!$A:$BB,17,FALSE),"")</f>
        <v>N/A</v>
      </c>
      <c r="S284" s="1062" t="str">
        <f>IFERROR(VLOOKUP($A284,'2018'!$A:$BB,20,FALSE),"")</f>
        <v>SCAL</v>
      </c>
      <c r="T284" s="1062" t="str">
        <f>IFERROR(VLOOKUP($A284,'2018'!$A:$BB,21,FALSE),"")</f>
        <v>Group C (44-54)</v>
      </c>
      <c r="U284" s="1062" t="str">
        <f>IFERROR(VLOOKUP($A284,'2018'!$A:$BB,22,FALSE),"")</f>
        <v>Expanded</v>
      </c>
      <c r="V284" s="1062" t="str">
        <f>IFERROR(VLOOKUP($A284,'2018'!$A:$BB,23,FALSE),"")</f>
        <v>Access</v>
      </c>
      <c r="W284" s="1062" t="str">
        <f>IFERROR(VLOOKUP($A284,'2018'!$A:$BB,24,FALSE),"")</f>
        <v>No</v>
      </c>
      <c r="X284" s="1062" t="str">
        <f>IFERROR(VLOOKUP($A284,'2018'!$A:$BB,41,FALSE),"")</f>
        <v>N/A</v>
      </c>
      <c r="Y284" s="1062" t="str">
        <f>IFERROR(VLOOKUP($A284,'2018'!$A:$BB,42,FALSE),"")</f>
        <v>N/A</v>
      </c>
      <c r="Z284" s="1062" t="str">
        <f>IFERROR(VLOOKUP($A284,'2018'!$A:$BB,45,FALSE),"")</f>
        <v>N/A</v>
      </c>
      <c r="AA284" s="730">
        <v>2018</v>
      </c>
      <c r="AB284" s="728" t="s">
        <v>3903</v>
      </c>
      <c r="AC284" s="727" t="s">
        <v>317</v>
      </c>
      <c r="AD284" s="727" t="s">
        <v>3656</v>
      </c>
      <c r="AE284" s="727" t="s">
        <v>315</v>
      </c>
      <c r="AF284" s="727" t="s">
        <v>113</v>
      </c>
      <c r="AG284" s="726" t="s">
        <v>3962</v>
      </c>
      <c r="AH284" s="726" t="s">
        <v>3963</v>
      </c>
      <c r="AI284" s="727">
        <v>2</v>
      </c>
      <c r="AJ284" s="747" t="s">
        <v>3964</v>
      </c>
      <c r="AK284" s="753">
        <v>260092</v>
      </c>
      <c r="AL284" s="754">
        <v>193</v>
      </c>
      <c r="AM284" s="753">
        <v>260093</v>
      </c>
      <c r="AN284" s="754">
        <v>194</v>
      </c>
      <c r="AO284" s="776">
        <f t="shared" si="53"/>
        <v>260094</v>
      </c>
      <c r="AP284" s="754">
        <f t="shared" si="46"/>
        <v>195</v>
      </c>
      <c r="AQ284" s="770"/>
      <c r="AR284" s="726" t="s">
        <v>2661</v>
      </c>
      <c r="AS284" s="726" t="s">
        <v>4050</v>
      </c>
      <c r="AT284" s="726">
        <v>1930193</v>
      </c>
      <c r="AU284" s="726" t="s">
        <v>3966</v>
      </c>
      <c r="AV284" s="726" t="s">
        <v>4095</v>
      </c>
      <c r="AW284" s="726">
        <v>1940194</v>
      </c>
    </row>
    <row r="285" spans="1:49">
      <c r="A285" s="738" t="s">
        <v>426</v>
      </c>
      <c r="B285" s="738" t="s">
        <v>426</v>
      </c>
      <c r="C285" s="738"/>
      <c r="D285" s="738" t="s">
        <v>4194</v>
      </c>
      <c r="E285" s="738" t="s">
        <v>4194</v>
      </c>
      <c r="F285" s="1059">
        <f>IFERROR(VLOOKUP($A285,'2018'!$A:$BB,3,FALSE),"")</f>
        <v>274842691</v>
      </c>
      <c r="G285" s="1055" t="str">
        <f>IFERROR(VLOOKUP($A285,'2018'!$A:$BB,4,FALSE),"")</f>
        <v>3721 Valley Centre Drive, Suite 200
San Diego, CA 92130</v>
      </c>
      <c r="H285" s="1055" t="str">
        <f>IFERROR(VLOOKUP($A285,'2018'!$A:$BB,5,FALSE),"")</f>
        <v xml:space="preserve">Erin Crowe
(760)447-5432
Erin.Crowe@retrophin.com </v>
      </c>
      <c r="I285" s="1055" t="str">
        <f>IFERROR(VLOOKUP($A285,'2018'!$A:$BB,6,FALSE),"")</f>
        <v xml:space="preserve">Erin Crowe
(760)447-5432
Erin.Crowe@retrophin.com </v>
      </c>
      <c r="J285" s="1055" t="str">
        <f>IFERROR(VLOOKUP($A285,'2018'!$A:$BB,7,FALSE),"")</f>
        <v>HUB (San Diego)</v>
      </c>
      <c r="K285" s="1055" t="str">
        <f>IFERROR(VLOOKUP($A285,'2018'!$A:$BB,8,FALSE),"")</f>
        <v>Account Managed by HUB SD Team
Producer - Bev Gregory
Service Lead - Lisa Barone
AM- Susan Shaw</v>
      </c>
      <c r="L285" s="1062" t="str">
        <f>IFERROR(VLOOKUP($A285,'2018'!$A:$BB,9,FALSE),"")</f>
        <v>New</v>
      </c>
      <c r="M285" s="1067">
        <f>IFERROR(VLOOKUP($A285,'2018'!$A:$BB,10,FALSE),"")</f>
        <v>43101</v>
      </c>
      <c r="N285" s="1062">
        <f>IFERROR(VLOOKUP($A285,'2018'!$A:$BB,12,FALSE),"")</f>
        <v>180</v>
      </c>
      <c r="O285" s="1055" t="str">
        <f>IFERROR(VLOOKUP($A285,'2018'!$A:$BB,13,FALSE),"")</f>
        <v xml:space="preserve">IGOE </v>
      </c>
      <c r="P285" s="1055" t="str">
        <f>IFERROR(VLOOKUP($A285,'2018'!$A:$BB,14,FALSE),"")</f>
        <v>ADP</v>
      </c>
      <c r="Q285" s="1055" t="str">
        <f>IFERROR(VLOOKUP($A285,'2018'!$A:$BB,16,FALSE),"")</f>
        <v>IGOE - Not part of Trust</v>
      </c>
      <c r="R285" s="1055" t="str">
        <f>IFERROR(VLOOKUP($A285,'2018'!$A:$BB,17,FALSE),"")</f>
        <v>N/A</v>
      </c>
      <c r="S285" s="1062" t="str">
        <f>IFERROR(VLOOKUP($A285,'2018'!$A:$BB,20,FALSE),"")</f>
        <v>SCAL</v>
      </c>
      <c r="T285" s="1062" t="str">
        <f>IFERROR(VLOOKUP($A285,'2018'!$A:$BB,21,FALSE),"")</f>
        <v>Group C (44-54)</v>
      </c>
      <c r="U285" s="1062" t="str">
        <f>IFERROR(VLOOKUP($A285,'2018'!$A:$BB,22,FALSE),"")</f>
        <v>Expanded</v>
      </c>
      <c r="V285" s="1062" t="str">
        <f>IFERROR(VLOOKUP($A285,'2018'!$A:$BB,23,FALSE),"")</f>
        <v>Access</v>
      </c>
      <c r="W285" s="1062" t="str">
        <f>IFERROR(VLOOKUP($A285,'2018'!$A:$BB,24,FALSE),"")</f>
        <v>No</v>
      </c>
      <c r="X285" s="1062" t="str">
        <f>IFERROR(VLOOKUP($A285,'2018'!$A:$BB,41,FALSE),"")</f>
        <v>N/A</v>
      </c>
      <c r="Y285" s="1062" t="str">
        <f>IFERROR(VLOOKUP($A285,'2018'!$A:$BB,42,FALSE),"")</f>
        <v>N/A</v>
      </c>
      <c r="Z285" s="1062" t="str">
        <f>IFERROR(VLOOKUP($A285,'2018'!$A:$BB,45,FALSE),"")</f>
        <v>N/A</v>
      </c>
      <c r="AA285" s="730">
        <v>2018</v>
      </c>
      <c r="AB285" s="728" t="s">
        <v>3903</v>
      </c>
      <c r="AC285" s="727" t="s">
        <v>317</v>
      </c>
      <c r="AD285" s="727" t="s">
        <v>3656</v>
      </c>
      <c r="AE285" s="727" t="s">
        <v>315</v>
      </c>
      <c r="AF285" s="727" t="s">
        <v>113</v>
      </c>
      <c r="AG285" s="726" t="s">
        <v>3972</v>
      </c>
      <c r="AH285" s="726" t="s">
        <v>4096</v>
      </c>
      <c r="AI285" s="727">
        <v>7</v>
      </c>
      <c r="AJ285" s="747" t="s">
        <v>4001</v>
      </c>
      <c r="AK285" s="757">
        <v>909678</v>
      </c>
      <c r="AL285" s="754">
        <v>916</v>
      </c>
      <c r="AM285" s="755">
        <v>909678</v>
      </c>
      <c r="AN285" s="754">
        <v>917</v>
      </c>
      <c r="AO285" s="776">
        <f t="shared" ref="AO285:AO286" si="67">AM285</f>
        <v>909678</v>
      </c>
      <c r="AP285" s="754">
        <f t="shared" si="46"/>
        <v>918</v>
      </c>
      <c r="AQ285" s="770"/>
      <c r="AR285" s="726" t="s">
        <v>2661</v>
      </c>
      <c r="AS285" s="726" t="s">
        <v>4097</v>
      </c>
      <c r="AT285" s="726">
        <v>9160916</v>
      </c>
      <c r="AU285" s="726" t="s">
        <v>3966</v>
      </c>
      <c r="AV285" s="726" t="s">
        <v>4098</v>
      </c>
      <c r="AW285" s="726">
        <v>9170917</v>
      </c>
    </row>
    <row r="286" spans="1:49">
      <c r="A286" s="738" t="s">
        <v>426</v>
      </c>
      <c r="B286" s="738" t="s">
        <v>426</v>
      </c>
      <c r="C286" s="738"/>
      <c r="D286" s="738" t="s">
        <v>4194</v>
      </c>
      <c r="E286" s="738" t="s">
        <v>4194</v>
      </c>
      <c r="F286" s="1059">
        <f>IFERROR(VLOOKUP($A286,'2018'!$A:$BB,3,FALSE),"")</f>
        <v>274842691</v>
      </c>
      <c r="G286" s="1055" t="str">
        <f>IFERROR(VLOOKUP($A286,'2018'!$A:$BB,4,FALSE),"")</f>
        <v>3721 Valley Centre Drive, Suite 200
San Diego, CA 92130</v>
      </c>
      <c r="H286" s="1055" t="str">
        <f>IFERROR(VLOOKUP($A286,'2018'!$A:$BB,5,FALSE),"")</f>
        <v xml:space="preserve">Erin Crowe
(760)447-5432
Erin.Crowe@retrophin.com </v>
      </c>
      <c r="I286" s="1055" t="str">
        <f>IFERROR(VLOOKUP($A286,'2018'!$A:$BB,6,FALSE),"")</f>
        <v xml:space="preserve">Erin Crowe
(760)447-5432
Erin.Crowe@retrophin.com </v>
      </c>
      <c r="J286" s="1055" t="str">
        <f>IFERROR(VLOOKUP($A286,'2018'!$A:$BB,7,FALSE),"")</f>
        <v>HUB (San Diego)</v>
      </c>
      <c r="K286" s="1055" t="str">
        <f>IFERROR(VLOOKUP($A286,'2018'!$A:$BB,8,FALSE),"")</f>
        <v>Account Managed by HUB SD Team
Producer - Bev Gregory
Service Lead - Lisa Barone
AM- Susan Shaw</v>
      </c>
      <c r="L286" s="1062" t="str">
        <f>IFERROR(VLOOKUP($A286,'2018'!$A:$BB,9,FALSE),"")</f>
        <v>New</v>
      </c>
      <c r="M286" s="1067">
        <f>IFERROR(VLOOKUP($A286,'2018'!$A:$BB,10,FALSE),"")</f>
        <v>43101</v>
      </c>
      <c r="N286" s="1062">
        <f>IFERROR(VLOOKUP($A286,'2018'!$A:$BB,12,FALSE),"")</f>
        <v>180</v>
      </c>
      <c r="O286" s="1055" t="str">
        <f>IFERROR(VLOOKUP($A286,'2018'!$A:$BB,13,FALSE),"")</f>
        <v xml:space="preserve">IGOE </v>
      </c>
      <c r="P286" s="1055" t="str">
        <f>IFERROR(VLOOKUP($A286,'2018'!$A:$BB,14,FALSE),"")</f>
        <v>ADP</v>
      </c>
      <c r="Q286" s="1055" t="str">
        <f>IFERROR(VLOOKUP($A286,'2018'!$A:$BB,16,FALSE),"")</f>
        <v>IGOE - Not part of Trust</v>
      </c>
      <c r="R286" s="1055" t="str">
        <f>IFERROR(VLOOKUP($A286,'2018'!$A:$BB,17,FALSE),"")</f>
        <v>N/A</v>
      </c>
      <c r="S286" s="1062" t="str">
        <f>IFERROR(VLOOKUP($A286,'2018'!$A:$BB,20,FALSE),"")</f>
        <v>SCAL</v>
      </c>
      <c r="T286" s="1062" t="str">
        <f>IFERROR(VLOOKUP($A286,'2018'!$A:$BB,21,FALSE),"")</f>
        <v>Group C (44-54)</v>
      </c>
      <c r="U286" s="1062" t="str">
        <f>IFERROR(VLOOKUP($A286,'2018'!$A:$BB,22,FALSE),"")</f>
        <v>Expanded</v>
      </c>
      <c r="V286" s="1062" t="str">
        <f>IFERROR(VLOOKUP($A286,'2018'!$A:$BB,23,FALSE),"")</f>
        <v>Access</v>
      </c>
      <c r="W286" s="1062" t="str">
        <f>IFERROR(VLOOKUP($A286,'2018'!$A:$BB,24,FALSE),"")</f>
        <v>No</v>
      </c>
      <c r="X286" s="1062" t="str">
        <f>IFERROR(VLOOKUP($A286,'2018'!$A:$BB,41,FALSE),"")</f>
        <v>N/A</v>
      </c>
      <c r="Y286" s="1062" t="str">
        <f>IFERROR(VLOOKUP($A286,'2018'!$A:$BB,42,FALSE),"")</f>
        <v>N/A</v>
      </c>
      <c r="Z286" s="1062" t="str">
        <f>IFERROR(VLOOKUP($A286,'2018'!$A:$BB,45,FALSE),"")</f>
        <v>N/A</v>
      </c>
      <c r="AA286" s="730">
        <v>2018</v>
      </c>
      <c r="AB286" s="728" t="s">
        <v>3903</v>
      </c>
      <c r="AC286" s="727" t="s">
        <v>317</v>
      </c>
      <c r="AD286" s="727" t="s">
        <v>3656</v>
      </c>
      <c r="AE286" s="727" t="s">
        <v>315</v>
      </c>
      <c r="AF286" s="727" t="s">
        <v>113</v>
      </c>
      <c r="AG286" s="726" t="s">
        <v>3972</v>
      </c>
      <c r="AH286" s="726" t="s">
        <v>4099</v>
      </c>
      <c r="AI286" s="727">
        <v>13</v>
      </c>
      <c r="AJ286" s="747" t="s">
        <v>4004</v>
      </c>
      <c r="AK286" s="757">
        <v>909678</v>
      </c>
      <c r="AL286" s="754">
        <v>1096</v>
      </c>
      <c r="AM286" s="755">
        <v>909678</v>
      </c>
      <c r="AN286" s="754">
        <v>1097</v>
      </c>
      <c r="AO286" s="776">
        <f t="shared" si="67"/>
        <v>909678</v>
      </c>
      <c r="AP286" s="754">
        <f t="shared" si="46"/>
        <v>1098</v>
      </c>
      <c r="AQ286" s="770"/>
      <c r="AR286" s="726" t="s">
        <v>2661</v>
      </c>
      <c r="AS286" s="726" t="s">
        <v>4100</v>
      </c>
      <c r="AT286" s="726">
        <v>10961096</v>
      </c>
      <c r="AU286" s="726" t="s">
        <v>3966</v>
      </c>
      <c r="AV286" s="726" t="s">
        <v>4101</v>
      </c>
      <c r="AW286" s="726">
        <v>10971097</v>
      </c>
    </row>
    <row r="287" spans="1:49">
      <c r="A287" s="738"/>
      <c r="B287" s="738"/>
      <c r="C287" s="738"/>
      <c r="D287" s="738"/>
      <c r="E287" s="738"/>
      <c r="F287" s="1059" t="str">
        <f>IFERROR(VLOOKUP($A287,'2018'!$A:$BB,3,FALSE),"")</f>
        <v/>
      </c>
      <c r="G287" s="1055" t="str">
        <f>IFERROR(VLOOKUP($A287,'2018'!$A:$BB,4,FALSE),"")</f>
        <v/>
      </c>
      <c r="H287" s="1055" t="str">
        <f>IFERROR(VLOOKUP($A287,'2018'!$A:$BB,5,FALSE),"")</f>
        <v/>
      </c>
      <c r="I287" s="1055" t="str">
        <f>IFERROR(VLOOKUP($A287,'2018'!$A:$BB,6,FALSE),"")</f>
        <v/>
      </c>
      <c r="J287" s="1055" t="str">
        <f>IFERROR(VLOOKUP($A287,'2018'!$A:$BB,7,FALSE),"")</f>
        <v/>
      </c>
      <c r="K287" s="1055" t="str">
        <f>IFERROR(VLOOKUP($A287,'2018'!$A:$BB,8,FALSE),"")</f>
        <v/>
      </c>
      <c r="L287" s="1062" t="str">
        <f>IFERROR(VLOOKUP($A287,'2018'!$A:$BB,9,FALSE),"")</f>
        <v/>
      </c>
      <c r="M287" s="1067" t="str">
        <f>IFERROR(VLOOKUP($A287,'2018'!$A:$BB,10,FALSE),"")</f>
        <v/>
      </c>
      <c r="N287" s="1062" t="str">
        <f>IFERROR(VLOOKUP($A287,'2018'!$A:$BB,12,FALSE),"")</f>
        <v/>
      </c>
      <c r="O287" s="1055" t="str">
        <f>IFERROR(VLOOKUP($A287,'2018'!$A:$BB,13,FALSE),"")</f>
        <v/>
      </c>
      <c r="P287" s="1055" t="str">
        <f>IFERROR(VLOOKUP($A287,'2018'!$A:$BB,14,FALSE),"")</f>
        <v/>
      </c>
      <c r="Q287" s="1055" t="str">
        <f>IFERROR(VLOOKUP($A287,'2018'!$A:$BB,16,FALSE),"")</f>
        <v/>
      </c>
      <c r="R287" s="1055" t="str">
        <f>IFERROR(VLOOKUP($A287,'2018'!$A:$BB,17,FALSE),"")</f>
        <v/>
      </c>
      <c r="S287" s="1062" t="str">
        <f>IFERROR(VLOOKUP($A287,'2018'!$A:$BB,20,FALSE),"")</f>
        <v/>
      </c>
      <c r="T287" s="1062" t="str">
        <f>IFERROR(VLOOKUP($A287,'2018'!$A:$BB,21,FALSE),"")</f>
        <v/>
      </c>
      <c r="U287" s="1062" t="str">
        <f>IFERROR(VLOOKUP($A287,'2018'!$A:$BB,22,FALSE),"")</f>
        <v/>
      </c>
      <c r="V287" s="1062" t="str">
        <f>IFERROR(VLOOKUP($A287,'2018'!$A:$BB,23,FALSE),"")</f>
        <v/>
      </c>
      <c r="W287" s="1062" t="str">
        <f>IFERROR(VLOOKUP($A287,'2018'!$A:$BB,24,FALSE),"")</f>
        <v/>
      </c>
      <c r="X287" s="1062" t="str">
        <f>IFERROR(VLOOKUP($A287,'2018'!$A:$BB,41,FALSE),"")</f>
        <v/>
      </c>
      <c r="Y287" s="1062" t="str">
        <f>IFERROR(VLOOKUP($A287,'2018'!$A:$BB,42,FALSE),"")</f>
        <v/>
      </c>
      <c r="Z287" s="1062" t="str">
        <f>IFERROR(VLOOKUP($A287,'2018'!$A:$BB,45,FALSE),"")</f>
        <v/>
      </c>
      <c r="AA287" s="727"/>
      <c r="AB287" s="728"/>
      <c r="AC287" s="727"/>
      <c r="AD287" s="727"/>
      <c r="AE287" s="727"/>
      <c r="AF287" s="727"/>
      <c r="AG287" s="726"/>
      <c r="AH287" s="726"/>
      <c r="AI287" s="727"/>
      <c r="AJ287" s="747"/>
      <c r="AK287" s="753"/>
      <c r="AL287" s="754"/>
      <c r="AM287" s="753"/>
      <c r="AN287" s="754"/>
      <c r="AO287" s="776"/>
      <c r="AP287" s="754"/>
      <c r="AQ287" s="770"/>
      <c r="AR287" s="726"/>
      <c r="AS287" s="726"/>
      <c r="AT287" s="726"/>
      <c r="AU287" s="726"/>
      <c r="AV287" s="726"/>
      <c r="AW287" s="726"/>
    </row>
    <row r="288" spans="1:49" s="1169" customFormat="1">
      <c r="A288" s="736" t="s">
        <v>1261</v>
      </c>
      <c r="B288" s="736" t="s">
        <v>4102</v>
      </c>
      <c r="C288" s="736"/>
      <c r="D288" s="736" t="s">
        <v>1261</v>
      </c>
      <c r="E288" s="736" t="s">
        <v>1261</v>
      </c>
      <c r="F288" s="1162">
        <f>IFERROR(VLOOKUP($A288,'2018'!$A:$BB,3,FALSE),"")</f>
        <v>954375699</v>
      </c>
      <c r="G288" s="1163" t="str">
        <f>IFERROR(VLOOKUP($A288,'2018'!$A:$BB,4,FALSE),"")</f>
        <v>1020 Flynn Road
Camarillo, CA 93012</v>
      </c>
      <c r="H288" s="1163" t="str">
        <f>IFERROR(VLOOKUP($A288,'2018'!$A:$BB,5,FALSE),"")</f>
        <v>Brian Goldman
(805) 465-5786
bgoldman@stwcos.com</v>
      </c>
      <c r="I288" s="1163" t="str">
        <f>IFERROR(VLOOKUP($A288,'2018'!$A:$BB,6,FALSE),"")</f>
        <v>Brian Goldman
(805) 465-5786
bgoldman@stwcos.com</v>
      </c>
      <c r="J288" s="1163" t="str">
        <f>IFERROR(VLOOKUP($A288,'2018'!$A:$BB,7,FALSE),"")</f>
        <v>HUB (Orange County)</v>
      </c>
      <c r="K288" s="1163" t="str">
        <f>IFERROR(VLOOKUP($A288,'2018'!$A:$BB,8,FALSE),"")</f>
        <v xml:space="preserve">Account Managed by HUB OC Team
Producer - Rob Queen
Service Lead - Elise Greenwood
</v>
      </c>
      <c r="L288" s="1164" t="str">
        <f>IFERROR(VLOOKUP($A288,'2018'!$A:$BB,9,FALSE),"")</f>
        <v>New</v>
      </c>
      <c r="M288" s="1165">
        <f>IFERROR(VLOOKUP($A288,'2018'!$A:$BB,10,FALSE),"")</f>
        <v>43101</v>
      </c>
      <c r="N288" s="1164">
        <f>IFERROR(VLOOKUP($A288,'2018'!$A:$BB,12,FALSE),"")</f>
        <v>98</v>
      </c>
      <c r="O288" s="1163" t="str">
        <f>IFERROR(VLOOKUP($A288,'2018'!$A:$BB,13,FALSE),"")</f>
        <v xml:space="preserve">IGOE </v>
      </c>
      <c r="P288" s="1163" t="str">
        <f>IFERROR(VLOOKUP($A288,'2018'!$A:$BB,14,FALSE),"")</f>
        <v>Paycom</v>
      </c>
      <c r="Q288" s="1163" t="str">
        <f>IFERROR(VLOOKUP($A288,'2018'!$A:$BB,16,FALSE),"")</f>
        <v>N/A</v>
      </c>
      <c r="R288" s="1163" t="str">
        <f>IFERROR(VLOOKUP($A288,'2018'!$A:$BB,17,FALSE),"")</f>
        <v>Optum Health</v>
      </c>
      <c r="S288" s="1164" t="str">
        <f>IFERROR(VLOOKUP($A288,'2018'!$A:$BB,20,FALSE),"")</f>
        <v>SCAL</v>
      </c>
      <c r="T288" s="1164" t="str">
        <f>IFERROR(VLOOKUP($A288,'2018'!$A:$BB,21,FALSE),"")</f>
        <v xml:space="preserve">Group C (44-54) </v>
      </c>
      <c r="U288" s="1164" t="str">
        <f>IFERROR(VLOOKUP($A288,'2018'!$A:$BB,22,FALSE),"")</f>
        <v>Expanded</v>
      </c>
      <c r="V288" s="1164" t="str">
        <f>IFERROR(VLOOKUP($A288,'2018'!$A:$BB,23,FALSE),"")</f>
        <v>Advantage</v>
      </c>
      <c r="W288" s="1164" t="str">
        <f>IFERROR(VLOOKUP($A288,'2018'!$A:$BB,24,FALSE),"")</f>
        <v>No</v>
      </c>
      <c r="X288" s="1164" t="str">
        <f>IFERROR(VLOOKUP($A288,'2018'!$A:$BB,41,FALSE),"")</f>
        <v xml:space="preserve">Region 2 </v>
      </c>
      <c r="Y288" s="1164" t="str">
        <f>IFERROR(VLOOKUP($A288,'2018'!$A:$BB,42,FALSE),"")</f>
        <v>(50-99)</v>
      </c>
      <c r="Z288" s="1164" t="str">
        <f>IFERROR(VLOOKUP($A288,'2018'!$A:$BB,45,FALSE),"")</f>
        <v xml:space="preserve"> (50-99)</v>
      </c>
      <c r="AA288" s="731">
        <v>2018</v>
      </c>
      <c r="AB288" s="1166" t="s">
        <v>3905</v>
      </c>
      <c r="AC288" s="731" t="s">
        <v>317</v>
      </c>
      <c r="AD288" s="731" t="s">
        <v>3656</v>
      </c>
      <c r="AE288" s="731" t="s">
        <v>307</v>
      </c>
      <c r="AF288" s="731" t="s">
        <v>113</v>
      </c>
      <c r="AG288" s="736" t="s">
        <v>3962</v>
      </c>
      <c r="AH288" s="736" t="s">
        <v>3963</v>
      </c>
      <c r="AI288" s="731">
        <v>1</v>
      </c>
      <c r="AJ288" s="750" t="s">
        <v>3998</v>
      </c>
      <c r="AK288" s="755">
        <v>260068</v>
      </c>
      <c r="AL288" s="764">
        <v>169</v>
      </c>
      <c r="AM288" s="1167">
        <f t="shared" ref="AM288" si="68">AK288+1</f>
        <v>260069</v>
      </c>
      <c r="AN288" s="764">
        <f t="shared" ref="AN288" si="69">AL288+1</f>
        <v>170</v>
      </c>
      <c r="AO288" s="1167">
        <f t="shared" ref="AO288" si="70">AM288+1</f>
        <v>260070</v>
      </c>
      <c r="AP288" s="764">
        <f t="shared" ref="AP288" si="71">AN288+1</f>
        <v>171</v>
      </c>
      <c r="AQ288" s="1168"/>
      <c r="AR288" s="736" t="s">
        <v>2661</v>
      </c>
      <c r="AS288" s="736" t="s">
        <v>4104</v>
      </c>
      <c r="AT288" s="736"/>
      <c r="AU288" s="736" t="s">
        <v>3980</v>
      </c>
      <c r="AV288" s="736"/>
      <c r="AW288" s="736"/>
    </row>
    <row r="289" spans="1:49">
      <c r="A289" s="738" t="s">
        <v>1261</v>
      </c>
      <c r="B289" s="738" t="s">
        <v>4102</v>
      </c>
      <c r="C289" s="738"/>
      <c r="D289" s="738" t="s">
        <v>1261</v>
      </c>
      <c r="E289" s="738" t="s">
        <v>1261</v>
      </c>
      <c r="F289" s="1059">
        <f>IFERROR(VLOOKUP($A289,'2018'!$A:$BB,3,FALSE),"")</f>
        <v>954375699</v>
      </c>
      <c r="G289" s="1055" t="str">
        <f>IFERROR(VLOOKUP($A289,'2018'!$A:$BB,4,FALSE),"")</f>
        <v>1020 Flynn Road
Camarillo, CA 93012</v>
      </c>
      <c r="H289" s="1055" t="str">
        <f>IFERROR(VLOOKUP($A289,'2018'!$A:$BB,5,FALSE),"")</f>
        <v>Brian Goldman
(805) 465-5786
bgoldman@stwcos.com</v>
      </c>
      <c r="I289" s="1055" t="str">
        <f>IFERROR(VLOOKUP($A289,'2018'!$A:$BB,6,FALSE),"")</f>
        <v>Brian Goldman
(805) 465-5786
bgoldman@stwcos.com</v>
      </c>
      <c r="J289" s="1055" t="str">
        <f>IFERROR(VLOOKUP($A289,'2018'!$A:$BB,7,FALSE),"")</f>
        <v>HUB (Orange County)</v>
      </c>
      <c r="K289" s="1055" t="str">
        <f>IFERROR(VLOOKUP($A289,'2018'!$A:$BB,8,FALSE),"")</f>
        <v xml:space="preserve">Account Managed by HUB OC Team
Producer - Rob Queen
Service Lead - Elise Greenwood
</v>
      </c>
      <c r="L289" s="1062" t="str">
        <f>IFERROR(VLOOKUP($A289,'2018'!$A:$BB,9,FALSE),"")</f>
        <v>New</v>
      </c>
      <c r="M289" s="1067">
        <f>IFERROR(VLOOKUP($A289,'2018'!$A:$BB,10,FALSE),"")</f>
        <v>43101</v>
      </c>
      <c r="N289" s="1062">
        <f>IFERROR(VLOOKUP($A289,'2018'!$A:$BB,12,FALSE),"")</f>
        <v>98</v>
      </c>
      <c r="O289" s="1055" t="str">
        <f>IFERROR(VLOOKUP($A289,'2018'!$A:$BB,13,FALSE),"")</f>
        <v xml:space="preserve">IGOE </v>
      </c>
      <c r="P289" s="1055" t="str">
        <f>IFERROR(VLOOKUP($A289,'2018'!$A:$BB,14,FALSE),"")</f>
        <v>Paycom</v>
      </c>
      <c r="Q289" s="1055" t="str">
        <f>IFERROR(VLOOKUP($A289,'2018'!$A:$BB,16,FALSE),"")</f>
        <v>N/A</v>
      </c>
      <c r="R289" s="1055" t="str">
        <f>IFERROR(VLOOKUP($A289,'2018'!$A:$BB,17,FALSE),"")</f>
        <v>Optum Health</v>
      </c>
      <c r="S289" s="1062" t="str">
        <f>IFERROR(VLOOKUP($A289,'2018'!$A:$BB,20,FALSE),"")</f>
        <v>SCAL</v>
      </c>
      <c r="T289" s="1062" t="str">
        <f>IFERROR(VLOOKUP($A289,'2018'!$A:$BB,21,FALSE),"")</f>
        <v xml:space="preserve">Group C (44-54) </v>
      </c>
      <c r="U289" s="1062" t="str">
        <f>IFERROR(VLOOKUP($A289,'2018'!$A:$BB,22,FALSE),"")</f>
        <v>Expanded</v>
      </c>
      <c r="V289" s="1062" t="str">
        <f>IFERROR(VLOOKUP($A289,'2018'!$A:$BB,23,FALSE),"")</f>
        <v>Advantage</v>
      </c>
      <c r="W289" s="1062" t="str">
        <f>IFERROR(VLOOKUP($A289,'2018'!$A:$BB,24,FALSE),"")</f>
        <v>No</v>
      </c>
      <c r="X289" s="1062" t="str">
        <f>IFERROR(VLOOKUP($A289,'2018'!$A:$BB,41,FALSE),"")</f>
        <v xml:space="preserve">Region 2 </v>
      </c>
      <c r="Y289" s="1062" t="str">
        <f>IFERROR(VLOOKUP($A289,'2018'!$A:$BB,42,FALSE),"")</f>
        <v>(50-99)</v>
      </c>
      <c r="Z289" s="1062" t="str">
        <f>IFERROR(VLOOKUP($A289,'2018'!$A:$BB,45,FALSE),"")</f>
        <v xml:space="preserve"> (50-99)</v>
      </c>
      <c r="AA289" s="730">
        <v>2018</v>
      </c>
      <c r="AB289" s="1020" t="s">
        <v>3905</v>
      </c>
      <c r="AC289" s="727" t="s">
        <v>317</v>
      </c>
      <c r="AD289" s="727" t="s">
        <v>3656</v>
      </c>
      <c r="AE289" s="727" t="s">
        <v>307</v>
      </c>
      <c r="AF289" s="727" t="s">
        <v>113</v>
      </c>
      <c r="AG289" s="726" t="s">
        <v>3962</v>
      </c>
      <c r="AH289" s="726" t="s">
        <v>3968</v>
      </c>
      <c r="AI289" s="727">
        <v>4</v>
      </c>
      <c r="AJ289" s="747" t="s">
        <v>4014</v>
      </c>
      <c r="AK289" s="753">
        <v>260140</v>
      </c>
      <c r="AL289" s="754">
        <v>241</v>
      </c>
      <c r="AM289" s="753">
        <v>260141</v>
      </c>
      <c r="AN289" s="754">
        <v>242</v>
      </c>
      <c r="AO289" s="776">
        <f t="shared" ref="AO289:AO356" si="72">AM289+1</f>
        <v>260142</v>
      </c>
      <c r="AP289" s="754">
        <f t="shared" ref="AP289:AP375" si="73">AN289+1</f>
        <v>243</v>
      </c>
      <c r="AQ289" s="770"/>
      <c r="AR289" s="726" t="s">
        <v>2661</v>
      </c>
      <c r="AS289" s="726" t="s">
        <v>4039</v>
      </c>
      <c r="AT289" s="726">
        <v>2410241</v>
      </c>
      <c r="AU289" s="726" t="s">
        <v>3980</v>
      </c>
      <c r="AV289" s="726"/>
      <c r="AW289" s="726"/>
    </row>
    <row r="290" spans="1:49">
      <c r="A290" s="738" t="s">
        <v>1261</v>
      </c>
      <c r="B290" s="738" t="s">
        <v>4102</v>
      </c>
      <c r="C290" s="738"/>
      <c r="D290" s="738" t="s">
        <v>1261</v>
      </c>
      <c r="E290" s="738" t="s">
        <v>1261</v>
      </c>
      <c r="F290" s="1059">
        <f>IFERROR(VLOOKUP($A290,'2018'!$A:$BB,3,FALSE),"")</f>
        <v>954375699</v>
      </c>
      <c r="G290" s="1055" t="str">
        <f>IFERROR(VLOOKUP($A290,'2018'!$A:$BB,4,FALSE),"")</f>
        <v>1020 Flynn Road
Camarillo, CA 93012</v>
      </c>
      <c r="H290" s="1055" t="str">
        <f>IFERROR(VLOOKUP($A290,'2018'!$A:$BB,5,FALSE),"")</f>
        <v>Brian Goldman
(805) 465-5786
bgoldman@stwcos.com</v>
      </c>
      <c r="I290" s="1055" t="str">
        <f>IFERROR(VLOOKUP($A290,'2018'!$A:$BB,6,FALSE),"")</f>
        <v>Brian Goldman
(805) 465-5786
bgoldman@stwcos.com</v>
      </c>
      <c r="J290" s="1055" t="str">
        <f>IFERROR(VLOOKUP($A290,'2018'!$A:$BB,7,FALSE),"")</f>
        <v>HUB (Orange County)</v>
      </c>
      <c r="K290" s="1055" t="str">
        <f>IFERROR(VLOOKUP($A290,'2018'!$A:$BB,8,FALSE),"")</f>
        <v xml:space="preserve">Account Managed by HUB OC Team
Producer - Rob Queen
Service Lead - Elise Greenwood
</v>
      </c>
      <c r="L290" s="1062" t="str">
        <f>IFERROR(VLOOKUP($A290,'2018'!$A:$BB,9,FALSE),"")</f>
        <v>New</v>
      </c>
      <c r="M290" s="1067">
        <f>IFERROR(VLOOKUP($A290,'2018'!$A:$BB,10,FALSE),"")</f>
        <v>43101</v>
      </c>
      <c r="N290" s="1062">
        <f>IFERROR(VLOOKUP($A290,'2018'!$A:$BB,12,FALSE),"")</f>
        <v>98</v>
      </c>
      <c r="O290" s="1055" t="str">
        <f>IFERROR(VLOOKUP($A290,'2018'!$A:$BB,13,FALSE),"")</f>
        <v xml:space="preserve">IGOE </v>
      </c>
      <c r="P290" s="1055" t="str">
        <f>IFERROR(VLOOKUP($A290,'2018'!$A:$BB,14,FALSE),"")</f>
        <v>Paycom</v>
      </c>
      <c r="Q290" s="1055" t="str">
        <f>IFERROR(VLOOKUP($A290,'2018'!$A:$BB,16,FALSE),"")</f>
        <v>N/A</v>
      </c>
      <c r="R290" s="1055" t="str">
        <f>IFERROR(VLOOKUP($A290,'2018'!$A:$BB,17,FALSE),"")</f>
        <v>Optum Health</v>
      </c>
      <c r="S290" s="1062" t="str">
        <f>IFERROR(VLOOKUP($A290,'2018'!$A:$BB,20,FALSE),"")</f>
        <v>SCAL</v>
      </c>
      <c r="T290" s="1062" t="str">
        <f>IFERROR(VLOOKUP($A290,'2018'!$A:$BB,21,FALSE),"")</f>
        <v xml:space="preserve">Group C (44-54) </v>
      </c>
      <c r="U290" s="1062" t="str">
        <f>IFERROR(VLOOKUP($A290,'2018'!$A:$BB,22,FALSE),"")</f>
        <v>Expanded</v>
      </c>
      <c r="V290" s="1062" t="str">
        <f>IFERROR(VLOOKUP($A290,'2018'!$A:$BB,23,FALSE),"")</f>
        <v>Advantage</v>
      </c>
      <c r="W290" s="1062" t="str">
        <f>IFERROR(VLOOKUP($A290,'2018'!$A:$BB,24,FALSE),"")</f>
        <v>No</v>
      </c>
      <c r="X290" s="1062" t="str">
        <f>IFERROR(VLOOKUP($A290,'2018'!$A:$BB,41,FALSE),"")</f>
        <v xml:space="preserve">Region 2 </v>
      </c>
      <c r="Y290" s="1062" t="str">
        <f>IFERROR(VLOOKUP($A290,'2018'!$A:$BB,42,FALSE),"")</f>
        <v>(50-99)</v>
      </c>
      <c r="Z290" s="1062" t="str">
        <f>IFERROR(VLOOKUP($A290,'2018'!$A:$BB,45,FALSE),"")</f>
        <v xml:space="preserve"> (50-99)</v>
      </c>
      <c r="AA290" s="730">
        <v>2018</v>
      </c>
      <c r="AB290" s="1020" t="s">
        <v>3905</v>
      </c>
      <c r="AC290" s="727" t="s">
        <v>317</v>
      </c>
      <c r="AD290" s="727" t="s">
        <v>3656</v>
      </c>
      <c r="AE290" s="727" t="s">
        <v>307</v>
      </c>
      <c r="AF290" s="727" t="s">
        <v>113</v>
      </c>
      <c r="AG290" s="726" t="s">
        <v>3972</v>
      </c>
      <c r="AH290" s="726" t="s">
        <v>3973</v>
      </c>
      <c r="AI290" s="727">
        <v>8</v>
      </c>
      <c r="AJ290" s="747" t="s">
        <v>3992</v>
      </c>
      <c r="AK290" s="757">
        <v>909678</v>
      </c>
      <c r="AL290" s="754">
        <v>376</v>
      </c>
      <c r="AM290" s="755">
        <v>909678</v>
      </c>
      <c r="AN290" s="754">
        <v>377</v>
      </c>
      <c r="AO290" s="776">
        <f t="shared" ref="AO290:AO293" si="74">AM290</f>
        <v>909678</v>
      </c>
      <c r="AP290" s="754">
        <f t="shared" si="73"/>
        <v>378</v>
      </c>
      <c r="AQ290" s="770"/>
      <c r="AR290" s="726" t="s">
        <v>2661</v>
      </c>
      <c r="AS290" s="726" t="s">
        <v>4007</v>
      </c>
      <c r="AT290" s="726">
        <v>3760376</v>
      </c>
      <c r="AU290" s="726" t="s">
        <v>3980</v>
      </c>
      <c r="AV290" s="726"/>
      <c r="AW290" s="726"/>
    </row>
    <row r="291" spans="1:49">
      <c r="A291" s="738" t="s">
        <v>1261</v>
      </c>
      <c r="B291" s="736" t="s">
        <v>4102</v>
      </c>
      <c r="C291" s="736"/>
      <c r="D291" s="736" t="s">
        <v>1261</v>
      </c>
      <c r="E291" s="736" t="s">
        <v>1261</v>
      </c>
      <c r="F291" s="1059">
        <f>IFERROR(VLOOKUP($A291,'2018'!$A:$BB,3,FALSE),"")</f>
        <v>954375699</v>
      </c>
      <c r="G291" s="1055" t="str">
        <f>IFERROR(VLOOKUP($A291,'2018'!$A:$BB,4,FALSE),"")</f>
        <v>1020 Flynn Road
Camarillo, CA 93012</v>
      </c>
      <c r="H291" s="1055" t="str">
        <f>IFERROR(VLOOKUP($A291,'2018'!$A:$BB,5,FALSE),"")</f>
        <v>Brian Goldman
(805) 465-5786
bgoldman@stwcos.com</v>
      </c>
      <c r="I291" s="1055" t="str">
        <f>IFERROR(VLOOKUP($A291,'2018'!$A:$BB,6,FALSE),"")</f>
        <v>Brian Goldman
(805) 465-5786
bgoldman@stwcos.com</v>
      </c>
      <c r="J291" s="1055" t="str">
        <f>IFERROR(VLOOKUP($A291,'2018'!$A:$BB,7,FALSE),"")</f>
        <v>HUB (Orange County)</v>
      </c>
      <c r="K291" s="1055" t="str">
        <f>IFERROR(VLOOKUP($A291,'2018'!$A:$BB,8,FALSE),"")</f>
        <v xml:space="preserve">Account Managed by HUB OC Team
Producer - Rob Queen
Service Lead - Elise Greenwood
</v>
      </c>
      <c r="L291" s="1062" t="str">
        <f>IFERROR(VLOOKUP($A291,'2018'!$A:$BB,9,FALSE),"")</f>
        <v>New</v>
      </c>
      <c r="M291" s="1067">
        <f>IFERROR(VLOOKUP($A291,'2018'!$A:$BB,10,FALSE),"")</f>
        <v>43101</v>
      </c>
      <c r="N291" s="1062">
        <f>IFERROR(VLOOKUP($A291,'2018'!$A:$BB,12,FALSE),"")</f>
        <v>98</v>
      </c>
      <c r="O291" s="1055" t="str">
        <f>IFERROR(VLOOKUP($A291,'2018'!$A:$BB,13,FALSE),"")</f>
        <v xml:space="preserve">IGOE </v>
      </c>
      <c r="P291" s="1055" t="str">
        <f>IFERROR(VLOOKUP($A291,'2018'!$A:$BB,14,FALSE),"")</f>
        <v>Paycom</v>
      </c>
      <c r="Q291" s="1055" t="str">
        <f>IFERROR(VLOOKUP($A291,'2018'!$A:$BB,16,FALSE),"")</f>
        <v>N/A</v>
      </c>
      <c r="R291" s="1055" t="str">
        <f>IFERROR(VLOOKUP($A291,'2018'!$A:$BB,17,FALSE),"")</f>
        <v>Optum Health</v>
      </c>
      <c r="S291" s="1062" t="str">
        <f>IFERROR(VLOOKUP($A291,'2018'!$A:$BB,20,FALSE),"")</f>
        <v>SCAL</v>
      </c>
      <c r="T291" s="1062" t="str">
        <f>IFERROR(VLOOKUP($A291,'2018'!$A:$BB,21,FALSE),"")</f>
        <v xml:space="preserve">Group C (44-54) </v>
      </c>
      <c r="U291" s="1062" t="str">
        <f>IFERROR(VLOOKUP($A291,'2018'!$A:$BB,22,FALSE),"")</f>
        <v>Expanded</v>
      </c>
      <c r="V291" s="1062" t="str">
        <f>IFERROR(VLOOKUP($A291,'2018'!$A:$BB,23,FALSE),"")</f>
        <v>Advantage</v>
      </c>
      <c r="W291" s="1062" t="str">
        <f>IFERROR(VLOOKUP($A291,'2018'!$A:$BB,24,FALSE),"")</f>
        <v>No</v>
      </c>
      <c r="X291" s="1062" t="str">
        <f>IFERROR(VLOOKUP($A291,'2018'!$A:$BB,41,FALSE),"")</f>
        <v xml:space="preserve">Region 2 </v>
      </c>
      <c r="Y291" s="1062" t="str">
        <f>IFERROR(VLOOKUP($A291,'2018'!$A:$BB,42,FALSE),"")</f>
        <v>(50-99)</v>
      </c>
      <c r="Z291" s="1062" t="str">
        <f>IFERROR(VLOOKUP($A291,'2018'!$A:$BB,45,FALSE),"")</f>
        <v xml:space="preserve"> (50-99)</v>
      </c>
      <c r="AA291" s="731">
        <v>2018</v>
      </c>
      <c r="AB291" s="1020" t="s">
        <v>3905</v>
      </c>
      <c r="AC291" s="734" t="s">
        <v>317</v>
      </c>
      <c r="AD291" s="734" t="s">
        <v>3656</v>
      </c>
      <c r="AE291" s="734" t="s">
        <v>307</v>
      </c>
      <c r="AF291" s="734" t="s">
        <v>113</v>
      </c>
      <c r="AG291" s="732" t="s">
        <v>3972</v>
      </c>
      <c r="AH291" s="732" t="s">
        <v>3977</v>
      </c>
      <c r="AI291" s="734">
        <v>14</v>
      </c>
      <c r="AJ291" s="748" t="s">
        <v>3994</v>
      </c>
      <c r="AK291" s="757">
        <v>909678</v>
      </c>
      <c r="AL291" s="756">
        <v>628</v>
      </c>
      <c r="AM291" s="755">
        <v>909678</v>
      </c>
      <c r="AN291" s="756">
        <v>629</v>
      </c>
      <c r="AO291" s="776">
        <f t="shared" si="74"/>
        <v>909678</v>
      </c>
      <c r="AP291" s="754">
        <f t="shared" si="73"/>
        <v>630</v>
      </c>
      <c r="AQ291" s="771" t="s">
        <v>3979</v>
      </c>
      <c r="AR291" s="732" t="s">
        <v>2661</v>
      </c>
      <c r="AS291" s="735"/>
      <c r="AT291" s="735"/>
      <c r="AU291" s="732" t="s">
        <v>3980</v>
      </c>
      <c r="AV291" s="735"/>
      <c r="AW291" s="735"/>
    </row>
    <row r="292" spans="1:49">
      <c r="A292" s="738" t="s">
        <v>1261</v>
      </c>
      <c r="B292" s="738" t="s">
        <v>4102</v>
      </c>
      <c r="C292" s="738"/>
      <c r="D292" s="738" t="s">
        <v>1261</v>
      </c>
      <c r="E292" s="738" t="s">
        <v>1261</v>
      </c>
      <c r="F292" s="1059">
        <f>IFERROR(VLOOKUP($A292,'2018'!$A:$BB,3,FALSE),"")</f>
        <v>954375699</v>
      </c>
      <c r="G292" s="1055" t="str">
        <f>IFERROR(VLOOKUP($A292,'2018'!$A:$BB,4,FALSE),"")</f>
        <v>1020 Flynn Road
Camarillo, CA 93012</v>
      </c>
      <c r="H292" s="1055" t="str">
        <f>IFERROR(VLOOKUP($A292,'2018'!$A:$BB,5,FALSE),"")</f>
        <v>Brian Goldman
(805) 465-5786
bgoldman@stwcos.com</v>
      </c>
      <c r="I292" s="1055" t="str">
        <f>IFERROR(VLOOKUP($A292,'2018'!$A:$BB,6,FALSE),"")</f>
        <v>Brian Goldman
(805) 465-5786
bgoldman@stwcos.com</v>
      </c>
      <c r="J292" s="1055" t="str">
        <f>IFERROR(VLOOKUP($A292,'2018'!$A:$BB,7,FALSE),"")</f>
        <v>HUB (Orange County)</v>
      </c>
      <c r="K292" s="1055" t="str">
        <f>IFERROR(VLOOKUP($A292,'2018'!$A:$BB,8,FALSE),"")</f>
        <v xml:space="preserve">Account Managed by HUB OC Team
Producer - Rob Queen
Service Lead - Elise Greenwood
</v>
      </c>
      <c r="L292" s="1062" t="str">
        <f>IFERROR(VLOOKUP($A292,'2018'!$A:$BB,9,FALSE),"")</f>
        <v>New</v>
      </c>
      <c r="M292" s="1067">
        <f>IFERROR(VLOOKUP($A292,'2018'!$A:$BB,10,FALSE),"")</f>
        <v>43101</v>
      </c>
      <c r="N292" s="1062">
        <f>IFERROR(VLOOKUP($A292,'2018'!$A:$BB,12,FALSE),"")</f>
        <v>98</v>
      </c>
      <c r="O292" s="1055" t="str">
        <f>IFERROR(VLOOKUP($A292,'2018'!$A:$BB,13,FALSE),"")</f>
        <v xml:space="preserve">IGOE </v>
      </c>
      <c r="P292" s="1055" t="str">
        <f>IFERROR(VLOOKUP($A292,'2018'!$A:$BB,14,FALSE),"")</f>
        <v>Paycom</v>
      </c>
      <c r="Q292" s="1055" t="str">
        <f>IFERROR(VLOOKUP($A292,'2018'!$A:$BB,16,FALSE),"")</f>
        <v>N/A</v>
      </c>
      <c r="R292" s="1055" t="str">
        <f>IFERROR(VLOOKUP($A292,'2018'!$A:$BB,17,FALSE),"")</f>
        <v>Optum Health</v>
      </c>
      <c r="S292" s="1062" t="str">
        <f>IFERROR(VLOOKUP($A292,'2018'!$A:$BB,20,FALSE),"")</f>
        <v>SCAL</v>
      </c>
      <c r="T292" s="1062" t="str">
        <f>IFERROR(VLOOKUP($A292,'2018'!$A:$BB,21,FALSE),"")</f>
        <v xml:space="preserve">Group C (44-54) </v>
      </c>
      <c r="U292" s="1062" t="str">
        <f>IFERROR(VLOOKUP($A292,'2018'!$A:$BB,22,FALSE),"")</f>
        <v>Expanded</v>
      </c>
      <c r="V292" s="1062" t="str">
        <f>IFERROR(VLOOKUP($A292,'2018'!$A:$BB,23,FALSE),"")</f>
        <v>Advantage</v>
      </c>
      <c r="W292" s="1062" t="str">
        <f>IFERROR(VLOOKUP($A292,'2018'!$A:$BB,24,FALSE),"")</f>
        <v>No</v>
      </c>
      <c r="X292" s="1062" t="str">
        <f>IFERROR(VLOOKUP($A292,'2018'!$A:$BB,41,FALSE),"")</f>
        <v xml:space="preserve">Region 2 </v>
      </c>
      <c r="Y292" s="1062" t="str">
        <f>IFERROR(VLOOKUP($A292,'2018'!$A:$BB,42,FALSE),"")</f>
        <v>(50-99)</v>
      </c>
      <c r="Z292" s="1062" t="str">
        <f>IFERROR(VLOOKUP($A292,'2018'!$A:$BB,45,FALSE),"")</f>
        <v xml:space="preserve"> (50-99)</v>
      </c>
      <c r="AA292" s="730">
        <v>2018</v>
      </c>
      <c r="AB292" s="1020" t="s">
        <v>3905</v>
      </c>
      <c r="AC292" s="727" t="s">
        <v>317</v>
      </c>
      <c r="AD292" s="727" t="s">
        <v>3656</v>
      </c>
      <c r="AE292" s="727" t="s">
        <v>307</v>
      </c>
      <c r="AF292" s="727" t="s">
        <v>113</v>
      </c>
      <c r="AG292" s="726" t="s">
        <v>3981</v>
      </c>
      <c r="AH292" s="726" t="s">
        <v>3973</v>
      </c>
      <c r="AI292" s="727">
        <v>11</v>
      </c>
      <c r="AJ292" s="747" t="s">
        <v>3982</v>
      </c>
      <c r="AK292" s="757">
        <v>909678</v>
      </c>
      <c r="AL292" s="754">
        <v>484</v>
      </c>
      <c r="AM292" s="755">
        <v>909678</v>
      </c>
      <c r="AN292" s="754">
        <v>485</v>
      </c>
      <c r="AO292" s="776">
        <f t="shared" si="74"/>
        <v>909678</v>
      </c>
      <c r="AP292" s="754">
        <f t="shared" si="73"/>
        <v>486</v>
      </c>
      <c r="AQ292" s="770"/>
      <c r="AR292" s="726" t="s">
        <v>2661</v>
      </c>
      <c r="AS292" s="726" t="s">
        <v>3983</v>
      </c>
      <c r="AT292" s="726">
        <v>4840484</v>
      </c>
      <c r="AU292" s="726" t="s">
        <v>3980</v>
      </c>
      <c r="AV292" s="726"/>
      <c r="AW292" s="726"/>
    </row>
    <row r="293" spans="1:49">
      <c r="A293" s="738" t="s">
        <v>1261</v>
      </c>
      <c r="B293" s="736" t="s">
        <v>4102</v>
      </c>
      <c r="C293" s="736"/>
      <c r="D293" s="736" t="s">
        <v>1261</v>
      </c>
      <c r="E293" s="736" t="s">
        <v>1261</v>
      </c>
      <c r="F293" s="1059">
        <f>IFERROR(VLOOKUP($A293,'2018'!$A:$BB,3,FALSE),"")</f>
        <v>954375699</v>
      </c>
      <c r="G293" s="1055" t="str">
        <f>IFERROR(VLOOKUP($A293,'2018'!$A:$BB,4,FALSE),"")</f>
        <v>1020 Flynn Road
Camarillo, CA 93012</v>
      </c>
      <c r="H293" s="1055" t="str">
        <f>IFERROR(VLOOKUP($A293,'2018'!$A:$BB,5,FALSE),"")</f>
        <v>Brian Goldman
(805) 465-5786
bgoldman@stwcos.com</v>
      </c>
      <c r="I293" s="1055" t="str">
        <f>IFERROR(VLOOKUP($A293,'2018'!$A:$BB,6,FALSE),"")</f>
        <v>Brian Goldman
(805) 465-5786
bgoldman@stwcos.com</v>
      </c>
      <c r="J293" s="1055" t="str">
        <f>IFERROR(VLOOKUP($A293,'2018'!$A:$BB,7,FALSE),"")</f>
        <v>HUB (Orange County)</v>
      </c>
      <c r="K293" s="1055" t="str">
        <f>IFERROR(VLOOKUP($A293,'2018'!$A:$BB,8,FALSE),"")</f>
        <v xml:space="preserve">Account Managed by HUB OC Team
Producer - Rob Queen
Service Lead - Elise Greenwood
</v>
      </c>
      <c r="L293" s="1062" t="str">
        <f>IFERROR(VLOOKUP($A293,'2018'!$A:$BB,9,FALSE),"")</f>
        <v>New</v>
      </c>
      <c r="M293" s="1067">
        <f>IFERROR(VLOOKUP($A293,'2018'!$A:$BB,10,FALSE),"")</f>
        <v>43101</v>
      </c>
      <c r="N293" s="1062">
        <f>IFERROR(VLOOKUP($A293,'2018'!$A:$BB,12,FALSE),"")</f>
        <v>98</v>
      </c>
      <c r="O293" s="1055" t="str">
        <f>IFERROR(VLOOKUP($A293,'2018'!$A:$BB,13,FALSE),"")</f>
        <v xml:space="preserve">IGOE </v>
      </c>
      <c r="P293" s="1055" t="str">
        <f>IFERROR(VLOOKUP($A293,'2018'!$A:$BB,14,FALSE),"")</f>
        <v>Paycom</v>
      </c>
      <c r="Q293" s="1055" t="str">
        <f>IFERROR(VLOOKUP($A293,'2018'!$A:$BB,16,FALSE),"")</f>
        <v>N/A</v>
      </c>
      <c r="R293" s="1055" t="str">
        <f>IFERROR(VLOOKUP($A293,'2018'!$A:$BB,17,FALSE),"")</f>
        <v>Optum Health</v>
      </c>
      <c r="S293" s="1062" t="str">
        <f>IFERROR(VLOOKUP($A293,'2018'!$A:$BB,20,FALSE),"")</f>
        <v>SCAL</v>
      </c>
      <c r="T293" s="1062" t="str">
        <f>IFERROR(VLOOKUP($A293,'2018'!$A:$BB,21,FALSE),"")</f>
        <v xml:space="preserve">Group C (44-54) </v>
      </c>
      <c r="U293" s="1062" t="str">
        <f>IFERROR(VLOOKUP($A293,'2018'!$A:$BB,22,FALSE),"")</f>
        <v>Expanded</v>
      </c>
      <c r="V293" s="1062" t="str">
        <f>IFERROR(VLOOKUP($A293,'2018'!$A:$BB,23,FALSE),"")</f>
        <v>Advantage</v>
      </c>
      <c r="W293" s="1062" t="str">
        <f>IFERROR(VLOOKUP($A293,'2018'!$A:$BB,24,FALSE),"")</f>
        <v>No</v>
      </c>
      <c r="X293" s="1062" t="str">
        <f>IFERROR(VLOOKUP($A293,'2018'!$A:$BB,41,FALSE),"")</f>
        <v xml:space="preserve">Region 2 </v>
      </c>
      <c r="Y293" s="1062" t="str">
        <f>IFERROR(VLOOKUP($A293,'2018'!$A:$BB,42,FALSE),"")</f>
        <v>(50-99)</v>
      </c>
      <c r="Z293" s="1062" t="str">
        <f>IFERROR(VLOOKUP($A293,'2018'!$A:$BB,45,FALSE),"")</f>
        <v xml:space="preserve"> (50-99)</v>
      </c>
      <c r="AA293" s="731">
        <v>2018</v>
      </c>
      <c r="AB293" s="1020" t="s">
        <v>3905</v>
      </c>
      <c r="AC293" s="734" t="s">
        <v>317</v>
      </c>
      <c r="AD293" s="734" t="s">
        <v>3656</v>
      </c>
      <c r="AE293" s="734" t="s">
        <v>307</v>
      </c>
      <c r="AF293" s="734" t="s">
        <v>113</v>
      </c>
      <c r="AG293" s="732" t="s">
        <v>3981</v>
      </c>
      <c r="AH293" s="732" t="s">
        <v>3977</v>
      </c>
      <c r="AI293" s="734">
        <v>16</v>
      </c>
      <c r="AJ293" s="748" t="s">
        <v>3985</v>
      </c>
      <c r="AK293" s="757">
        <v>909678</v>
      </c>
      <c r="AL293" s="756">
        <v>736</v>
      </c>
      <c r="AM293" s="755">
        <v>909678</v>
      </c>
      <c r="AN293" s="756">
        <v>737</v>
      </c>
      <c r="AO293" s="776">
        <f t="shared" si="74"/>
        <v>909678</v>
      </c>
      <c r="AP293" s="754">
        <f t="shared" si="73"/>
        <v>738</v>
      </c>
      <c r="AQ293" s="771" t="s">
        <v>3979</v>
      </c>
      <c r="AR293" s="732" t="s">
        <v>2661</v>
      </c>
      <c r="AS293" s="735"/>
      <c r="AT293" s="735"/>
      <c r="AU293" s="732" t="s">
        <v>3980</v>
      </c>
      <c r="AV293" s="735"/>
      <c r="AW293" s="735"/>
    </row>
    <row r="294" spans="1:49">
      <c r="A294" s="738"/>
      <c r="B294" s="738"/>
      <c r="C294" s="738"/>
      <c r="D294" s="738"/>
      <c r="E294" s="738"/>
      <c r="F294" s="1059" t="str">
        <f>IFERROR(VLOOKUP($A294,'2018'!$A:$BB,3,FALSE),"")</f>
        <v/>
      </c>
      <c r="G294" s="1055" t="str">
        <f>IFERROR(VLOOKUP($A294,'2018'!$A:$BB,4,FALSE),"")</f>
        <v/>
      </c>
      <c r="H294" s="1055" t="str">
        <f>IFERROR(VLOOKUP($A294,'2018'!$A:$BB,5,FALSE),"")</f>
        <v/>
      </c>
      <c r="I294" s="1055" t="str">
        <f>IFERROR(VLOOKUP($A294,'2018'!$A:$BB,6,FALSE),"")</f>
        <v/>
      </c>
      <c r="J294" s="1055" t="str">
        <f>IFERROR(VLOOKUP($A294,'2018'!$A:$BB,7,FALSE),"")</f>
        <v/>
      </c>
      <c r="K294" s="1055" t="str">
        <f>IFERROR(VLOOKUP($A294,'2018'!$A:$BB,8,FALSE),"")</f>
        <v/>
      </c>
      <c r="L294" s="1062" t="str">
        <f>IFERROR(VLOOKUP($A294,'2018'!$A:$BB,9,FALSE),"")</f>
        <v/>
      </c>
      <c r="M294" s="1067" t="str">
        <f>IFERROR(VLOOKUP($A294,'2018'!$A:$BB,10,FALSE),"")</f>
        <v/>
      </c>
      <c r="N294" s="1062" t="str">
        <f>IFERROR(VLOOKUP($A294,'2018'!$A:$BB,12,FALSE),"")</f>
        <v/>
      </c>
      <c r="O294" s="1055" t="str">
        <f>IFERROR(VLOOKUP($A294,'2018'!$A:$BB,13,FALSE),"")</f>
        <v/>
      </c>
      <c r="P294" s="1055" t="str">
        <f>IFERROR(VLOOKUP($A294,'2018'!$A:$BB,14,FALSE),"")</f>
        <v/>
      </c>
      <c r="Q294" s="1055" t="str">
        <f>IFERROR(VLOOKUP($A294,'2018'!$A:$BB,16,FALSE),"")</f>
        <v/>
      </c>
      <c r="R294" s="1055" t="str">
        <f>IFERROR(VLOOKUP($A294,'2018'!$A:$BB,17,FALSE),"")</f>
        <v/>
      </c>
      <c r="S294" s="1062" t="str">
        <f>IFERROR(VLOOKUP($A294,'2018'!$A:$BB,20,FALSE),"")</f>
        <v/>
      </c>
      <c r="T294" s="1062" t="str">
        <f>IFERROR(VLOOKUP($A294,'2018'!$A:$BB,21,FALSE),"")</f>
        <v/>
      </c>
      <c r="U294" s="1062" t="str">
        <f>IFERROR(VLOOKUP($A294,'2018'!$A:$BB,22,FALSE),"")</f>
        <v/>
      </c>
      <c r="V294" s="1062" t="str">
        <f>IFERROR(VLOOKUP($A294,'2018'!$A:$BB,23,FALSE),"")</f>
        <v/>
      </c>
      <c r="W294" s="1062" t="str">
        <f>IFERROR(VLOOKUP($A294,'2018'!$A:$BB,24,FALSE),"")</f>
        <v/>
      </c>
      <c r="X294" s="1062" t="str">
        <f>IFERROR(VLOOKUP($A294,'2018'!$A:$BB,41,FALSE),"")</f>
        <v/>
      </c>
      <c r="Y294" s="1062" t="str">
        <f>IFERROR(VLOOKUP($A294,'2018'!$A:$BB,42,FALSE),"")</f>
        <v/>
      </c>
      <c r="Z294" s="1062" t="str">
        <f>IFERROR(VLOOKUP($A294,'2018'!$A:$BB,45,FALSE),"")</f>
        <v/>
      </c>
      <c r="AA294" s="727"/>
      <c r="AB294" s="728"/>
      <c r="AC294" s="727"/>
      <c r="AD294" s="727"/>
      <c r="AE294" s="727"/>
      <c r="AF294" s="727"/>
      <c r="AG294" s="726"/>
      <c r="AH294" s="726"/>
      <c r="AI294" s="727"/>
      <c r="AJ294" s="747"/>
      <c r="AK294" s="753"/>
      <c r="AL294" s="754"/>
      <c r="AM294" s="753"/>
      <c r="AN294" s="754"/>
      <c r="AO294" s="776"/>
      <c r="AP294" s="754"/>
      <c r="AQ294" s="770"/>
      <c r="AR294" s="726"/>
      <c r="AS294" s="726"/>
      <c r="AT294" s="726"/>
      <c r="AU294" s="726"/>
      <c r="AV294" s="726"/>
      <c r="AW294" s="726"/>
    </row>
    <row r="295" spans="1:49">
      <c r="A295" s="738" t="s">
        <v>410</v>
      </c>
      <c r="B295" s="738" t="s">
        <v>4103</v>
      </c>
      <c r="C295" s="738" t="s">
        <v>4172</v>
      </c>
      <c r="D295" s="738" t="s">
        <v>410</v>
      </c>
      <c r="E295" s="738" t="s">
        <v>410</v>
      </c>
      <c r="F295" s="1059">
        <f>IFERROR(VLOOKUP($A295,'2018'!$A:$BB,3,FALSE),"")</f>
        <v>473251758</v>
      </c>
      <c r="G295" s="1055" t="str">
        <f>IFERROR(VLOOKUP($A295,'2018'!$A:$BB,4,FALSE),"")</f>
        <v>5770 Armada Drive
Carlsbad, CA 92008</v>
      </c>
      <c r="H295" s="1055" t="str">
        <f>IFERROR(VLOOKUP($A295,'2018'!$A:$BB,5,FALSE),"")</f>
        <v>Marcie Faraimo
760-246-5006
marcie.faraimo@seaspine.com</v>
      </c>
      <c r="I295" s="1055" t="str">
        <f>IFERROR(VLOOKUP($A295,'2018'!$A:$BB,6,FALSE),"")</f>
        <v>Danielle Peppard
760-216-5112
danielle.peppard@seaspine.com</v>
      </c>
      <c r="J295" s="1055" t="str">
        <f>IFERROR(VLOOKUP($A295,'2018'!$A:$BB,7,FALSE),"")</f>
        <v>HUB (San Diego)</v>
      </c>
      <c r="K295" s="1055" t="str">
        <f>IFERROR(VLOOKUP($A295,'2018'!$A:$BB,8,FALSE),"")</f>
        <v>Account Managed by HUB SD Team
Producer - Dave Duenas
Service Lead- Jessica Hurley
AM-Katherine Tomline</v>
      </c>
      <c r="L295" s="1062" t="str">
        <f>IFERROR(VLOOKUP($A295,'2018'!$A:$BB,9,FALSE),"")</f>
        <v>Renewal</v>
      </c>
      <c r="M295" s="1067">
        <f>IFERROR(VLOOKUP($A295,'2018'!$A:$BB,10,FALSE),"")</f>
        <v>42370</v>
      </c>
      <c r="N295" s="1062">
        <f>IFERROR(VLOOKUP($A295,'2018'!$A:$BB,12,FALSE),"")</f>
        <v>333</v>
      </c>
      <c r="O295" s="1055" t="str">
        <f>IFERROR(VLOOKUP($A295,'2018'!$A:$BB,13,FALSE),"")</f>
        <v xml:space="preserve">IGOE </v>
      </c>
      <c r="P295" s="1055" t="str">
        <f>IFERROR(VLOOKUP($A295,'2018'!$A:$BB,14,FALSE),"")</f>
        <v>Ultipro</v>
      </c>
      <c r="Q295" s="1055" t="str">
        <f>IFERROR(VLOOKUP($A295,'2018'!$A:$BB,16,FALSE),"")</f>
        <v>IGOE</v>
      </c>
      <c r="R295" s="1055" t="str">
        <f>IFERROR(VLOOKUP($A295,'2018'!$A:$BB,17,FALSE),"")</f>
        <v>Optum Health</v>
      </c>
      <c r="S295" s="1062" t="str">
        <f>IFERROR(VLOOKUP($A295,'2018'!$A:$BB,20,FALSE),"")</f>
        <v>SCAL</v>
      </c>
      <c r="T295" s="1062" t="str">
        <f>IFERROR(VLOOKUP($A295,'2018'!$A:$BB,21,FALSE),"")</f>
        <v>Group B (34-44)</v>
      </c>
      <c r="U295" s="1062" t="str">
        <f>IFERROR(VLOOKUP($A295,'2018'!$A:$BB,22,FALSE),"")</f>
        <v>Expanded</v>
      </c>
      <c r="V295" s="1062" t="str">
        <f>IFERROR(VLOOKUP($A295,'2018'!$A:$BB,23,FALSE),"")</f>
        <v>Access</v>
      </c>
      <c r="W295" s="1062" t="str">
        <f>IFERROR(VLOOKUP($A295,'2018'!$A:$BB,24,FALSE),"")</f>
        <v>Yes</v>
      </c>
      <c r="X295" s="1062" t="str">
        <f>IFERROR(VLOOKUP($A295,'2018'!$A:$BB,41,FALSE),"")</f>
        <v>Region 1</v>
      </c>
      <c r="Y295" s="1062" t="str">
        <f>IFERROR(VLOOKUP($A295,'2018'!$A:$BB,42,FALSE),"")</f>
        <v>(50-99)</v>
      </c>
      <c r="Z295" s="1062" t="str">
        <f>IFERROR(VLOOKUP($A295,'2018'!$A:$BB,45,FALSE),"")</f>
        <v>N/A</v>
      </c>
      <c r="AA295" s="730">
        <v>2018</v>
      </c>
      <c r="AB295" s="728" t="s">
        <v>3908</v>
      </c>
      <c r="AC295" s="727" t="s">
        <v>317</v>
      </c>
      <c r="AD295" s="727" t="s">
        <v>3648</v>
      </c>
      <c r="AE295" s="727" t="s">
        <v>315</v>
      </c>
      <c r="AF295" s="727" t="s">
        <v>85</v>
      </c>
      <c r="AG295" s="726" t="s">
        <v>3962</v>
      </c>
      <c r="AH295" s="726" t="s">
        <v>3963</v>
      </c>
      <c r="AI295" s="727">
        <v>2</v>
      </c>
      <c r="AJ295" s="747" t="s">
        <v>3964</v>
      </c>
      <c r="AK295" s="753">
        <v>260089</v>
      </c>
      <c r="AL295" s="754">
        <v>190</v>
      </c>
      <c r="AM295" s="753">
        <v>260090</v>
      </c>
      <c r="AN295" s="754">
        <v>191</v>
      </c>
      <c r="AO295" s="776">
        <f t="shared" si="72"/>
        <v>260091</v>
      </c>
      <c r="AP295" s="754">
        <f t="shared" si="73"/>
        <v>192</v>
      </c>
      <c r="AQ295" s="770"/>
      <c r="AR295" s="726" t="s">
        <v>2661</v>
      </c>
      <c r="AS295" s="726" t="s">
        <v>4104</v>
      </c>
      <c r="AT295" s="726">
        <v>1900190</v>
      </c>
      <c r="AU295" s="726" t="s">
        <v>3966</v>
      </c>
      <c r="AV295" s="726" t="s">
        <v>4105</v>
      </c>
      <c r="AW295" s="726">
        <v>1910191</v>
      </c>
    </row>
    <row r="296" spans="1:49">
      <c r="A296" s="738" t="s">
        <v>410</v>
      </c>
      <c r="B296" s="738" t="s">
        <v>4103</v>
      </c>
      <c r="C296" s="738" t="s">
        <v>4172</v>
      </c>
      <c r="D296" s="738" t="s">
        <v>410</v>
      </c>
      <c r="E296" s="738" t="s">
        <v>410</v>
      </c>
      <c r="F296" s="1059">
        <f>IFERROR(VLOOKUP($A296,'2018'!$A:$BB,3,FALSE),"")</f>
        <v>473251758</v>
      </c>
      <c r="G296" s="1055" t="str">
        <f>IFERROR(VLOOKUP($A296,'2018'!$A:$BB,4,FALSE),"")</f>
        <v>5770 Armada Drive
Carlsbad, CA 92008</v>
      </c>
      <c r="H296" s="1055" t="str">
        <f>IFERROR(VLOOKUP($A296,'2018'!$A:$BB,5,FALSE),"")</f>
        <v>Marcie Faraimo
760-246-5006
marcie.faraimo@seaspine.com</v>
      </c>
      <c r="I296" s="1055" t="str">
        <f>IFERROR(VLOOKUP($A296,'2018'!$A:$BB,6,FALSE),"")</f>
        <v>Danielle Peppard
760-216-5112
danielle.peppard@seaspine.com</v>
      </c>
      <c r="J296" s="1055" t="str">
        <f>IFERROR(VLOOKUP($A296,'2018'!$A:$BB,7,FALSE),"")</f>
        <v>HUB (San Diego)</v>
      </c>
      <c r="K296" s="1055" t="str">
        <f>IFERROR(VLOOKUP($A296,'2018'!$A:$BB,8,FALSE),"")</f>
        <v>Account Managed by HUB SD Team
Producer - Dave Duenas
Service Lead- Jessica Hurley
AM-Katherine Tomline</v>
      </c>
      <c r="L296" s="1062" t="str">
        <f>IFERROR(VLOOKUP($A296,'2018'!$A:$BB,9,FALSE),"")</f>
        <v>Renewal</v>
      </c>
      <c r="M296" s="1067">
        <f>IFERROR(VLOOKUP($A296,'2018'!$A:$BB,10,FALSE),"")</f>
        <v>42370</v>
      </c>
      <c r="N296" s="1062">
        <f>IFERROR(VLOOKUP($A296,'2018'!$A:$BB,12,FALSE),"")</f>
        <v>333</v>
      </c>
      <c r="O296" s="1055" t="str">
        <f>IFERROR(VLOOKUP($A296,'2018'!$A:$BB,13,FALSE),"")</f>
        <v xml:space="preserve">IGOE </v>
      </c>
      <c r="P296" s="1055" t="str">
        <f>IFERROR(VLOOKUP($A296,'2018'!$A:$BB,14,FALSE),"")</f>
        <v>Ultipro</v>
      </c>
      <c r="Q296" s="1055" t="str">
        <f>IFERROR(VLOOKUP($A296,'2018'!$A:$BB,16,FALSE),"")</f>
        <v>IGOE</v>
      </c>
      <c r="R296" s="1055" t="str">
        <f>IFERROR(VLOOKUP($A296,'2018'!$A:$BB,17,FALSE),"")</f>
        <v>Optum Health</v>
      </c>
      <c r="S296" s="1062" t="str">
        <f>IFERROR(VLOOKUP($A296,'2018'!$A:$BB,20,FALSE),"")</f>
        <v>SCAL</v>
      </c>
      <c r="T296" s="1062" t="str">
        <f>IFERROR(VLOOKUP($A296,'2018'!$A:$BB,21,FALSE),"")</f>
        <v>Group B (34-44)</v>
      </c>
      <c r="U296" s="1062" t="str">
        <f>IFERROR(VLOOKUP($A296,'2018'!$A:$BB,22,FALSE),"")</f>
        <v>Expanded</v>
      </c>
      <c r="V296" s="1062" t="str">
        <f>IFERROR(VLOOKUP($A296,'2018'!$A:$BB,23,FALSE),"")</f>
        <v>Access</v>
      </c>
      <c r="W296" s="1062" t="str">
        <f>IFERROR(VLOOKUP($A296,'2018'!$A:$BB,24,FALSE),"")</f>
        <v>Yes</v>
      </c>
      <c r="X296" s="1062" t="str">
        <f>IFERROR(VLOOKUP($A296,'2018'!$A:$BB,41,FALSE),"")</f>
        <v>Region 1</v>
      </c>
      <c r="Y296" s="1062" t="str">
        <f>IFERROR(VLOOKUP($A296,'2018'!$A:$BB,42,FALSE),"")</f>
        <v>(50-99)</v>
      </c>
      <c r="Z296" s="1062" t="str">
        <f>IFERROR(VLOOKUP($A296,'2018'!$A:$BB,45,FALSE),"")</f>
        <v>N/A</v>
      </c>
      <c r="AA296" s="730">
        <v>2018</v>
      </c>
      <c r="AB296" s="728" t="s">
        <v>3908</v>
      </c>
      <c r="AC296" s="727" t="s">
        <v>317</v>
      </c>
      <c r="AD296" s="727" t="s">
        <v>3648</v>
      </c>
      <c r="AE296" s="727" t="s">
        <v>315</v>
      </c>
      <c r="AF296" s="727" t="s">
        <v>85</v>
      </c>
      <c r="AG296" s="726" t="s">
        <v>3962</v>
      </c>
      <c r="AH296" s="726" t="s">
        <v>3968</v>
      </c>
      <c r="AI296" s="727">
        <v>5</v>
      </c>
      <c r="AJ296" s="747" t="s">
        <v>3969</v>
      </c>
      <c r="AK296" s="753">
        <v>260161</v>
      </c>
      <c r="AL296" s="754">
        <v>262</v>
      </c>
      <c r="AM296" s="753">
        <v>260162</v>
      </c>
      <c r="AN296" s="754">
        <v>263</v>
      </c>
      <c r="AO296" s="776">
        <f t="shared" si="72"/>
        <v>260163</v>
      </c>
      <c r="AP296" s="754">
        <f t="shared" si="73"/>
        <v>264</v>
      </c>
      <c r="AQ296" s="770"/>
      <c r="AR296" s="726" t="s">
        <v>2661</v>
      </c>
      <c r="AS296" s="726" t="s">
        <v>4106</v>
      </c>
      <c r="AT296" s="726">
        <v>2620262</v>
      </c>
      <c r="AU296" s="726" t="s">
        <v>3966</v>
      </c>
      <c r="AV296" s="726" t="s">
        <v>3989</v>
      </c>
      <c r="AW296" s="726">
        <v>2630263</v>
      </c>
    </row>
    <row r="297" spans="1:49">
      <c r="A297" s="738" t="s">
        <v>410</v>
      </c>
      <c r="B297" s="738" t="s">
        <v>4103</v>
      </c>
      <c r="C297" s="738" t="s">
        <v>4172</v>
      </c>
      <c r="D297" s="738" t="s">
        <v>410</v>
      </c>
      <c r="E297" s="738" t="s">
        <v>410</v>
      </c>
      <c r="F297" s="1059">
        <f>IFERROR(VLOOKUP($A297,'2018'!$A:$BB,3,FALSE),"")</f>
        <v>473251758</v>
      </c>
      <c r="G297" s="1055" t="str">
        <f>IFERROR(VLOOKUP($A297,'2018'!$A:$BB,4,FALSE),"")</f>
        <v>5770 Armada Drive
Carlsbad, CA 92008</v>
      </c>
      <c r="H297" s="1055" t="str">
        <f>IFERROR(VLOOKUP($A297,'2018'!$A:$BB,5,FALSE),"")</f>
        <v>Marcie Faraimo
760-246-5006
marcie.faraimo@seaspine.com</v>
      </c>
      <c r="I297" s="1055" t="str">
        <f>IFERROR(VLOOKUP($A297,'2018'!$A:$BB,6,FALSE),"")</f>
        <v>Danielle Peppard
760-216-5112
danielle.peppard@seaspine.com</v>
      </c>
      <c r="J297" s="1055" t="str">
        <f>IFERROR(VLOOKUP($A297,'2018'!$A:$BB,7,FALSE),"")</f>
        <v>HUB (San Diego)</v>
      </c>
      <c r="K297" s="1055" t="str">
        <f>IFERROR(VLOOKUP($A297,'2018'!$A:$BB,8,FALSE),"")</f>
        <v>Account Managed by HUB SD Team
Producer - Dave Duenas
Service Lead- Jessica Hurley
AM-Katherine Tomline</v>
      </c>
      <c r="L297" s="1062" t="str">
        <f>IFERROR(VLOOKUP($A297,'2018'!$A:$BB,9,FALSE),"")</f>
        <v>Renewal</v>
      </c>
      <c r="M297" s="1067">
        <f>IFERROR(VLOOKUP($A297,'2018'!$A:$BB,10,FALSE),"")</f>
        <v>42370</v>
      </c>
      <c r="N297" s="1062">
        <f>IFERROR(VLOOKUP($A297,'2018'!$A:$BB,12,FALSE),"")</f>
        <v>333</v>
      </c>
      <c r="O297" s="1055" t="str">
        <f>IFERROR(VLOOKUP($A297,'2018'!$A:$BB,13,FALSE),"")</f>
        <v xml:space="preserve">IGOE </v>
      </c>
      <c r="P297" s="1055" t="str">
        <f>IFERROR(VLOOKUP($A297,'2018'!$A:$BB,14,FALSE),"")</f>
        <v>Ultipro</v>
      </c>
      <c r="Q297" s="1055" t="str">
        <f>IFERROR(VLOOKUP($A297,'2018'!$A:$BB,16,FALSE),"")</f>
        <v>IGOE</v>
      </c>
      <c r="R297" s="1055" t="str">
        <f>IFERROR(VLOOKUP($A297,'2018'!$A:$BB,17,FALSE),"")</f>
        <v>Optum Health</v>
      </c>
      <c r="S297" s="1062" t="str">
        <f>IFERROR(VLOOKUP($A297,'2018'!$A:$BB,20,FALSE),"")</f>
        <v>SCAL</v>
      </c>
      <c r="T297" s="1062" t="str">
        <f>IFERROR(VLOOKUP($A297,'2018'!$A:$BB,21,FALSE),"")</f>
        <v>Group B (34-44)</v>
      </c>
      <c r="U297" s="1062" t="str">
        <f>IFERROR(VLOOKUP($A297,'2018'!$A:$BB,22,FALSE),"")</f>
        <v>Expanded</v>
      </c>
      <c r="V297" s="1062" t="str">
        <f>IFERROR(VLOOKUP($A297,'2018'!$A:$BB,23,FALSE),"")</f>
        <v>Access</v>
      </c>
      <c r="W297" s="1062" t="str">
        <f>IFERROR(VLOOKUP($A297,'2018'!$A:$BB,24,FALSE),"")</f>
        <v>Yes</v>
      </c>
      <c r="X297" s="1062" t="str">
        <f>IFERROR(VLOOKUP($A297,'2018'!$A:$BB,41,FALSE),"")</f>
        <v>Region 1</v>
      </c>
      <c r="Y297" s="1062" t="str">
        <f>IFERROR(VLOOKUP($A297,'2018'!$A:$BB,42,FALSE),"")</f>
        <v>(50-99)</v>
      </c>
      <c r="Z297" s="1062" t="str">
        <f>IFERROR(VLOOKUP($A297,'2018'!$A:$BB,45,FALSE),"")</f>
        <v>N/A</v>
      </c>
      <c r="AA297" s="730">
        <v>2018</v>
      </c>
      <c r="AB297" s="728" t="s">
        <v>3908</v>
      </c>
      <c r="AC297" s="727" t="s">
        <v>317</v>
      </c>
      <c r="AD297" s="727" t="s">
        <v>3648</v>
      </c>
      <c r="AE297" s="727" t="s">
        <v>315</v>
      </c>
      <c r="AF297" s="727" t="s">
        <v>85</v>
      </c>
      <c r="AG297" s="726" t="s">
        <v>3981</v>
      </c>
      <c r="AH297" s="726" t="s">
        <v>3973</v>
      </c>
      <c r="AI297" s="727">
        <v>11</v>
      </c>
      <c r="AJ297" s="747" t="s">
        <v>3982</v>
      </c>
      <c r="AK297" s="757">
        <v>909678</v>
      </c>
      <c r="AL297" s="754">
        <v>1561</v>
      </c>
      <c r="AM297" s="755">
        <v>909678</v>
      </c>
      <c r="AN297" s="754">
        <v>1562</v>
      </c>
      <c r="AO297" s="776">
        <f t="shared" ref="AO297:AO300" si="75">AM297</f>
        <v>909678</v>
      </c>
      <c r="AP297" s="754">
        <f t="shared" si="73"/>
        <v>1563</v>
      </c>
      <c r="AQ297" s="770"/>
      <c r="AR297" s="726" t="s">
        <v>2661</v>
      </c>
      <c r="AS297" s="726" t="s">
        <v>4107</v>
      </c>
      <c r="AT297" s="726">
        <v>15611561</v>
      </c>
      <c r="AU297" s="726" t="s">
        <v>3966</v>
      </c>
      <c r="AV297" s="726" t="s">
        <v>4108</v>
      </c>
      <c r="AW297" s="726">
        <v>15621562</v>
      </c>
    </row>
    <row r="298" spans="1:49">
      <c r="A298" s="738" t="s">
        <v>410</v>
      </c>
      <c r="B298" s="736" t="s">
        <v>4103</v>
      </c>
      <c r="C298" s="738" t="s">
        <v>4172</v>
      </c>
      <c r="D298" s="738" t="s">
        <v>410</v>
      </c>
      <c r="E298" s="738" t="s">
        <v>410</v>
      </c>
      <c r="F298" s="1059">
        <f>IFERROR(VLOOKUP($A298,'2018'!$A:$BB,3,FALSE),"")</f>
        <v>473251758</v>
      </c>
      <c r="G298" s="1055" t="str">
        <f>IFERROR(VLOOKUP($A298,'2018'!$A:$BB,4,FALSE),"")</f>
        <v>5770 Armada Drive
Carlsbad, CA 92008</v>
      </c>
      <c r="H298" s="1055" t="str">
        <f>IFERROR(VLOOKUP($A298,'2018'!$A:$BB,5,FALSE),"")</f>
        <v>Marcie Faraimo
760-246-5006
marcie.faraimo@seaspine.com</v>
      </c>
      <c r="I298" s="1055" t="str">
        <f>IFERROR(VLOOKUP($A298,'2018'!$A:$BB,6,FALSE),"")</f>
        <v>Danielle Peppard
760-216-5112
danielle.peppard@seaspine.com</v>
      </c>
      <c r="J298" s="1055" t="str">
        <f>IFERROR(VLOOKUP($A298,'2018'!$A:$BB,7,FALSE),"")</f>
        <v>HUB (San Diego)</v>
      </c>
      <c r="K298" s="1055" t="str">
        <f>IFERROR(VLOOKUP($A298,'2018'!$A:$BB,8,FALSE),"")</f>
        <v>Account Managed by HUB SD Team
Producer - Dave Duenas
Service Lead- Jessica Hurley
AM-Katherine Tomline</v>
      </c>
      <c r="L298" s="1062" t="str">
        <f>IFERROR(VLOOKUP($A298,'2018'!$A:$BB,9,FALSE),"")</f>
        <v>Renewal</v>
      </c>
      <c r="M298" s="1067">
        <f>IFERROR(VLOOKUP($A298,'2018'!$A:$BB,10,FALSE),"")</f>
        <v>42370</v>
      </c>
      <c r="N298" s="1062">
        <f>IFERROR(VLOOKUP($A298,'2018'!$A:$BB,12,FALSE),"")</f>
        <v>333</v>
      </c>
      <c r="O298" s="1055" t="str">
        <f>IFERROR(VLOOKUP($A298,'2018'!$A:$BB,13,FALSE),"")</f>
        <v xml:space="preserve">IGOE </v>
      </c>
      <c r="P298" s="1055" t="str">
        <f>IFERROR(VLOOKUP($A298,'2018'!$A:$BB,14,FALSE),"")</f>
        <v>Ultipro</v>
      </c>
      <c r="Q298" s="1055" t="str">
        <f>IFERROR(VLOOKUP($A298,'2018'!$A:$BB,16,FALSE),"")</f>
        <v>IGOE</v>
      </c>
      <c r="R298" s="1055" t="str">
        <f>IFERROR(VLOOKUP($A298,'2018'!$A:$BB,17,FALSE),"")</f>
        <v>Optum Health</v>
      </c>
      <c r="S298" s="1062" t="str">
        <f>IFERROR(VLOOKUP($A298,'2018'!$A:$BB,20,FALSE),"")</f>
        <v>SCAL</v>
      </c>
      <c r="T298" s="1062" t="str">
        <f>IFERROR(VLOOKUP($A298,'2018'!$A:$BB,21,FALSE),"")</f>
        <v>Group B (34-44)</v>
      </c>
      <c r="U298" s="1062" t="str">
        <f>IFERROR(VLOOKUP($A298,'2018'!$A:$BB,22,FALSE),"")</f>
        <v>Expanded</v>
      </c>
      <c r="V298" s="1062" t="str">
        <f>IFERROR(VLOOKUP($A298,'2018'!$A:$BB,23,FALSE),"")</f>
        <v>Access</v>
      </c>
      <c r="W298" s="1062" t="str">
        <f>IFERROR(VLOOKUP($A298,'2018'!$A:$BB,24,FALSE),"")</f>
        <v>Yes</v>
      </c>
      <c r="X298" s="1062" t="str">
        <f>IFERROR(VLOOKUP($A298,'2018'!$A:$BB,41,FALSE),"")</f>
        <v>Region 1</v>
      </c>
      <c r="Y298" s="1062" t="str">
        <f>IFERROR(VLOOKUP($A298,'2018'!$A:$BB,42,FALSE),"")</f>
        <v>(50-99)</v>
      </c>
      <c r="Z298" s="1062" t="str">
        <f>IFERROR(VLOOKUP($A298,'2018'!$A:$BB,45,FALSE),"")</f>
        <v>N/A</v>
      </c>
      <c r="AA298" s="731">
        <v>2018</v>
      </c>
      <c r="AB298" s="733" t="s">
        <v>3908</v>
      </c>
      <c r="AC298" s="734" t="s">
        <v>317</v>
      </c>
      <c r="AD298" s="734" t="s">
        <v>3648</v>
      </c>
      <c r="AE298" s="734" t="s">
        <v>315</v>
      </c>
      <c r="AF298" s="734" t="s">
        <v>85</v>
      </c>
      <c r="AG298" s="732" t="s">
        <v>3981</v>
      </c>
      <c r="AH298" s="732" t="s">
        <v>3977</v>
      </c>
      <c r="AI298" s="734">
        <v>16</v>
      </c>
      <c r="AJ298" s="748" t="s">
        <v>3985</v>
      </c>
      <c r="AK298" s="757">
        <v>909678</v>
      </c>
      <c r="AL298" s="756">
        <v>1633</v>
      </c>
      <c r="AM298" s="755">
        <v>909678</v>
      </c>
      <c r="AN298" s="756">
        <v>1634</v>
      </c>
      <c r="AO298" s="776">
        <f t="shared" si="75"/>
        <v>909678</v>
      </c>
      <c r="AP298" s="754">
        <f t="shared" si="73"/>
        <v>1635</v>
      </c>
      <c r="AQ298" s="771" t="s">
        <v>3979</v>
      </c>
      <c r="AR298" s="732" t="s">
        <v>2661</v>
      </c>
      <c r="AS298" s="735"/>
      <c r="AT298" s="735"/>
      <c r="AU298" s="732" t="s">
        <v>3980</v>
      </c>
      <c r="AV298" s="735"/>
      <c r="AW298" s="735"/>
    </row>
    <row r="299" spans="1:49">
      <c r="A299" s="738" t="s">
        <v>410</v>
      </c>
      <c r="B299" s="738" t="s">
        <v>4103</v>
      </c>
      <c r="C299" s="738" t="s">
        <v>4172</v>
      </c>
      <c r="D299" s="738" t="s">
        <v>410</v>
      </c>
      <c r="E299" s="738" t="s">
        <v>410</v>
      </c>
      <c r="F299" s="1059">
        <f>IFERROR(VLOOKUP($A299,'2018'!$A:$BB,3,FALSE),"")</f>
        <v>473251758</v>
      </c>
      <c r="G299" s="1055" t="str">
        <f>IFERROR(VLOOKUP($A299,'2018'!$A:$BB,4,FALSE),"")</f>
        <v>5770 Armada Drive
Carlsbad, CA 92008</v>
      </c>
      <c r="H299" s="1055" t="str">
        <f>IFERROR(VLOOKUP($A299,'2018'!$A:$BB,5,FALSE),"")</f>
        <v>Marcie Faraimo
760-246-5006
marcie.faraimo@seaspine.com</v>
      </c>
      <c r="I299" s="1055" t="str">
        <f>IFERROR(VLOOKUP($A299,'2018'!$A:$BB,6,FALSE),"")</f>
        <v>Danielle Peppard
760-216-5112
danielle.peppard@seaspine.com</v>
      </c>
      <c r="J299" s="1055" t="str">
        <f>IFERROR(VLOOKUP($A299,'2018'!$A:$BB,7,FALSE),"")</f>
        <v>HUB (San Diego)</v>
      </c>
      <c r="K299" s="1055" t="str">
        <f>IFERROR(VLOOKUP($A299,'2018'!$A:$BB,8,FALSE),"")</f>
        <v>Account Managed by HUB SD Team
Producer - Dave Duenas
Service Lead- Jessica Hurley
AM-Katherine Tomline</v>
      </c>
      <c r="L299" s="1062" t="str">
        <f>IFERROR(VLOOKUP($A299,'2018'!$A:$BB,9,FALSE),"")</f>
        <v>Renewal</v>
      </c>
      <c r="M299" s="1067">
        <f>IFERROR(VLOOKUP($A299,'2018'!$A:$BB,10,FALSE),"")</f>
        <v>42370</v>
      </c>
      <c r="N299" s="1062">
        <f>IFERROR(VLOOKUP($A299,'2018'!$A:$BB,12,FALSE),"")</f>
        <v>333</v>
      </c>
      <c r="O299" s="1055" t="str">
        <f>IFERROR(VLOOKUP($A299,'2018'!$A:$BB,13,FALSE),"")</f>
        <v xml:space="preserve">IGOE </v>
      </c>
      <c r="P299" s="1055" t="str">
        <f>IFERROR(VLOOKUP($A299,'2018'!$A:$BB,14,FALSE),"")</f>
        <v>Ultipro</v>
      </c>
      <c r="Q299" s="1055" t="str">
        <f>IFERROR(VLOOKUP($A299,'2018'!$A:$BB,16,FALSE),"")</f>
        <v>IGOE</v>
      </c>
      <c r="R299" s="1055" t="str">
        <f>IFERROR(VLOOKUP($A299,'2018'!$A:$BB,17,FALSE),"")</f>
        <v>Optum Health</v>
      </c>
      <c r="S299" s="1062" t="str">
        <f>IFERROR(VLOOKUP($A299,'2018'!$A:$BB,20,FALSE),"")</f>
        <v>SCAL</v>
      </c>
      <c r="T299" s="1062" t="str">
        <f>IFERROR(VLOOKUP($A299,'2018'!$A:$BB,21,FALSE),"")</f>
        <v>Group B (34-44)</v>
      </c>
      <c r="U299" s="1062" t="str">
        <f>IFERROR(VLOOKUP($A299,'2018'!$A:$BB,22,FALSE),"")</f>
        <v>Expanded</v>
      </c>
      <c r="V299" s="1062" t="str">
        <f>IFERROR(VLOOKUP($A299,'2018'!$A:$BB,23,FALSE),"")</f>
        <v>Access</v>
      </c>
      <c r="W299" s="1062" t="str">
        <f>IFERROR(VLOOKUP($A299,'2018'!$A:$BB,24,FALSE),"")</f>
        <v>Yes</v>
      </c>
      <c r="X299" s="1062" t="str">
        <f>IFERROR(VLOOKUP($A299,'2018'!$A:$BB,41,FALSE),"")</f>
        <v>Region 1</v>
      </c>
      <c r="Y299" s="1062" t="str">
        <f>IFERROR(VLOOKUP($A299,'2018'!$A:$BB,42,FALSE),"")</f>
        <v>(50-99)</v>
      </c>
      <c r="Z299" s="1062" t="str">
        <f>IFERROR(VLOOKUP($A299,'2018'!$A:$BB,45,FALSE),"")</f>
        <v>N/A</v>
      </c>
      <c r="AA299" s="730">
        <v>2018</v>
      </c>
      <c r="AB299" s="728" t="s">
        <v>3908</v>
      </c>
      <c r="AC299" s="727" t="s">
        <v>317</v>
      </c>
      <c r="AD299" s="727" t="s">
        <v>3648</v>
      </c>
      <c r="AE299" s="727" t="s">
        <v>315</v>
      </c>
      <c r="AF299" s="727" t="s">
        <v>85</v>
      </c>
      <c r="AG299" s="726" t="s">
        <v>3981</v>
      </c>
      <c r="AH299" s="726" t="s">
        <v>3973</v>
      </c>
      <c r="AI299" s="727">
        <v>18</v>
      </c>
      <c r="AJ299" s="747" t="s">
        <v>4067</v>
      </c>
      <c r="AK299" s="757">
        <v>909678</v>
      </c>
      <c r="AL299" s="754">
        <v>1705</v>
      </c>
      <c r="AM299" s="755">
        <v>909678</v>
      </c>
      <c r="AN299" s="754">
        <v>1706</v>
      </c>
      <c r="AO299" s="776">
        <f t="shared" si="75"/>
        <v>909678</v>
      </c>
      <c r="AP299" s="754">
        <f t="shared" si="73"/>
        <v>1707</v>
      </c>
      <c r="AQ299" s="770"/>
      <c r="AR299" s="726" t="s">
        <v>2661</v>
      </c>
      <c r="AS299" s="726" t="s">
        <v>4109</v>
      </c>
      <c r="AT299" s="726">
        <v>17051705</v>
      </c>
      <c r="AU299" s="726" t="s">
        <v>3966</v>
      </c>
      <c r="AV299" s="726" t="s">
        <v>4110</v>
      </c>
      <c r="AW299" s="726">
        <v>17061706</v>
      </c>
    </row>
    <row r="300" spans="1:49">
      <c r="A300" s="738" t="s">
        <v>410</v>
      </c>
      <c r="B300" s="736" t="s">
        <v>4103</v>
      </c>
      <c r="C300" s="738" t="s">
        <v>4172</v>
      </c>
      <c r="D300" s="738" t="s">
        <v>410</v>
      </c>
      <c r="E300" s="738" t="s">
        <v>410</v>
      </c>
      <c r="F300" s="1059">
        <f>IFERROR(VLOOKUP($A300,'2018'!$A:$BB,3,FALSE),"")</f>
        <v>473251758</v>
      </c>
      <c r="G300" s="1055" t="str">
        <f>IFERROR(VLOOKUP($A300,'2018'!$A:$BB,4,FALSE),"")</f>
        <v>5770 Armada Drive
Carlsbad, CA 92008</v>
      </c>
      <c r="H300" s="1055" t="str">
        <f>IFERROR(VLOOKUP($A300,'2018'!$A:$BB,5,FALSE),"")</f>
        <v>Marcie Faraimo
760-246-5006
marcie.faraimo@seaspine.com</v>
      </c>
      <c r="I300" s="1055" t="str">
        <f>IFERROR(VLOOKUP($A300,'2018'!$A:$BB,6,FALSE),"")</f>
        <v>Danielle Peppard
760-216-5112
danielle.peppard@seaspine.com</v>
      </c>
      <c r="J300" s="1055" t="str">
        <f>IFERROR(VLOOKUP($A300,'2018'!$A:$BB,7,FALSE),"")</f>
        <v>HUB (San Diego)</v>
      </c>
      <c r="K300" s="1055" t="str">
        <f>IFERROR(VLOOKUP($A300,'2018'!$A:$BB,8,FALSE),"")</f>
        <v>Account Managed by HUB SD Team
Producer - Dave Duenas
Service Lead- Jessica Hurley
AM-Katherine Tomline</v>
      </c>
      <c r="L300" s="1062" t="str">
        <f>IFERROR(VLOOKUP($A300,'2018'!$A:$BB,9,FALSE),"")</f>
        <v>Renewal</v>
      </c>
      <c r="M300" s="1067">
        <f>IFERROR(VLOOKUP($A300,'2018'!$A:$BB,10,FALSE),"")</f>
        <v>42370</v>
      </c>
      <c r="N300" s="1062">
        <f>IFERROR(VLOOKUP($A300,'2018'!$A:$BB,12,FALSE),"")</f>
        <v>333</v>
      </c>
      <c r="O300" s="1055" t="str">
        <f>IFERROR(VLOOKUP($A300,'2018'!$A:$BB,13,FALSE),"")</f>
        <v xml:space="preserve">IGOE </v>
      </c>
      <c r="P300" s="1055" t="str">
        <f>IFERROR(VLOOKUP($A300,'2018'!$A:$BB,14,FALSE),"")</f>
        <v>Ultipro</v>
      </c>
      <c r="Q300" s="1055" t="str">
        <f>IFERROR(VLOOKUP($A300,'2018'!$A:$BB,16,FALSE),"")</f>
        <v>IGOE</v>
      </c>
      <c r="R300" s="1055" t="str">
        <f>IFERROR(VLOOKUP($A300,'2018'!$A:$BB,17,FALSE),"")</f>
        <v>Optum Health</v>
      </c>
      <c r="S300" s="1062" t="str">
        <f>IFERROR(VLOOKUP($A300,'2018'!$A:$BB,20,FALSE),"")</f>
        <v>SCAL</v>
      </c>
      <c r="T300" s="1062" t="str">
        <f>IFERROR(VLOOKUP($A300,'2018'!$A:$BB,21,FALSE),"")</f>
        <v>Group B (34-44)</v>
      </c>
      <c r="U300" s="1062" t="str">
        <f>IFERROR(VLOOKUP($A300,'2018'!$A:$BB,22,FALSE),"")</f>
        <v>Expanded</v>
      </c>
      <c r="V300" s="1062" t="str">
        <f>IFERROR(VLOOKUP($A300,'2018'!$A:$BB,23,FALSE),"")</f>
        <v>Access</v>
      </c>
      <c r="W300" s="1062" t="str">
        <f>IFERROR(VLOOKUP($A300,'2018'!$A:$BB,24,FALSE),"")</f>
        <v>Yes</v>
      </c>
      <c r="X300" s="1062" t="str">
        <f>IFERROR(VLOOKUP($A300,'2018'!$A:$BB,41,FALSE),"")</f>
        <v>Region 1</v>
      </c>
      <c r="Y300" s="1062" t="str">
        <f>IFERROR(VLOOKUP($A300,'2018'!$A:$BB,42,FALSE),"")</f>
        <v>(50-99)</v>
      </c>
      <c r="Z300" s="1062" t="str">
        <f>IFERROR(VLOOKUP($A300,'2018'!$A:$BB,45,FALSE),"")</f>
        <v>N/A</v>
      </c>
      <c r="AA300" s="731">
        <v>2018</v>
      </c>
      <c r="AB300" s="733" t="s">
        <v>3908</v>
      </c>
      <c r="AC300" s="734" t="s">
        <v>317</v>
      </c>
      <c r="AD300" s="734" t="s">
        <v>3648</v>
      </c>
      <c r="AE300" s="734" t="s">
        <v>315</v>
      </c>
      <c r="AF300" s="734" t="s">
        <v>85</v>
      </c>
      <c r="AG300" s="732" t="s">
        <v>3981</v>
      </c>
      <c r="AH300" s="732" t="s">
        <v>3977</v>
      </c>
      <c r="AI300" s="734">
        <v>19</v>
      </c>
      <c r="AJ300" s="748" t="s">
        <v>4069</v>
      </c>
      <c r="AK300" s="757">
        <v>909678</v>
      </c>
      <c r="AL300" s="756">
        <v>1741</v>
      </c>
      <c r="AM300" s="755">
        <v>909678</v>
      </c>
      <c r="AN300" s="756">
        <v>1742</v>
      </c>
      <c r="AO300" s="776">
        <f t="shared" si="75"/>
        <v>909678</v>
      </c>
      <c r="AP300" s="754">
        <f t="shared" si="73"/>
        <v>1743</v>
      </c>
      <c r="AQ300" s="771" t="s">
        <v>3979</v>
      </c>
      <c r="AR300" s="732" t="s">
        <v>2661</v>
      </c>
      <c r="AS300" s="735"/>
      <c r="AT300" s="735"/>
      <c r="AU300" s="732" t="s">
        <v>3980</v>
      </c>
      <c r="AV300" s="735"/>
      <c r="AW300" s="735"/>
    </row>
    <row r="301" spans="1:49">
      <c r="A301" s="738"/>
      <c r="B301" s="738"/>
      <c r="C301" s="738"/>
      <c r="D301" s="738"/>
      <c r="E301" s="738"/>
      <c r="F301" s="1059" t="str">
        <f>IFERROR(VLOOKUP($A301,'2018'!$A:$BB,3,FALSE),"")</f>
        <v/>
      </c>
      <c r="G301" s="1055" t="str">
        <f>IFERROR(VLOOKUP($A301,'2018'!$A:$BB,4,FALSE),"")</f>
        <v/>
      </c>
      <c r="H301" s="1055" t="str">
        <f>IFERROR(VLOOKUP($A301,'2018'!$A:$BB,5,FALSE),"")</f>
        <v/>
      </c>
      <c r="I301" s="1055" t="str">
        <f>IFERROR(VLOOKUP($A301,'2018'!$A:$BB,6,FALSE),"")</f>
        <v/>
      </c>
      <c r="J301" s="1055" t="str">
        <f>IFERROR(VLOOKUP($A301,'2018'!$A:$BB,7,FALSE),"")</f>
        <v/>
      </c>
      <c r="K301" s="1055" t="str">
        <f>IFERROR(VLOOKUP($A301,'2018'!$A:$BB,8,FALSE),"")</f>
        <v/>
      </c>
      <c r="L301" s="1062" t="str">
        <f>IFERROR(VLOOKUP($A301,'2018'!$A:$BB,9,FALSE),"")</f>
        <v/>
      </c>
      <c r="M301" s="1067" t="str">
        <f>IFERROR(VLOOKUP($A301,'2018'!$A:$BB,10,FALSE),"")</f>
        <v/>
      </c>
      <c r="N301" s="1062" t="str">
        <f>IFERROR(VLOOKUP($A301,'2018'!$A:$BB,12,FALSE),"")</f>
        <v/>
      </c>
      <c r="O301" s="1055" t="str">
        <f>IFERROR(VLOOKUP($A301,'2018'!$A:$BB,13,FALSE),"")</f>
        <v/>
      </c>
      <c r="P301" s="1055" t="str">
        <f>IFERROR(VLOOKUP($A301,'2018'!$A:$BB,14,FALSE),"")</f>
        <v/>
      </c>
      <c r="Q301" s="1055" t="str">
        <f>IFERROR(VLOOKUP($A301,'2018'!$A:$BB,16,FALSE),"")</f>
        <v/>
      </c>
      <c r="R301" s="1055" t="str">
        <f>IFERROR(VLOOKUP($A301,'2018'!$A:$BB,17,FALSE),"")</f>
        <v/>
      </c>
      <c r="S301" s="1062" t="str">
        <f>IFERROR(VLOOKUP($A301,'2018'!$A:$BB,20,FALSE),"")</f>
        <v/>
      </c>
      <c r="T301" s="1062" t="str">
        <f>IFERROR(VLOOKUP($A301,'2018'!$A:$BB,21,FALSE),"")</f>
        <v/>
      </c>
      <c r="U301" s="1062" t="str">
        <f>IFERROR(VLOOKUP($A301,'2018'!$A:$BB,22,FALSE),"")</f>
        <v/>
      </c>
      <c r="V301" s="1062" t="str">
        <f>IFERROR(VLOOKUP($A301,'2018'!$A:$BB,23,FALSE),"")</f>
        <v/>
      </c>
      <c r="W301" s="1062" t="str">
        <f>IFERROR(VLOOKUP($A301,'2018'!$A:$BB,24,FALSE),"")</f>
        <v/>
      </c>
      <c r="X301" s="1062" t="str">
        <f>IFERROR(VLOOKUP($A301,'2018'!$A:$BB,41,FALSE),"")</f>
        <v/>
      </c>
      <c r="Y301" s="1062" t="str">
        <f>IFERROR(VLOOKUP($A301,'2018'!$A:$BB,42,FALSE),"")</f>
        <v/>
      </c>
      <c r="Z301" s="1062" t="str">
        <f>IFERROR(VLOOKUP($A301,'2018'!$A:$BB,45,FALSE),"")</f>
        <v/>
      </c>
      <c r="AA301" s="727"/>
      <c r="AB301" s="728"/>
      <c r="AC301" s="727"/>
      <c r="AD301" s="727"/>
      <c r="AE301" s="727"/>
      <c r="AF301" s="727"/>
      <c r="AG301" s="726"/>
      <c r="AH301" s="726"/>
      <c r="AI301" s="727"/>
      <c r="AJ301" s="747"/>
      <c r="AK301" s="753"/>
      <c r="AL301" s="754"/>
      <c r="AM301" s="753"/>
      <c r="AN301" s="754"/>
      <c r="AO301" s="776"/>
      <c r="AP301" s="754"/>
      <c r="AQ301" s="770"/>
      <c r="AR301" s="726"/>
      <c r="AS301" s="726"/>
      <c r="AT301" s="726"/>
      <c r="AU301" s="726"/>
      <c r="AV301" s="726"/>
      <c r="AW301" s="726"/>
    </row>
    <row r="302" spans="1:49">
      <c r="A302" s="738" t="s">
        <v>410</v>
      </c>
      <c r="B302" s="738" t="s">
        <v>4111</v>
      </c>
      <c r="C302" s="738" t="s">
        <v>4172</v>
      </c>
      <c r="D302" s="738" t="s">
        <v>410</v>
      </c>
      <c r="E302" s="738" t="s">
        <v>410</v>
      </c>
      <c r="F302" s="1059">
        <f>IFERROR(VLOOKUP($A302,'2018'!$A:$BB,3,FALSE),"")</f>
        <v>473251758</v>
      </c>
      <c r="G302" s="1055" t="str">
        <f>IFERROR(VLOOKUP($A302,'2018'!$A:$BB,4,FALSE),"")</f>
        <v>5770 Armada Drive
Carlsbad, CA 92008</v>
      </c>
      <c r="H302" s="1055" t="str">
        <f>IFERROR(VLOOKUP($A302,'2018'!$A:$BB,5,FALSE),"")</f>
        <v>Marcie Faraimo
760-246-5006
marcie.faraimo@seaspine.com</v>
      </c>
      <c r="I302" s="1055" t="str">
        <f>IFERROR(VLOOKUP($A302,'2018'!$A:$BB,6,FALSE),"")</f>
        <v>Danielle Peppard
760-216-5112
danielle.peppard@seaspine.com</v>
      </c>
      <c r="J302" s="1055" t="str">
        <f>IFERROR(VLOOKUP($A302,'2018'!$A:$BB,7,FALSE),"")</f>
        <v>HUB (San Diego)</v>
      </c>
      <c r="K302" s="1055" t="str">
        <f>IFERROR(VLOOKUP($A302,'2018'!$A:$BB,8,FALSE),"")</f>
        <v>Account Managed by HUB SD Team
Producer - Dave Duenas
Service Lead- Jessica Hurley
AM-Katherine Tomline</v>
      </c>
      <c r="L302" s="1062" t="str">
        <f>IFERROR(VLOOKUP($A302,'2018'!$A:$BB,9,FALSE),"")</f>
        <v>Renewal</v>
      </c>
      <c r="M302" s="1067">
        <f>IFERROR(VLOOKUP($A302,'2018'!$A:$BB,10,FALSE),"")</f>
        <v>42370</v>
      </c>
      <c r="N302" s="1062">
        <f>IFERROR(VLOOKUP($A302,'2018'!$A:$BB,12,FALSE),"")</f>
        <v>333</v>
      </c>
      <c r="O302" s="1055" t="str">
        <f>IFERROR(VLOOKUP($A302,'2018'!$A:$BB,13,FALSE),"")</f>
        <v xml:space="preserve">IGOE </v>
      </c>
      <c r="P302" s="1055" t="str">
        <f>IFERROR(VLOOKUP($A302,'2018'!$A:$BB,14,FALSE),"")</f>
        <v>Ultipro</v>
      </c>
      <c r="Q302" s="1055" t="str">
        <f>IFERROR(VLOOKUP($A302,'2018'!$A:$BB,16,FALSE),"")</f>
        <v>IGOE</v>
      </c>
      <c r="R302" s="1055" t="str">
        <f>IFERROR(VLOOKUP($A302,'2018'!$A:$BB,17,FALSE),"")</f>
        <v>Optum Health</v>
      </c>
      <c r="S302" s="1062" t="str">
        <f>IFERROR(VLOOKUP($A302,'2018'!$A:$BB,20,FALSE),"")</f>
        <v>SCAL</v>
      </c>
      <c r="T302" s="1062" t="str">
        <f>IFERROR(VLOOKUP($A302,'2018'!$A:$BB,21,FALSE),"")</f>
        <v>Group B (34-44)</v>
      </c>
      <c r="U302" s="1062" t="str">
        <f>IFERROR(VLOOKUP($A302,'2018'!$A:$BB,22,FALSE),"")</f>
        <v>Expanded</v>
      </c>
      <c r="V302" s="1062" t="str">
        <f>IFERROR(VLOOKUP($A302,'2018'!$A:$BB,23,FALSE),"")</f>
        <v>Access</v>
      </c>
      <c r="W302" s="1062" t="str">
        <f>IFERROR(VLOOKUP($A302,'2018'!$A:$BB,24,FALSE),"")</f>
        <v>Yes</v>
      </c>
      <c r="X302" s="1062" t="str">
        <f>IFERROR(VLOOKUP($A302,'2018'!$A:$BB,41,FALSE),"")</f>
        <v>Region 1</v>
      </c>
      <c r="Y302" s="1062" t="str">
        <f>IFERROR(VLOOKUP($A302,'2018'!$A:$BB,42,FALSE),"")</f>
        <v>(50-99)</v>
      </c>
      <c r="Z302" s="1062" t="str">
        <f>IFERROR(VLOOKUP($A302,'2018'!$A:$BB,45,FALSE),"")</f>
        <v>N/A</v>
      </c>
      <c r="AA302" s="730">
        <v>2018</v>
      </c>
      <c r="AB302" s="728" t="s">
        <v>3908</v>
      </c>
      <c r="AC302" s="727" t="s">
        <v>317</v>
      </c>
      <c r="AD302" s="727" t="s">
        <v>3648</v>
      </c>
      <c r="AE302" s="727" t="s">
        <v>315</v>
      </c>
      <c r="AF302" s="727" t="s">
        <v>85</v>
      </c>
      <c r="AG302" s="726" t="s">
        <v>3962</v>
      </c>
      <c r="AH302" s="726" t="s">
        <v>3963</v>
      </c>
      <c r="AI302" s="727">
        <v>2</v>
      </c>
      <c r="AJ302" s="747" t="s">
        <v>3964</v>
      </c>
      <c r="AK302" s="753">
        <v>260089</v>
      </c>
      <c r="AL302" s="754">
        <v>190</v>
      </c>
      <c r="AM302" s="753">
        <v>260090</v>
      </c>
      <c r="AN302" s="754">
        <v>191</v>
      </c>
      <c r="AO302" s="776">
        <f t="shared" si="72"/>
        <v>260091</v>
      </c>
      <c r="AP302" s="754">
        <f t="shared" si="73"/>
        <v>192</v>
      </c>
      <c r="AQ302" s="770"/>
      <c r="AR302" s="726" t="s">
        <v>2661</v>
      </c>
      <c r="AS302" s="726" t="s">
        <v>4104</v>
      </c>
      <c r="AT302" s="726">
        <v>1900190</v>
      </c>
      <c r="AU302" s="726" t="s">
        <v>3966</v>
      </c>
      <c r="AV302" s="726" t="s">
        <v>4105</v>
      </c>
      <c r="AW302" s="726">
        <v>1910191</v>
      </c>
    </row>
    <row r="303" spans="1:49">
      <c r="A303" s="738" t="s">
        <v>410</v>
      </c>
      <c r="B303" s="738" t="s">
        <v>4111</v>
      </c>
      <c r="C303" s="738" t="s">
        <v>4172</v>
      </c>
      <c r="D303" s="738" t="s">
        <v>410</v>
      </c>
      <c r="E303" s="738" t="s">
        <v>410</v>
      </c>
      <c r="F303" s="1059">
        <f>IFERROR(VLOOKUP($A303,'2018'!$A:$BB,3,FALSE),"")</f>
        <v>473251758</v>
      </c>
      <c r="G303" s="1055" t="str">
        <f>IFERROR(VLOOKUP($A303,'2018'!$A:$BB,4,FALSE),"")</f>
        <v>5770 Armada Drive
Carlsbad, CA 92008</v>
      </c>
      <c r="H303" s="1055" t="str">
        <f>IFERROR(VLOOKUP($A303,'2018'!$A:$BB,5,FALSE),"")</f>
        <v>Marcie Faraimo
760-246-5006
marcie.faraimo@seaspine.com</v>
      </c>
      <c r="I303" s="1055" t="str">
        <f>IFERROR(VLOOKUP($A303,'2018'!$A:$BB,6,FALSE),"")</f>
        <v>Danielle Peppard
760-216-5112
danielle.peppard@seaspine.com</v>
      </c>
      <c r="J303" s="1055" t="str">
        <f>IFERROR(VLOOKUP($A303,'2018'!$A:$BB,7,FALSE),"")</f>
        <v>HUB (San Diego)</v>
      </c>
      <c r="K303" s="1055" t="str">
        <f>IFERROR(VLOOKUP($A303,'2018'!$A:$BB,8,FALSE),"")</f>
        <v>Account Managed by HUB SD Team
Producer - Dave Duenas
Service Lead- Jessica Hurley
AM-Katherine Tomline</v>
      </c>
      <c r="L303" s="1062" t="str">
        <f>IFERROR(VLOOKUP($A303,'2018'!$A:$BB,9,FALSE),"")</f>
        <v>Renewal</v>
      </c>
      <c r="M303" s="1067">
        <f>IFERROR(VLOOKUP($A303,'2018'!$A:$BB,10,FALSE),"")</f>
        <v>42370</v>
      </c>
      <c r="N303" s="1062">
        <f>IFERROR(VLOOKUP($A303,'2018'!$A:$BB,12,FALSE),"")</f>
        <v>333</v>
      </c>
      <c r="O303" s="1055" t="str">
        <f>IFERROR(VLOOKUP($A303,'2018'!$A:$BB,13,FALSE),"")</f>
        <v xml:space="preserve">IGOE </v>
      </c>
      <c r="P303" s="1055" t="str">
        <f>IFERROR(VLOOKUP($A303,'2018'!$A:$BB,14,FALSE),"")</f>
        <v>Ultipro</v>
      </c>
      <c r="Q303" s="1055" t="str">
        <f>IFERROR(VLOOKUP($A303,'2018'!$A:$BB,16,FALSE),"")</f>
        <v>IGOE</v>
      </c>
      <c r="R303" s="1055" t="str">
        <f>IFERROR(VLOOKUP($A303,'2018'!$A:$BB,17,FALSE),"")</f>
        <v>Optum Health</v>
      </c>
      <c r="S303" s="1062" t="str">
        <f>IFERROR(VLOOKUP($A303,'2018'!$A:$BB,20,FALSE),"")</f>
        <v>SCAL</v>
      </c>
      <c r="T303" s="1062" t="str">
        <f>IFERROR(VLOOKUP($A303,'2018'!$A:$BB,21,FALSE),"")</f>
        <v>Group B (34-44)</v>
      </c>
      <c r="U303" s="1062" t="str">
        <f>IFERROR(VLOOKUP($A303,'2018'!$A:$BB,22,FALSE),"")</f>
        <v>Expanded</v>
      </c>
      <c r="V303" s="1062" t="str">
        <f>IFERROR(VLOOKUP($A303,'2018'!$A:$BB,23,FALSE),"")</f>
        <v>Access</v>
      </c>
      <c r="W303" s="1062" t="str">
        <f>IFERROR(VLOOKUP($A303,'2018'!$A:$BB,24,FALSE),"")</f>
        <v>Yes</v>
      </c>
      <c r="X303" s="1062" t="str">
        <f>IFERROR(VLOOKUP($A303,'2018'!$A:$BB,41,FALSE),"")</f>
        <v>Region 1</v>
      </c>
      <c r="Y303" s="1062" t="str">
        <f>IFERROR(VLOOKUP($A303,'2018'!$A:$BB,42,FALSE),"")</f>
        <v>(50-99)</v>
      </c>
      <c r="Z303" s="1062" t="str">
        <f>IFERROR(VLOOKUP($A303,'2018'!$A:$BB,45,FALSE),"")</f>
        <v>N/A</v>
      </c>
      <c r="AA303" s="730">
        <v>2018</v>
      </c>
      <c r="AB303" s="728" t="s">
        <v>3908</v>
      </c>
      <c r="AC303" s="727" t="s">
        <v>317</v>
      </c>
      <c r="AD303" s="727" t="s">
        <v>3648</v>
      </c>
      <c r="AE303" s="727" t="s">
        <v>315</v>
      </c>
      <c r="AF303" s="727" t="s">
        <v>85</v>
      </c>
      <c r="AG303" s="726" t="s">
        <v>3962</v>
      </c>
      <c r="AH303" s="726" t="s">
        <v>3968</v>
      </c>
      <c r="AI303" s="727">
        <v>5</v>
      </c>
      <c r="AJ303" s="747" t="s">
        <v>3969</v>
      </c>
      <c r="AK303" s="753">
        <v>260161</v>
      </c>
      <c r="AL303" s="754">
        <v>262</v>
      </c>
      <c r="AM303" s="753">
        <v>260162</v>
      </c>
      <c r="AN303" s="754">
        <v>263</v>
      </c>
      <c r="AO303" s="776">
        <f t="shared" si="72"/>
        <v>260163</v>
      </c>
      <c r="AP303" s="754">
        <f t="shared" si="73"/>
        <v>264</v>
      </c>
      <c r="AQ303" s="770"/>
      <c r="AR303" s="726" t="s">
        <v>2661</v>
      </c>
      <c r="AS303" s="726" t="s">
        <v>4106</v>
      </c>
      <c r="AT303" s="726">
        <v>2620262</v>
      </c>
      <c r="AU303" s="726" t="s">
        <v>3966</v>
      </c>
      <c r="AV303" s="726" t="s">
        <v>3989</v>
      </c>
      <c r="AW303" s="726">
        <v>2630263</v>
      </c>
    </row>
    <row r="304" spans="1:49">
      <c r="A304" s="738" t="s">
        <v>410</v>
      </c>
      <c r="B304" s="738" t="s">
        <v>4111</v>
      </c>
      <c r="C304" s="738" t="s">
        <v>4172</v>
      </c>
      <c r="D304" s="738" t="s">
        <v>410</v>
      </c>
      <c r="E304" s="738" t="s">
        <v>410</v>
      </c>
      <c r="F304" s="1059">
        <f>IFERROR(VLOOKUP($A304,'2018'!$A:$BB,3,FALSE),"")</f>
        <v>473251758</v>
      </c>
      <c r="G304" s="1055" t="str">
        <f>IFERROR(VLOOKUP($A304,'2018'!$A:$BB,4,FALSE),"")</f>
        <v>5770 Armada Drive
Carlsbad, CA 92008</v>
      </c>
      <c r="H304" s="1055" t="str">
        <f>IFERROR(VLOOKUP($A304,'2018'!$A:$BB,5,FALSE),"")</f>
        <v>Marcie Faraimo
760-246-5006
marcie.faraimo@seaspine.com</v>
      </c>
      <c r="I304" s="1055" t="str">
        <f>IFERROR(VLOOKUP($A304,'2018'!$A:$BB,6,FALSE),"")</f>
        <v>Danielle Peppard
760-216-5112
danielle.peppard@seaspine.com</v>
      </c>
      <c r="J304" s="1055" t="str">
        <f>IFERROR(VLOOKUP($A304,'2018'!$A:$BB,7,FALSE),"")</f>
        <v>HUB (San Diego)</v>
      </c>
      <c r="K304" s="1055" t="str">
        <f>IFERROR(VLOOKUP($A304,'2018'!$A:$BB,8,FALSE),"")</f>
        <v>Account Managed by HUB SD Team
Producer - Dave Duenas
Service Lead- Jessica Hurley
AM-Katherine Tomline</v>
      </c>
      <c r="L304" s="1062" t="str">
        <f>IFERROR(VLOOKUP($A304,'2018'!$A:$BB,9,FALSE),"")</f>
        <v>Renewal</v>
      </c>
      <c r="M304" s="1067">
        <f>IFERROR(VLOOKUP($A304,'2018'!$A:$BB,10,FALSE),"")</f>
        <v>42370</v>
      </c>
      <c r="N304" s="1062">
        <f>IFERROR(VLOOKUP($A304,'2018'!$A:$BB,12,FALSE),"")</f>
        <v>333</v>
      </c>
      <c r="O304" s="1055" t="str">
        <f>IFERROR(VLOOKUP($A304,'2018'!$A:$BB,13,FALSE),"")</f>
        <v xml:space="preserve">IGOE </v>
      </c>
      <c r="P304" s="1055" t="str">
        <f>IFERROR(VLOOKUP($A304,'2018'!$A:$BB,14,FALSE),"")</f>
        <v>Ultipro</v>
      </c>
      <c r="Q304" s="1055" t="str">
        <f>IFERROR(VLOOKUP($A304,'2018'!$A:$BB,16,FALSE),"")</f>
        <v>IGOE</v>
      </c>
      <c r="R304" s="1055" t="str">
        <f>IFERROR(VLOOKUP($A304,'2018'!$A:$BB,17,FALSE),"")</f>
        <v>Optum Health</v>
      </c>
      <c r="S304" s="1062" t="str">
        <f>IFERROR(VLOOKUP($A304,'2018'!$A:$BB,20,FALSE),"")</f>
        <v>SCAL</v>
      </c>
      <c r="T304" s="1062" t="str">
        <f>IFERROR(VLOOKUP($A304,'2018'!$A:$BB,21,FALSE),"")</f>
        <v>Group B (34-44)</v>
      </c>
      <c r="U304" s="1062" t="str">
        <f>IFERROR(VLOOKUP($A304,'2018'!$A:$BB,22,FALSE),"")</f>
        <v>Expanded</v>
      </c>
      <c r="V304" s="1062" t="str">
        <f>IFERROR(VLOOKUP($A304,'2018'!$A:$BB,23,FALSE),"")</f>
        <v>Access</v>
      </c>
      <c r="W304" s="1062" t="str">
        <f>IFERROR(VLOOKUP($A304,'2018'!$A:$BB,24,FALSE),"")</f>
        <v>Yes</v>
      </c>
      <c r="X304" s="1062" t="str">
        <f>IFERROR(VLOOKUP($A304,'2018'!$A:$BB,41,FALSE),"")</f>
        <v>Region 1</v>
      </c>
      <c r="Y304" s="1062" t="str">
        <f>IFERROR(VLOOKUP($A304,'2018'!$A:$BB,42,FALSE),"")</f>
        <v>(50-99)</v>
      </c>
      <c r="Z304" s="1062" t="str">
        <f>IFERROR(VLOOKUP($A304,'2018'!$A:$BB,45,FALSE),"")</f>
        <v>N/A</v>
      </c>
      <c r="AA304" s="730">
        <v>2018</v>
      </c>
      <c r="AB304" s="728" t="s">
        <v>3908</v>
      </c>
      <c r="AC304" s="727" t="s">
        <v>317</v>
      </c>
      <c r="AD304" s="727" t="s">
        <v>3648</v>
      </c>
      <c r="AE304" s="727" t="s">
        <v>315</v>
      </c>
      <c r="AF304" s="727" t="s">
        <v>85</v>
      </c>
      <c r="AG304" s="726" t="s">
        <v>3981</v>
      </c>
      <c r="AH304" s="726" t="s">
        <v>3973</v>
      </c>
      <c r="AI304" s="727">
        <v>11</v>
      </c>
      <c r="AJ304" s="747" t="s">
        <v>3982</v>
      </c>
      <c r="AK304" s="757">
        <v>909678</v>
      </c>
      <c r="AL304" s="754">
        <v>1561</v>
      </c>
      <c r="AM304" s="755">
        <v>909678</v>
      </c>
      <c r="AN304" s="754">
        <v>1562</v>
      </c>
      <c r="AO304" s="776">
        <f t="shared" ref="AO304:AO307" si="76">AM304</f>
        <v>909678</v>
      </c>
      <c r="AP304" s="754">
        <f t="shared" si="73"/>
        <v>1563</v>
      </c>
      <c r="AQ304" s="770"/>
      <c r="AR304" s="726" t="s">
        <v>2661</v>
      </c>
      <c r="AS304" s="726" t="s">
        <v>4107</v>
      </c>
      <c r="AT304" s="726">
        <v>15611561</v>
      </c>
      <c r="AU304" s="726" t="s">
        <v>3966</v>
      </c>
      <c r="AV304" s="726" t="s">
        <v>4108</v>
      </c>
      <c r="AW304" s="726">
        <v>15621562</v>
      </c>
    </row>
    <row r="305" spans="1:49">
      <c r="A305" s="738" t="s">
        <v>410</v>
      </c>
      <c r="B305" s="736" t="s">
        <v>4111</v>
      </c>
      <c r="C305" s="738" t="s">
        <v>4172</v>
      </c>
      <c r="D305" s="738" t="s">
        <v>410</v>
      </c>
      <c r="E305" s="738" t="s">
        <v>410</v>
      </c>
      <c r="F305" s="1059">
        <f>IFERROR(VLOOKUP($A305,'2018'!$A:$BB,3,FALSE),"")</f>
        <v>473251758</v>
      </c>
      <c r="G305" s="1055" t="str">
        <f>IFERROR(VLOOKUP($A305,'2018'!$A:$BB,4,FALSE),"")</f>
        <v>5770 Armada Drive
Carlsbad, CA 92008</v>
      </c>
      <c r="H305" s="1055" t="str">
        <f>IFERROR(VLOOKUP($A305,'2018'!$A:$BB,5,FALSE),"")</f>
        <v>Marcie Faraimo
760-246-5006
marcie.faraimo@seaspine.com</v>
      </c>
      <c r="I305" s="1055" t="str">
        <f>IFERROR(VLOOKUP($A305,'2018'!$A:$BB,6,FALSE),"")</f>
        <v>Danielle Peppard
760-216-5112
danielle.peppard@seaspine.com</v>
      </c>
      <c r="J305" s="1055" t="str">
        <f>IFERROR(VLOOKUP($A305,'2018'!$A:$BB,7,FALSE),"")</f>
        <v>HUB (San Diego)</v>
      </c>
      <c r="K305" s="1055" t="str">
        <f>IFERROR(VLOOKUP($A305,'2018'!$A:$BB,8,FALSE),"")</f>
        <v>Account Managed by HUB SD Team
Producer - Dave Duenas
Service Lead- Jessica Hurley
AM-Katherine Tomline</v>
      </c>
      <c r="L305" s="1062" t="str">
        <f>IFERROR(VLOOKUP($A305,'2018'!$A:$BB,9,FALSE),"")</f>
        <v>Renewal</v>
      </c>
      <c r="M305" s="1067">
        <f>IFERROR(VLOOKUP($A305,'2018'!$A:$BB,10,FALSE),"")</f>
        <v>42370</v>
      </c>
      <c r="N305" s="1062">
        <f>IFERROR(VLOOKUP($A305,'2018'!$A:$BB,12,FALSE),"")</f>
        <v>333</v>
      </c>
      <c r="O305" s="1055" t="str">
        <f>IFERROR(VLOOKUP($A305,'2018'!$A:$BB,13,FALSE),"")</f>
        <v xml:space="preserve">IGOE </v>
      </c>
      <c r="P305" s="1055" t="str">
        <f>IFERROR(VLOOKUP($A305,'2018'!$A:$BB,14,FALSE),"")</f>
        <v>Ultipro</v>
      </c>
      <c r="Q305" s="1055" t="str">
        <f>IFERROR(VLOOKUP($A305,'2018'!$A:$BB,16,FALSE),"")</f>
        <v>IGOE</v>
      </c>
      <c r="R305" s="1055" t="str">
        <f>IFERROR(VLOOKUP($A305,'2018'!$A:$BB,17,FALSE),"")</f>
        <v>Optum Health</v>
      </c>
      <c r="S305" s="1062" t="str">
        <f>IFERROR(VLOOKUP($A305,'2018'!$A:$BB,20,FALSE),"")</f>
        <v>SCAL</v>
      </c>
      <c r="T305" s="1062" t="str">
        <f>IFERROR(VLOOKUP($A305,'2018'!$A:$BB,21,FALSE),"")</f>
        <v>Group B (34-44)</v>
      </c>
      <c r="U305" s="1062" t="str">
        <f>IFERROR(VLOOKUP($A305,'2018'!$A:$BB,22,FALSE),"")</f>
        <v>Expanded</v>
      </c>
      <c r="V305" s="1062" t="str">
        <f>IFERROR(VLOOKUP($A305,'2018'!$A:$BB,23,FALSE),"")</f>
        <v>Access</v>
      </c>
      <c r="W305" s="1062" t="str">
        <f>IFERROR(VLOOKUP($A305,'2018'!$A:$BB,24,FALSE),"")</f>
        <v>Yes</v>
      </c>
      <c r="X305" s="1062" t="str">
        <f>IFERROR(VLOOKUP($A305,'2018'!$A:$BB,41,FALSE),"")</f>
        <v>Region 1</v>
      </c>
      <c r="Y305" s="1062" t="str">
        <f>IFERROR(VLOOKUP($A305,'2018'!$A:$BB,42,FALSE),"")</f>
        <v>(50-99)</v>
      </c>
      <c r="Z305" s="1062" t="str">
        <f>IFERROR(VLOOKUP($A305,'2018'!$A:$BB,45,FALSE),"")</f>
        <v>N/A</v>
      </c>
      <c r="AA305" s="731">
        <v>2018</v>
      </c>
      <c r="AB305" s="733" t="s">
        <v>3908</v>
      </c>
      <c r="AC305" s="734" t="s">
        <v>317</v>
      </c>
      <c r="AD305" s="734" t="s">
        <v>3648</v>
      </c>
      <c r="AE305" s="734" t="s">
        <v>315</v>
      </c>
      <c r="AF305" s="734" t="s">
        <v>85</v>
      </c>
      <c r="AG305" s="732" t="s">
        <v>3981</v>
      </c>
      <c r="AH305" s="732" t="s">
        <v>3977</v>
      </c>
      <c r="AI305" s="734">
        <v>16</v>
      </c>
      <c r="AJ305" s="748" t="s">
        <v>3985</v>
      </c>
      <c r="AK305" s="757">
        <v>909678</v>
      </c>
      <c r="AL305" s="756">
        <v>1633</v>
      </c>
      <c r="AM305" s="755">
        <v>909678</v>
      </c>
      <c r="AN305" s="756">
        <v>1634</v>
      </c>
      <c r="AO305" s="776">
        <f t="shared" si="76"/>
        <v>909678</v>
      </c>
      <c r="AP305" s="754">
        <f t="shared" si="73"/>
        <v>1635</v>
      </c>
      <c r="AQ305" s="771" t="s">
        <v>3979</v>
      </c>
      <c r="AR305" s="732" t="s">
        <v>2661</v>
      </c>
      <c r="AS305" s="735"/>
      <c r="AT305" s="735"/>
      <c r="AU305" s="732" t="s">
        <v>3980</v>
      </c>
      <c r="AV305" s="735"/>
      <c r="AW305" s="735"/>
    </row>
    <row r="306" spans="1:49">
      <c r="A306" s="738" t="s">
        <v>410</v>
      </c>
      <c r="B306" s="738" t="s">
        <v>4111</v>
      </c>
      <c r="C306" s="738" t="s">
        <v>4172</v>
      </c>
      <c r="D306" s="738" t="s">
        <v>410</v>
      </c>
      <c r="E306" s="738" t="s">
        <v>410</v>
      </c>
      <c r="F306" s="1059">
        <f>IFERROR(VLOOKUP($A306,'2018'!$A:$BB,3,FALSE),"")</f>
        <v>473251758</v>
      </c>
      <c r="G306" s="1055" t="str">
        <f>IFERROR(VLOOKUP($A306,'2018'!$A:$BB,4,FALSE),"")</f>
        <v>5770 Armada Drive
Carlsbad, CA 92008</v>
      </c>
      <c r="H306" s="1055" t="str">
        <f>IFERROR(VLOOKUP($A306,'2018'!$A:$BB,5,FALSE),"")</f>
        <v>Marcie Faraimo
760-246-5006
marcie.faraimo@seaspine.com</v>
      </c>
      <c r="I306" s="1055" t="str">
        <f>IFERROR(VLOOKUP($A306,'2018'!$A:$BB,6,FALSE),"")</f>
        <v>Danielle Peppard
760-216-5112
danielle.peppard@seaspine.com</v>
      </c>
      <c r="J306" s="1055" t="str">
        <f>IFERROR(VLOOKUP($A306,'2018'!$A:$BB,7,FALSE),"")</f>
        <v>HUB (San Diego)</v>
      </c>
      <c r="K306" s="1055" t="str">
        <f>IFERROR(VLOOKUP($A306,'2018'!$A:$BB,8,FALSE),"")</f>
        <v>Account Managed by HUB SD Team
Producer - Dave Duenas
Service Lead- Jessica Hurley
AM-Katherine Tomline</v>
      </c>
      <c r="L306" s="1062" t="str">
        <f>IFERROR(VLOOKUP($A306,'2018'!$A:$BB,9,FALSE),"")</f>
        <v>Renewal</v>
      </c>
      <c r="M306" s="1067">
        <f>IFERROR(VLOOKUP($A306,'2018'!$A:$BB,10,FALSE),"")</f>
        <v>42370</v>
      </c>
      <c r="N306" s="1062">
        <f>IFERROR(VLOOKUP($A306,'2018'!$A:$BB,12,FALSE),"")</f>
        <v>333</v>
      </c>
      <c r="O306" s="1055" t="str">
        <f>IFERROR(VLOOKUP($A306,'2018'!$A:$BB,13,FALSE),"")</f>
        <v xml:space="preserve">IGOE </v>
      </c>
      <c r="P306" s="1055" t="str">
        <f>IFERROR(VLOOKUP($A306,'2018'!$A:$BB,14,FALSE),"")</f>
        <v>Ultipro</v>
      </c>
      <c r="Q306" s="1055" t="str">
        <f>IFERROR(VLOOKUP($A306,'2018'!$A:$BB,16,FALSE),"")</f>
        <v>IGOE</v>
      </c>
      <c r="R306" s="1055" t="str">
        <f>IFERROR(VLOOKUP($A306,'2018'!$A:$BB,17,FALSE),"")</f>
        <v>Optum Health</v>
      </c>
      <c r="S306" s="1062" t="str">
        <f>IFERROR(VLOOKUP($A306,'2018'!$A:$BB,20,FALSE),"")</f>
        <v>SCAL</v>
      </c>
      <c r="T306" s="1062" t="str">
        <f>IFERROR(VLOOKUP($A306,'2018'!$A:$BB,21,FALSE),"")</f>
        <v>Group B (34-44)</v>
      </c>
      <c r="U306" s="1062" t="str">
        <f>IFERROR(VLOOKUP($A306,'2018'!$A:$BB,22,FALSE),"")</f>
        <v>Expanded</v>
      </c>
      <c r="V306" s="1062" t="str">
        <f>IFERROR(VLOOKUP($A306,'2018'!$A:$BB,23,FALSE),"")</f>
        <v>Access</v>
      </c>
      <c r="W306" s="1062" t="str">
        <f>IFERROR(VLOOKUP($A306,'2018'!$A:$BB,24,FALSE),"")</f>
        <v>Yes</v>
      </c>
      <c r="X306" s="1062" t="str">
        <f>IFERROR(VLOOKUP($A306,'2018'!$A:$BB,41,FALSE),"")</f>
        <v>Region 1</v>
      </c>
      <c r="Y306" s="1062" t="str">
        <f>IFERROR(VLOOKUP($A306,'2018'!$A:$BB,42,FALSE),"")</f>
        <v>(50-99)</v>
      </c>
      <c r="Z306" s="1062" t="str">
        <f>IFERROR(VLOOKUP($A306,'2018'!$A:$BB,45,FALSE),"")</f>
        <v>N/A</v>
      </c>
      <c r="AA306" s="730">
        <v>2018</v>
      </c>
      <c r="AB306" s="728" t="s">
        <v>3908</v>
      </c>
      <c r="AC306" s="727" t="s">
        <v>317</v>
      </c>
      <c r="AD306" s="727" t="s">
        <v>3648</v>
      </c>
      <c r="AE306" s="727" t="s">
        <v>315</v>
      </c>
      <c r="AF306" s="727" t="s">
        <v>85</v>
      </c>
      <c r="AG306" s="726" t="s">
        <v>3981</v>
      </c>
      <c r="AH306" s="726" t="s">
        <v>3973</v>
      </c>
      <c r="AI306" s="727">
        <v>18</v>
      </c>
      <c r="AJ306" s="747" t="s">
        <v>4067</v>
      </c>
      <c r="AK306" s="757">
        <v>909678</v>
      </c>
      <c r="AL306" s="754">
        <v>1705</v>
      </c>
      <c r="AM306" s="755">
        <v>909678</v>
      </c>
      <c r="AN306" s="754">
        <v>1706</v>
      </c>
      <c r="AO306" s="776">
        <f t="shared" si="76"/>
        <v>909678</v>
      </c>
      <c r="AP306" s="754">
        <f t="shared" si="73"/>
        <v>1707</v>
      </c>
      <c r="AQ306" s="770"/>
      <c r="AR306" s="726" t="s">
        <v>2661</v>
      </c>
      <c r="AS306" s="726" t="s">
        <v>4109</v>
      </c>
      <c r="AT306" s="726">
        <v>17051705</v>
      </c>
      <c r="AU306" s="726" t="s">
        <v>3966</v>
      </c>
      <c r="AV306" s="726" t="s">
        <v>4110</v>
      </c>
      <c r="AW306" s="726">
        <v>17061706</v>
      </c>
    </row>
    <row r="307" spans="1:49">
      <c r="A307" s="738" t="s">
        <v>410</v>
      </c>
      <c r="B307" s="736" t="s">
        <v>4111</v>
      </c>
      <c r="C307" s="738" t="s">
        <v>4172</v>
      </c>
      <c r="D307" s="738" t="s">
        <v>410</v>
      </c>
      <c r="E307" s="738" t="s">
        <v>410</v>
      </c>
      <c r="F307" s="1059">
        <f>IFERROR(VLOOKUP($A307,'2018'!$A:$BB,3,FALSE),"")</f>
        <v>473251758</v>
      </c>
      <c r="G307" s="1055" t="str">
        <f>IFERROR(VLOOKUP($A307,'2018'!$A:$BB,4,FALSE),"")</f>
        <v>5770 Armada Drive
Carlsbad, CA 92008</v>
      </c>
      <c r="H307" s="1055" t="str">
        <f>IFERROR(VLOOKUP($A307,'2018'!$A:$BB,5,FALSE),"")</f>
        <v>Marcie Faraimo
760-246-5006
marcie.faraimo@seaspine.com</v>
      </c>
      <c r="I307" s="1055" t="str">
        <f>IFERROR(VLOOKUP($A307,'2018'!$A:$BB,6,FALSE),"")</f>
        <v>Danielle Peppard
760-216-5112
danielle.peppard@seaspine.com</v>
      </c>
      <c r="J307" s="1055" t="str">
        <f>IFERROR(VLOOKUP($A307,'2018'!$A:$BB,7,FALSE),"")</f>
        <v>HUB (San Diego)</v>
      </c>
      <c r="K307" s="1055" t="str">
        <f>IFERROR(VLOOKUP($A307,'2018'!$A:$BB,8,FALSE),"")</f>
        <v>Account Managed by HUB SD Team
Producer - Dave Duenas
Service Lead- Jessica Hurley
AM-Katherine Tomline</v>
      </c>
      <c r="L307" s="1062" t="str">
        <f>IFERROR(VLOOKUP($A307,'2018'!$A:$BB,9,FALSE),"")</f>
        <v>Renewal</v>
      </c>
      <c r="M307" s="1067">
        <f>IFERROR(VLOOKUP($A307,'2018'!$A:$BB,10,FALSE),"")</f>
        <v>42370</v>
      </c>
      <c r="N307" s="1062">
        <f>IFERROR(VLOOKUP($A307,'2018'!$A:$BB,12,FALSE),"")</f>
        <v>333</v>
      </c>
      <c r="O307" s="1055" t="str">
        <f>IFERROR(VLOOKUP($A307,'2018'!$A:$BB,13,FALSE),"")</f>
        <v xml:space="preserve">IGOE </v>
      </c>
      <c r="P307" s="1055" t="str">
        <f>IFERROR(VLOOKUP($A307,'2018'!$A:$BB,14,FALSE),"")</f>
        <v>Ultipro</v>
      </c>
      <c r="Q307" s="1055" t="str">
        <f>IFERROR(VLOOKUP($A307,'2018'!$A:$BB,16,FALSE),"")</f>
        <v>IGOE</v>
      </c>
      <c r="R307" s="1055" t="str">
        <f>IFERROR(VLOOKUP($A307,'2018'!$A:$BB,17,FALSE),"")</f>
        <v>Optum Health</v>
      </c>
      <c r="S307" s="1062" t="str">
        <f>IFERROR(VLOOKUP($A307,'2018'!$A:$BB,20,FALSE),"")</f>
        <v>SCAL</v>
      </c>
      <c r="T307" s="1062" t="str">
        <f>IFERROR(VLOOKUP($A307,'2018'!$A:$BB,21,FALSE),"")</f>
        <v>Group B (34-44)</v>
      </c>
      <c r="U307" s="1062" t="str">
        <f>IFERROR(VLOOKUP($A307,'2018'!$A:$BB,22,FALSE),"")</f>
        <v>Expanded</v>
      </c>
      <c r="V307" s="1062" t="str">
        <f>IFERROR(VLOOKUP($A307,'2018'!$A:$BB,23,FALSE),"")</f>
        <v>Access</v>
      </c>
      <c r="W307" s="1062" t="str">
        <f>IFERROR(VLOOKUP($A307,'2018'!$A:$BB,24,FALSE),"")</f>
        <v>Yes</v>
      </c>
      <c r="X307" s="1062" t="str">
        <f>IFERROR(VLOOKUP($A307,'2018'!$A:$BB,41,FALSE),"")</f>
        <v>Region 1</v>
      </c>
      <c r="Y307" s="1062" t="str">
        <f>IFERROR(VLOOKUP($A307,'2018'!$A:$BB,42,FALSE),"")</f>
        <v>(50-99)</v>
      </c>
      <c r="Z307" s="1062" t="str">
        <f>IFERROR(VLOOKUP($A307,'2018'!$A:$BB,45,FALSE),"")</f>
        <v>N/A</v>
      </c>
      <c r="AA307" s="731">
        <v>2018</v>
      </c>
      <c r="AB307" s="733" t="s">
        <v>3908</v>
      </c>
      <c r="AC307" s="734" t="s">
        <v>317</v>
      </c>
      <c r="AD307" s="734" t="s">
        <v>3648</v>
      </c>
      <c r="AE307" s="734" t="s">
        <v>315</v>
      </c>
      <c r="AF307" s="734" t="s">
        <v>85</v>
      </c>
      <c r="AG307" s="732" t="s">
        <v>3981</v>
      </c>
      <c r="AH307" s="732" t="s">
        <v>3977</v>
      </c>
      <c r="AI307" s="734">
        <v>19</v>
      </c>
      <c r="AJ307" s="748" t="s">
        <v>4069</v>
      </c>
      <c r="AK307" s="757">
        <v>909678</v>
      </c>
      <c r="AL307" s="756">
        <v>1741</v>
      </c>
      <c r="AM307" s="755">
        <v>909678</v>
      </c>
      <c r="AN307" s="756">
        <v>1742</v>
      </c>
      <c r="AO307" s="776">
        <f t="shared" si="76"/>
        <v>909678</v>
      </c>
      <c r="AP307" s="754">
        <f t="shared" si="73"/>
        <v>1743</v>
      </c>
      <c r="AQ307" s="771" t="s">
        <v>3979</v>
      </c>
      <c r="AR307" s="732" t="s">
        <v>2661</v>
      </c>
      <c r="AS307" s="735"/>
      <c r="AT307" s="735"/>
      <c r="AU307" s="732" t="s">
        <v>3980</v>
      </c>
      <c r="AV307" s="735"/>
      <c r="AW307" s="735"/>
    </row>
    <row r="308" spans="1:49">
      <c r="A308" s="738"/>
      <c r="B308" s="738"/>
      <c r="C308" s="738"/>
      <c r="D308" s="738"/>
      <c r="E308" s="738"/>
      <c r="F308" s="1059" t="str">
        <f>IFERROR(VLOOKUP($A308,'2018'!$A:$BB,3,FALSE),"")</f>
        <v/>
      </c>
      <c r="G308" s="1055" t="str">
        <f>IFERROR(VLOOKUP($A308,'2018'!$A:$BB,4,FALSE),"")</f>
        <v/>
      </c>
      <c r="H308" s="1055" t="str">
        <f>IFERROR(VLOOKUP($A308,'2018'!$A:$BB,5,FALSE),"")</f>
        <v/>
      </c>
      <c r="I308" s="1055" t="str">
        <f>IFERROR(VLOOKUP($A308,'2018'!$A:$BB,6,FALSE),"")</f>
        <v/>
      </c>
      <c r="J308" s="1055" t="str">
        <f>IFERROR(VLOOKUP($A308,'2018'!$A:$BB,7,FALSE),"")</f>
        <v/>
      </c>
      <c r="K308" s="1055" t="str">
        <f>IFERROR(VLOOKUP($A308,'2018'!$A:$BB,8,FALSE),"")</f>
        <v/>
      </c>
      <c r="L308" s="1062" t="str">
        <f>IFERROR(VLOOKUP($A308,'2018'!$A:$BB,9,FALSE),"")</f>
        <v/>
      </c>
      <c r="M308" s="1067" t="str">
        <f>IFERROR(VLOOKUP($A308,'2018'!$A:$BB,10,FALSE),"")</f>
        <v/>
      </c>
      <c r="N308" s="1062" t="str">
        <f>IFERROR(VLOOKUP($A308,'2018'!$A:$BB,12,FALSE),"")</f>
        <v/>
      </c>
      <c r="O308" s="1055" t="str">
        <f>IFERROR(VLOOKUP($A308,'2018'!$A:$BB,13,FALSE),"")</f>
        <v/>
      </c>
      <c r="P308" s="1055" t="str">
        <f>IFERROR(VLOOKUP($A308,'2018'!$A:$BB,14,FALSE),"")</f>
        <v/>
      </c>
      <c r="Q308" s="1055" t="str">
        <f>IFERROR(VLOOKUP($A308,'2018'!$A:$BB,16,FALSE),"")</f>
        <v/>
      </c>
      <c r="R308" s="1055" t="str">
        <f>IFERROR(VLOOKUP($A308,'2018'!$A:$BB,17,FALSE),"")</f>
        <v/>
      </c>
      <c r="S308" s="1062" t="str">
        <f>IFERROR(VLOOKUP($A308,'2018'!$A:$BB,20,FALSE),"")</f>
        <v/>
      </c>
      <c r="T308" s="1062" t="str">
        <f>IFERROR(VLOOKUP($A308,'2018'!$A:$BB,21,FALSE),"")</f>
        <v/>
      </c>
      <c r="U308" s="1062" t="str">
        <f>IFERROR(VLOOKUP($A308,'2018'!$A:$BB,22,FALSE),"")</f>
        <v/>
      </c>
      <c r="V308" s="1062" t="str">
        <f>IFERROR(VLOOKUP($A308,'2018'!$A:$BB,23,FALSE),"")</f>
        <v/>
      </c>
      <c r="W308" s="1062" t="str">
        <f>IFERROR(VLOOKUP($A308,'2018'!$A:$BB,24,FALSE),"")</f>
        <v/>
      </c>
      <c r="X308" s="1062" t="str">
        <f>IFERROR(VLOOKUP($A308,'2018'!$A:$BB,41,FALSE),"")</f>
        <v/>
      </c>
      <c r="Y308" s="1062" t="str">
        <f>IFERROR(VLOOKUP($A308,'2018'!$A:$BB,42,FALSE),"")</f>
        <v/>
      </c>
      <c r="Z308" s="1062" t="str">
        <f>IFERROR(VLOOKUP($A308,'2018'!$A:$BB,45,FALSE),"")</f>
        <v/>
      </c>
      <c r="AA308" s="727"/>
      <c r="AB308" s="728"/>
      <c r="AC308" s="727"/>
      <c r="AD308" s="727"/>
      <c r="AE308" s="727"/>
      <c r="AF308" s="727"/>
      <c r="AG308" s="726"/>
      <c r="AH308" s="726"/>
      <c r="AI308" s="727"/>
      <c r="AJ308" s="747"/>
      <c r="AK308" s="753"/>
      <c r="AL308" s="754"/>
      <c r="AM308" s="753"/>
      <c r="AN308" s="754"/>
      <c r="AO308" s="776"/>
      <c r="AP308" s="754"/>
      <c r="AQ308" s="770"/>
      <c r="AR308" s="726"/>
      <c r="AS308" s="726"/>
      <c r="AT308" s="726"/>
      <c r="AU308" s="726"/>
      <c r="AV308" s="726"/>
      <c r="AW308" s="726"/>
    </row>
    <row r="309" spans="1:49">
      <c r="A309" s="738" t="s">
        <v>410</v>
      </c>
      <c r="B309" s="738" t="s">
        <v>4112</v>
      </c>
      <c r="C309" s="738" t="s">
        <v>4172</v>
      </c>
      <c r="D309" s="738" t="s">
        <v>410</v>
      </c>
      <c r="E309" s="738" t="s">
        <v>410</v>
      </c>
      <c r="F309" s="1059">
        <f>IFERROR(VLOOKUP($A309,'2018'!$A:$BB,3,FALSE),"")</f>
        <v>473251758</v>
      </c>
      <c r="G309" s="1055" t="str">
        <f>IFERROR(VLOOKUP($A309,'2018'!$A:$BB,4,FALSE),"")</f>
        <v>5770 Armada Drive
Carlsbad, CA 92008</v>
      </c>
      <c r="H309" s="1055" t="str">
        <f>IFERROR(VLOOKUP($A309,'2018'!$A:$BB,5,FALSE),"")</f>
        <v>Marcie Faraimo
760-246-5006
marcie.faraimo@seaspine.com</v>
      </c>
      <c r="I309" s="1055" t="str">
        <f>IFERROR(VLOOKUP($A309,'2018'!$A:$BB,6,FALSE),"")</f>
        <v>Danielle Peppard
760-216-5112
danielle.peppard@seaspine.com</v>
      </c>
      <c r="J309" s="1055" t="str">
        <f>IFERROR(VLOOKUP($A309,'2018'!$A:$BB,7,FALSE),"")</f>
        <v>HUB (San Diego)</v>
      </c>
      <c r="K309" s="1055" t="str">
        <f>IFERROR(VLOOKUP($A309,'2018'!$A:$BB,8,FALSE),"")</f>
        <v>Account Managed by HUB SD Team
Producer - Dave Duenas
Service Lead- Jessica Hurley
AM-Katherine Tomline</v>
      </c>
      <c r="L309" s="1062" t="str">
        <f>IFERROR(VLOOKUP($A309,'2018'!$A:$BB,9,FALSE),"")</f>
        <v>Renewal</v>
      </c>
      <c r="M309" s="1067">
        <f>IFERROR(VLOOKUP($A309,'2018'!$A:$BB,10,FALSE),"")</f>
        <v>42370</v>
      </c>
      <c r="N309" s="1062">
        <f>IFERROR(VLOOKUP($A309,'2018'!$A:$BB,12,FALSE),"")</f>
        <v>333</v>
      </c>
      <c r="O309" s="1055" t="str">
        <f>IFERROR(VLOOKUP($A309,'2018'!$A:$BB,13,FALSE),"")</f>
        <v xml:space="preserve">IGOE </v>
      </c>
      <c r="P309" s="1055" t="str">
        <f>IFERROR(VLOOKUP($A309,'2018'!$A:$BB,14,FALSE),"")</f>
        <v>Ultipro</v>
      </c>
      <c r="Q309" s="1055" t="str">
        <f>IFERROR(VLOOKUP($A309,'2018'!$A:$BB,16,FALSE),"")</f>
        <v>IGOE</v>
      </c>
      <c r="R309" s="1055" t="str">
        <f>IFERROR(VLOOKUP($A309,'2018'!$A:$BB,17,FALSE),"")</f>
        <v>Optum Health</v>
      </c>
      <c r="S309" s="1062" t="str">
        <f>IFERROR(VLOOKUP($A309,'2018'!$A:$BB,20,FALSE),"")</f>
        <v>SCAL</v>
      </c>
      <c r="T309" s="1062" t="str">
        <f>IFERROR(VLOOKUP($A309,'2018'!$A:$BB,21,FALSE),"")</f>
        <v>Group B (34-44)</v>
      </c>
      <c r="U309" s="1062" t="str">
        <f>IFERROR(VLOOKUP($A309,'2018'!$A:$BB,22,FALSE),"")</f>
        <v>Expanded</v>
      </c>
      <c r="V309" s="1062" t="str">
        <f>IFERROR(VLOOKUP($A309,'2018'!$A:$BB,23,FALSE),"")</f>
        <v>Access</v>
      </c>
      <c r="W309" s="1062" t="str">
        <f>IFERROR(VLOOKUP($A309,'2018'!$A:$BB,24,FALSE),"")</f>
        <v>Yes</v>
      </c>
      <c r="X309" s="1062" t="str">
        <f>IFERROR(VLOOKUP($A309,'2018'!$A:$BB,41,FALSE),"")</f>
        <v>Region 1</v>
      </c>
      <c r="Y309" s="1062" t="str">
        <f>IFERROR(VLOOKUP($A309,'2018'!$A:$BB,42,FALSE),"")</f>
        <v>(50-99)</v>
      </c>
      <c r="Z309" s="1062" t="str">
        <f>IFERROR(VLOOKUP($A309,'2018'!$A:$BB,45,FALSE),"")</f>
        <v>N/A</v>
      </c>
      <c r="AA309" s="730">
        <v>2018</v>
      </c>
      <c r="AB309" s="728" t="s">
        <v>3908</v>
      </c>
      <c r="AC309" s="727" t="s">
        <v>317</v>
      </c>
      <c r="AD309" s="727" t="s">
        <v>3648</v>
      </c>
      <c r="AE309" s="727" t="s">
        <v>315</v>
      </c>
      <c r="AF309" s="727" t="s">
        <v>85</v>
      </c>
      <c r="AG309" s="726" t="s">
        <v>3962</v>
      </c>
      <c r="AH309" s="726" t="s">
        <v>3963</v>
      </c>
      <c r="AI309" s="727">
        <v>2</v>
      </c>
      <c r="AJ309" s="747" t="s">
        <v>3964</v>
      </c>
      <c r="AK309" s="753">
        <v>260089</v>
      </c>
      <c r="AL309" s="754">
        <v>190</v>
      </c>
      <c r="AM309" s="753">
        <v>260090</v>
      </c>
      <c r="AN309" s="754">
        <v>191</v>
      </c>
      <c r="AO309" s="776">
        <f t="shared" si="72"/>
        <v>260091</v>
      </c>
      <c r="AP309" s="754">
        <f t="shared" si="73"/>
        <v>192</v>
      </c>
      <c r="AQ309" s="770"/>
      <c r="AR309" s="726" t="s">
        <v>2661</v>
      </c>
      <c r="AS309" s="726" t="s">
        <v>4104</v>
      </c>
      <c r="AT309" s="726">
        <v>1900190</v>
      </c>
      <c r="AU309" s="726" t="s">
        <v>3966</v>
      </c>
      <c r="AV309" s="726" t="s">
        <v>4105</v>
      </c>
      <c r="AW309" s="726">
        <v>1910191</v>
      </c>
    </row>
    <row r="310" spans="1:49">
      <c r="A310" s="738" t="s">
        <v>410</v>
      </c>
      <c r="B310" s="738" t="s">
        <v>4112</v>
      </c>
      <c r="C310" s="738" t="s">
        <v>4172</v>
      </c>
      <c r="D310" s="738" t="s">
        <v>410</v>
      </c>
      <c r="E310" s="738" t="s">
        <v>410</v>
      </c>
      <c r="F310" s="1059">
        <f>IFERROR(VLOOKUP($A310,'2018'!$A:$BB,3,FALSE),"")</f>
        <v>473251758</v>
      </c>
      <c r="G310" s="1055" t="str">
        <f>IFERROR(VLOOKUP($A310,'2018'!$A:$BB,4,FALSE),"")</f>
        <v>5770 Armada Drive
Carlsbad, CA 92008</v>
      </c>
      <c r="H310" s="1055" t="str">
        <f>IFERROR(VLOOKUP($A310,'2018'!$A:$BB,5,FALSE),"")</f>
        <v>Marcie Faraimo
760-246-5006
marcie.faraimo@seaspine.com</v>
      </c>
      <c r="I310" s="1055" t="str">
        <f>IFERROR(VLOOKUP($A310,'2018'!$A:$BB,6,FALSE),"")</f>
        <v>Danielle Peppard
760-216-5112
danielle.peppard@seaspine.com</v>
      </c>
      <c r="J310" s="1055" t="str">
        <f>IFERROR(VLOOKUP($A310,'2018'!$A:$BB,7,FALSE),"")</f>
        <v>HUB (San Diego)</v>
      </c>
      <c r="K310" s="1055" t="str">
        <f>IFERROR(VLOOKUP($A310,'2018'!$A:$BB,8,FALSE),"")</f>
        <v>Account Managed by HUB SD Team
Producer - Dave Duenas
Service Lead- Jessica Hurley
AM-Katherine Tomline</v>
      </c>
      <c r="L310" s="1062" t="str">
        <f>IFERROR(VLOOKUP($A310,'2018'!$A:$BB,9,FALSE),"")</f>
        <v>Renewal</v>
      </c>
      <c r="M310" s="1067">
        <f>IFERROR(VLOOKUP($A310,'2018'!$A:$BB,10,FALSE),"")</f>
        <v>42370</v>
      </c>
      <c r="N310" s="1062">
        <f>IFERROR(VLOOKUP($A310,'2018'!$A:$BB,12,FALSE),"")</f>
        <v>333</v>
      </c>
      <c r="O310" s="1055" t="str">
        <f>IFERROR(VLOOKUP($A310,'2018'!$A:$BB,13,FALSE),"")</f>
        <v xml:space="preserve">IGOE </v>
      </c>
      <c r="P310" s="1055" t="str">
        <f>IFERROR(VLOOKUP($A310,'2018'!$A:$BB,14,FALSE),"")</f>
        <v>Ultipro</v>
      </c>
      <c r="Q310" s="1055" t="str">
        <f>IFERROR(VLOOKUP($A310,'2018'!$A:$BB,16,FALSE),"")</f>
        <v>IGOE</v>
      </c>
      <c r="R310" s="1055" t="str">
        <f>IFERROR(VLOOKUP($A310,'2018'!$A:$BB,17,FALSE),"")</f>
        <v>Optum Health</v>
      </c>
      <c r="S310" s="1062" t="str">
        <f>IFERROR(VLOOKUP($A310,'2018'!$A:$BB,20,FALSE),"")</f>
        <v>SCAL</v>
      </c>
      <c r="T310" s="1062" t="str">
        <f>IFERROR(VLOOKUP($A310,'2018'!$A:$BB,21,FALSE),"")</f>
        <v>Group B (34-44)</v>
      </c>
      <c r="U310" s="1062" t="str">
        <f>IFERROR(VLOOKUP($A310,'2018'!$A:$BB,22,FALSE),"")</f>
        <v>Expanded</v>
      </c>
      <c r="V310" s="1062" t="str">
        <f>IFERROR(VLOOKUP($A310,'2018'!$A:$BB,23,FALSE),"")</f>
        <v>Access</v>
      </c>
      <c r="W310" s="1062" t="str">
        <f>IFERROR(VLOOKUP($A310,'2018'!$A:$BB,24,FALSE),"")</f>
        <v>Yes</v>
      </c>
      <c r="X310" s="1062" t="str">
        <f>IFERROR(VLOOKUP($A310,'2018'!$A:$BB,41,FALSE),"")</f>
        <v>Region 1</v>
      </c>
      <c r="Y310" s="1062" t="str">
        <f>IFERROR(VLOOKUP($A310,'2018'!$A:$BB,42,FALSE),"")</f>
        <v>(50-99)</v>
      </c>
      <c r="Z310" s="1062" t="str">
        <f>IFERROR(VLOOKUP($A310,'2018'!$A:$BB,45,FALSE),"")</f>
        <v>N/A</v>
      </c>
      <c r="AA310" s="730">
        <v>2018</v>
      </c>
      <c r="AB310" s="728" t="s">
        <v>3908</v>
      </c>
      <c r="AC310" s="727" t="s">
        <v>317</v>
      </c>
      <c r="AD310" s="727" t="s">
        <v>3648</v>
      </c>
      <c r="AE310" s="727" t="s">
        <v>315</v>
      </c>
      <c r="AF310" s="727" t="s">
        <v>85</v>
      </c>
      <c r="AG310" s="726" t="s">
        <v>3962</v>
      </c>
      <c r="AH310" s="726" t="s">
        <v>3968</v>
      </c>
      <c r="AI310" s="727">
        <v>5</v>
      </c>
      <c r="AJ310" s="747" t="s">
        <v>3969</v>
      </c>
      <c r="AK310" s="753">
        <v>260161</v>
      </c>
      <c r="AL310" s="754">
        <v>262</v>
      </c>
      <c r="AM310" s="753">
        <v>260162</v>
      </c>
      <c r="AN310" s="754">
        <v>263</v>
      </c>
      <c r="AO310" s="776">
        <f t="shared" si="72"/>
        <v>260163</v>
      </c>
      <c r="AP310" s="754">
        <f t="shared" si="73"/>
        <v>264</v>
      </c>
      <c r="AQ310" s="770"/>
      <c r="AR310" s="726" t="s">
        <v>2661</v>
      </c>
      <c r="AS310" s="726" t="s">
        <v>4106</v>
      </c>
      <c r="AT310" s="726">
        <v>2620262</v>
      </c>
      <c r="AU310" s="726" t="s">
        <v>3966</v>
      </c>
      <c r="AV310" s="726" t="s">
        <v>3989</v>
      </c>
      <c r="AW310" s="726">
        <v>2630263</v>
      </c>
    </row>
    <row r="311" spans="1:49">
      <c r="A311" s="738" t="s">
        <v>410</v>
      </c>
      <c r="B311" s="738" t="s">
        <v>4112</v>
      </c>
      <c r="C311" s="738" t="s">
        <v>4172</v>
      </c>
      <c r="D311" s="738" t="s">
        <v>410</v>
      </c>
      <c r="E311" s="738" t="s">
        <v>410</v>
      </c>
      <c r="F311" s="1059">
        <f>IFERROR(VLOOKUP($A311,'2018'!$A:$BB,3,FALSE),"")</f>
        <v>473251758</v>
      </c>
      <c r="G311" s="1055" t="str">
        <f>IFERROR(VLOOKUP($A311,'2018'!$A:$BB,4,FALSE),"")</f>
        <v>5770 Armada Drive
Carlsbad, CA 92008</v>
      </c>
      <c r="H311" s="1055" t="str">
        <f>IFERROR(VLOOKUP($A311,'2018'!$A:$BB,5,FALSE),"")</f>
        <v>Marcie Faraimo
760-246-5006
marcie.faraimo@seaspine.com</v>
      </c>
      <c r="I311" s="1055" t="str">
        <f>IFERROR(VLOOKUP($A311,'2018'!$A:$BB,6,FALSE),"")</f>
        <v>Danielle Peppard
760-216-5112
danielle.peppard@seaspine.com</v>
      </c>
      <c r="J311" s="1055" t="str">
        <f>IFERROR(VLOOKUP($A311,'2018'!$A:$BB,7,FALSE),"")</f>
        <v>HUB (San Diego)</v>
      </c>
      <c r="K311" s="1055" t="str">
        <f>IFERROR(VLOOKUP($A311,'2018'!$A:$BB,8,FALSE),"")</f>
        <v>Account Managed by HUB SD Team
Producer - Dave Duenas
Service Lead- Jessica Hurley
AM-Katherine Tomline</v>
      </c>
      <c r="L311" s="1062" t="str">
        <f>IFERROR(VLOOKUP($A311,'2018'!$A:$BB,9,FALSE),"")</f>
        <v>Renewal</v>
      </c>
      <c r="M311" s="1067">
        <f>IFERROR(VLOOKUP($A311,'2018'!$A:$BB,10,FALSE),"")</f>
        <v>42370</v>
      </c>
      <c r="N311" s="1062">
        <f>IFERROR(VLOOKUP($A311,'2018'!$A:$BB,12,FALSE),"")</f>
        <v>333</v>
      </c>
      <c r="O311" s="1055" t="str">
        <f>IFERROR(VLOOKUP($A311,'2018'!$A:$BB,13,FALSE),"")</f>
        <v xml:space="preserve">IGOE </v>
      </c>
      <c r="P311" s="1055" t="str">
        <f>IFERROR(VLOOKUP($A311,'2018'!$A:$BB,14,FALSE),"")</f>
        <v>Ultipro</v>
      </c>
      <c r="Q311" s="1055" t="str">
        <f>IFERROR(VLOOKUP($A311,'2018'!$A:$BB,16,FALSE),"")</f>
        <v>IGOE</v>
      </c>
      <c r="R311" s="1055" t="str">
        <f>IFERROR(VLOOKUP($A311,'2018'!$A:$BB,17,FALSE),"")</f>
        <v>Optum Health</v>
      </c>
      <c r="S311" s="1062" t="str">
        <f>IFERROR(VLOOKUP($A311,'2018'!$A:$BB,20,FALSE),"")</f>
        <v>SCAL</v>
      </c>
      <c r="T311" s="1062" t="str">
        <f>IFERROR(VLOOKUP($A311,'2018'!$A:$BB,21,FALSE),"")</f>
        <v>Group B (34-44)</v>
      </c>
      <c r="U311" s="1062" t="str">
        <f>IFERROR(VLOOKUP($A311,'2018'!$A:$BB,22,FALSE),"")</f>
        <v>Expanded</v>
      </c>
      <c r="V311" s="1062" t="str">
        <f>IFERROR(VLOOKUP($A311,'2018'!$A:$BB,23,FALSE),"")</f>
        <v>Access</v>
      </c>
      <c r="W311" s="1062" t="str">
        <f>IFERROR(VLOOKUP($A311,'2018'!$A:$BB,24,FALSE),"")</f>
        <v>Yes</v>
      </c>
      <c r="X311" s="1062" t="str">
        <f>IFERROR(VLOOKUP($A311,'2018'!$A:$BB,41,FALSE),"")</f>
        <v>Region 1</v>
      </c>
      <c r="Y311" s="1062" t="str">
        <f>IFERROR(VLOOKUP($A311,'2018'!$A:$BB,42,FALSE),"")</f>
        <v>(50-99)</v>
      </c>
      <c r="Z311" s="1062" t="str">
        <f>IFERROR(VLOOKUP($A311,'2018'!$A:$BB,45,FALSE),"")</f>
        <v>N/A</v>
      </c>
      <c r="AA311" s="730">
        <v>2018</v>
      </c>
      <c r="AB311" s="728" t="s">
        <v>3908</v>
      </c>
      <c r="AC311" s="727" t="s">
        <v>317</v>
      </c>
      <c r="AD311" s="727" t="s">
        <v>3648</v>
      </c>
      <c r="AE311" s="727" t="s">
        <v>315</v>
      </c>
      <c r="AF311" s="727" t="s">
        <v>85</v>
      </c>
      <c r="AG311" s="726" t="s">
        <v>3981</v>
      </c>
      <c r="AH311" s="726" t="s">
        <v>3973</v>
      </c>
      <c r="AI311" s="727">
        <v>11</v>
      </c>
      <c r="AJ311" s="747" t="s">
        <v>3982</v>
      </c>
      <c r="AK311" s="757">
        <v>909678</v>
      </c>
      <c r="AL311" s="754">
        <v>1561</v>
      </c>
      <c r="AM311" s="755">
        <v>909678</v>
      </c>
      <c r="AN311" s="754">
        <v>1562</v>
      </c>
      <c r="AO311" s="776">
        <f t="shared" ref="AO311:AO314" si="77">AM311</f>
        <v>909678</v>
      </c>
      <c r="AP311" s="754">
        <f t="shared" si="73"/>
        <v>1563</v>
      </c>
      <c r="AQ311" s="770"/>
      <c r="AR311" s="726" t="s">
        <v>2661</v>
      </c>
      <c r="AS311" s="726" t="s">
        <v>4107</v>
      </c>
      <c r="AT311" s="726">
        <v>15611561</v>
      </c>
      <c r="AU311" s="726" t="s">
        <v>3966</v>
      </c>
      <c r="AV311" s="726" t="s">
        <v>4108</v>
      </c>
      <c r="AW311" s="726">
        <v>15621562</v>
      </c>
    </row>
    <row r="312" spans="1:49">
      <c r="A312" s="738" t="s">
        <v>410</v>
      </c>
      <c r="B312" s="736" t="s">
        <v>4112</v>
      </c>
      <c r="C312" s="738" t="s">
        <v>4172</v>
      </c>
      <c r="D312" s="738" t="s">
        <v>410</v>
      </c>
      <c r="E312" s="738" t="s">
        <v>410</v>
      </c>
      <c r="F312" s="1059">
        <f>IFERROR(VLOOKUP($A312,'2018'!$A:$BB,3,FALSE),"")</f>
        <v>473251758</v>
      </c>
      <c r="G312" s="1055" t="str">
        <f>IFERROR(VLOOKUP($A312,'2018'!$A:$BB,4,FALSE),"")</f>
        <v>5770 Armada Drive
Carlsbad, CA 92008</v>
      </c>
      <c r="H312" s="1055" t="str">
        <f>IFERROR(VLOOKUP($A312,'2018'!$A:$BB,5,FALSE),"")</f>
        <v>Marcie Faraimo
760-246-5006
marcie.faraimo@seaspine.com</v>
      </c>
      <c r="I312" s="1055" t="str">
        <f>IFERROR(VLOOKUP($A312,'2018'!$A:$BB,6,FALSE),"")</f>
        <v>Danielle Peppard
760-216-5112
danielle.peppard@seaspine.com</v>
      </c>
      <c r="J312" s="1055" t="str">
        <f>IFERROR(VLOOKUP($A312,'2018'!$A:$BB,7,FALSE),"")</f>
        <v>HUB (San Diego)</v>
      </c>
      <c r="K312" s="1055" t="str">
        <f>IFERROR(VLOOKUP($A312,'2018'!$A:$BB,8,FALSE),"")</f>
        <v>Account Managed by HUB SD Team
Producer - Dave Duenas
Service Lead- Jessica Hurley
AM-Katherine Tomline</v>
      </c>
      <c r="L312" s="1062" t="str">
        <f>IFERROR(VLOOKUP($A312,'2018'!$A:$BB,9,FALSE),"")</f>
        <v>Renewal</v>
      </c>
      <c r="M312" s="1067">
        <f>IFERROR(VLOOKUP($A312,'2018'!$A:$BB,10,FALSE),"")</f>
        <v>42370</v>
      </c>
      <c r="N312" s="1062">
        <f>IFERROR(VLOOKUP($A312,'2018'!$A:$BB,12,FALSE),"")</f>
        <v>333</v>
      </c>
      <c r="O312" s="1055" t="str">
        <f>IFERROR(VLOOKUP($A312,'2018'!$A:$BB,13,FALSE),"")</f>
        <v xml:space="preserve">IGOE </v>
      </c>
      <c r="P312" s="1055" t="str">
        <f>IFERROR(VLOOKUP($A312,'2018'!$A:$BB,14,FALSE),"")</f>
        <v>Ultipro</v>
      </c>
      <c r="Q312" s="1055" t="str">
        <f>IFERROR(VLOOKUP($A312,'2018'!$A:$BB,16,FALSE),"")</f>
        <v>IGOE</v>
      </c>
      <c r="R312" s="1055" t="str">
        <f>IFERROR(VLOOKUP($A312,'2018'!$A:$BB,17,FALSE),"")</f>
        <v>Optum Health</v>
      </c>
      <c r="S312" s="1062" t="str">
        <f>IFERROR(VLOOKUP($A312,'2018'!$A:$BB,20,FALSE),"")</f>
        <v>SCAL</v>
      </c>
      <c r="T312" s="1062" t="str">
        <f>IFERROR(VLOOKUP($A312,'2018'!$A:$BB,21,FALSE),"")</f>
        <v>Group B (34-44)</v>
      </c>
      <c r="U312" s="1062" t="str">
        <f>IFERROR(VLOOKUP($A312,'2018'!$A:$BB,22,FALSE),"")</f>
        <v>Expanded</v>
      </c>
      <c r="V312" s="1062" t="str">
        <f>IFERROR(VLOOKUP($A312,'2018'!$A:$BB,23,FALSE),"")</f>
        <v>Access</v>
      </c>
      <c r="W312" s="1062" t="str">
        <f>IFERROR(VLOOKUP($A312,'2018'!$A:$BB,24,FALSE),"")</f>
        <v>Yes</v>
      </c>
      <c r="X312" s="1062" t="str">
        <f>IFERROR(VLOOKUP($A312,'2018'!$A:$BB,41,FALSE),"")</f>
        <v>Region 1</v>
      </c>
      <c r="Y312" s="1062" t="str">
        <f>IFERROR(VLOOKUP($A312,'2018'!$A:$BB,42,FALSE),"")</f>
        <v>(50-99)</v>
      </c>
      <c r="Z312" s="1062" t="str">
        <f>IFERROR(VLOOKUP($A312,'2018'!$A:$BB,45,FALSE),"")</f>
        <v>N/A</v>
      </c>
      <c r="AA312" s="731">
        <v>2018</v>
      </c>
      <c r="AB312" s="733" t="s">
        <v>3908</v>
      </c>
      <c r="AC312" s="734" t="s">
        <v>317</v>
      </c>
      <c r="AD312" s="734" t="s">
        <v>3648</v>
      </c>
      <c r="AE312" s="734" t="s">
        <v>315</v>
      </c>
      <c r="AF312" s="734" t="s">
        <v>85</v>
      </c>
      <c r="AG312" s="732" t="s">
        <v>3981</v>
      </c>
      <c r="AH312" s="732" t="s">
        <v>3977</v>
      </c>
      <c r="AI312" s="734">
        <v>16</v>
      </c>
      <c r="AJ312" s="748" t="s">
        <v>3985</v>
      </c>
      <c r="AK312" s="757">
        <v>909678</v>
      </c>
      <c r="AL312" s="756">
        <v>1633</v>
      </c>
      <c r="AM312" s="755">
        <v>909678</v>
      </c>
      <c r="AN312" s="756">
        <v>1634</v>
      </c>
      <c r="AO312" s="776">
        <f t="shared" si="77"/>
        <v>909678</v>
      </c>
      <c r="AP312" s="754">
        <f t="shared" si="73"/>
        <v>1635</v>
      </c>
      <c r="AQ312" s="771" t="s">
        <v>3979</v>
      </c>
      <c r="AR312" s="732" t="s">
        <v>2661</v>
      </c>
      <c r="AS312" s="735"/>
      <c r="AT312" s="735"/>
      <c r="AU312" s="732" t="s">
        <v>3980</v>
      </c>
      <c r="AV312" s="735"/>
      <c r="AW312" s="735"/>
    </row>
    <row r="313" spans="1:49">
      <c r="A313" s="738" t="s">
        <v>410</v>
      </c>
      <c r="B313" s="738" t="s">
        <v>4112</v>
      </c>
      <c r="C313" s="738" t="s">
        <v>4172</v>
      </c>
      <c r="D313" s="738" t="s">
        <v>410</v>
      </c>
      <c r="E313" s="738" t="s">
        <v>410</v>
      </c>
      <c r="F313" s="1059">
        <f>IFERROR(VLOOKUP($A313,'2018'!$A:$BB,3,FALSE),"")</f>
        <v>473251758</v>
      </c>
      <c r="G313" s="1055" t="str">
        <f>IFERROR(VLOOKUP($A313,'2018'!$A:$BB,4,FALSE),"")</f>
        <v>5770 Armada Drive
Carlsbad, CA 92008</v>
      </c>
      <c r="H313" s="1055" t="str">
        <f>IFERROR(VLOOKUP($A313,'2018'!$A:$BB,5,FALSE),"")</f>
        <v>Marcie Faraimo
760-246-5006
marcie.faraimo@seaspine.com</v>
      </c>
      <c r="I313" s="1055" t="str">
        <f>IFERROR(VLOOKUP($A313,'2018'!$A:$BB,6,FALSE),"")</f>
        <v>Danielle Peppard
760-216-5112
danielle.peppard@seaspine.com</v>
      </c>
      <c r="J313" s="1055" t="str">
        <f>IFERROR(VLOOKUP($A313,'2018'!$A:$BB,7,FALSE),"")</f>
        <v>HUB (San Diego)</v>
      </c>
      <c r="K313" s="1055" t="str">
        <f>IFERROR(VLOOKUP($A313,'2018'!$A:$BB,8,FALSE),"")</f>
        <v>Account Managed by HUB SD Team
Producer - Dave Duenas
Service Lead- Jessica Hurley
AM-Katherine Tomline</v>
      </c>
      <c r="L313" s="1062" t="str">
        <f>IFERROR(VLOOKUP($A313,'2018'!$A:$BB,9,FALSE),"")</f>
        <v>Renewal</v>
      </c>
      <c r="M313" s="1067">
        <f>IFERROR(VLOOKUP($A313,'2018'!$A:$BB,10,FALSE),"")</f>
        <v>42370</v>
      </c>
      <c r="N313" s="1062">
        <f>IFERROR(VLOOKUP($A313,'2018'!$A:$BB,12,FALSE),"")</f>
        <v>333</v>
      </c>
      <c r="O313" s="1055" t="str">
        <f>IFERROR(VLOOKUP($A313,'2018'!$A:$BB,13,FALSE),"")</f>
        <v xml:space="preserve">IGOE </v>
      </c>
      <c r="P313" s="1055" t="str">
        <f>IFERROR(VLOOKUP($A313,'2018'!$A:$BB,14,FALSE),"")</f>
        <v>Ultipro</v>
      </c>
      <c r="Q313" s="1055" t="str">
        <f>IFERROR(VLOOKUP($A313,'2018'!$A:$BB,16,FALSE),"")</f>
        <v>IGOE</v>
      </c>
      <c r="R313" s="1055" t="str">
        <f>IFERROR(VLOOKUP($A313,'2018'!$A:$BB,17,FALSE),"")</f>
        <v>Optum Health</v>
      </c>
      <c r="S313" s="1062" t="str">
        <f>IFERROR(VLOOKUP($A313,'2018'!$A:$BB,20,FALSE),"")</f>
        <v>SCAL</v>
      </c>
      <c r="T313" s="1062" t="str">
        <f>IFERROR(VLOOKUP($A313,'2018'!$A:$BB,21,FALSE),"")</f>
        <v>Group B (34-44)</v>
      </c>
      <c r="U313" s="1062" t="str">
        <f>IFERROR(VLOOKUP($A313,'2018'!$A:$BB,22,FALSE),"")</f>
        <v>Expanded</v>
      </c>
      <c r="V313" s="1062" t="str">
        <f>IFERROR(VLOOKUP($A313,'2018'!$A:$BB,23,FALSE),"")</f>
        <v>Access</v>
      </c>
      <c r="W313" s="1062" t="str">
        <f>IFERROR(VLOOKUP($A313,'2018'!$A:$BB,24,FALSE),"")</f>
        <v>Yes</v>
      </c>
      <c r="X313" s="1062" t="str">
        <f>IFERROR(VLOOKUP($A313,'2018'!$A:$BB,41,FALSE),"")</f>
        <v>Region 1</v>
      </c>
      <c r="Y313" s="1062" t="str">
        <f>IFERROR(VLOOKUP($A313,'2018'!$A:$BB,42,FALSE),"")</f>
        <v>(50-99)</v>
      </c>
      <c r="Z313" s="1062" t="str">
        <f>IFERROR(VLOOKUP($A313,'2018'!$A:$BB,45,FALSE),"")</f>
        <v>N/A</v>
      </c>
      <c r="AA313" s="730">
        <v>2018</v>
      </c>
      <c r="AB313" s="728" t="s">
        <v>3908</v>
      </c>
      <c r="AC313" s="727" t="s">
        <v>317</v>
      </c>
      <c r="AD313" s="727" t="s">
        <v>3648</v>
      </c>
      <c r="AE313" s="727" t="s">
        <v>315</v>
      </c>
      <c r="AF313" s="727" t="s">
        <v>85</v>
      </c>
      <c r="AG313" s="726" t="s">
        <v>3981</v>
      </c>
      <c r="AH313" s="726" t="s">
        <v>3973</v>
      </c>
      <c r="AI313" s="727">
        <v>18</v>
      </c>
      <c r="AJ313" s="747" t="s">
        <v>4067</v>
      </c>
      <c r="AK313" s="757">
        <v>909678</v>
      </c>
      <c r="AL313" s="754">
        <v>1705</v>
      </c>
      <c r="AM313" s="755">
        <v>909678</v>
      </c>
      <c r="AN313" s="754">
        <v>1706</v>
      </c>
      <c r="AO313" s="776">
        <f t="shared" si="77"/>
        <v>909678</v>
      </c>
      <c r="AP313" s="754">
        <f t="shared" si="73"/>
        <v>1707</v>
      </c>
      <c r="AQ313" s="770"/>
      <c r="AR313" s="726" t="s">
        <v>2661</v>
      </c>
      <c r="AS313" s="726" t="s">
        <v>4109</v>
      </c>
      <c r="AT313" s="726">
        <v>17051705</v>
      </c>
      <c r="AU313" s="726" t="s">
        <v>3966</v>
      </c>
      <c r="AV313" s="726" t="s">
        <v>4110</v>
      </c>
      <c r="AW313" s="726">
        <v>17061706</v>
      </c>
    </row>
    <row r="314" spans="1:49">
      <c r="A314" s="738" t="s">
        <v>410</v>
      </c>
      <c r="B314" s="736" t="s">
        <v>4112</v>
      </c>
      <c r="C314" s="738" t="s">
        <v>4172</v>
      </c>
      <c r="D314" s="738" t="s">
        <v>410</v>
      </c>
      <c r="E314" s="738" t="s">
        <v>410</v>
      </c>
      <c r="F314" s="1059">
        <f>IFERROR(VLOOKUP($A314,'2018'!$A:$BB,3,FALSE),"")</f>
        <v>473251758</v>
      </c>
      <c r="G314" s="1055" t="str">
        <f>IFERROR(VLOOKUP($A314,'2018'!$A:$BB,4,FALSE),"")</f>
        <v>5770 Armada Drive
Carlsbad, CA 92008</v>
      </c>
      <c r="H314" s="1055" t="str">
        <f>IFERROR(VLOOKUP($A314,'2018'!$A:$BB,5,FALSE),"")</f>
        <v>Marcie Faraimo
760-246-5006
marcie.faraimo@seaspine.com</v>
      </c>
      <c r="I314" s="1055" t="str">
        <f>IFERROR(VLOOKUP($A314,'2018'!$A:$BB,6,FALSE),"")</f>
        <v>Danielle Peppard
760-216-5112
danielle.peppard@seaspine.com</v>
      </c>
      <c r="J314" s="1055" t="str">
        <f>IFERROR(VLOOKUP($A314,'2018'!$A:$BB,7,FALSE),"")</f>
        <v>HUB (San Diego)</v>
      </c>
      <c r="K314" s="1055" t="str">
        <f>IFERROR(VLOOKUP($A314,'2018'!$A:$BB,8,FALSE),"")</f>
        <v>Account Managed by HUB SD Team
Producer - Dave Duenas
Service Lead- Jessica Hurley
AM-Katherine Tomline</v>
      </c>
      <c r="L314" s="1062" t="str">
        <f>IFERROR(VLOOKUP($A314,'2018'!$A:$BB,9,FALSE),"")</f>
        <v>Renewal</v>
      </c>
      <c r="M314" s="1067">
        <f>IFERROR(VLOOKUP($A314,'2018'!$A:$BB,10,FALSE),"")</f>
        <v>42370</v>
      </c>
      <c r="N314" s="1062">
        <f>IFERROR(VLOOKUP($A314,'2018'!$A:$BB,12,FALSE),"")</f>
        <v>333</v>
      </c>
      <c r="O314" s="1055" t="str">
        <f>IFERROR(VLOOKUP($A314,'2018'!$A:$BB,13,FALSE),"")</f>
        <v xml:space="preserve">IGOE </v>
      </c>
      <c r="P314" s="1055" t="str">
        <f>IFERROR(VLOOKUP($A314,'2018'!$A:$BB,14,FALSE),"")</f>
        <v>Ultipro</v>
      </c>
      <c r="Q314" s="1055" t="str">
        <f>IFERROR(VLOOKUP($A314,'2018'!$A:$BB,16,FALSE),"")</f>
        <v>IGOE</v>
      </c>
      <c r="R314" s="1055" t="str">
        <f>IFERROR(VLOOKUP($A314,'2018'!$A:$BB,17,FALSE),"")</f>
        <v>Optum Health</v>
      </c>
      <c r="S314" s="1062" t="str">
        <f>IFERROR(VLOOKUP($A314,'2018'!$A:$BB,20,FALSE),"")</f>
        <v>SCAL</v>
      </c>
      <c r="T314" s="1062" t="str">
        <f>IFERROR(VLOOKUP($A314,'2018'!$A:$BB,21,FALSE),"")</f>
        <v>Group B (34-44)</v>
      </c>
      <c r="U314" s="1062" t="str">
        <f>IFERROR(VLOOKUP($A314,'2018'!$A:$BB,22,FALSE),"")</f>
        <v>Expanded</v>
      </c>
      <c r="V314" s="1062" t="str">
        <f>IFERROR(VLOOKUP($A314,'2018'!$A:$BB,23,FALSE),"")</f>
        <v>Access</v>
      </c>
      <c r="W314" s="1062" t="str">
        <f>IFERROR(VLOOKUP($A314,'2018'!$A:$BB,24,FALSE),"")</f>
        <v>Yes</v>
      </c>
      <c r="X314" s="1062" t="str">
        <f>IFERROR(VLOOKUP($A314,'2018'!$A:$BB,41,FALSE),"")</f>
        <v>Region 1</v>
      </c>
      <c r="Y314" s="1062" t="str">
        <f>IFERROR(VLOOKUP($A314,'2018'!$A:$BB,42,FALSE),"")</f>
        <v>(50-99)</v>
      </c>
      <c r="Z314" s="1062" t="str">
        <f>IFERROR(VLOOKUP($A314,'2018'!$A:$BB,45,FALSE),"")</f>
        <v>N/A</v>
      </c>
      <c r="AA314" s="731">
        <v>2018</v>
      </c>
      <c r="AB314" s="733" t="s">
        <v>3908</v>
      </c>
      <c r="AC314" s="734" t="s">
        <v>317</v>
      </c>
      <c r="AD314" s="734" t="s">
        <v>3648</v>
      </c>
      <c r="AE314" s="734" t="s">
        <v>315</v>
      </c>
      <c r="AF314" s="734" t="s">
        <v>85</v>
      </c>
      <c r="AG314" s="732" t="s">
        <v>3981</v>
      </c>
      <c r="AH314" s="732" t="s">
        <v>3977</v>
      </c>
      <c r="AI314" s="734">
        <v>19</v>
      </c>
      <c r="AJ314" s="748" t="s">
        <v>4069</v>
      </c>
      <c r="AK314" s="757">
        <v>909678</v>
      </c>
      <c r="AL314" s="756">
        <v>1741</v>
      </c>
      <c r="AM314" s="755">
        <v>909678</v>
      </c>
      <c r="AN314" s="756">
        <v>1742</v>
      </c>
      <c r="AO314" s="776">
        <f t="shared" si="77"/>
        <v>909678</v>
      </c>
      <c r="AP314" s="754">
        <f t="shared" si="73"/>
        <v>1743</v>
      </c>
      <c r="AQ314" s="771" t="s">
        <v>3979</v>
      </c>
      <c r="AR314" s="732" t="s">
        <v>2661</v>
      </c>
      <c r="AS314" s="735"/>
      <c r="AT314" s="735"/>
      <c r="AU314" s="732" t="s">
        <v>3980</v>
      </c>
      <c r="AV314" s="735"/>
      <c r="AW314" s="735"/>
    </row>
    <row r="315" spans="1:49">
      <c r="A315" s="738"/>
      <c r="B315" s="738"/>
      <c r="C315" s="738"/>
      <c r="D315" s="738"/>
      <c r="E315" s="738"/>
      <c r="F315" s="1059" t="str">
        <f>IFERROR(VLOOKUP($A315,'2018'!$A:$BB,3,FALSE),"")</f>
        <v/>
      </c>
      <c r="G315" s="1055" t="str">
        <f>IFERROR(VLOOKUP($A315,'2018'!$A:$BB,4,FALSE),"")</f>
        <v/>
      </c>
      <c r="H315" s="1055" t="str">
        <f>IFERROR(VLOOKUP($A315,'2018'!$A:$BB,5,FALSE),"")</f>
        <v/>
      </c>
      <c r="I315" s="1055" t="str">
        <f>IFERROR(VLOOKUP($A315,'2018'!$A:$BB,6,FALSE),"")</f>
        <v/>
      </c>
      <c r="J315" s="1055" t="str">
        <f>IFERROR(VLOOKUP($A315,'2018'!$A:$BB,7,FALSE),"")</f>
        <v/>
      </c>
      <c r="K315" s="1055" t="str">
        <f>IFERROR(VLOOKUP($A315,'2018'!$A:$BB,8,FALSE),"")</f>
        <v/>
      </c>
      <c r="L315" s="1062" t="str">
        <f>IFERROR(VLOOKUP($A315,'2018'!$A:$BB,9,FALSE),"")</f>
        <v/>
      </c>
      <c r="M315" s="1067" t="str">
        <f>IFERROR(VLOOKUP($A315,'2018'!$A:$BB,10,FALSE),"")</f>
        <v/>
      </c>
      <c r="N315" s="1062" t="str">
        <f>IFERROR(VLOOKUP($A315,'2018'!$A:$BB,12,FALSE),"")</f>
        <v/>
      </c>
      <c r="O315" s="1055" t="str">
        <f>IFERROR(VLOOKUP($A315,'2018'!$A:$BB,13,FALSE),"")</f>
        <v/>
      </c>
      <c r="P315" s="1055" t="str">
        <f>IFERROR(VLOOKUP($A315,'2018'!$A:$BB,14,FALSE),"")</f>
        <v/>
      </c>
      <c r="Q315" s="1055" t="str">
        <f>IFERROR(VLOOKUP($A315,'2018'!$A:$BB,16,FALSE),"")</f>
        <v/>
      </c>
      <c r="R315" s="1055" t="str">
        <f>IFERROR(VLOOKUP($A315,'2018'!$A:$BB,17,FALSE),"")</f>
        <v/>
      </c>
      <c r="S315" s="1062" t="str">
        <f>IFERROR(VLOOKUP($A315,'2018'!$A:$BB,20,FALSE),"")</f>
        <v/>
      </c>
      <c r="T315" s="1062" t="str">
        <f>IFERROR(VLOOKUP($A315,'2018'!$A:$BB,21,FALSE),"")</f>
        <v/>
      </c>
      <c r="U315" s="1062" t="str">
        <f>IFERROR(VLOOKUP($A315,'2018'!$A:$BB,22,FALSE),"")</f>
        <v/>
      </c>
      <c r="V315" s="1062" t="str">
        <f>IFERROR(VLOOKUP($A315,'2018'!$A:$BB,23,FALSE),"")</f>
        <v/>
      </c>
      <c r="W315" s="1062" t="str">
        <f>IFERROR(VLOOKUP($A315,'2018'!$A:$BB,24,FALSE),"")</f>
        <v/>
      </c>
      <c r="X315" s="1062" t="str">
        <f>IFERROR(VLOOKUP($A315,'2018'!$A:$BB,41,FALSE),"")</f>
        <v/>
      </c>
      <c r="Y315" s="1062" t="str">
        <f>IFERROR(VLOOKUP($A315,'2018'!$A:$BB,42,FALSE),"")</f>
        <v/>
      </c>
      <c r="Z315" s="1062" t="str">
        <f>IFERROR(VLOOKUP($A315,'2018'!$A:$BB,45,FALSE),"")</f>
        <v/>
      </c>
      <c r="AA315" s="727"/>
      <c r="AB315" s="728"/>
      <c r="AC315" s="727"/>
      <c r="AD315" s="727"/>
      <c r="AE315" s="727"/>
      <c r="AF315" s="727"/>
      <c r="AG315" s="726"/>
      <c r="AH315" s="726"/>
      <c r="AI315" s="727"/>
      <c r="AJ315" s="747"/>
      <c r="AK315" s="753"/>
      <c r="AL315" s="754"/>
      <c r="AM315" s="753"/>
      <c r="AN315" s="754"/>
      <c r="AO315" s="776"/>
      <c r="AP315" s="754"/>
      <c r="AQ315" s="770"/>
      <c r="AR315" s="726"/>
      <c r="AS315" s="726"/>
      <c r="AT315" s="726"/>
      <c r="AU315" s="726"/>
      <c r="AV315" s="726"/>
      <c r="AW315" s="726"/>
    </row>
    <row r="316" spans="1:49">
      <c r="A316" s="738" t="s">
        <v>1306</v>
      </c>
      <c r="B316" s="738" t="s">
        <v>4113</v>
      </c>
      <c r="C316" s="738"/>
      <c r="D316" s="738"/>
      <c r="E316" s="738"/>
      <c r="F316" s="1059">
        <f>IFERROR(VLOOKUP($A316,'2018'!$A:$BB,3,FALSE),"")</f>
        <v>203181818</v>
      </c>
      <c r="G316" s="1055" t="str">
        <f>IFERROR(VLOOKUP($A316,'2018'!$A:$BB,4,FALSE),"")</f>
        <v>300 Saginaw Drive
Redwood City, CA 94063</v>
      </c>
      <c r="H316" s="1055" t="str">
        <f>IFERROR(VLOOKUP($A316,'2018'!$A:$BB,5,FALSE),"")</f>
        <v xml:space="preserve">Erma Galvan
650-622-2777
egalvan@sentreheart.com </v>
      </c>
      <c r="I316" s="1055" t="str">
        <f>IFERROR(VLOOKUP($A316,'2018'!$A:$BB,6,FALSE),"")</f>
        <v xml:space="preserve">Erma Galvan
650-622-2777
egalvan@sentreheart.com </v>
      </c>
      <c r="J316" s="1055" t="str">
        <f>IFERROR(VLOOKUP($A316,'2018'!$A:$BB,7,FALSE),"")</f>
        <v>ABD</v>
      </c>
      <c r="K316" s="1055" t="str">
        <f>IFERROR(VLOOKUP($A316,'2018'!$A:$BB,8,FALSE),"")</f>
        <v xml:space="preserve">Account Managed by ABD Team
Producer - Debbie Mangels
Service Lead - Gabrielle Anderson
</v>
      </c>
      <c r="L316" s="1062" t="str">
        <f>IFERROR(VLOOKUP($A316,'2018'!$A:$BB,9,FALSE),"")</f>
        <v>New</v>
      </c>
      <c r="M316" s="1067">
        <f>IFERROR(VLOOKUP($A316,'2018'!$A:$BB,10,FALSE),"")</f>
        <v>43101</v>
      </c>
      <c r="N316" s="1062">
        <f>IFERROR(VLOOKUP($A316,'2018'!$A:$BB,12,FALSE),"")</f>
        <v>34</v>
      </c>
      <c r="O316" s="1055" t="str">
        <f>IFERROR(VLOOKUP($A316,'2018'!$A:$BB,13,FALSE),"")</f>
        <v>ADP</v>
      </c>
      <c r="P316" s="1055" t="str">
        <f>IFERROR(VLOOKUP($A316,'2018'!$A:$BB,14,FALSE),"")</f>
        <v>ADP</v>
      </c>
      <c r="Q316" s="1055" t="str">
        <f>IFERROR(VLOOKUP($A316,'2018'!$A:$BB,16,FALSE),"")</f>
        <v>N/A</v>
      </c>
      <c r="R316" s="1055" t="str">
        <f>IFERROR(VLOOKUP($A316,'2018'!$A:$BB,17,FALSE),"")</f>
        <v>Optum Health</v>
      </c>
      <c r="S316" s="1062" t="str">
        <f>IFERROR(VLOOKUP($A316,'2018'!$A:$BB,20,FALSE),"")</f>
        <v>NCAL</v>
      </c>
      <c r="T316" s="1062" t="str">
        <f>IFERROR(VLOOKUP($A316,'2018'!$A:$BB,21,FALSE),"")</f>
        <v>Group D (54+)</v>
      </c>
      <c r="U316" s="1062" t="str">
        <f>IFERROR(VLOOKUP($A316,'2018'!$A:$BB,22,FALSE),"")</f>
        <v>Expanded</v>
      </c>
      <c r="V316" s="1062" t="str">
        <f>IFERROR(VLOOKUP($A316,'2018'!$A:$BB,23,FALSE),"")</f>
        <v>Advantage</v>
      </c>
      <c r="W316" s="1062" t="str">
        <f>IFERROR(VLOOKUP($A316,'2018'!$A:$BB,24,FALSE),"")</f>
        <v>No</v>
      </c>
      <c r="X316" s="1062" t="str">
        <f>IFERROR(VLOOKUP($A316,'2018'!$A:$BB,41,FALSE),"")</f>
        <v>N/A</v>
      </c>
      <c r="Y316" s="1062" t="str">
        <f>IFERROR(VLOOKUP($A316,'2018'!$A:$BB,42,FALSE),"")</f>
        <v>N/A</v>
      </c>
      <c r="Z316" s="1062" t="str">
        <f>IFERROR(VLOOKUP($A316,'2018'!$A:$BB,45,FALSE),"")</f>
        <v xml:space="preserve"> (2-49)</v>
      </c>
      <c r="AA316" s="730">
        <v>2018</v>
      </c>
      <c r="AB316" s="1020" t="s">
        <v>3912</v>
      </c>
      <c r="AC316" s="727" t="s">
        <v>303</v>
      </c>
      <c r="AD316" s="727" t="s">
        <v>3658</v>
      </c>
      <c r="AE316" s="727" t="s">
        <v>307</v>
      </c>
      <c r="AF316" s="727" t="s">
        <v>113</v>
      </c>
      <c r="AG316" s="726" t="s">
        <v>3962</v>
      </c>
      <c r="AH316" s="726" t="s">
        <v>3963</v>
      </c>
      <c r="AI316" s="727">
        <v>3</v>
      </c>
      <c r="AJ316" s="747" t="s">
        <v>4043</v>
      </c>
      <c r="AK316" s="753">
        <v>260107</v>
      </c>
      <c r="AL316" s="754">
        <v>208</v>
      </c>
      <c r="AM316" s="753">
        <v>260108</v>
      </c>
      <c r="AN316" s="754">
        <v>209</v>
      </c>
      <c r="AO316" s="776">
        <f t="shared" si="72"/>
        <v>260109</v>
      </c>
      <c r="AP316" s="754">
        <f t="shared" si="73"/>
        <v>210</v>
      </c>
      <c r="AQ316" s="770"/>
      <c r="AR316" s="726" t="s">
        <v>2661</v>
      </c>
      <c r="AS316" s="726" t="s">
        <v>4114</v>
      </c>
      <c r="AT316" s="726">
        <v>2080208</v>
      </c>
      <c r="AU316" s="726" t="s">
        <v>3980</v>
      </c>
      <c r="AV316" s="726"/>
      <c r="AW316" s="726"/>
    </row>
    <row r="317" spans="1:49">
      <c r="A317" s="738" t="s">
        <v>1306</v>
      </c>
      <c r="B317" s="738" t="s">
        <v>4113</v>
      </c>
      <c r="C317" s="738"/>
      <c r="D317" s="738"/>
      <c r="E317" s="738"/>
      <c r="F317" s="1059">
        <f>IFERROR(VLOOKUP($A317,'2018'!$A:$BB,3,FALSE),"")</f>
        <v>203181818</v>
      </c>
      <c r="G317" s="1055" t="str">
        <f>IFERROR(VLOOKUP($A317,'2018'!$A:$BB,4,FALSE),"")</f>
        <v>300 Saginaw Drive
Redwood City, CA 94063</v>
      </c>
      <c r="H317" s="1055" t="str">
        <f>IFERROR(VLOOKUP($A317,'2018'!$A:$BB,5,FALSE),"")</f>
        <v xml:space="preserve">Erma Galvan
650-622-2777
egalvan@sentreheart.com </v>
      </c>
      <c r="I317" s="1055" t="str">
        <f>IFERROR(VLOOKUP($A317,'2018'!$A:$BB,6,FALSE),"")</f>
        <v xml:space="preserve">Erma Galvan
650-622-2777
egalvan@sentreheart.com </v>
      </c>
      <c r="J317" s="1055" t="str">
        <f>IFERROR(VLOOKUP($A317,'2018'!$A:$BB,7,FALSE),"")</f>
        <v>ABD</v>
      </c>
      <c r="K317" s="1055" t="str">
        <f>IFERROR(VLOOKUP($A317,'2018'!$A:$BB,8,FALSE),"")</f>
        <v xml:space="preserve">Account Managed by ABD Team
Producer - Debbie Mangels
Service Lead - Gabrielle Anderson
</v>
      </c>
      <c r="L317" s="1062" t="str">
        <f>IFERROR(VLOOKUP($A317,'2018'!$A:$BB,9,FALSE),"")</f>
        <v>New</v>
      </c>
      <c r="M317" s="1067">
        <f>IFERROR(VLOOKUP($A317,'2018'!$A:$BB,10,FALSE),"")</f>
        <v>43101</v>
      </c>
      <c r="N317" s="1062">
        <f>IFERROR(VLOOKUP($A317,'2018'!$A:$BB,12,FALSE),"")</f>
        <v>34</v>
      </c>
      <c r="O317" s="1055" t="str">
        <f>IFERROR(VLOOKUP($A317,'2018'!$A:$BB,13,FALSE),"")</f>
        <v>ADP</v>
      </c>
      <c r="P317" s="1055" t="str">
        <f>IFERROR(VLOOKUP($A317,'2018'!$A:$BB,14,FALSE),"")</f>
        <v>ADP</v>
      </c>
      <c r="Q317" s="1055" t="str">
        <f>IFERROR(VLOOKUP($A317,'2018'!$A:$BB,16,FALSE),"")</f>
        <v>N/A</v>
      </c>
      <c r="R317" s="1055" t="str">
        <f>IFERROR(VLOOKUP($A317,'2018'!$A:$BB,17,FALSE),"")</f>
        <v>Optum Health</v>
      </c>
      <c r="S317" s="1062" t="str">
        <f>IFERROR(VLOOKUP($A317,'2018'!$A:$BB,20,FALSE),"")</f>
        <v>NCAL</v>
      </c>
      <c r="T317" s="1062" t="str">
        <f>IFERROR(VLOOKUP($A317,'2018'!$A:$BB,21,FALSE),"")</f>
        <v>Group D (54+)</v>
      </c>
      <c r="U317" s="1062" t="str">
        <f>IFERROR(VLOOKUP($A317,'2018'!$A:$BB,22,FALSE),"")</f>
        <v>Expanded</v>
      </c>
      <c r="V317" s="1062" t="str">
        <f>IFERROR(VLOOKUP($A317,'2018'!$A:$BB,23,FALSE),"")</f>
        <v>Advantage</v>
      </c>
      <c r="W317" s="1062" t="str">
        <f>IFERROR(VLOOKUP($A317,'2018'!$A:$BB,24,FALSE),"")</f>
        <v>No</v>
      </c>
      <c r="X317" s="1062" t="str">
        <f>IFERROR(VLOOKUP($A317,'2018'!$A:$BB,41,FALSE),"")</f>
        <v>N/A</v>
      </c>
      <c r="Y317" s="1062" t="str">
        <f>IFERROR(VLOOKUP($A317,'2018'!$A:$BB,42,FALSE),"")</f>
        <v>N/A</v>
      </c>
      <c r="Z317" s="1062" t="str">
        <f>IFERROR(VLOOKUP($A317,'2018'!$A:$BB,45,FALSE),"")</f>
        <v xml:space="preserve"> (2-49)</v>
      </c>
      <c r="AA317" s="730">
        <v>2018</v>
      </c>
      <c r="AB317" s="1020" t="s">
        <v>3912</v>
      </c>
      <c r="AC317" s="727" t="s">
        <v>303</v>
      </c>
      <c r="AD317" s="727" t="s">
        <v>3658</v>
      </c>
      <c r="AE317" s="727" t="s">
        <v>307</v>
      </c>
      <c r="AF317" s="727" t="s">
        <v>113</v>
      </c>
      <c r="AG317" s="726" t="s">
        <v>3972</v>
      </c>
      <c r="AH317" s="726" t="s">
        <v>3973</v>
      </c>
      <c r="AI317" s="727">
        <v>9</v>
      </c>
      <c r="AJ317" s="747" t="s">
        <v>3974</v>
      </c>
      <c r="AK317" s="757">
        <v>909678</v>
      </c>
      <c r="AL317" s="754">
        <v>403</v>
      </c>
      <c r="AM317" s="755">
        <v>909678</v>
      </c>
      <c r="AN317" s="754">
        <v>404</v>
      </c>
      <c r="AO317" s="776">
        <f t="shared" ref="AO317:AO320" si="78">AM317</f>
        <v>909678</v>
      </c>
      <c r="AP317" s="754">
        <f t="shared" si="73"/>
        <v>405</v>
      </c>
      <c r="AQ317" s="770"/>
      <c r="AR317" s="726" t="s">
        <v>2661</v>
      </c>
      <c r="AS317" s="726" t="s">
        <v>4115</v>
      </c>
      <c r="AT317" s="726">
        <v>4030403</v>
      </c>
      <c r="AU317" s="726" t="s">
        <v>3980</v>
      </c>
      <c r="AV317" s="726"/>
      <c r="AW317" s="726"/>
    </row>
    <row r="318" spans="1:49">
      <c r="A318" s="738" t="s">
        <v>1306</v>
      </c>
      <c r="B318" s="736" t="s">
        <v>4113</v>
      </c>
      <c r="C318" s="736"/>
      <c r="D318" s="736"/>
      <c r="E318" s="736"/>
      <c r="F318" s="1059">
        <f>IFERROR(VLOOKUP($A318,'2018'!$A:$BB,3,FALSE),"")</f>
        <v>203181818</v>
      </c>
      <c r="G318" s="1055" t="str">
        <f>IFERROR(VLOOKUP($A318,'2018'!$A:$BB,4,FALSE),"")</f>
        <v>300 Saginaw Drive
Redwood City, CA 94063</v>
      </c>
      <c r="H318" s="1055" t="str">
        <f>IFERROR(VLOOKUP($A318,'2018'!$A:$BB,5,FALSE),"")</f>
        <v xml:space="preserve">Erma Galvan
650-622-2777
egalvan@sentreheart.com </v>
      </c>
      <c r="I318" s="1055" t="str">
        <f>IFERROR(VLOOKUP($A318,'2018'!$A:$BB,6,FALSE),"")</f>
        <v xml:space="preserve">Erma Galvan
650-622-2777
egalvan@sentreheart.com </v>
      </c>
      <c r="J318" s="1055" t="str">
        <f>IFERROR(VLOOKUP($A318,'2018'!$A:$BB,7,FALSE),"")</f>
        <v>ABD</v>
      </c>
      <c r="K318" s="1055" t="str">
        <f>IFERROR(VLOOKUP($A318,'2018'!$A:$BB,8,FALSE),"")</f>
        <v xml:space="preserve">Account Managed by ABD Team
Producer - Debbie Mangels
Service Lead - Gabrielle Anderson
</v>
      </c>
      <c r="L318" s="1062" t="str">
        <f>IFERROR(VLOOKUP($A318,'2018'!$A:$BB,9,FALSE),"")</f>
        <v>New</v>
      </c>
      <c r="M318" s="1067">
        <f>IFERROR(VLOOKUP($A318,'2018'!$A:$BB,10,FALSE),"")</f>
        <v>43101</v>
      </c>
      <c r="N318" s="1062">
        <f>IFERROR(VLOOKUP($A318,'2018'!$A:$BB,12,FALSE),"")</f>
        <v>34</v>
      </c>
      <c r="O318" s="1055" t="str">
        <f>IFERROR(VLOOKUP($A318,'2018'!$A:$BB,13,FALSE),"")</f>
        <v>ADP</v>
      </c>
      <c r="P318" s="1055" t="str">
        <f>IFERROR(VLOOKUP($A318,'2018'!$A:$BB,14,FALSE),"")</f>
        <v>ADP</v>
      </c>
      <c r="Q318" s="1055" t="str">
        <f>IFERROR(VLOOKUP($A318,'2018'!$A:$BB,16,FALSE),"")</f>
        <v>N/A</v>
      </c>
      <c r="R318" s="1055" t="str">
        <f>IFERROR(VLOOKUP($A318,'2018'!$A:$BB,17,FALSE),"")</f>
        <v>Optum Health</v>
      </c>
      <c r="S318" s="1062" t="str">
        <f>IFERROR(VLOOKUP($A318,'2018'!$A:$BB,20,FALSE),"")</f>
        <v>NCAL</v>
      </c>
      <c r="T318" s="1062" t="str">
        <f>IFERROR(VLOOKUP($A318,'2018'!$A:$BB,21,FALSE),"")</f>
        <v>Group D (54+)</v>
      </c>
      <c r="U318" s="1062" t="str">
        <f>IFERROR(VLOOKUP($A318,'2018'!$A:$BB,22,FALSE),"")</f>
        <v>Expanded</v>
      </c>
      <c r="V318" s="1062" t="str">
        <f>IFERROR(VLOOKUP($A318,'2018'!$A:$BB,23,FALSE),"")</f>
        <v>Advantage</v>
      </c>
      <c r="W318" s="1062" t="str">
        <f>IFERROR(VLOOKUP($A318,'2018'!$A:$BB,24,FALSE),"")</f>
        <v>No</v>
      </c>
      <c r="X318" s="1062" t="str">
        <f>IFERROR(VLOOKUP($A318,'2018'!$A:$BB,41,FALSE),"")</f>
        <v>N/A</v>
      </c>
      <c r="Y318" s="1062" t="str">
        <f>IFERROR(VLOOKUP($A318,'2018'!$A:$BB,42,FALSE),"")</f>
        <v>N/A</v>
      </c>
      <c r="Z318" s="1062" t="str">
        <f>IFERROR(VLOOKUP($A318,'2018'!$A:$BB,45,FALSE),"")</f>
        <v xml:space="preserve"> (2-49)</v>
      </c>
      <c r="AA318" s="731">
        <v>2018</v>
      </c>
      <c r="AB318" s="1020" t="s">
        <v>3912</v>
      </c>
      <c r="AC318" s="734" t="s">
        <v>303</v>
      </c>
      <c r="AD318" s="734" t="s">
        <v>3658</v>
      </c>
      <c r="AE318" s="734" t="s">
        <v>307</v>
      </c>
      <c r="AF318" s="734" t="s">
        <v>113</v>
      </c>
      <c r="AG318" s="732" t="s">
        <v>3972</v>
      </c>
      <c r="AH318" s="732" t="s">
        <v>3977</v>
      </c>
      <c r="AI318" s="734">
        <v>15</v>
      </c>
      <c r="AJ318" s="748" t="s">
        <v>3978</v>
      </c>
      <c r="AK318" s="757">
        <v>909678</v>
      </c>
      <c r="AL318" s="756">
        <v>655</v>
      </c>
      <c r="AM318" s="755">
        <v>909678</v>
      </c>
      <c r="AN318" s="756">
        <v>656</v>
      </c>
      <c r="AO318" s="776">
        <f t="shared" si="78"/>
        <v>909678</v>
      </c>
      <c r="AP318" s="754">
        <f t="shared" si="73"/>
        <v>657</v>
      </c>
      <c r="AQ318" s="771" t="s">
        <v>3979</v>
      </c>
      <c r="AR318" s="732" t="s">
        <v>2661</v>
      </c>
      <c r="AS318" s="735"/>
      <c r="AT318" s="735"/>
      <c r="AU318" s="732" t="s">
        <v>3980</v>
      </c>
      <c r="AV318" s="735"/>
      <c r="AW318" s="735"/>
    </row>
    <row r="319" spans="1:49">
      <c r="A319" s="738" t="s">
        <v>1306</v>
      </c>
      <c r="B319" s="738" t="s">
        <v>4113</v>
      </c>
      <c r="C319" s="738"/>
      <c r="D319" s="738"/>
      <c r="E319" s="738"/>
      <c r="F319" s="1059">
        <f>IFERROR(VLOOKUP($A319,'2018'!$A:$BB,3,FALSE),"")</f>
        <v>203181818</v>
      </c>
      <c r="G319" s="1055" t="str">
        <f>IFERROR(VLOOKUP($A319,'2018'!$A:$BB,4,FALSE),"")</f>
        <v>300 Saginaw Drive
Redwood City, CA 94063</v>
      </c>
      <c r="H319" s="1055" t="str">
        <f>IFERROR(VLOOKUP($A319,'2018'!$A:$BB,5,FALSE),"")</f>
        <v xml:space="preserve">Erma Galvan
650-622-2777
egalvan@sentreheart.com </v>
      </c>
      <c r="I319" s="1055" t="str">
        <f>IFERROR(VLOOKUP($A319,'2018'!$A:$BB,6,FALSE),"")</f>
        <v xml:space="preserve">Erma Galvan
650-622-2777
egalvan@sentreheart.com </v>
      </c>
      <c r="J319" s="1055" t="str">
        <f>IFERROR(VLOOKUP($A319,'2018'!$A:$BB,7,FALSE),"")</f>
        <v>ABD</v>
      </c>
      <c r="K319" s="1055" t="str">
        <f>IFERROR(VLOOKUP($A319,'2018'!$A:$BB,8,FALSE),"")</f>
        <v xml:space="preserve">Account Managed by ABD Team
Producer - Debbie Mangels
Service Lead - Gabrielle Anderson
</v>
      </c>
      <c r="L319" s="1062" t="str">
        <f>IFERROR(VLOOKUP($A319,'2018'!$A:$BB,9,FALSE),"")</f>
        <v>New</v>
      </c>
      <c r="M319" s="1067">
        <f>IFERROR(VLOOKUP($A319,'2018'!$A:$BB,10,FALSE),"")</f>
        <v>43101</v>
      </c>
      <c r="N319" s="1062">
        <f>IFERROR(VLOOKUP($A319,'2018'!$A:$BB,12,FALSE),"")</f>
        <v>34</v>
      </c>
      <c r="O319" s="1055" t="str">
        <f>IFERROR(VLOOKUP($A319,'2018'!$A:$BB,13,FALSE),"")</f>
        <v>ADP</v>
      </c>
      <c r="P319" s="1055" t="str">
        <f>IFERROR(VLOOKUP($A319,'2018'!$A:$BB,14,FALSE),"")</f>
        <v>ADP</v>
      </c>
      <c r="Q319" s="1055" t="str">
        <f>IFERROR(VLOOKUP($A319,'2018'!$A:$BB,16,FALSE),"")</f>
        <v>N/A</v>
      </c>
      <c r="R319" s="1055" t="str">
        <f>IFERROR(VLOOKUP($A319,'2018'!$A:$BB,17,FALSE),"")</f>
        <v>Optum Health</v>
      </c>
      <c r="S319" s="1062" t="str">
        <f>IFERROR(VLOOKUP($A319,'2018'!$A:$BB,20,FALSE),"")</f>
        <v>NCAL</v>
      </c>
      <c r="T319" s="1062" t="str">
        <f>IFERROR(VLOOKUP($A319,'2018'!$A:$BB,21,FALSE),"")</f>
        <v>Group D (54+)</v>
      </c>
      <c r="U319" s="1062" t="str">
        <f>IFERROR(VLOOKUP($A319,'2018'!$A:$BB,22,FALSE),"")</f>
        <v>Expanded</v>
      </c>
      <c r="V319" s="1062" t="str">
        <f>IFERROR(VLOOKUP($A319,'2018'!$A:$BB,23,FALSE),"")</f>
        <v>Advantage</v>
      </c>
      <c r="W319" s="1062" t="str">
        <f>IFERROR(VLOOKUP($A319,'2018'!$A:$BB,24,FALSE),"")</f>
        <v>No</v>
      </c>
      <c r="X319" s="1062" t="str">
        <f>IFERROR(VLOOKUP($A319,'2018'!$A:$BB,41,FALSE),"")</f>
        <v>N/A</v>
      </c>
      <c r="Y319" s="1062" t="str">
        <f>IFERROR(VLOOKUP($A319,'2018'!$A:$BB,42,FALSE),"")</f>
        <v>N/A</v>
      </c>
      <c r="Z319" s="1062" t="str">
        <f>IFERROR(VLOOKUP($A319,'2018'!$A:$BB,45,FALSE),"")</f>
        <v xml:space="preserve"> (2-49)</v>
      </c>
      <c r="AA319" s="730">
        <v>2018</v>
      </c>
      <c r="AB319" s="1020" t="s">
        <v>3912</v>
      </c>
      <c r="AC319" s="727" t="s">
        <v>303</v>
      </c>
      <c r="AD319" s="727" t="s">
        <v>3658</v>
      </c>
      <c r="AE319" s="727" t="s">
        <v>307</v>
      </c>
      <c r="AF319" s="727" t="s">
        <v>113</v>
      </c>
      <c r="AG319" s="726" t="s">
        <v>3981</v>
      </c>
      <c r="AH319" s="726" t="s">
        <v>3973</v>
      </c>
      <c r="AI319" s="727">
        <v>11</v>
      </c>
      <c r="AJ319" s="747" t="s">
        <v>3982</v>
      </c>
      <c r="AK319" s="757">
        <v>909678</v>
      </c>
      <c r="AL319" s="754">
        <v>475</v>
      </c>
      <c r="AM319" s="755">
        <v>909678</v>
      </c>
      <c r="AN319" s="754">
        <v>476</v>
      </c>
      <c r="AO319" s="776">
        <f t="shared" si="78"/>
        <v>909678</v>
      </c>
      <c r="AP319" s="754">
        <f t="shared" si="73"/>
        <v>477</v>
      </c>
      <c r="AQ319" s="770"/>
      <c r="AR319" s="726" t="s">
        <v>2661</v>
      </c>
      <c r="AS319" s="726" t="s">
        <v>4116</v>
      </c>
      <c r="AT319" s="726">
        <v>4750475</v>
      </c>
      <c r="AU319" s="726" t="s">
        <v>3980</v>
      </c>
      <c r="AV319" s="726"/>
      <c r="AW319" s="726"/>
    </row>
    <row r="320" spans="1:49">
      <c r="A320" s="738" t="s">
        <v>1306</v>
      </c>
      <c r="B320" s="736" t="s">
        <v>4113</v>
      </c>
      <c r="C320" s="736"/>
      <c r="D320" s="736"/>
      <c r="E320" s="736"/>
      <c r="F320" s="1059">
        <f>IFERROR(VLOOKUP($A320,'2018'!$A:$BB,3,FALSE),"")</f>
        <v>203181818</v>
      </c>
      <c r="G320" s="1055" t="str">
        <f>IFERROR(VLOOKUP($A320,'2018'!$A:$BB,4,FALSE),"")</f>
        <v>300 Saginaw Drive
Redwood City, CA 94063</v>
      </c>
      <c r="H320" s="1055" t="str">
        <f>IFERROR(VLOOKUP($A320,'2018'!$A:$BB,5,FALSE),"")</f>
        <v xml:space="preserve">Erma Galvan
650-622-2777
egalvan@sentreheart.com </v>
      </c>
      <c r="I320" s="1055" t="str">
        <f>IFERROR(VLOOKUP($A320,'2018'!$A:$BB,6,FALSE),"")</f>
        <v xml:space="preserve">Erma Galvan
650-622-2777
egalvan@sentreheart.com </v>
      </c>
      <c r="J320" s="1055" t="str">
        <f>IFERROR(VLOOKUP($A320,'2018'!$A:$BB,7,FALSE),"")</f>
        <v>ABD</v>
      </c>
      <c r="K320" s="1055" t="str">
        <f>IFERROR(VLOOKUP($A320,'2018'!$A:$BB,8,FALSE),"")</f>
        <v xml:space="preserve">Account Managed by ABD Team
Producer - Debbie Mangels
Service Lead - Gabrielle Anderson
</v>
      </c>
      <c r="L320" s="1062" t="str">
        <f>IFERROR(VLOOKUP($A320,'2018'!$A:$BB,9,FALSE),"")</f>
        <v>New</v>
      </c>
      <c r="M320" s="1067">
        <f>IFERROR(VLOOKUP($A320,'2018'!$A:$BB,10,FALSE),"")</f>
        <v>43101</v>
      </c>
      <c r="N320" s="1062">
        <f>IFERROR(VLOOKUP($A320,'2018'!$A:$BB,12,FALSE),"")</f>
        <v>34</v>
      </c>
      <c r="O320" s="1055" t="str">
        <f>IFERROR(VLOOKUP($A320,'2018'!$A:$BB,13,FALSE),"")</f>
        <v>ADP</v>
      </c>
      <c r="P320" s="1055" t="str">
        <f>IFERROR(VLOOKUP($A320,'2018'!$A:$BB,14,FALSE),"")</f>
        <v>ADP</v>
      </c>
      <c r="Q320" s="1055" t="str">
        <f>IFERROR(VLOOKUP($A320,'2018'!$A:$BB,16,FALSE),"")</f>
        <v>N/A</v>
      </c>
      <c r="R320" s="1055" t="str">
        <f>IFERROR(VLOOKUP($A320,'2018'!$A:$BB,17,FALSE),"")</f>
        <v>Optum Health</v>
      </c>
      <c r="S320" s="1062" t="str">
        <f>IFERROR(VLOOKUP($A320,'2018'!$A:$BB,20,FALSE),"")</f>
        <v>NCAL</v>
      </c>
      <c r="T320" s="1062" t="str">
        <f>IFERROR(VLOOKUP($A320,'2018'!$A:$BB,21,FALSE),"")</f>
        <v>Group D (54+)</v>
      </c>
      <c r="U320" s="1062" t="str">
        <f>IFERROR(VLOOKUP($A320,'2018'!$A:$BB,22,FALSE),"")</f>
        <v>Expanded</v>
      </c>
      <c r="V320" s="1062" t="str">
        <f>IFERROR(VLOOKUP($A320,'2018'!$A:$BB,23,FALSE),"")</f>
        <v>Advantage</v>
      </c>
      <c r="W320" s="1062" t="str">
        <f>IFERROR(VLOOKUP($A320,'2018'!$A:$BB,24,FALSE),"")</f>
        <v>No</v>
      </c>
      <c r="X320" s="1062" t="str">
        <f>IFERROR(VLOOKUP($A320,'2018'!$A:$BB,41,FALSE),"")</f>
        <v>N/A</v>
      </c>
      <c r="Y320" s="1062" t="str">
        <f>IFERROR(VLOOKUP($A320,'2018'!$A:$BB,42,FALSE),"")</f>
        <v>N/A</v>
      </c>
      <c r="Z320" s="1062" t="str">
        <f>IFERROR(VLOOKUP($A320,'2018'!$A:$BB,45,FALSE),"")</f>
        <v xml:space="preserve"> (2-49)</v>
      </c>
      <c r="AA320" s="731">
        <v>2018</v>
      </c>
      <c r="AB320" s="1020" t="s">
        <v>3912</v>
      </c>
      <c r="AC320" s="734" t="s">
        <v>303</v>
      </c>
      <c r="AD320" s="734" t="s">
        <v>3658</v>
      </c>
      <c r="AE320" s="734" t="s">
        <v>307</v>
      </c>
      <c r="AF320" s="734" t="s">
        <v>113</v>
      </c>
      <c r="AG320" s="732" t="s">
        <v>3981</v>
      </c>
      <c r="AH320" s="732" t="s">
        <v>3977</v>
      </c>
      <c r="AI320" s="734">
        <v>16</v>
      </c>
      <c r="AJ320" s="748" t="s">
        <v>3985</v>
      </c>
      <c r="AK320" s="757">
        <v>909678</v>
      </c>
      <c r="AL320" s="756">
        <v>727</v>
      </c>
      <c r="AM320" s="755">
        <v>909678</v>
      </c>
      <c r="AN320" s="756">
        <v>728</v>
      </c>
      <c r="AO320" s="776">
        <f t="shared" si="78"/>
        <v>909678</v>
      </c>
      <c r="AP320" s="754">
        <f t="shared" si="73"/>
        <v>729</v>
      </c>
      <c r="AQ320" s="771" t="s">
        <v>3979</v>
      </c>
      <c r="AR320" s="732" t="s">
        <v>2661</v>
      </c>
      <c r="AS320" s="735"/>
      <c r="AT320" s="735"/>
      <c r="AU320" s="732" t="s">
        <v>3980</v>
      </c>
      <c r="AV320" s="735"/>
      <c r="AW320" s="735"/>
    </row>
    <row r="321" spans="1:49">
      <c r="A321" s="738"/>
      <c r="B321" s="738"/>
      <c r="C321" s="738"/>
      <c r="D321" s="738"/>
      <c r="E321" s="738"/>
      <c r="F321" s="1059" t="str">
        <f>IFERROR(VLOOKUP($A321,'2018'!$A:$BB,3,FALSE),"")</f>
        <v/>
      </c>
      <c r="G321" s="1055" t="str">
        <f>IFERROR(VLOOKUP($A321,'2018'!$A:$BB,4,FALSE),"")</f>
        <v/>
      </c>
      <c r="H321" s="1055" t="str">
        <f>IFERROR(VLOOKUP($A321,'2018'!$A:$BB,5,FALSE),"")</f>
        <v/>
      </c>
      <c r="I321" s="1055" t="str">
        <f>IFERROR(VLOOKUP($A321,'2018'!$A:$BB,6,FALSE),"")</f>
        <v/>
      </c>
      <c r="J321" s="1055" t="str">
        <f>IFERROR(VLOOKUP($A321,'2018'!$A:$BB,7,FALSE),"")</f>
        <v/>
      </c>
      <c r="K321" s="1055" t="str">
        <f>IFERROR(VLOOKUP($A321,'2018'!$A:$BB,8,FALSE),"")</f>
        <v/>
      </c>
      <c r="L321" s="1062" t="str">
        <f>IFERROR(VLOOKUP($A321,'2018'!$A:$BB,9,FALSE),"")</f>
        <v/>
      </c>
      <c r="M321" s="1067" t="str">
        <f>IFERROR(VLOOKUP($A321,'2018'!$A:$BB,10,FALSE),"")</f>
        <v/>
      </c>
      <c r="N321" s="1062" t="str">
        <f>IFERROR(VLOOKUP($A321,'2018'!$A:$BB,12,FALSE),"")</f>
        <v/>
      </c>
      <c r="O321" s="1055" t="str">
        <f>IFERROR(VLOOKUP($A321,'2018'!$A:$BB,13,FALSE),"")</f>
        <v/>
      </c>
      <c r="P321" s="1055" t="str">
        <f>IFERROR(VLOOKUP($A321,'2018'!$A:$BB,14,FALSE),"")</f>
        <v/>
      </c>
      <c r="Q321" s="1055" t="str">
        <f>IFERROR(VLOOKUP($A321,'2018'!$A:$BB,16,FALSE),"")</f>
        <v/>
      </c>
      <c r="R321" s="1055" t="str">
        <f>IFERROR(VLOOKUP($A321,'2018'!$A:$BB,17,FALSE),"")</f>
        <v/>
      </c>
      <c r="S321" s="1062" t="str">
        <f>IFERROR(VLOOKUP($A321,'2018'!$A:$BB,20,FALSE),"")</f>
        <v/>
      </c>
      <c r="T321" s="1062" t="str">
        <f>IFERROR(VLOOKUP($A321,'2018'!$A:$BB,21,FALSE),"")</f>
        <v/>
      </c>
      <c r="U321" s="1062" t="str">
        <f>IFERROR(VLOOKUP($A321,'2018'!$A:$BB,22,FALSE),"")</f>
        <v/>
      </c>
      <c r="V321" s="1062" t="str">
        <f>IFERROR(VLOOKUP($A321,'2018'!$A:$BB,23,FALSE),"")</f>
        <v/>
      </c>
      <c r="W321" s="1062" t="str">
        <f>IFERROR(VLOOKUP($A321,'2018'!$A:$BB,24,FALSE),"")</f>
        <v/>
      </c>
      <c r="X321" s="1062" t="str">
        <f>IFERROR(VLOOKUP($A321,'2018'!$A:$BB,41,FALSE),"")</f>
        <v/>
      </c>
      <c r="Y321" s="1062" t="str">
        <f>IFERROR(VLOOKUP($A321,'2018'!$A:$BB,42,FALSE),"")</f>
        <v/>
      </c>
      <c r="Z321" s="1062" t="str">
        <f>IFERROR(VLOOKUP($A321,'2018'!$A:$BB,45,FALSE),"")</f>
        <v/>
      </c>
      <c r="AA321" s="727"/>
      <c r="AB321" s="728"/>
      <c r="AC321" s="727"/>
      <c r="AD321" s="727"/>
      <c r="AE321" s="727"/>
      <c r="AF321" s="727"/>
      <c r="AG321" s="726"/>
      <c r="AH321" s="726"/>
      <c r="AI321" s="727"/>
      <c r="AJ321" s="747"/>
      <c r="AK321" s="753"/>
      <c r="AL321" s="754"/>
      <c r="AM321" s="753"/>
      <c r="AN321" s="754"/>
      <c r="AO321" s="776"/>
      <c r="AP321" s="754"/>
      <c r="AQ321" s="770"/>
      <c r="AR321" s="726"/>
      <c r="AS321" s="726"/>
      <c r="AT321" s="726"/>
      <c r="AU321" s="726"/>
      <c r="AV321" s="726"/>
      <c r="AW321" s="726"/>
    </row>
    <row r="322" spans="1:49">
      <c r="A322" s="736" t="s">
        <v>3633</v>
      </c>
      <c r="B322" s="736" t="s">
        <v>3633</v>
      </c>
      <c r="C322" s="736"/>
      <c r="D322" s="736"/>
      <c r="E322" s="736"/>
      <c r="F322" s="1059">
        <f>IFERROR(VLOOKUP($A322,'2018'!$A:$BB,3,FALSE),"")</f>
        <v>461798608</v>
      </c>
      <c r="G322" s="1055" t="str">
        <f>IFERROR(VLOOKUP($A322,'2018'!$A:$BB,4,FALSE),"")</f>
        <v>125 N Acacia Ave, Suite 101
 Solana Beach, CA 92075</v>
      </c>
      <c r="H322" s="1055" t="str">
        <f>IFERROR(VLOOKUP($A322,'2018'!$A:$BB,5,FALSE),"")</f>
        <v>CJ Hinshaw
cj.hinshaw@sequoiasolution.com</v>
      </c>
      <c r="I322" s="1055" t="str">
        <f>IFERROR(VLOOKUP($A322,'2018'!$A:$BB,6,FALSE),"")</f>
        <v>Natalie Dukette
858-381-4822
Natalie.Dukette@sequoiasolution.com</v>
      </c>
      <c r="J322" s="1055" t="str">
        <f>IFERROR(VLOOKUP($A322,'2018'!$A:$BB,7,FALSE),"")</f>
        <v>HUB (San Diego)</v>
      </c>
      <c r="K322" s="1055" t="str">
        <f>IFERROR(VLOOKUP($A322,'2018'!$A:$BB,8,FALSE),"")</f>
        <v>Account Managed by HUB SD Team
Producer - Maggie Osburn
Service Lead - Megan Wallace</v>
      </c>
      <c r="L322" s="1062" t="str">
        <f>IFERROR(VLOOKUP($A322,'2018'!$A:$BB,9,FALSE),"")</f>
        <v>New</v>
      </c>
      <c r="M322" s="1067">
        <f>IFERROR(VLOOKUP($A322,'2018'!$A:$BB,10,FALSE),"")</f>
        <v>43132</v>
      </c>
      <c r="N322" s="1062">
        <f>IFERROR(VLOOKUP($A322,'2018'!$A:$BB,12,FALSE),"")</f>
        <v>88</v>
      </c>
      <c r="O322" s="1055" t="str">
        <f>IFERROR(VLOOKUP($A322,'2018'!$A:$BB,13,FALSE),"")</f>
        <v xml:space="preserve">IGOE </v>
      </c>
      <c r="P322" s="1055" t="str">
        <f>IFERROR(VLOOKUP($A322,'2018'!$A:$BB,14,FALSE),"")</f>
        <v>Maestro</v>
      </c>
      <c r="Q322" s="1055" t="str">
        <f>IFERROR(VLOOKUP($A322,'2018'!$A:$BB,16,FALSE),"")</f>
        <v>IGOE</v>
      </c>
      <c r="R322" s="1055" t="str">
        <f>IFERROR(VLOOKUP($A322,'2018'!$A:$BB,17,FALSE),"")</f>
        <v>Optum Health</v>
      </c>
      <c r="S322" s="1062" t="str">
        <f>IFERROR(VLOOKUP($A322,'2018'!$A:$BB,20,FALSE),"")</f>
        <v>SCAL</v>
      </c>
      <c r="T322" s="1062" t="str">
        <f>IFERROR(VLOOKUP($A322,'2018'!$A:$BB,21,FALSE),"")</f>
        <v>Group B (34-44)</v>
      </c>
      <c r="U322" s="1062" t="str">
        <f>IFERROR(VLOOKUP($A322,'2018'!$A:$BB,22,FALSE),"")</f>
        <v>Expanded</v>
      </c>
      <c r="V322" s="1062" t="str">
        <f>IFERROR(VLOOKUP($A322,'2018'!$A:$BB,23,FALSE),"")</f>
        <v>Access</v>
      </c>
      <c r="W322" s="1062" t="str">
        <f>IFERROR(VLOOKUP($A322,'2018'!$A:$BB,24,FALSE),"")</f>
        <v>No</v>
      </c>
      <c r="X322" s="1062" t="str">
        <f>IFERROR(VLOOKUP($A322,'2018'!$A:$BB,41,FALSE),"")</f>
        <v>Region 1</v>
      </c>
      <c r="Y322" s="1062" t="str">
        <f>IFERROR(VLOOKUP($A322,'2018'!$A:$BB,42,FALSE),"")</f>
        <v>(50-99)</v>
      </c>
      <c r="Z322" s="1062" t="str">
        <f>IFERROR(VLOOKUP($A322,'2018'!$A:$BB,45,FALSE),"")</f>
        <v xml:space="preserve"> (50-99)</v>
      </c>
      <c r="AA322" s="731">
        <v>2018</v>
      </c>
      <c r="AB322" s="1020" t="s">
        <v>4221</v>
      </c>
      <c r="AC322" s="734" t="s">
        <v>317</v>
      </c>
      <c r="AD322" s="734" t="s">
        <v>3648</v>
      </c>
      <c r="AE322" s="734" t="s">
        <v>315</v>
      </c>
      <c r="AF322" s="734" t="s">
        <v>113</v>
      </c>
      <c r="AG322" s="732" t="s">
        <v>3972</v>
      </c>
      <c r="AH322" s="732" t="s">
        <v>3973</v>
      </c>
      <c r="AI322" s="734">
        <v>8</v>
      </c>
      <c r="AJ322" s="748" t="s">
        <v>3992</v>
      </c>
      <c r="AK322" s="757">
        <v>909678</v>
      </c>
      <c r="AL322" s="756">
        <v>949</v>
      </c>
      <c r="AM322" s="755">
        <v>909678</v>
      </c>
      <c r="AN322" s="756">
        <v>950</v>
      </c>
      <c r="AO322" s="776">
        <f t="shared" ref="AO322:AO325" si="79">AM322</f>
        <v>909678</v>
      </c>
      <c r="AP322" s="754">
        <f>AN322+1</f>
        <v>951</v>
      </c>
      <c r="AQ322" s="771" t="s">
        <v>3979</v>
      </c>
      <c r="AR322" s="732" t="s">
        <v>2661</v>
      </c>
      <c r="AS322" s="735"/>
      <c r="AT322" s="735"/>
      <c r="AU322" s="732" t="s">
        <v>3980</v>
      </c>
      <c r="AV322" s="735"/>
      <c r="AW322" s="735"/>
    </row>
    <row r="323" spans="1:49" s="739" customFormat="1">
      <c r="A323" s="736" t="s">
        <v>3633</v>
      </c>
      <c r="B323" s="736" t="s">
        <v>3633</v>
      </c>
      <c r="C323" s="736"/>
      <c r="D323" s="736"/>
      <c r="E323" s="736"/>
      <c r="F323" s="1059">
        <f>IFERROR(VLOOKUP($A323,'2018'!$A:$BB,3,FALSE),"")</f>
        <v>461798608</v>
      </c>
      <c r="G323" s="1055" t="str">
        <f>IFERROR(VLOOKUP($A323,'2018'!$A:$BB,4,FALSE),"")</f>
        <v>125 N Acacia Ave, Suite 101
 Solana Beach, CA 92075</v>
      </c>
      <c r="H323" s="1055" t="str">
        <f>IFERROR(VLOOKUP($A323,'2018'!$A:$BB,5,FALSE),"")</f>
        <v>CJ Hinshaw
cj.hinshaw@sequoiasolution.com</v>
      </c>
      <c r="I323" s="1055" t="str">
        <f>IFERROR(VLOOKUP($A323,'2018'!$A:$BB,6,FALSE),"")</f>
        <v>Natalie Dukette
858-381-4822
Natalie.Dukette@sequoiasolution.com</v>
      </c>
      <c r="J323" s="1055" t="str">
        <f>IFERROR(VLOOKUP($A323,'2018'!$A:$BB,7,FALSE),"")</f>
        <v>HUB (San Diego)</v>
      </c>
      <c r="K323" s="1055" t="str">
        <f>IFERROR(VLOOKUP($A323,'2018'!$A:$BB,8,FALSE),"")</f>
        <v>Account Managed by HUB SD Team
Producer - Maggie Osburn
Service Lead - Megan Wallace</v>
      </c>
      <c r="L323" s="1062" t="str">
        <f>IFERROR(VLOOKUP($A323,'2018'!$A:$BB,9,FALSE),"")</f>
        <v>New</v>
      </c>
      <c r="M323" s="1067">
        <f>IFERROR(VLOOKUP($A323,'2018'!$A:$BB,10,FALSE),"")</f>
        <v>43132</v>
      </c>
      <c r="N323" s="1062">
        <f>IFERROR(VLOOKUP($A323,'2018'!$A:$BB,12,FALSE),"")</f>
        <v>88</v>
      </c>
      <c r="O323" s="1055" t="str">
        <f>IFERROR(VLOOKUP($A323,'2018'!$A:$BB,13,FALSE),"")</f>
        <v xml:space="preserve">IGOE </v>
      </c>
      <c r="P323" s="1055" t="str">
        <f>IFERROR(VLOOKUP($A323,'2018'!$A:$BB,14,FALSE),"")</f>
        <v>Maestro</v>
      </c>
      <c r="Q323" s="1055" t="str">
        <f>IFERROR(VLOOKUP($A323,'2018'!$A:$BB,16,FALSE),"")</f>
        <v>IGOE</v>
      </c>
      <c r="R323" s="1055" t="str">
        <f>IFERROR(VLOOKUP($A323,'2018'!$A:$BB,17,FALSE),"")</f>
        <v>Optum Health</v>
      </c>
      <c r="S323" s="1062" t="str">
        <f>IFERROR(VLOOKUP($A323,'2018'!$A:$BB,20,FALSE),"")</f>
        <v>SCAL</v>
      </c>
      <c r="T323" s="1062" t="str">
        <f>IFERROR(VLOOKUP($A323,'2018'!$A:$BB,21,FALSE),"")</f>
        <v>Group B (34-44)</v>
      </c>
      <c r="U323" s="1062" t="str">
        <f>IFERROR(VLOOKUP($A323,'2018'!$A:$BB,22,FALSE),"")</f>
        <v>Expanded</v>
      </c>
      <c r="V323" s="1062" t="str">
        <f>IFERROR(VLOOKUP($A323,'2018'!$A:$BB,23,FALSE),"")</f>
        <v>Access</v>
      </c>
      <c r="W323" s="1062" t="str">
        <f>IFERROR(VLOOKUP($A323,'2018'!$A:$BB,24,FALSE),"")</f>
        <v>No</v>
      </c>
      <c r="X323" s="1062" t="str">
        <f>IFERROR(VLOOKUP($A323,'2018'!$A:$BB,41,FALSE),"")</f>
        <v>Region 1</v>
      </c>
      <c r="Y323" s="1062" t="str">
        <f>IFERROR(VLOOKUP($A323,'2018'!$A:$BB,42,FALSE),"")</f>
        <v>(50-99)</v>
      </c>
      <c r="Z323" s="1062" t="str">
        <f>IFERROR(VLOOKUP($A323,'2018'!$A:$BB,45,FALSE),"")</f>
        <v xml:space="preserve"> (50-99)</v>
      </c>
      <c r="AA323" s="731">
        <v>2018</v>
      </c>
      <c r="AB323" s="1020" t="s">
        <v>4221</v>
      </c>
      <c r="AC323" s="734" t="s">
        <v>317</v>
      </c>
      <c r="AD323" s="734" t="s">
        <v>3648</v>
      </c>
      <c r="AE323" s="734" t="s">
        <v>315</v>
      </c>
      <c r="AF323" s="734" t="s">
        <v>113</v>
      </c>
      <c r="AG323" s="732" t="s">
        <v>3972</v>
      </c>
      <c r="AH323" s="732" t="s">
        <v>3977</v>
      </c>
      <c r="AI323" s="734">
        <v>14</v>
      </c>
      <c r="AJ323" s="748" t="s">
        <v>3994</v>
      </c>
      <c r="AK323" s="757">
        <v>909678</v>
      </c>
      <c r="AL323" s="756">
        <v>1129</v>
      </c>
      <c r="AM323" s="755">
        <v>909678</v>
      </c>
      <c r="AN323" s="756">
        <v>1130</v>
      </c>
      <c r="AO323" s="776">
        <f t="shared" si="79"/>
        <v>909678</v>
      </c>
      <c r="AP323" s="754">
        <f>AN323+1</f>
        <v>1131</v>
      </c>
      <c r="AQ323" s="771" t="s">
        <v>3979</v>
      </c>
      <c r="AR323" s="732" t="s">
        <v>2661</v>
      </c>
      <c r="AS323" s="735"/>
      <c r="AT323" s="735"/>
      <c r="AU323" s="732" t="s">
        <v>3980</v>
      </c>
      <c r="AV323" s="735"/>
      <c r="AW323" s="735"/>
    </row>
    <row r="324" spans="1:49" s="739" customFormat="1">
      <c r="A324" s="736" t="s">
        <v>3633</v>
      </c>
      <c r="B324" s="736" t="s">
        <v>3633</v>
      </c>
      <c r="C324" s="736"/>
      <c r="D324" s="736"/>
      <c r="E324" s="736"/>
      <c r="F324" s="1059">
        <f>IFERROR(VLOOKUP($A324,'2018'!$A:$BB,3,FALSE),"")</f>
        <v>461798608</v>
      </c>
      <c r="G324" s="1055" t="str">
        <f>IFERROR(VLOOKUP($A324,'2018'!$A:$BB,4,FALSE),"")</f>
        <v>125 N Acacia Ave, Suite 101
 Solana Beach, CA 92075</v>
      </c>
      <c r="H324" s="1055" t="str">
        <f>IFERROR(VLOOKUP($A324,'2018'!$A:$BB,5,FALSE),"")</f>
        <v>CJ Hinshaw
cj.hinshaw@sequoiasolution.com</v>
      </c>
      <c r="I324" s="1055" t="str">
        <f>IFERROR(VLOOKUP($A324,'2018'!$A:$BB,6,FALSE),"")</f>
        <v>Natalie Dukette
858-381-4822
Natalie.Dukette@sequoiasolution.com</v>
      </c>
      <c r="J324" s="1055" t="str">
        <f>IFERROR(VLOOKUP($A324,'2018'!$A:$BB,7,FALSE),"")</f>
        <v>HUB (San Diego)</v>
      </c>
      <c r="K324" s="1055" t="str">
        <f>IFERROR(VLOOKUP($A324,'2018'!$A:$BB,8,FALSE),"")</f>
        <v>Account Managed by HUB SD Team
Producer - Maggie Osburn
Service Lead - Megan Wallace</v>
      </c>
      <c r="L324" s="1062" t="str">
        <f>IFERROR(VLOOKUP($A324,'2018'!$A:$BB,9,FALSE),"")</f>
        <v>New</v>
      </c>
      <c r="M324" s="1067">
        <f>IFERROR(VLOOKUP($A324,'2018'!$A:$BB,10,FALSE),"")</f>
        <v>43132</v>
      </c>
      <c r="N324" s="1062">
        <f>IFERROR(VLOOKUP($A324,'2018'!$A:$BB,12,FALSE),"")</f>
        <v>88</v>
      </c>
      <c r="O324" s="1055" t="str">
        <f>IFERROR(VLOOKUP($A324,'2018'!$A:$BB,13,FALSE),"")</f>
        <v xml:space="preserve">IGOE </v>
      </c>
      <c r="P324" s="1055" t="str">
        <f>IFERROR(VLOOKUP($A324,'2018'!$A:$BB,14,FALSE),"")</f>
        <v>Maestro</v>
      </c>
      <c r="Q324" s="1055" t="str">
        <f>IFERROR(VLOOKUP($A324,'2018'!$A:$BB,16,FALSE),"")</f>
        <v>IGOE</v>
      </c>
      <c r="R324" s="1055" t="str">
        <f>IFERROR(VLOOKUP($A324,'2018'!$A:$BB,17,FALSE),"")</f>
        <v>Optum Health</v>
      </c>
      <c r="S324" s="1062" t="str">
        <f>IFERROR(VLOOKUP($A324,'2018'!$A:$BB,20,FALSE),"")</f>
        <v>SCAL</v>
      </c>
      <c r="T324" s="1062" t="str">
        <f>IFERROR(VLOOKUP($A324,'2018'!$A:$BB,21,FALSE),"")</f>
        <v>Group B (34-44)</v>
      </c>
      <c r="U324" s="1062" t="str">
        <f>IFERROR(VLOOKUP($A324,'2018'!$A:$BB,22,FALSE),"")</f>
        <v>Expanded</v>
      </c>
      <c r="V324" s="1062" t="str">
        <f>IFERROR(VLOOKUP($A324,'2018'!$A:$BB,23,FALSE),"")</f>
        <v>Access</v>
      </c>
      <c r="W324" s="1062" t="str">
        <f>IFERROR(VLOOKUP($A324,'2018'!$A:$BB,24,FALSE),"")</f>
        <v>No</v>
      </c>
      <c r="X324" s="1062" t="str">
        <f>IFERROR(VLOOKUP($A324,'2018'!$A:$BB,41,FALSE),"")</f>
        <v>Region 1</v>
      </c>
      <c r="Y324" s="1062" t="str">
        <f>IFERROR(VLOOKUP($A324,'2018'!$A:$BB,42,FALSE),"")</f>
        <v>(50-99)</v>
      </c>
      <c r="Z324" s="1062" t="str">
        <f>IFERROR(VLOOKUP($A324,'2018'!$A:$BB,45,FALSE),"")</f>
        <v xml:space="preserve"> (50-99)</v>
      </c>
      <c r="AA324" s="731">
        <v>2018</v>
      </c>
      <c r="AB324" s="1020" t="s">
        <v>4221</v>
      </c>
      <c r="AC324" s="734" t="s">
        <v>317</v>
      </c>
      <c r="AD324" s="734" t="s">
        <v>3648</v>
      </c>
      <c r="AE324" s="734" t="s">
        <v>315</v>
      </c>
      <c r="AF324" s="734" t="s">
        <v>113</v>
      </c>
      <c r="AG324" s="732" t="s">
        <v>3981</v>
      </c>
      <c r="AH324" s="732" t="s">
        <v>3973</v>
      </c>
      <c r="AI324" s="734">
        <v>11</v>
      </c>
      <c r="AJ324" s="748" t="s">
        <v>3982</v>
      </c>
      <c r="AK324" s="757">
        <v>909678</v>
      </c>
      <c r="AL324" s="756">
        <v>1021</v>
      </c>
      <c r="AM324" s="755">
        <v>909678</v>
      </c>
      <c r="AN324" s="756">
        <v>1022</v>
      </c>
      <c r="AO324" s="776">
        <f t="shared" si="79"/>
        <v>909678</v>
      </c>
      <c r="AP324" s="754">
        <f>AN324+1</f>
        <v>1023</v>
      </c>
      <c r="AQ324" s="771" t="s">
        <v>3979</v>
      </c>
      <c r="AR324" s="732" t="s">
        <v>2661</v>
      </c>
      <c r="AS324" s="735"/>
      <c r="AT324" s="735"/>
      <c r="AU324" s="732" t="s">
        <v>3980</v>
      </c>
      <c r="AV324" s="735"/>
      <c r="AW324" s="735"/>
    </row>
    <row r="325" spans="1:49" s="739" customFormat="1">
      <c r="A325" s="736" t="s">
        <v>3633</v>
      </c>
      <c r="B325" s="736" t="s">
        <v>3633</v>
      </c>
      <c r="C325" s="736"/>
      <c r="D325" s="736"/>
      <c r="E325" s="736"/>
      <c r="F325" s="1059">
        <f>IFERROR(VLOOKUP($A325,'2018'!$A:$BB,3,FALSE),"")</f>
        <v>461798608</v>
      </c>
      <c r="G325" s="1055" t="str">
        <f>IFERROR(VLOOKUP($A325,'2018'!$A:$BB,4,FALSE),"")</f>
        <v>125 N Acacia Ave, Suite 101
 Solana Beach, CA 92075</v>
      </c>
      <c r="H325" s="1055" t="str">
        <f>IFERROR(VLOOKUP($A325,'2018'!$A:$BB,5,FALSE),"")</f>
        <v>CJ Hinshaw
cj.hinshaw@sequoiasolution.com</v>
      </c>
      <c r="I325" s="1055" t="str">
        <f>IFERROR(VLOOKUP($A325,'2018'!$A:$BB,6,FALSE),"")</f>
        <v>Natalie Dukette
858-381-4822
Natalie.Dukette@sequoiasolution.com</v>
      </c>
      <c r="J325" s="1055" t="str">
        <f>IFERROR(VLOOKUP($A325,'2018'!$A:$BB,7,FALSE),"")</f>
        <v>HUB (San Diego)</v>
      </c>
      <c r="K325" s="1055" t="str">
        <f>IFERROR(VLOOKUP($A325,'2018'!$A:$BB,8,FALSE),"")</f>
        <v>Account Managed by HUB SD Team
Producer - Maggie Osburn
Service Lead - Megan Wallace</v>
      </c>
      <c r="L325" s="1062" t="str">
        <f>IFERROR(VLOOKUP($A325,'2018'!$A:$BB,9,FALSE),"")</f>
        <v>New</v>
      </c>
      <c r="M325" s="1067">
        <f>IFERROR(VLOOKUP($A325,'2018'!$A:$BB,10,FALSE),"")</f>
        <v>43132</v>
      </c>
      <c r="N325" s="1062">
        <f>IFERROR(VLOOKUP($A325,'2018'!$A:$BB,12,FALSE),"")</f>
        <v>88</v>
      </c>
      <c r="O325" s="1055" t="str">
        <f>IFERROR(VLOOKUP($A325,'2018'!$A:$BB,13,FALSE),"")</f>
        <v xml:space="preserve">IGOE </v>
      </c>
      <c r="P325" s="1055" t="str">
        <f>IFERROR(VLOOKUP($A325,'2018'!$A:$BB,14,FALSE),"")</f>
        <v>Maestro</v>
      </c>
      <c r="Q325" s="1055" t="str">
        <f>IFERROR(VLOOKUP($A325,'2018'!$A:$BB,16,FALSE),"")</f>
        <v>IGOE</v>
      </c>
      <c r="R325" s="1055" t="str">
        <f>IFERROR(VLOOKUP($A325,'2018'!$A:$BB,17,FALSE),"")</f>
        <v>Optum Health</v>
      </c>
      <c r="S325" s="1062" t="str">
        <f>IFERROR(VLOOKUP($A325,'2018'!$A:$BB,20,FALSE),"")</f>
        <v>SCAL</v>
      </c>
      <c r="T325" s="1062" t="str">
        <f>IFERROR(VLOOKUP($A325,'2018'!$A:$BB,21,FALSE),"")</f>
        <v>Group B (34-44)</v>
      </c>
      <c r="U325" s="1062" t="str">
        <f>IFERROR(VLOOKUP($A325,'2018'!$A:$BB,22,FALSE),"")</f>
        <v>Expanded</v>
      </c>
      <c r="V325" s="1062" t="str">
        <f>IFERROR(VLOOKUP($A325,'2018'!$A:$BB,23,FALSE),"")</f>
        <v>Access</v>
      </c>
      <c r="W325" s="1062" t="str">
        <f>IFERROR(VLOOKUP($A325,'2018'!$A:$BB,24,FALSE),"")</f>
        <v>No</v>
      </c>
      <c r="X325" s="1062" t="str">
        <f>IFERROR(VLOOKUP($A325,'2018'!$A:$BB,41,FALSE),"")</f>
        <v>Region 1</v>
      </c>
      <c r="Y325" s="1062" t="str">
        <f>IFERROR(VLOOKUP($A325,'2018'!$A:$BB,42,FALSE),"")</f>
        <v>(50-99)</v>
      </c>
      <c r="Z325" s="1062" t="str">
        <f>IFERROR(VLOOKUP($A325,'2018'!$A:$BB,45,FALSE),"")</f>
        <v xml:space="preserve"> (50-99)</v>
      </c>
      <c r="AA325" s="731">
        <v>2018</v>
      </c>
      <c r="AB325" s="1020" t="s">
        <v>4221</v>
      </c>
      <c r="AC325" s="734" t="s">
        <v>317</v>
      </c>
      <c r="AD325" s="734" t="s">
        <v>3648</v>
      </c>
      <c r="AE325" s="734" t="s">
        <v>315</v>
      </c>
      <c r="AF325" s="734" t="s">
        <v>113</v>
      </c>
      <c r="AG325" s="732" t="s">
        <v>3981</v>
      </c>
      <c r="AH325" s="732" t="s">
        <v>3977</v>
      </c>
      <c r="AI325" s="734">
        <v>16</v>
      </c>
      <c r="AJ325" s="748" t="s">
        <v>3985</v>
      </c>
      <c r="AK325" s="757">
        <v>909678</v>
      </c>
      <c r="AL325" s="756">
        <v>1201</v>
      </c>
      <c r="AM325" s="755">
        <v>909678</v>
      </c>
      <c r="AN325" s="756">
        <v>1202</v>
      </c>
      <c r="AO325" s="776">
        <f t="shared" si="79"/>
        <v>909678</v>
      </c>
      <c r="AP325" s="754">
        <f>AN325+1</f>
        <v>1203</v>
      </c>
      <c r="AQ325" s="771" t="s">
        <v>3979</v>
      </c>
      <c r="AR325" s="732" t="s">
        <v>2661</v>
      </c>
      <c r="AS325" s="735"/>
      <c r="AT325" s="735"/>
      <c r="AU325" s="732" t="s">
        <v>3980</v>
      </c>
      <c r="AV325" s="735"/>
      <c r="AW325" s="735"/>
    </row>
    <row r="326" spans="1:49" s="739" customFormat="1">
      <c r="A326" s="736"/>
      <c r="B326" s="736"/>
      <c r="C326" s="736"/>
      <c r="D326" s="736"/>
      <c r="E326" s="736"/>
      <c r="F326" s="1059" t="str">
        <f>IFERROR(VLOOKUP($A326,'2018'!$A:$BB,3,FALSE),"")</f>
        <v/>
      </c>
      <c r="G326" s="1055" t="str">
        <f>IFERROR(VLOOKUP($A326,'2018'!$A:$BB,4,FALSE),"")</f>
        <v/>
      </c>
      <c r="H326" s="1055" t="str">
        <f>IFERROR(VLOOKUP($A326,'2018'!$A:$BB,5,FALSE),"")</f>
        <v/>
      </c>
      <c r="I326" s="1055" t="str">
        <f>IFERROR(VLOOKUP($A326,'2018'!$A:$BB,6,FALSE),"")</f>
        <v/>
      </c>
      <c r="J326" s="1055" t="str">
        <f>IFERROR(VLOOKUP($A326,'2018'!$A:$BB,7,FALSE),"")</f>
        <v/>
      </c>
      <c r="K326" s="1055" t="str">
        <f>IFERROR(VLOOKUP($A326,'2018'!$A:$BB,8,FALSE),"")</f>
        <v/>
      </c>
      <c r="L326" s="1062" t="str">
        <f>IFERROR(VLOOKUP($A326,'2018'!$A:$BB,9,FALSE),"")</f>
        <v/>
      </c>
      <c r="M326" s="1067" t="str">
        <f>IFERROR(VLOOKUP($A326,'2018'!$A:$BB,10,FALSE),"")</f>
        <v/>
      </c>
      <c r="N326" s="1062" t="str">
        <f>IFERROR(VLOOKUP($A326,'2018'!$A:$BB,12,FALSE),"")</f>
        <v/>
      </c>
      <c r="O326" s="1055" t="str">
        <f>IFERROR(VLOOKUP($A326,'2018'!$A:$BB,13,FALSE),"")</f>
        <v/>
      </c>
      <c r="P326" s="1055" t="str">
        <f>IFERROR(VLOOKUP($A326,'2018'!$A:$BB,14,FALSE),"")</f>
        <v/>
      </c>
      <c r="Q326" s="1055" t="str">
        <f>IFERROR(VLOOKUP($A326,'2018'!$A:$BB,16,FALSE),"")</f>
        <v/>
      </c>
      <c r="R326" s="1055" t="str">
        <f>IFERROR(VLOOKUP($A326,'2018'!$A:$BB,17,FALSE),"")</f>
        <v/>
      </c>
      <c r="S326" s="1062" t="str">
        <f>IFERROR(VLOOKUP($A326,'2018'!$A:$BB,20,FALSE),"")</f>
        <v/>
      </c>
      <c r="T326" s="1062" t="str">
        <f>IFERROR(VLOOKUP($A326,'2018'!$A:$BB,21,FALSE),"")</f>
        <v/>
      </c>
      <c r="U326" s="1062" t="str">
        <f>IFERROR(VLOOKUP($A326,'2018'!$A:$BB,22,FALSE),"")</f>
        <v/>
      </c>
      <c r="V326" s="1062" t="str">
        <f>IFERROR(VLOOKUP($A326,'2018'!$A:$BB,23,FALSE),"")</f>
        <v/>
      </c>
      <c r="W326" s="1062" t="str">
        <f>IFERROR(VLOOKUP($A326,'2018'!$A:$BB,24,FALSE),"")</f>
        <v/>
      </c>
      <c r="X326" s="1062" t="str">
        <f>IFERROR(VLOOKUP($A326,'2018'!$A:$BB,41,FALSE),"")</f>
        <v/>
      </c>
      <c r="Y326" s="1062" t="str">
        <f>IFERROR(VLOOKUP($A326,'2018'!$A:$BB,42,FALSE),"")</f>
        <v/>
      </c>
      <c r="Z326" s="1062" t="str">
        <f>IFERROR(VLOOKUP($A326,'2018'!$A:$BB,45,FALSE),"")</f>
        <v/>
      </c>
      <c r="AA326" s="741"/>
      <c r="AB326" s="733"/>
      <c r="AC326" s="734"/>
      <c r="AD326" s="734"/>
      <c r="AE326" s="734"/>
      <c r="AF326" s="734"/>
      <c r="AG326" s="732"/>
      <c r="AH326" s="732"/>
      <c r="AI326" s="734"/>
      <c r="AJ326" s="748"/>
      <c r="AK326" s="758"/>
      <c r="AL326" s="756"/>
      <c r="AM326" s="753"/>
      <c r="AN326" s="754"/>
      <c r="AO326" s="776"/>
      <c r="AP326" s="754"/>
      <c r="AQ326" s="771"/>
      <c r="AR326" s="732"/>
      <c r="AS326" s="732"/>
      <c r="AT326" s="732"/>
      <c r="AU326" s="732"/>
      <c r="AV326" s="732"/>
      <c r="AW326" s="732"/>
    </row>
    <row r="327" spans="1:49" s="979" customFormat="1">
      <c r="A327" s="969" t="s">
        <v>170</v>
      </c>
      <c r="B327" s="969" t="s">
        <v>4117</v>
      </c>
      <c r="C327" s="969"/>
      <c r="D327" s="969" t="s">
        <v>4195</v>
      </c>
      <c r="E327" s="969" t="s">
        <v>4195</v>
      </c>
      <c r="F327" s="1059">
        <f>IFERROR(VLOOKUP($A327,'2018'!$A:$BB,3,FALSE),"")</f>
        <v>263907550</v>
      </c>
      <c r="G327" s="1055" t="str">
        <f>IFERROR(VLOOKUP($A327,'2018'!$A:$BB,4,FALSE),"")</f>
        <v xml:space="preserve">5000 Hopyard Road 
Suite 330 
Pleasanton, CA 94588 </v>
      </c>
      <c r="H327" s="1055" t="str">
        <f>IFERROR(VLOOKUP($A327,'2018'!$A:$BB,5,FALSE),"")</f>
        <v xml:space="preserve">Johann Noor Mohamed
925 201-1399 
johann.noormohamed@sfj-pharma.com </v>
      </c>
      <c r="I327" s="1055" t="str">
        <f>IFERROR(VLOOKUP($A327,'2018'!$A:$BB,6,FALSE),"")</f>
        <v xml:space="preserve">Johann Noor Mohamed
925 201-1399 
johann.noormohamed@sfj-pharma.com </v>
      </c>
      <c r="J327" s="1055" t="str">
        <f>IFERROR(VLOOKUP($A327,'2018'!$A:$BB,7,FALSE),"")</f>
        <v>HUB (San Diego)</v>
      </c>
      <c r="K327" s="1055" t="str">
        <f>IFERROR(VLOOKUP($A327,'2018'!$A:$BB,8,FALSE),"")</f>
        <v>Account Managed by HUB SD Team
Producer - Dave Duenas
Service Lead - Pam Andrakowicz</v>
      </c>
      <c r="L327" s="1062" t="str">
        <f>IFERROR(VLOOKUP($A327,'2018'!$A:$BB,9,FALSE),"")</f>
        <v>Renewal</v>
      </c>
      <c r="M327" s="1067">
        <f>IFERROR(VLOOKUP($A327,'2018'!$A:$BB,10,FALSE),"")</f>
        <v>42705</v>
      </c>
      <c r="N327" s="1062">
        <f>IFERROR(VLOOKUP($A327,'2018'!$A:$BB,12,FALSE),"")</f>
        <v>14</v>
      </c>
      <c r="O327" s="1055" t="str">
        <f>IFERROR(VLOOKUP($A327,'2018'!$A:$BB,13,FALSE),"")</f>
        <v xml:space="preserve">IGOE </v>
      </c>
      <c r="P327" s="1055" t="str">
        <f>IFERROR(VLOOKUP($A327,'2018'!$A:$BB,14,FALSE),"")</f>
        <v xml:space="preserve">Maestro </v>
      </c>
      <c r="Q327" s="1055" t="str">
        <f>IFERROR(VLOOKUP($A327,'2018'!$A:$BB,16,FALSE),"")</f>
        <v>IGOE</v>
      </c>
      <c r="R327" s="1055" t="str">
        <f>IFERROR(VLOOKUP($A327,'2018'!$A:$BB,17,FALSE),"")</f>
        <v>Optum Health</v>
      </c>
      <c r="S327" s="1062" t="str">
        <f>IFERROR(VLOOKUP($A327,'2018'!$A:$BB,20,FALSE),"")</f>
        <v>NCAL</v>
      </c>
      <c r="T327" s="1062" t="str">
        <f>IFERROR(VLOOKUP($A327,'2018'!$A:$BB,21,FALSE),"")</f>
        <v>Group C (44-54)</v>
      </c>
      <c r="U327" s="1062" t="str">
        <f>IFERROR(VLOOKUP($A327,'2018'!$A:$BB,22,FALSE),"")</f>
        <v>Expanded</v>
      </c>
      <c r="V327" s="1062" t="str">
        <f>IFERROR(VLOOKUP($A327,'2018'!$A:$BB,23,FALSE),"")</f>
        <v>Advantage</v>
      </c>
      <c r="W327" s="1062" t="str">
        <f>IFERROR(VLOOKUP($A327,'2018'!$A:$BB,24,FALSE),"")</f>
        <v>No</v>
      </c>
      <c r="X327" s="1062" t="str">
        <f>IFERROR(VLOOKUP($A327,'2018'!$A:$BB,41,FALSE),"")</f>
        <v xml:space="preserve">Region 4 </v>
      </c>
      <c r="Y327" s="1062" t="str">
        <f>IFERROR(VLOOKUP($A327,'2018'!$A:$BB,42,FALSE),"")</f>
        <v>(25-49)</v>
      </c>
      <c r="Z327" s="1062" t="str">
        <f>IFERROR(VLOOKUP($A327,'2018'!$A:$BB,45,FALSE),"")</f>
        <v xml:space="preserve"> (2-49)</v>
      </c>
      <c r="AA327" s="970">
        <v>2018</v>
      </c>
      <c r="AB327" s="971" t="s">
        <v>3915</v>
      </c>
      <c r="AC327" s="972" t="s">
        <v>303</v>
      </c>
      <c r="AD327" s="972" t="s">
        <v>3656</v>
      </c>
      <c r="AE327" s="972" t="s">
        <v>307</v>
      </c>
      <c r="AF327" s="972" t="s">
        <v>113</v>
      </c>
      <c r="AG327" s="973" t="s">
        <v>3962</v>
      </c>
      <c r="AH327" s="973" t="s">
        <v>3963</v>
      </c>
      <c r="AI327" s="972">
        <v>2</v>
      </c>
      <c r="AJ327" s="974" t="s">
        <v>3964</v>
      </c>
      <c r="AK327" s="975">
        <v>260080</v>
      </c>
      <c r="AL327" s="976">
        <v>181</v>
      </c>
      <c r="AM327" s="975">
        <v>260081</v>
      </c>
      <c r="AN327" s="976">
        <v>182</v>
      </c>
      <c r="AO327" s="977">
        <f t="shared" si="72"/>
        <v>260082</v>
      </c>
      <c r="AP327" s="976">
        <f t="shared" si="73"/>
        <v>183</v>
      </c>
      <c r="AQ327" s="978" t="s">
        <v>4118</v>
      </c>
      <c r="AR327" s="973" t="s">
        <v>2661</v>
      </c>
      <c r="AS327" s="973" t="s">
        <v>4119</v>
      </c>
      <c r="AT327" s="973">
        <v>1810181</v>
      </c>
      <c r="AU327" s="973" t="s">
        <v>3980</v>
      </c>
      <c r="AV327" s="973"/>
      <c r="AW327" s="973"/>
    </row>
    <row r="328" spans="1:49">
      <c r="A328" s="736" t="s">
        <v>170</v>
      </c>
      <c r="B328" s="736" t="s">
        <v>4117</v>
      </c>
      <c r="C328" s="736"/>
      <c r="D328" s="736" t="s">
        <v>4195</v>
      </c>
      <c r="E328" s="736" t="s">
        <v>4195</v>
      </c>
      <c r="F328" s="1059">
        <f>IFERROR(VLOOKUP($A328,'2018'!$A:$BB,3,FALSE),"")</f>
        <v>263907550</v>
      </c>
      <c r="G328" s="1055" t="str">
        <f>IFERROR(VLOOKUP($A328,'2018'!$A:$BB,4,FALSE),"")</f>
        <v xml:space="preserve">5000 Hopyard Road 
Suite 330 
Pleasanton, CA 94588 </v>
      </c>
      <c r="H328" s="1055" t="str">
        <f>IFERROR(VLOOKUP($A328,'2018'!$A:$BB,5,FALSE),"")</f>
        <v xml:space="preserve">Johann Noor Mohamed
925 201-1399 
johann.noormohamed@sfj-pharma.com </v>
      </c>
      <c r="I328" s="1055" t="str">
        <f>IFERROR(VLOOKUP($A328,'2018'!$A:$BB,6,FALSE),"")</f>
        <v xml:space="preserve">Johann Noor Mohamed
925 201-1399 
johann.noormohamed@sfj-pharma.com </v>
      </c>
      <c r="J328" s="1055" t="str">
        <f>IFERROR(VLOOKUP($A328,'2018'!$A:$BB,7,FALSE),"")</f>
        <v>HUB (San Diego)</v>
      </c>
      <c r="K328" s="1055" t="str">
        <f>IFERROR(VLOOKUP($A328,'2018'!$A:$BB,8,FALSE),"")</f>
        <v>Account Managed by HUB SD Team
Producer - Dave Duenas
Service Lead - Pam Andrakowicz</v>
      </c>
      <c r="L328" s="1062" t="str">
        <f>IFERROR(VLOOKUP($A328,'2018'!$A:$BB,9,FALSE),"")</f>
        <v>Renewal</v>
      </c>
      <c r="M328" s="1067">
        <f>IFERROR(VLOOKUP($A328,'2018'!$A:$BB,10,FALSE),"")</f>
        <v>42705</v>
      </c>
      <c r="N328" s="1062">
        <f>IFERROR(VLOOKUP($A328,'2018'!$A:$BB,12,FALSE),"")</f>
        <v>14</v>
      </c>
      <c r="O328" s="1055" t="str">
        <f>IFERROR(VLOOKUP($A328,'2018'!$A:$BB,13,FALSE),"")</f>
        <v xml:space="preserve">IGOE </v>
      </c>
      <c r="P328" s="1055" t="str">
        <f>IFERROR(VLOOKUP($A328,'2018'!$A:$BB,14,FALSE),"")</f>
        <v xml:space="preserve">Maestro </v>
      </c>
      <c r="Q328" s="1055" t="str">
        <f>IFERROR(VLOOKUP($A328,'2018'!$A:$BB,16,FALSE),"")</f>
        <v>IGOE</v>
      </c>
      <c r="R328" s="1055" t="str">
        <f>IFERROR(VLOOKUP($A328,'2018'!$A:$BB,17,FALSE),"")</f>
        <v>Optum Health</v>
      </c>
      <c r="S328" s="1062" t="str">
        <f>IFERROR(VLOOKUP($A328,'2018'!$A:$BB,20,FALSE),"")</f>
        <v>NCAL</v>
      </c>
      <c r="T328" s="1062" t="str">
        <f>IFERROR(VLOOKUP($A328,'2018'!$A:$BB,21,FALSE),"")</f>
        <v>Group C (44-54)</v>
      </c>
      <c r="U328" s="1062" t="str">
        <f>IFERROR(VLOOKUP($A328,'2018'!$A:$BB,22,FALSE),"")</f>
        <v>Expanded</v>
      </c>
      <c r="V328" s="1062" t="str">
        <f>IFERROR(VLOOKUP($A328,'2018'!$A:$BB,23,FALSE),"")</f>
        <v>Advantage</v>
      </c>
      <c r="W328" s="1062" t="str">
        <f>IFERROR(VLOOKUP($A328,'2018'!$A:$BB,24,FALSE),"")</f>
        <v>No</v>
      </c>
      <c r="X328" s="1062" t="str">
        <f>IFERROR(VLOOKUP($A328,'2018'!$A:$BB,41,FALSE),"")</f>
        <v xml:space="preserve">Region 4 </v>
      </c>
      <c r="Y328" s="1062" t="str">
        <f>IFERROR(VLOOKUP($A328,'2018'!$A:$BB,42,FALSE),"")</f>
        <v>(25-49)</v>
      </c>
      <c r="Z328" s="1062" t="str">
        <f>IFERROR(VLOOKUP($A328,'2018'!$A:$BB,45,FALSE),"")</f>
        <v xml:space="preserve"> (2-49)</v>
      </c>
      <c r="AA328" s="731">
        <v>2018</v>
      </c>
      <c r="AB328" s="1020" t="s">
        <v>3915</v>
      </c>
      <c r="AC328" s="734" t="s">
        <v>303</v>
      </c>
      <c r="AD328" s="734" t="s">
        <v>3656</v>
      </c>
      <c r="AE328" s="734" t="s">
        <v>307</v>
      </c>
      <c r="AF328" s="734" t="s">
        <v>113</v>
      </c>
      <c r="AG328" s="732" t="s">
        <v>3972</v>
      </c>
      <c r="AH328" s="732" t="s">
        <v>4096</v>
      </c>
      <c r="AI328" s="734">
        <v>7</v>
      </c>
      <c r="AJ328" s="748" t="s">
        <v>4001</v>
      </c>
      <c r="AK328" s="757">
        <v>909678</v>
      </c>
      <c r="AL328" s="754">
        <v>328</v>
      </c>
      <c r="AM328" s="755">
        <v>909678</v>
      </c>
      <c r="AN328" s="754">
        <v>329</v>
      </c>
      <c r="AO328" s="776">
        <f t="shared" ref="AO328:AO331" si="80">AM328</f>
        <v>909678</v>
      </c>
      <c r="AP328" s="754">
        <f t="shared" si="73"/>
        <v>330</v>
      </c>
      <c r="AQ328" s="771"/>
      <c r="AR328" s="732" t="s">
        <v>2661</v>
      </c>
      <c r="AS328" s="732" t="s">
        <v>4120</v>
      </c>
      <c r="AT328" s="732">
        <v>3280328</v>
      </c>
      <c r="AU328" s="732" t="s">
        <v>3966</v>
      </c>
      <c r="AV328" s="732" t="s">
        <v>4026</v>
      </c>
      <c r="AW328" s="726">
        <v>3290329</v>
      </c>
    </row>
    <row r="329" spans="1:49">
      <c r="A329" s="736" t="s">
        <v>170</v>
      </c>
      <c r="B329" s="736" t="s">
        <v>4117</v>
      </c>
      <c r="C329" s="736"/>
      <c r="D329" s="736" t="s">
        <v>4195</v>
      </c>
      <c r="E329" s="736" t="s">
        <v>4195</v>
      </c>
      <c r="F329" s="1059">
        <f>IFERROR(VLOOKUP($A329,'2018'!$A:$BB,3,FALSE),"")</f>
        <v>263907550</v>
      </c>
      <c r="G329" s="1055" t="str">
        <f>IFERROR(VLOOKUP($A329,'2018'!$A:$BB,4,FALSE),"")</f>
        <v xml:space="preserve">5000 Hopyard Road 
Suite 330 
Pleasanton, CA 94588 </v>
      </c>
      <c r="H329" s="1055" t="str">
        <f>IFERROR(VLOOKUP($A329,'2018'!$A:$BB,5,FALSE),"")</f>
        <v xml:space="preserve">Johann Noor Mohamed
925 201-1399 
johann.noormohamed@sfj-pharma.com </v>
      </c>
      <c r="I329" s="1055" t="str">
        <f>IFERROR(VLOOKUP($A329,'2018'!$A:$BB,6,FALSE),"")</f>
        <v xml:space="preserve">Johann Noor Mohamed
925 201-1399 
johann.noormohamed@sfj-pharma.com </v>
      </c>
      <c r="J329" s="1055" t="str">
        <f>IFERROR(VLOOKUP($A329,'2018'!$A:$BB,7,FALSE),"")</f>
        <v>HUB (San Diego)</v>
      </c>
      <c r="K329" s="1055" t="str">
        <f>IFERROR(VLOOKUP($A329,'2018'!$A:$BB,8,FALSE),"")</f>
        <v>Account Managed by HUB SD Team
Producer - Dave Duenas
Service Lead - Pam Andrakowicz</v>
      </c>
      <c r="L329" s="1062" t="str">
        <f>IFERROR(VLOOKUP($A329,'2018'!$A:$BB,9,FALSE),"")</f>
        <v>Renewal</v>
      </c>
      <c r="M329" s="1067">
        <f>IFERROR(VLOOKUP($A329,'2018'!$A:$BB,10,FALSE),"")</f>
        <v>42705</v>
      </c>
      <c r="N329" s="1062">
        <f>IFERROR(VLOOKUP($A329,'2018'!$A:$BB,12,FALSE),"")</f>
        <v>14</v>
      </c>
      <c r="O329" s="1055" t="str">
        <f>IFERROR(VLOOKUP($A329,'2018'!$A:$BB,13,FALSE),"")</f>
        <v xml:space="preserve">IGOE </v>
      </c>
      <c r="P329" s="1055" t="str">
        <f>IFERROR(VLOOKUP($A329,'2018'!$A:$BB,14,FALSE),"")</f>
        <v xml:space="preserve">Maestro </v>
      </c>
      <c r="Q329" s="1055" t="str">
        <f>IFERROR(VLOOKUP($A329,'2018'!$A:$BB,16,FALSE),"")</f>
        <v>IGOE</v>
      </c>
      <c r="R329" s="1055" t="str">
        <f>IFERROR(VLOOKUP($A329,'2018'!$A:$BB,17,FALSE),"")</f>
        <v>Optum Health</v>
      </c>
      <c r="S329" s="1062" t="str">
        <f>IFERROR(VLOOKUP($A329,'2018'!$A:$BB,20,FALSE),"")</f>
        <v>NCAL</v>
      </c>
      <c r="T329" s="1062" t="str">
        <f>IFERROR(VLOOKUP($A329,'2018'!$A:$BB,21,FALSE),"")</f>
        <v>Group C (44-54)</v>
      </c>
      <c r="U329" s="1062" t="str">
        <f>IFERROR(VLOOKUP($A329,'2018'!$A:$BB,22,FALSE),"")</f>
        <v>Expanded</v>
      </c>
      <c r="V329" s="1062" t="str">
        <f>IFERROR(VLOOKUP($A329,'2018'!$A:$BB,23,FALSE),"")</f>
        <v>Advantage</v>
      </c>
      <c r="W329" s="1062" t="str">
        <f>IFERROR(VLOOKUP($A329,'2018'!$A:$BB,24,FALSE),"")</f>
        <v>No</v>
      </c>
      <c r="X329" s="1062" t="str">
        <f>IFERROR(VLOOKUP($A329,'2018'!$A:$BB,41,FALSE),"")</f>
        <v xml:space="preserve">Region 4 </v>
      </c>
      <c r="Y329" s="1062" t="str">
        <f>IFERROR(VLOOKUP($A329,'2018'!$A:$BB,42,FALSE),"")</f>
        <v>(25-49)</v>
      </c>
      <c r="Z329" s="1062" t="str">
        <f>IFERROR(VLOOKUP($A329,'2018'!$A:$BB,45,FALSE),"")</f>
        <v xml:space="preserve"> (2-49)</v>
      </c>
      <c r="AA329" s="731">
        <v>2018</v>
      </c>
      <c r="AB329" s="733" t="s">
        <v>3915</v>
      </c>
      <c r="AC329" s="734" t="s">
        <v>303</v>
      </c>
      <c r="AD329" s="734" t="s">
        <v>3656</v>
      </c>
      <c r="AE329" s="734" t="s">
        <v>307</v>
      </c>
      <c r="AF329" s="734" t="s">
        <v>113</v>
      </c>
      <c r="AG329" s="732" t="s">
        <v>3972</v>
      </c>
      <c r="AH329" s="732" t="s">
        <v>4099</v>
      </c>
      <c r="AI329" s="734">
        <v>13</v>
      </c>
      <c r="AJ329" s="748" t="s">
        <v>4004</v>
      </c>
      <c r="AK329" s="757">
        <v>909678</v>
      </c>
      <c r="AL329" s="756">
        <v>580</v>
      </c>
      <c r="AM329" s="755">
        <v>909678</v>
      </c>
      <c r="AN329" s="756">
        <v>581</v>
      </c>
      <c r="AO329" s="776">
        <f t="shared" si="80"/>
        <v>909678</v>
      </c>
      <c r="AP329" s="754">
        <f t="shared" si="73"/>
        <v>582</v>
      </c>
      <c r="AQ329" s="771" t="s">
        <v>3979</v>
      </c>
      <c r="AR329" s="732" t="s">
        <v>2661</v>
      </c>
      <c r="AS329" s="735"/>
      <c r="AT329" s="735"/>
      <c r="AU329" s="732" t="s">
        <v>3980</v>
      </c>
      <c r="AV329" s="735"/>
      <c r="AW329" s="735"/>
    </row>
    <row r="330" spans="1:49">
      <c r="A330" s="736" t="s">
        <v>170</v>
      </c>
      <c r="B330" s="736" t="s">
        <v>4117</v>
      </c>
      <c r="C330" s="736"/>
      <c r="D330" s="736" t="s">
        <v>4195</v>
      </c>
      <c r="E330" s="736" t="s">
        <v>4195</v>
      </c>
      <c r="F330" s="1059">
        <f>IFERROR(VLOOKUP($A330,'2018'!$A:$BB,3,FALSE),"")</f>
        <v>263907550</v>
      </c>
      <c r="G330" s="1055" t="str">
        <f>IFERROR(VLOOKUP($A330,'2018'!$A:$BB,4,FALSE),"")</f>
        <v xml:space="preserve">5000 Hopyard Road 
Suite 330 
Pleasanton, CA 94588 </v>
      </c>
      <c r="H330" s="1055" t="str">
        <f>IFERROR(VLOOKUP($A330,'2018'!$A:$BB,5,FALSE),"")</f>
        <v xml:space="preserve">Johann Noor Mohamed
925 201-1399 
johann.noormohamed@sfj-pharma.com </v>
      </c>
      <c r="I330" s="1055" t="str">
        <f>IFERROR(VLOOKUP($A330,'2018'!$A:$BB,6,FALSE),"")</f>
        <v xml:space="preserve">Johann Noor Mohamed
925 201-1399 
johann.noormohamed@sfj-pharma.com </v>
      </c>
      <c r="J330" s="1055" t="str">
        <f>IFERROR(VLOOKUP($A330,'2018'!$A:$BB,7,FALSE),"")</f>
        <v>HUB (San Diego)</v>
      </c>
      <c r="K330" s="1055" t="str">
        <f>IFERROR(VLOOKUP($A330,'2018'!$A:$BB,8,FALSE),"")</f>
        <v>Account Managed by HUB SD Team
Producer - Dave Duenas
Service Lead - Pam Andrakowicz</v>
      </c>
      <c r="L330" s="1062" t="str">
        <f>IFERROR(VLOOKUP($A330,'2018'!$A:$BB,9,FALSE),"")</f>
        <v>Renewal</v>
      </c>
      <c r="M330" s="1067">
        <f>IFERROR(VLOOKUP($A330,'2018'!$A:$BB,10,FALSE),"")</f>
        <v>42705</v>
      </c>
      <c r="N330" s="1062">
        <f>IFERROR(VLOOKUP($A330,'2018'!$A:$BB,12,FALSE),"")</f>
        <v>14</v>
      </c>
      <c r="O330" s="1055" t="str">
        <f>IFERROR(VLOOKUP($A330,'2018'!$A:$BB,13,FALSE),"")</f>
        <v xml:space="preserve">IGOE </v>
      </c>
      <c r="P330" s="1055" t="str">
        <f>IFERROR(VLOOKUP($A330,'2018'!$A:$BB,14,FALSE),"")</f>
        <v xml:space="preserve">Maestro </v>
      </c>
      <c r="Q330" s="1055" t="str">
        <f>IFERROR(VLOOKUP($A330,'2018'!$A:$BB,16,FALSE),"")</f>
        <v>IGOE</v>
      </c>
      <c r="R330" s="1055" t="str">
        <f>IFERROR(VLOOKUP($A330,'2018'!$A:$BB,17,FALSE),"")</f>
        <v>Optum Health</v>
      </c>
      <c r="S330" s="1062" t="str">
        <f>IFERROR(VLOOKUP($A330,'2018'!$A:$BB,20,FALSE),"")</f>
        <v>NCAL</v>
      </c>
      <c r="T330" s="1062" t="str">
        <f>IFERROR(VLOOKUP($A330,'2018'!$A:$BB,21,FALSE),"")</f>
        <v>Group C (44-54)</v>
      </c>
      <c r="U330" s="1062" t="str">
        <f>IFERROR(VLOOKUP($A330,'2018'!$A:$BB,22,FALSE),"")</f>
        <v>Expanded</v>
      </c>
      <c r="V330" s="1062" t="str">
        <f>IFERROR(VLOOKUP($A330,'2018'!$A:$BB,23,FALSE),"")</f>
        <v>Advantage</v>
      </c>
      <c r="W330" s="1062" t="str">
        <f>IFERROR(VLOOKUP($A330,'2018'!$A:$BB,24,FALSE),"")</f>
        <v>No</v>
      </c>
      <c r="X330" s="1062" t="str">
        <f>IFERROR(VLOOKUP($A330,'2018'!$A:$BB,41,FALSE),"")</f>
        <v xml:space="preserve">Region 4 </v>
      </c>
      <c r="Y330" s="1062" t="str">
        <f>IFERROR(VLOOKUP($A330,'2018'!$A:$BB,42,FALSE),"")</f>
        <v>(25-49)</v>
      </c>
      <c r="Z330" s="1062" t="str">
        <f>IFERROR(VLOOKUP($A330,'2018'!$A:$BB,45,FALSE),"")</f>
        <v xml:space="preserve"> (2-49)</v>
      </c>
      <c r="AA330" s="731">
        <v>2018</v>
      </c>
      <c r="AB330" s="733" t="s">
        <v>3915</v>
      </c>
      <c r="AC330" s="734" t="s">
        <v>303</v>
      </c>
      <c r="AD330" s="734" t="s">
        <v>3656</v>
      </c>
      <c r="AE330" s="734" t="s">
        <v>307</v>
      </c>
      <c r="AF330" s="734" t="s">
        <v>113</v>
      </c>
      <c r="AG330" s="732" t="s">
        <v>3981</v>
      </c>
      <c r="AH330" s="732" t="s">
        <v>3973</v>
      </c>
      <c r="AI330" s="734">
        <v>11</v>
      </c>
      <c r="AJ330" s="748" t="s">
        <v>3982</v>
      </c>
      <c r="AK330" s="757">
        <v>909678</v>
      </c>
      <c r="AL330" s="754">
        <v>472</v>
      </c>
      <c r="AM330" s="755">
        <v>909678</v>
      </c>
      <c r="AN330" s="754">
        <v>473</v>
      </c>
      <c r="AO330" s="776">
        <f t="shared" si="80"/>
        <v>909678</v>
      </c>
      <c r="AP330" s="754">
        <f t="shared" si="73"/>
        <v>474</v>
      </c>
      <c r="AQ330" s="771"/>
      <c r="AR330" s="732" t="s">
        <v>2661</v>
      </c>
      <c r="AS330" s="732" t="s">
        <v>4121</v>
      </c>
      <c r="AT330" s="732">
        <v>4720472</v>
      </c>
      <c r="AU330" s="732" t="s">
        <v>3966</v>
      </c>
      <c r="AV330" s="732" t="s">
        <v>4122</v>
      </c>
      <c r="AW330" s="726">
        <v>4730473</v>
      </c>
    </row>
    <row r="331" spans="1:49">
      <c r="A331" s="736" t="s">
        <v>170</v>
      </c>
      <c r="B331" s="736" t="s">
        <v>4117</v>
      </c>
      <c r="C331" s="736"/>
      <c r="D331" s="736" t="s">
        <v>4195</v>
      </c>
      <c r="E331" s="736" t="s">
        <v>4195</v>
      </c>
      <c r="F331" s="1059">
        <f>IFERROR(VLOOKUP($A331,'2018'!$A:$BB,3,FALSE),"")</f>
        <v>263907550</v>
      </c>
      <c r="G331" s="1055" t="str">
        <f>IFERROR(VLOOKUP($A331,'2018'!$A:$BB,4,FALSE),"")</f>
        <v xml:space="preserve">5000 Hopyard Road 
Suite 330 
Pleasanton, CA 94588 </v>
      </c>
      <c r="H331" s="1055" t="str">
        <f>IFERROR(VLOOKUP($A331,'2018'!$A:$BB,5,FALSE),"")</f>
        <v xml:space="preserve">Johann Noor Mohamed
925 201-1399 
johann.noormohamed@sfj-pharma.com </v>
      </c>
      <c r="I331" s="1055" t="str">
        <f>IFERROR(VLOOKUP($A331,'2018'!$A:$BB,6,FALSE),"")</f>
        <v xml:space="preserve">Johann Noor Mohamed
925 201-1399 
johann.noormohamed@sfj-pharma.com </v>
      </c>
      <c r="J331" s="1055" t="str">
        <f>IFERROR(VLOOKUP($A331,'2018'!$A:$BB,7,FALSE),"")</f>
        <v>HUB (San Diego)</v>
      </c>
      <c r="K331" s="1055" t="str">
        <f>IFERROR(VLOOKUP($A331,'2018'!$A:$BB,8,FALSE),"")</f>
        <v>Account Managed by HUB SD Team
Producer - Dave Duenas
Service Lead - Pam Andrakowicz</v>
      </c>
      <c r="L331" s="1062" t="str">
        <f>IFERROR(VLOOKUP($A331,'2018'!$A:$BB,9,FALSE),"")</f>
        <v>Renewal</v>
      </c>
      <c r="M331" s="1067">
        <f>IFERROR(VLOOKUP($A331,'2018'!$A:$BB,10,FALSE),"")</f>
        <v>42705</v>
      </c>
      <c r="N331" s="1062">
        <f>IFERROR(VLOOKUP($A331,'2018'!$A:$BB,12,FALSE),"")</f>
        <v>14</v>
      </c>
      <c r="O331" s="1055" t="str">
        <f>IFERROR(VLOOKUP($A331,'2018'!$A:$BB,13,FALSE),"")</f>
        <v xml:space="preserve">IGOE </v>
      </c>
      <c r="P331" s="1055" t="str">
        <f>IFERROR(VLOOKUP($A331,'2018'!$A:$BB,14,FALSE),"")</f>
        <v xml:space="preserve">Maestro </v>
      </c>
      <c r="Q331" s="1055" t="str">
        <f>IFERROR(VLOOKUP($A331,'2018'!$A:$BB,16,FALSE),"")</f>
        <v>IGOE</v>
      </c>
      <c r="R331" s="1055" t="str">
        <f>IFERROR(VLOOKUP($A331,'2018'!$A:$BB,17,FALSE),"")</f>
        <v>Optum Health</v>
      </c>
      <c r="S331" s="1062" t="str">
        <f>IFERROR(VLOOKUP($A331,'2018'!$A:$BB,20,FALSE),"")</f>
        <v>NCAL</v>
      </c>
      <c r="T331" s="1062" t="str">
        <f>IFERROR(VLOOKUP($A331,'2018'!$A:$BB,21,FALSE),"")</f>
        <v>Group C (44-54)</v>
      </c>
      <c r="U331" s="1062" t="str">
        <f>IFERROR(VLOOKUP($A331,'2018'!$A:$BB,22,FALSE),"")</f>
        <v>Expanded</v>
      </c>
      <c r="V331" s="1062" t="str">
        <f>IFERROR(VLOOKUP($A331,'2018'!$A:$BB,23,FALSE),"")</f>
        <v>Advantage</v>
      </c>
      <c r="W331" s="1062" t="str">
        <f>IFERROR(VLOOKUP($A331,'2018'!$A:$BB,24,FALSE),"")</f>
        <v>No</v>
      </c>
      <c r="X331" s="1062" t="str">
        <f>IFERROR(VLOOKUP($A331,'2018'!$A:$BB,41,FALSE),"")</f>
        <v xml:space="preserve">Region 4 </v>
      </c>
      <c r="Y331" s="1062" t="str">
        <f>IFERROR(VLOOKUP($A331,'2018'!$A:$BB,42,FALSE),"")</f>
        <v>(25-49)</v>
      </c>
      <c r="Z331" s="1062" t="str">
        <f>IFERROR(VLOOKUP($A331,'2018'!$A:$BB,45,FALSE),"")</f>
        <v xml:space="preserve"> (2-49)</v>
      </c>
      <c r="AA331" s="731">
        <v>2018</v>
      </c>
      <c r="AB331" s="733" t="s">
        <v>3915</v>
      </c>
      <c r="AC331" s="734" t="s">
        <v>303</v>
      </c>
      <c r="AD331" s="734" t="s">
        <v>3656</v>
      </c>
      <c r="AE331" s="734" t="s">
        <v>307</v>
      </c>
      <c r="AF331" s="734" t="s">
        <v>113</v>
      </c>
      <c r="AG331" s="732" t="s">
        <v>3981</v>
      </c>
      <c r="AH331" s="732" t="s">
        <v>3977</v>
      </c>
      <c r="AI331" s="734">
        <v>16</v>
      </c>
      <c r="AJ331" s="748" t="s">
        <v>3985</v>
      </c>
      <c r="AK331" s="757">
        <v>909678</v>
      </c>
      <c r="AL331" s="756">
        <v>724</v>
      </c>
      <c r="AM331" s="755">
        <v>909678</v>
      </c>
      <c r="AN331" s="756">
        <v>725</v>
      </c>
      <c r="AO331" s="776">
        <f t="shared" si="80"/>
        <v>909678</v>
      </c>
      <c r="AP331" s="754">
        <f t="shared" si="73"/>
        <v>726</v>
      </c>
      <c r="AQ331" s="771" t="s">
        <v>3979</v>
      </c>
      <c r="AR331" s="732" t="s">
        <v>2661</v>
      </c>
      <c r="AS331" s="735"/>
      <c r="AT331" s="735"/>
      <c r="AU331" s="732" t="s">
        <v>3980</v>
      </c>
      <c r="AV331" s="735"/>
      <c r="AW331" s="735"/>
    </row>
    <row r="332" spans="1:49">
      <c r="A332" s="738"/>
      <c r="B332" s="738"/>
      <c r="C332" s="738"/>
      <c r="D332" s="738"/>
      <c r="E332" s="738"/>
      <c r="F332" s="1059" t="str">
        <f>IFERROR(VLOOKUP($A332,'2018'!$A:$BB,3,FALSE),"")</f>
        <v/>
      </c>
      <c r="G332" s="1055" t="str">
        <f>IFERROR(VLOOKUP($A332,'2018'!$A:$BB,4,FALSE),"")</f>
        <v/>
      </c>
      <c r="H332" s="1055" t="str">
        <f>IFERROR(VLOOKUP($A332,'2018'!$A:$BB,5,FALSE),"")</f>
        <v/>
      </c>
      <c r="I332" s="1055" t="str">
        <f>IFERROR(VLOOKUP($A332,'2018'!$A:$BB,6,FALSE),"")</f>
        <v/>
      </c>
      <c r="J332" s="1055" t="str">
        <f>IFERROR(VLOOKUP($A332,'2018'!$A:$BB,7,FALSE),"")</f>
        <v/>
      </c>
      <c r="K332" s="1055" t="str">
        <f>IFERROR(VLOOKUP($A332,'2018'!$A:$BB,8,FALSE),"")</f>
        <v/>
      </c>
      <c r="L332" s="1062" t="str">
        <f>IFERROR(VLOOKUP($A332,'2018'!$A:$BB,9,FALSE),"")</f>
        <v/>
      </c>
      <c r="M332" s="1067" t="str">
        <f>IFERROR(VLOOKUP($A332,'2018'!$A:$BB,10,FALSE),"")</f>
        <v/>
      </c>
      <c r="N332" s="1062" t="str">
        <f>IFERROR(VLOOKUP($A332,'2018'!$A:$BB,12,FALSE),"")</f>
        <v/>
      </c>
      <c r="O332" s="1055" t="str">
        <f>IFERROR(VLOOKUP($A332,'2018'!$A:$BB,13,FALSE),"")</f>
        <v/>
      </c>
      <c r="P332" s="1055" t="str">
        <f>IFERROR(VLOOKUP($A332,'2018'!$A:$BB,14,FALSE),"")</f>
        <v/>
      </c>
      <c r="Q332" s="1055" t="str">
        <f>IFERROR(VLOOKUP($A332,'2018'!$A:$BB,16,FALSE),"")</f>
        <v/>
      </c>
      <c r="R332" s="1055" t="str">
        <f>IFERROR(VLOOKUP($A332,'2018'!$A:$BB,17,FALSE),"")</f>
        <v/>
      </c>
      <c r="S332" s="1062" t="str">
        <f>IFERROR(VLOOKUP($A332,'2018'!$A:$BB,20,FALSE),"")</f>
        <v/>
      </c>
      <c r="T332" s="1062" t="str">
        <f>IFERROR(VLOOKUP($A332,'2018'!$A:$BB,21,FALSE),"")</f>
        <v/>
      </c>
      <c r="U332" s="1062" t="str">
        <f>IFERROR(VLOOKUP($A332,'2018'!$A:$BB,22,FALSE),"")</f>
        <v/>
      </c>
      <c r="V332" s="1062" t="str">
        <f>IFERROR(VLOOKUP($A332,'2018'!$A:$BB,23,FALSE),"")</f>
        <v/>
      </c>
      <c r="W332" s="1062" t="str">
        <f>IFERROR(VLOOKUP($A332,'2018'!$A:$BB,24,FALSE),"")</f>
        <v/>
      </c>
      <c r="X332" s="1062" t="str">
        <f>IFERROR(VLOOKUP($A332,'2018'!$A:$BB,41,FALSE),"")</f>
        <v/>
      </c>
      <c r="Y332" s="1062" t="str">
        <f>IFERROR(VLOOKUP($A332,'2018'!$A:$BB,42,FALSE),"")</f>
        <v/>
      </c>
      <c r="Z332" s="1062" t="str">
        <f>IFERROR(VLOOKUP($A332,'2018'!$A:$BB,45,FALSE),"")</f>
        <v/>
      </c>
      <c r="AA332" s="727"/>
      <c r="AB332" s="728"/>
      <c r="AC332" s="727"/>
      <c r="AD332" s="727"/>
      <c r="AE332" s="727"/>
      <c r="AF332" s="727"/>
      <c r="AG332" s="726"/>
      <c r="AH332" s="726"/>
      <c r="AI332" s="727"/>
      <c r="AJ332" s="747"/>
      <c r="AK332" s="753"/>
      <c r="AL332" s="754"/>
      <c r="AM332" s="753"/>
      <c r="AN332" s="754"/>
      <c r="AO332" s="776"/>
      <c r="AP332" s="754"/>
      <c r="AQ332" s="770"/>
      <c r="AR332" s="726"/>
      <c r="AS332" s="726"/>
      <c r="AT332" s="726"/>
      <c r="AU332" s="726"/>
      <c r="AV332" s="726"/>
      <c r="AW332" s="726"/>
    </row>
    <row r="333" spans="1:49">
      <c r="A333" s="736" t="s">
        <v>4201</v>
      </c>
      <c r="B333" s="736" t="s">
        <v>4201</v>
      </c>
      <c r="C333" s="736"/>
      <c r="D333" s="736"/>
      <c r="E333" s="736" t="s">
        <v>4369</v>
      </c>
      <c r="F333" s="1059">
        <f>IFERROR(VLOOKUP($A333,'2018'!$A:$BB,3,FALSE),"")</f>
        <v>30424831</v>
      </c>
      <c r="G333" s="1055" t="str">
        <f>IFERROR(VLOOKUP($A333,'2018'!$A:$BB,4,FALSE),"")</f>
        <v>10020 Huennekens Street
San Diego, CA 92121</v>
      </c>
      <c r="H333" s="1055" t="str">
        <f>IFERROR(VLOOKUP($A333,'2018'!$A:$BB,5,FALSE),"")</f>
        <v>Matt Camp
858-373-4808
matthew.camp@soterawireless.com</v>
      </c>
      <c r="I333" s="1055" t="str">
        <f>IFERROR(VLOOKUP($A333,'2018'!$A:$BB,6,FALSE),"")</f>
        <v>Matt Camp
858-373-4808
matthew.camp@soterawireless.com</v>
      </c>
      <c r="J333" s="1055" t="str">
        <f>IFERROR(VLOOKUP($A333,'2018'!$A:$BB,7,FALSE),"")</f>
        <v>HUB (San Diego)</v>
      </c>
      <c r="K333" s="1055" t="str">
        <f>IFERROR(VLOOKUP($A333,'2018'!$A:$BB,8,FALSE),"")</f>
        <v xml:space="preserve">Account Managed by HUB SD Team
Producer - Matt Creighton
Service Lead - Erin Gage
</v>
      </c>
      <c r="L333" s="1062" t="str">
        <f>IFERROR(VLOOKUP($A333,'2018'!$A:$BB,9,FALSE),"")</f>
        <v>New</v>
      </c>
      <c r="M333" s="1067">
        <f>IFERROR(VLOOKUP($A333,'2018'!$A:$BB,10,FALSE),"")</f>
        <v>43191</v>
      </c>
      <c r="N333" s="1062">
        <f>IFERROR(VLOOKUP($A333,'2018'!$A:$BB,12,FALSE),"")</f>
        <v>54</v>
      </c>
      <c r="O333" s="1055" t="str">
        <f>IFERROR(VLOOKUP($A333,'2018'!$A:$BB,13,FALSE),"")</f>
        <v xml:space="preserve">IGOE </v>
      </c>
      <c r="P333" s="1055" t="str">
        <f>IFERROR(VLOOKUP($A333,'2018'!$A:$BB,14,FALSE),"")</f>
        <v>Maestro</v>
      </c>
      <c r="Q333" s="1055" t="str">
        <f>IFERROR(VLOOKUP($A333,'2018'!$A:$BB,16,FALSE),"")</f>
        <v>IGOE</v>
      </c>
      <c r="R333" s="1055" t="str">
        <f>IFERROR(VLOOKUP($A333,'2018'!$A:$BB,17,FALSE),"")</f>
        <v>N/A</v>
      </c>
      <c r="S333" s="1062" t="str">
        <f>IFERROR(VLOOKUP($A333,'2018'!$A:$BB,20,FALSE),"")</f>
        <v>SCAL</v>
      </c>
      <c r="T333" s="1062" t="str">
        <f>IFERROR(VLOOKUP($A333,'2018'!$A:$BB,21,FALSE),"")</f>
        <v>Group B (34-44)</v>
      </c>
      <c r="U333" s="1062" t="str">
        <f>IFERROR(VLOOKUP($A333,'2018'!$A:$BB,22,FALSE),"")</f>
        <v>Expanded</v>
      </c>
      <c r="V333" s="1062" t="str">
        <f>IFERROR(VLOOKUP($A333,'2018'!$A:$BB,23,FALSE),"")</f>
        <v>Advantage</v>
      </c>
      <c r="W333" s="1062" t="str">
        <f>IFERROR(VLOOKUP($A333,'2018'!$A:$BB,24,FALSE),"")</f>
        <v>No</v>
      </c>
      <c r="X333" s="1062" t="str">
        <f>IFERROR(VLOOKUP($A333,'2018'!$A:$BB,41,FALSE),"")</f>
        <v xml:space="preserve">Region 2 </v>
      </c>
      <c r="Y333" s="1062" t="str">
        <f>IFERROR(VLOOKUP($A333,'2018'!$A:$BB,42,FALSE),"")</f>
        <v>(50-99)</v>
      </c>
      <c r="Z333" s="1062" t="str">
        <f>IFERROR(VLOOKUP($A333,'2018'!$A:$BB,45,FALSE),"")</f>
        <v>(50-99)</v>
      </c>
      <c r="AA333" s="731">
        <v>2018</v>
      </c>
      <c r="AB333" s="1020" t="s">
        <v>4346</v>
      </c>
      <c r="AC333" s="727" t="s">
        <v>317</v>
      </c>
      <c r="AD333" s="734" t="s">
        <v>3648</v>
      </c>
      <c r="AE333" s="734" t="s">
        <v>307</v>
      </c>
      <c r="AF333" s="734" t="s">
        <v>113</v>
      </c>
      <c r="AG333" s="732" t="s">
        <v>3962</v>
      </c>
      <c r="AH333" s="732" t="s">
        <v>3963</v>
      </c>
      <c r="AI333" s="734">
        <v>2</v>
      </c>
      <c r="AJ333" s="748" t="s">
        <v>3964</v>
      </c>
      <c r="AK333" s="758">
        <v>260089</v>
      </c>
      <c r="AL333" s="756">
        <v>190</v>
      </c>
      <c r="AM333" s="758">
        <v>260090</v>
      </c>
      <c r="AN333" s="756">
        <v>191</v>
      </c>
      <c r="AO333" s="776">
        <v>260091</v>
      </c>
      <c r="AP333" s="754">
        <v>192</v>
      </c>
      <c r="AQ333" s="771"/>
      <c r="AR333" s="732" t="s">
        <v>2661</v>
      </c>
      <c r="AS333" s="735"/>
      <c r="AT333" s="735"/>
      <c r="AU333" s="732"/>
      <c r="AV333" s="735"/>
      <c r="AW333" s="735"/>
    </row>
    <row r="334" spans="1:49">
      <c r="A334" s="736" t="s">
        <v>4201</v>
      </c>
      <c r="B334" s="736" t="s">
        <v>4201</v>
      </c>
      <c r="C334" s="736"/>
      <c r="D334" s="736"/>
      <c r="E334" s="736" t="s">
        <v>4369</v>
      </c>
      <c r="F334" s="1059">
        <f>IFERROR(VLOOKUP($A334,'2018'!$A:$BB,3,FALSE),"")</f>
        <v>30424831</v>
      </c>
      <c r="G334" s="1055" t="str">
        <f>IFERROR(VLOOKUP($A334,'2018'!$A:$BB,4,FALSE),"")</f>
        <v>10020 Huennekens Street
San Diego, CA 92121</v>
      </c>
      <c r="H334" s="1055" t="str">
        <f>IFERROR(VLOOKUP($A334,'2018'!$A:$BB,5,FALSE),"")</f>
        <v>Matt Camp
858-373-4808
matthew.camp@soterawireless.com</v>
      </c>
      <c r="I334" s="1055" t="str">
        <f>IFERROR(VLOOKUP($A334,'2018'!$A:$BB,6,FALSE),"")</f>
        <v>Matt Camp
858-373-4808
matthew.camp@soterawireless.com</v>
      </c>
      <c r="J334" s="1055" t="str">
        <f>IFERROR(VLOOKUP($A334,'2018'!$A:$BB,7,FALSE),"")</f>
        <v>HUB (San Diego)</v>
      </c>
      <c r="K334" s="1055" t="str">
        <f>IFERROR(VLOOKUP($A334,'2018'!$A:$BB,8,FALSE),"")</f>
        <v xml:space="preserve">Account Managed by HUB SD Team
Producer - Matt Creighton
Service Lead - Erin Gage
</v>
      </c>
      <c r="L334" s="1062" t="str">
        <f>IFERROR(VLOOKUP($A334,'2018'!$A:$BB,9,FALSE),"")</f>
        <v>New</v>
      </c>
      <c r="M334" s="1067">
        <f>IFERROR(VLOOKUP($A334,'2018'!$A:$BB,10,FALSE),"")</f>
        <v>43191</v>
      </c>
      <c r="N334" s="1062">
        <f>IFERROR(VLOOKUP($A334,'2018'!$A:$BB,12,FALSE),"")</f>
        <v>54</v>
      </c>
      <c r="O334" s="1055" t="str">
        <f>IFERROR(VLOOKUP($A334,'2018'!$A:$BB,13,FALSE),"")</f>
        <v xml:space="preserve">IGOE </v>
      </c>
      <c r="P334" s="1055" t="str">
        <f>IFERROR(VLOOKUP($A334,'2018'!$A:$BB,14,FALSE),"")</f>
        <v>Maestro</v>
      </c>
      <c r="Q334" s="1055" t="str">
        <f>IFERROR(VLOOKUP($A334,'2018'!$A:$BB,16,FALSE),"")</f>
        <v>IGOE</v>
      </c>
      <c r="R334" s="1055" t="str">
        <f>IFERROR(VLOOKUP($A334,'2018'!$A:$BB,17,FALSE),"")</f>
        <v>N/A</v>
      </c>
      <c r="S334" s="1062" t="str">
        <f>IFERROR(VLOOKUP($A334,'2018'!$A:$BB,20,FALSE),"")</f>
        <v>SCAL</v>
      </c>
      <c r="T334" s="1062" t="str">
        <f>IFERROR(VLOOKUP($A334,'2018'!$A:$BB,21,FALSE),"")</f>
        <v>Group B (34-44)</v>
      </c>
      <c r="U334" s="1062" t="str">
        <f>IFERROR(VLOOKUP($A334,'2018'!$A:$BB,22,FALSE),"")</f>
        <v>Expanded</v>
      </c>
      <c r="V334" s="1062" t="str">
        <f>IFERROR(VLOOKUP($A334,'2018'!$A:$BB,23,FALSE),"")</f>
        <v>Advantage</v>
      </c>
      <c r="W334" s="1062" t="str">
        <f>IFERROR(VLOOKUP($A334,'2018'!$A:$BB,24,FALSE),"")</f>
        <v>No</v>
      </c>
      <c r="X334" s="1062" t="str">
        <f>IFERROR(VLOOKUP($A334,'2018'!$A:$BB,41,FALSE),"")</f>
        <v xml:space="preserve">Region 2 </v>
      </c>
      <c r="Y334" s="1062" t="str">
        <f>IFERROR(VLOOKUP($A334,'2018'!$A:$BB,42,FALSE),"")</f>
        <v>(50-99)</v>
      </c>
      <c r="Z334" s="1062" t="str">
        <f>IFERROR(VLOOKUP($A334,'2018'!$A:$BB,45,FALSE),"")</f>
        <v>(50-99)</v>
      </c>
      <c r="AA334" s="731">
        <v>2018</v>
      </c>
      <c r="AB334" s="1020" t="s">
        <v>4346</v>
      </c>
      <c r="AC334" s="727" t="s">
        <v>317</v>
      </c>
      <c r="AD334" s="734" t="s">
        <v>3648</v>
      </c>
      <c r="AE334" s="734" t="s">
        <v>307</v>
      </c>
      <c r="AF334" s="734" t="s">
        <v>113</v>
      </c>
      <c r="AG334" s="732" t="s">
        <v>3962</v>
      </c>
      <c r="AH334" s="726" t="s">
        <v>3968</v>
      </c>
      <c r="AI334" s="727">
        <v>5</v>
      </c>
      <c r="AJ334" s="747" t="s">
        <v>3969</v>
      </c>
      <c r="AK334" s="753">
        <v>260161</v>
      </c>
      <c r="AL334" s="754">
        <v>262</v>
      </c>
      <c r="AM334" s="753">
        <v>260162</v>
      </c>
      <c r="AN334" s="754">
        <v>263</v>
      </c>
      <c r="AO334" s="776">
        <f t="shared" ref="AO334" si="81">AM334+1</f>
        <v>260163</v>
      </c>
      <c r="AP334" s="754">
        <f t="shared" ref="AP334" si="82">AN334+1</f>
        <v>264</v>
      </c>
      <c r="AQ334" s="771"/>
      <c r="AR334" s="732"/>
      <c r="AS334" s="735"/>
      <c r="AT334" s="735"/>
      <c r="AU334" s="732"/>
      <c r="AV334" s="735"/>
      <c r="AW334" s="735"/>
    </row>
    <row r="335" spans="1:49" s="739" customFormat="1">
      <c r="A335" s="736" t="s">
        <v>4201</v>
      </c>
      <c r="B335" s="736" t="s">
        <v>4201</v>
      </c>
      <c r="C335" s="736"/>
      <c r="D335" s="736"/>
      <c r="E335" s="736" t="s">
        <v>4369</v>
      </c>
      <c r="F335" s="1059">
        <f>IFERROR(VLOOKUP($A335,'2018'!$A:$BB,3,FALSE),"")</f>
        <v>30424831</v>
      </c>
      <c r="G335" s="1055" t="str">
        <f>IFERROR(VLOOKUP($A335,'2018'!$A:$BB,4,FALSE),"")</f>
        <v>10020 Huennekens Street
San Diego, CA 92121</v>
      </c>
      <c r="H335" s="1055" t="str">
        <f>IFERROR(VLOOKUP($A335,'2018'!$A:$BB,5,FALSE),"")</f>
        <v>Matt Camp
858-373-4808
matthew.camp@soterawireless.com</v>
      </c>
      <c r="I335" s="1055" t="str">
        <f>IFERROR(VLOOKUP($A335,'2018'!$A:$BB,6,FALSE),"")</f>
        <v>Matt Camp
858-373-4808
matthew.camp@soterawireless.com</v>
      </c>
      <c r="J335" s="1055" t="str">
        <f>IFERROR(VLOOKUP($A335,'2018'!$A:$BB,7,FALSE),"")</f>
        <v>HUB (San Diego)</v>
      </c>
      <c r="K335" s="1055" t="str">
        <f>IFERROR(VLOOKUP($A335,'2018'!$A:$BB,8,FALSE),"")</f>
        <v xml:space="preserve">Account Managed by HUB SD Team
Producer - Matt Creighton
Service Lead - Erin Gage
</v>
      </c>
      <c r="L335" s="1062" t="str">
        <f>IFERROR(VLOOKUP($A335,'2018'!$A:$BB,9,FALSE),"")</f>
        <v>New</v>
      </c>
      <c r="M335" s="1067">
        <f>IFERROR(VLOOKUP($A335,'2018'!$A:$BB,10,FALSE),"")</f>
        <v>43191</v>
      </c>
      <c r="N335" s="1062">
        <f>IFERROR(VLOOKUP($A335,'2018'!$A:$BB,12,FALSE),"")</f>
        <v>54</v>
      </c>
      <c r="O335" s="1055" t="str">
        <f>IFERROR(VLOOKUP($A335,'2018'!$A:$BB,13,FALSE),"")</f>
        <v xml:space="preserve">IGOE </v>
      </c>
      <c r="P335" s="1055" t="str">
        <f>IFERROR(VLOOKUP($A335,'2018'!$A:$BB,14,FALSE),"")</f>
        <v>Maestro</v>
      </c>
      <c r="Q335" s="1055" t="str">
        <f>IFERROR(VLOOKUP($A335,'2018'!$A:$BB,16,FALSE),"")</f>
        <v>IGOE</v>
      </c>
      <c r="R335" s="1055" t="str">
        <f>IFERROR(VLOOKUP($A335,'2018'!$A:$BB,17,FALSE),"")</f>
        <v>N/A</v>
      </c>
      <c r="S335" s="1062" t="str">
        <f>IFERROR(VLOOKUP($A335,'2018'!$A:$BB,20,FALSE),"")</f>
        <v>SCAL</v>
      </c>
      <c r="T335" s="1062" t="str">
        <f>IFERROR(VLOOKUP($A335,'2018'!$A:$BB,21,FALSE),"")</f>
        <v>Group B (34-44)</v>
      </c>
      <c r="U335" s="1062" t="str">
        <f>IFERROR(VLOOKUP($A335,'2018'!$A:$BB,22,FALSE),"")</f>
        <v>Expanded</v>
      </c>
      <c r="V335" s="1062" t="str">
        <f>IFERROR(VLOOKUP($A335,'2018'!$A:$BB,23,FALSE),"")</f>
        <v>Advantage</v>
      </c>
      <c r="W335" s="1062" t="str">
        <f>IFERROR(VLOOKUP($A335,'2018'!$A:$BB,24,FALSE),"")</f>
        <v>No</v>
      </c>
      <c r="X335" s="1062" t="str">
        <f>IFERROR(VLOOKUP($A335,'2018'!$A:$BB,41,FALSE),"")</f>
        <v xml:space="preserve">Region 2 </v>
      </c>
      <c r="Y335" s="1062" t="str">
        <f>IFERROR(VLOOKUP($A335,'2018'!$A:$BB,42,FALSE),"")</f>
        <v>(50-99)</v>
      </c>
      <c r="Z335" s="1062" t="str">
        <f>IFERROR(VLOOKUP($A335,'2018'!$A:$BB,45,FALSE),"")</f>
        <v>(50-99)</v>
      </c>
      <c r="AA335" s="731">
        <v>2018</v>
      </c>
      <c r="AB335" s="1020" t="s">
        <v>4346</v>
      </c>
      <c r="AC335" s="727" t="s">
        <v>317</v>
      </c>
      <c r="AD335" s="734" t="s">
        <v>3648</v>
      </c>
      <c r="AE335" s="734" t="s">
        <v>307</v>
      </c>
      <c r="AF335" s="734" t="s">
        <v>113</v>
      </c>
      <c r="AG335" s="732" t="s">
        <v>3972</v>
      </c>
      <c r="AH335" s="732" t="s">
        <v>3973</v>
      </c>
      <c r="AI335" s="734">
        <v>8</v>
      </c>
      <c r="AJ335" s="748" t="s">
        <v>3992</v>
      </c>
      <c r="AK335" s="757">
        <v>909678</v>
      </c>
      <c r="AL335" s="756">
        <v>373</v>
      </c>
      <c r="AM335" s="755">
        <v>909678</v>
      </c>
      <c r="AN335" s="756">
        <v>374</v>
      </c>
      <c r="AO335" s="776">
        <v>909678</v>
      </c>
      <c r="AP335" s="754">
        <v>375</v>
      </c>
      <c r="AQ335" s="771"/>
      <c r="AR335" s="732" t="s">
        <v>2661</v>
      </c>
      <c r="AS335" s="735"/>
      <c r="AT335" s="735"/>
      <c r="AU335" s="732"/>
      <c r="AV335" s="735"/>
      <c r="AW335" s="735"/>
    </row>
    <row r="336" spans="1:49" s="739" customFormat="1">
      <c r="A336" s="736" t="s">
        <v>4201</v>
      </c>
      <c r="B336" s="736" t="s">
        <v>4201</v>
      </c>
      <c r="C336" s="736"/>
      <c r="D336" s="736"/>
      <c r="E336" s="736" t="s">
        <v>4369</v>
      </c>
      <c r="F336" s="1059">
        <f>IFERROR(VLOOKUP($A336,'2018'!$A:$BB,3,FALSE),"")</f>
        <v>30424831</v>
      </c>
      <c r="G336" s="1055" t="str">
        <f>IFERROR(VLOOKUP($A336,'2018'!$A:$BB,4,FALSE),"")</f>
        <v>10020 Huennekens Street
San Diego, CA 92121</v>
      </c>
      <c r="H336" s="1055" t="str">
        <f>IFERROR(VLOOKUP($A336,'2018'!$A:$BB,5,FALSE),"")</f>
        <v>Matt Camp
858-373-4808
matthew.camp@soterawireless.com</v>
      </c>
      <c r="I336" s="1055" t="str">
        <f>IFERROR(VLOOKUP($A336,'2018'!$A:$BB,6,FALSE),"")</f>
        <v>Matt Camp
858-373-4808
matthew.camp@soterawireless.com</v>
      </c>
      <c r="J336" s="1055" t="str">
        <f>IFERROR(VLOOKUP($A336,'2018'!$A:$BB,7,FALSE),"")</f>
        <v>HUB (San Diego)</v>
      </c>
      <c r="K336" s="1055" t="str">
        <f>IFERROR(VLOOKUP($A336,'2018'!$A:$BB,8,FALSE),"")</f>
        <v xml:space="preserve">Account Managed by HUB SD Team
Producer - Matt Creighton
Service Lead - Erin Gage
</v>
      </c>
      <c r="L336" s="1062" t="str">
        <f>IFERROR(VLOOKUP($A336,'2018'!$A:$BB,9,FALSE),"")</f>
        <v>New</v>
      </c>
      <c r="M336" s="1067">
        <f>IFERROR(VLOOKUP($A336,'2018'!$A:$BB,10,FALSE),"")</f>
        <v>43191</v>
      </c>
      <c r="N336" s="1062">
        <f>IFERROR(VLOOKUP($A336,'2018'!$A:$BB,12,FALSE),"")</f>
        <v>54</v>
      </c>
      <c r="O336" s="1055" t="str">
        <f>IFERROR(VLOOKUP($A336,'2018'!$A:$BB,13,FALSE),"")</f>
        <v xml:space="preserve">IGOE </v>
      </c>
      <c r="P336" s="1055" t="str">
        <f>IFERROR(VLOOKUP($A336,'2018'!$A:$BB,14,FALSE),"")</f>
        <v>Maestro</v>
      </c>
      <c r="Q336" s="1055" t="str">
        <f>IFERROR(VLOOKUP($A336,'2018'!$A:$BB,16,FALSE),"")</f>
        <v>IGOE</v>
      </c>
      <c r="R336" s="1055" t="str">
        <f>IFERROR(VLOOKUP($A336,'2018'!$A:$BB,17,FALSE),"")</f>
        <v>N/A</v>
      </c>
      <c r="S336" s="1062" t="str">
        <f>IFERROR(VLOOKUP($A336,'2018'!$A:$BB,20,FALSE),"")</f>
        <v>SCAL</v>
      </c>
      <c r="T336" s="1062" t="str">
        <f>IFERROR(VLOOKUP($A336,'2018'!$A:$BB,21,FALSE),"")</f>
        <v>Group B (34-44)</v>
      </c>
      <c r="U336" s="1062" t="str">
        <f>IFERROR(VLOOKUP($A336,'2018'!$A:$BB,22,FALSE),"")</f>
        <v>Expanded</v>
      </c>
      <c r="V336" s="1062" t="str">
        <f>IFERROR(VLOOKUP($A336,'2018'!$A:$BB,23,FALSE),"")</f>
        <v>Advantage</v>
      </c>
      <c r="W336" s="1062" t="str">
        <f>IFERROR(VLOOKUP($A336,'2018'!$A:$BB,24,FALSE),"")</f>
        <v>No</v>
      </c>
      <c r="X336" s="1062" t="str">
        <f>IFERROR(VLOOKUP($A336,'2018'!$A:$BB,41,FALSE),"")</f>
        <v xml:space="preserve">Region 2 </v>
      </c>
      <c r="Y336" s="1062" t="str">
        <f>IFERROR(VLOOKUP($A336,'2018'!$A:$BB,42,FALSE),"")</f>
        <v>(50-99)</v>
      </c>
      <c r="Z336" s="1062" t="str">
        <f>IFERROR(VLOOKUP($A336,'2018'!$A:$BB,45,FALSE),"")</f>
        <v>(50-99)</v>
      </c>
      <c r="AA336" s="731">
        <v>2018</v>
      </c>
      <c r="AB336" s="1020" t="s">
        <v>4346</v>
      </c>
      <c r="AC336" s="727" t="s">
        <v>317</v>
      </c>
      <c r="AD336" s="734" t="s">
        <v>3648</v>
      </c>
      <c r="AE336" s="734" t="s">
        <v>307</v>
      </c>
      <c r="AF336" s="734" t="s">
        <v>113</v>
      </c>
      <c r="AG336" s="732" t="s">
        <v>3972</v>
      </c>
      <c r="AH336" s="732" t="s">
        <v>3977</v>
      </c>
      <c r="AI336" s="734">
        <v>14</v>
      </c>
      <c r="AJ336" s="748" t="s">
        <v>3994</v>
      </c>
      <c r="AK336" s="757">
        <v>909678</v>
      </c>
      <c r="AL336" s="756">
        <v>625</v>
      </c>
      <c r="AM336" s="755">
        <v>909678</v>
      </c>
      <c r="AN336" s="756">
        <v>626</v>
      </c>
      <c r="AO336" s="776">
        <v>909678</v>
      </c>
      <c r="AP336" s="754">
        <v>627</v>
      </c>
      <c r="AQ336" s="771"/>
      <c r="AR336" s="732" t="s">
        <v>2661</v>
      </c>
      <c r="AS336" s="735"/>
      <c r="AT336" s="735"/>
      <c r="AU336" s="732"/>
      <c r="AV336" s="735"/>
      <c r="AW336" s="735"/>
    </row>
    <row r="337" spans="1:49" s="739" customFormat="1">
      <c r="A337" s="736"/>
      <c r="B337" s="736"/>
      <c r="C337" s="736"/>
      <c r="D337" s="736"/>
      <c r="E337" s="736"/>
      <c r="F337" s="1059" t="str">
        <f>IFERROR(VLOOKUP($A337,'2018'!$A:$BB,3,FALSE),"")</f>
        <v/>
      </c>
      <c r="G337" s="1055" t="str">
        <f>IFERROR(VLOOKUP($A337,'2018'!$A:$BB,4,FALSE),"")</f>
        <v/>
      </c>
      <c r="H337" s="1055" t="str">
        <f>IFERROR(VLOOKUP($A337,'2018'!$A:$BB,5,FALSE),"")</f>
        <v/>
      </c>
      <c r="I337" s="1055" t="str">
        <f>IFERROR(VLOOKUP($A337,'2018'!$A:$BB,6,FALSE),"")</f>
        <v/>
      </c>
      <c r="J337" s="1055" t="str">
        <f>IFERROR(VLOOKUP($A337,'2018'!$A:$BB,7,FALSE),"")</f>
        <v/>
      </c>
      <c r="K337" s="1055" t="str">
        <f>IFERROR(VLOOKUP($A337,'2018'!$A:$BB,8,FALSE),"")</f>
        <v/>
      </c>
      <c r="L337" s="1062" t="str">
        <f>IFERROR(VLOOKUP($A337,'2018'!$A:$BB,9,FALSE),"")</f>
        <v/>
      </c>
      <c r="M337" s="1067" t="str">
        <f>IFERROR(VLOOKUP($A337,'2018'!$A:$BB,10,FALSE),"")</f>
        <v/>
      </c>
      <c r="N337" s="1062" t="str">
        <f>IFERROR(VLOOKUP($A337,'2018'!$A:$BB,12,FALSE),"")</f>
        <v/>
      </c>
      <c r="O337" s="1055" t="str">
        <f>IFERROR(VLOOKUP($A337,'2018'!$A:$BB,13,FALSE),"")</f>
        <v/>
      </c>
      <c r="P337" s="1055" t="str">
        <f>IFERROR(VLOOKUP($A337,'2018'!$A:$BB,14,FALSE),"")</f>
        <v/>
      </c>
      <c r="Q337" s="1055" t="str">
        <f>IFERROR(VLOOKUP($A337,'2018'!$A:$BB,16,FALSE),"")</f>
        <v/>
      </c>
      <c r="R337" s="1055" t="str">
        <f>IFERROR(VLOOKUP($A337,'2018'!$A:$BB,17,FALSE),"")</f>
        <v/>
      </c>
      <c r="S337" s="1062" t="str">
        <f>IFERROR(VLOOKUP($A337,'2018'!$A:$BB,20,FALSE),"")</f>
        <v/>
      </c>
      <c r="T337" s="1062" t="str">
        <f>IFERROR(VLOOKUP($A337,'2018'!$A:$BB,21,FALSE),"")</f>
        <v/>
      </c>
      <c r="U337" s="1062" t="str">
        <f>IFERROR(VLOOKUP($A337,'2018'!$A:$BB,22,FALSE),"")</f>
        <v/>
      </c>
      <c r="V337" s="1062" t="str">
        <f>IFERROR(VLOOKUP($A337,'2018'!$A:$BB,23,FALSE),"")</f>
        <v/>
      </c>
      <c r="W337" s="1062" t="str">
        <f>IFERROR(VLOOKUP($A337,'2018'!$A:$BB,24,FALSE),"")</f>
        <v/>
      </c>
      <c r="X337" s="1062" t="str">
        <f>IFERROR(VLOOKUP($A337,'2018'!$A:$BB,41,FALSE),"")</f>
        <v/>
      </c>
      <c r="Y337" s="1062" t="str">
        <f>IFERROR(VLOOKUP($A337,'2018'!$A:$BB,42,FALSE),"")</f>
        <v/>
      </c>
      <c r="Z337" s="1062" t="str">
        <f>IFERROR(VLOOKUP($A337,'2018'!$A:$BB,45,FALSE),"")</f>
        <v/>
      </c>
      <c r="AA337" s="731"/>
      <c r="AB337" s="733"/>
      <c r="AC337" s="727"/>
      <c r="AD337" s="727"/>
      <c r="AE337" s="734"/>
      <c r="AF337" s="734"/>
      <c r="AG337" s="732"/>
      <c r="AH337" s="732"/>
      <c r="AI337" s="734"/>
      <c r="AJ337" s="748"/>
      <c r="AK337" s="757"/>
      <c r="AL337" s="756"/>
      <c r="AM337" s="755"/>
      <c r="AN337" s="756"/>
      <c r="AO337" s="776"/>
      <c r="AP337" s="754"/>
      <c r="AQ337" s="771"/>
      <c r="AR337" s="732"/>
      <c r="AS337" s="735"/>
      <c r="AT337" s="735"/>
      <c r="AU337" s="732"/>
      <c r="AV337" s="735"/>
      <c r="AW337" s="735"/>
    </row>
    <row r="338" spans="1:49">
      <c r="A338" s="736" t="s">
        <v>178</v>
      </c>
      <c r="B338" s="736" t="s">
        <v>178</v>
      </c>
      <c r="C338" s="736"/>
      <c r="D338" s="736" t="s">
        <v>178</v>
      </c>
      <c r="E338" s="736" t="s">
        <v>178</v>
      </c>
      <c r="F338" s="1059">
        <f>IFERROR(VLOOKUP($A338,'2018'!$A:$BB,3,FALSE),"")</f>
        <v>264608755</v>
      </c>
      <c r="G338" s="1055" t="str">
        <f>IFERROR(VLOOKUP($A338,'2018'!$A:$BB,4,FALSE),"")</f>
        <v xml:space="preserve">30 Hughes 
Suite 206 
Irvine, CA 92618 </v>
      </c>
      <c r="H338" s="1055" t="str">
        <f>IFERROR(VLOOKUP($A338,'2018'!$A:$BB,5,FALSE),"")</f>
        <v xml:space="preserve">Jean Marie Connelly
949-207-3312 x22
jean@stromamedical.com </v>
      </c>
      <c r="I338" s="1055" t="str">
        <f>IFERROR(VLOOKUP($A338,'2018'!$A:$BB,6,FALSE),"")</f>
        <v xml:space="preserve">Jean Marie Connelly
949-207-3312 x22
jean@stromamedical.com </v>
      </c>
      <c r="J338" s="1055" t="str">
        <f>IFERROR(VLOOKUP($A338,'2018'!$A:$BB,7,FALSE),"")</f>
        <v>HUB (San Diego)</v>
      </c>
      <c r="K338" s="1055" t="str">
        <f>IFERROR(VLOOKUP($A338,'2018'!$A:$BB,8,FALSE),"")</f>
        <v>Account Managed by HUB SD Team
Producer - Dave Duenas
Service Lead - Courtney Stanley</v>
      </c>
      <c r="L338" s="1062" t="str">
        <f>IFERROR(VLOOKUP($A338,'2018'!$A:$BB,9,FALSE),"")</f>
        <v>Renewal</v>
      </c>
      <c r="M338" s="1067">
        <f>IFERROR(VLOOKUP($A338,'2018'!$A:$BB,10,FALSE),"")</f>
        <v>42795</v>
      </c>
      <c r="N338" s="1062">
        <f>IFERROR(VLOOKUP($A338,'2018'!$A:$BB,12,FALSE),"")</f>
        <v>4</v>
      </c>
      <c r="O338" s="1055" t="str">
        <f>IFERROR(VLOOKUP($A338,'2018'!$A:$BB,13,FALSE),"")</f>
        <v xml:space="preserve">IGOE </v>
      </c>
      <c r="P338" s="1055" t="str">
        <f>IFERROR(VLOOKUP($A338,'2018'!$A:$BB,14,FALSE),"")</f>
        <v>Maestro</v>
      </c>
      <c r="Q338" s="1055" t="str">
        <f>IFERROR(VLOOKUP($A338,'2018'!$A:$BB,16,FALSE),"")</f>
        <v>N/A</v>
      </c>
      <c r="R338" s="1055" t="str">
        <f>IFERROR(VLOOKUP($A338,'2018'!$A:$BB,17,FALSE),"")</f>
        <v>Optum Health</v>
      </c>
      <c r="S338" s="1062" t="str">
        <f>IFERROR(VLOOKUP($A338,'2018'!$A:$BB,20,FALSE),"")</f>
        <v>SCAL</v>
      </c>
      <c r="T338" s="1062" t="str">
        <f>IFERROR(VLOOKUP($A338,'2018'!$A:$BB,21,FALSE),"")</f>
        <v>Group C (44-54)</v>
      </c>
      <c r="U338" s="1062" t="str">
        <f>IFERROR(VLOOKUP($A338,'2018'!$A:$BB,22,FALSE),"")</f>
        <v>Expanded</v>
      </c>
      <c r="V338" s="1062" t="str">
        <f>IFERROR(VLOOKUP($A338,'2018'!$A:$BB,23,FALSE),"")</f>
        <v>Access</v>
      </c>
      <c r="W338" s="1062" t="str">
        <f>IFERROR(VLOOKUP($A338,'2018'!$A:$BB,24,FALSE),"")</f>
        <v>No</v>
      </c>
      <c r="X338" s="1062" t="str">
        <f>IFERROR(VLOOKUP($A338,'2018'!$A:$BB,41,FALSE),"")</f>
        <v xml:space="preserve">Region 3 </v>
      </c>
      <c r="Y338" s="1062" t="str">
        <f>IFERROR(VLOOKUP($A338,'2018'!$A:$BB,42,FALSE),"")</f>
        <v>(2-9)</v>
      </c>
      <c r="Z338" s="1062" t="str">
        <f>IFERROR(VLOOKUP($A338,'2018'!$A:$BB,45,FALSE),"")</f>
        <v xml:space="preserve"> (2-49)</v>
      </c>
      <c r="AA338" s="731">
        <v>2018</v>
      </c>
      <c r="AB338" s="733" t="s">
        <v>3918</v>
      </c>
      <c r="AC338" s="734" t="s">
        <v>317</v>
      </c>
      <c r="AD338" s="734" t="s">
        <v>3656</v>
      </c>
      <c r="AE338" s="734" t="s">
        <v>315</v>
      </c>
      <c r="AF338" s="734" t="s">
        <v>113</v>
      </c>
      <c r="AG338" s="732" t="s">
        <v>3981</v>
      </c>
      <c r="AH338" s="732" t="s">
        <v>3973</v>
      </c>
      <c r="AI338" s="734">
        <v>11</v>
      </c>
      <c r="AJ338" s="748" t="s">
        <v>3982</v>
      </c>
      <c r="AK338" s="757">
        <v>909678</v>
      </c>
      <c r="AL338" s="756">
        <v>1024</v>
      </c>
      <c r="AM338" s="755">
        <v>909678</v>
      </c>
      <c r="AN338" s="756">
        <v>1025</v>
      </c>
      <c r="AO338" s="776">
        <f t="shared" ref="AO338:AO339" si="83">AM338</f>
        <v>909678</v>
      </c>
      <c r="AP338" s="754">
        <f>AN338+1</f>
        <v>1026</v>
      </c>
      <c r="AQ338" s="771" t="s">
        <v>3979</v>
      </c>
      <c r="AR338" s="732" t="s">
        <v>2661</v>
      </c>
      <c r="AS338" s="735"/>
      <c r="AT338" s="735"/>
      <c r="AU338" s="732" t="s">
        <v>3980</v>
      </c>
      <c r="AV338" s="735"/>
      <c r="AW338" s="735"/>
    </row>
    <row r="339" spans="1:49">
      <c r="A339" s="736" t="s">
        <v>178</v>
      </c>
      <c r="B339" s="736" t="s">
        <v>178</v>
      </c>
      <c r="C339" s="736"/>
      <c r="D339" s="736" t="s">
        <v>178</v>
      </c>
      <c r="E339" s="736" t="s">
        <v>178</v>
      </c>
      <c r="F339" s="1059">
        <f>IFERROR(VLOOKUP($A339,'2018'!$A:$BB,3,FALSE),"")</f>
        <v>264608755</v>
      </c>
      <c r="G339" s="1055" t="str">
        <f>IFERROR(VLOOKUP($A339,'2018'!$A:$BB,4,FALSE),"")</f>
        <v xml:space="preserve">30 Hughes 
Suite 206 
Irvine, CA 92618 </v>
      </c>
      <c r="H339" s="1055" t="str">
        <f>IFERROR(VLOOKUP($A339,'2018'!$A:$BB,5,FALSE),"")</f>
        <v xml:space="preserve">Jean Marie Connelly
949-207-3312 x22
jean@stromamedical.com </v>
      </c>
      <c r="I339" s="1055" t="str">
        <f>IFERROR(VLOOKUP($A339,'2018'!$A:$BB,6,FALSE),"")</f>
        <v xml:space="preserve">Jean Marie Connelly
949-207-3312 x22
jean@stromamedical.com </v>
      </c>
      <c r="J339" s="1055" t="str">
        <f>IFERROR(VLOOKUP($A339,'2018'!$A:$BB,7,FALSE),"")</f>
        <v>HUB (San Diego)</v>
      </c>
      <c r="K339" s="1055" t="str">
        <f>IFERROR(VLOOKUP($A339,'2018'!$A:$BB,8,FALSE),"")</f>
        <v>Account Managed by HUB SD Team
Producer - Dave Duenas
Service Lead - Courtney Stanley</v>
      </c>
      <c r="L339" s="1062" t="str">
        <f>IFERROR(VLOOKUP($A339,'2018'!$A:$BB,9,FALSE),"")</f>
        <v>Renewal</v>
      </c>
      <c r="M339" s="1067">
        <f>IFERROR(VLOOKUP($A339,'2018'!$A:$BB,10,FALSE),"")</f>
        <v>42795</v>
      </c>
      <c r="N339" s="1062">
        <f>IFERROR(VLOOKUP($A339,'2018'!$A:$BB,12,FALSE),"")</f>
        <v>4</v>
      </c>
      <c r="O339" s="1055" t="str">
        <f>IFERROR(VLOOKUP($A339,'2018'!$A:$BB,13,FALSE),"")</f>
        <v xml:space="preserve">IGOE </v>
      </c>
      <c r="P339" s="1055" t="str">
        <f>IFERROR(VLOOKUP($A339,'2018'!$A:$BB,14,FALSE),"")</f>
        <v>Maestro</v>
      </c>
      <c r="Q339" s="1055" t="str">
        <f>IFERROR(VLOOKUP($A339,'2018'!$A:$BB,16,FALSE),"")</f>
        <v>N/A</v>
      </c>
      <c r="R339" s="1055" t="str">
        <f>IFERROR(VLOOKUP($A339,'2018'!$A:$BB,17,FALSE),"")</f>
        <v>Optum Health</v>
      </c>
      <c r="S339" s="1062" t="str">
        <f>IFERROR(VLOOKUP($A339,'2018'!$A:$BB,20,FALSE),"")</f>
        <v>SCAL</v>
      </c>
      <c r="T339" s="1062" t="str">
        <f>IFERROR(VLOOKUP($A339,'2018'!$A:$BB,21,FALSE),"")</f>
        <v>Group C (44-54)</v>
      </c>
      <c r="U339" s="1062" t="str">
        <f>IFERROR(VLOOKUP($A339,'2018'!$A:$BB,22,FALSE),"")</f>
        <v>Expanded</v>
      </c>
      <c r="V339" s="1062" t="str">
        <f>IFERROR(VLOOKUP($A339,'2018'!$A:$BB,23,FALSE),"")</f>
        <v>Access</v>
      </c>
      <c r="W339" s="1062" t="str">
        <f>IFERROR(VLOOKUP($A339,'2018'!$A:$BB,24,FALSE),"")</f>
        <v>No</v>
      </c>
      <c r="X339" s="1062" t="str">
        <f>IFERROR(VLOOKUP($A339,'2018'!$A:$BB,41,FALSE),"")</f>
        <v xml:space="preserve">Region 3 </v>
      </c>
      <c r="Y339" s="1062" t="str">
        <f>IFERROR(VLOOKUP($A339,'2018'!$A:$BB,42,FALSE),"")</f>
        <v>(2-9)</v>
      </c>
      <c r="Z339" s="1062" t="str">
        <f>IFERROR(VLOOKUP($A339,'2018'!$A:$BB,45,FALSE),"")</f>
        <v xml:space="preserve"> (2-49)</v>
      </c>
      <c r="AA339" s="731">
        <v>2018</v>
      </c>
      <c r="AB339" s="733" t="s">
        <v>3918</v>
      </c>
      <c r="AC339" s="734" t="s">
        <v>317</v>
      </c>
      <c r="AD339" s="734" t="s">
        <v>3656</v>
      </c>
      <c r="AE339" s="734" t="s">
        <v>315</v>
      </c>
      <c r="AF339" s="734" t="s">
        <v>113</v>
      </c>
      <c r="AG339" s="732" t="s">
        <v>3981</v>
      </c>
      <c r="AH339" s="732" t="s">
        <v>3977</v>
      </c>
      <c r="AI339" s="734">
        <v>16</v>
      </c>
      <c r="AJ339" s="748" t="s">
        <v>3985</v>
      </c>
      <c r="AK339" s="757">
        <v>909678</v>
      </c>
      <c r="AL339" s="756">
        <v>1204</v>
      </c>
      <c r="AM339" s="755">
        <v>909678</v>
      </c>
      <c r="AN339" s="756">
        <v>1205</v>
      </c>
      <c r="AO339" s="776">
        <f t="shared" si="83"/>
        <v>909678</v>
      </c>
      <c r="AP339" s="754">
        <f>AN339+1</f>
        <v>1206</v>
      </c>
      <c r="AQ339" s="771" t="s">
        <v>3979</v>
      </c>
      <c r="AR339" s="732" t="s">
        <v>2661</v>
      </c>
      <c r="AS339" s="735"/>
      <c r="AT339" s="735"/>
      <c r="AU339" s="732" t="s">
        <v>3980</v>
      </c>
      <c r="AV339" s="735"/>
      <c r="AW339" s="735"/>
    </row>
    <row r="340" spans="1:49" s="739" customFormat="1">
      <c r="A340" s="736"/>
      <c r="B340" s="736"/>
      <c r="C340" s="736"/>
      <c r="D340" s="736"/>
      <c r="E340" s="736"/>
      <c r="F340" s="1059" t="str">
        <f>IFERROR(VLOOKUP($A340,'2018'!$A:$BB,3,FALSE),"")</f>
        <v/>
      </c>
      <c r="G340" s="1055" t="str">
        <f>IFERROR(VLOOKUP($A340,'2018'!$A:$BB,4,FALSE),"")</f>
        <v/>
      </c>
      <c r="H340" s="1055" t="str">
        <f>IFERROR(VLOOKUP($A340,'2018'!$A:$BB,5,FALSE),"")</f>
        <v/>
      </c>
      <c r="I340" s="1055" t="str">
        <f>IFERROR(VLOOKUP($A340,'2018'!$A:$BB,6,FALSE),"")</f>
        <v/>
      </c>
      <c r="J340" s="1055" t="str">
        <f>IFERROR(VLOOKUP($A340,'2018'!$A:$BB,7,FALSE),"")</f>
        <v/>
      </c>
      <c r="K340" s="1055" t="str">
        <f>IFERROR(VLOOKUP($A340,'2018'!$A:$BB,8,FALSE),"")</f>
        <v/>
      </c>
      <c r="L340" s="1062" t="str">
        <f>IFERROR(VLOOKUP($A340,'2018'!$A:$BB,9,FALSE),"")</f>
        <v/>
      </c>
      <c r="M340" s="1067" t="str">
        <f>IFERROR(VLOOKUP($A340,'2018'!$A:$BB,10,FALSE),"")</f>
        <v/>
      </c>
      <c r="N340" s="1062" t="str">
        <f>IFERROR(VLOOKUP($A340,'2018'!$A:$BB,12,FALSE),"")</f>
        <v/>
      </c>
      <c r="O340" s="1055" t="str">
        <f>IFERROR(VLOOKUP($A340,'2018'!$A:$BB,13,FALSE),"")</f>
        <v/>
      </c>
      <c r="P340" s="1055" t="str">
        <f>IFERROR(VLOOKUP($A340,'2018'!$A:$BB,14,FALSE),"")</f>
        <v/>
      </c>
      <c r="Q340" s="1055" t="str">
        <f>IFERROR(VLOOKUP($A340,'2018'!$A:$BB,16,FALSE),"")</f>
        <v/>
      </c>
      <c r="R340" s="1055" t="str">
        <f>IFERROR(VLOOKUP($A340,'2018'!$A:$BB,17,FALSE),"")</f>
        <v/>
      </c>
      <c r="S340" s="1062" t="str">
        <f>IFERROR(VLOOKUP($A340,'2018'!$A:$BB,20,FALSE),"")</f>
        <v/>
      </c>
      <c r="T340" s="1062" t="str">
        <f>IFERROR(VLOOKUP($A340,'2018'!$A:$BB,21,FALSE),"")</f>
        <v/>
      </c>
      <c r="U340" s="1062" t="str">
        <f>IFERROR(VLOOKUP($A340,'2018'!$A:$BB,22,FALSE),"")</f>
        <v/>
      </c>
      <c r="V340" s="1062" t="str">
        <f>IFERROR(VLOOKUP($A340,'2018'!$A:$BB,23,FALSE),"")</f>
        <v/>
      </c>
      <c r="W340" s="1062" t="str">
        <f>IFERROR(VLOOKUP($A340,'2018'!$A:$BB,24,FALSE),"")</f>
        <v/>
      </c>
      <c r="X340" s="1062" t="str">
        <f>IFERROR(VLOOKUP($A340,'2018'!$A:$BB,41,FALSE),"")</f>
        <v/>
      </c>
      <c r="Y340" s="1062" t="str">
        <f>IFERROR(VLOOKUP($A340,'2018'!$A:$BB,42,FALSE),"")</f>
        <v/>
      </c>
      <c r="Z340" s="1062" t="str">
        <f>IFERROR(VLOOKUP($A340,'2018'!$A:$BB,45,FALSE),"")</f>
        <v/>
      </c>
      <c r="AA340" s="741"/>
      <c r="AB340" s="733"/>
      <c r="AC340" s="734"/>
      <c r="AD340" s="734"/>
      <c r="AE340" s="734"/>
      <c r="AF340" s="734"/>
      <c r="AG340" s="732"/>
      <c r="AH340" s="732"/>
      <c r="AI340" s="734"/>
      <c r="AJ340" s="748"/>
      <c r="AK340" s="758"/>
      <c r="AL340" s="756"/>
      <c r="AM340" s="753"/>
      <c r="AN340" s="754"/>
      <c r="AO340" s="776"/>
      <c r="AP340" s="754"/>
      <c r="AQ340" s="771"/>
      <c r="AR340" s="732"/>
      <c r="AS340" s="732"/>
      <c r="AT340" s="732"/>
      <c r="AU340" s="732"/>
      <c r="AV340" s="732"/>
      <c r="AW340" s="732"/>
    </row>
    <row r="341" spans="1:49">
      <c r="A341" s="736" t="s">
        <v>180</v>
      </c>
      <c r="B341" s="736" t="s">
        <v>180</v>
      </c>
      <c r="C341" s="736"/>
      <c r="D341" s="736"/>
      <c r="E341" s="736"/>
      <c r="F341" s="1059">
        <f>IFERROR(VLOOKUP($A341,'2018'!$A:$BB,3,FALSE),"")</f>
        <v>611780047</v>
      </c>
      <c r="G341" s="1055" t="str">
        <f>IFERROR(VLOOKUP($A341,'2018'!$A:$BB,4,FALSE),"")</f>
        <v xml:space="preserve">479 Jessie St. 
San Francisco, CA 94103 </v>
      </c>
      <c r="H341" s="1055" t="str">
        <f>IFERROR(VLOOKUP($A341,'2018'!$A:$BB,5,FALSE),"")</f>
        <v>Maria Soloveychik
415.706.8701
msoloveychik@synthexlabs.com</v>
      </c>
      <c r="I341" s="1055" t="str">
        <f>IFERROR(VLOOKUP($A341,'2018'!$A:$BB,6,FALSE),"")</f>
        <v>Maria Soloveychik
415.706.8701
msoloveychik@synthexlabs.com
Additional Contact: 
Tri Luong 
tluong@synthexlabs.com</v>
      </c>
      <c r="J341" s="1055" t="str">
        <f>IFERROR(VLOOKUP($A341,'2018'!$A:$BB,7,FALSE),"")</f>
        <v>HUB (San Diego)</v>
      </c>
      <c r="K341" s="1055" t="str">
        <f>IFERROR(VLOOKUP($A341,'2018'!$A:$BB,8,FALSE),"")</f>
        <v>Account Managed by HUB SD Team
Producer - Dave Duenas
Service Lead - Courtney Stanley</v>
      </c>
      <c r="L341" s="1062" t="str">
        <f>IFERROR(VLOOKUP($A341,'2018'!$A:$BB,9,FALSE),"")</f>
        <v>Renewal</v>
      </c>
      <c r="M341" s="1067">
        <f>IFERROR(VLOOKUP($A341,'2018'!$A:$BB,10,FALSE),"")</f>
        <v>42826</v>
      </c>
      <c r="N341" s="1062">
        <f>IFERROR(VLOOKUP($A341,'2018'!$A:$BB,12,FALSE),"")</f>
        <v>3</v>
      </c>
      <c r="O341" s="1055" t="str">
        <f>IFERROR(VLOOKUP($A341,'2018'!$A:$BB,13,FALSE),"")</f>
        <v xml:space="preserve">IGOE </v>
      </c>
      <c r="P341" s="1055" t="str">
        <f>IFERROR(VLOOKUP($A341,'2018'!$A:$BB,14,FALSE),"")</f>
        <v>Maestro</v>
      </c>
      <c r="Q341" s="1055" t="str">
        <f>IFERROR(VLOOKUP($A341,'2018'!$A:$BB,16,FALSE),"")</f>
        <v>N/A</v>
      </c>
      <c r="R341" s="1055" t="str">
        <f>IFERROR(VLOOKUP($A341,'2018'!$A:$BB,17,FALSE),"")</f>
        <v>Optum Health</v>
      </c>
      <c r="S341" s="1062" t="str">
        <f>IFERROR(VLOOKUP($A341,'2018'!$A:$BB,20,FALSE),"")</f>
        <v>NCAL</v>
      </c>
      <c r="T341" s="1062" t="str">
        <f>IFERROR(VLOOKUP($A341,'2018'!$A:$BB,21,FALSE),"")</f>
        <v>Group A (&lt;34)</v>
      </c>
      <c r="U341" s="1062" t="str">
        <f>IFERROR(VLOOKUP($A341,'2018'!$A:$BB,22,FALSE),"")</f>
        <v>Expanded</v>
      </c>
      <c r="V341" s="1062" t="str">
        <f>IFERROR(VLOOKUP($A341,'2018'!$A:$BB,23,FALSE),"")</f>
        <v>Advantage</v>
      </c>
      <c r="W341" s="1062" t="str">
        <f>IFERROR(VLOOKUP($A341,'2018'!$A:$BB,24,FALSE),"")</f>
        <v>No</v>
      </c>
      <c r="X341" s="1062" t="str">
        <f>IFERROR(VLOOKUP($A341,'2018'!$A:$BB,41,FALSE),"")</f>
        <v>N/A</v>
      </c>
      <c r="Y341" s="1062" t="str">
        <f>IFERROR(VLOOKUP($A341,'2018'!$A:$BB,42,FALSE),"")</f>
        <v>N/A</v>
      </c>
      <c r="Z341" s="1062" t="str">
        <f>IFERROR(VLOOKUP($A341,'2018'!$A:$BB,45,FALSE),"")</f>
        <v>N/A</v>
      </c>
      <c r="AA341" s="731">
        <v>2018</v>
      </c>
      <c r="AB341" s="1020" t="s">
        <v>4139</v>
      </c>
      <c r="AC341" s="734" t="s">
        <v>303</v>
      </c>
      <c r="AD341" s="734" t="s">
        <v>3655</v>
      </c>
      <c r="AE341" s="734" t="s">
        <v>307</v>
      </c>
      <c r="AF341" s="734" t="s">
        <v>113</v>
      </c>
      <c r="AG341" s="732" t="s">
        <v>3962</v>
      </c>
      <c r="AH341" s="732" t="s">
        <v>3963</v>
      </c>
      <c r="AI341" s="734">
        <v>2</v>
      </c>
      <c r="AJ341" s="748" t="s">
        <v>3964</v>
      </c>
      <c r="AK341" s="758">
        <v>260074</v>
      </c>
      <c r="AL341" s="756">
        <v>175</v>
      </c>
      <c r="AM341" s="758">
        <v>260075</v>
      </c>
      <c r="AN341" s="756">
        <v>176</v>
      </c>
      <c r="AO341" s="776">
        <f>AM341+1</f>
        <v>260076</v>
      </c>
      <c r="AP341" s="754">
        <f>AN341+1</f>
        <v>177</v>
      </c>
      <c r="AQ341" s="771" t="s">
        <v>3979</v>
      </c>
      <c r="AR341" s="732" t="s">
        <v>2661</v>
      </c>
      <c r="AS341" s="735"/>
      <c r="AT341" s="735"/>
      <c r="AU341" s="732" t="s">
        <v>3980</v>
      </c>
      <c r="AV341" s="735"/>
      <c r="AW341" s="735"/>
    </row>
    <row r="342" spans="1:49" s="739" customFormat="1">
      <c r="A342" s="736" t="s">
        <v>180</v>
      </c>
      <c r="B342" s="736" t="s">
        <v>180</v>
      </c>
      <c r="C342" s="736"/>
      <c r="D342" s="736"/>
      <c r="E342" s="736"/>
      <c r="F342" s="1059">
        <f>IFERROR(VLOOKUP($A342,'2018'!$A:$BB,3,FALSE),"")</f>
        <v>611780047</v>
      </c>
      <c r="G342" s="1055" t="str">
        <f>IFERROR(VLOOKUP($A342,'2018'!$A:$BB,4,FALSE),"")</f>
        <v xml:space="preserve">479 Jessie St. 
San Francisco, CA 94103 </v>
      </c>
      <c r="H342" s="1055" t="str">
        <f>IFERROR(VLOOKUP($A342,'2018'!$A:$BB,5,FALSE),"")</f>
        <v>Maria Soloveychik
415.706.8701
msoloveychik@synthexlabs.com</v>
      </c>
      <c r="I342" s="1055" t="str">
        <f>IFERROR(VLOOKUP($A342,'2018'!$A:$BB,6,FALSE),"")</f>
        <v>Maria Soloveychik
415.706.8701
msoloveychik@synthexlabs.com
Additional Contact: 
Tri Luong 
tluong@synthexlabs.com</v>
      </c>
      <c r="J342" s="1055" t="str">
        <f>IFERROR(VLOOKUP($A342,'2018'!$A:$BB,7,FALSE),"")</f>
        <v>HUB (San Diego)</v>
      </c>
      <c r="K342" s="1055" t="str">
        <f>IFERROR(VLOOKUP($A342,'2018'!$A:$BB,8,FALSE),"")</f>
        <v>Account Managed by HUB SD Team
Producer - Dave Duenas
Service Lead - Courtney Stanley</v>
      </c>
      <c r="L342" s="1062" t="str">
        <f>IFERROR(VLOOKUP($A342,'2018'!$A:$BB,9,FALSE),"")</f>
        <v>Renewal</v>
      </c>
      <c r="M342" s="1067">
        <f>IFERROR(VLOOKUP($A342,'2018'!$A:$BB,10,FALSE),"")</f>
        <v>42826</v>
      </c>
      <c r="N342" s="1062">
        <f>IFERROR(VLOOKUP($A342,'2018'!$A:$BB,12,FALSE),"")</f>
        <v>3</v>
      </c>
      <c r="O342" s="1055" t="str">
        <f>IFERROR(VLOOKUP($A342,'2018'!$A:$BB,13,FALSE),"")</f>
        <v xml:space="preserve">IGOE </v>
      </c>
      <c r="P342" s="1055" t="str">
        <f>IFERROR(VLOOKUP($A342,'2018'!$A:$BB,14,FALSE),"")</f>
        <v>Maestro</v>
      </c>
      <c r="Q342" s="1055" t="str">
        <f>IFERROR(VLOOKUP($A342,'2018'!$A:$BB,16,FALSE),"")</f>
        <v>N/A</v>
      </c>
      <c r="R342" s="1055" t="str">
        <f>IFERROR(VLOOKUP($A342,'2018'!$A:$BB,17,FALSE),"")</f>
        <v>Optum Health</v>
      </c>
      <c r="S342" s="1062" t="str">
        <f>IFERROR(VLOOKUP($A342,'2018'!$A:$BB,20,FALSE),"")</f>
        <v>NCAL</v>
      </c>
      <c r="T342" s="1062" t="str">
        <f>IFERROR(VLOOKUP($A342,'2018'!$A:$BB,21,FALSE),"")</f>
        <v>Group A (&lt;34)</v>
      </c>
      <c r="U342" s="1062" t="str">
        <f>IFERROR(VLOOKUP($A342,'2018'!$A:$BB,22,FALSE),"")</f>
        <v>Expanded</v>
      </c>
      <c r="V342" s="1062" t="str">
        <f>IFERROR(VLOOKUP($A342,'2018'!$A:$BB,23,FALSE),"")</f>
        <v>Advantage</v>
      </c>
      <c r="W342" s="1062" t="str">
        <f>IFERROR(VLOOKUP($A342,'2018'!$A:$BB,24,FALSE),"")</f>
        <v>No</v>
      </c>
      <c r="X342" s="1062" t="str">
        <f>IFERROR(VLOOKUP($A342,'2018'!$A:$BB,41,FALSE),"")</f>
        <v>N/A</v>
      </c>
      <c r="Y342" s="1062" t="str">
        <f>IFERROR(VLOOKUP($A342,'2018'!$A:$BB,42,FALSE),"")</f>
        <v>N/A</v>
      </c>
      <c r="Z342" s="1062" t="str">
        <f>IFERROR(VLOOKUP($A342,'2018'!$A:$BB,45,FALSE),"")</f>
        <v>N/A</v>
      </c>
      <c r="AA342" s="731">
        <v>2018</v>
      </c>
      <c r="AB342" s="1020" t="s">
        <v>4139</v>
      </c>
      <c r="AC342" s="734" t="s">
        <v>303</v>
      </c>
      <c r="AD342" s="734" t="s">
        <v>3655</v>
      </c>
      <c r="AE342" s="734" t="s">
        <v>307</v>
      </c>
      <c r="AF342" s="734" t="s">
        <v>113</v>
      </c>
      <c r="AG342" s="732" t="s">
        <v>3972</v>
      </c>
      <c r="AH342" s="732" t="s">
        <v>3973</v>
      </c>
      <c r="AI342" s="734">
        <v>7</v>
      </c>
      <c r="AJ342" s="748" t="s">
        <v>4001</v>
      </c>
      <c r="AK342" s="757">
        <v>909678</v>
      </c>
      <c r="AL342" s="756">
        <v>322</v>
      </c>
      <c r="AM342" s="755">
        <v>909678</v>
      </c>
      <c r="AN342" s="756">
        <v>323</v>
      </c>
      <c r="AO342" s="776">
        <f t="shared" ref="AO342:AO345" si="84">AM342</f>
        <v>909678</v>
      </c>
      <c r="AP342" s="754">
        <f>AN342+1</f>
        <v>324</v>
      </c>
      <c r="AQ342" s="771" t="s">
        <v>3979</v>
      </c>
      <c r="AR342" s="732" t="s">
        <v>2661</v>
      </c>
      <c r="AS342" s="735"/>
      <c r="AT342" s="735"/>
      <c r="AU342" s="732" t="s">
        <v>3980</v>
      </c>
      <c r="AV342" s="735"/>
      <c r="AW342" s="735"/>
    </row>
    <row r="343" spans="1:49" s="739" customFormat="1">
      <c r="A343" s="736" t="s">
        <v>180</v>
      </c>
      <c r="B343" s="736" t="s">
        <v>180</v>
      </c>
      <c r="C343" s="736"/>
      <c r="D343" s="736"/>
      <c r="E343" s="736"/>
      <c r="F343" s="1059">
        <f>IFERROR(VLOOKUP($A343,'2018'!$A:$BB,3,FALSE),"")</f>
        <v>611780047</v>
      </c>
      <c r="G343" s="1055" t="str">
        <f>IFERROR(VLOOKUP($A343,'2018'!$A:$BB,4,FALSE),"")</f>
        <v xml:space="preserve">479 Jessie St. 
San Francisco, CA 94103 </v>
      </c>
      <c r="H343" s="1055" t="str">
        <f>IFERROR(VLOOKUP($A343,'2018'!$A:$BB,5,FALSE),"")</f>
        <v>Maria Soloveychik
415.706.8701
msoloveychik@synthexlabs.com</v>
      </c>
      <c r="I343" s="1055" t="str">
        <f>IFERROR(VLOOKUP($A343,'2018'!$A:$BB,6,FALSE),"")</f>
        <v>Maria Soloveychik
415.706.8701
msoloveychik@synthexlabs.com
Additional Contact: 
Tri Luong 
tluong@synthexlabs.com</v>
      </c>
      <c r="J343" s="1055" t="str">
        <f>IFERROR(VLOOKUP($A343,'2018'!$A:$BB,7,FALSE),"")</f>
        <v>HUB (San Diego)</v>
      </c>
      <c r="K343" s="1055" t="str">
        <f>IFERROR(VLOOKUP($A343,'2018'!$A:$BB,8,FALSE),"")</f>
        <v>Account Managed by HUB SD Team
Producer - Dave Duenas
Service Lead - Courtney Stanley</v>
      </c>
      <c r="L343" s="1062" t="str">
        <f>IFERROR(VLOOKUP($A343,'2018'!$A:$BB,9,FALSE),"")</f>
        <v>Renewal</v>
      </c>
      <c r="M343" s="1067">
        <f>IFERROR(VLOOKUP($A343,'2018'!$A:$BB,10,FALSE),"")</f>
        <v>42826</v>
      </c>
      <c r="N343" s="1062">
        <f>IFERROR(VLOOKUP($A343,'2018'!$A:$BB,12,FALSE),"")</f>
        <v>3</v>
      </c>
      <c r="O343" s="1055" t="str">
        <f>IFERROR(VLOOKUP($A343,'2018'!$A:$BB,13,FALSE),"")</f>
        <v xml:space="preserve">IGOE </v>
      </c>
      <c r="P343" s="1055" t="str">
        <f>IFERROR(VLOOKUP($A343,'2018'!$A:$BB,14,FALSE),"")</f>
        <v>Maestro</v>
      </c>
      <c r="Q343" s="1055" t="str">
        <f>IFERROR(VLOOKUP($A343,'2018'!$A:$BB,16,FALSE),"")</f>
        <v>N/A</v>
      </c>
      <c r="R343" s="1055" t="str">
        <f>IFERROR(VLOOKUP($A343,'2018'!$A:$BB,17,FALSE),"")</f>
        <v>Optum Health</v>
      </c>
      <c r="S343" s="1062" t="str">
        <f>IFERROR(VLOOKUP($A343,'2018'!$A:$BB,20,FALSE),"")</f>
        <v>NCAL</v>
      </c>
      <c r="T343" s="1062" t="str">
        <f>IFERROR(VLOOKUP($A343,'2018'!$A:$BB,21,FALSE),"")</f>
        <v>Group A (&lt;34)</v>
      </c>
      <c r="U343" s="1062" t="str">
        <f>IFERROR(VLOOKUP($A343,'2018'!$A:$BB,22,FALSE),"")</f>
        <v>Expanded</v>
      </c>
      <c r="V343" s="1062" t="str">
        <f>IFERROR(VLOOKUP($A343,'2018'!$A:$BB,23,FALSE),"")</f>
        <v>Advantage</v>
      </c>
      <c r="W343" s="1062" t="str">
        <f>IFERROR(VLOOKUP($A343,'2018'!$A:$BB,24,FALSE),"")</f>
        <v>No</v>
      </c>
      <c r="X343" s="1062" t="str">
        <f>IFERROR(VLOOKUP($A343,'2018'!$A:$BB,41,FALSE),"")</f>
        <v>N/A</v>
      </c>
      <c r="Y343" s="1062" t="str">
        <f>IFERROR(VLOOKUP($A343,'2018'!$A:$BB,42,FALSE),"")</f>
        <v>N/A</v>
      </c>
      <c r="Z343" s="1062" t="str">
        <f>IFERROR(VLOOKUP($A343,'2018'!$A:$BB,45,FALSE),"")</f>
        <v>N/A</v>
      </c>
      <c r="AA343" s="731">
        <v>2018</v>
      </c>
      <c r="AB343" s="1020" t="s">
        <v>4139</v>
      </c>
      <c r="AC343" s="734" t="s">
        <v>303</v>
      </c>
      <c r="AD343" s="734" t="s">
        <v>3655</v>
      </c>
      <c r="AE343" s="734" t="s">
        <v>307</v>
      </c>
      <c r="AF343" s="734" t="s">
        <v>113</v>
      </c>
      <c r="AG343" s="732" t="s">
        <v>3972</v>
      </c>
      <c r="AH343" s="732" t="s">
        <v>3977</v>
      </c>
      <c r="AI343" s="734">
        <v>13</v>
      </c>
      <c r="AJ343" s="748" t="s">
        <v>4004</v>
      </c>
      <c r="AK343" s="757">
        <v>909678</v>
      </c>
      <c r="AL343" s="756">
        <v>574</v>
      </c>
      <c r="AM343" s="755">
        <v>909678</v>
      </c>
      <c r="AN343" s="756">
        <v>575</v>
      </c>
      <c r="AO343" s="776">
        <f t="shared" si="84"/>
        <v>909678</v>
      </c>
      <c r="AP343" s="754">
        <f>AN343+1</f>
        <v>576</v>
      </c>
      <c r="AQ343" s="771" t="s">
        <v>3979</v>
      </c>
      <c r="AR343" s="732" t="s">
        <v>2661</v>
      </c>
      <c r="AS343" s="735"/>
      <c r="AT343" s="735"/>
      <c r="AU343" s="732" t="s">
        <v>3980</v>
      </c>
      <c r="AV343" s="735"/>
      <c r="AW343" s="735"/>
    </row>
    <row r="344" spans="1:49" s="739" customFormat="1">
      <c r="A344" s="736" t="s">
        <v>180</v>
      </c>
      <c r="B344" s="736" t="s">
        <v>180</v>
      </c>
      <c r="C344" s="736"/>
      <c r="D344" s="736"/>
      <c r="E344" s="736"/>
      <c r="F344" s="1059">
        <f>IFERROR(VLOOKUP($A344,'2018'!$A:$BB,3,FALSE),"")</f>
        <v>611780047</v>
      </c>
      <c r="G344" s="1055" t="str">
        <f>IFERROR(VLOOKUP($A344,'2018'!$A:$BB,4,FALSE),"")</f>
        <v xml:space="preserve">479 Jessie St. 
San Francisco, CA 94103 </v>
      </c>
      <c r="H344" s="1055" t="str">
        <f>IFERROR(VLOOKUP($A344,'2018'!$A:$BB,5,FALSE),"")</f>
        <v>Maria Soloveychik
415.706.8701
msoloveychik@synthexlabs.com</v>
      </c>
      <c r="I344" s="1055" t="str">
        <f>IFERROR(VLOOKUP($A344,'2018'!$A:$BB,6,FALSE),"")</f>
        <v>Maria Soloveychik
415.706.8701
msoloveychik@synthexlabs.com
Additional Contact: 
Tri Luong 
tluong@synthexlabs.com</v>
      </c>
      <c r="J344" s="1055" t="str">
        <f>IFERROR(VLOOKUP($A344,'2018'!$A:$BB,7,FALSE),"")</f>
        <v>HUB (San Diego)</v>
      </c>
      <c r="K344" s="1055" t="str">
        <f>IFERROR(VLOOKUP($A344,'2018'!$A:$BB,8,FALSE),"")</f>
        <v>Account Managed by HUB SD Team
Producer - Dave Duenas
Service Lead - Courtney Stanley</v>
      </c>
      <c r="L344" s="1062" t="str">
        <f>IFERROR(VLOOKUP($A344,'2018'!$A:$BB,9,FALSE),"")</f>
        <v>Renewal</v>
      </c>
      <c r="M344" s="1067">
        <f>IFERROR(VLOOKUP($A344,'2018'!$A:$BB,10,FALSE),"")</f>
        <v>42826</v>
      </c>
      <c r="N344" s="1062">
        <f>IFERROR(VLOOKUP($A344,'2018'!$A:$BB,12,FALSE),"")</f>
        <v>3</v>
      </c>
      <c r="O344" s="1055" t="str">
        <f>IFERROR(VLOOKUP($A344,'2018'!$A:$BB,13,FALSE),"")</f>
        <v xml:space="preserve">IGOE </v>
      </c>
      <c r="P344" s="1055" t="str">
        <f>IFERROR(VLOOKUP($A344,'2018'!$A:$BB,14,FALSE),"")</f>
        <v>Maestro</v>
      </c>
      <c r="Q344" s="1055" t="str">
        <f>IFERROR(VLOOKUP($A344,'2018'!$A:$BB,16,FALSE),"")</f>
        <v>N/A</v>
      </c>
      <c r="R344" s="1055" t="str">
        <f>IFERROR(VLOOKUP($A344,'2018'!$A:$BB,17,FALSE),"")</f>
        <v>Optum Health</v>
      </c>
      <c r="S344" s="1062" t="str">
        <f>IFERROR(VLOOKUP($A344,'2018'!$A:$BB,20,FALSE),"")</f>
        <v>NCAL</v>
      </c>
      <c r="T344" s="1062" t="str">
        <f>IFERROR(VLOOKUP($A344,'2018'!$A:$BB,21,FALSE),"")</f>
        <v>Group A (&lt;34)</v>
      </c>
      <c r="U344" s="1062" t="str">
        <f>IFERROR(VLOOKUP($A344,'2018'!$A:$BB,22,FALSE),"")</f>
        <v>Expanded</v>
      </c>
      <c r="V344" s="1062" t="str">
        <f>IFERROR(VLOOKUP($A344,'2018'!$A:$BB,23,FALSE),"")</f>
        <v>Advantage</v>
      </c>
      <c r="W344" s="1062" t="str">
        <f>IFERROR(VLOOKUP($A344,'2018'!$A:$BB,24,FALSE),"")</f>
        <v>No</v>
      </c>
      <c r="X344" s="1062" t="str">
        <f>IFERROR(VLOOKUP($A344,'2018'!$A:$BB,41,FALSE),"")</f>
        <v>N/A</v>
      </c>
      <c r="Y344" s="1062" t="str">
        <f>IFERROR(VLOOKUP($A344,'2018'!$A:$BB,42,FALSE),"")</f>
        <v>N/A</v>
      </c>
      <c r="Z344" s="1062" t="str">
        <f>IFERROR(VLOOKUP($A344,'2018'!$A:$BB,45,FALSE),"")</f>
        <v>N/A</v>
      </c>
      <c r="AA344" s="731">
        <v>2018</v>
      </c>
      <c r="AB344" s="1020" t="s">
        <v>4139</v>
      </c>
      <c r="AC344" s="734" t="s">
        <v>303</v>
      </c>
      <c r="AD344" s="734" t="s">
        <v>3655</v>
      </c>
      <c r="AE344" s="734" t="s">
        <v>307</v>
      </c>
      <c r="AF344" s="734" t="s">
        <v>113</v>
      </c>
      <c r="AG344" s="732" t="s">
        <v>3981</v>
      </c>
      <c r="AH344" s="732" t="s">
        <v>3973</v>
      </c>
      <c r="AI344" s="734">
        <v>11</v>
      </c>
      <c r="AJ344" s="748" t="s">
        <v>3982</v>
      </c>
      <c r="AK344" s="757">
        <v>909678</v>
      </c>
      <c r="AL344" s="756">
        <v>466</v>
      </c>
      <c r="AM344" s="755">
        <v>909678</v>
      </c>
      <c r="AN344" s="756">
        <v>467</v>
      </c>
      <c r="AO344" s="776">
        <f t="shared" si="84"/>
        <v>909678</v>
      </c>
      <c r="AP344" s="754">
        <f>AN344+1</f>
        <v>468</v>
      </c>
      <c r="AQ344" s="771" t="s">
        <v>3979</v>
      </c>
      <c r="AR344" s="732" t="s">
        <v>2661</v>
      </c>
      <c r="AS344" s="735"/>
      <c r="AT344" s="735"/>
      <c r="AU344" s="732" t="s">
        <v>3980</v>
      </c>
      <c r="AV344" s="735"/>
      <c r="AW344" s="735"/>
    </row>
    <row r="345" spans="1:49" s="739" customFormat="1">
      <c r="A345" s="736" t="s">
        <v>180</v>
      </c>
      <c r="B345" s="736" t="s">
        <v>180</v>
      </c>
      <c r="C345" s="736"/>
      <c r="D345" s="736"/>
      <c r="E345" s="736"/>
      <c r="F345" s="1059">
        <f>IFERROR(VLOOKUP($A345,'2018'!$A:$BB,3,FALSE),"")</f>
        <v>611780047</v>
      </c>
      <c r="G345" s="1055" t="str">
        <f>IFERROR(VLOOKUP($A345,'2018'!$A:$BB,4,FALSE),"")</f>
        <v xml:space="preserve">479 Jessie St. 
San Francisco, CA 94103 </v>
      </c>
      <c r="H345" s="1055" t="str">
        <f>IFERROR(VLOOKUP($A345,'2018'!$A:$BB,5,FALSE),"")</f>
        <v>Maria Soloveychik
415.706.8701
msoloveychik@synthexlabs.com</v>
      </c>
      <c r="I345" s="1055" t="str">
        <f>IFERROR(VLOOKUP($A345,'2018'!$A:$BB,6,FALSE),"")</f>
        <v>Maria Soloveychik
415.706.8701
msoloveychik@synthexlabs.com
Additional Contact: 
Tri Luong 
tluong@synthexlabs.com</v>
      </c>
      <c r="J345" s="1055" t="str">
        <f>IFERROR(VLOOKUP($A345,'2018'!$A:$BB,7,FALSE),"")</f>
        <v>HUB (San Diego)</v>
      </c>
      <c r="K345" s="1055" t="str">
        <f>IFERROR(VLOOKUP($A345,'2018'!$A:$BB,8,FALSE),"")</f>
        <v>Account Managed by HUB SD Team
Producer - Dave Duenas
Service Lead - Courtney Stanley</v>
      </c>
      <c r="L345" s="1062" t="str">
        <f>IFERROR(VLOOKUP($A345,'2018'!$A:$BB,9,FALSE),"")</f>
        <v>Renewal</v>
      </c>
      <c r="M345" s="1067">
        <f>IFERROR(VLOOKUP($A345,'2018'!$A:$BB,10,FALSE),"")</f>
        <v>42826</v>
      </c>
      <c r="N345" s="1062">
        <f>IFERROR(VLOOKUP($A345,'2018'!$A:$BB,12,FALSE),"")</f>
        <v>3</v>
      </c>
      <c r="O345" s="1055" t="str">
        <f>IFERROR(VLOOKUP($A345,'2018'!$A:$BB,13,FALSE),"")</f>
        <v xml:space="preserve">IGOE </v>
      </c>
      <c r="P345" s="1055" t="str">
        <f>IFERROR(VLOOKUP($A345,'2018'!$A:$BB,14,FALSE),"")</f>
        <v>Maestro</v>
      </c>
      <c r="Q345" s="1055" t="str">
        <f>IFERROR(VLOOKUP($A345,'2018'!$A:$BB,16,FALSE),"")</f>
        <v>N/A</v>
      </c>
      <c r="R345" s="1055" t="str">
        <f>IFERROR(VLOOKUP($A345,'2018'!$A:$BB,17,FALSE),"")</f>
        <v>Optum Health</v>
      </c>
      <c r="S345" s="1062" t="str">
        <f>IFERROR(VLOOKUP($A345,'2018'!$A:$BB,20,FALSE),"")</f>
        <v>NCAL</v>
      </c>
      <c r="T345" s="1062" t="str">
        <f>IFERROR(VLOOKUP($A345,'2018'!$A:$BB,21,FALSE),"")</f>
        <v>Group A (&lt;34)</v>
      </c>
      <c r="U345" s="1062" t="str">
        <f>IFERROR(VLOOKUP($A345,'2018'!$A:$BB,22,FALSE),"")</f>
        <v>Expanded</v>
      </c>
      <c r="V345" s="1062" t="str">
        <f>IFERROR(VLOOKUP($A345,'2018'!$A:$BB,23,FALSE),"")</f>
        <v>Advantage</v>
      </c>
      <c r="W345" s="1062" t="str">
        <f>IFERROR(VLOOKUP($A345,'2018'!$A:$BB,24,FALSE),"")</f>
        <v>No</v>
      </c>
      <c r="X345" s="1062" t="str">
        <f>IFERROR(VLOOKUP($A345,'2018'!$A:$BB,41,FALSE),"")</f>
        <v>N/A</v>
      </c>
      <c r="Y345" s="1062" t="str">
        <f>IFERROR(VLOOKUP($A345,'2018'!$A:$BB,42,FALSE),"")</f>
        <v>N/A</v>
      </c>
      <c r="Z345" s="1062" t="str">
        <f>IFERROR(VLOOKUP($A345,'2018'!$A:$BB,45,FALSE),"")</f>
        <v>N/A</v>
      </c>
      <c r="AA345" s="731">
        <v>2018</v>
      </c>
      <c r="AB345" s="1020" t="s">
        <v>4139</v>
      </c>
      <c r="AC345" s="734" t="s">
        <v>303</v>
      </c>
      <c r="AD345" s="734" t="s">
        <v>3655</v>
      </c>
      <c r="AE345" s="734" t="s">
        <v>307</v>
      </c>
      <c r="AF345" s="734" t="s">
        <v>113</v>
      </c>
      <c r="AG345" s="732" t="s">
        <v>3981</v>
      </c>
      <c r="AH345" s="732" t="s">
        <v>3977</v>
      </c>
      <c r="AI345" s="734">
        <v>16</v>
      </c>
      <c r="AJ345" s="748" t="s">
        <v>3985</v>
      </c>
      <c r="AK345" s="757">
        <v>909678</v>
      </c>
      <c r="AL345" s="756">
        <v>718</v>
      </c>
      <c r="AM345" s="755">
        <v>909678</v>
      </c>
      <c r="AN345" s="756">
        <v>719</v>
      </c>
      <c r="AO345" s="776">
        <f t="shared" si="84"/>
        <v>909678</v>
      </c>
      <c r="AP345" s="754">
        <f>AN345+1</f>
        <v>720</v>
      </c>
      <c r="AQ345" s="771" t="s">
        <v>3979</v>
      </c>
      <c r="AR345" s="732" t="s">
        <v>2661</v>
      </c>
      <c r="AS345" s="735"/>
      <c r="AT345" s="735"/>
      <c r="AU345" s="732" t="s">
        <v>3980</v>
      </c>
      <c r="AV345" s="735"/>
      <c r="AW345" s="735"/>
    </row>
    <row r="346" spans="1:49" s="739" customFormat="1">
      <c r="A346" s="736"/>
      <c r="B346" s="736"/>
      <c r="C346" s="736"/>
      <c r="D346" s="736"/>
      <c r="E346" s="736"/>
      <c r="F346" s="1059" t="str">
        <f>IFERROR(VLOOKUP($A346,'2018'!$A:$BB,3,FALSE),"")</f>
        <v/>
      </c>
      <c r="G346" s="1055" t="str">
        <f>IFERROR(VLOOKUP($A346,'2018'!$A:$BB,4,FALSE),"")</f>
        <v/>
      </c>
      <c r="H346" s="1055" t="str">
        <f>IFERROR(VLOOKUP($A346,'2018'!$A:$BB,5,FALSE),"")</f>
        <v/>
      </c>
      <c r="I346" s="1055" t="str">
        <f>IFERROR(VLOOKUP($A346,'2018'!$A:$BB,6,FALSE),"")</f>
        <v/>
      </c>
      <c r="J346" s="1055" t="str">
        <f>IFERROR(VLOOKUP($A346,'2018'!$A:$BB,7,FALSE),"")</f>
        <v/>
      </c>
      <c r="K346" s="1055" t="str">
        <f>IFERROR(VLOOKUP($A346,'2018'!$A:$BB,8,FALSE),"")</f>
        <v/>
      </c>
      <c r="L346" s="1062" t="str">
        <f>IFERROR(VLOOKUP($A346,'2018'!$A:$BB,9,FALSE),"")</f>
        <v/>
      </c>
      <c r="M346" s="1067" t="str">
        <f>IFERROR(VLOOKUP($A346,'2018'!$A:$BB,10,FALSE),"")</f>
        <v/>
      </c>
      <c r="N346" s="1062" t="str">
        <f>IFERROR(VLOOKUP($A346,'2018'!$A:$BB,12,FALSE),"")</f>
        <v/>
      </c>
      <c r="O346" s="1055" t="str">
        <f>IFERROR(VLOOKUP($A346,'2018'!$A:$BB,13,FALSE),"")</f>
        <v/>
      </c>
      <c r="P346" s="1055" t="str">
        <f>IFERROR(VLOOKUP($A346,'2018'!$A:$BB,14,FALSE),"")</f>
        <v/>
      </c>
      <c r="Q346" s="1055" t="str">
        <f>IFERROR(VLOOKUP($A346,'2018'!$A:$BB,16,FALSE),"")</f>
        <v/>
      </c>
      <c r="R346" s="1055" t="str">
        <f>IFERROR(VLOOKUP($A346,'2018'!$A:$BB,17,FALSE),"")</f>
        <v/>
      </c>
      <c r="S346" s="1062" t="str">
        <f>IFERROR(VLOOKUP($A346,'2018'!$A:$BB,20,FALSE),"")</f>
        <v/>
      </c>
      <c r="T346" s="1062" t="str">
        <f>IFERROR(VLOOKUP($A346,'2018'!$A:$BB,21,FALSE),"")</f>
        <v/>
      </c>
      <c r="U346" s="1062" t="str">
        <f>IFERROR(VLOOKUP($A346,'2018'!$A:$BB,22,FALSE),"")</f>
        <v/>
      </c>
      <c r="V346" s="1062" t="str">
        <f>IFERROR(VLOOKUP($A346,'2018'!$A:$BB,23,FALSE),"")</f>
        <v/>
      </c>
      <c r="W346" s="1062" t="str">
        <f>IFERROR(VLOOKUP($A346,'2018'!$A:$BB,24,FALSE),"")</f>
        <v/>
      </c>
      <c r="X346" s="1062" t="str">
        <f>IFERROR(VLOOKUP($A346,'2018'!$A:$BB,41,FALSE),"")</f>
        <v/>
      </c>
      <c r="Y346" s="1062" t="str">
        <f>IFERROR(VLOOKUP($A346,'2018'!$A:$BB,42,FALSE),"")</f>
        <v/>
      </c>
      <c r="Z346" s="1062" t="str">
        <f>IFERROR(VLOOKUP($A346,'2018'!$A:$BB,45,FALSE),"")</f>
        <v/>
      </c>
      <c r="AA346" s="731"/>
      <c r="AB346" s="733"/>
      <c r="AC346" s="734"/>
      <c r="AD346" s="734"/>
      <c r="AE346" s="734"/>
      <c r="AF346" s="734"/>
      <c r="AG346" s="732"/>
      <c r="AH346" s="732"/>
      <c r="AI346" s="734"/>
      <c r="AJ346" s="748"/>
      <c r="AK346" s="757"/>
      <c r="AL346" s="756"/>
      <c r="AM346" s="758"/>
      <c r="AN346" s="756"/>
      <c r="AO346" s="776"/>
      <c r="AP346" s="754"/>
      <c r="AQ346" s="771"/>
      <c r="AR346" s="732"/>
      <c r="AS346" s="732"/>
      <c r="AT346" s="732"/>
      <c r="AU346" s="732"/>
      <c r="AV346" s="732"/>
      <c r="AW346" s="732"/>
    </row>
    <row r="347" spans="1:49" s="705" customFormat="1">
      <c r="A347" s="736" t="s">
        <v>5511</v>
      </c>
      <c r="B347" s="736" t="s">
        <v>5511</v>
      </c>
      <c r="C347" s="736" t="s">
        <v>4141</v>
      </c>
      <c r="D347" s="736"/>
      <c r="E347" s="736"/>
      <c r="F347" s="1059">
        <f>IFERROR(VLOOKUP($A347,'2018'!$A:$BB,3,FALSE),"")</f>
        <v>200016211</v>
      </c>
      <c r="G347" s="1055" t="str">
        <f>IFERROR(VLOOKUP($A347,'2018'!$A:$BB,4,FALSE),"")</f>
        <v>3937 Southview Drive, San Diego, CA 92117</v>
      </c>
      <c r="H347" s="1055" t="str">
        <f>IFERROR(VLOOKUP($A347,'2018'!$A:$BB,5,FALSE),"")</f>
        <v>Mark Fitchmun
858-449-1310
fitchmun@somatek.com</v>
      </c>
      <c r="I347" s="1055" t="str">
        <f>IFERROR(VLOOKUP($A347,'2018'!$A:$BB,6,FALSE),"")</f>
        <v>Mark Fitchmun
858-449-1310
fitchmun@somatek.com</v>
      </c>
      <c r="J347" s="1055" t="str">
        <f>IFERROR(VLOOKUP($A347,'2018'!$A:$BB,7,FALSE),"")</f>
        <v>HUB (San Diego)</v>
      </c>
      <c r="K347" s="1055" t="str">
        <f>IFERROR(VLOOKUP($A347,'2018'!$A:$BB,8,FALSE),"")</f>
        <v>Account Managed by HUB SD Team
Producer - Neal Cook
Service Lead - Courtney Stanley</v>
      </c>
      <c r="L347" s="1062" t="str">
        <f>IFERROR(VLOOKUP($A347,'2018'!$A:$BB,9,FALSE),"")</f>
        <v>New</v>
      </c>
      <c r="M347" s="1067">
        <f>IFERROR(VLOOKUP($A347,'2018'!$A:$BB,10,FALSE),"")</f>
        <v>43132</v>
      </c>
      <c r="N347" s="1062">
        <f>IFERROR(VLOOKUP($A347,'2018'!$A:$BB,12,FALSE),"")</f>
        <v>2</v>
      </c>
      <c r="O347" s="1055" t="str">
        <f>IFERROR(VLOOKUP($A347,'2018'!$A:$BB,13,FALSE),"")</f>
        <v xml:space="preserve">IGOE </v>
      </c>
      <c r="P347" s="1055" t="str">
        <f>IFERROR(VLOOKUP($A347,'2018'!$A:$BB,14,FALSE),"")</f>
        <v>Maestro</v>
      </c>
      <c r="Q347" s="1055" t="str">
        <f>IFERROR(VLOOKUP($A347,'2018'!$A:$BB,16,FALSE),"")</f>
        <v>N/A</v>
      </c>
      <c r="R347" s="1055" t="str">
        <f>IFERROR(VLOOKUP($A347,'2018'!$A:$BB,17,FALSE),"")</f>
        <v>Optum Health</v>
      </c>
      <c r="S347" s="1062" t="str">
        <f>IFERROR(VLOOKUP($A347,'2018'!$A:$BB,20,FALSE),"")</f>
        <v>SCAL</v>
      </c>
      <c r="T347" s="1062" t="str">
        <f>IFERROR(VLOOKUP($A347,'2018'!$A:$BB,21,FALSE),"")</f>
        <v>Group D (54+)</v>
      </c>
      <c r="U347" s="1062" t="str">
        <f>IFERROR(VLOOKUP($A347,'2018'!$A:$BB,22,FALSE),"")</f>
        <v>Expanded</v>
      </c>
      <c r="V347" s="1062" t="str">
        <f>IFERROR(VLOOKUP($A347,'2018'!$A:$BB,23,FALSE),"")</f>
        <v>Advantage</v>
      </c>
      <c r="W347" s="1062" t="str">
        <f>IFERROR(VLOOKUP($A347,'2018'!$A:$BB,24,FALSE),"")</f>
        <v>No</v>
      </c>
      <c r="X347" s="1062" t="str">
        <f>IFERROR(VLOOKUP($A347,'2018'!$A:$BB,41,FALSE),"")</f>
        <v>Region 2</v>
      </c>
      <c r="Y347" s="1062" t="str">
        <f>IFERROR(VLOOKUP($A347,'2018'!$A:$BB,42,FALSE),"")</f>
        <v>(2-9)</v>
      </c>
      <c r="Z347" s="1062" t="str">
        <f>IFERROR(VLOOKUP($A347,'2018'!$A:$BB,45,FALSE),"")</f>
        <v xml:space="preserve"> (2-49)</v>
      </c>
      <c r="AA347" s="731">
        <v>2018</v>
      </c>
      <c r="AB347" s="1020" t="s">
        <v>4347</v>
      </c>
      <c r="AC347" s="718" t="s">
        <v>317</v>
      </c>
      <c r="AD347" s="719" t="s">
        <v>3658</v>
      </c>
      <c r="AE347" s="708" t="s">
        <v>307</v>
      </c>
      <c r="AF347" s="708" t="s">
        <v>113</v>
      </c>
      <c r="AG347" s="706" t="s">
        <v>3962</v>
      </c>
      <c r="AH347" s="706" t="s">
        <v>3963</v>
      </c>
      <c r="AI347" s="708">
        <v>2</v>
      </c>
      <c r="AJ347" s="749" t="s">
        <v>3964</v>
      </c>
      <c r="AK347" s="761">
        <v>260095</v>
      </c>
      <c r="AL347" s="762">
        <v>196</v>
      </c>
      <c r="AM347" s="761">
        <v>260096</v>
      </c>
      <c r="AN347" s="762">
        <v>197</v>
      </c>
      <c r="AO347" s="776">
        <f>AM347+1</f>
        <v>260097</v>
      </c>
      <c r="AP347" s="754">
        <f>AN347+1</f>
        <v>198</v>
      </c>
      <c r="AQ347" s="773" t="s">
        <v>3979</v>
      </c>
      <c r="AR347" s="706" t="s">
        <v>2661</v>
      </c>
      <c r="AS347" s="709"/>
      <c r="AT347" s="709"/>
      <c r="AU347" s="732" t="s">
        <v>3980</v>
      </c>
      <c r="AV347" s="735"/>
      <c r="AW347" s="735"/>
    </row>
    <row r="348" spans="1:49" s="705" customFormat="1">
      <c r="A348" s="736" t="s">
        <v>5511</v>
      </c>
      <c r="B348" s="736" t="s">
        <v>5511</v>
      </c>
      <c r="C348" s="736" t="s">
        <v>4141</v>
      </c>
      <c r="D348" s="736"/>
      <c r="E348" s="736"/>
      <c r="F348" s="1059">
        <f>IFERROR(VLOOKUP($A348,'2018'!$A:$BB,3,FALSE),"")</f>
        <v>200016211</v>
      </c>
      <c r="G348" s="1055" t="str">
        <f>IFERROR(VLOOKUP($A348,'2018'!$A:$BB,4,FALSE),"")</f>
        <v>3937 Southview Drive, San Diego, CA 92117</v>
      </c>
      <c r="H348" s="1055" t="str">
        <f>IFERROR(VLOOKUP($A348,'2018'!$A:$BB,5,FALSE),"")</f>
        <v>Mark Fitchmun
858-449-1310
fitchmun@somatek.com</v>
      </c>
      <c r="I348" s="1055" t="str">
        <f>IFERROR(VLOOKUP($A348,'2018'!$A:$BB,6,FALSE),"")</f>
        <v>Mark Fitchmun
858-449-1310
fitchmun@somatek.com</v>
      </c>
      <c r="J348" s="1055" t="str">
        <f>IFERROR(VLOOKUP($A348,'2018'!$A:$BB,7,FALSE),"")</f>
        <v>HUB (San Diego)</v>
      </c>
      <c r="K348" s="1055" t="str">
        <f>IFERROR(VLOOKUP($A348,'2018'!$A:$BB,8,FALSE),"")</f>
        <v>Account Managed by HUB SD Team
Producer - Neal Cook
Service Lead - Courtney Stanley</v>
      </c>
      <c r="L348" s="1062" t="str">
        <f>IFERROR(VLOOKUP($A348,'2018'!$A:$BB,9,FALSE),"")</f>
        <v>New</v>
      </c>
      <c r="M348" s="1067">
        <f>IFERROR(VLOOKUP($A348,'2018'!$A:$BB,10,FALSE),"")</f>
        <v>43132</v>
      </c>
      <c r="N348" s="1062">
        <f>IFERROR(VLOOKUP($A348,'2018'!$A:$BB,12,FALSE),"")</f>
        <v>2</v>
      </c>
      <c r="O348" s="1055" t="str">
        <f>IFERROR(VLOOKUP($A348,'2018'!$A:$BB,13,FALSE),"")</f>
        <v xml:space="preserve">IGOE </v>
      </c>
      <c r="P348" s="1055" t="str">
        <f>IFERROR(VLOOKUP($A348,'2018'!$A:$BB,14,FALSE),"")</f>
        <v>Maestro</v>
      </c>
      <c r="Q348" s="1055" t="str">
        <f>IFERROR(VLOOKUP($A348,'2018'!$A:$BB,16,FALSE),"")</f>
        <v>N/A</v>
      </c>
      <c r="R348" s="1055" t="str">
        <f>IFERROR(VLOOKUP($A348,'2018'!$A:$BB,17,FALSE),"")</f>
        <v>Optum Health</v>
      </c>
      <c r="S348" s="1062" t="str">
        <f>IFERROR(VLOOKUP($A348,'2018'!$A:$BB,20,FALSE),"")</f>
        <v>SCAL</v>
      </c>
      <c r="T348" s="1062" t="str">
        <f>IFERROR(VLOOKUP($A348,'2018'!$A:$BB,21,FALSE),"")</f>
        <v>Group D (54+)</v>
      </c>
      <c r="U348" s="1062" t="str">
        <f>IFERROR(VLOOKUP($A348,'2018'!$A:$BB,22,FALSE),"")</f>
        <v>Expanded</v>
      </c>
      <c r="V348" s="1062" t="str">
        <f>IFERROR(VLOOKUP($A348,'2018'!$A:$BB,23,FALSE),"")</f>
        <v>Advantage</v>
      </c>
      <c r="W348" s="1062" t="str">
        <f>IFERROR(VLOOKUP($A348,'2018'!$A:$BB,24,FALSE),"")</f>
        <v>No</v>
      </c>
      <c r="X348" s="1062" t="str">
        <f>IFERROR(VLOOKUP($A348,'2018'!$A:$BB,41,FALSE),"")</f>
        <v>Region 2</v>
      </c>
      <c r="Y348" s="1062" t="str">
        <f>IFERROR(VLOOKUP($A348,'2018'!$A:$BB,42,FALSE),"")</f>
        <v>(2-9)</v>
      </c>
      <c r="Z348" s="1062" t="str">
        <f>IFERROR(VLOOKUP($A348,'2018'!$A:$BB,45,FALSE),"")</f>
        <v xml:space="preserve"> (2-49)</v>
      </c>
      <c r="AA348" s="731">
        <v>2018</v>
      </c>
      <c r="AB348" s="1020" t="s">
        <v>4347</v>
      </c>
      <c r="AC348" s="718" t="s">
        <v>317</v>
      </c>
      <c r="AD348" s="719" t="s">
        <v>3658</v>
      </c>
      <c r="AE348" s="708" t="s">
        <v>307</v>
      </c>
      <c r="AF348" s="708" t="s">
        <v>113</v>
      </c>
      <c r="AG348" s="706" t="s">
        <v>3981</v>
      </c>
      <c r="AH348" s="706" t="s">
        <v>3973</v>
      </c>
      <c r="AI348" s="708">
        <v>11</v>
      </c>
      <c r="AJ348" s="749" t="s">
        <v>3982</v>
      </c>
      <c r="AK348" s="763">
        <v>909678</v>
      </c>
      <c r="AL348" s="762">
        <v>487</v>
      </c>
      <c r="AM348" s="763">
        <v>909678</v>
      </c>
      <c r="AN348" s="762">
        <v>488</v>
      </c>
      <c r="AO348" s="776">
        <f t="shared" ref="AO348:AO349" si="85">AM348</f>
        <v>909678</v>
      </c>
      <c r="AP348" s="754">
        <f>AN348+1</f>
        <v>489</v>
      </c>
      <c r="AQ348" s="773" t="s">
        <v>3979</v>
      </c>
      <c r="AR348" s="706" t="s">
        <v>2661</v>
      </c>
      <c r="AS348" s="709"/>
      <c r="AT348" s="709"/>
      <c r="AU348" s="732" t="s">
        <v>3980</v>
      </c>
      <c r="AV348" s="735"/>
      <c r="AW348" s="735"/>
    </row>
    <row r="349" spans="1:49" s="705" customFormat="1">
      <c r="A349" s="736" t="s">
        <v>5511</v>
      </c>
      <c r="B349" s="736" t="s">
        <v>5511</v>
      </c>
      <c r="C349" s="736" t="s">
        <v>4141</v>
      </c>
      <c r="D349" s="736"/>
      <c r="E349" s="736"/>
      <c r="F349" s="1059">
        <f>IFERROR(VLOOKUP($A349,'2018'!$A:$BB,3,FALSE),"")</f>
        <v>200016211</v>
      </c>
      <c r="G349" s="1055" t="str">
        <f>IFERROR(VLOOKUP($A349,'2018'!$A:$BB,4,FALSE),"")</f>
        <v>3937 Southview Drive, San Diego, CA 92117</v>
      </c>
      <c r="H349" s="1055" t="str">
        <f>IFERROR(VLOOKUP($A349,'2018'!$A:$BB,5,FALSE),"")</f>
        <v>Mark Fitchmun
858-449-1310
fitchmun@somatek.com</v>
      </c>
      <c r="I349" s="1055" t="str">
        <f>IFERROR(VLOOKUP($A349,'2018'!$A:$BB,6,FALSE),"")</f>
        <v>Mark Fitchmun
858-449-1310
fitchmun@somatek.com</v>
      </c>
      <c r="J349" s="1055" t="str">
        <f>IFERROR(VLOOKUP($A349,'2018'!$A:$BB,7,FALSE),"")</f>
        <v>HUB (San Diego)</v>
      </c>
      <c r="K349" s="1055" t="str">
        <f>IFERROR(VLOOKUP($A349,'2018'!$A:$BB,8,FALSE),"")</f>
        <v>Account Managed by HUB SD Team
Producer - Neal Cook
Service Lead - Courtney Stanley</v>
      </c>
      <c r="L349" s="1062" t="str">
        <f>IFERROR(VLOOKUP($A349,'2018'!$A:$BB,9,FALSE),"")</f>
        <v>New</v>
      </c>
      <c r="M349" s="1067">
        <f>IFERROR(VLOOKUP($A349,'2018'!$A:$BB,10,FALSE),"")</f>
        <v>43132</v>
      </c>
      <c r="N349" s="1062">
        <f>IFERROR(VLOOKUP($A349,'2018'!$A:$BB,12,FALSE),"")</f>
        <v>2</v>
      </c>
      <c r="O349" s="1055" t="str">
        <f>IFERROR(VLOOKUP($A349,'2018'!$A:$BB,13,FALSE),"")</f>
        <v xml:space="preserve">IGOE </v>
      </c>
      <c r="P349" s="1055" t="str">
        <f>IFERROR(VLOOKUP($A349,'2018'!$A:$BB,14,FALSE),"")</f>
        <v>Maestro</v>
      </c>
      <c r="Q349" s="1055" t="str">
        <f>IFERROR(VLOOKUP($A349,'2018'!$A:$BB,16,FALSE),"")</f>
        <v>N/A</v>
      </c>
      <c r="R349" s="1055" t="str">
        <f>IFERROR(VLOOKUP($A349,'2018'!$A:$BB,17,FALSE),"")</f>
        <v>Optum Health</v>
      </c>
      <c r="S349" s="1062" t="str">
        <f>IFERROR(VLOOKUP($A349,'2018'!$A:$BB,20,FALSE),"")</f>
        <v>SCAL</v>
      </c>
      <c r="T349" s="1062" t="str">
        <f>IFERROR(VLOOKUP($A349,'2018'!$A:$BB,21,FALSE),"")</f>
        <v>Group D (54+)</v>
      </c>
      <c r="U349" s="1062" t="str">
        <f>IFERROR(VLOOKUP($A349,'2018'!$A:$BB,22,FALSE),"")</f>
        <v>Expanded</v>
      </c>
      <c r="V349" s="1062" t="str">
        <f>IFERROR(VLOOKUP($A349,'2018'!$A:$BB,23,FALSE),"")</f>
        <v>Advantage</v>
      </c>
      <c r="W349" s="1062" t="str">
        <f>IFERROR(VLOOKUP($A349,'2018'!$A:$BB,24,FALSE),"")</f>
        <v>No</v>
      </c>
      <c r="X349" s="1062" t="str">
        <f>IFERROR(VLOOKUP($A349,'2018'!$A:$BB,41,FALSE),"")</f>
        <v>Region 2</v>
      </c>
      <c r="Y349" s="1062" t="str">
        <f>IFERROR(VLOOKUP($A349,'2018'!$A:$BB,42,FALSE),"")</f>
        <v>(2-9)</v>
      </c>
      <c r="Z349" s="1062" t="str">
        <f>IFERROR(VLOOKUP($A349,'2018'!$A:$BB,45,FALSE),"")</f>
        <v xml:space="preserve"> (2-49)</v>
      </c>
      <c r="AA349" s="731">
        <v>2018</v>
      </c>
      <c r="AB349" s="1020" t="s">
        <v>4347</v>
      </c>
      <c r="AC349" s="718" t="s">
        <v>317</v>
      </c>
      <c r="AD349" s="719" t="s">
        <v>3658</v>
      </c>
      <c r="AE349" s="708" t="s">
        <v>307</v>
      </c>
      <c r="AF349" s="708" t="s">
        <v>113</v>
      </c>
      <c r="AG349" s="706" t="s">
        <v>3981</v>
      </c>
      <c r="AH349" s="706" t="s">
        <v>3977</v>
      </c>
      <c r="AI349" s="708">
        <v>16</v>
      </c>
      <c r="AJ349" s="749" t="s">
        <v>3985</v>
      </c>
      <c r="AK349" s="763">
        <v>909678</v>
      </c>
      <c r="AL349" s="762">
        <v>739</v>
      </c>
      <c r="AM349" s="763">
        <v>909678</v>
      </c>
      <c r="AN349" s="762">
        <v>740</v>
      </c>
      <c r="AO349" s="776">
        <f t="shared" si="85"/>
        <v>909678</v>
      </c>
      <c r="AP349" s="754">
        <f>AN349+1</f>
        <v>741</v>
      </c>
      <c r="AQ349" s="773" t="s">
        <v>3979</v>
      </c>
      <c r="AR349" s="706" t="s">
        <v>2661</v>
      </c>
      <c r="AS349" s="709"/>
      <c r="AT349" s="709"/>
      <c r="AU349" s="732" t="s">
        <v>3980</v>
      </c>
      <c r="AV349" s="735"/>
      <c r="AW349" s="735"/>
    </row>
    <row r="350" spans="1:49" s="705" customFormat="1">
      <c r="A350" s="736"/>
      <c r="B350" s="736"/>
      <c r="C350" s="736"/>
      <c r="D350" s="736"/>
      <c r="E350" s="736"/>
      <c r="F350" s="1059" t="str">
        <f>IFERROR(VLOOKUP($A350,'2018'!$A:$BB,3,FALSE),"")</f>
        <v/>
      </c>
      <c r="G350" s="1055" t="str">
        <f>IFERROR(VLOOKUP($A350,'2018'!$A:$BB,4,FALSE),"")</f>
        <v/>
      </c>
      <c r="H350" s="1055" t="str">
        <f>IFERROR(VLOOKUP($A350,'2018'!$A:$BB,5,FALSE),"")</f>
        <v/>
      </c>
      <c r="I350" s="1055" t="str">
        <f>IFERROR(VLOOKUP($A350,'2018'!$A:$BB,6,FALSE),"")</f>
        <v/>
      </c>
      <c r="J350" s="1055" t="str">
        <f>IFERROR(VLOOKUP($A350,'2018'!$A:$BB,7,FALSE),"")</f>
        <v/>
      </c>
      <c r="K350" s="1055" t="str">
        <f>IFERROR(VLOOKUP($A350,'2018'!$A:$BB,8,FALSE),"")</f>
        <v/>
      </c>
      <c r="L350" s="1062" t="str">
        <f>IFERROR(VLOOKUP($A350,'2018'!$A:$BB,9,FALSE),"")</f>
        <v/>
      </c>
      <c r="M350" s="1067" t="str">
        <f>IFERROR(VLOOKUP($A350,'2018'!$A:$BB,10,FALSE),"")</f>
        <v/>
      </c>
      <c r="N350" s="1062" t="str">
        <f>IFERROR(VLOOKUP($A350,'2018'!$A:$BB,12,FALSE),"")</f>
        <v/>
      </c>
      <c r="O350" s="1055" t="str">
        <f>IFERROR(VLOOKUP($A350,'2018'!$A:$BB,13,FALSE),"")</f>
        <v/>
      </c>
      <c r="P350" s="1055" t="str">
        <f>IFERROR(VLOOKUP($A350,'2018'!$A:$BB,14,FALSE),"")</f>
        <v/>
      </c>
      <c r="Q350" s="1055" t="str">
        <f>IFERROR(VLOOKUP($A350,'2018'!$A:$BB,16,FALSE),"")</f>
        <v/>
      </c>
      <c r="R350" s="1055" t="str">
        <f>IFERROR(VLOOKUP($A350,'2018'!$A:$BB,17,FALSE),"")</f>
        <v/>
      </c>
      <c r="S350" s="1062" t="str">
        <f>IFERROR(VLOOKUP($A350,'2018'!$A:$BB,20,FALSE),"")</f>
        <v/>
      </c>
      <c r="T350" s="1062" t="str">
        <f>IFERROR(VLOOKUP($A350,'2018'!$A:$BB,21,FALSE),"")</f>
        <v/>
      </c>
      <c r="U350" s="1062" t="str">
        <f>IFERROR(VLOOKUP($A350,'2018'!$A:$BB,22,FALSE),"")</f>
        <v/>
      </c>
      <c r="V350" s="1062" t="str">
        <f>IFERROR(VLOOKUP($A350,'2018'!$A:$BB,23,FALSE),"")</f>
        <v/>
      </c>
      <c r="W350" s="1062" t="str">
        <f>IFERROR(VLOOKUP($A350,'2018'!$A:$BB,24,FALSE),"")</f>
        <v/>
      </c>
      <c r="X350" s="1062" t="str">
        <f>IFERROR(VLOOKUP($A350,'2018'!$A:$BB,41,FALSE),"")</f>
        <v/>
      </c>
      <c r="Y350" s="1062" t="str">
        <f>IFERROR(VLOOKUP($A350,'2018'!$A:$BB,42,FALSE),"")</f>
        <v/>
      </c>
      <c r="Z350" s="1062" t="str">
        <f>IFERROR(VLOOKUP($A350,'2018'!$A:$BB,45,FALSE),"")</f>
        <v/>
      </c>
      <c r="AA350" s="731"/>
      <c r="AB350" s="707"/>
      <c r="AC350" s="718"/>
      <c r="AD350" s="719"/>
      <c r="AE350" s="708"/>
      <c r="AF350" s="708"/>
      <c r="AG350" s="706"/>
      <c r="AH350" s="706"/>
      <c r="AI350" s="708"/>
      <c r="AJ350" s="749"/>
      <c r="AK350" s="763"/>
      <c r="AL350" s="762"/>
      <c r="AM350" s="763"/>
      <c r="AN350" s="762"/>
      <c r="AO350" s="776"/>
      <c r="AP350" s="754"/>
      <c r="AQ350" s="773"/>
      <c r="AR350" s="706"/>
      <c r="AS350" s="709"/>
      <c r="AT350" s="709"/>
      <c r="AU350" s="732"/>
      <c r="AV350" s="735"/>
      <c r="AW350" s="735"/>
    </row>
    <row r="351" spans="1:49">
      <c r="A351" s="738" t="s">
        <v>4123</v>
      </c>
      <c r="B351" s="738" t="s">
        <v>4123</v>
      </c>
      <c r="C351" s="738"/>
      <c r="D351" s="738" t="s">
        <v>4196</v>
      </c>
      <c r="E351" s="738" t="s">
        <v>4196</v>
      </c>
      <c r="F351" s="1059">
        <f>IFERROR(VLOOKUP($A351,'2018'!$A:$BB,3,FALSE),"")</f>
        <v>464233385</v>
      </c>
      <c r="G351" s="1055" t="str">
        <f>IFERROR(VLOOKUP($A351,'2018'!$A:$BB,4,FALSE),"")</f>
        <v>353 Hatch Drive
Foster City, CA 94404</v>
      </c>
      <c r="H351" s="1055" t="str">
        <f>IFERROR(VLOOKUP($A351,'2018'!$A:$BB,5,FALSE),"")</f>
        <v>Karen Alderete
650-241-3900
kalderete@sutrovax.com</v>
      </c>
      <c r="I351" s="1055" t="str">
        <f>IFERROR(VLOOKUP($A351,'2018'!$A:$BB,6,FALSE),"")</f>
        <v xml:space="preserve">Kayo Chih
kchih@sutrovax.com
</v>
      </c>
      <c r="J351" s="1055" t="str">
        <f>IFERROR(VLOOKUP($A351,'2018'!$A:$BB,7,FALSE),"")</f>
        <v>ABD</v>
      </c>
      <c r="K351" s="1055" t="str">
        <f>IFERROR(VLOOKUP($A351,'2018'!$A:$BB,8,FALSE),"")</f>
        <v xml:space="preserve">Account Managed by ABD Team
Mark Anderson
Mark.Anderson@theabdteam.com
Angie Lopez
angie.lopez@theabdteam.com </v>
      </c>
      <c r="L351" s="1062" t="str">
        <f>IFERROR(VLOOKUP($A351,'2018'!$A:$BB,9,FALSE),"")</f>
        <v>New</v>
      </c>
      <c r="M351" s="1067">
        <f>IFERROR(VLOOKUP($A351,'2018'!$A:$BB,10,FALSE),"")</f>
        <v>43101</v>
      </c>
      <c r="N351" s="1062">
        <f>IFERROR(VLOOKUP($A351,'2018'!$A:$BB,12,FALSE),"")</f>
        <v>27</v>
      </c>
      <c r="O351" s="1055" t="str">
        <f>IFERROR(VLOOKUP($A351,'2018'!$A:$BB,13,FALSE),"")</f>
        <v xml:space="preserve">IGOE </v>
      </c>
      <c r="P351" s="1055" t="str">
        <f>IFERROR(VLOOKUP($A351,'2018'!$A:$BB,14,FALSE),"")</f>
        <v>Maestro</v>
      </c>
      <c r="Q351" s="1055" t="str">
        <f>IFERROR(VLOOKUP($A351,'2018'!$A:$BB,16,FALSE),"")</f>
        <v>IGOE</v>
      </c>
      <c r="R351" s="1055" t="str">
        <f>IFERROR(VLOOKUP($A351,'2018'!$A:$BB,17,FALSE),"")</f>
        <v>Optum Health</v>
      </c>
      <c r="S351" s="1062" t="str">
        <f>IFERROR(VLOOKUP($A351,'2018'!$A:$BB,20,FALSE),"")</f>
        <v>NCAL</v>
      </c>
      <c r="T351" s="1062" t="str">
        <f>IFERROR(VLOOKUP($A351,'2018'!$A:$BB,21,FALSE),"")</f>
        <v>Group C (44-54)</v>
      </c>
      <c r="U351" s="1062" t="str">
        <f>IFERROR(VLOOKUP($A351,'2018'!$A:$BB,22,FALSE),"")</f>
        <v>Expanded</v>
      </c>
      <c r="V351" s="1062" t="str">
        <f>IFERROR(VLOOKUP($A351,'2018'!$A:$BB,23,FALSE),"")</f>
        <v>Advantage</v>
      </c>
      <c r="W351" s="1062" t="str">
        <f>IFERROR(VLOOKUP($A351,'2018'!$A:$BB,24,FALSE),"")</f>
        <v>No</v>
      </c>
      <c r="X351" s="1062" t="str">
        <f>IFERROR(VLOOKUP($A351,'2018'!$A:$BB,41,FALSE),"")</f>
        <v>Region 4</v>
      </c>
      <c r="Y351" s="1062" t="str">
        <f>IFERROR(VLOOKUP($A351,'2018'!$A:$BB,42,FALSE),"")</f>
        <v>(10-24)</v>
      </c>
      <c r="Z351" s="1062" t="str">
        <f>IFERROR(VLOOKUP($A351,'2018'!$A:$BB,45,FALSE),"")</f>
        <v xml:space="preserve"> (2-49)</v>
      </c>
      <c r="AA351" s="730">
        <v>2018</v>
      </c>
      <c r="AB351" s="1020" t="s">
        <v>3921</v>
      </c>
      <c r="AC351" s="727" t="s">
        <v>303</v>
      </c>
      <c r="AD351" s="727" t="s">
        <v>3656</v>
      </c>
      <c r="AE351" s="727" t="s">
        <v>307</v>
      </c>
      <c r="AF351" s="727" t="s">
        <v>113</v>
      </c>
      <c r="AG351" s="726" t="s">
        <v>3972</v>
      </c>
      <c r="AH351" s="726" t="s">
        <v>3973</v>
      </c>
      <c r="AI351" s="727">
        <v>7</v>
      </c>
      <c r="AJ351" s="747" t="s">
        <v>4001</v>
      </c>
      <c r="AK351" s="757">
        <v>909678</v>
      </c>
      <c r="AL351" s="754">
        <v>328</v>
      </c>
      <c r="AM351" s="755">
        <v>909678</v>
      </c>
      <c r="AN351" s="754">
        <v>329</v>
      </c>
      <c r="AO351" s="776">
        <f t="shared" ref="AO351:AO354" si="86">AM351</f>
        <v>909678</v>
      </c>
      <c r="AP351" s="754">
        <f t="shared" si="73"/>
        <v>330</v>
      </c>
      <c r="AQ351" s="770"/>
      <c r="AR351" s="726" t="s">
        <v>2661</v>
      </c>
      <c r="AS351" s="726" t="s">
        <v>4002</v>
      </c>
      <c r="AT351" s="726">
        <v>3280328</v>
      </c>
      <c r="AU351" s="726" t="s">
        <v>3966</v>
      </c>
      <c r="AV351" s="726" t="s">
        <v>4124</v>
      </c>
      <c r="AW351" s="726">
        <v>3290329</v>
      </c>
    </row>
    <row r="352" spans="1:49">
      <c r="A352" s="736" t="s">
        <v>4123</v>
      </c>
      <c r="B352" s="736" t="s">
        <v>4123</v>
      </c>
      <c r="C352" s="736"/>
      <c r="D352" s="736" t="s">
        <v>4196</v>
      </c>
      <c r="E352" s="736" t="s">
        <v>4196</v>
      </c>
      <c r="F352" s="1059">
        <f>IFERROR(VLOOKUP($A352,'2018'!$A:$BB,3,FALSE),"")</f>
        <v>464233385</v>
      </c>
      <c r="G352" s="1055" t="str">
        <f>IFERROR(VLOOKUP($A352,'2018'!$A:$BB,4,FALSE),"")</f>
        <v>353 Hatch Drive
Foster City, CA 94404</v>
      </c>
      <c r="H352" s="1055" t="str">
        <f>IFERROR(VLOOKUP($A352,'2018'!$A:$BB,5,FALSE),"")</f>
        <v>Karen Alderete
650-241-3900
kalderete@sutrovax.com</v>
      </c>
      <c r="I352" s="1055" t="str">
        <f>IFERROR(VLOOKUP($A352,'2018'!$A:$BB,6,FALSE),"")</f>
        <v xml:space="preserve">Kayo Chih
kchih@sutrovax.com
</v>
      </c>
      <c r="J352" s="1055" t="str">
        <f>IFERROR(VLOOKUP($A352,'2018'!$A:$BB,7,FALSE),"")</f>
        <v>ABD</v>
      </c>
      <c r="K352" s="1055" t="str">
        <f>IFERROR(VLOOKUP($A352,'2018'!$A:$BB,8,FALSE),"")</f>
        <v xml:space="preserve">Account Managed by ABD Team
Mark Anderson
Mark.Anderson@theabdteam.com
Angie Lopez
angie.lopez@theabdteam.com </v>
      </c>
      <c r="L352" s="1062" t="str">
        <f>IFERROR(VLOOKUP($A352,'2018'!$A:$BB,9,FALSE),"")</f>
        <v>New</v>
      </c>
      <c r="M352" s="1067">
        <f>IFERROR(VLOOKUP($A352,'2018'!$A:$BB,10,FALSE),"")</f>
        <v>43101</v>
      </c>
      <c r="N352" s="1062">
        <f>IFERROR(VLOOKUP($A352,'2018'!$A:$BB,12,FALSE),"")</f>
        <v>27</v>
      </c>
      <c r="O352" s="1055" t="str">
        <f>IFERROR(VLOOKUP($A352,'2018'!$A:$BB,13,FALSE),"")</f>
        <v xml:space="preserve">IGOE </v>
      </c>
      <c r="P352" s="1055" t="str">
        <f>IFERROR(VLOOKUP($A352,'2018'!$A:$BB,14,FALSE),"")</f>
        <v>Maestro</v>
      </c>
      <c r="Q352" s="1055" t="str">
        <f>IFERROR(VLOOKUP($A352,'2018'!$A:$BB,16,FALSE),"")</f>
        <v>IGOE</v>
      </c>
      <c r="R352" s="1055" t="str">
        <f>IFERROR(VLOOKUP($A352,'2018'!$A:$BB,17,FALSE),"")</f>
        <v>Optum Health</v>
      </c>
      <c r="S352" s="1062" t="str">
        <f>IFERROR(VLOOKUP($A352,'2018'!$A:$BB,20,FALSE),"")</f>
        <v>NCAL</v>
      </c>
      <c r="T352" s="1062" t="str">
        <f>IFERROR(VLOOKUP($A352,'2018'!$A:$BB,21,FALSE),"")</f>
        <v>Group C (44-54)</v>
      </c>
      <c r="U352" s="1062" t="str">
        <f>IFERROR(VLOOKUP($A352,'2018'!$A:$BB,22,FALSE),"")</f>
        <v>Expanded</v>
      </c>
      <c r="V352" s="1062" t="str">
        <f>IFERROR(VLOOKUP($A352,'2018'!$A:$BB,23,FALSE),"")</f>
        <v>Advantage</v>
      </c>
      <c r="W352" s="1062" t="str">
        <f>IFERROR(VLOOKUP($A352,'2018'!$A:$BB,24,FALSE),"")</f>
        <v>No</v>
      </c>
      <c r="X352" s="1062" t="str">
        <f>IFERROR(VLOOKUP($A352,'2018'!$A:$BB,41,FALSE),"")</f>
        <v>Region 4</v>
      </c>
      <c r="Y352" s="1062" t="str">
        <f>IFERROR(VLOOKUP($A352,'2018'!$A:$BB,42,FALSE),"")</f>
        <v>(10-24)</v>
      </c>
      <c r="Z352" s="1062" t="str">
        <f>IFERROR(VLOOKUP($A352,'2018'!$A:$BB,45,FALSE),"")</f>
        <v xml:space="preserve"> (2-49)</v>
      </c>
      <c r="AA352" s="731">
        <v>2018</v>
      </c>
      <c r="AB352" s="1020" t="s">
        <v>3921</v>
      </c>
      <c r="AC352" s="734" t="s">
        <v>303</v>
      </c>
      <c r="AD352" s="734" t="s">
        <v>3656</v>
      </c>
      <c r="AE352" s="734" t="s">
        <v>307</v>
      </c>
      <c r="AF352" s="734" t="s">
        <v>113</v>
      </c>
      <c r="AG352" s="732" t="s">
        <v>3972</v>
      </c>
      <c r="AH352" s="732" t="s">
        <v>3977</v>
      </c>
      <c r="AI352" s="734">
        <v>13</v>
      </c>
      <c r="AJ352" s="748" t="s">
        <v>4004</v>
      </c>
      <c r="AK352" s="757">
        <v>909678</v>
      </c>
      <c r="AL352" s="756">
        <v>580</v>
      </c>
      <c r="AM352" s="755">
        <v>909678</v>
      </c>
      <c r="AN352" s="756">
        <v>581</v>
      </c>
      <c r="AO352" s="776">
        <f t="shared" si="86"/>
        <v>909678</v>
      </c>
      <c r="AP352" s="754">
        <f t="shared" si="73"/>
        <v>582</v>
      </c>
      <c r="AQ352" s="771" t="s">
        <v>3979</v>
      </c>
      <c r="AR352" s="732" t="s">
        <v>2661</v>
      </c>
      <c r="AS352" s="735"/>
      <c r="AT352" s="735"/>
      <c r="AU352" s="732" t="s">
        <v>3980</v>
      </c>
      <c r="AV352" s="735"/>
      <c r="AW352" s="735"/>
    </row>
    <row r="353" spans="1:49">
      <c r="A353" s="738" t="s">
        <v>4123</v>
      </c>
      <c r="B353" s="738" t="s">
        <v>4123</v>
      </c>
      <c r="C353" s="738"/>
      <c r="D353" s="738" t="s">
        <v>4196</v>
      </c>
      <c r="E353" s="738" t="s">
        <v>4196</v>
      </c>
      <c r="F353" s="1059">
        <f>IFERROR(VLOOKUP($A353,'2018'!$A:$BB,3,FALSE),"")</f>
        <v>464233385</v>
      </c>
      <c r="G353" s="1055" t="str">
        <f>IFERROR(VLOOKUP($A353,'2018'!$A:$BB,4,FALSE),"")</f>
        <v>353 Hatch Drive
Foster City, CA 94404</v>
      </c>
      <c r="H353" s="1055" t="str">
        <f>IFERROR(VLOOKUP($A353,'2018'!$A:$BB,5,FALSE),"")</f>
        <v>Karen Alderete
650-241-3900
kalderete@sutrovax.com</v>
      </c>
      <c r="I353" s="1055" t="str">
        <f>IFERROR(VLOOKUP($A353,'2018'!$A:$BB,6,FALSE),"")</f>
        <v xml:space="preserve">Kayo Chih
kchih@sutrovax.com
</v>
      </c>
      <c r="J353" s="1055" t="str">
        <f>IFERROR(VLOOKUP($A353,'2018'!$A:$BB,7,FALSE),"")</f>
        <v>ABD</v>
      </c>
      <c r="K353" s="1055" t="str">
        <f>IFERROR(VLOOKUP($A353,'2018'!$A:$BB,8,FALSE),"")</f>
        <v xml:space="preserve">Account Managed by ABD Team
Mark Anderson
Mark.Anderson@theabdteam.com
Angie Lopez
angie.lopez@theabdteam.com </v>
      </c>
      <c r="L353" s="1062" t="str">
        <f>IFERROR(VLOOKUP($A353,'2018'!$A:$BB,9,FALSE),"")</f>
        <v>New</v>
      </c>
      <c r="M353" s="1067">
        <f>IFERROR(VLOOKUP($A353,'2018'!$A:$BB,10,FALSE),"")</f>
        <v>43101</v>
      </c>
      <c r="N353" s="1062">
        <f>IFERROR(VLOOKUP($A353,'2018'!$A:$BB,12,FALSE),"")</f>
        <v>27</v>
      </c>
      <c r="O353" s="1055" t="str">
        <f>IFERROR(VLOOKUP($A353,'2018'!$A:$BB,13,FALSE),"")</f>
        <v xml:space="preserve">IGOE </v>
      </c>
      <c r="P353" s="1055" t="str">
        <f>IFERROR(VLOOKUP($A353,'2018'!$A:$BB,14,FALSE),"")</f>
        <v>Maestro</v>
      </c>
      <c r="Q353" s="1055" t="str">
        <f>IFERROR(VLOOKUP($A353,'2018'!$A:$BB,16,FALSE),"")</f>
        <v>IGOE</v>
      </c>
      <c r="R353" s="1055" t="str">
        <f>IFERROR(VLOOKUP($A353,'2018'!$A:$BB,17,FALSE),"")</f>
        <v>Optum Health</v>
      </c>
      <c r="S353" s="1062" t="str">
        <f>IFERROR(VLOOKUP($A353,'2018'!$A:$BB,20,FALSE),"")</f>
        <v>NCAL</v>
      </c>
      <c r="T353" s="1062" t="str">
        <f>IFERROR(VLOOKUP($A353,'2018'!$A:$BB,21,FALSE),"")</f>
        <v>Group C (44-54)</v>
      </c>
      <c r="U353" s="1062" t="str">
        <f>IFERROR(VLOOKUP($A353,'2018'!$A:$BB,22,FALSE),"")</f>
        <v>Expanded</v>
      </c>
      <c r="V353" s="1062" t="str">
        <f>IFERROR(VLOOKUP($A353,'2018'!$A:$BB,23,FALSE),"")</f>
        <v>Advantage</v>
      </c>
      <c r="W353" s="1062" t="str">
        <f>IFERROR(VLOOKUP($A353,'2018'!$A:$BB,24,FALSE),"")</f>
        <v>No</v>
      </c>
      <c r="X353" s="1062" t="str">
        <f>IFERROR(VLOOKUP($A353,'2018'!$A:$BB,41,FALSE),"")</f>
        <v>Region 4</v>
      </c>
      <c r="Y353" s="1062" t="str">
        <f>IFERROR(VLOOKUP($A353,'2018'!$A:$BB,42,FALSE),"")</f>
        <v>(10-24)</v>
      </c>
      <c r="Z353" s="1062" t="str">
        <f>IFERROR(VLOOKUP($A353,'2018'!$A:$BB,45,FALSE),"")</f>
        <v xml:space="preserve"> (2-49)</v>
      </c>
      <c r="AA353" s="730">
        <v>2018</v>
      </c>
      <c r="AB353" s="1020" t="s">
        <v>3921</v>
      </c>
      <c r="AC353" s="727" t="s">
        <v>303</v>
      </c>
      <c r="AD353" s="727" t="s">
        <v>3656</v>
      </c>
      <c r="AE353" s="727" t="s">
        <v>307</v>
      </c>
      <c r="AF353" s="727" t="s">
        <v>113</v>
      </c>
      <c r="AG353" s="726" t="s">
        <v>3981</v>
      </c>
      <c r="AH353" s="726" t="s">
        <v>3973</v>
      </c>
      <c r="AI353" s="727">
        <v>11</v>
      </c>
      <c r="AJ353" s="747" t="s">
        <v>3982</v>
      </c>
      <c r="AK353" s="757">
        <v>909678</v>
      </c>
      <c r="AL353" s="754">
        <v>472</v>
      </c>
      <c r="AM353" s="755">
        <v>909678</v>
      </c>
      <c r="AN353" s="754">
        <v>473</v>
      </c>
      <c r="AO353" s="776">
        <f t="shared" si="86"/>
        <v>909678</v>
      </c>
      <c r="AP353" s="754">
        <f t="shared" si="73"/>
        <v>474</v>
      </c>
      <c r="AQ353" s="770"/>
      <c r="AR353" s="726" t="s">
        <v>2661</v>
      </c>
      <c r="AS353" s="726" t="s">
        <v>3983</v>
      </c>
      <c r="AT353" s="726">
        <v>4720472</v>
      </c>
      <c r="AU353" s="726" t="s">
        <v>3966</v>
      </c>
      <c r="AV353" s="726" t="s">
        <v>4125</v>
      </c>
      <c r="AW353" s="726">
        <v>4730473</v>
      </c>
    </row>
    <row r="354" spans="1:49">
      <c r="A354" s="736" t="s">
        <v>4123</v>
      </c>
      <c r="B354" s="736" t="s">
        <v>4123</v>
      </c>
      <c r="C354" s="736"/>
      <c r="D354" s="736" t="s">
        <v>4196</v>
      </c>
      <c r="E354" s="736" t="s">
        <v>4196</v>
      </c>
      <c r="F354" s="1059">
        <f>IFERROR(VLOOKUP($A354,'2018'!$A:$BB,3,FALSE),"")</f>
        <v>464233385</v>
      </c>
      <c r="G354" s="1055" t="str">
        <f>IFERROR(VLOOKUP($A354,'2018'!$A:$BB,4,FALSE),"")</f>
        <v>353 Hatch Drive
Foster City, CA 94404</v>
      </c>
      <c r="H354" s="1055" t="str">
        <f>IFERROR(VLOOKUP($A354,'2018'!$A:$BB,5,FALSE),"")</f>
        <v>Karen Alderete
650-241-3900
kalderete@sutrovax.com</v>
      </c>
      <c r="I354" s="1055" t="str">
        <f>IFERROR(VLOOKUP($A354,'2018'!$A:$BB,6,FALSE),"")</f>
        <v xml:space="preserve">Kayo Chih
kchih@sutrovax.com
</v>
      </c>
      <c r="J354" s="1055" t="str">
        <f>IFERROR(VLOOKUP($A354,'2018'!$A:$BB,7,FALSE),"")</f>
        <v>ABD</v>
      </c>
      <c r="K354" s="1055" t="str">
        <f>IFERROR(VLOOKUP($A354,'2018'!$A:$BB,8,FALSE),"")</f>
        <v xml:space="preserve">Account Managed by ABD Team
Mark Anderson
Mark.Anderson@theabdteam.com
Angie Lopez
angie.lopez@theabdteam.com </v>
      </c>
      <c r="L354" s="1062" t="str">
        <f>IFERROR(VLOOKUP($A354,'2018'!$A:$BB,9,FALSE),"")</f>
        <v>New</v>
      </c>
      <c r="M354" s="1067">
        <f>IFERROR(VLOOKUP($A354,'2018'!$A:$BB,10,FALSE),"")</f>
        <v>43101</v>
      </c>
      <c r="N354" s="1062">
        <f>IFERROR(VLOOKUP($A354,'2018'!$A:$BB,12,FALSE),"")</f>
        <v>27</v>
      </c>
      <c r="O354" s="1055" t="str">
        <f>IFERROR(VLOOKUP($A354,'2018'!$A:$BB,13,FALSE),"")</f>
        <v xml:space="preserve">IGOE </v>
      </c>
      <c r="P354" s="1055" t="str">
        <f>IFERROR(VLOOKUP($A354,'2018'!$A:$BB,14,FALSE),"")</f>
        <v>Maestro</v>
      </c>
      <c r="Q354" s="1055" t="str">
        <f>IFERROR(VLOOKUP($A354,'2018'!$A:$BB,16,FALSE),"")</f>
        <v>IGOE</v>
      </c>
      <c r="R354" s="1055" t="str">
        <f>IFERROR(VLOOKUP($A354,'2018'!$A:$BB,17,FALSE),"")</f>
        <v>Optum Health</v>
      </c>
      <c r="S354" s="1062" t="str">
        <f>IFERROR(VLOOKUP($A354,'2018'!$A:$BB,20,FALSE),"")</f>
        <v>NCAL</v>
      </c>
      <c r="T354" s="1062" t="str">
        <f>IFERROR(VLOOKUP($A354,'2018'!$A:$BB,21,FALSE),"")</f>
        <v>Group C (44-54)</v>
      </c>
      <c r="U354" s="1062" t="str">
        <f>IFERROR(VLOOKUP($A354,'2018'!$A:$BB,22,FALSE),"")</f>
        <v>Expanded</v>
      </c>
      <c r="V354" s="1062" t="str">
        <f>IFERROR(VLOOKUP($A354,'2018'!$A:$BB,23,FALSE),"")</f>
        <v>Advantage</v>
      </c>
      <c r="W354" s="1062" t="str">
        <f>IFERROR(VLOOKUP($A354,'2018'!$A:$BB,24,FALSE),"")</f>
        <v>No</v>
      </c>
      <c r="X354" s="1062" t="str">
        <f>IFERROR(VLOOKUP($A354,'2018'!$A:$BB,41,FALSE),"")</f>
        <v>Region 4</v>
      </c>
      <c r="Y354" s="1062" t="str">
        <f>IFERROR(VLOOKUP($A354,'2018'!$A:$BB,42,FALSE),"")</f>
        <v>(10-24)</v>
      </c>
      <c r="Z354" s="1062" t="str">
        <f>IFERROR(VLOOKUP($A354,'2018'!$A:$BB,45,FALSE),"")</f>
        <v xml:space="preserve"> (2-49)</v>
      </c>
      <c r="AA354" s="731">
        <v>2018</v>
      </c>
      <c r="AB354" s="1020" t="s">
        <v>3921</v>
      </c>
      <c r="AC354" s="734" t="s">
        <v>303</v>
      </c>
      <c r="AD354" s="734" t="s">
        <v>3656</v>
      </c>
      <c r="AE354" s="734" t="s">
        <v>307</v>
      </c>
      <c r="AF354" s="734" t="s">
        <v>113</v>
      </c>
      <c r="AG354" s="732" t="s">
        <v>3981</v>
      </c>
      <c r="AH354" s="732" t="s">
        <v>3977</v>
      </c>
      <c r="AI354" s="734">
        <v>16</v>
      </c>
      <c r="AJ354" s="748" t="s">
        <v>3985</v>
      </c>
      <c r="AK354" s="757">
        <v>909678</v>
      </c>
      <c r="AL354" s="756">
        <v>724</v>
      </c>
      <c r="AM354" s="755">
        <v>909678</v>
      </c>
      <c r="AN354" s="756">
        <v>725</v>
      </c>
      <c r="AO354" s="776">
        <f t="shared" si="86"/>
        <v>909678</v>
      </c>
      <c r="AP354" s="754">
        <f t="shared" si="73"/>
        <v>726</v>
      </c>
      <c r="AQ354" s="771" t="s">
        <v>3979</v>
      </c>
      <c r="AR354" s="732" t="s">
        <v>2661</v>
      </c>
      <c r="AS354" s="735"/>
      <c r="AT354" s="735"/>
      <c r="AU354" s="732" t="s">
        <v>3980</v>
      </c>
      <c r="AV354" s="735"/>
      <c r="AW354" s="735"/>
    </row>
    <row r="355" spans="1:49">
      <c r="A355" s="738"/>
      <c r="B355" s="738"/>
      <c r="C355" s="738"/>
      <c r="D355" s="738"/>
      <c r="E355" s="738"/>
      <c r="F355" s="1059" t="str">
        <f>IFERROR(VLOOKUP($A355,'2018'!$A:$BB,3,FALSE),"")</f>
        <v/>
      </c>
      <c r="G355" s="1055" t="str">
        <f>IFERROR(VLOOKUP($A355,'2018'!$A:$BB,4,FALSE),"")</f>
        <v/>
      </c>
      <c r="H355" s="1055" t="str">
        <f>IFERROR(VLOOKUP($A355,'2018'!$A:$BB,5,FALSE),"")</f>
        <v/>
      </c>
      <c r="I355" s="1055" t="str">
        <f>IFERROR(VLOOKUP($A355,'2018'!$A:$BB,6,FALSE),"")</f>
        <v/>
      </c>
      <c r="J355" s="1055" t="str">
        <f>IFERROR(VLOOKUP($A355,'2018'!$A:$BB,7,FALSE),"")</f>
        <v/>
      </c>
      <c r="K355" s="1055" t="str">
        <f>IFERROR(VLOOKUP($A355,'2018'!$A:$BB,8,FALSE),"")</f>
        <v/>
      </c>
      <c r="L355" s="1062" t="str">
        <f>IFERROR(VLOOKUP($A355,'2018'!$A:$BB,9,FALSE),"")</f>
        <v/>
      </c>
      <c r="M355" s="1067" t="str">
        <f>IFERROR(VLOOKUP($A355,'2018'!$A:$BB,10,FALSE),"")</f>
        <v/>
      </c>
      <c r="N355" s="1062" t="str">
        <f>IFERROR(VLOOKUP($A355,'2018'!$A:$BB,12,FALSE),"")</f>
        <v/>
      </c>
      <c r="O355" s="1055" t="str">
        <f>IFERROR(VLOOKUP($A355,'2018'!$A:$BB,13,FALSE),"")</f>
        <v/>
      </c>
      <c r="P355" s="1055" t="str">
        <f>IFERROR(VLOOKUP($A355,'2018'!$A:$BB,14,FALSE),"")</f>
        <v/>
      </c>
      <c r="Q355" s="1055" t="str">
        <f>IFERROR(VLOOKUP($A355,'2018'!$A:$BB,16,FALSE),"")</f>
        <v/>
      </c>
      <c r="R355" s="1055" t="str">
        <f>IFERROR(VLOOKUP($A355,'2018'!$A:$BB,17,FALSE),"")</f>
        <v/>
      </c>
      <c r="S355" s="1062" t="str">
        <f>IFERROR(VLOOKUP($A355,'2018'!$A:$BB,20,FALSE),"")</f>
        <v/>
      </c>
      <c r="T355" s="1062" t="str">
        <f>IFERROR(VLOOKUP($A355,'2018'!$A:$BB,21,FALSE),"")</f>
        <v/>
      </c>
      <c r="U355" s="1062" t="str">
        <f>IFERROR(VLOOKUP($A355,'2018'!$A:$BB,22,FALSE),"")</f>
        <v/>
      </c>
      <c r="V355" s="1062" t="str">
        <f>IFERROR(VLOOKUP($A355,'2018'!$A:$BB,23,FALSE),"")</f>
        <v/>
      </c>
      <c r="W355" s="1062" t="str">
        <f>IFERROR(VLOOKUP($A355,'2018'!$A:$BB,24,FALSE),"")</f>
        <v/>
      </c>
      <c r="X355" s="1062" t="str">
        <f>IFERROR(VLOOKUP($A355,'2018'!$A:$BB,41,FALSE),"")</f>
        <v/>
      </c>
      <c r="Y355" s="1062" t="str">
        <f>IFERROR(VLOOKUP($A355,'2018'!$A:$BB,42,FALSE),"")</f>
        <v/>
      </c>
      <c r="Z355" s="1062" t="str">
        <f>IFERROR(VLOOKUP($A355,'2018'!$A:$BB,45,FALSE),"")</f>
        <v/>
      </c>
      <c r="AA355" s="727"/>
      <c r="AB355" s="728"/>
      <c r="AC355" s="727"/>
      <c r="AD355" s="727"/>
      <c r="AE355" s="727"/>
      <c r="AF355" s="727"/>
      <c r="AG355" s="726"/>
      <c r="AH355" s="726"/>
      <c r="AI355" s="727"/>
      <c r="AJ355" s="747"/>
      <c r="AK355" s="753"/>
      <c r="AL355" s="754"/>
      <c r="AM355" s="753"/>
      <c r="AN355" s="754"/>
      <c r="AO355" s="776"/>
      <c r="AP355" s="754"/>
      <c r="AQ355" s="770"/>
      <c r="AR355" s="726"/>
      <c r="AS355" s="726"/>
      <c r="AT355" s="726"/>
      <c r="AU355" s="726"/>
      <c r="AV355" s="726"/>
      <c r="AW355" s="726"/>
    </row>
    <row r="356" spans="1:49">
      <c r="A356" s="738" t="s">
        <v>3715</v>
      </c>
      <c r="B356" s="738" t="s">
        <v>4126</v>
      </c>
      <c r="C356" s="738"/>
      <c r="D356" s="738" t="s">
        <v>4126</v>
      </c>
      <c r="E356" s="738" t="s">
        <v>4126</v>
      </c>
      <c r="F356" s="1059">
        <f>IFERROR(VLOOKUP($A356,'2018'!$A:$BB,3,FALSE),"")</f>
        <v>261243872</v>
      </c>
      <c r="G356" s="1055" t="str">
        <f>IFERROR(VLOOKUP($A356,'2018'!$A:$BB,4,FALSE),"")</f>
        <v>3030 Bunker Hill St., Ste 230
San Diego, CA 92109</v>
      </c>
      <c r="H356" s="1055" t="str">
        <f>IFERROR(VLOOKUP($A356,'2018'!$A:$BB,5,FALSE),"")</f>
        <v>Stephanie Gray
(858) 412-8406
sgray@tocagen.com</v>
      </c>
      <c r="I356" s="1055" t="str">
        <f>IFERROR(VLOOKUP($A356,'2018'!$A:$BB,6,FALSE),"")</f>
        <v xml:space="preserve">Ashley Avila
858 412-8464 
accounting@tocagen.com </v>
      </c>
      <c r="J356" s="1055" t="str">
        <f>IFERROR(VLOOKUP($A356,'2018'!$A:$BB,7,FALSE),"")</f>
        <v>HUB (San Diego)</v>
      </c>
      <c r="K356" s="1055" t="str">
        <f>IFERROR(VLOOKUP($A356,'2018'!$A:$BB,8,FALSE),"")</f>
        <v>Account Managed by HUB SD Team
Producer - Neal Cook
Service Lead- Megan Wallace</v>
      </c>
      <c r="L356" s="1062" t="str">
        <f>IFERROR(VLOOKUP($A356,'2018'!$A:$BB,9,FALSE),"")</f>
        <v>New</v>
      </c>
      <c r="M356" s="1067">
        <f>IFERROR(VLOOKUP($A356,'2018'!$A:$BB,10,FALSE),"")</f>
        <v>43101</v>
      </c>
      <c r="N356" s="1062">
        <f>IFERROR(VLOOKUP($A356,'2018'!$A:$BB,12,FALSE),"")</f>
        <v>67</v>
      </c>
      <c r="O356" s="1055" t="str">
        <f>IFERROR(VLOOKUP($A356,'2018'!$A:$BB,13,FALSE),"")</f>
        <v xml:space="preserve">IGOE </v>
      </c>
      <c r="P356" s="1055" t="str">
        <f>IFERROR(VLOOKUP($A356,'2018'!$A:$BB,14,FALSE),"")</f>
        <v>Maestro</v>
      </c>
      <c r="Q356" s="1055" t="str">
        <f>IFERROR(VLOOKUP($A356,'2018'!$A:$BB,16,FALSE),"")</f>
        <v>N/A</v>
      </c>
      <c r="R356" s="1055" t="str">
        <f>IFERROR(VLOOKUP($A356,'2018'!$A:$BB,17,FALSE),"")</f>
        <v>N/A
Mellon Bank</v>
      </c>
      <c r="S356" s="1062" t="str">
        <f>IFERROR(VLOOKUP($A356,'2018'!$A:$BB,20,FALSE),"")</f>
        <v>SCAL</v>
      </c>
      <c r="T356" s="1062" t="str">
        <f>IFERROR(VLOOKUP($A356,'2018'!$A:$BB,21,FALSE),"")</f>
        <v>Group C (44-54)</v>
      </c>
      <c r="U356" s="1062" t="str">
        <f>IFERROR(VLOOKUP($A356,'2018'!$A:$BB,22,FALSE),"")</f>
        <v>Expanded</v>
      </c>
      <c r="V356" s="1062" t="str">
        <f>IFERROR(VLOOKUP($A356,'2018'!$A:$BB,23,FALSE),"")</f>
        <v>Advantage</v>
      </c>
      <c r="W356" s="1062" t="str">
        <f>IFERROR(VLOOKUP($A356,'2018'!$A:$BB,24,FALSE),"")</f>
        <v>No</v>
      </c>
      <c r="X356" s="1062" t="str">
        <f>IFERROR(VLOOKUP($A356,'2018'!$A:$BB,41,FALSE),"")</f>
        <v xml:space="preserve">Region 2 </v>
      </c>
      <c r="Y356" s="1062" t="str">
        <f>IFERROR(VLOOKUP($A356,'2018'!$A:$BB,42,FALSE),"")</f>
        <v>(50-99)</v>
      </c>
      <c r="Z356" s="1062" t="str">
        <f>IFERROR(VLOOKUP($A356,'2018'!$A:$BB,45,FALSE),"")</f>
        <v xml:space="preserve"> (50-99)</v>
      </c>
      <c r="AA356" s="730">
        <v>2018</v>
      </c>
      <c r="AB356" s="728" t="s">
        <v>3926</v>
      </c>
      <c r="AC356" s="727" t="s">
        <v>317</v>
      </c>
      <c r="AD356" s="727" t="s">
        <v>3656</v>
      </c>
      <c r="AE356" s="727" t="s">
        <v>307</v>
      </c>
      <c r="AF356" s="727" t="s">
        <v>113</v>
      </c>
      <c r="AG356" s="726" t="s">
        <v>3962</v>
      </c>
      <c r="AH356" s="726" t="s">
        <v>3963</v>
      </c>
      <c r="AI356" s="727">
        <v>2</v>
      </c>
      <c r="AJ356" s="747" t="s">
        <v>3964</v>
      </c>
      <c r="AK356" s="753">
        <v>260092</v>
      </c>
      <c r="AL356" s="754">
        <v>193</v>
      </c>
      <c r="AM356" s="753">
        <v>260093</v>
      </c>
      <c r="AN356" s="754">
        <v>194</v>
      </c>
      <c r="AO356" s="776">
        <f t="shared" si="72"/>
        <v>260094</v>
      </c>
      <c r="AP356" s="754">
        <f t="shared" si="73"/>
        <v>195</v>
      </c>
      <c r="AQ356" s="770"/>
      <c r="AR356" s="726" t="s">
        <v>2661</v>
      </c>
      <c r="AS356" s="726" t="s">
        <v>3965</v>
      </c>
      <c r="AT356" s="726">
        <v>1930193</v>
      </c>
      <c r="AU356" s="726" t="s">
        <v>3980</v>
      </c>
      <c r="AV356" s="726"/>
      <c r="AW356" s="726"/>
    </row>
    <row r="357" spans="1:49">
      <c r="A357" s="738" t="s">
        <v>3715</v>
      </c>
      <c r="B357" s="738" t="s">
        <v>4126</v>
      </c>
      <c r="C357" s="738"/>
      <c r="D357" s="738" t="s">
        <v>4126</v>
      </c>
      <c r="E357" s="738" t="s">
        <v>4126</v>
      </c>
      <c r="F357" s="1059">
        <f>IFERROR(VLOOKUP($A357,'2018'!$A:$BB,3,FALSE),"")</f>
        <v>261243872</v>
      </c>
      <c r="G357" s="1055" t="str">
        <f>IFERROR(VLOOKUP($A357,'2018'!$A:$BB,4,FALSE),"")</f>
        <v>3030 Bunker Hill St., Ste 230
San Diego, CA 92109</v>
      </c>
      <c r="H357" s="1055" t="str">
        <f>IFERROR(VLOOKUP($A357,'2018'!$A:$BB,5,FALSE),"")</f>
        <v>Stephanie Gray
(858) 412-8406
sgray@tocagen.com</v>
      </c>
      <c r="I357" s="1055" t="str">
        <f>IFERROR(VLOOKUP($A357,'2018'!$A:$BB,6,FALSE),"")</f>
        <v xml:space="preserve">Ashley Avila
858 412-8464 
accounting@tocagen.com </v>
      </c>
      <c r="J357" s="1055" t="str">
        <f>IFERROR(VLOOKUP($A357,'2018'!$A:$BB,7,FALSE),"")</f>
        <v>HUB (San Diego)</v>
      </c>
      <c r="K357" s="1055" t="str">
        <f>IFERROR(VLOOKUP($A357,'2018'!$A:$BB,8,FALSE),"")</f>
        <v>Account Managed by HUB SD Team
Producer - Neal Cook
Service Lead- Megan Wallace</v>
      </c>
      <c r="L357" s="1062" t="str">
        <f>IFERROR(VLOOKUP($A357,'2018'!$A:$BB,9,FALSE),"")</f>
        <v>New</v>
      </c>
      <c r="M357" s="1067">
        <f>IFERROR(VLOOKUP($A357,'2018'!$A:$BB,10,FALSE),"")</f>
        <v>43101</v>
      </c>
      <c r="N357" s="1062">
        <f>IFERROR(VLOOKUP($A357,'2018'!$A:$BB,12,FALSE),"")</f>
        <v>67</v>
      </c>
      <c r="O357" s="1055" t="str">
        <f>IFERROR(VLOOKUP($A357,'2018'!$A:$BB,13,FALSE),"")</f>
        <v xml:space="preserve">IGOE </v>
      </c>
      <c r="P357" s="1055" t="str">
        <f>IFERROR(VLOOKUP($A357,'2018'!$A:$BB,14,FALSE),"")</f>
        <v>Maestro</v>
      </c>
      <c r="Q357" s="1055" t="str">
        <f>IFERROR(VLOOKUP($A357,'2018'!$A:$BB,16,FALSE),"")</f>
        <v>N/A</v>
      </c>
      <c r="R357" s="1055" t="str">
        <f>IFERROR(VLOOKUP($A357,'2018'!$A:$BB,17,FALSE),"")</f>
        <v>N/A
Mellon Bank</v>
      </c>
      <c r="S357" s="1062" t="str">
        <f>IFERROR(VLOOKUP($A357,'2018'!$A:$BB,20,FALSE),"")</f>
        <v>SCAL</v>
      </c>
      <c r="T357" s="1062" t="str">
        <f>IFERROR(VLOOKUP($A357,'2018'!$A:$BB,21,FALSE),"")</f>
        <v>Group C (44-54)</v>
      </c>
      <c r="U357" s="1062" t="str">
        <f>IFERROR(VLOOKUP($A357,'2018'!$A:$BB,22,FALSE),"")</f>
        <v>Expanded</v>
      </c>
      <c r="V357" s="1062" t="str">
        <f>IFERROR(VLOOKUP($A357,'2018'!$A:$BB,23,FALSE),"")</f>
        <v>Advantage</v>
      </c>
      <c r="W357" s="1062" t="str">
        <f>IFERROR(VLOOKUP($A357,'2018'!$A:$BB,24,FALSE),"")</f>
        <v>No</v>
      </c>
      <c r="X357" s="1062" t="str">
        <f>IFERROR(VLOOKUP($A357,'2018'!$A:$BB,41,FALSE),"")</f>
        <v xml:space="preserve">Region 2 </v>
      </c>
      <c r="Y357" s="1062" t="str">
        <f>IFERROR(VLOOKUP($A357,'2018'!$A:$BB,42,FALSE),"")</f>
        <v>(50-99)</v>
      </c>
      <c r="Z357" s="1062" t="str">
        <f>IFERROR(VLOOKUP($A357,'2018'!$A:$BB,45,FALSE),"")</f>
        <v xml:space="preserve"> (50-99)</v>
      </c>
      <c r="AA357" s="730">
        <v>2018</v>
      </c>
      <c r="AB357" s="728" t="s">
        <v>3926</v>
      </c>
      <c r="AC357" s="727" t="s">
        <v>317</v>
      </c>
      <c r="AD357" s="727" t="s">
        <v>3656</v>
      </c>
      <c r="AE357" s="727" t="s">
        <v>307</v>
      </c>
      <c r="AF357" s="727" t="s">
        <v>113</v>
      </c>
      <c r="AG357" s="726" t="s">
        <v>3981</v>
      </c>
      <c r="AH357" s="726" t="s">
        <v>3973</v>
      </c>
      <c r="AI357" s="727">
        <v>11</v>
      </c>
      <c r="AJ357" s="747" t="s">
        <v>3982</v>
      </c>
      <c r="AK357" s="757">
        <v>909678</v>
      </c>
      <c r="AL357" s="754">
        <v>484</v>
      </c>
      <c r="AM357" s="755">
        <v>909678</v>
      </c>
      <c r="AN357" s="754">
        <v>485</v>
      </c>
      <c r="AO357" s="776">
        <f t="shared" ref="AO357:AO358" si="87">AM357</f>
        <v>909678</v>
      </c>
      <c r="AP357" s="754">
        <f t="shared" si="73"/>
        <v>486</v>
      </c>
      <c r="AQ357" s="770"/>
      <c r="AR357" s="726" t="s">
        <v>2661</v>
      </c>
      <c r="AS357" s="726" t="s">
        <v>3983</v>
      </c>
      <c r="AT357" s="726">
        <v>4840484</v>
      </c>
      <c r="AU357" s="726" t="s">
        <v>3980</v>
      </c>
      <c r="AV357" s="726"/>
      <c r="AW357" s="726"/>
    </row>
    <row r="358" spans="1:49">
      <c r="A358" s="738" t="s">
        <v>3715</v>
      </c>
      <c r="B358" s="736" t="s">
        <v>4126</v>
      </c>
      <c r="C358" s="736"/>
      <c r="D358" s="736" t="s">
        <v>4126</v>
      </c>
      <c r="E358" s="736" t="s">
        <v>4126</v>
      </c>
      <c r="F358" s="1059">
        <f>IFERROR(VLOOKUP($A358,'2018'!$A:$BB,3,FALSE),"")</f>
        <v>261243872</v>
      </c>
      <c r="G358" s="1055" t="str">
        <f>IFERROR(VLOOKUP($A358,'2018'!$A:$BB,4,FALSE),"")</f>
        <v>3030 Bunker Hill St., Ste 230
San Diego, CA 92109</v>
      </c>
      <c r="H358" s="1055" t="str">
        <f>IFERROR(VLOOKUP($A358,'2018'!$A:$BB,5,FALSE),"")</f>
        <v>Stephanie Gray
(858) 412-8406
sgray@tocagen.com</v>
      </c>
      <c r="I358" s="1055" t="str">
        <f>IFERROR(VLOOKUP($A358,'2018'!$A:$BB,6,FALSE),"")</f>
        <v xml:space="preserve">Ashley Avila
858 412-8464 
accounting@tocagen.com </v>
      </c>
      <c r="J358" s="1055" t="str">
        <f>IFERROR(VLOOKUP($A358,'2018'!$A:$BB,7,FALSE),"")</f>
        <v>HUB (San Diego)</v>
      </c>
      <c r="K358" s="1055" t="str">
        <f>IFERROR(VLOOKUP($A358,'2018'!$A:$BB,8,FALSE),"")</f>
        <v>Account Managed by HUB SD Team
Producer - Neal Cook
Service Lead- Megan Wallace</v>
      </c>
      <c r="L358" s="1062" t="str">
        <f>IFERROR(VLOOKUP($A358,'2018'!$A:$BB,9,FALSE),"")</f>
        <v>New</v>
      </c>
      <c r="M358" s="1067">
        <f>IFERROR(VLOOKUP($A358,'2018'!$A:$BB,10,FALSE),"")</f>
        <v>43101</v>
      </c>
      <c r="N358" s="1062">
        <f>IFERROR(VLOOKUP($A358,'2018'!$A:$BB,12,FALSE),"")</f>
        <v>67</v>
      </c>
      <c r="O358" s="1055" t="str">
        <f>IFERROR(VLOOKUP($A358,'2018'!$A:$BB,13,FALSE),"")</f>
        <v xml:space="preserve">IGOE </v>
      </c>
      <c r="P358" s="1055" t="str">
        <f>IFERROR(VLOOKUP($A358,'2018'!$A:$BB,14,FALSE),"")</f>
        <v>Maestro</v>
      </c>
      <c r="Q358" s="1055" t="str">
        <f>IFERROR(VLOOKUP($A358,'2018'!$A:$BB,16,FALSE),"")</f>
        <v>N/A</v>
      </c>
      <c r="R358" s="1055" t="str">
        <f>IFERROR(VLOOKUP($A358,'2018'!$A:$BB,17,FALSE),"")</f>
        <v>N/A
Mellon Bank</v>
      </c>
      <c r="S358" s="1062" t="str">
        <f>IFERROR(VLOOKUP($A358,'2018'!$A:$BB,20,FALSE),"")</f>
        <v>SCAL</v>
      </c>
      <c r="T358" s="1062" t="str">
        <f>IFERROR(VLOOKUP($A358,'2018'!$A:$BB,21,FALSE),"")</f>
        <v>Group C (44-54)</v>
      </c>
      <c r="U358" s="1062" t="str">
        <f>IFERROR(VLOOKUP($A358,'2018'!$A:$BB,22,FALSE),"")</f>
        <v>Expanded</v>
      </c>
      <c r="V358" s="1062" t="str">
        <f>IFERROR(VLOOKUP($A358,'2018'!$A:$BB,23,FALSE),"")</f>
        <v>Advantage</v>
      </c>
      <c r="W358" s="1062" t="str">
        <f>IFERROR(VLOOKUP($A358,'2018'!$A:$BB,24,FALSE),"")</f>
        <v>No</v>
      </c>
      <c r="X358" s="1062" t="str">
        <f>IFERROR(VLOOKUP($A358,'2018'!$A:$BB,41,FALSE),"")</f>
        <v xml:space="preserve">Region 2 </v>
      </c>
      <c r="Y358" s="1062" t="str">
        <f>IFERROR(VLOOKUP($A358,'2018'!$A:$BB,42,FALSE),"")</f>
        <v>(50-99)</v>
      </c>
      <c r="Z358" s="1062" t="str">
        <f>IFERROR(VLOOKUP($A358,'2018'!$A:$BB,45,FALSE),"")</f>
        <v xml:space="preserve"> (50-99)</v>
      </c>
      <c r="AA358" s="731">
        <v>2018</v>
      </c>
      <c r="AB358" s="733" t="s">
        <v>3926</v>
      </c>
      <c r="AC358" s="734" t="s">
        <v>317</v>
      </c>
      <c r="AD358" s="734" t="s">
        <v>3656</v>
      </c>
      <c r="AE358" s="734" t="s">
        <v>307</v>
      </c>
      <c r="AF358" s="734" t="s">
        <v>113</v>
      </c>
      <c r="AG358" s="732" t="s">
        <v>3981</v>
      </c>
      <c r="AH358" s="732" t="s">
        <v>3977</v>
      </c>
      <c r="AI358" s="734">
        <v>16</v>
      </c>
      <c r="AJ358" s="748" t="s">
        <v>3985</v>
      </c>
      <c r="AK358" s="757">
        <v>909678</v>
      </c>
      <c r="AL358" s="756">
        <v>736</v>
      </c>
      <c r="AM358" s="755">
        <v>909678</v>
      </c>
      <c r="AN358" s="756">
        <v>737</v>
      </c>
      <c r="AO358" s="776">
        <f t="shared" si="87"/>
        <v>909678</v>
      </c>
      <c r="AP358" s="754">
        <f t="shared" si="73"/>
        <v>738</v>
      </c>
      <c r="AQ358" s="771" t="s">
        <v>3979</v>
      </c>
      <c r="AR358" s="732" t="s">
        <v>2661</v>
      </c>
      <c r="AS358" s="735"/>
      <c r="AT358" s="735"/>
      <c r="AU358" s="732" t="s">
        <v>3980</v>
      </c>
      <c r="AV358" s="735"/>
      <c r="AW358" s="735"/>
    </row>
    <row r="359" spans="1:49">
      <c r="A359" s="738"/>
      <c r="B359" s="738"/>
      <c r="C359" s="738"/>
      <c r="D359" s="738"/>
      <c r="E359" s="738"/>
      <c r="F359" s="1059" t="str">
        <f>IFERROR(VLOOKUP($A359,'2018'!$A:$BB,3,FALSE),"")</f>
        <v/>
      </c>
      <c r="G359" s="1055" t="str">
        <f>IFERROR(VLOOKUP($A359,'2018'!$A:$BB,4,FALSE),"")</f>
        <v/>
      </c>
      <c r="H359" s="1055" t="str">
        <f>IFERROR(VLOOKUP($A359,'2018'!$A:$BB,5,FALSE),"")</f>
        <v/>
      </c>
      <c r="I359" s="1055" t="str">
        <f>IFERROR(VLOOKUP($A359,'2018'!$A:$BB,6,FALSE),"")</f>
        <v/>
      </c>
      <c r="J359" s="1055" t="str">
        <f>IFERROR(VLOOKUP($A359,'2018'!$A:$BB,7,FALSE),"")</f>
        <v/>
      </c>
      <c r="K359" s="1055" t="str">
        <f>IFERROR(VLOOKUP($A359,'2018'!$A:$BB,8,FALSE),"")</f>
        <v/>
      </c>
      <c r="L359" s="1062" t="str">
        <f>IFERROR(VLOOKUP($A359,'2018'!$A:$BB,9,FALSE),"")</f>
        <v/>
      </c>
      <c r="M359" s="1067" t="str">
        <f>IFERROR(VLOOKUP($A359,'2018'!$A:$BB,10,FALSE),"")</f>
        <v/>
      </c>
      <c r="N359" s="1062" t="str">
        <f>IFERROR(VLOOKUP($A359,'2018'!$A:$BB,12,FALSE),"")</f>
        <v/>
      </c>
      <c r="O359" s="1055" t="str">
        <f>IFERROR(VLOOKUP($A359,'2018'!$A:$BB,13,FALSE),"")</f>
        <v/>
      </c>
      <c r="P359" s="1055" t="str">
        <f>IFERROR(VLOOKUP($A359,'2018'!$A:$BB,14,FALSE),"")</f>
        <v/>
      </c>
      <c r="Q359" s="1055" t="str">
        <f>IFERROR(VLOOKUP($A359,'2018'!$A:$BB,16,FALSE),"")</f>
        <v/>
      </c>
      <c r="R359" s="1055" t="str">
        <f>IFERROR(VLOOKUP($A359,'2018'!$A:$BB,17,FALSE),"")</f>
        <v/>
      </c>
      <c r="S359" s="1062" t="str">
        <f>IFERROR(VLOOKUP($A359,'2018'!$A:$BB,20,FALSE),"")</f>
        <v/>
      </c>
      <c r="T359" s="1062" t="str">
        <f>IFERROR(VLOOKUP($A359,'2018'!$A:$BB,21,FALSE),"")</f>
        <v/>
      </c>
      <c r="U359" s="1062" t="str">
        <f>IFERROR(VLOOKUP($A359,'2018'!$A:$BB,22,FALSE),"")</f>
        <v/>
      </c>
      <c r="V359" s="1062" t="str">
        <f>IFERROR(VLOOKUP($A359,'2018'!$A:$BB,23,FALSE),"")</f>
        <v/>
      </c>
      <c r="W359" s="1062" t="str">
        <f>IFERROR(VLOOKUP($A359,'2018'!$A:$BB,24,FALSE),"")</f>
        <v/>
      </c>
      <c r="X359" s="1062" t="str">
        <f>IFERROR(VLOOKUP($A359,'2018'!$A:$BB,41,FALSE),"")</f>
        <v/>
      </c>
      <c r="Y359" s="1062" t="str">
        <f>IFERROR(VLOOKUP($A359,'2018'!$A:$BB,42,FALSE),"")</f>
        <v/>
      </c>
      <c r="Z359" s="1062" t="str">
        <f>IFERROR(VLOOKUP($A359,'2018'!$A:$BB,45,FALSE),"")</f>
        <v/>
      </c>
      <c r="AA359" s="727"/>
      <c r="AB359" s="728"/>
      <c r="AC359" s="727"/>
      <c r="AD359" s="727"/>
      <c r="AE359" s="727"/>
      <c r="AF359" s="727"/>
      <c r="AG359" s="726"/>
      <c r="AH359" s="726"/>
      <c r="AI359" s="727"/>
      <c r="AJ359" s="747"/>
      <c r="AK359" s="753"/>
      <c r="AL359" s="754"/>
      <c r="AM359" s="753"/>
      <c r="AN359" s="754"/>
      <c r="AO359" s="776"/>
      <c r="AP359" s="754"/>
      <c r="AQ359" s="770"/>
      <c r="AR359" s="726"/>
      <c r="AS359" s="726"/>
      <c r="AT359" s="726"/>
      <c r="AU359" s="726"/>
      <c r="AV359" s="726"/>
      <c r="AW359" s="726"/>
    </row>
    <row r="360" spans="1:49" s="953" customFormat="1">
      <c r="A360" s="736" t="s">
        <v>4314</v>
      </c>
      <c r="B360" s="736" t="s">
        <v>4314</v>
      </c>
      <c r="C360" s="736"/>
      <c r="D360" s="736"/>
      <c r="E360" s="736"/>
      <c r="F360" s="1059">
        <f>IFERROR(VLOOKUP($A360,'2018'!$A:$BB,3,FALSE),"")</f>
        <v>811640884</v>
      </c>
      <c r="G360" s="1055" t="str">
        <f>IFERROR(VLOOKUP($A360,'2018'!$A:$BB,4,FALSE),"")</f>
        <v>75 Broadway #251
San Francisco, CA 94111</v>
      </c>
      <c r="H360" s="1055" t="str">
        <f>IFERROR(VLOOKUP($A360,'2018'!$A:$BB,5,FALSE),"")</f>
        <v>Didier Perez
415-269-0666
didier@toolboxgenomics.com</v>
      </c>
      <c r="I360" s="1055" t="str">
        <f>IFERROR(VLOOKUP($A360,'2018'!$A:$BB,6,FALSE),"")</f>
        <v>Account Payable Team
415-269-0666
AP@toolboxgenomics.com</v>
      </c>
      <c r="J360" s="1055" t="str">
        <f>IFERROR(VLOOKUP($A360,'2018'!$A:$BB,7,FALSE),"")</f>
        <v>HUB (San Diego)</v>
      </c>
      <c r="K360" s="1055" t="str">
        <f>IFERROR(VLOOKUP($A360,'2018'!$A:$BB,8,FALSE),"")</f>
        <v xml:space="preserve">Account Managed by HUB SD Team
Producer - Maggie Osburn
Service Lead - Courtney Stanley
</v>
      </c>
      <c r="L360" s="1062" t="str">
        <f>IFERROR(VLOOKUP($A360,'2018'!$A:$BB,9,FALSE),"")</f>
        <v>New</v>
      </c>
      <c r="M360" s="1067">
        <f>IFERROR(VLOOKUP($A360,'2018'!$A:$BB,10,FALSE),"")</f>
        <v>43221</v>
      </c>
      <c r="N360" s="1062">
        <f>IFERROR(VLOOKUP($A360,'2018'!$A:$BB,12,FALSE),"")</f>
        <v>4</v>
      </c>
      <c r="O360" s="1055" t="str">
        <f>IFERROR(VLOOKUP($A360,'2018'!$A:$BB,13,FALSE),"")</f>
        <v xml:space="preserve">IGOE </v>
      </c>
      <c r="P360" s="1055" t="str">
        <f>IFERROR(VLOOKUP($A360,'2018'!$A:$BB,14,FALSE),"")</f>
        <v xml:space="preserve">Zuman </v>
      </c>
      <c r="Q360" s="1055" t="str">
        <f>IFERROR(VLOOKUP($A360,'2018'!$A:$BB,16,FALSE),"")</f>
        <v>IGOE</v>
      </c>
      <c r="R360" s="1055" t="str">
        <f>IFERROR(VLOOKUP($A360,'2018'!$A:$BB,17,FALSE),"")</f>
        <v>Optum Health</v>
      </c>
      <c r="S360" s="1062" t="str">
        <f>IFERROR(VLOOKUP($A360,'2018'!$A:$BB,20,FALSE),"")</f>
        <v>NCAL</v>
      </c>
      <c r="T360" s="1062" t="str">
        <f>IFERROR(VLOOKUP($A360,'2018'!$A:$BB,21,FALSE),"")</f>
        <v>Group B (34-44)</v>
      </c>
      <c r="U360" s="1062" t="str">
        <f>IFERROR(VLOOKUP($A360,'2018'!$A:$BB,22,FALSE),"")</f>
        <v>Expanded</v>
      </c>
      <c r="V360" s="1062" t="str">
        <f>IFERROR(VLOOKUP($A360,'2018'!$A:$BB,23,FALSE),"")</f>
        <v>Advantage</v>
      </c>
      <c r="W360" s="1062" t="str">
        <f>IFERROR(VLOOKUP($A360,'2018'!$A:$BB,24,FALSE),"")</f>
        <v>No</v>
      </c>
      <c r="X360" s="1062" t="str">
        <f>IFERROR(VLOOKUP($A360,'2018'!$A:$BB,41,FALSE),"")</f>
        <v xml:space="preserve">Region 4 </v>
      </c>
      <c r="Y360" s="1062" t="str">
        <f>IFERROR(VLOOKUP($A360,'2018'!$A:$BB,42,FALSE),"")</f>
        <v>(2-9)</v>
      </c>
      <c r="Z360" s="1062" t="str">
        <f>IFERROR(VLOOKUP($A360,'2018'!$A:$BB,45,FALSE),"")</f>
        <v xml:space="preserve"> (2-49)</v>
      </c>
      <c r="AA360" s="731">
        <v>2018</v>
      </c>
      <c r="AB360" s="1170" t="s">
        <v>4546</v>
      </c>
      <c r="AC360" s="731" t="s">
        <v>303</v>
      </c>
      <c r="AD360" s="731" t="s">
        <v>3648</v>
      </c>
      <c r="AE360" s="731" t="s">
        <v>307</v>
      </c>
      <c r="AF360" s="731" t="s">
        <v>113</v>
      </c>
      <c r="AG360" s="732" t="s">
        <v>3962</v>
      </c>
      <c r="AH360" s="732" t="s">
        <v>3963</v>
      </c>
      <c r="AI360" s="734">
        <v>2</v>
      </c>
      <c r="AJ360" s="748" t="s">
        <v>3964</v>
      </c>
      <c r="AK360" s="758">
        <v>260077</v>
      </c>
      <c r="AL360" s="756">
        <v>178</v>
      </c>
      <c r="AM360" s="758">
        <v>260078</v>
      </c>
      <c r="AN360" s="756">
        <v>179</v>
      </c>
      <c r="AO360" s="776">
        <f>AM360+1</f>
        <v>260079</v>
      </c>
      <c r="AP360" s="754">
        <f>AN360+1</f>
        <v>180</v>
      </c>
      <c r="AQ360" s="951"/>
      <c r="AR360" s="740" t="s">
        <v>2661</v>
      </c>
      <c r="AS360" s="952"/>
      <c r="AT360" s="952"/>
      <c r="AU360" s="740"/>
      <c r="AV360" s="952"/>
      <c r="AW360" s="952"/>
    </row>
    <row r="361" spans="1:49" s="953" customFormat="1">
      <c r="A361" s="736" t="s">
        <v>4314</v>
      </c>
      <c r="B361" s="736" t="s">
        <v>4314</v>
      </c>
      <c r="C361" s="738"/>
      <c r="D361" s="738"/>
      <c r="E361" s="738"/>
      <c r="F361" s="1059">
        <f>IFERROR(VLOOKUP($A361,'2018'!$A:$BB,3,FALSE),"")</f>
        <v>811640884</v>
      </c>
      <c r="G361" s="1055" t="str">
        <f>IFERROR(VLOOKUP($A361,'2018'!$A:$BB,4,FALSE),"")</f>
        <v>75 Broadway #251
San Francisco, CA 94111</v>
      </c>
      <c r="H361" s="1055" t="str">
        <f>IFERROR(VLOOKUP($A361,'2018'!$A:$BB,5,FALSE),"")</f>
        <v>Didier Perez
415-269-0666
didier@toolboxgenomics.com</v>
      </c>
      <c r="I361" s="1055" t="str">
        <f>IFERROR(VLOOKUP($A361,'2018'!$A:$BB,6,FALSE),"")</f>
        <v>Account Payable Team
415-269-0666
AP@toolboxgenomics.com</v>
      </c>
      <c r="J361" s="1055" t="str">
        <f>IFERROR(VLOOKUP($A361,'2018'!$A:$BB,7,FALSE),"")</f>
        <v>HUB (San Diego)</v>
      </c>
      <c r="K361" s="1055" t="str">
        <f>IFERROR(VLOOKUP($A361,'2018'!$A:$BB,8,FALSE),"")</f>
        <v xml:space="preserve">Account Managed by HUB SD Team
Producer - Maggie Osburn
Service Lead - Courtney Stanley
</v>
      </c>
      <c r="L361" s="1062" t="str">
        <f>IFERROR(VLOOKUP($A361,'2018'!$A:$BB,9,FALSE),"")</f>
        <v>New</v>
      </c>
      <c r="M361" s="1067">
        <f>IFERROR(VLOOKUP($A361,'2018'!$A:$BB,10,FALSE),"")</f>
        <v>43221</v>
      </c>
      <c r="N361" s="1062">
        <f>IFERROR(VLOOKUP($A361,'2018'!$A:$BB,12,FALSE),"")</f>
        <v>4</v>
      </c>
      <c r="O361" s="1055" t="str">
        <f>IFERROR(VLOOKUP($A361,'2018'!$A:$BB,13,FALSE),"")</f>
        <v xml:space="preserve">IGOE </v>
      </c>
      <c r="P361" s="1055" t="str">
        <f>IFERROR(VLOOKUP($A361,'2018'!$A:$BB,14,FALSE),"")</f>
        <v xml:space="preserve">Zuman </v>
      </c>
      <c r="Q361" s="1055" t="str">
        <f>IFERROR(VLOOKUP($A361,'2018'!$A:$BB,16,FALSE),"")</f>
        <v>IGOE</v>
      </c>
      <c r="R361" s="1055" t="str">
        <f>IFERROR(VLOOKUP($A361,'2018'!$A:$BB,17,FALSE),"")</f>
        <v>Optum Health</v>
      </c>
      <c r="S361" s="1062" t="str">
        <f>IFERROR(VLOOKUP($A361,'2018'!$A:$BB,20,FALSE),"")</f>
        <v>NCAL</v>
      </c>
      <c r="T361" s="1062" t="str">
        <f>IFERROR(VLOOKUP($A361,'2018'!$A:$BB,21,FALSE),"")</f>
        <v>Group B (34-44)</v>
      </c>
      <c r="U361" s="1062" t="str">
        <f>IFERROR(VLOOKUP($A361,'2018'!$A:$BB,22,FALSE),"")</f>
        <v>Expanded</v>
      </c>
      <c r="V361" s="1062" t="str">
        <f>IFERROR(VLOOKUP($A361,'2018'!$A:$BB,23,FALSE),"")</f>
        <v>Advantage</v>
      </c>
      <c r="W361" s="1062" t="str">
        <f>IFERROR(VLOOKUP($A361,'2018'!$A:$BB,24,FALSE),"")</f>
        <v>No</v>
      </c>
      <c r="X361" s="1062" t="str">
        <f>IFERROR(VLOOKUP($A361,'2018'!$A:$BB,41,FALSE),"")</f>
        <v xml:space="preserve">Region 4 </v>
      </c>
      <c r="Y361" s="1062" t="str">
        <f>IFERROR(VLOOKUP($A361,'2018'!$A:$BB,42,FALSE),"")</f>
        <v>(2-9)</v>
      </c>
      <c r="Z361" s="1062" t="str">
        <f>IFERROR(VLOOKUP($A361,'2018'!$A:$BB,45,FALSE),"")</f>
        <v xml:space="preserve"> (2-49)</v>
      </c>
      <c r="AA361" s="730">
        <v>2018</v>
      </c>
      <c r="AB361" s="1170" t="s">
        <v>4546</v>
      </c>
      <c r="AC361" s="730" t="s">
        <v>303</v>
      </c>
      <c r="AD361" s="730" t="s">
        <v>3648</v>
      </c>
      <c r="AE361" s="730" t="s">
        <v>307</v>
      </c>
      <c r="AF361" s="730" t="s">
        <v>113</v>
      </c>
      <c r="AG361" s="738" t="s">
        <v>3981</v>
      </c>
      <c r="AH361" s="738" t="s">
        <v>3973</v>
      </c>
      <c r="AI361" s="730">
        <v>11</v>
      </c>
      <c r="AJ361" s="961" t="s">
        <v>3982</v>
      </c>
      <c r="AK361" s="763">
        <v>909678</v>
      </c>
      <c r="AL361" s="759">
        <v>469</v>
      </c>
      <c r="AM361" s="755">
        <v>909678</v>
      </c>
      <c r="AN361" s="759">
        <v>470</v>
      </c>
      <c r="AO361" s="962">
        <f t="shared" ref="AO361:AO362" si="88">AM361</f>
        <v>909678</v>
      </c>
      <c r="AP361" s="759">
        <f t="shared" ref="AP361:AP362" si="89">AN361+1</f>
        <v>471</v>
      </c>
      <c r="AQ361" s="772"/>
      <c r="AR361" s="737" t="s">
        <v>2661</v>
      </c>
      <c r="AS361" s="737"/>
      <c r="AT361" s="737"/>
      <c r="AU361" s="737"/>
      <c r="AV361" s="737"/>
      <c r="AW361" s="737"/>
    </row>
    <row r="362" spans="1:49" s="953" customFormat="1">
      <c r="A362" s="736" t="s">
        <v>4314</v>
      </c>
      <c r="B362" s="736" t="s">
        <v>4314</v>
      </c>
      <c r="C362" s="736"/>
      <c r="D362" s="736"/>
      <c r="E362" s="736"/>
      <c r="F362" s="1059">
        <f>IFERROR(VLOOKUP($A362,'2018'!$A:$BB,3,FALSE),"")</f>
        <v>811640884</v>
      </c>
      <c r="G362" s="1055" t="str">
        <f>IFERROR(VLOOKUP($A362,'2018'!$A:$BB,4,FALSE),"")</f>
        <v>75 Broadway #251
San Francisco, CA 94111</v>
      </c>
      <c r="H362" s="1055" t="str">
        <f>IFERROR(VLOOKUP($A362,'2018'!$A:$BB,5,FALSE),"")</f>
        <v>Didier Perez
415-269-0666
didier@toolboxgenomics.com</v>
      </c>
      <c r="I362" s="1055" t="str">
        <f>IFERROR(VLOOKUP($A362,'2018'!$A:$BB,6,FALSE),"")</f>
        <v>Account Payable Team
415-269-0666
AP@toolboxgenomics.com</v>
      </c>
      <c r="J362" s="1055" t="str">
        <f>IFERROR(VLOOKUP($A362,'2018'!$A:$BB,7,FALSE),"")</f>
        <v>HUB (San Diego)</v>
      </c>
      <c r="K362" s="1055" t="str">
        <f>IFERROR(VLOOKUP($A362,'2018'!$A:$BB,8,FALSE),"")</f>
        <v xml:space="preserve">Account Managed by HUB SD Team
Producer - Maggie Osburn
Service Lead - Courtney Stanley
</v>
      </c>
      <c r="L362" s="1062" t="str">
        <f>IFERROR(VLOOKUP($A362,'2018'!$A:$BB,9,FALSE),"")</f>
        <v>New</v>
      </c>
      <c r="M362" s="1067">
        <f>IFERROR(VLOOKUP($A362,'2018'!$A:$BB,10,FALSE),"")</f>
        <v>43221</v>
      </c>
      <c r="N362" s="1062">
        <f>IFERROR(VLOOKUP($A362,'2018'!$A:$BB,12,FALSE),"")</f>
        <v>4</v>
      </c>
      <c r="O362" s="1055" t="str">
        <f>IFERROR(VLOOKUP($A362,'2018'!$A:$BB,13,FALSE),"")</f>
        <v xml:space="preserve">IGOE </v>
      </c>
      <c r="P362" s="1055" t="str">
        <f>IFERROR(VLOOKUP($A362,'2018'!$A:$BB,14,FALSE),"")</f>
        <v xml:space="preserve">Zuman </v>
      </c>
      <c r="Q362" s="1055" t="str">
        <f>IFERROR(VLOOKUP($A362,'2018'!$A:$BB,16,FALSE),"")</f>
        <v>IGOE</v>
      </c>
      <c r="R362" s="1055" t="str">
        <f>IFERROR(VLOOKUP($A362,'2018'!$A:$BB,17,FALSE),"")</f>
        <v>Optum Health</v>
      </c>
      <c r="S362" s="1062" t="str">
        <f>IFERROR(VLOOKUP($A362,'2018'!$A:$BB,20,FALSE),"")</f>
        <v>NCAL</v>
      </c>
      <c r="T362" s="1062" t="str">
        <f>IFERROR(VLOOKUP($A362,'2018'!$A:$BB,21,FALSE),"")</f>
        <v>Group B (34-44)</v>
      </c>
      <c r="U362" s="1062" t="str">
        <f>IFERROR(VLOOKUP($A362,'2018'!$A:$BB,22,FALSE),"")</f>
        <v>Expanded</v>
      </c>
      <c r="V362" s="1062" t="str">
        <f>IFERROR(VLOOKUP($A362,'2018'!$A:$BB,23,FALSE),"")</f>
        <v>Advantage</v>
      </c>
      <c r="W362" s="1062" t="str">
        <f>IFERROR(VLOOKUP($A362,'2018'!$A:$BB,24,FALSE),"")</f>
        <v>No</v>
      </c>
      <c r="X362" s="1062" t="str">
        <f>IFERROR(VLOOKUP($A362,'2018'!$A:$BB,41,FALSE),"")</f>
        <v xml:space="preserve">Region 4 </v>
      </c>
      <c r="Y362" s="1062" t="str">
        <f>IFERROR(VLOOKUP($A362,'2018'!$A:$BB,42,FALSE),"")</f>
        <v>(2-9)</v>
      </c>
      <c r="Z362" s="1062" t="str">
        <f>IFERROR(VLOOKUP($A362,'2018'!$A:$BB,45,FALSE),"")</f>
        <v xml:space="preserve"> (2-49)</v>
      </c>
      <c r="AA362" s="731">
        <v>2018</v>
      </c>
      <c r="AB362" s="1170" t="s">
        <v>4546</v>
      </c>
      <c r="AC362" s="731" t="s">
        <v>303</v>
      </c>
      <c r="AD362" s="731" t="s">
        <v>3648</v>
      </c>
      <c r="AE362" s="731" t="s">
        <v>307</v>
      </c>
      <c r="AF362" s="731" t="s">
        <v>113</v>
      </c>
      <c r="AG362" s="736" t="s">
        <v>3981</v>
      </c>
      <c r="AH362" s="736" t="s">
        <v>3977</v>
      </c>
      <c r="AI362" s="731">
        <v>16</v>
      </c>
      <c r="AJ362" s="750" t="s">
        <v>3985</v>
      </c>
      <c r="AK362" s="763">
        <v>909678</v>
      </c>
      <c r="AL362" s="764">
        <v>721</v>
      </c>
      <c r="AM362" s="755">
        <v>909678</v>
      </c>
      <c r="AN362" s="764">
        <v>722</v>
      </c>
      <c r="AO362" s="962">
        <f t="shared" si="88"/>
        <v>909678</v>
      </c>
      <c r="AP362" s="759">
        <f t="shared" si="89"/>
        <v>723</v>
      </c>
      <c r="AQ362" s="951"/>
      <c r="AR362" s="740" t="s">
        <v>2661</v>
      </c>
      <c r="AS362" s="952"/>
      <c r="AT362" s="952"/>
      <c r="AU362" s="740"/>
      <c r="AV362" s="952"/>
      <c r="AW362" s="952"/>
    </row>
    <row r="363" spans="1:49">
      <c r="A363" s="738"/>
      <c r="B363" s="738"/>
      <c r="C363" s="738"/>
      <c r="D363" s="738"/>
      <c r="E363" s="738"/>
      <c r="F363" s="1059" t="str">
        <f>IFERROR(VLOOKUP($A363,'2018'!$A:$BB,3,FALSE),"")</f>
        <v/>
      </c>
      <c r="G363" s="1055" t="str">
        <f>IFERROR(VLOOKUP($A363,'2018'!$A:$BB,4,FALSE),"")</f>
        <v/>
      </c>
      <c r="H363" s="1055" t="str">
        <f>IFERROR(VLOOKUP($A363,'2018'!$A:$BB,5,FALSE),"")</f>
        <v/>
      </c>
      <c r="I363" s="1055" t="str">
        <f>IFERROR(VLOOKUP($A363,'2018'!$A:$BB,6,FALSE),"")</f>
        <v/>
      </c>
      <c r="J363" s="1055" t="str">
        <f>IFERROR(VLOOKUP($A363,'2018'!$A:$BB,7,FALSE),"")</f>
        <v/>
      </c>
      <c r="K363" s="1055" t="str">
        <f>IFERROR(VLOOKUP($A363,'2018'!$A:$BB,8,FALSE),"")</f>
        <v/>
      </c>
      <c r="L363" s="1062" t="str">
        <f>IFERROR(VLOOKUP($A363,'2018'!$A:$BB,9,FALSE),"")</f>
        <v/>
      </c>
      <c r="M363" s="1067" t="str">
        <f>IFERROR(VLOOKUP($A363,'2018'!$A:$BB,10,FALSE),"")</f>
        <v/>
      </c>
      <c r="N363" s="1062" t="str">
        <f>IFERROR(VLOOKUP($A363,'2018'!$A:$BB,12,FALSE),"")</f>
        <v/>
      </c>
      <c r="O363" s="1055" t="str">
        <f>IFERROR(VLOOKUP($A363,'2018'!$A:$BB,13,FALSE),"")</f>
        <v/>
      </c>
      <c r="P363" s="1055" t="str">
        <f>IFERROR(VLOOKUP($A363,'2018'!$A:$BB,14,FALSE),"")</f>
        <v/>
      </c>
      <c r="Q363" s="1055" t="str">
        <f>IFERROR(VLOOKUP($A363,'2018'!$A:$BB,16,FALSE),"")</f>
        <v/>
      </c>
      <c r="R363" s="1055" t="str">
        <f>IFERROR(VLOOKUP($A363,'2018'!$A:$BB,17,FALSE),"")</f>
        <v/>
      </c>
      <c r="S363" s="1062" t="str">
        <f>IFERROR(VLOOKUP($A363,'2018'!$A:$BB,20,FALSE),"")</f>
        <v/>
      </c>
      <c r="T363" s="1062" t="str">
        <f>IFERROR(VLOOKUP($A363,'2018'!$A:$BB,21,FALSE),"")</f>
        <v/>
      </c>
      <c r="U363" s="1062" t="str">
        <f>IFERROR(VLOOKUP($A363,'2018'!$A:$BB,22,FALSE),"")</f>
        <v/>
      </c>
      <c r="V363" s="1062" t="str">
        <f>IFERROR(VLOOKUP($A363,'2018'!$A:$BB,23,FALSE),"")</f>
        <v/>
      </c>
      <c r="W363" s="1062" t="str">
        <f>IFERROR(VLOOKUP($A363,'2018'!$A:$BB,24,FALSE),"")</f>
        <v/>
      </c>
      <c r="X363" s="1062" t="str">
        <f>IFERROR(VLOOKUP($A363,'2018'!$A:$BB,41,FALSE),"")</f>
        <v/>
      </c>
      <c r="Y363" s="1062" t="str">
        <f>IFERROR(VLOOKUP($A363,'2018'!$A:$BB,42,FALSE),"")</f>
        <v/>
      </c>
      <c r="Z363" s="1062" t="str">
        <f>IFERROR(VLOOKUP($A363,'2018'!$A:$BB,45,FALSE),"")</f>
        <v/>
      </c>
      <c r="AA363" s="727"/>
      <c r="AB363" s="728"/>
      <c r="AC363" s="727"/>
      <c r="AD363" s="727"/>
      <c r="AE363" s="727"/>
      <c r="AF363" s="727"/>
      <c r="AG363" s="726"/>
      <c r="AH363" s="726"/>
      <c r="AI363" s="727"/>
      <c r="AJ363" s="747"/>
      <c r="AK363" s="753"/>
      <c r="AL363" s="754"/>
      <c r="AM363" s="753"/>
      <c r="AN363" s="754"/>
      <c r="AO363" s="776"/>
      <c r="AP363" s="754"/>
      <c r="AQ363" s="770"/>
      <c r="AR363" s="726"/>
      <c r="AS363" s="726"/>
      <c r="AT363" s="726"/>
      <c r="AU363" s="726"/>
      <c r="AV363" s="726"/>
      <c r="AW363" s="726"/>
    </row>
    <row r="364" spans="1:49">
      <c r="A364" s="736" t="s">
        <v>1248</v>
      </c>
      <c r="B364" s="736" t="s">
        <v>4127</v>
      </c>
      <c r="C364" s="736"/>
      <c r="D364" s="736"/>
      <c r="E364" s="736"/>
      <c r="F364" s="1059">
        <f>IFERROR(VLOOKUP($A364,'2018'!$A:$BB,3,FALSE),"")</f>
        <v>202232203</v>
      </c>
      <c r="G364" s="1055" t="str">
        <f>IFERROR(VLOOKUP($A364,'2018'!$A:$BB,4,FALSE),"")</f>
        <v>39655 Eureka Dr
Newark, CA 94560</v>
      </c>
      <c r="H364" s="1055" t="str">
        <f>IFERROR(VLOOKUP($A364,'2018'!$A:$BB,5,FALSE),"")</f>
        <v>Trudy Schapansky
510-592-3000 x65467
tschapansky@tripleringtech.com</v>
      </c>
      <c r="I364" s="1055" t="str">
        <f>IFERROR(VLOOKUP($A364,'2018'!$A:$BB,6,FALSE),"")</f>
        <v>Trudy Schapansky
510-592-3000 x65467
tschapansky@tripleringtech.com</v>
      </c>
      <c r="J364" s="1055" t="str">
        <f>IFERROR(VLOOKUP($A364,'2018'!$A:$BB,7,FALSE),"")</f>
        <v>ABD</v>
      </c>
      <c r="K364" s="1055" t="str">
        <f>IFERROR(VLOOKUP($A364,'2018'!$A:$BB,8,FALSE),"")</f>
        <v>Account Managed by ABD Team
Andrea Trudeau
andrea.trudeau@theabdteam.com
Megan Delgado
megan.delgado@theabdteam.com</v>
      </c>
      <c r="L364" s="1062" t="str">
        <f>IFERROR(VLOOKUP($A364,'2018'!$A:$BB,9,FALSE),"")</f>
        <v>New</v>
      </c>
      <c r="M364" s="1067">
        <f>IFERROR(VLOOKUP($A364,'2018'!$A:$BB,10,FALSE),"")</f>
        <v>43070</v>
      </c>
      <c r="N364" s="1062">
        <f>IFERROR(VLOOKUP($A364,'2018'!$A:$BB,12,FALSE),"")</f>
        <v>73</v>
      </c>
      <c r="O364" s="1055" t="str">
        <f>IFERROR(VLOOKUP($A364,'2018'!$A:$BB,13,FALSE),"")</f>
        <v>Basic</v>
      </c>
      <c r="P364" s="1055" t="str">
        <f>IFERROR(VLOOKUP($A364,'2018'!$A:$BB,14,FALSE),"")</f>
        <v>ADP</v>
      </c>
      <c r="Q364" s="1055" t="str">
        <f>IFERROR(VLOOKUP($A364,'2018'!$A:$BB,16,FALSE),"")</f>
        <v>N/A</v>
      </c>
      <c r="R364" s="1055" t="str">
        <f>IFERROR(VLOOKUP($A364,'2018'!$A:$BB,17,FALSE),"")</f>
        <v>Key Point Credit Union</v>
      </c>
      <c r="S364" s="1062" t="str">
        <f>IFERROR(VLOOKUP($A364,'2018'!$A:$BB,20,FALSE),"")</f>
        <v>NCAL</v>
      </c>
      <c r="T364" s="1062" t="str">
        <f>IFERROR(VLOOKUP($A364,'2018'!$A:$BB,21,FALSE),"")</f>
        <v>Group C (44-54)</v>
      </c>
      <c r="U364" s="1062" t="str">
        <f>IFERROR(VLOOKUP($A364,'2018'!$A:$BB,22,FALSE),"")</f>
        <v>Expanded</v>
      </c>
      <c r="V364" s="1062" t="str">
        <f>IFERROR(VLOOKUP($A364,'2018'!$A:$BB,23,FALSE),"")</f>
        <v>Advantage</v>
      </c>
      <c r="W364" s="1062" t="str">
        <f>IFERROR(VLOOKUP($A364,'2018'!$A:$BB,24,FALSE),"")</f>
        <v>No</v>
      </c>
      <c r="X364" s="1062" t="str">
        <f>IFERROR(VLOOKUP($A364,'2018'!$A:$BB,41,FALSE),"")</f>
        <v>N/A</v>
      </c>
      <c r="Y364" s="1062" t="str">
        <f>IFERROR(VLOOKUP($A364,'2018'!$A:$BB,42,FALSE),"")</f>
        <v>N/A</v>
      </c>
      <c r="Z364" s="1062" t="str">
        <f>IFERROR(VLOOKUP($A364,'2018'!$A:$BB,45,FALSE),"")</f>
        <v xml:space="preserve"> (50-99)</v>
      </c>
      <c r="AA364" s="731">
        <v>2018</v>
      </c>
      <c r="AB364" s="728" t="s">
        <v>3930</v>
      </c>
      <c r="AC364" s="727" t="s">
        <v>303</v>
      </c>
      <c r="AD364" s="727" t="s">
        <v>3656</v>
      </c>
      <c r="AE364" s="727" t="s">
        <v>307</v>
      </c>
      <c r="AF364" s="727" t="s">
        <v>113</v>
      </c>
      <c r="AG364" s="726" t="s">
        <v>3972</v>
      </c>
      <c r="AH364" s="726" t="s">
        <v>3973</v>
      </c>
      <c r="AI364" s="727">
        <v>8</v>
      </c>
      <c r="AJ364" s="747" t="s">
        <v>3992</v>
      </c>
      <c r="AK364" s="757">
        <v>909678</v>
      </c>
      <c r="AL364" s="754">
        <v>364</v>
      </c>
      <c r="AM364" s="755">
        <v>909678</v>
      </c>
      <c r="AN364" s="754">
        <v>365</v>
      </c>
      <c r="AO364" s="776">
        <f t="shared" ref="AO364:AO367" si="90">AM364</f>
        <v>909678</v>
      </c>
      <c r="AP364" s="754">
        <f t="shared" si="73"/>
        <v>366</v>
      </c>
      <c r="AQ364" s="770"/>
      <c r="AR364" s="726" t="s">
        <v>2661</v>
      </c>
      <c r="AS364" s="726" t="s">
        <v>4128</v>
      </c>
      <c r="AT364" s="726">
        <v>3640364</v>
      </c>
      <c r="AU364" s="726" t="s">
        <v>3980</v>
      </c>
      <c r="AV364" s="726"/>
      <c r="AW364" s="726"/>
    </row>
    <row r="365" spans="1:49">
      <c r="A365" s="736" t="s">
        <v>1248</v>
      </c>
      <c r="B365" s="736" t="s">
        <v>4127</v>
      </c>
      <c r="C365" s="736"/>
      <c r="D365" s="736"/>
      <c r="E365" s="736"/>
      <c r="F365" s="1059">
        <f>IFERROR(VLOOKUP($A365,'2018'!$A:$BB,3,FALSE),"")</f>
        <v>202232203</v>
      </c>
      <c r="G365" s="1055" t="str">
        <f>IFERROR(VLOOKUP($A365,'2018'!$A:$BB,4,FALSE),"")</f>
        <v>39655 Eureka Dr
Newark, CA 94560</v>
      </c>
      <c r="H365" s="1055" t="str">
        <f>IFERROR(VLOOKUP($A365,'2018'!$A:$BB,5,FALSE),"")</f>
        <v>Trudy Schapansky
510-592-3000 x65467
tschapansky@tripleringtech.com</v>
      </c>
      <c r="I365" s="1055" t="str">
        <f>IFERROR(VLOOKUP($A365,'2018'!$A:$BB,6,FALSE),"")</f>
        <v>Trudy Schapansky
510-592-3000 x65467
tschapansky@tripleringtech.com</v>
      </c>
      <c r="J365" s="1055" t="str">
        <f>IFERROR(VLOOKUP($A365,'2018'!$A:$BB,7,FALSE),"")</f>
        <v>ABD</v>
      </c>
      <c r="K365" s="1055" t="str">
        <f>IFERROR(VLOOKUP($A365,'2018'!$A:$BB,8,FALSE),"")</f>
        <v>Account Managed by ABD Team
Andrea Trudeau
andrea.trudeau@theabdteam.com
Megan Delgado
megan.delgado@theabdteam.com</v>
      </c>
      <c r="L365" s="1062" t="str">
        <f>IFERROR(VLOOKUP($A365,'2018'!$A:$BB,9,FALSE),"")</f>
        <v>New</v>
      </c>
      <c r="M365" s="1067">
        <f>IFERROR(VLOOKUP($A365,'2018'!$A:$BB,10,FALSE),"")</f>
        <v>43070</v>
      </c>
      <c r="N365" s="1062">
        <f>IFERROR(VLOOKUP($A365,'2018'!$A:$BB,12,FALSE),"")</f>
        <v>73</v>
      </c>
      <c r="O365" s="1055" t="str">
        <f>IFERROR(VLOOKUP($A365,'2018'!$A:$BB,13,FALSE),"")</f>
        <v>Basic</v>
      </c>
      <c r="P365" s="1055" t="str">
        <f>IFERROR(VLOOKUP($A365,'2018'!$A:$BB,14,FALSE),"")</f>
        <v>ADP</v>
      </c>
      <c r="Q365" s="1055" t="str">
        <f>IFERROR(VLOOKUP($A365,'2018'!$A:$BB,16,FALSE),"")</f>
        <v>N/A</v>
      </c>
      <c r="R365" s="1055" t="str">
        <f>IFERROR(VLOOKUP($A365,'2018'!$A:$BB,17,FALSE),"")</f>
        <v>Key Point Credit Union</v>
      </c>
      <c r="S365" s="1062" t="str">
        <f>IFERROR(VLOOKUP($A365,'2018'!$A:$BB,20,FALSE),"")</f>
        <v>NCAL</v>
      </c>
      <c r="T365" s="1062" t="str">
        <f>IFERROR(VLOOKUP($A365,'2018'!$A:$BB,21,FALSE),"")</f>
        <v>Group C (44-54)</v>
      </c>
      <c r="U365" s="1062" t="str">
        <f>IFERROR(VLOOKUP($A365,'2018'!$A:$BB,22,FALSE),"")</f>
        <v>Expanded</v>
      </c>
      <c r="V365" s="1062" t="str">
        <f>IFERROR(VLOOKUP($A365,'2018'!$A:$BB,23,FALSE),"")</f>
        <v>Advantage</v>
      </c>
      <c r="W365" s="1062" t="str">
        <f>IFERROR(VLOOKUP($A365,'2018'!$A:$BB,24,FALSE),"")</f>
        <v>No</v>
      </c>
      <c r="X365" s="1062" t="str">
        <f>IFERROR(VLOOKUP($A365,'2018'!$A:$BB,41,FALSE),"")</f>
        <v>N/A</v>
      </c>
      <c r="Y365" s="1062" t="str">
        <f>IFERROR(VLOOKUP($A365,'2018'!$A:$BB,42,FALSE),"")</f>
        <v>N/A</v>
      </c>
      <c r="Z365" s="1062" t="str">
        <f>IFERROR(VLOOKUP($A365,'2018'!$A:$BB,45,FALSE),"")</f>
        <v xml:space="preserve"> (50-99)</v>
      </c>
      <c r="AA365" s="731">
        <v>2018</v>
      </c>
      <c r="AB365" s="733" t="s">
        <v>3930</v>
      </c>
      <c r="AC365" s="734" t="s">
        <v>303</v>
      </c>
      <c r="AD365" s="734" t="s">
        <v>3656</v>
      </c>
      <c r="AE365" s="734" t="s">
        <v>307</v>
      </c>
      <c r="AF365" s="734" t="s">
        <v>113</v>
      </c>
      <c r="AG365" s="732" t="s">
        <v>3972</v>
      </c>
      <c r="AH365" s="732" t="s">
        <v>3977</v>
      </c>
      <c r="AI365" s="734">
        <v>14</v>
      </c>
      <c r="AJ365" s="748" t="s">
        <v>3994</v>
      </c>
      <c r="AK365" s="757">
        <v>909678</v>
      </c>
      <c r="AL365" s="756">
        <v>616</v>
      </c>
      <c r="AM365" s="755">
        <v>909678</v>
      </c>
      <c r="AN365" s="756">
        <v>617</v>
      </c>
      <c r="AO365" s="776">
        <f t="shared" si="90"/>
        <v>909678</v>
      </c>
      <c r="AP365" s="754">
        <f t="shared" si="73"/>
        <v>618</v>
      </c>
      <c r="AQ365" s="771" t="s">
        <v>3979</v>
      </c>
      <c r="AR365" s="732" t="s">
        <v>2661</v>
      </c>
      <c r="AS365" s="735"/>
      <c r="AT365" s="735"/>
      <c r="AU365" s="732" t="s">
        <v>3980</v>
      </c>
      <c r="AV365" s="735"/>
      <c r="AW365" s="735"/>
    </row>
    <row r="366" spans="1:49">
      <c r="A366" s="736" t="s">
        <v>1248</v>
      </c>
      <c r="B366" s="736" t="s">
        <v>4127</v>
      </c>
      <c r="C366" s="736"/>
      <c r="D366" s="736"/>
      <c r="E366" s="736"/>
      <c r="F366" s="1059">
        <f>IFERROR(VLOOKUP($A366,'2018'!$A:$BB,3,FALSE),"")</f>
        <v>202232203</v>
      </c>
      <c r="G366" s="1055" t="str">
        <f>IFERROR(VLOOKUP($A366,'2018'!$A:$BB,4,FALSE),"")</f>
        <v>39655 Eureka Dr
Newark, CA 94560</v>
      </c>
      <c r="H366" s="1055" t="str">
        <f>IFERROR(VLOOKUP($A366,'2018'!$A:$BB,5,FALSE),"")</f>
        <v>Trudy Schapansky
510-592-3000 x65467
tschapansky@tripleringtech.com</v>
      </c>
      <c r="I366" s="1055" t="str">
        <f>IFERROR(VLOOKUP($A366,'2018'!$A:$BB,6,FALSE),"")</f>
        <v>Trudy Schapansky
510-592-3000 x65467
tschapansky@tripleringtech.com</v>
      </c>
      <c r="J366" s="1055" t="str">
        <f>IFERROR(VLOOKUP($A366,'2018'!$A:$BB,7,FALSE),"")</f>
        <v>ABD</v>
      </c>
      <c r="K366" s="1055" t="str">
        <f>IFERROR(VLOOKUP($A366,'2018'!$A:$BB,8,FALSE),"")</f>
        <v>Account Managed by ABD Team
Andrea Trudeau
andrea.trudeau@theabdteam.com
Megan Delgado
megan.delgado@theabdteam.com</v>
      </c>
      <c r="L366" s="1062" t="str">
        <f>IFERROR(VLOOKUP($A366,'2018'!$A:$BB,9,FALSE),"")</f>
        <v>New</v>
      </c>
      <c r="M366" s="1067">
        <f>IFERROR(VLOOKUP($A366,'2018'!$A:$BB,10,FALSE),"")</f>
        <v>43070</v>
      </c>
      <c r="N366" s="1062">
        <f>IFERROR(VLOOKUP($A366,'2018'!$A:$BB,12,FALSE),"")</f>
        <v>73</v>
      </c>
      <c r="O366" s="1055" t="str">
        <f>IFERROR(VLOOKUP($A366,'2018'!$A:$BB,13,FALSE),"")</f>
        <v>Basic</v>
      </c>
      <c r="P366" s="1055" t="str">
        <f>IFERROR(VLOOKUP($A366,'2018'!$A:$BB,14,FALSE),"")</f>
        <v>ADP</v>
      </c>
      <c r="Q366" s="1055" t="str">
        <f>IFERROR(VLOOKUP($A366,'2018'!$A:$BB,16,FALSE),"")</f>
        <v>N/A</v>
      </c>
      <c r="R366" s="1055" t="str">
        <f>IFERROR(VLOOKUP($A366,'2018'!$A:$BB,17,FALSE),"")</f>
        <v>Key Point Credit Union</v>
      </c>
      <c r="S366" s="1062" t="str">
        <f>IFERROR(VLOOKUP($A366,'2018'!$A:$BB,20,FALSE),"")</f>
        <v>NCAL</v>
      </c>
      <c r="T366" s="1062" t="str">
        <f>IFERROR(VLOOKUP($A366,'2018'!$A:$BB,21,FALSE),"")</f>
        <v>Group C (44-54)</v>
      </c>
      <c r="U366" s="1062" t="str">
        <f>IFERROR(VLOOKUP($A366,'2018'!$A:$BB,22,FALSE),"")</f>
        <v>Expanded</v>
      </c>
      <c r="V366" s="1062" t="str">
        <f>IFERROR(VLOOKUP($A366,'2018'!$A:$BB,23,FALSE),"")</f>
        <v>Advantage</v>
      </c>
      <c r="W366" s="1062" t="str">
        <f>IFERROR(VLOOKUP($A366,'2018'!$A:$BB,24,FALSE),"")</f>
        <v>No</v>
      </c>
      <c r="X366" s="1062" t="str">
        <f>IFERROR(VLOOKUP($A366,'2018'!$A:$BB,41,FALSE),"")</f>
        <v>N/A</v>
      </c>
      <c r="Y366" s="1062" t="str">
        <f>IFERROR(VLOOKUP($A366,'2018'!$A:$BB,42,FALSE),"")</f>
        <v>N/A</v>
      </c>
      <c r="Z366" s="1062" t="str">
        <f>IFERROR(VLOOKUP($A366,'2018'!$A:$BB,45,FALSE),"")</f>
        <v xml:space="preserve"> (50-99)</v>
      </c>
      <c r="AA366" s="731">
        <v>2018</v>
      </c>
      <c r="AB366" s="728" t="s">
        <v>3930</v>
      </c>
      <c r="AC366" s="727" t="s">
        <v>303</v>
      </c>
      <c r="AD366" s="727" t="s">
        <v>3656</v>
      </c>
      <c r="AE366" s="727" t="s">
        <v>307</v>
      </c>
      <c r="AF366" s="727" t="s">
        <v>113</v>
      </c>
      <c r="AG366" s="726" t="s">
        <v>3981</v>
      </c>
      <c r="AH366" s="726" t="s">
        <v>3973</v>
      </c>
      <c r="AI366" s="727">
        <v>11</v>
      </c>
      <c r="AJ366" s="747" t="s">
        <v>3982</v>
      </c>
      <c r="AK366" s="757">
        <v>909678</v>
      </c>
      <c r="AL366" s="754">
        <v>472</v>
      </c>
      <c r="AM366" s="755">
        <v>909678</v>
      </c>
      <c r="AN366" s="754">
        <v>473</v>
      </c>
      <c r="AO366" s="776">
        <f t="shared" si="90"/>
        <v>909678</v>
      </c>
      <c r="AP366" s="754">
        <f t="shared" si="73"/>
        <v>474</v>
      </c>
      <c r="AQ366" s="770"/>
      <c r="AR366" s="726" t="s">
        <v>2661</v>
      </c>
      <c r="AS366" s="726" t="s">
        <v>4129</v>
      </c>
      <c r="AT366" s="726">
        <v>4720472</v>
      </c>
      <c r="AU366" s="726" t="s">
        <v>3980</v>
      </c>
      <c r="AV366" s="726"/>
      <c r="AW366" s="726"/>
    </row>
    <row r="367" spans="1:49">
      <c r="A367" s="736" t="s">
        <v>1248</v>
      </c>
      <c r="B367" s="736" t="s">
        <v>4127</v>
      </c>
      <c r="C367" s="736"/>
      <c r="D367" s="736"/>
      <c r="E367" s="736"/>
      <c r="F367" s="1059">
        <f>IFERROR(VLOOKUP($A367,'2018'!$A:$BB,3,FALSE),"")</f>
        <v>202232203</v>
      </c>
      <c r="G367" s="1055" t="str">
        <f>IFERROR(VLOOKUP($A367,'2018'!$A:$BB,4,FALSE),"")</f>
        <v>39655 Eureka Dr
Newark, CA 94560</v>
      </c>
      <c r="H367" s="1055" t="str">
        <f>IFERROR(VLOOKUP($A367,'2018'!$A:$BB,5,FALSE),"")</f>
        <v>Trudy Schapansky
510-592-3000 x65467
tschapansky@tripleringtech.com</v>
      </c>
      <c r="I367" s="1055" t="str">
        <f>IFERROR(VLOOKUP($A367,'2018'!$A:$BB,6,FALSE),"")</f>
        <v>Trudy Schapansky
510-592-3000 x65467
tschapansky@tripleringtech.com</v>
      </c>
      <c r="J367" s="1055" t="str">
        <f>IFERROR(VLOOKUP($A367,'2018'!$A:$BB,7,FALSE),"")</f>
        <v>ABD</v>
      </c>
      <c r="K367" s="1055" t="str">
        <f>IFERROR(VLOOKUP($A367,'2018'!$A:$BB,8,FALSE),"")</f>
        <v>Account Managed by ABD Team
Andrea Trudeau
andrea.trudeau@theabdteam.com
Megan Delgado
megan.delgado@theabdteam.com</v>
      </c>
      <c r="L367" s="1062" t="str">
        <f>IFERROR(VLOOKUP($A367,'2018'!$A:$BB,9,FALSE),"")</f>
        <v>New</v>
      </c>
      <c r="M367" s="1067">
        <f>IFERROR(VLOOKUP($A367,'2018'!$A:$BB,10,FALSE),"")</f>
        <v>43070</v>
      </c>
      <c r="N367" s="1062">
        <f>IFERROR(VLOOKUP($A367,'2018'!$A:$BB,12,FALSE),"")</f>
        <v>73</v>
      </c>
      <c r="O367" s="1055" t="str">
        <f>IFERROR(VLOOKUP($A367,'2018'!$A:$BB,13,FALSE),"")</f>
        <v>Basic</v>
      </c>
      <c r="P367" s="1055" t="str">
        <f>IFERROR(VLOOKUP($A367,'2018'!$A:$BB,14,FALSE),"")</f>
        <v>ADP</v>
      </c>
      <c r="Q367" s="1055" t="str">
        <f>IFERROR(VLOOKUP($A367,'2018'!$A:$BB,16,FALSE),"")</f>
        <v>N/A</v>
      </c>
      <c r="R367" s="1055" t="str">
        <f>IFERROR(VLOOKUP($A367,'2018'!$A:$BB,17,FALSE),"")</f>
        <v>Key Point Credit Union</v>
      </c>
      <c r="S367" s="1062" t="str">
        <f>IFERROR(VLOOKUP($A367,'2018'!$A:$BB,20,FALSE),"")</f>
        <v>NCAL</v>
      </c>
      <c r="T367" s="1062" t="str">
        <f>IFERROR(VLOOKUP($A367,'2018'!$A:$BB,21,FALSE),"")</f>
        <v>Group C (44-54)</v>
      </c>
      <c r="U367" s="1062" t="str">
        <f>IFERROR(VLOOKUP($A367,'2018'!$A:$BB,22,FALSE),"")</f>
        <v>Expanded</v>
      </c>
      <c r="V367" s="1062" t="str">
        <f>IFERROR(VLOOKUP($A367,'2018'!$A:$BB,23,FALSE),"")</f>
        <v>Advantage</v>
      </c>
      <c r="W367" s="1062" t="str">
        <f>IFERROR(VLOOKUP($A367,'2018'!$A:$BB,24,FALSE),"")</f>
        <v>No</v>
      </c>
      <c r="X367" s="1062" t="str">
        <f>IFERROR(VLOOKUP($A367,'2018'!$A:$BB,41,FALSE),"")</f>
        <v>N/A</v>
      </c>
      <c r="Y367" s="1062" t="str">
        <f>IFERROR(VLOOKUP($A367,'2018'!$A:$BB,42,FALSE),"")</f>
        <v>N/A</v>
      </c>
      <c r="Z367" s="1062" t="str">
        <f>IFERROR(VLOOKUP($A367,'2018'!$A:$BB,45,FALSE),"")</f>
        <v xml:space="preserve"> (50-99)</v>
      </c>
      <c r="AA367" s="731">
        <v>2018</v>
      </c>
      <c r="AB367" s="733" t="s">
        <v>3930</v>
      </c>
      <c r="AC367" s="734" t="s">
        <v>303</v>
      </c>
      <c r="AD367" s="734" t="s">
        <v>3656</v>
      </c>
      <c r="AE367" s="734" t="s">
        <v>307</v>
      </c>
      <c r="AF367" s="734" t="s">
        <v>113</v>
      </c>
      <c r="AG367" s="732" t="s">
        <v>3981</v>
      </c>
      <c r="AH367" s="732" t="s">
        <v>3977</v>
      </c>
      <c r="AI367" s="734">
        <v>16</v>
      </c>
      <c r="AJ367" s="748" t="s">
        <v>3985</v>
      </c>
      <c r="AK367" s="757">
        <v>909678</v>
      </c>
      <c r="AL367" s="756">
        <v>724</v>
      </c>
      <c r="AM367" s="755">
        <v>909678</v>
      </c>
      <c r="AN367" s="756">
        <v>725</v>
      </c>
      <c r="AO367" s="776">
        <f t="shared" si="90"/>
        <v>909678</v>
      </c>
      <c r="AP367" s="754">
        <f t="shared" si="73"/>
        <v>726</v>
      </c>
      <c r="AQ367" s="771" t="s">
        <v>3979</v>
      </c>
      <c r="AR367" s="732" t="s">
        <v>2661</v>
      </c>
      <c r="AS367" s="735"/>
      <c r="AT367" s="735"/>
      <c r="AU367" s="732" t="s">
        <v>3980</v>
      </c>
      <c r="AV367" s="735"/>
      <c r="AW367" s="735"/>
    </row>
    <row r="368" spans="1:49" s="739" customFormat="1">
      <c r="A368" s="736"/>
      <c r="B368" s="736"/>
      <c r="C368" s="736"/>
      <c r="D368" s="736"/>
      <c r="E368" s="736"/>
      <c r="F368" s="1059" t="str">
        <f>IFERROR(VLOOKUP($A368,'2018'!$A:$BB,3,FALSE),"")</f>
        <v/>
      </c>
      <c r="G368" s="1055" t="str">
        <f>IFERROR(VLOOKUP($A368,'2018'!$A:$BB,4,FALSE),"")</f>
        <v/>
      </c>
      <c r="H368" s="1055" t="str">
        <f>IFERROR(VLOOKUP($A368,'2018'!$A:$BB,5,FALSE),"")</f>
        <v/>
      </c>
      <c r="I368" s="1055" t="str">
        <f>IFERROR(VLOOKUP($A368,'2018'!$A:$BB,6,FALSE),"")</f>
        <v/>
      </c>
      <c r="J368" s="1055" t="str">
        <f>IFERROR(VLOOKUP($A368,'2018'!$A:$BB,7,FALSE),"")</f>
        <v/>
      </c>
      <c r="K368" s="1055" t="str">
        <f>IFERROR(VLOOKUP($A368,'2018'!$A:$BB,8,FALSE),"")</f>
        <v/>
      </c>
      <c r="L368" s="1062" t="str">
        <f>IFERROR(VLOOKUP($A368,'2018'!$A:$BB,9,FALSE),"")</f>
        <v/>
      </c>
      <c r="M368" s="1067" t="str">
        <f>IFERROR(VLOOKUP($A368,'2018'!$A:$BB,10,FALSE),"")</f>
        <v/>
      </c>
      <c r="N368" s="1062" t="str">
        <f>IFERROR(VLOOKUP($A368,'2018'!$A:$BB,12,FALSE),"")</f>
        <v/>
      </c>
      <c r="O368" s="1055" t="str">
        <f>IFERROR(VLOOKUP($A368,'2018'!$A:$BB,13,FALSE),"")</f>
        <v/>
      </c>
      <c r="P368" s="1055" t="str">
        <f>IFERROR(VLOOKUP($A368,'2018'!$A:$BB,14,FALSE),"")</f>
        <v/>
      </c>
      <c r="Q368" s="1055" t="str">
        <f>IFERROR(VLOOKUP($A368,'2018'!$A:$BB,16,FALSE),"")</f>
        <v/>
      </c>
      <c r="R368" s="1055" t="str">
        <f>IFERROR(VLOOKUP($A368,'2018'!$A:$BB,17,FALSE),"")</f>
        <v/>
      </c>
      <c r="S368" s="1062" t="str">
        <f>IFERROR(VLOOKUP($A368,'2018'!$A:$BB,20,FALSE),"")</f>
        <v/>
      </c>
      <c r="T368" s="1062" t="str">
        <f>IFERROR(VLOOKUP($A368,'2018'!$A:$BB,21,FALSE),"")</f>
        <v/>
      </c>
      <c r="U368" s="1062" t="str">
        <f>IFERROR(VLOOKUP($A368,'2018'!$A:$BB,22,FALSE),"")</f>
        <v/>
      </c>
      <c r="V368" s="1062" t="str">
        <f>IFERROR(VLOOKUP($A368,'2018'!$A:$BB,23,FALSE),"")</f>
        <v/>
      </c>
      <c r="W368" s="1062" t="str">
        <f>IFERROR(VLOOKUP($A368,'2018'!$A:$BB,24,FALSE),"")</f>
        <v/>
      </c>
      <c r="X368" s="1062" t="str">
        <f>IFERROR(VLOOKUP($A368,'2018'!$A:$BB,41,FALSE),"")</f>
        <v/>
      </c>
      <c r="Y368" s="1062" t="str">
        <f>IFERROR(VLOOKUP($A368,'2018'!$A:$BB,42,FALSE),"")</f>
        <v/>
      </c>
      <c r="Z368" s="1062" t="str">
        <f>IFERROR(VLOOKUP($A368,'2018'!$A:$BB,45,FALSE),"")</f>
        <v/>
      </c>
      <c r="AA368" s="734"/>
      <c r="AB368" s="733"/>
      <c r="AC368" s="734"/>
      <c r="AD368" s="734"/>
      <c r="AE368" s="734"/>
      <c r="AF368" s="734"/>
      <c r="AG368" s="732"/>
      <c r="AH368" s="732"/>
      <c r="AI368" s="734"/>
      <c r="AJ368" s="748"/>
      <c r="AK368" s="758"/>
      <c r="AL368" s="756"/>
      <c r="AM368" s="753"/>
      <c r="AN368" s="754"/>
      <c r="AO368" s="776"/>
      <c r="AP368" s="754"/>
      <c r="AQ368" s="771"/>
      <c r="AR368" s="732"/>
      <c r="AS368" s="732"/>
      <c r="AT368" s="732"/>
      <c r="AU368" s="732"/>
      <c r="AV368" s="732"/>
      <c r="AW368" s="732"/>
    </row>
    <row r="369" spans="1:49">
      <c r="A369" s="736" t="s">
        <v>414</v>
      </c>
      <c r="B369" s="736" t="s">
        <v>4130</v>
      </c>
      <c r="C369" s="736"/>
      <c r="D369" s="738"/>
      <c r="E369" s="738"/>
      <c r="F369" s="1059">
        <f>IFERROR(VLOOKUP($A369,'2018'!$A:$BB,3,FALSE),"")</f>
        <v>203062604</v>
      </c>
      <c r="G369" s="1055" t="str">
        <f>IFERROR(VLOOKUP($A369,'2018'!$A:$BB,4,FALSE),"")</f>
        <v>7060 Koll Center Pkwy, Suite 300, Pleasanton, CA 94566</v>
      </c>
      <c r="H369" s="1055" t="str">
        <f>IFERROR(VLOOKUP($A369,'2018'!$A:$BB,5,FALSE),"")</f>
        <v>Leiyan Connolly
(925) 931-1300 ext 283
lconnolly@trirememedical.com</v>
      </c>
      <c r="I369" s="1055" t="str">
        <f>IFERROR(VLOOKUP($A369,'2018'!$A:$BB,6,FALSE),"")</f>
        <v>Leiyan Connolly
(925) 931-1300 ext 283
lconnolly@trirememedical.com</v>
      </c>
      <c r="J369" s="1055" t="str">
        <f>IFERROR(VLOOKUP($A369,'2018'!$A:$BB,7,FALSE),"")</f>
        <v>ABD</v>
      </c>
      <c r="K369" s="1055" t="str">
        <f>IFERROR(VLOOKUP($A369,'2018'!$A:$BB,8,FALSE),"")</f>
        <v xml:space="preserve">Account Managed by ABD Team
Mark Anderson
Mark.Anderson@theabdteam.com
Angie Lopez
angie.lopez@theabdteam.com </v>
      </c>
      <c r="L369" s="1062" t="str">
        <f>IFERROR(VLOOKUP($A369,'2018'!$A:$BB,9,FALSE),"")</f>
        <v>New</v>
      </c>
      <c r="M369" s="1067">
        <f>IFERROR(VLOOKUP($A369,'2018'!$A:$BB,10,FALSE),"")</f>
        <v>43070</v>
      </c>
      <c r="N369" s="1062">
        <f>IFERROR(VLOOKUP($A369,'2018'!$A:$BB,12,FALSE),"")</f>
        <v>38</v>
      </c>
      <c r="O369" s="1055" t="str">
        <f>IFERROR(VLOOKUP($A369,'2018'!$A:$BB,13,FALSE),"")</f>
        <v xml:space="preserve">IGOE </v>
      </c>
      <c r="P369" s="1055" t="str">
        <f>IFERROR(VLOOKUP($A369,'2018'!$A:$BB,14,FALSE),"")</f>
        <v>Maestro</v>
      </c>
      <c r="Q369" s="1055" t="str">
        <f>IFERROR(VLOOKUP($A369,'2018'!$A:$BB,16,FALSE),"")</f>
        <v>N/A</v>
      </c>
      <c r="R369" s="1055" t="str">
        <f>IFERROR(VLOOKUP($A369,'2018'!$A:$BB,17,FALSE),"")</f>
        <v xml:space="preserve">Patelco Credit Union </v>
      </c>
      <c r="S369" s="1062" t="str">
        <f>IFERROR(VLOOKUP($A369,'2018'!$A:$BB,20,FALSE),"")</f>
        <v>NCAL</v>
      </c>
      <c r="T369" s="1062" t="str">
        <f>IFERROR(VLOOKUP($A369,'2018'!$A:$BB,21,FALSE),"")</f>
        <v>Group C (44-54)</v>
      </c>
      <c r="U369" s="1062" t="str">
        <f>IFERROR(VLOOKUP($A369,'2018'!$A:$BB,22,FALSE),"")</f>
        <v>Expanded</v>
      </c>
      <c r="V369" s="1062" t="str">
        <f>IFERROR(VLOOKUP($A369,'2018'!$A:$BB,23,FALSE),"")</f>
        <v>Advantage</v>
      </c>
      <c r="W369" s="1062" t="str">
        <f>IFERROR(VLOOKUP($A369,'2018'!$A:$BB,24,FALSE),"")</f>
        <v>No</v>
      </c>
      <c r="X369" s="1062" t="str">
        <f>IFERROR(VLOOKUP($A369,'2018'!$A:$BB,41,FALSE),"")</f>
        <v>Region 4</v>
      </c>
      <c r="Y369" s="1062" t="str">
        <f>IFERROR(VLOOKUP($A369,'2018'!$A:$BB,42,FALSE),"")</f>
        <v>(25-49)</v>
      </c>
      <c r="Z369" s="1062" t="str">
        <f>IFERROR(VLOOKUP($A369,'2018'!$A:$BB,45,FALSE),"")</f>
        <v xml:space="preserve"> (2-49)</v>
      </c>
      <c r="AA369" s="731">
        <v>2018</v>
      </c>
      <c r="AB369" s="728" t="s">
        <v>3933</v>
      </c>
      <c r="AC369" s="727" t="s">
        <v>303</v>
      </c>
      <c r="AD369" s="727" t="s">
        <v>3656</v>
      </c>
      <c r="AE369" s="727" t="s">
        <v>307</v>
      </c>
      <c r="AF369" s="727" t="s">
        <v>113</v>
      </c>
      <c r="AG369" s="726" t="s">
        <v>3981</v>
      </c>
      <c r="AH369" s="726" t="s">
        <v>3973</v>
      </c>
      <c r="AI369" s="727">
        <v>11</v>
      </c>
      <c r="AJ369" s="747" t="s">
        <v>3982</v>
      </c>
      <c r="AK369" s="757">
        <v>909678</v>
      </c>
      <c r="AL369" s="754">
        <v>472</v>
      </c>
      <c r="AM369" s="755">
        <v>909678</v>
      </c>
      <c r="AN369" s="754">
        <v>473</v>
      </c>
      <c r="AO369" s="776">
        <f t="shared" ref="AO369:AO370" si="91">AM369</f>
        <v>909678</v>
      </c>
      <c r="AP369" s="754">
        <f t="shared" si="73"/>
        <v>474</v>
      </c>
      <c r="AQ369" s="770"/>
      <c r="AR369" s="726" t="s">
        <v>2661</v>
      </c>
      <c r="AS369" s="726" t="s">
        <v>3983</v>
      </c>
      <c r="AT369" s="726">
        <v>4720472</v>
      </c>
      <c r="AU369" s="726" t="s">
        <v>3980</v>
      </c>
      <c r="AV369" s="726"/>
      <c r="AW369" s="726"/>
    </row>
    <row r="370" spans="1:49">
      <c r="A370" s="736" t="s">
        <v>414</v>
      </c>
      <c r="B370" s="736" t="s">
        <v>4130</v>
      </c>
      <c r="C370" s="736"/>
      <c r="D370" s="738"/>
      <c r="E370" s="738"/>
      <c r="F370" s="1059">
        <f>IFERROR(VLOOKUP($A370,'2018'!$A:$BB,3,FALSE),"")</f>
        <v>203062604</v>
      </c>
      <c r="G370" s="1055" t="str">
        <f>IFERROR(VLOOKUP($A370,'2018'!$A:$BB,4,FALSE),"")</f>
        <v>7060 Koll Center Pkwy, Suite 300, Pleasanton, CA 94566</v>
      </c>
      <c r="H370" s="1055" t="str">
        <f>IFERROR(VLOOKUP($A370,'2018'!$A:$BB,5,FALSE),"")</f>
        <v>Leiyan Connolly
(925) 931-1300 ext 283
lconnolly@trirememedical.com</v>
      </c>
      <c r="I370" s="1055" t="str">
        <f>IFERROR(VLOOKUP($A370,'2018'!$A:$BB,6,FALSE),"")</f>
        <v>Leiyan Connolly
(925) 931-1300 ext 283
lconnolly@trirememedical.com</v>
      </c>
      <c r="J370" s="1055" t="str">
        <f>IFERROR(VLOOKUP($A370,'2018'!$A:$BB,7,FALSE),"")</f>
        <v>ABD</v>
      </c>
      <c r="K370" s="1055" t="str">
        <f>IFERROR(VLOOKUP($A370,'2018'!$A:$BB,8,FALSE),"")</f>
        <v xml:space="preserve">Account Managed by ABD Team
Mark Anderson
Mark.Anderson@theabdteam.com
Angie Lopez
angie.lopez@theabdteam.com </v>
      </c>
      <c r="L370" s="1062" t="str">
        <f>IFERROR(VLOOKUP($A370,'2018'!$A:$BB,9,FALSE),"")</f>
        <v>New</v>
      </c>
      <c r="M370" s="1067">
        <f>IFERROR(VLOOKUP($A370,'2018'!$A:$BB,10,FALSE),"")</f>
        <v>43070</v>
      </c>
      <c r="N370" s="1062">
        <f>IFERROR(VLOOKUP($A370,'2018'!$A:$BB,12,FALSE),"")</f>
        <v>38</v>
      </c>
      <c r="O370" s="1055" t="str">
        <f>IFERROR(VLOOKUP($A370,'2018'!$A:$BB,13,FALSE),"")</f>
        <v xml:space="preserve">IGOE </v>
      </c>
      <c r="P370" s="1055" t="str">
        <f>IFERROR(VLOOKUP($A370,'2018'!$A:$BB,14,FALSE),"")</f>
        <v>Maestro</v>
      </c>
      <c r="Q370" s="1055" t="str">
        <f>IFERROR(VLOOKUP($A370,'2018'!$A:$BB,16,FALSE),"")</f>
        <v>N/A</v>
      </c>
      <c r="R370" s="1055" t="str">
        <f>IFERROR(VLOOKUP($A370,'2018'!$A:$BB,17,FALSE),"")</f>
        <v xml:space="preserve">Patelco Credit Union </v>
      </c>
      <c r="S370" s="1062" t="str">
        <f>IFERROR(VLOOKUP($A370,'2018'!$A:$BB,20,FALSE),"")</f>
        <v>NCAL</v>
      </c>
      <c r="T370" s="1062" t="str">
        <f>IFERROR(VLOOKUP($A370,'2018'!$A:$BB,21,FALSE),"")</f>
        <v>Group C (44-54)</v>
      </c>
      <c r="U370" s="1062" t="str">
        <f>IFERROR(VLOOKUP($A370,'2018'!$A:$BB,22,FALSE),"")</f>
        <v>Expanded</v>
      </c>
      <c r="V370" s="1062" t="str">
        <f>IFERROR(VLOOKUP($A370,'2018'!$A:$BB,23,FALSE),"")</f>
        <v>Advantage</v>
      </c>
      <c r="W370" s="1062" t="str">
        <f>IFERROR(VLOOKUP($A370,'2018'!$A:$BB,24,FALSE),"")</f>
        <v>No</v>
      </c>
      <c r="X370" s="1062" t="str">
        <f>IFERROR(VLOOKUP($A370,'2018'!$A:$BB,41,FALSE),"")</f>
        <v>Region 4</v>
      </c>
      <c r="Y370" s="1062" t="str">
        <f>IFERROR(VLOOKUP($A370,'2018'!$A:$BB,42,FALSE),"")</f>
        <v>(25-49)</v>
      </c>
      <c r="Z370" s="1062" t="str">
        <f>IFERROR(VLOOKUP($A370,'2018'!$A:$BB,45,FALSE),"")</f>
        <v xml:space="preserve"> (2-49)</v>
      </c>
      <c r="AA370" s="731">
        <v>2018</v>
      </c>
      <c r="AB370" s="733" t="s">
        <v>3933</v>
      </c>
      <c r="AC370" s="734" t="s">
        <v>303</v>
      </c>
      <c r="AD370" s="734" t="s">
        <v>3656</v>
      </c>
      <c r="AE370" s="734" t="s">
        <v>307</v>
      </c>
      <c r="AF370" s="734" t="s">
        <v>113</v>
      </c>
      <c r="AG370" s="732" t="s">
        <v>3981</v>
      </c>
      <c r="AH370" s="732" t="s">
        <v>3977</v>
      </c>
      <c r="AI370" s="734">
        <v>16</v>
      </c>
      <c r="AJ370" s="748" t="s">
        <v>3985</v>
      </c>
      <c r="AK370" s="757">
        <v>909678</v>
      </c>
      <c r="AL370" s="756">
        <v>724</v>
      </c>
      <c r="AM370" s="755">
        <v>909678</v>
      </c>
      <c r="AN370" s="756">
        <v>725</v>
      </c>
      <c r="AO370" s="776">
        <f t="shared" si="91"/>
        <v>909678</v>
      </c>
      <c r="AP370" s="754">
        <f t="shared" si="73"/>
        <v>726</v>
      </c>
      <c r="AQ370" s="771" t="s">
        <v>3979</v>
      </c>
      <c r="AR370" s="732" t="s">
        <v>2661</v>
      </c>
      <c r="AS370" s="735"/>
      <c r="AT370" s="735"/>
      <c r="AU370" s="732" t="s">
        <v>3980</v>
      </c>
      <c r="AV370" s="735"/>
      <c r="AW370" s="735"/>
    </row>
    <row r="371" spans="1:49">
      <c r="A371" s="736"/>
      <c r="B371" s="736"/>
      <c r="C371" s="736"/>
      <c r="D371" s="736"/>
      <c r="E371" s="736"/>
      <c r="F371" s="1059" t="str">
        <f>IFERROR(VLOOKUP($A371,'2018'!$A:$BB,3,FALSE),"")</f>
        <v/>
      </c>
      <c r="G371" s="1055" t="str">
        <f>IFERROR(VLOOKUP($A371,'2018'!$A:$BB,4,FALSE),"")</f>
        <v/>
      </c>
      <c r="H371" s="1055" t="str">
        <f>IFERROR(VLOOKUP($A371,'2018'!$A:$BB,5,FALSE),"")</f>
        <v/>
      </c>
      <c r="I371" s="1055" t="str">
        <f>IFERROR(VLOOKUP($A371,'2018'!$A:$BB,6,FALSE),"")</f>
        <v/>
      </c>
      <c r="J371" s="1055" t="str">
        <f>IFERROR(VLOOKUP($A371,'2018'!$A:$BB,7,FALSE),"")</f>
        <v/>
      </c>
      <c r="K371" s="1055" t="str">
        <f>IFERROR(VLOOKUP($A371,'2018'!$A:$BB,8,FALSE),"")</f>
        <v/>
      </c>
      <c r="L371" s="1062" t="str">
        <f>IFERROR(VLOOKUP($A371,'2018'!$A:$BB,9,FALSE),"")</f>
        <v/>
      </c>
      <c r="M371" s="1067" t="str">
        <f>IFERROR(VLOOKUP($A371,'2018'!$A:$BB,10,FALSE),"")</f>
        <v/>
      </c>
      <c r="N371" s="1062" t="str">
        <f>IFERROR(VLOOKUP($A371,'2018'!$A:$BB,12,FALSE),"")</f>
        <v/>
      </c>
      <c r="O371" s="1055" t="str">
        <f>IFERROR(VLOOKUP($A371,'2018'!$A:$BB,13,FALSE),"")</f>
        <v/>
      </c>
      <c r="P371" s="1055" t="str">
        <f>IFERROR(VLOOKUP($A371,'2018'!$A:$BB,14,FALSE),"")</f>
        <v/>
      </c>
      <c r="Q371" s="1055" t="str">
        <f>IFERROR(VLOOKUP($A371,'2018'!$A:$BB,16,FALSE),"")</f>
        <v/>
      </c>
      <c r="R371" s="1055" t="str">
        <f>IFERROR(VLOOKUP($A371,'2018'!$A:$BB,17,FALSE),"")</f>
        <v/>
      </c>
      <c r="S371" s="1062" t="str">
        <f>IFERROR(VLOOKUP($A371,'2018'!$A:$BB,20,FALSE),"")</f>
        <v/>
      </c>
      <c r="T371" s="1062" t="str">
        <f>IFERROR(VLOOKUP($A371,'2018'!$A:$BB,21,FALSE),"")</f>
        <v/>
      </c>
      <c r="U371" s="1062" t="str">
        <f>IFERROR(VLOOKUP($A371,'2018'!$A:$BB,22,FALSE),"")</f>
        <v/>
      </c>
      <c r="V371" s="1062" t="str">
        <f>IFERROR(VLOOKUP($A371,'2018'!$A:$BB,23,FALSE),"")</f>
        <v/>
      </c>
      <c r="W371" s="1062" t="str">
        <f>IFERROR(VLOOKUP($A371,'2018'!$A:$BB,24,FALSE),"")</f>
        <v/>
      </c>
      <c r="X371" s="1062" t="str">
        <f>IFERROR(VLOOKUP($A371,'2018'!$A:$BB,41,FALSE),"")</f>
        <v/>
      </c>
      <c r="Y371" s="1062" t="str">
        <f>IFERROR(VLOOKUP($A371,'2018'!$A:$BB,42,FALSE),"")</f>
        <v/>
      </c>
      <c r="Z371" s="1062" t="str">
        <f>IFERROR(VLOOKUP($A371,'2018'!$A:$BB,45,FALSE),"")</f>
        <v/>
      </c>
      <c r="AA371" s="734"/>
      <c r="AB371" s="728"/>
      <c r="AC371" s="727"/>
      <c r="AD371" s="727"/>
      <c r="AE371" s="727"/>
      <c r="AF371" s="727"/>
      <c r="AG371" s="726"/>
      <c r="AH371" s="726"/>
      <c r="AI371" s="727"/>
      <c r="AJ371" s="747"/>
      <c r="AK371" s="753"/>
      <c r="AL371" s="754"/>
      <c r="AM371" s="753"/>
      <c r="AN371" s="754"/>
      <c r="AO371" s="776"/>
      <c r="AP371" s="754"/>
      <c r="AQ371" s="770"/>
      <c r="AR371" s="726"/>
      <c r="AS371" s="726"/>
      <c r="AT371" s="726"/>
      <c r="AU371" s="726"/>
      <c r="AV371" s="726"/>
      <c r="AW371" s="726"/>
    </row>
    <row r="372" spans="1:49">
      <c r="A372" s="738" t="s">
        <v>416</v>
      </c>
      <c r="B372" s="738" t="s">
        <v>416</v>
      </c>
      <c r="C372" s="738"/>
      <c r="D372" s="738" t="s">
        <v>416</v>
      </c>
      <c r="E372" s="738" t="s">
        <v>416</v>
      </c>
      <c r="F372" s="1059">
        <f>IFERROR(VLOOKUP($A372,'2018'!$A:$BB,3,FALSE),"")</f>
        <v>812744449</v>
      </c>
      <c r="G372" s="1055" t="str">
        <f>IFERROR(VLOOKUP($A372,'2018'!$A:$BB,4,FALSE),"")</f>
        <v>329 Oyster Point Blvd., 3rd Floor
South San Francisco, CA 94080</v>
      </c>
      <c r="H372" s="1055" t="str">
        <f>IFERROR(VLOOKUP($A372,'2018'!$A:$BB,5,FALSE),"")</f>
        <v xml:space="preserve">Lindsey Rodman
805-903-2720
lindsey@christinemathews.com </v>
      </c>
      <c r="I372" s="1055" t="str">
        <f>IFERROR(VLOOKUP($A372,'2018'!$A:$BB,6,FALSE),"")</f>
        <v xml:space="preserve">Denise Stow
650-722-3030
denise.stow@trucodegene.com </v>
      </c>
      <c r="J372" s="1055" t="str">
        <f>IFERROR(VLOOKUP($A372,'2018'!$A:$BB,7,FALSE),"")</f>
        <v>HUB (San Diego)</v>
      </c>
      <c r="K372" s="1055" t="str">
        <f>IFERROR(VLOOKUP($A372,'2018'!$A:$BB,8,FALSE),"")</f>
        <v>Account Managed by HUB SD Team
Producer - Dave Duenas
Service Lead - Domenica Hernandez 
Account Rep - Courtney Stanley</v>
      </c>
      <c r="L372" s="1062" t="str">
        <f>IFERROR(VLOOKUP($A372,'2018'!$A:$BB,9,FALSE),"")</f>
        <v>New</v>
      </c>
      <c r="M372" s="1067">
        <f>IFERROR(VLOOKUP($A372,'2018'!$A:$BB,10,FALSE),"")</f>
        <v>43101</v>
      </c>
      <c r="N372" s="1062">
        <f>IFERROR(VLOOKUP($A372,'2018'!$A:$BB,12,FALSE),"")</f>
        <v>17</v>
      </c>
      <c r="O372" s="1055" t="str">
        <f>IFERROR(VLOOKUP($A372,'2018'!$A:$BB,13,FALSE),"")</f>
        <v xml:space="preserve">IGOE </v>
      </c>
      <c r="P372" s="1055" t="str">
        <f>IFERROR(VLOOKUP($A372,'2018'!$A:$BB,14,FALSE),"")</f>
        <v>Maestro</v>
      </c>
      <c r="Q372" s="1055" t="str">
        <f>IFERROR(VLOOKUP($A372,'2018'!$A:$BB,16,FALSE),"")</f>
        <v>IGOE</v>
      </c>
      <c r="R372" s="1055" t="str">
        <f>IFERROR(VLOOKUP($A372,'2018'!$A:$BB,17,FALSE),"")</f>
        <v>Optum Health</v>
      </c>
      <c r="S372" s="1062" t="str">
        <f>IFERROR(VLOOKUP($A372,'2018'!$A:$BB,20,FALSE),"")</f>
        <v>NCAL</v>
      </c>
      <c r="T372" s="1062" t="str">
        <f>IFERROR(VLOOKUP($A372,'2018'!$A:$BB,21,FALSE),"")</f>
        <v>Group C (44-54)</v>
      </c>
      <c r="U372" s="1062" t="str">
        <f>IFERROR(VLOOKUP($A372,'2018'!$A:$BB,22,FALSE),"")</f>
        <v>Expanded</v>
      </c>
      <c r="V372" s="1062" t="str">
        <f>IFERROR(VLOOKUP($A372,'2018'!$A:$BB,23,FALSE),"")</f>
        <v>Advantage</v>
      </c>
      <c r="W372" s="1062" t="str">
        <f>IFERROR(VLOOKUP($A372,'2018'!$A:$BB,24,FALSE),"")</f>
        <v>No</v>
      </c>
      <c r="X372" s="1062" t="str">
        <f>IFERROR(VLOOKUP($A372,'2018'!$A:$BB,41,FALSE),"")</f>
        <v>Region 3</v>
      </c>
      <c r="Y372" s="1062" t="str">
        <f>IFERROR(VLOOKUP($A372,'2018'!$A:$BB,42,FALSE),"")</f>
        <v>(10-24)</v>
      </c>
      <c r="Z372" s="1062" t="str">
        <f>IFERROR(VLOOKUP($A372,'2018'!$A:$BB,45,FALSE),"")</f>
        <v xml:space="preserve"> (2-49)</v>
      </c>
      <c r="AA372" s="730">
        <v>2018</v>
      </c>
      <c r="AB372" s="728" t="s">
        <v>3935</v>
      </c>
      <c r="AC372" s="727" t="s">
        <v>303</v>
      </c>
      <c r="AD372" s="727" t="s">
        <v>3656</v>
      </c>
      <c r="AE372" s="727" t="s">
        <v>307</v>
      </c>
      <c r="AF372" s="727" t="s">
        <v>113</v>
      </c>
      <c r="AG372" s="726" t="s">
        <v>3972</v>
      </c>
      <c r="AH372" s="726" t="s">
        <v>3973</v>
      </c>
      <c r="AI372" s="727">
        <v>9</v>
      </c>
      <c r="AJ372" s="747" t="s">
        <v>3974</v>
      </c>
      <c r="AK372" s="757">
        <v>909678</v>
      </c>
      <c r="AL372" s="754">
        <v>400</v>
      </c>
      <c r="AM372" s="755">
        <v>909678</v>
      </c>
      <c r="AN372" s="754">
        <v>401</v>
      </c>
      <c r="AO372" s="776">
        <f t="shared" ref="AO372:AO375" si="92">AM372</f>
        <v>909678</v>
      </c>
      <c r="AP372" s="754">
        <f t="shared" si="73"/>
        <v>402</v>
      </c>
      <c r="AQ372" s="770"/>
      <c r="AR372" s="726" t="s">
        <v>2661</v>
      </c>
      <c r="AS372" s="726" t="s">
        <v>3975</v>
      </c>
      <c r="AT372" s="726">
        <v>4000400</v>
      </c>
      <c r="AU372" s="726" t="s">
        <v>3980</v>
      </c>
      <c r="AV372" s="726"/>
      <c r="AW372" s="726"/>
    </row>
    <row r="373" spans="1:49">
      <c r="A373" s="736" t="s">
        <v>416</v>
      </c>
      <c r="B373" s="736" t="s">
        <v>416</v>
      </c>
      <c r="C373" s="736"/>
      <c r="D373" s="736" t="s">
        <v>416</v>
      </c>
      <c r="E373" s="736" t="s">
        <v>416</v>
      </c>
      <c r="F373" s="1059">
        <f>IFERROR(VLOOKUP($A373,'2018'!$A:$BB,3,FALSE),"")</f>
        <v>812744449</v>
      </c>
      <c r="G373" s="1055" t="str">
        <f>IFERROR(VLOOKUP($A373,'2018'!$A:$BB,4,FALSE),"")</f>
        <v>329 Oyster Point Blvd., 3rd Floor
South San Francisco, CA 94080</v>
      </c>
      <c r="H373" s="1055" t="str">
        <f>IFERROR(VLOOKUP($A373,'2018'!$A:$BB,5,FALSE),"")</f>
        <v xml:space="preserve">Lindsey Rodman
805-903-2720
lindsey@christinemathews.com </v>
      </c>
      <c r="I373" s="1055" t="str">
        <f>IFERROR(VLOOKUP($A373,'2018'!$A:$BB,6,FALSE),"")</f>
        <v xml:space="preserve">Denise Stow
650-722-3030
denise.stow@trucodegene.com </v>
      </c>
      <c r="J373" s="1055" t="str">
        <f>IFERROR(VLOOKUP($A373,'2018'!$A:$BB,7,FALSE),"")</f>
        <v>HUB (San Diego)</v>
      </c>
      <c r="K373" s="1055" t="str">
        <f>IFERROR(VLOOKUP($A373,'2018'!$A:$BB,8,FALSE),"")</f>
        <v>Account Managed by HUB SD Team
Producer - Dave Duenas
Service Lead - Domenica Hernandez 
Account Rep - Courtney Stanley</v>
      </c>
      <c r="L373" s="1062" t="str">
        <f>IFERROR(VLOOKUP($A373,'2018'!$A:$BB,9,FALSE),"")</f>
        <v>New</v>
      </c>
      <c r="M373" s="1067">
        <f>IFERROR(VLOOKUP($A373,'2018'!$A:$BB,10,FALSE),"")</f>
        <v>43101</v>
      </c>
      <c r="N373" s="1062">
        <f>IFERROR(VLOOKUP($A373,'2018'!$A:$BB,12,FALSE),"")</f>
        <v>17</v>
      </c>
      <c r="O373" s="1055" t="str">
        <f>IFERROR(VLOOKUP($A373,'2018'!$A:$BB,13,FALSE),"")</f>
        <v xml:space="preserve">IGOE </v>
      </c>
      <c r="P373" s="1055" t="str">
        <f>IFERROR(VLOOKUP($A373,'2018'!$A:$BB,14,FALSE),"")</f>
        <v>Maestro</v>
      </c>
      <c r="Q373" s="1055" t="str">
        <f>IFERROR(VLOOKUP($A373,'2018'!$A:$BB,16,FALSE),"")</f>
        <v>IGOE</v>
      </c>
      <c r="R373" s="1055" t="str">
        <f>IFERROR(VLOOKUP($A373,'2018'!$A:$BB,17,FALSE),"")</f>
        <v>Optum Health</v>
      </c>
      <c r="S373" s="1062" t="str">
        <f>IFERROR(VLOOKUP($A373,'2018'!$A:$BB,20,FALSE),"")</f>
        <v>NCAL</v>
      </c>
      <c r="T373" s="1062" t="str">
        <f>IFERROR(VLOOKUP($A373,'2018'!$A:$BB,21,FALSE),"")</f>
        <v>Group C (44-54)</v>
      </c>
      <c r="U373" s="1062" t="str">
        <f>IFERROR(VLOOKUP($A373,'2018'!$A:$BB,22,FALSE),"")</f>
        <v>Expanded</v>
      </c>
      <c r="V373" s="1062" t="str">
        <f>IFERROR(VLOOKUP($A373,'2018'!$A:$BB,23,FALSE),"")</f>
        <v>Advantage</v>
      </c>
      <c r="W373" s="1062" t="str">
        <f>IFERROR(VLOOKUP($A373,'2018'!$A:$BB,24,FALSE),"")</f>
        <v>No</v>
      </c>
      <c r="X373" s="1062" t="str">
        <f>IFERROR(VLOOKUP($A373,'2018'!$A:$BB,41,FALSE),"")</f>
        <v>Region 3</v>
      </c>
      <c r="Y373" s="1062" t="str">
        <f>IFERROR(VLOOKUP($A373,'2018'!$A:$BB,42,FALSE),"")</f>
        <v>(10-24)</v>
      </c>
      <c r="Z373" s="1062" t="str">
        <f>IFERROR(VLOOKUP($A373,'2018'!$A:$BB,45,FALSE),"")</f>
        <v xml:space="preserve"> (2-49)</v>
      </c>
      <c r="AA373" s="731">
        <v>2018</v>
      </c>
      <c r="AB373" s="733" t="s">
        <v>3935</v>
      </c>
      <c r="AC373" s="734" t="s">
        <v>303</v>
      </c>
      <c r="AD373" s="734" t="s">
        <v>3656</v>
      </c>
      <c r="AE373" s="734" t="s">
        <v>307</v>
      </c>
      <c r="AF373" s="734" t="s">
        <v>113</v>
      </c>
      <c r="AG373" s="732" t="s">
        <v>3972</v>
      </c>
      <c r="AH373" s="732" t="s">
        <v>3977</v>
      </c>
      <c r="AI373" s="734">
        <v>15</v>
      </c>
      <c r="AJ373" s="748" t="s">
        <v>3978</v>
      </c>
      <c r="AK373" s="757">
        <v>909678</v>
      </c>
      <c r="AL373" s="756">
        <v>652</v>
      </c>
      <c r="AM373" s="755">
        <v>909678</v>
      </c>
      <c r="AN373" s="756">
        <v>653</v>
      </c>
      <c r="AO373" s="776">
        <f t="shared" si="92"/>
        <v>909678</v>
      </c>
      <c r="AP373" s="754">
        <f t="shared" si="73"/>
        <v>654</v>
      </c>
      <c r="AQ373" s="771" t="s">
        <v>3979</v>
      </c>
      <c r="AR373" s="732" t="s">
        <v>2661</v>
      </c>
      <c r="AS373" s="735"/>
      <c r="AT373" s="735"/>
      <c r="AU373" s="732" t="s">
        <v>3980</v>
      </c>
      <c r="AV373" s="735"/>
      <c r="AW373" s="735"/>
    </row>
    <row r="374" spans="1:49">
      <c r="A374" s="738" t="s">
        <v>416</v>
      </c>
      <c r="B374" s="738" t="s">
        <v>416</v>
      </c>
      <c r="C374" s="738"/>
      <c r="D374" s="738" t="s">
        <v>416</v>
      </c>
      <c r="E374" s="738" t="s">
        <v>416</v>
      </c>
      <c r="F374" s="1059">
        <f>IFERROR(VLOOKUP($A374,'2018'!$A:$BB,3,FALSE),"")</f>
        <v>812744449</v>
      </c>
      <c r="G374" s="1055" t="str">
        <f>IFERROR(VLOOKUP($A374,'2018'!$A:$BB,4,FALSE),"")</f>
        <v>329 Oyster Point Blvd., 3rd Floor
South San Francisco, CA 94080</v>
      </c>
      <c r="H374" s="1055" t="str">
        <f>IFERROR(VLOOKUP($A374,'2018'!$A:$BB,5,FALSE),"")</f>
        <v xml:space="preserve">Lindsey Rodman
805-903-2720
lindsey@christinemathews.com </v>
      </c>
      <c r="I374" s="1055" t="str">
        <f>IFERROR(VLOOKUP($A374,'2018'!$A:$BB,6,FALSE),"")</f>
        <v xml:space="preserve">Denise Stow
650-722-3030
denise.stow@trucodegene.com </v>
      </c>
      <c r="J374" s="1055" t="str">
        <f>IFERROR(VLOOKUP($A374,'2018'!$A:$BB,7,FALSE),"")</f>
        <v>HUB (San Diego)</v>
      </c>
      <c r="K374" s="1055" t="str">
        <f>IFERROR(VLOOKUP($A374,'2018'!$A:$BB,8,FALSE),"")</f>
        <v>Account Managed by HUB SD Team
Producer - Dave Duenas
Service Lead - Domenica Hernandez 
Account Rep - Courtney Stanley</v>
      </c>
      <c r="L374" s="1062" t="str">
        <f>IFERROR(VLOOKUP($A374,'2018'!$A:$BB,9,FALSE),"")</f>
        <v>New</v>
      </c>
      <c r="M374" s="1067">
        <f>IFERROR(VLOOKUP($A374,'2018'!$A:$BB,10,FALSE),"")</f>
        <v>43101</v>
      </c>
      <c r="N374" s="1062">
        <f>IFERROR(VLOOKUP($A374,'2018'!$A:$BB,12,FALSE),"")</f>
        <v>17</v>
      </c>
      <c r="O374" s="1055" t="str">
        <f>IFERROR(VLOOKUP($A374,'2018'!$A:$BB,13,FALSE),"")</f>
        <v xml:space="preserve">IGOE </v>
      </c>
      <c r="P374" s="1055" t="str">
        <f>IFERROR(VLOOKUP($A374,'2018'!$A:$BB,14,FALSE),"")</f>
        <v>Maestro</v>
      </c>
      <c r="Q374" s="1055" t="str">
        <f>IFERROR(VLOOKUP($A374,'2018'!$A:$BB,16,FALSE),"")</f>
        <v>IGOE</v>
      </c>
      <c r="R374" s="1055" t="str">
        <f>IFERROR(VLOOKUP($A374,'2018'!$A:$BB,17,FALSE),"")</f>
        <v>Optum Health</v>
      </c>
      <c r="S374" s="1062" t="str">
        <f>IFERROR(VLOOKUP($A374,'2018'!$A:$BB,20,FALSE),"")</f>
        <v>NCAL</v>
      </c>
      <c r="T374" s="1062" t="str">
        <f>IFERROR(VLOOKUP($A374,'2018'!$A:$BB,21,FALSE),"")</f>
        <v>Group C (44-54)</v>
      </c>
      <c r="U374" s="1062" t="str">
        <f>IFERROR(VLOOKUP($A374,'2018'!$A:$BB,22,FALSE),"")</f>
        <v>Expanded</v>
      </c>
      <c r="V374" s="1062" t="str">
        <f>IFERROR(VLOOKUP($A374,'2018'!$A:$BB,23,FALSE),"")</f>
        <v>Advantage</v>
      </c>
      <c r="W374" s="1062" t="str">
        <f>IFERROR(VLOOKUP($A374,'2018'!$A:$BB,24,FALSE),"")</f>
        <v>No</v>
      </c>
      <c r="X374" s="1062" t="str">
        <f>IFERROR(VLOOKUP($A374,'2018'!$A:$BB,41,FALSE),"")</f>
        <v>Region 3</v>
      </c>
      <c r="Y374" s="1062" t="str">
        <f>IFERROR(VLOOKUP($A374,'2018'!$A:$BB,42,FALSE),"")</f>
        <v>(10-24)</v>
      </c>
      <c r="Z374" s="1062" t="str">
        <f>IFERROR(VLOOKUP($A374,'2018'!$A:$BB,45,FALSE),"")</f>
        <v xml:space="preserve"> (2-49)</v>
      </c>
      <c r="AA374" s="730">
        <v>2018</v>
      </c>
      <c r="AB374" s="728" t="s">
        <v>3935</v>
      </c>
      <c r="AC374" s="727" t="s">
        <v>303</v>
      </c>
      <c r="AD374" s="727" t="s">
        <v>3656</v>
      </c>
      <c r="AE374" s="727" t="s">
        <v>307</v>
      </c>
      <c r="AF374" s="727" t="s">
        <v>113</v>
      </c>
      <c r="AG374" s="726" t="s">
        <v>3981</v>
      </c>
      <c r="AH374" s="726" t="s">
        <v>3973</v>
      </c>
      <c r="AI374" s="727">
        <v>11</v>
      </c>
      <c r="AJ374" s="747" t="s">
        <v>3982</v>
      </c>
      <c r="AK374" s="757">
        <v>909678</v>
      </c>
      <c r="AL374" s="754">
        <v>472</v>
      </c>
      <c r="AM374" s="755">
        <v>909678</v>
      </c>
      <c r="AN374" s="754">
        <v>473</v>
      </c>
      <c r="AO374" s="776">
        <f t="shared" si="92"/>
        <v>909678</v>
      </c>
      <c r="AP374" s="754">
        <f t="shared" si="73"/>
        <v>474</v>
      </c>
      <c r="AQ374" s="770"/>
      <c r="AR374" s="726" t="s">
        <v>2661</v>
      </c>
      <c r="AS374" s="726" t="s">
        <v>3983</v>
      </c>
      <c r="AT374" s="726">
        <v>4720472</v>
      </c>
      <c r="AU374" s="726" t="s">
        <v>3980</v>
      </c>
      <c r="AV374" s="726"/>
      <c r="AW374" s="726"/>
    </row>
    <row r="375" spans="1:49">
      <c r="A375" s="736" t="s">
        <v>416</v>
      </c>
      <c r="B375" s="736" t="s">
        <v>416</v>
      </c>
      <c r="C375" s="736"/>
      <c r="D375" s="736" t="s">
        <v>416</v>
      </c>
      <c r="E375" s="736" t="s">
        <v>416</v>
      </c>
      <c r="F375" s="1059">
        <f>IFERROR(VLOOKUP($A375,'2018'!$A:$BB,3,FALSE),"")</f>
        <v>812744449</v>
      </c>
      <c r="G375" s="1055" t="str">
        <f>IFERROR(VLOOKUP($A375,'2018'!$A:$BB,4,FALSE),"")</f>
        <v>329 Oyster Point Blvd., 3rd Floor
South San Francisco, CA 94080</v>
      </c>
      <c r="H375" s="1055" t="str">
        <f>IFERROR(VLOOKUP($A375,'2018'!$A:$BB,5,FALSE),"")</f>
        <v xml:space="preserve">Lindsey Rodman
805-903-2720
lindsey@christinemathews.com </v>
      </c>
      <c r="I375" s="1055" t="str">
        <f>IFERROR(VLOOKUP($A375,'2018'!$A:$BB,6,FALSE),"")</f>
        <v xml:space="preserve">Denise Stow
650-722-3030
denise.stow@trucodegene.com </v>
      </c>
      <c r="J375" s="1055" t="str">
        <f>IFERROR(VLOOKUP($A375,'2018'!$A:$BB,7,FALSE),"")</f>
        <v>HUB (San Diego)</v>
      </c>
      <c r="K375" s="1055" t="str">
        <f>IFERROR(VLOOKUP($A375,'2018'!$A:$BB,8,FALSE),"")</f>
        <v>Account Managed by HUB SD Team
Producer - Dave Duenas
Service Lead - Domenica Hernandez 
Account Rep - Courtney Stanley</v>
      </c>
      <c r="L375" s="1062" t="str">
        <f>IFERROR(VLOOKUP($A375,'2018'!$A:$BB,9,FALSE),"")</f>
        <v>New</v>
      </c>
      <c r="M375" s="1067">
        <f>IFERROR(VLOOKUP($A375,'2018'!$A:$BB,10,FALSE),"")</f>
        <v>43101</v>
      </c>
      <c r="N375" s="1062">
        <f>IFERROR(VLOOKUP($A375,'2018'!$A:$BB,12,FALSE),"")</f>
        <v>17</v>
      </c>
      <c r="O375" s="1055" t="str">
        <f>IFERROR(VLOOKUP($A375,'2018'!$A:$BB,13,FALSE),"")</f>
        <v xml:space="preserve">IGOE </v>
      </c>
      <c r="P375" s="1055" t="str">
        <f>IFERROR(VLOOKUP($A375,'2018'!$A:$BB,14,FALSE),"")</f>
        <v>Maestro</v>
      </c>
      <c r="Q375" s="1055" t="str">
        <f>IFERROR(VLOOKUP($A375,'2018'!$A:$BB,16,FALSE),"")</f>
        <v>IGOE</v>
      </c>
      <c r="R375" s="1055" t="str">
        <f>IFERROR(VLOOKUP($A375,'2018'!$A:$BB,17,FALSE),"")</f>
        <v>Optum Health</v>
      </c>
      <c r="S375" s="1062" t="str">
        <f>IFERROR(VLOOKUP($A375,'2018'!$A:$BB,20,FALSE),"")</f>
        <v>NCAL</v>
      </c>
      <c r="T375" s="1062" t="str">
        <f>IFERROR(VLOOKUP($A375,'2018'!$A:$BB,21,FALSE),"")</f>
        <v>Group C (44-54)</v>
      </c>
      <c r="U375" s="1062" t="str">
        <f>IFERROR(VLOOKUP($A375,'2018'!$A:$BB,22,FALSE),"")</f>
        <v>Expanded</v>
      </c>
      <c r="V375" s="1062" t="str">
        <f>IFERROR(VLOOKUP($A375,'2018'!$A:$BB,23,FALSE),"")</f>
        <v>Advantage</v>
      </c>
      <c r="W375" s="1062" t="str">
        <f>IFERROR(VLOOKUP($A375,'2018'!$A:$BB,24,FALSE),"")</f>
        <v>No</v>
      </c>
      <c r="X375" s="1062" t="str">
        <f>IFERROR(VLOOKUP($A375,'2018'!$A:$BB,41,FALSE),"")</f>
        <v>Region 3</v>
      </c>
      <c r="Y375" s="1062" t="str">
        <f>IFERROR(VLOOKUP($A375,'2018'!$A:$BB,42,FALSE),"")</f>
        <v>(10-24)</v>
      </c>
      <c r="Z375" s="1062" t="str">
        <f>IFERROR(VLOOKUP($A375,'2018'!$A:$BB,45,FALSE),"")</f>
        <v xml:space="preserve"> (2-49)</v>
      </c>
      <c r="AA375" s="731">
        <v>2018</v>
      </c>
      <c r="AB375" s="733" t="s">
        <v>3935</v>
      </c>
      <c r="AC375" s="734" t="s">
        <v>303</v>
      </c>
      <c r="AD375" s="734" t="s">
        <v>3656</v>
      </c>
      <c r="AE375" s="734" t="s">
        <v>307</v>
      </c>
      <c r="AF375" s="734" t="s">
        <v>113</v>
      </c>
      <c r="AG375" s="732" t="s">
        <v>3981</v>
      </c>
      <c r="AH375" s="732" t="s">
        <v>3977</v>
      </c>
      <c r="AI375" s="734">
        <v>16</v>
      </c>
      <c r="AJ375" s="748" t="s">
        <v>3985</v>
      </c>
      <c r="AK375" s="757">
        <v>909678</v>
      </c>
      <c r="AL375" s="756">
        <v>724</v>
      </c>
      <c r="AM375" s="755">
        <v>909678</v>
      </c>
      <c r="AN375" s="756">
        <v>725</v>
      </c>
      <c r="AO375" s="776">
        <f t="shared" si="92"/>
        <v>909678</v>
      </c>
      <c r="AP375" s="754">
        <f t="shared" si="73"/>
        <v>726</v>
      </c>
      <c r="AQ375" s="771" t="s">
        <v>3979</v>
      </c>
      <c r="AR375" s="732" t="s">
        <v>2661</v>
      </c>
      <c r="AS375" s="735"/>
      <c r="AT375" s="735"/>
      <c r="AU375" s="732" t="s">
        <v>3980</v>
      </c>
      <c r="AV375" s="735"/>
      <c r="AW375" s="735"/>
    </row>
    <row r="376" spans="1:49">
      <c r="A376" s="738"/>
      <c r="B376" s="738"/>
      <c r="C376" s="738"/>
      <c r="D376" s="738"/>
      <c r="E376" s="738"/>
      <c r="F376" s="1059" t="str">
        <f>IFERROR(VLOOKUP($A376,'2018'!$A:$BB,3,FALSE),"")</f>
        <v/>
      </c>
      <c r="G376" s="1055" t="str">
        <f>IFERROR(VLOOKUP($A376,'2018'!$A:$BB,4,FALSE),"")</f>
        <v/>
      </c>
      <c r="H376" s="1055" t="str">
        <f>IFERROR(VLOOKUP($A376,'2018'!$A:$BB,5,FALSE),"")</f>
        <v/>
      </c>
      <c r="I376" s="1055" t="str">
        <f>IFERROR(VLOOKUP($A376,'2018'!$A:$BB,6,FALSE),"")</f>
        <v/>
      </c>
      <c r="J376" s="1055" t="str">
        <f>IFERROR(VLOOKUP($A376,'2018'!$A:$BB,7,FALSE),"")</f>
        <v/>
      </c>
      <c r="K376" s="1055" t="str">
        <f>IFERROR(VLOOKUP($A376,'2018'!$A:$BB,8,FALSE),"")</f>
        <v/>
      </c>
      <c r="L376" s="1062" t="str">
        <f>IFERROR(VLOOKUP($A376,'2018'!$A:$BB,9,FALSE),"")</f>
        <v/>
      </c>
      <c r="M376" s="1067" t="str">
        <f>IFERROR(VLOOKUP($A376,'2018'!$A:$BB,10,FALSE),"")</f>
        <v/>
      </c>
      <c r="N376" s="1062" t="str">
        <f>IFERROR(VLOOKUP($A376,'2018'!$A:$BB,12,FALSE),"")</f>
        <v/>
      </c>
      <c r="O376" s="1055" t="str">
        <f>IFERROR(VLOOKUP($A376,'2018'!$A:$BB,13,FALSE),"")</f>
        <v/>
      </c>
      <c r="P376" s="1055" t="str">
        <f>IFERROR(VLOOKUP($A376,'2018'!$A:$BB,14,FALSE),"")</f>
        <v/>
      </c>
      <c r="Q376" s="1055" t="str">
        <f>IFERROR(VLOOKUP($A376,'2018'!$A:$BB,16,FALSE),"")</f>
        <v/>
      </c>
      <c r="R376" s="1055" t="str">
        <f>IFERROR(VLOOKUP($A376,'2018'!$A:$BB,17,FALSE),"")</f>
        <v/>
      </c>
      <c r="S376" s="1062" t="str">
        <f>IFERROR(VLOOKUP($A376,'2018'!$A:$BB,20,FALSE),"")</f>
        <v/>
      </c>
      <c r="T376" s="1062" t="str">
        <f>IFERROR(VLOOKUP($A376,'2018'!$A:$BB,21,FALSE),"")</f>
        <v/>
      </c>
      <c r="U376" s="1062" t="str">
        <f>IFERROR(VLOOKUP($A376,'2018'!$A:$BB,22,FALSE),"")</f>
        <v/>
      </c>
      <c r="V376" s="1062" t="str">
        <f>IFERROR(VLOOKUP($A376,'2018'!$A:$BB,23,FALSE),"")</f>
        <v/>
      </c>
      <c r="W376" s="1062" t="str">
        <f>IFERROR(VLOOKUP($A376,'2018'!$A:$BB,24,FALSE),"")</f>
        <v/>
      </c>
      <c r="X376" s="1062" t="str">
        <f>IFERROR(VLOOKUP($A376,'2018'!$A:$BB,41,FALSE),"")</f>
        <v/>
      </c>
      <c r="Y376" s="1062" t="str">
        <f>IFERROR(VLOOKUP($A376,'2018'!$A:$BB,42,FALSE),"")</f>
        <v/>
      </c>
      <c r="Z376" s="1062" t="str">
        <f>IFERROR(VLOOKUP($A376,'2018'!$A:$BB,45,FALSE),"")</f>
        <v/>
      </c>
      <c r="AA376" s="727"/>
      <c r="AB376" s="728"/>
      <c r="AC376" s="727"/>
      <c r="AD376" s="727"/>
      <c r="AE376" s="727"/>
      <c r="AF376" s="727"/>
      <c r="AG376" s="726"/>
      <c r="AH376" s="726"/>
      <c r="AI376" s="727"/>
      <c r="AJ376" s="747"/>
      <c r="AK376" s="753"/>
      <c r="AL376" s="754"/>
      <c r="AM376" s="753"/>
      <c r="AN376" s="754"/>
      <c r="AO376" s="776"/>
      <c r="AP376" s="754"/>
      <c r="AQ376" s="770"/>
      <c r="AR376" s="726"/>
      <c r="AS376" s="726"/>
      <c r="AT376" s="726"/>
      <c r="AU376" s="726"/>
      <c r="AV376" s="726"/>
      <c r="AW376" s="726"/>
    </row>
    <row r="377" spans="1:49">
      <c r="A377" s="736" t="s">
        <v>3590</v>
      </c>
      <c r="B377" s="736" t="s">
        <v>3590</v>
      </c>
      <c r="C377" s="736"/>
      <c r="D377" s="736" t="s">
        <v>3590</v>
      </c>
      <c r="E377" s="736" t="s">
        <v>3590</v>
      </c>
      <c r="F377" s="1059">
        <f>IFERROR(VLOOKUP($A377,'2018'!$A:$BB,3,FALSE),"")</f>
        <v>474996745</v>
      </c>
      <c r="G377" s="1055" t="str">
        <f>IFERROR(VLOOKUP($A377,'2018'!$A:$BB,4,FALSE),"")</f>
        <v>9381 Judicial Drive, Suite 200
San Diego, CA 92121</v>
      </c>
      <c r="H377" s="1055" t="str">
        <f>IFERROR(VLOOKUP($A377,'2018'!$A:$BB,5,FALSE),"")</f>
        <v>Jim Schmidt
(858) 254-7116
jim.schmidt@truviansci.com</v>
      </c>
      <c r="I377" s="1055" t="str">
        <f>IFERROR(VLOOKUP($A377,'2018'!$A:$BB,6,FALSE),"")</f>
        <v>Jim Schmidt
(858) 254-7116
jim.schmidt@truviansci.com</v>
      </c>
      <c r="J377" s="1055" t="str">
        <f>IFERROR(VLOOKUP($A377,'2018'!$A:$BB,7,FALSE),"")</f>
        <v>HUB (San Diego)</v>
      </c>
      <c r="K377" s="1055" t="str">
        <f>IFERROR(VLOOKUP($A377,'2018'!$A:$BB,8,FALSE),"")</f>
        <v>Account Managed by HUB SD Team
Producer - Neal Cook
Service Lead - Domenica Hernandez
Account Rep - Courtney Stanley</v>
      </c>
      <c r="L377" s="1062" t="str">
        <f>IFERROR(VLOOKUP($A377,'2018'!$A:$BB,9,FALSE),"")</f>
        <v>New</v>
      </c>
      <c r="M377" s="1067">
        <f>IFERROR(VLOOKUP($A377,'2018'!$A:$BB,10,FALSE),"")</f>
        <v>43101</v>
      </c>
      <c r="N377" s="1062">
        <f>IFERROR(VLOOKUP($A377,'2018'!$A:$BB,12,FALSE),"")</f>
        <v>13</v>
      </c>
      <c r="O377" s="1055" t="str">
        <f>IFERROR(VLOOKUP($A377,'2018'!$A:$BB,13,FALSE),"")</f>
        <v xml:space="preserve">IGOE </v>
      </c>
      <c r="P377" s="1055" t="str">
        <f>IFERROR(VLOOKUP($A377,'2018'!$A:$BB,14,FALSE),"")</f>
        <v>Maestro</v>
      </c>
      <c r="Q377" s="1055" t="str">
        <f>IFERROR(VLOOKUP($A377,'2018'!$A:$BB,16,FALSE),"")</f>
        <v>N/A</v>
      </c>
      <c r="R377" s="1055" t="str">
        <f>IFERROR(VLOOKUP($A377,'2018'!$A:$BB,17,FALSE),"")</f>
        <v>Optum Health</v>
      </c>
      <c r="S377" s="1062" t="str">
        <f>IFERROR(VLOOKUP($A377,'2018'!$A:$BB,20,FALSE),"")</f>
        <v>SCAL</v>
      </c>
      <c r="T377" s="1062" t="str">
        <f>IFERROR(VLOOKUP($A377,'2018'!$A:$BB,21,FALSE),"")</f>
        <v>Group B (34-44)</v>
      </c>
      <c r="U377" s="1062" t="str">
        <f>IFERROR(VLOOKUP($A377,'2018'!$A:$BB,22,FALSE),"")</f>
        <v>Expanded</v>
      </c>
      <c r="V377" s="1062" t="str">
        <f>IFERROR(VLOOKUP($A377,'2018'!$A:$BB,23,FALSE),"")</f>
        <v>Advantage</v>
      </c>
      <c r="W377" s="1062" t="str">
        <f>IFERROR(VLOOKUP($A377,'2018'!$A:$BB,24,FALSE),"")</f>
        <v>No</v>
      </c>
      <c r="X377" s="1062" t="str">
        <f>IFERROR(VLOOKUP($A377,'2018'!$A:$BB,41,FALSE),"")</f>
        <v xml:space="preserve">Region 2 </v>
      </c>
      <c r="Y377" s="1062" t="str">
        <f>IFERROR(VLOOKUP($A377,'2018'!$A:$BB,42,FALSE),"")</f>
        <v>(10-24)</v>
      </c>
      <c r="Z377" s="1062" t="str">
        <f>IFERROR(VLOOKUP($A377,'2018'!$A:$BB,45,FALSE),"")</f>
        <v xml:space="preserve"> (2-49)</v>
      </c>
      <c r="AA377" s="731">
        <v>2018</v>
      </c>
      <c r="AB377" s="733" t="s">
        <v>4131</v>
      </c>
      <c r="AC377" s="734" t="s">
        <v>317</v>
      </c>
      <c r="AD377" s="734" t="s">
        <v>3648</v>
      </c>
      <c r="AE377" s="734" t="s">
        <v>307</v>
      </c>
      <c r="AF377" s="734" t="s">
        <v>113</v>
      </c>
      <c r="AG377" s="732" t="s">
        <v>3962</v>
      </c>
      <c r="AH377" s="732" t="s">
        <v>3963</v>
      </c>
      <c r="AI377" s="734">
        <v>2</v>
      </c>
      <c r="AJ377" s="748" t="s">
        <v>3964</v>
      </c>
      <c r="AK377" s="758">
        <v>260089</v>
      </c>
      <c r="AL377" s="756">
        <v>190</v>
      </c>
      <c r="AM377" s="758">
        <v>260090</v>
      </c>
      <c r="AN377" s="756">
        <v>191</v>
      </c>
      <c r="AO377" s="776">
        <f t="shared" ref="AO377" si="93">AM377+1</f>
        <v>260091</v>
      </c>
      <c r="AP377" s="754">
        <f t="shared" ref="AP377:AP387" si="94">AN377+1</f>
        <v>192</v>
      </c>
      <c r="AQ377" s="771" t="s">
        <v>3979</v>
      </c>
      <c r="AR377" s="732" t="s">
        <v>2661</v>
      </c>
      <c r="AS377" s="735"/>
      <c r="AT377" s="735"/>
      <c r="AU377" s="732" t="s">
        <v>3980</v>
      </c>
      <c r="AV377" s="735"/>
      <c r="AW377" s="735"/>
    </row>
    <row r="378" spans="1:49">
      <c r="A378" s="736" t="s">
        <v>3590</v>
      </c>
      <c r="B378" s="736" t="s">
        <v>3590</v>
      </c>
      <c r="C378" s="736"/>
      <c r="D378" s="736" t="s">
        <v>3590</v>
      </c>
      <c r="E378" s="736" t="s">
        <v>3590</v>
      </c>
      <c r="F378" s="1059">
        <f>IFERROR(VLOOKUP($A378,'2018'!$A:$BB,3,FALSE),"")</f>
        <v>474996745</v>
      </c>
      <c r="G378" s="1055" t="str">
        <f>IFERROR(VLOOKUP($A378,'2018'!$A:$BB,4,FALSE),"")</f>
        <v>9381 Judicial Drive, Suite 200
San Diego, CA 92121</v>
      </c>
      <c r="H378" s="1055" t="str">
        <f>IFERROR(VLOOKUP($A378,'2018'!$A:$BB,5,FALSE),"")</f>
        <v>Jim Schmidt
(858) 254-7116
jim.schmidt@truviansci.com</v>
      </c>
      <c r="I378" s="1055" t="str">
        <f>IFERROR(VLOOKUP($A378,'2018'!$A:$BB,6,FALSE),"")</f>
        <v>Jim Schmidt
(858) 254-7116
jim.schmidt@truviansci.com</v>
      </c>
      <c r="J378" s="1055" t="str">
        <f>IFERROR(VLOOKUP($A378,'2018'!$A:$BB,7,FALSE),"")</f>
        <v>HUB (San Diego)</v>
      </c>
      <c r="K378" s="1055" t="str">
        <f>IFERROR(VLOOKUP($A378,'2018'!$A:$BB,8,FALSE),"")</f>
        <v>Account Managed by HUB SD Team
Producer - Neal Cook
Service Lead - Domenica Hernandez
Account Rep - Courtney Stanley</v>
      </c>
      <c r="L378" s="1062" t="str">
        <f>IFERROR(VLOOKUP($A378,'2018'!$A:$BB,9,FALSE),"")</f>
        <v>New</v>
      </c>
      <c r="M378" s="1067">
        <f>IFERROR(VLOOKUP($A378,'2018'!$A:$BB,10,FALSE),"")</f>
        <v>43101</v>
      </c>
      <c r="N378" s="1062">
        <f>IFERROR(VLOOKUP($A378,'2018'!$A:$BB,12,FALSE),"")</f>
        <v>13</v>
      </c>
      <c r="O378" s="1055" t="str">
        <f>IFERROR(VLOOKUP($A378,'2018'!$A:$BB,13,FALSE),"")</f>
        <v xml:space="preserve">IGOE </v>
      </c>
      <c r="P378" s="1055" t="str">
        <f>IFERROR(VLOOKUP($A378,'2018'!$A:$BB,14,FALSE),"")</f>
        <v>Maestro</v>
      </c>
      <c r="Q378" s="1055" t="str">
        <f>IFERROR(VLOOKUP($A378,'2018'!$A:$BB,16,FALSE),"")</f>
        <v>N/A</v>
      </c>
      <c r="R378" s="1055" t="str">
        <f>IFERROR(VLOOKUP($A378,'2018'!$A:$BB,17,FALSE),"")</f>
        <v>Optum Health</v>
      </c>
      <c r="S378" s="1062" t="str">
        <f>IFERROR(VLOOKUP($A378,'2018'!$A:$BB,20,FALSE),"")</f>
        <v>SCAL</v>
      </c>
      <c r="T378" s="1062" t="str">
        <f>IFERROR(VLOOKUP($A378,'2018'!$A:$BB,21,FALSE),"")</f>
        <v>Group B (34-44)</v>
      </c>
      <c r="U378" s="1062" t="str">
        <f>IFERROR(VLOOKUP($A378,'2018'!$A:$BB,22,FALSE),"")</f>
        <v>Expanded</v>
      </c>
      <c r="V378" s="1062" t="str">
        <f>IFERROR(VLOOKUP($A378,'2018'!$A:$BB,23,FALSE),"")</f>
        <v>Advantage</v>
      </c>
      <c r="W378" s="1062" t="str">
        <f>IFERROR(VLOOKUP($A378,'2018'!$A:$BB,24,FALSE),"")</f>
        <v>No</v>
      </c>
      <c r="X378" s="1062" t="str">
        <f>IFERROR(VLOOKUP($A378,'2018'!$A:$BB,41,FALSE),"")</f>
        <v xml:space="preserve">Region 2 </v>
      </c>
      <c r="Y378" s="1062" t="str">
        <f>IFERROR(VLOOKUP($A378,'2018'!$A:$BB,42,FALSE),"")</f>
        <v>(10-24)</v>
      </c>
      <c r="Z378" s="1062" t="str">
        <f>IFERROR(VLOOKUP($A378,'2018'!$A:$BB,45,FALSE),"")</f>
        <v xml:space="preserve"> (2-49)</v>
      </c>
      <c r="AA378" s="731">
        <v>2018</v>
      </c>
      <c r="AB378" s="733" t="s">
        <v>4131</v>
      </c>
      <c r="AC378" s="734" t="s">
        <v>317</v>
      </c>
      <c r="AD378" s="734" t="s">
        <v>3648</v>
      </c>
      <c r="AE378" s="734" t="s">
        <v>307</v>
      </c>
      <c r="AF378" s="734" t="s">
        <v>113</v>
      </c>
      <c r="AG378" s="732" t="s">
        <v>3972</v>
      </c>
      <c r="AH378" s="732" t="s">
        <v>3973</v>
      </c>
      <c r="AI378" s="734">
        <v>8</v>
      </c>
      <c r="AJ378" s="748" t="s">
        <v>3992</v>
      </c>
      <c r="AK378" s="757">
        <v>909678</v>
      </c>
      <c r="AL378" s="756">
        <v>373</v>
      </c>
      <c r="AM378" s="755">
        <v>909678</v>
      </c>
      <c r="AN378" s="756">
        <v>374</v>
      </c>
      <c r="AO378" s="776">
        <f t="shared" ref="AO378:AO381" si="95">AM378</f>
        <v>909678</v>
      </c>
      <c r="AP378" s="754">
        <f t="shared" si="94"/>
        <v>375</v>
      </c>
      <c r="AQ378" s="771" t="s">
        <v>3979</v>
      </c>
      <c r="AR378" s="732" t="s">
        <v>2661</v>
      </c>
      <c r="AS378" s="735"/>
      <c r="AT378" s="735"/>
      <c r="AU378" s="732" t="s">
        <v>3980</v>
      </c>
      <c r="AV378" s="735"/>
      <c r="AW378" s="735"/>
    </row>
    <row r="379" spans="1:49">
      <c r="A379" s="736" t="s">
        <v>3590</v>
      </c>
      <c r="B379" s="736" t="s">
        <v>3590</v>
      </c>
      <c r="C379" s="736"/>
      <c r="D379" s="736" t="s">
        <v>3590</v>
      </c>
      <c r="E379" s="736" t="s">
        <v>3590</v>
      </c>
      <c r="F379" s="1059">
        <f>IFERROR(VLOOKUP($A379,'2018'!$A:$BB,3,FALSE),"")</f>
        <v>474996745</v>
      </c>
      <c r="G379" s="1055" t="str">
        <f>IFERROR(VLOOKUP($A379,'2018'!$A:$BB,4,FALSE),"")</f>
        <v>9381 Judicial Drive, Suite 200
San Diego, CA 92121</v>
      </c>
      <c r="H379" s="1055" t="str">
        <f>IFERROR(VLOOKUP($A379,'2018'!$A:$BB,5,FALSE),"")</f>
        <v>Jim Schmidt
(858) 254-7116
jim.schmidt@truviansci.com</v>
      </c>
      <c r="I379" s="1055" t="str">
        <f>IFERROR(VLOOKUP($A379,'2018'!$A:$BB,6,FALSE),"")</f>
        <v>Jim Schmidt
(858) 254-7116
jim.schmidt@truviansci.com</v>
      </c>
      <c r="J379" s="1055" t="str">
        <f>IFERROR(VLOOKUP($A379,'2018'!$A:$BB,7,FALSE),"")</f>
        <v>HUB (San Diego)</v>
      </c>
      <c r="K379" s="1055" t="str">
        <f>IFERROR(VLOOKUP($A379,'2018'!$A:$BB,8,FALSE),"")</f>
        <v>Account Managed by HUB SD Team
Producer - Neal Cook
Service Lead - Domenica Hernandez
Account Rep - Courtney Stanley</v>
      </c>
      <c r="L379" s="1062" t="str">
        <f>IFERROR(VLOOKUP($A379,'2018'!$A:$BB,9,FALSE),"")</f>
        <v>New</v>
      </c>
      <c r="M379" s="1067">
        <f>IFERROR(VLOOKUP($A379,'2018'!$A:$BB,10,FALSE),"")</f>
        <v>43101</v>
      </c>
      <c r="N379" s="1062">
        <f>IFERROR(VLOOKUP($A379,'2018'!$A:$BB,12,FALSE),"")</f>
        <v>13</v>
      </c>
      <c r="O379" s="1055" t="str">
        <f>IFERROR(VLOOKUP($A379,'2018'!$A:$BB,13,FALSE),"")</f>
        <v xml:space="preserve">IGOE </v>
      </c>
      <c r="P379" s="1055" t="str">
        <f>IFERROR(VLOOKUP($A379,'2018'!$A:$BB,14,FALSE),"")</f>
        <v>Maestro</v>
      </c>
      <c r="Q379" s="1055" t="str">
        <f>IFERROR(VLOOKUP($A379,'2018'!$A:$BB,16,FALSE),"")</f>
        <v>N/A</v>
      </c>
      <c r="R379" s="1055" t="str">
        <f>IFERROR(VLOOKUP($A379,'2018'!$A:$BB,17,FALSE),"")</f>
        <v>Optum Health</v>
      </c>
      <c r="S379" s="1062" t="str">
        <f>IFERROR(VLOOKUP($A379,'2018'!$A:$BB,20,FALSE),"")</f>
        <v>SCAL</v>
      </c>
      <c r="T379" s="1062" t="str">
        <f>IFERROR(VLOOKUP($A379,'2018'!$A:$BB,21,FALSE),"")</f>
        <v>Group B (34-44)</v>
      </c>
      <c r="U379" s="1062" t="str">
        <f>IFERROR(VLOOKUP($A379,'2018'!$A:$BB,22,FALSE),"")</f>
        <v>Expanded</v>
      </c>
      <c r="V379" s="1062" t="str">
        <f>IFERROR(VLOOKUP($A379,'2018'!$A:$BB,23,FALSE),"")</f>
        <v>Advantage</v>
      </c>
      <c r="W379" s="1062" t="str">
        <f>IFERROR(VLOOKUP($A379,'2018'!$A:$BB,24,FALSE),"")</f>
        <v>No</v>
      </c>
      <c r="X379" s="1062" t="str">
        <f>IFERROR(VLOOKUP($A379,'2018'!$A:$BB,41,FALSE),"")</f>
        <v xml:space="preserve">Region 2 </v>
      </c>
      <c r="Y379" s="1062" t="str">
        <f>IFERROR(VLOOKUP($A379,'2018'!$A:$BB,42,FALSE),"")</f>
        <v>(10-24)</v>
      </c>
      <c r="Z379" s="1062" t="str">
        <f>IFERROR(VLOOKUP($A379,'2018'!$A:$BB,45,FALSE),"")</f>
        <v xml:space="preserve"> (2-49)</v>
      </c>
      <c r="AA379" s="731">
        <v>2018</v>
      </c>
      <c r="AB379" s="733" t="s">
        <v>4131</v>
      </c>
      <c r="AC379" s="734" t="s">
        <v>317</v>
      </c>
      <c r="AD379" s="734" t="s">
        <v>3648</v>
      </c>
      <c r="AE379" s="734" t="s">
        <v>307</v>
      </c>
      <c r="AF379" s="734" t="s">
        <v>113</v>
      </c>
      <c r="AG379" s="732" t="s">
        <v>3972</v>
      </c>
      <c r="AH379" s="732" t="s">
        <v>3977</v>
      </c>
      <c r="AI379" s="734">
        <v>14</v>
      </c>
      <c r="AJ379" s="748" t="s">
        <v>3994</v>
      </c>
      <c r="AK379" s="757">
        <v>909678</v>
      </c>
      <c r="AL379" s="756">
        <v>625</v>
      </c>
      <c r="AM379" s="755">
        <v>909678</v>
      </c>
      <c r="AN379" s="756">
        <v>626</v>
      </c>
      <c r="AO379" s="776">
        <f t="shared" si="95"/>
        <v>909678</v>
      </c>
      <c r="AP379" s="754">
        <f t="shared" si="94"/>
        <v>627</v>
      </c>
      <c r="AQ379" s="771" t="s">
        <v>3979</v>
      </c>
      <c r="AR379" s="732" t="s">
        <v>2661</v>
      </c>
      <c r="AS379" s="735"/>
      <c r="AT379" s="735"/>
      <c r="AU379" s="732" t="s">
        <v>3980</v>
      </c>
      <c r="AV379" s="735"/>
      <c r="AW379" s="735"/>
    </row>
    <row r="380" spans="1:49">
      <c r="A380" s="738" t="s">
        <v>3590</v>
      </c>
      <c r="B380" s="738" t="s">
        <v>3590</v>
      </c>
      <c r="C380" s="738"/>
      <c r="D380" s="738" t="s">
        <v>3590</v>
      </c>
      <c r="E380" s="738" t="s">
        <v>3590</v>
      </c>
      <c r="F380" s="1059">
        <f>IFERROR(VLOOKUP($A380,'2018'!$A:$BB,3,FALSE),"")</f>
        <v>474996745</v>
      </c>
      <c r="G380" s="1055" t="str">
        <f>IFERROR(VLOOKUP($A380,'2018'!$A:$BB,4,FALSE),"")</f>
        <v>9381 Judicial Drive, Suite 200
San Diego, CA 92121</v>
      </c>
      <c r="H380" s="1055" t="str">
        <f>IFERROR(VLOOKUP($A380,'2018'!$A:$BB,5,FALSE),"")</f>
        <v>Jim Schmidt
(858) 254-7116
jim.schmidt@truviansci.com</v>
      </c>
      <c r="I380" s="1055" t="str">
        <f>IFERROR(VLOOKUP($A380,'2018'!$A:$BB,6,FALSE),"")</f>
        <v>Jim Schmidt
(858) 254-7116
jim.schmidt@truviansci.com</v>
      </c>
      <c r="J380" s="1055" t="str">
        <f>IFERROR(VLOOKUP($A380,'2018'!$A:$BB,7,FALSE),"")</f>
        <v>HUB (San Diego)</v>
      </c>
      <c r="K380" s="1055" t="str">
        <f>IFERROR(VLOOKUP($A380,'2018'!$A:$BB,8,FALSE),"")</f>
        <v>Account Managed by HUB SD Team
Producer - Neal Cook
Service Lead - Domenica Hernandez
Account Rep - Courtney Stanley</v>
      </c>
      <c r="L380" s="1062" t="str">
        <f>IFERROR(VLOOKUP($A380,'2018'!$A:$BB,9,FALSE),"")</f>
        <v>New</v>
      </c>
      <c r="M380" s="1067">
        <f>IFERROR(VLOOKUP($A380,'2018'!$A:$BB,10,FALSE),"")</f>
        <v>43101</v>
      </c>
      <c r="N380" s="1062">
        <f>IFERROR(VLOOKUP($A380,'2018'!$A:$BB,12,FALSE),"")</f>
        <v>13</v>
      </c>
      <c r="O380" s="1055" t="str">
        <f>IFERROR(VLOOKUP($A380,'2018'!$A:$BB,13,FALSE),"")</f>
        <v xml:space="preserve">IGOE </v>
      </c>
      <c r="P380" s="1055" t="str">
        <f>IFERROR(VLOOKUP($A380,'2018'!$A:$BB,14,FALSE),"")</f>
        <v>Maestro</v>
      </c>
      <c r="Q380" s="1055" t="str">
        <f>IFERROR(VLOOKUP($A380,'2018'!$A:$BB,16,FALSE),"")</f>
        <v>N/A</v>
      </c>
      <c r="R380" s="1055" t="str">
        <f>IFERROR(VLOOKUP($A380,'2018'!$A:$BB,17,FALSE),"")</f>
        <v>Optum Health</v>
      </c>
      <c r="S380" s="1062" t="str">
        <f>IFERROR(VLOOKUP($A380,'2018'!$A:$BB,20,FALSE),"")</f>
        <v>SCAL</v>
      </c>
      <c r="T380" s="1062" t="str">
        <f>IFERROR(VLOOKUP($A380,'2018'!$A:$BB,21,FALSE),"")</f>
        <v>Group B (34-44)</v>
      </c>
      <c r="U380" s="1062" t="str">
        <f>IFERROR(VLOOKUP($A380,'2018'!$A:$BB,22,FALSE),"")</f>
        <v>Expanded</v>
      </c>
      <c r="V380" s="1062" t="str">
        <f>IFERROR(VLOOKUP($A380,'2018'!$A:$BB,23,FALSE),"")</f>
        <v>Advantage</v>
      </c>
      <c r="W380" s="1062" t="str">
        <f>IFERROR(VLOOKUP($A380,'2018'!$A:$BB,24,FALSE),"")</f>
        <v>No</v>
      </c>
      <c r="X380" s="1062" t="str">
        <f>IFERROR(VLOOKUP($A380,'2018'!$A:$BB,41,FALSE),"")</f>
        <v xml:space="preserve">Region 2 </v>
      </c>
      <c r="Y380" s="1062" t="str">
        <f>IFERROR(VLOOKUP($A380,'2018'!$A:$BB,42,FALSE),"")</f>
        <v>(10-24)</v>
      </c>
      <c r="Z380" s="1062" t="str">
        <f>IFERROR(VLOOKUP($A380,'2018'!$A:$BB,45,FALSE),"")</f>
        <v xml:space="preserve"> (2-49)</v>
      </c>
      <c r="AA380" s="730">
        <v>2018</v>
      </c>
      <c r="AB380" s="728" t="s">
        <v>4131</v>
      </c>
      <c r="AC380" s="727" t="s">
        <v>317</v>
      </c>
      <c r="AD380" s="727" t="s">
        <v>3648</v>
      </c>
      <c r="AE380" s="727" t="s">
        <v>307</v>
      </c>
      <c r="AF380" s="727" t="s">
        <v>113</v>
      </c>
      <c r="AG380" s="726" t="s">
        <v>3981</v>
      </c>
      <c r="AH380" s="726" t="s">
        <v>3973</v>
      </c>
      <c r="AI380" s="727">
        <v>11</v>
      </c>
      <c r="AJ380" s="747" t="s">
        <v>3982</v>
      </c>
      <c r="AK380" s="757">
        <v>909678</v>
      </c>
      <c r="AL380" s="754">
        <v>481</v>
      </c>
      <c r="AM380" s="755">
        <v>909678</v>
      </c>
      <c r="AN380" s="754">
        <v>482</v>
      </c>
      <c r="AO380" s="776">
        <f t="shared" si="95"/>
        <v>909678</v>
      </c>
      <c r="AP380" s="754">
        <f t="shared" si="94"/>
        <v>483</v>
      </c>
      <c r="AQ380" s="770"/>
      <c r="AR380" s="726" t="s">
        <v>2661</v>
      </c>
      <c r="AS380" s="726" t="s">
        <v>3983</v>
      </c>
      <c r="AT380" s="726">
        <v>4810481</v>
      </c>
      <c r="AU380" s="726" t="s">
        <v>3980</v>
      </c>
      <c r="AV380" s="726"/>
      <c r="AW380" s="726"/>
    </row>
    <row r="381" spans="1:49">
      <c r="A381" s="736" t="s">
        <v>3590</v>
      </c>
      <c r="B381" s="736" t="s">
        <v>3590</v>
      </c>
      <c r="C381" s="736"/>
      <c r="D381" s="736" t="s">
        <v>3590</v>
      </c>
      <c r="E381" s="736" t="s">
        <v>3590</v>
      </c>
      <c r="F381" s="1059">
        <f>IFERROR(VLOOKUP($A381,'2018'!$A:$BB,3,FALSE),"")</f>
        <v>474996745</v>
      </c>
      <c r="G381" s="1055" t="str">
        <f>IFERROR(VLOOKUP($A381,'2018'!$A:$BB,4,FALSE),"")</f>
        <v>9381 Judicial Drive, Suite 200
San Diego, CA 92121</v>
      </c>
      <c r="H381" s="1055" t="str">
        <f>IFERROR(VLOOKUP($A381,'2018'!$A:$BB,5,FALSE),"")</f>
        <v>Jim Schmidt
(858) 254-7116
jim.schmidt@truviansci.com</v>
      </c>
      <c r="I381" s="1055" t="str">
        <f>IFERROR(VLOOKUP($A381,'2018'!$A:$BB,6,FALSE),"")</f>
        <v>Jim Schmidt
(858) 254-7116
jim.schmidt@truviansci.com</v>
      </c>
      <c r="J381" s="1055" t="str">
        <f>IFERROR(VLOOKUP($A381,'2018'!$A:$BB,7,FALSE),"")</f>
        <v>HUB (San Diego)</v>
      </c>
      <c r="K381" s="1055" t="str">
        <f>IFERROR(VLOOKUP($A381,'2018'!$A:$BB,8,FALSE),"")</f>
        <v>Account Managed by HUB SD Team
Producer - Neal Cook
Service Lead - Domenica Hernandez
Account Rep - Courtney Stanley</v>
      </c>
      <c r="L381" s="1062" t="str">
        <f>IFERROR(VLOOKUP($A381,'2018'!$A:$BB,9,FALSE),"")</f>
        <v>New</v>
      </c>
      <c r="M381" s="1067">
        <f>IFERROR(VLOOKUP($A381,'2018'!$A:$BB,10,FALSE),"")</f>
        <v>43101</v>
      </c>
      <c r="N381" s="1062">
        <f>IFERROR(VLOOKUP($A381,'2018'!$A:$BB,12,FALSE),"")</f>
        <v>13</v>
      </c>
      <c r="O381" s="1055" t="str">
        <f>IFERROR(VLOOKUP($A381,'2018'!$A:$BB,13,FALSE),"")</f>
        <v xml:space="preserve">IGOE </v>
      </c>
      <c r="P381" s="1055" t="str">
        <f>IFERROR(VLOOKUP($A381,'2018'!$A:$BB,14,FALSE),"")</f>
        <v>Maestro</v>
      </c>
      <c r="Q381" s="1055" t="str">
        <f>IFERROR(VLOOKUP($A381,'2018'!$A:$BB,16,FALSE),"")</f>
        <v>N/A</v>
      </c>
      <c r="R381" s="1055" t="str">
        <f>IFERROR(VLOOKUP($A381,'2018'!$A:$BB,17,FALSE),"")</f>
        <v>Optum Health</v>
      </c>
      <c r="S381" s="1062" t="str">
        <f>IFERROR(VLOOKUP($A381,'2018'!$A:$BB,20,FALSE),"")</f>
        <v>SCAL</v>
      </c>
      <c r="T381" s="1062" t="str">
        <f>IFERROR(VLOOKUP($A381,'2018'!$A:$BB,21,FALSE),"")</f>
        <v>Group B (34-44)</v>
      </c>
      <c r="U381" s="1062" t="str">
        <f>IFERROR(VLOOKUP($A381,'2018'!$A:$BB,22,FALSE),"")</f>
        <v>Expanded</v>
      </c>
      <c r="V381" s="1062" t="str">
        <f>IFERROR(VLOOKUP($A381,'2018'!$A:$BB,23,FALSE),"")</f>
        <v>Advantage</v>
      </c>
      <c r="W381" s="1062" t="str">
        <f>IFERROR(VLOOKUP($A381,'2018'!$A:$BB,24,FALSE),"")</f>
        <v>No</v>
      </c>
      <c r="X381" s="1062" t="str">
        <f>IFERROR(VLOOKUP($A381,'2018'!$A:$BB,41,FALSE),"")</f>
        <v xml:space="preserve">Region 2 </v>
      </c>
      <c r="Y381" s="1062" t="str">
        <f>IFERROR(VLOOKUP($A381,'2018'!$A:$BB,42,FALSE),"")</f>
        <v>(10-24)</v>
      </c>
      <c r="Z381" s="1062" t="str">
        <f>IFERROR(VLOOKUP($A381,'2018'!$A:$BB,45,FALSE),"")</f>
        <v xml:space="preserve"> (2-49)</v>
      </c>
      <c r="AA381" s="731">
        <v>2018</v>
      </c>
      <c r="AB381" s="733" t="s">
        <v>4131</v>
      </c>
      <c r="AC381" s="734" t="s">
        <v>317</v>
      </c>
      <c r="AD381" s="734" t="s">
        <v>3648</v>
      </c>
      <c r="AE381" s="734" t="s">
        <v>307</v>
      </c>
      <c r="AF381" s="734" t="s">
        <v>113</v>
      </c>
      <c r="AG381" s="732" t="s">
        <v>3981</v>
      </c>
      <c r="AH381" s="732" t="s">
        <v>3977</v>
      </c>
      <c r="AI381" s="734">
        <v>16</v>
      </c>
      <c r="AJ381" s="748" t="s">
        <v>3985</v>
      </c>
      <c r="AK381" s="757">
        <v>909678</v>
      </c>
      <c r="AL381" s="756">
        <v>733</v>
      </c>
      <c r="AM381" s="755">
        <v>909678</v>
      </c>
      <c r="AN381" s="756">
        <v>734</v>
      </c>
      <c r="AO381" s="776">
        <f t="shared" si="95"/>
        <v>909678</v>
      </c>
      <c r="AP381" s="754">
        <f t="shared" si="94"/>
        <v>735</v>
      </c>
      <c r="AQ381" s="771" t="s">
        <v>3979</v>
      </c>
      <c r="AR381" s="732" t="s">
        <v>2661</v>
      </c>
      <c r="AS381" s="735"/>
      <c r="AT381" s="735"/>
      <c r="AU381" s="732" t="s">
        <v>3980</v>
      </c>
      <c r="AV381" s="735"/>
      <c r="AW381" s="735"/>
    </row>
    <row r="382" spans="1:49">
      <c r="A382" s="738"/>
      <c r="B382" s="738"/>
      <c r="C382" s="738"/>
      <c r="D382" s="738"/>
      <c r="E382" s="738"/>
      <c r="F382" s="1059" t="str">
        <f>IFERROR(VLOOKUP($A382,'2018'!$A:$BB,3,FALSE),"")</f>
        <v/>
      </c>
      <c r="G382" s="1055" t="str">
        <f>IFERROR(VLOOKUP($A382,'2018'!$A:$BB,4,FALSE),"")</f>
        <v/>
      </c>
      <c r="H382" s="1055" t="str">
        <f>IFERROR(VLOOKUP($A382,'2018'!$A:$BB,5,FALSE),"")</f>
        <v/>
      </c>
      <c r="I382" s="1055" t="str">
        <f>IFERROR(VLOOKUP($A382,'2018'!$A:$BB,6,FALSE),"")</f>
        <v/>
      </c>
      <c r="J382" s="1055" t="str">
        <f>IFERROR(VLOOKUP($A382,'2018'!$A:$BB,7,FALSE),"")</f>
        <v/>
      </c>
      <c r="K382" s="1055" t="str">
        <f>IFERROR(VLOOKUP($A382,'2018'!$A:$BB,8,FALSE),"")</f>
        <v/>
      </c>
      <c r="L382" s="1062" t="str">
        <f>IFERROR(VLOOKUP($A382,'2018'!$A:$BB,9,FALSE),"")</f>
        <v/>
      </c>
      <c r="M382" s="1067" t="str">
        <f>IFERROR(VLOOKUP($A382,'2018'!$A:$BB,10,FALSE),"")</f>
        <v/>
      </c>
      <c r="N382" s="1062" t="str">
        <f>IFERROR(VLOOKUP($A382,'2018'!$A:$BB,12,FALSE),"")</f>
        <v/>
      </c>
      <c r="O382" s="1055" t="str">
        <f>IFERROR(VLOOKUP($A382,'2018'!$A:$BB,13,FALSE),"")</f>
        <v/>
      </c>
      <c r="P382" s="1055" t="str">
        <f>IFERROR(VLOOKUP($A382,'2018'!$A:$BB,14,FALSE),"")</f>
        <v/>
      </c>
      <c r="Q382" s="1055" t="str">
        <f>IFERROR(VLOOKUP($A382,'2018'!$A:$BB,16,FALSE),"")</f>
        <v/>
      </c>
      <c r="R382" s="1055" t="str">
        <f>IFERROR(VLOOKUP($A382,'2018'!$A:$BB,17,FALSE),"")</f>
        <v/>
      </c>
      <c r="S382" s="1062" t="str">
        <f>IFERROR(VLOOKUP($A382,'2018'!$A:$BB,20,FALSE),"")</f>
        <v/>
      </c>
      <c r="T382" s="1062" t="str">
        <f>IFERROR(VLOOKUP($A382,'2018'!$A:$BB,21,FALSE),"")</f>
        <v/>
      </c>
      <c r="U382" s="1062" t="str">
        <f>IFERROR(VLOOKUP($A382,'2018'!$A:$BB,22,FALSE),"")</f>
        <v/>
      </c>
      <c r="V382" s="1062" t="str">
        <f>IFERROR(VLOOKUP($A382,'2018'!$A:$BB,23,FALSE),"")</f>
        <v/>
      </c>
      <c r="W382" s="1062" t="str">
        <f>IFERROR(VLOOKUP($A382,'2018'!$A:$BB,24,FALSE),"")</f>
        <v/>
      </c>
      <c r="X382" s="1062" t="str">
        <f>IFERROR(VLOOKUP($A382,'2018'!$A:$BB,41,FALSE),"")</f>
        <v/>
      </c>
      <c r="Y382" s="1062" t="str">
        <f>IFERROR(VLOOKUP($A382,'2018'!$A:$BB,42,FALSE),"")</f>
        <v/>
      </c>
      <c r="Z382" s="1062" t="str">
        <f>IFERROR(VLOOKUP($A382,'2018'!$A:$BB,45,FALSE),"")</f>
        <v/>
      </c>
      <c r="AA382" s="727"/>
      <c r="AB382" s="728"/>
      <c r="AC382" s="727"/>
      <c r="AD382" s="727"/>
      <c r="AE382" s="727"/>
      <c r="AF382" s="727"/>
      <c r="AG382" s="726"/>
      <c r="AH382" s="726"/>
      <c r="AI382" s="727"/>
      <c r="AJ382" s="747"/>
      <c r="AK382" s="753"/>
      <c r="AL382" s="754"/>
      <c r="AM382" s="753"/>
      <c r="AN382" s="754"/>
      <c r="AO382" s="776"/>
      <c r="AP382" s="754"/>
      <c r="AQ382" s="770"/>
      <c r="AR382" s="726"/>
      <c r="AS382" s="726"/>
      <c r="AT382" s="726"/>
      <c r="AU382" s="726"/>
      <c r="AV382" s="726"/>
      <c r="AW382" s="726"/>
    </row>
    <row r="383" spans="1:49">
      <c r="A383" s="738" t="s">
        <v>3662</v>
      </c>
      <c r="B383" s="738" t="s">
        <v>3662</v>
      </c>
      <c r="C383" s="738"/>
      <c r="D383" s="738" t="s">
        <v>3662</v>
      </c>
      <c r="E383" s="738" t="s">
        <v>3662</v>
      </c>
      <c r="F383" s="1059">
        <f>IFERROR(VLOOKUP($A383,'2018'!$A:$BB,3,FALSE),"")</f>
        <v>954767945</v>
      </c>
      <c r="G383" s="1055" t="str">
        <f>IFERROR(VLOOKUP($A383,'2018'!$A:$BB,4,FALSE),"")</f>
        <v>One Sansome Street, Ste 3630
San Francisco, CA 94104</v>
      </c>
      <c r="H383" s="1055" t="str">
        <f>IFERROR(VLOOKUP($A383,'2018'!$A:$BB,5,FALSE),"")</f>
        <v>Abby Cleghorn
(781) 454-9622
acleghorn@versantventures.com</v>
      </c>
      <c r="I383" s="1055" t="str">
        <f>IFERROR(VLOOKUP($A383,'2018'!$A:$BB,6,FALSE),"")</f>
        <v>Joanne Kwan
(415) 801-8100
accountspayable@versantventures.com</v>
      </c>
      <c r="J383" s="1055" t="str">
        <f>IFERROR(VLOOKUP($A383,'2018'!$A:$BB,7,FALSE),"")</f>
        <v>HUB (San Diego)</v>
      </c>
      <c r="K383" s="1055" t="str">
        <f>IFERROR(VLOOKUP($A383,'2018'!$A:$BB,8,FALSE),"")</f>
        <v>Account Managed by HUB SD Team
Producer- Dave Duenas
Service Lead- Domenica Hernandez 
Account Rep - Courtney Stanley</v>
      </c>
      <c r="L383" s="1062" t="str">
        <f>IFERROR(VLOOKUP($A383,'2018'!$A:$BB,9,FALSE),"")</f>
        <v>New</v>
      </c>
      <c r="M383" s="1067">
        <f>IFERROR(VLOOKUP($A383,'2018'!$A:$BB,10,FALSE),"")</f>
        <v>43101</v>
      </c>
      <c r="N383" s="1062">
        <f>IFERROR(VLOOKUP($A383,'2018'!$A:$BB,12,FALSE),"")</f>
        <v>28</v>
      </c>
      <c r="O383" s="1055" t="str">
        <f>IFERROR(VLOOKUP($A383,'2018'!$A:$BB,13,FALSE),"")</f>
        <v xml:space="preserve">IGOE </v>
      </c>
      <c r="P383" s="1055" t="str">
        <f>IFERROR(VLOOKUP($A383,'2018'!$A:$BB,14,FALSE),"")</f>
        <v>Maestro</v>
      </c>
      <c r="Q383" s="1055" t="str">
        <f>IFERROR(VLOOKUP($A383,'2018'!$A:$BB,16,FALSE),"")</f>
        <v>Non-CLSA Trust Vendor</v>
      </c>
      <c r="R383" s="1055" t="str">
        <f>IFERROR(VLOOKUP($A383,'2018'!$A:$BB,17,FALSE),"")</f>
        <v>Optum Health
*Moved back to old policy / account (HB783)</v>
      </c>
      <c r="S383" s="1062" t="str">
        <f>IFERROR(VLOOKUP($A383,'2018'!$A:$BB,20,FALSE),"")</f>
        <v>NCAL</v>
      </c>
      <c r="T383" s="1062" t="str">
        <f>IFERROR(VLOOKUP($A383,'2018'!$A:$BB,21,FALSE),"")</f>
        <v>Group C (44-54)</v>
      </c>
      <c r="U383" s="1062" t="str">
        <f>IFERROR(VLOOKUP($A383,'2018'!$A:$BB,22,FALSE),"")</f>
        <v>Expanded</v>
      </c>
      <c r="V383" s="1062" t="str">
        <f>IFERROR(VLOOKUP($A383,'2018'!$A:$BB,23,FALSE),"")</f>
        <v>Advantage</v>
      </c>
      <c r="W383" s="1062" t="str">
        <f>IFERROR(VLOOKUP($A383,'2018'!$A:$BB,24,FALSE),"")</f>
        <v>No</v>
      </c>
      <c r="X383" s="1062" t="str">
        <f>IFERROR(VLOOKUP($A383,'2018'!$A:$BB,41,FALSE),"")</f>
        <v>Region 4</v>
      </c>
      <c r="Y383" s="1062" t="str">
        <f>IFERROR(VLOOKUP($A383,'2018'!$A:$BB,42,FALSE),"")</f>
        <v>(25-49)</v>
      </c>
      <c r="Z383" s="1062" t="str">
        <f>IFERROR(VLOOKUP($A383,'2018'!$A:$BB,45,FALSE),"")</f>
        <v xml:space="preserve"> (2-49)</v>
      </c>
      <c r="AA383" s="730">
        <v>2018</v>
      </c>
      <c r="AB383" s="728" t="s">
        <v>3939</v>
      </c>
      <c r="AC383" s="727" t="s">
        <v>303</v>
      </c>
      <c r="AD383" s="727" t="s">
        <v>3656</v>
      </c>
      <c r="AE383" s="727" t="s">
        <v>307</v>
      </c>
      <c r="AF383" s="727" t="s">
        <v>113</v>
      </c>
      <c r="AG383" s="726" t="s">
        <v>3981</v>
      </c>
      <c r="AH383" s="726" t="s">
        <v>3973</v>
      </c>
      <c r="AI383" s="727">
        <v>11</v>
      </c>
      <c r="AJ383" s="747" t="s">
        <v>3982</v>
      </c>
      <c r="AK383" s="757">
        <v>909678</v>
      </c>
      <c r="AL383" s="754">
        <v>472</v>
      </c>
      <c r="AM383" s="755">
        <v>909678</v>
      </c>
      <c r="AN383" s="754">
        <v>473</v>
      </c>
      <c r="AO383" s="776">
        <f t="shared" ref="AO383:AO384" si="96">AM383</f>
        <v>909678</v>
      </c>
      <c r="AP383" s="754">
        <f t="shared" si="94"/>
        <v>474</v>
      </c>
      <c r="AQ383" s="770"/>
      <c r="AR383" s="726" t="s">
        <v>2661</v>
      </c>
      <c r="AS383" s="726" t="s">
        <v>3983</v>
      </c>
      <c r="AT383" s="726">
        <v>4720472</v>
      </c>
      <c r="AU383" s="726" t="s">
        <v>3980</v>
      </c>
      <c r="AV383" s="726"/>
      <c r="AW383" s="726"/>
    </row>
    <row r="384" spans="1:49">
      <c r="A384" s="738" t="s">
        <v>3662</v>
      </c>
      <c r="B384" s="736" t="s">
        <v>3662</v>
      </c>
      <c r="C384" s="736"/>
      <c r="D384" s="736" t="s">
        <v>3662</v>
      </c>
      <c r="E384" s="736" t="s">
        <v>3662</v>
      </c>
      <c r="F384" s="1059">
        <f>IFERROR(VLOOKUP($A384,'2018'!$A:$BB,3,FALSE),"")</f>
        <v>954767945</v>
      </c>
      <c r="G384" s="1055" t="str">
        <f>IFERROR(VLOOKUP($A384,'2018'!$A:$BB,4,FALSE),"")</f>
        <v>One Sansome Street, Ste 3630
San Francisco, CA 94104</v>
      </c>
      <c r="H384" s="1055" t="str">
        <f>IFERROR(VLOOKUP($A384,'2018'!$A:$BB,5,FALSE),"")</f>
        <v>Abby Cleghorn
(781) 454-9622
acleghorn@versantventures.com</v>
      </c>
      <c r="I384" s="1055" t="str">
        <f>IFERROR(VLOOKUP($A384,'2018'!$A:$BB,6,FALSE),"")</f>
        <v>Joanne Kwan
(415) 801-8100
accountspayable@versantventures.com</v>
      </c>
      <c r="J384" s="1055" t="str">
        <f>IFERROR(VLOOKUP($A384,'2018'!$A:$BB,7,FALSE),"")</f>
        <v>HUB (San Diego)</v>
      </c>
      <c r="K384" s="1055" t="str">
        <f>IFERROR(VLOOKUP($A384,'2018'!$A:$BB,8,FALSE),"")</f>
        <v>Account Managed by HUB SD Team
Producer- Dave Duenas
Service Lead- Domenica Hernandez 
Account Rep - Courtney Stanley</v>
      </c>
      <c r="L384" s="1062" t="str">
        <f>IFERROR(VLOOKUP($A384,'2018'!$A:$BB,9,FALSE),"")</f>
        <v>New</v>
      </c>
      <c r="M384" s="1067">
        <f>IFERROR(VLOOKUP($A384,'2018'!$A:$BB,10,FALSE),"")</f>
        <v>43101</v>
      </c>
      <c r="N384" s="1062">
        <f>IFERROR(VLOOKUP($A384,'2018'!$A:$BB,12,FALSE),"")</f>
        <v>28</v>
      </c>
      <c r="O384" s="1055" t="str">
        <f>IFERROR(VLOOKUP($A384,'2018'!$A:$BB,13,FALSE),"")</f>
        <v xml:space="preserve">IGOE </v>
      </c>
      <c r="P384" s="1055" t="str">
        <f>IFERROR(VLOOKUP($A384,'2018'!$A:$BB,14,FALSE),"")</f>
        <v>Maestro</v>
      </c>
      <c r="Q384" s="1055" t="str">
        <f>IFERROR(VLOOKUP($A384,'2018'!$A:$BB,16,FALSE),"")</f>
        <v>Non-CLSA Trust Vendor</v>
      </c>
      <c r="R384" s="1055" t="str">
        <f>IFERROR(VLOOKUP($A384,'2018'!$A:$BB,17,FALSE),"")</f>
        <v>Optum Health
*Moved back to old policy / account (HB783)</v>
      </c>
      <c r="S384" s="1062" t="str">
        <f>IFERROR(VLOOKUP($A384,'2018'!$A:$BB,20,FALSE),"")</f>
        <v>NCAL</v>
      </c>
      <c r="T384" s="1062" t="str">
        <f>IFERROR(VLOOKUP($A384,'2018'!$A:$BB,21,FALSE),"")</f>
        <v>Group C (44-54)</v>
      </c>
      <c r="U384" s="1062" t="str">
        <f>IFERROR(VLOOKUP($A384,'2018'!$A:$BB,22,FALSE),"")</f>
        <v>Expanded</v>
      </c>
      <c r="V384" s="1062" t="str">
        <f>IFERROR(VLOOKUP($A384,'2018'!$A:$BB,23,FALSE),"")</f>
        <v>Advantage</v>
      </c>
      <c r="W384" s="1062" t="str">
        <f>IFERROR(VLOOKUP($A384,'2018'!$A:$BB,24,FALSE),"")</f>
        <v>No</v>
      </c>
      <c r="X384" s="1062" t="str">
        <f>IFERROR(VLOOKUP($A384,'2018'!$A:$BB,41,FALSE),"")</f>
        <v>Region 4</v>
      </c>
      <c r="Y384" s="1062" t="str">
        <f>IFERROR(VLOOKUP($A384,'2018'!$A:$BB,42,FALSE),"")</f>
        <v>(25-49)</v>
      </c>
      <c r="Z384" s="1062" t="str">
        <f>IFERROR(VLOOKUP($A384,'2018'!$A:$BB,45,FALSE),"")</f>
        <v xml:space="preserve"> (2-49)</v>
      </c>
      <c r="AA384" s="731">
        <v>2018</v>
      </c>
      <c r="AB384" s="733" t="s">
        <v>3939</v>
      </c>
      <c r="AC384" s="734" t="s">
        <v>303</v>
      </c>
      <c r="AD384" s="734" t="s">
        <v>3656</v>
      </c>
      <c r="AE384" s="734" t="s">
        <v>307</v>
      </c>
      <c r="AF384" s="734" t="s">
        <v>113</v>
      </c>
      <c r="AG384" s="732" t="s">
        <v>3981</v>
      </c>
      <c r="AH384" s="732" t="s">
        <v>3977</v>
      </c>
      <c r="AI384" s="734">
        <v>16</v>
      </c>
      <c r="AJ384" s="748" t="s">
        <v>3985</v>
      </c>
      <c r="AK384" s="757">
        <v>909678</v>
      </c>
      <c r="AL384" s="756">
        <v>724</v>
      </c>
      <c r="AM384" s="755">
        <v>909678</v>
      </c>
      <c r="AN384" s="756">
        <v>725</v>
      </c>
      <c r="AO384" s="776">
        <f t="shared" si="96"/>
        <v>909678</v>
      </c>
      <c r="AP384" s="754">
        <f t="shared" si="94"/>
        <v>726</v>
      </c>
      <c r="AQ384" s="771" t="s">
        <v>3979</v>
      </c>
      <c r="AR384" s="732" t="s">
        <v>2661</v>
      </c>
      <c r="AS384" s="735"/>
      <c r="AT384" s="735"/>
      <c r="AU384" s="732" t="s">
        <v>3980</v>
      </c>
      <c r="AV384" s="735"/>
      <c r="AW384" s="735"/>
    </row>
    <row r="385" spans="1:49">
      <c r="A385" s="738"/>
      <c r="B385" s="738"/>
      <c r="C385" s="738"/>
      <c r="D385" s="738"/>
      <c r="E385" s="738"/>
      <c r="F385" s="1059" t="str">
        <f>IFERROR(VLOOKUP($A385,'2018'!$A:$BB,3,FALSE),"")</f>
        <v/>
      </c>
      <c r="G385" s="1055" t="str">
        <f>IFERROR(VLOOKUP($A385,'2018'!$A:$BB,4,FALSE),"")</f>
        <v/>
      </c>
      <c r="H385" s="1055" t="str">
        <f>IFERROR(VLOOKUP($A385,'2018'!$A:$BB,5,FALSE),"")</f>
        <v/>
      </c>
      <c r="I385" s="1055" t="str">
        <f>IFERROR(VLOOKUP($A385,'2018'!$A:$BB,6,FALSE),"")</f>
        <v/>
      </c>
      <c r="J385" s="1055" t="str">
        <f>IFERROR(VLOOKUP($A385,'2018'!$A:$BB,7,FALSE),"")</f>
        <v/>
      </c>
      <c r="K385" s="1055" t="str">
        <f>IFERROR(VLOOKUP($A385,'2018'!$A:$BB,8,FALSE),"")</f>
        <v/>
      </c>
      <c r="L385" s="1062" t="str">
        <f>IFERROR(VLOOKUP($A385,'2018'!$A:$BB,9,FALSE),"")</f>
        <v/>
      </c>
      <c r="M385" s="1067" t="str">
        <f>IFERROR(VLOOKUP($A385,'2018'!$A:$BB,10,FALSE),"")</f>
        <v/>
      </c>
      <c r="N385" s="1062" t="str">
        <f>IFERROR(VLOOKUP($A385,'2018'!$A:$BB,12,FALSE),"")</f>
        <v/>
      </c>
      <c r="O385" s="1055" t="str">
        <f>IFERROR(VLOOKUP($A385,'2018'!$A:$BB,13,FALSE),"")</f>
        <v/>
      </c>
      <c r="P385" s="1055" t="str">
        <f>IFERROR(VLOOKUP($A385,'2018'!$A:$BB,14,FALSE),"")</f>
        <v/>
      </c>
      <c r="Q385" s="1055" t="str">
        <f>IFERROR(VLOOKUP($A385,'2018'!$A:$BB,16,FALSE),"")</f>
        <v/>
      </c>
      <c r="R385" s="1055" t="str">
        <f>IFERROR(VLOOKUP($A385,'2018'!$A:$BB,17,FALSE),"")</f>
        <v/>
      </c>
      <c r="S385" s="1062" t="str">
        <f>IFERROR(VLOOKUP($A385,'2018'!$A:$BB,20,FALSE),"")</f>
        <v/>
      </c>
      <c r="T385" s="1062" t="str">
        <f>IFERROR(VLOOKUP($A385,'2018'!$A:$BB,21,FALSE),"")</f>
        <v/>
      </c>
      <c r="U385" s="1062" t="str">
        <f>IFERROR(VLOOKUP($A385,'2018'!$A:$BB,22,FALSE),"")</f>
        <v/>
      </c>
      <c r="V385" s="1062" t="str">
        <f>IFERROR(VLOOKUP($A385,'2018'!$A:$BB,23,FALSE),"")</f>
        <v/>
      </c>
      <c r="W385" s="1062" t="str">
        <f>IFERROR(VLOOKUP($A385,'2018'!$A:$BB,24,FALSE),"")</f>
        <v/>
      </c>
      <c r="X385" s="1062" t="str">
        <f>IFERROR(VLOOKUP($A385,'2018'!$A:$BB,41,FALSE),"")</f>
        <v/>
      </c>
      <c r="Y385" s="1062" t="str">
        <f>IFERROR(VLOOKUP($A385,'2018'!$A:$BB,42,FALSE),"")</f>
        <v/>
      </c>
      <c r="Z385" s="1062" t="str">
        <f>IFERROR(VLOOKUP($A385,'2018'!$A:$BB,45,FALSE),"")</f>
        <v/>
      </c>
      <c r="AA385" s="727"/>
      <c r="AB385" s="728"/>
      <c r="AC385" s="727"/>
      <c r="AD385" s="727"/>
      <c r="AE385" s="727"/>
      <c r="AF385" s="727"/>
      <c r="AG385" s="726"/>
      <c r="AH385" s="726"/>
      <c r="AI385" s="727"/>
      <c r="AJ385" s="747"/>
      <c r="AK385" s="753"/>
      <c r="AL385" s="754"/>
      <c r="AM385" s="753"/>
      <c r="AN385" s="754"/>
      <c r="AO385" s="776"/>
      <c r="AP385" s="754"/>
      <c r="AQ385" s="770"/>
      <c r="AR385" s="726"/>
      <c r="AS385" s="726"/>
      <c r="AT385" s="726"/>
      <c r="AU385" s="726"/>
      <c r="AV385" s="726"/>
      <c r="AW385" s="726"/>
    </row>
    <row r="386" spans="1:49">
      <c r="A386" s="738" t="s">
        <v>4132</v>
      </c>
      <c r="B386" s="738" t="s">
        <v>4132</v>
      </c>
      <c r="C386" s="738"/>
      <c r="D386" s="738" t="s">
        <v>4197</v>
      </c>
      <c r="E386" s="738" t="s">
        <v>4197</v>
      </c>
      <c r="F386" s="1059">
        <f>IFERROR(VLOOKUP($A386,'2018'!$A:$BB,3,FALSE),"")</f>
        <v>522154069</v>
      </c>
      <c r="G386" s="1055" t="str">
        <f>IFERROR(VLOOKUP($A386,'2018'!$A:$BB,4,FALSE),"")</f>
        <v>2200 Powell Street, # 310
Emeryville, CA  94608</v>
      </c>
      <c r="H386" s="1055" t="str">
        <f>IFERROR(VLOOKUP($A386,'2018'!$A:$BB,5,FALSE),"")</f>
        <v>Meredith Delia
415-226-4305
meredith.delia@theabdteam.com</v>
      </c>
      <c r="I386" s="1055" t="str">
        <f>IFERROR(VLOOKUP($A386,'2018'!$A:$BB,6,FALSE),"")</f>
        <v>Meredith Delia
415-226-4305
meredith.delia@theabdteam.com</v>
      </c>
      <c r="J386" s="1055" t="str">
        <f>IFERROR(VLOOKUP($A386,'2018'!$A:$BB,7,FALSE),"")</f>
        <v>ABD</v>
      </c>
      <c r="K386" s="1055" t="str">
        <f>IFERROR(VLOOKUP($A386,'2018'!$A:$BB,8,FALSE),"")</f>
        <v xml:space="preserve">Account Managed by ABD Team
Mark Anderson
Mark.Anderson@theabdteam.com
Angie Lopez
angie.lopez@theabdteam.com </v>
      </c>
      <c r="L386" s="1062" t="str">
        <f>IFERROR(VLOOKUP($A386,'2018'!$A:$BB,9,FALSE),"")</f>
        <v>New</v>
      </c>
      <c r="M386" s="1067">
        <f>IFERROR(VLOOKUP($A386,'2018'!$A:$BB,10,FALSE),"")</f>
        <v>43101</v>
      </c>
      <c r="N386" s="1062">
        <f>IFERROR(VLOOKUP($A386,'2018'!$A:$BB,12,FALSE),"")</f>
        <v>13</v>
      </c>
      <c r="O386" s="1055" t="str">
        <f>IFERROR(VLOOKUP($A386,'2018'!$A:$BB,13,FALSE),"")</f>
        <v xml:space="preserve">IGOE </v>
      </c>
      <c r="P386" s="1055" t="str">
        <f>IFERROR(VLOOKUP($A386,'2018'!$A:$BB,14,FALSE),"")</f>
        <v>Maestro</v>
      </c>
      <c r="Q386" s="1055" t="str">
        <f>IFERROR(VLOOKUP($A386,'2018'!$A:$BB,16,FALSE),"")</f>
        <v>IGOE</v>
      </c>
      <c r="R386" s="1055" t="str">
        <f>IFERROR(VLOOKUP($A386,'2018'!$A:$BB,17,FALSE),"")</f>
        <v>N/A</v>
      </c>
      <c r="S386" s="1062" t="str">
        <f>IFERROR(VLOOKUP($A386,'2018'!$A:$BB,20,FALSE),"")</f>
        <v>NCAL</v>
      </c>
      <c r="T386" s="1062" t="str">
        <f>IFERROR(VLOOKUP($A386,'2018'!$A:$BB,21,FALSE),"")</f>
        <v>Group C (44-54)</v>
      </c>
      <c r="U386" s="1062" t="str">
        <f>IFERROR(VLOOKUP($A386,'2018'!$A:$BB,22,FALSE),"")</f>
        <v>Expanded</v>
      </c>
      <c r="V386" s="1062" t="str">
        <f>IFERROR(VLOOKUP($A386,'2018'!$A:$BB,23,FALSE),"")</f>
        <v>Advantage</v>
      </c>
      <c r="W386" s="1062" t="str">
        <f>IFERROR(VLOOKUP($A386,'2018'!$A:$BB,24,FALSE),"")</f>
        <v>No</v>
      </c>
      <c r="X386" s="1062" t="str">
        <f>IFERROR(VLOOKUP($A386,'2018'!$A:$BB,41,FALSE),"")</f>
        <v>Region 3</v>
      </c>
      <c r="Y386" s="1062" t="str">
        <f>IFERROR(VLOOKUP($A386,'2018'!$A:$BB,42,FALSE),"")</f>
        <v>(10-24)</v>
      </c>
      <c r="Z386" s="1062" t="str">
        <f>IFERROR(VLOOKUP($A386,'2018'!$A:$BB,45,FALSE),"")</f>
        <v xml:space="preserve"> (2-49)</v>
      </c>
      <c r="AA386" s="730">
        <v>2018</v>
      </c>
      <c r="AB386" s="728" t="s">
        <v>3941</v>
      </c>
      <c r="AC386" s="727" t="s">
        <v>303</v>
      </c>
      <c r="AD386" s="727" t="s">
        <v>3656</v>
      </c>
      <c r="AE386" s="727" t="s">
        <v>307</v>
      </c>
      <c r="AF386" s="727" t="s">
        <v>113</v>
      </c>
      <c r="AG386" s="726" t="s">
        <v>3972</v>
      </c>
      <c r="AH386" s="726" t="s">
        <v>4096</v>
      </c>
      <c r="AI386" s="727">
        <v>7</v>
      </c>
      <c r="AJ386" s="747" t="s">
        <v>4001</v>
      </c>
      <c r="AK386" s="757">
        <v>909678</v>
      </c>
      <c r="AL386" s="754">
        <v>328</v>
      </c>
      <c r="AM386" s="755">
        <v>909678</v>
      </c>
      <c r="AN386" s="754">
        <v>329</v>
      </c>
      <c r="AO386" s="776">
        <f t="shared" ref="AO386:AO387" si="97">AM386</f>
        <v>909678</v>
      </c>
      <c r="AP386" s="754">
        <f t="shared" si="94"/>
        <v>330</v>
      </c>
      <c r="AQ386" s="770"/>
      <c r="AR386" s="726" t="s">
        <v>2661</v>
      </c>
      <c r="AS386" s="726" t="s">
        <v>4002</v>
      </c>
      <c r="AT386" s="726">
        <v>3280328</v>
      </c>
      <c r="AU386" s="726" t="s">
        <v>3966</v>
      </c>
      <c r="AV386" s="726" t="s">
        <v>4031</v>
      </c>
      <c r="AW386" s="726">
        <v>3290329</v>
      </c>
    </row>
    <row r="387" spans="1:49">
      <c r="A387" s="736" t="s">
        <v>4132</v>
      </c>
      <c r="B387" s="736" t="s">
        <v>4132</v>
      </c>
      <c r="C387" s="736"/>
      <c r="D387" s="738" t="s">
        <v>4197</v>
      </c>
      <c r="E387" s="738" t="s">
        <v>4197</v>
      </c>
      <c r="F387" s="1059">
        <f>IFERROR(VLOOKUP($A387,'2018'!$A:$BB,3,FALSE),"")</f>
        <v>522154069</v>
      </c>
      <c r="G387" s="1055" t="str">
        <f>IFERROR(VLOOKUP($A387,'2018'!$A:$BB,4,FALSE),"")</f>
        <v>2200 Powell Street, # 310
Emeryville, CA  94608</v>
      </c>
      <c r="H387" s="1055" t="str">
        <f>IFERROR(VLOOKUP($A387,'2018'!$A:$BB,5,FALSE),"")</f>
        <v>Meredith Delia
415-226-4305
meredith.delia@theabdteam.com</v>
      </c>
      <c r="I387" s="1055" t="str">
        <f>IFERROR(VLOOKUP($A387,'2018'!$A:$BB,6,FALSE),"")</f>
        <v>Meredith Delia
415-226-4305
meredith.delia@theabdteam.com</v>
      </c>
      <c r="J387" s="1055" t="str">
        <f>IFERROR(VLOOKUP($A387,'2018'!$A:$BB,7,FALSE),"")</f>
        <v>ABD</v>
      </c>
      <c r="K387" s="1055" t="str">
        <f>IFERROR(VLOOKUP($A387,'2018'!$A:$BB,8,FALSE),"")</f>
        <v xml:space="preserve">Account Managed by ABD Team
Mark Anderson
Mark.Anderson@theabdteam.com
Angie Lopez
angie.lopez@theabdteam.com </v>
      </c>
      <c r="L387" s="1062" t="str">
        <f>IFERROR(VLOOKUP($A387,'2018'!$A:$BB,9,FALSE),"")</f>
        <v>New</v>
      </c>
      <c r="M387" s="1067">
        <f>IFERROR(VLOOKUP($A387,'2018'!$A:$BB,10,FALSE),"")</f>
        <v>43101</v>
      </c>
      <c r="N387" s="1062">
        <f>IFERROR(VLOOKUP($A387,'2018'!$A:$BB,12,FALSE),"")</f>
        <v>13</v>
      </c>
      <c r="O387" s="1055" t="str">
        <f>IFERROR(VLOOKUP($A387,'2018'!$A:$BB,13,FALSE),"")</f>
        <v xml:space="preserve">IGOE </v>
      </c>
      <c r="P387" s="1055" t="str">
        <f>IFERROR(VLOOKUP($A387,'2018'!$A:$BB,14,FALSE),"")</f>
        <v>Maestro</v>
      </c>
      <c r="Q387" s="1055" t="str">
        <f>IFERROR(VLOOKUP($A387,'2018'!$A:$BB,16,FALSE),"")</f>
        <v>IGOE</v>
      </c>
      <c r="R387" s="1055" t="str">
        <f>IFERROR(VLOOKUP($A387,'2018'!$A:$BB,17,FALSE),"")</f>
        <v>N/A</v>
      </c>
      <c r="S387" s="1062" t="str">
        <f>IFERROR(VLOOKUP($A387,'2018'!$A:$BB,20,FALSE),"")</f>
        <v>NCAL</v>
      </c>
      <c r="T387" s="1062" t="str">
        <f>IFERROR(VLOOKUP($A387,'2018'!$A:$BB,21,FALSE),"")</f>
        <v>Group C (44-54)</v>
      </c>
      <c r="U387" s="1062" t="str">
        <f>IFERROR(VLOOKUP($A387,'2018'!$A:$BB,22,FALSE),"")</f>
        <v>Expanded</v>
      </c>
      <c r="V387" s="1062" t="str">
        <f>IFERROR(VLOOKUP($A387,'2018'!$A:$BB,23,FALSE),"")</f>
        <v>Advantage</v>
      </c>
      <c r="W387" s="1062" t="str">
        <f>IFERROR(VLOOKUP($A387,'2018'!$A:$BB,24,FALSE),"")</f>
        <v>No</v>
      </c>
      <c r="X387" s="1062" t="str">
        <f>IFERROR(VLOOKUP($A387,'2018'!$A:$BB,41,FALSE),"")</f>
        <v>Region 3</v>
      </c>
      <c r="Y387" s="1062" t="str">
        <f>IFERROR(VLOOKUP($A387,'2018'!$A:$BB,42,FALSE),"")</f>
        <v>(10-24)</v>
      </c>
      <c r="Z387" s="1062" t="str">
        <f>IFERROR(VLOOKUP($A387,'2018'!$A:$BB,45,FALSE),"")</f>
        <v xml:space="preserve"> (2-49)</v>
      </c>
      <c r="AA387" s="731">
        <v>2018</v>
      </c>
      <c r="AB387" s="733" t="s">
        <v>3941</v>
      </c>
      <c r="AC387" s="734" t="s">
        <v>303</v>
      </c>
      <c r="AD387" s="734" t="s">
        <v>3656</v>
      </c>
      <c r="AE387" s="734" t="s">
        <v>307</v>
      </c>
      <c r="AF387" s="734" t="s">
        <v>113</v>
      </c>
      <c r="AG387" s="732" t="s">
        <v>3972</v>
      </c>
      <c r="AH387" s="732" t="s">
        <v>4099</v>
      </c>
      <c r="AI387" s="734">
        <v>13</v>
      </c>
      <c r="AJ387" s="748" t="s">
        <v>4004</v>
      </c>
      <c r="AK387" s="757">
        <v>909678</v>
      </c>
      <c r="AL387" s="756">
        <v>580</v>
      </c>
      <c r="AM387" s="755">
        <v>909678</v>
      </c>
      <c r="AN387" s="756">
        <v>581</v>
      </c>
      <c r="AO387" s="776">
        <f t="shared" si="97"/>
        <v>909678</v>
      </c>
      <c r="AP387" s="754">
        <f t="shared" si="94"/>
        <v>582</v>
      </c>
      <c r="AQ387" s="771" t="s">
        <v>3979</v>
      </c>
      <c r="AR387" s="732" t="s">
        <v>2661</v>
      </c>
      <c r="AS387" s="735"/>
      <c r="AT387" s="735"/>
      <c r="AU387" s="732" t="s">
        <v>3980</v>
      </c>
      <c r="AV387" s="735"/>
      <c r="AW387" s="735"/>
    </row>
    <row r="388" spans="1:49">
      <c r="A388" s="736"/>
      <c r="B388" s="736"/>
      <c r="C388" s="736"/>
      <c r="D388" s="736"/>
      <c r="E388" s="736"/>
      <c r="F388" s="1059" t="str">
        <f>IFERROR(VLOOKUP($A388,'2018'!$A:$BB,3,FALSE),"")</f>
        <v/>
      </c>
      <c r="G388" s="1055" t="str">
        <f>IFERROR(VLOOKUP($A388,'2018'!$A:$BB,4,FALSE),"")</f>
        <v/>
      </c>
      <c r="H388" s="1055" t="str">
        <f>IFERROR(VLOOKUP($A388,'2018'!$A:$BB,5,FALSE),"")</f>
        <v/>
      </c>
      <c r="I388" s="1055" t="str">
        <f>IFERROR(VLOOKUP($A388,'2018'!$A:$BB,6,FALSE),"")</f>
        <v/>
      </c>
      <c r="J388" s="1055" t="str">
        <f>IFERROR(VLOOKUP($A388,'2018'!$A:$BB,7,FALSE),"")</f>
        <v/>
      </c>
      <c r="K388" s="1055" t="str">
        <f>IFERROR(VLOOKUP($A388,'2018'!$A:$BB,8,FALSE),"")</f>
        <v/>
      </c>
      <c r="L388" s="1062" t="str">
        <f>IFERROR(VLOOKUP($A388,'2018'!$A:$BB,9,FALSE),"")</f>
        <v/>
      </c>
      <c r="M388" s="1067" t="str">
        <f>IFERROR(VLOOKUP($A388,'2018'!$A:$BB,10,FALSE),"")</f>
        <v/>
      </c>
      <c r="N388" s="1062" t="str">
        <f>IFERROR(VLOOKUP($A388,'2018'!$A:$BB,12,FALSE),"")</f>
        <v/>
      </c>
      <c r="O388" s="1055" t="str">
        <f>IFERROR(VLOOKUP($A388,'2018'!$A:$BB,13,FALSE),"")</f>
        <v/>
      </c>
      <c r="P388" s="1055" t="str">
        <f>IFERROR(VLOOKUP($A388,'2018'!$A:$BB,14,FALSE),"")</f>
        <v/>
      </c>
      <c r="Q388" s="1055" t="str">
        <f>IFERROR(VLOOKUP($A388,'2018'!$A:$BB,16,FALSE),"")</f>
        <v/>
      </c>
      <c r="R388" s="1055" t="str">
        <f>IFERROR(VLOOKUP($A388,'2018'!$A:$BB,17,FALSE),"")</f>
        <v/>
      </c>
      <c r="S388" s="1062" t="str">
        <f>IFERROR(VLOOKUP($A388,'2018'!$A:$BB,20,FALSE),"")</f>
        <v/>
      </c>
      <c r="T388" s="1062" t="str">
        <f>IFERROR(VLOOKUP($A388,'2018'!$A:$BB,21,FALSE),"")</f>
        <v/>
      </c>
      <c r="U388" s="1062" t="str">
        <f>IFERROR(VLOOKUP($A388,'2018'!$A:$BB,22,FALSE),"")</f>
        <v/>
      </c>
      <c r="V388" s="1062" t="str">
        <f>IFERROR(VLOOKUP($A388,'2018'!$A:$BB,23,FALSE),"")</f>
        <v/>
      </c>
      <c r="W388" s="1062" t="str">
        <f>IFERROR(VLOOKUP($A388,'2018'!$A:$BB,24,FALSE),"")</f>
        <v/>
      </c>
      <c r="X388" s="1062" t="str">
        <f>IFERROR(VLOOKUP($A388,'2018'!$A:$BB,41,FALSE),"")</f>
        <v/>
      </c>
      <c r="Y388" s="1062" t="str">
        <f>IFERROR(VLOOKUP($A388,'2018'!$A:$BB,42,FALSE),"")</f>
        <v/>
      </c>
      <c r="Z388" s="1062" t="str">
        <f>IFERROR(VLOOKUP($A388,'2018'!$A:$BB,45,FALSE),"")</f>
        <v/>
      </c>
      <c r="AA388" s="734"/>
      <c r="AB388" s="733"/>
      <c r="AC388" s="734"/>
      <c r="AD388" s="734"/>
      <c r="AE388" s="734"/>
      <c r="AF388" s="734"/>
      <c r="AG388" s="732"/>
      <c r="AH388" s="732"/>
      <c r="AI388" s="734"/>
      <c r="AJ388" s="748"/>
      <c r="AK388" s="757"/>
      <c r="AL388" s="756"/>
      <c r="AM388" s="758"/>
      <c r="AN388" s="756"/>
      <c r="AO388" s="776"/>
      <c r="AP388" s="754"/>
      <c r="AQ388" s="771"/>
      <c r="AR388" s="732"/>
      <c r="AS388" s="735"/>
      <c r="AT388" s="735"/>
      <c r="AU388" s="732"/>
      <c r="AV388" s="735"/>
      <c r="AW388" s="735"/>
    </row>
    <row r="389" spans="1:49" s="1077" customFormat="1">
      <c r="A389" s="968" t="s">
        <v>70</v>
      </c>
      <c r="B389" s="968" t="s">
        <v>70</v>
      </c>
      <c r="C389" s="968"/>
      <c r="D389" s="968" t="s">
        <v>4175</v>
      </c>
      <c r="E389" s="968" t="s">
        <v>4175</v>
      </c>
      <c r="F389" s="1069" t="str">
        <f>IFERROR(VLOOKUP($A389,#REF!,3,FALSE),"")</f>
        <v/>
      </c>
      <c r="G389" s="1056" t="str">
        <f>IFERROR(VLOOKUP($A389,#REF!,4,FALSE),"")</f>
        <v/>
      </c>
      <c r="H389" s="1056" t="str">
        <f>IFERROR(VLOOKUP($A389,#REF!,5,FALSE),"")</f>
        <v/>
      </c>
      <c r="I389" s="1056" t="str">
        <f>IFERROR(VLOOKUP($A389,#REF!,6,FALSE),"")</f>
        <v/>
      </c>
      <c r="J389" s="1056" t="str">
        <f>IFERROR(VLOOKUP($A389,#REF!,7,FALSE),"")</f>
        <v/>
      </c>
      <c r="K389" s="1056" t="str">
        <f>IFERROR(VLOOKUP($A389,#REF!,8,FALSE),"")</f>
        <v/>
      </c>
      <c r="L389" s="1063" t="str">
        <f>IFERROR(VLOOKUP($A389,#REF!,9,FALSE),"")</f>
        <v/>
      </c>
      <c r="M389" s="1070" t="str">
        <f>IFERROR(VLOOKUP($A389,#REF!,10,FALSE),"")</f>
        <v/>
      </c>
      <c r="N389" s="1063" t="str">
        <f>IFERROR(VLOOKUP($A389,#REF!,12,FALSE),"")</f>
        <v/>
      </c>
      <c r="O389" s="1056" t="str">
        <f>IFERROR(VLOOKUP($A389,#REF!,13,FALSE),"")</f>
        <v/>
      </c>
      <c r="P389" s="1056" t="str">
        <f>IFERROR(VLOOKUP($A389,#REF!,14,FALSE),"")</f>
        <v/>
      </c>
      <c r="Q389" s="1056" t="str">
        <f>IFERROR(VLOOKUP($A389,#REF!,16,FALSE),"")</f>
        <v/>
      </c>
      <c r="R389" s="1056" t="str">
        <f>IFERROR(VLOOKUP($A389,#REF!,17,FALSE),"")</f>
        <v/>
      </c>
      <c r="S389" s="1063" t="str">
        <f>IFERROR(VLOOKUP($A389,#REF!,20,FALSE),"")</f>
        <v/>
      </c>
      <c r="T389" s="1063" t="str">
        <f>IFERROR(VLOOKUP($A389,#REF!,21,FALSE),"")</f>
        <v/>
      </c>
      <c r="U389" s="1063" t="str">
        <f>IFERROR(VLOOKUP($A389,#REF!,22,FALSE),"")</f>
        <v/>
      </c>
      <c r="V389" s="1063" t="str">
        <f>IFERROR(VLOOKUP($A389,#REF!,23,FALSE),"")</f>
        <v/>
      </c>
      <c r="W389" s="1063" t="str">
        <f>IFERROR(VLOOKUP($A389,#REF!,24,FALSE),"")</f>
        <v/>
      </c>
      <c r="X389" s="1063" t="str">
        <f>IFERROR(VLOOKUP($A389,#REF!,41,FALSE),"")</f>
        <v/>
      </c>
      <c r="Y389" s="1063" t="str">
        <f>IFERROR(VLOOKUP($A389,#REF!,42,FALSE),"")</f>
        <v/>
      </c>
      <c r="Z389" s="1063" t="str">
        <f>IFERROR(VLOOKUP($A389,#REF!,45,FALSE),"")</f>
        <v/>
      </c>
      <c r="AA389" s="1071">
        <v>2017</v>
      </c>
      <c r="AB389" s="1072">
        <v>3</v>
      </c>
      <c r="AC389" s="1073" t="s">
        <v>317</v>
      </c>
      <c r="AD389" s="1073" t="s">
        <v>4147</v>
      </c>
      <c r="AE389" s="1074" t="s">
        <v>307</v>
      </c>
      <c r="AF389" s="1074" t="s">
        <v>113</v>
      </c>
      <c r="AG389" s="968" t="s">
        <v>3986</v>
      </c>
      <c r="AH389" s="968" t="s">
        <v>3968</v>
      </c>
      <c r="AI389" s="1071">
        <v>10</v>
      </c>
      <c r="AJ389" s="1075" t="s">
        <v>3987</v>
      </c>
      <c r="AK389" s="765">
        <v>248664</v>
      </c>
      <c r="AL389" s="766">
        <v>40</v>
      </c>
      <c r="AM389" s="765">
        <v>248665</v>
      </c>
      <c r="AN389" s="766">
        <v>41</v>
      </c>
      <c r="AO389" s="777">
        <f t="shared" ref="AO389:AO441" si="98">AM389+1</f>
        <v>248666</v>
      </c>
      <c r="AP389" s="778">
        <f t="shared" ref="AP389:AP455" si="99">AN389+1</f>
        <v>42</v>
      </c>
      <c r="AQ389" s="1076"/>
      <c r="AR389" s="968"/>
      <c r="AS389" s="968"/>
      <c r="AT389" s="968"/>
      <c r="AU389" s="968"/>
      <c r="AV389" s="968"/>
      <c r="AW389" s="968"/>
    </row>
    <row r="390" spans="1:49" s="1077" customFormat="1">
      <c r="A390" s="968" t="s">
        <v>70</v>
      </c>
      <c r="B390" s="968" t="s">
        <v>70</v>
      </c>
      <c r="C390" s="968"/>
      <c r="D390" s="968" t="s">
        <v>4175</v>
      </c>
      <c r="E390" s="968" t="s">
        <v>4175</v>
      </c>
      <c r="F390" s="1069" t="str">
        <f>IFERROR(VLOOKUP($A390,#REF!,3,FALSE),"")</f>
        <v/>
      </c>
      <c r="G390" s="1056" t="str">
        <f>IFERROR(VLOOKUP($A390,#REF!,4,FALSE),"")</f>
        <v/>
      </c>
      <c r="H390" s="1056" t="str">
        <f>IFERROR(VLOOKUP($A390,#REF!,5,FALSE),"")</f>
        <v/>
      </c>
      <c r="I390" s="1056" t="str">
        <f>IFERROR(VLOOKUP($A390,#REF!,6,FALSE),"")</f>
        <v/>
      </c>
      <c r="J390" s="1056" t="str">
        <f>IFERROR(VLOOKUP($A390,#REF!,7,FALSE),"")</f>
        <v/>
      </c>
      <c r="K390" s="1056" t="str">
        <f>IFERROR(VLOOKUP($A390,#REF!,8,FALSE),"")</f>
        <v/>
      </c>
      <c r="L390" s="1063" t="str">
        <f>IFERROR(VLOOKUP($A390,#REF!,9,FALSE),"")</f>
        <v/>
      </c>
      <c r="M390" s="1070" t="str">
        <f>IFERROR(VLOOKUP($A390,#REF!,10,FALSE),"")</f>
        <v/>
      </c>
      <c r="N390" s="1063" t="str">
        <f>IFERROR(VLOOKUP($A390,#REF!,12,FALSE),"")</f>
        <v/>
      </c>
      <c r="O390" s="1056" t="str">
        <f>IFERROR(VLOOKUP($A390,#REF!,13,FALSE),"")</f>
        <v/>
      </c>
      <c r="P390" s="1056" t="str">
        <f>IFERROR(VLOOKUP($A390,#REF!,14,FALSE),"")</f>
        <v/>
      </c>
      <c r="Q390" s="1056" t="str">
        <f>IFERROR(VLOOKUP($A390,#REF!,16,FALSE),"")</f>
        <v/>
      </c>
      <c r="R390" s="1056" t="str">
        <f>IFERROR(VLOOKUP($A390,#REF!,17,FALSE),"")</f>
        <v/>
      </c>
      <c r="S390" s="1063" t="str">
        <f>IFERROR(VLOOKUP($A390,#REF!,20,FALSE),"")</f>
        <v/>
      </c>
      <c r="T390" s="1063" t="str">
        <f>IFERROR(VLOOKUP($A390,#REF!,21,FALSE),"")</f>
        <v/>
      </c>
      <c r="U390" s="1063" t="str">
        <f>IFERROR(VLOOKUP($A390,#REF!,22,FALSE),"")</f>
        <v/>
      </c>
      <c r="V390" s="1063" t="str">
        <f>IFERROR(VLOOKUP($A390,#REF!,23,FALSE),"")</f>
        <v/>
      </c>
      <c r="W390" s="1063" t="str">
        <f>IFERROR(VLOOKUP($A390,#REF!,24,FALSE),"")</f>
        <v/>
      </c>
      <c r="X390" s="1063" t="str">
        <f>IFERROR(VLOOKUP($A390,#REF!,41,FALSE),"")</f>
        <v/>
      </c>
      <c r="Y390" s="1063" t="str">
        <f>IFERROR(VLOOKUP($A390,#REF!,42,FALSE),"")</f>
        <v/>
      </c>
      <c r="Z390" s="1063" t="str">
        <f>IFERROR(VLOOKUP($A390,#REF!,45,FALSE),"")</f>
        <v/>
      </c>
      <c r="AA390" s="1071">
        <v>2017</v>
      </c>
      <c r="AB390" s="1072">
        <v>3</v>
      </c>
      <c r="AC390" s="1073" t="s">
        <v>317</v>
      </c>
      <c r="AD390" s="1073" t="s">
        <v>4147</v>
      </c>
      <c r="AE390" s="1074" t="s">
        <v>307</v>
      </c>
      <c r="AF390" s="1074" t="s">
        <v>113</v>
      </c>
      <c r="AG390" s="968" t="s">
        <v>3981</v>
      </c>
      <c r="AH390" s="968" t="s">
        <v>3973</v>
      </c>
      <c r="AI390" s="1071">
        <v>11</v>
      </c>
      <c r="AJ390" s="1075" t="s">
        <v>3982</v>
      </c>
      <c r="AK390" s="765">
        <v>909678</v>
      </c>
      <c r="AL390" s="766">
        <v>13</v>
      </c>
      <c r="AM390" s="765">
        <v>909678</v>
      </c>
      <c r="AN390" s="766">
        <v>14</v>
      </c>
      <c r="AO390" s="777">
        <f>AM390</f>
        <v>909678</v>
      </c>
      <c r="AP390" s="778">
        <f t="shared" si="99"/>
        <v>15</v>
      </c>
      <c r="AQ390" s="1076"/>
      <c r="AR390" s="968"/>
      <c r="AS390" s="968"/>
      <c r="AT390" s="968"/>
      <c r="AU390" s="968"/>
      <c r="AV390" s="968"/>
      <c r="AW390" s="968"/>
    </row>
    <row r="391" spans="1:49" s="1077" customFormat="1">
      <c r="A391" s="968" t="s">
        <v>70</v>
      </c>
      <c r="B391" s="968" t="s">
        <v>70</v>
      </c>
      <c r="C391" s="968"/>
      <c r="D391" s="968" t="s">
        <v>4175</v>
      </c>
      <c r="E391" s="968" t="s">
        <v>4175</v>
      </c>
      <c r="F391" s="1069" t="str">
        <f>IFERROR(VLOOKUP($A391,#REF!,3,FALSE),"")</f>
        <v/>
      </c>
      <c r="G391" s="1056" t="str">
        <f>IFERROR(VLOOKUP($A391,#REF!,4,FALSE),"")</f>
        <v/>
      </c>
      <c r="H391" s="1056" t="str">
        <f>IFERROR(VLOOKUP($A391,#REF!,5,FALSE),"")</f>
        <v/>
      </c>
      <c r="I391" s="1056" t="str">
        <f>IFERROR(VLOOKUP($A391,#REF!,6,FALSE),"")</f>
        <v/>
      </c>
      <c r="J391" s="1056" t="str">
        <f>IFERROR(VLOOKUP($A391,#REF!,7,FALSE),"")</f>
        <v/>
      </c>
      <c r="K391" s="1056" t="str">
        <f>IFERROR(VLOOKUP($A391,#REF!,8,FALSE),"")</f>
        <v/>
      </c>
      <c r="L391" s="1063" t="str">
        <f>IFERROR(VLOOKUP($A391,#REF!,9,FALSE),"")</f>
        <v/>
      </c>
      <c r="M391" s="1070" t="str">
        <f>IFERROR(VLOOKUP($A391,#REF!,10,FALSE),"")</f>
        <v/>
      </c>
      <c r="N391" s="1063" t="str">
        <f>IFERROR(VLOOKUP($A391,#REF!,12,FALSE),"")</f>
        <v/>
      </c>
      <c r="O391" s="1056" t="str">
        <f>IFERROR(VLOOKUP($A391,#REF!,13,FALSE),"")</f>
        <v/>
      </c>
      <c r="P391" s="1056" t="str">
        <f>IFERROR(VLOOKUP($A391,#REF!,14,FALSE),"")</f>
        <v/>
      </c>
      <c r="Q391" s="1056" t="str">
        <f>IFERROR(VLOOKUP($A391,#REF!,16,FALSE),"")</f>
        <v/>
      </c>
      <c r="R391" s="1056" t="str">
        <f>IFERROR(VLOOKUP($A391,#REF!,17,FALSE),"")</f>
        <v/>
      </c>
      <c r="S391" s="1063" t="str">
        <f>IFERROR(VLOOKUP($A391,#REF!,20,FALSE),"")</f>
        <v/>
      </c>
      <c r="T391" s="1063" t="str">
        <f>IFERROR(VLOOKUP($A391,#REF!,21,FALSE),"")</f>
        <v/>
      </c>
      <c r="U391" s="1063" t="str">
        <f>IFERROR(VLOOKUP($A391,#REF!,22,FALSE),"")</f>
        <v/>
      </c>
      <c r="V391" s="1063" t="str">
        <f>IFERROR(VLOOKUP($A391,#REF!,23,FALSE),"")</f>
        <v/>
      </c>
      <c r="W391" s="1063" t="str">
        <f>IFERROR(VLOOKUP($A391,#REF!,24,FALSE),"")</f>
        <v/>
      </c>
      <c r="X391" s="1063" t="str">
        <f>IFERROR(VLOOKUP($A391,#REF!,41,FALSE),"")</f>
        <v/>
      </c>
      <c r="Y391" s="1063" t="str">
        <f>IFERROR(VLOOKUP($A391,#REF!,42,FALSE),"")</f>
        <v/>
      </c>
      <c r="Z391" s="1063" t="str">
        <f>IFERROR(VLOOKUP($A391,#REF!,45,FALSE),"")</f>
        <v/>
      </c>
      <c r="AA391" s="1071">
        <v>2017</v>
      </c>
      <c r="AB391" s="1072">
        <v>3</v>
      </c>
      <c r="AC391" s="1073" t="s">
        <v>317</v>
      </c>
      <c r="AD391" s="1073" t="s">
        <v>4147</v>
      </c>
      <c r="AE391" s="1074" t="s">
        <v>307</v>
      </c>
      <c r="AF391" s="1074" t="s">
        <v>113</v>
      </c>
      <c r="AG391" s="968" t="s">
        <v>3981</v>
      </c>
      <c r="AH391" s="968" t="s">
        <v>3977</v>
      </c>
      <c r="AI391" s="1071">
        <v>16</v>
      </c>
      <c r="AJ391" s="1075" t="s">
        <v>3985</v>
      </c>
      <c r="AK391" s="765"/>
      <c r="AL391" s="766"/>
      <c r="AM391" s="765"/>
      <c r="AN391" s="766"/>
      <c r="AO391" s="777"/>
      <c r="AP391" s="778"/>
      <c r="AQ391" s="1076"/>
      <c r="AR391" s="968"/>
      <c r="AS391" s="968"/>
      <c r="AT391" s="968"/>
      <c r="AU391" s="968"/>
      <c r="AV391" s="968"/>
      <c r="AW391" s="968"/>
    </row>
    <row r="392" spans="1:49" s="1077" customFormat="1">
      <c r="A392" s="968"/>
      <c r="B392" s="968"/>
      <c r="C392" s="968"/>
      <c r="D392" s="968"/>
      <c r="E392" s="968"/>
      <c r="F392" s="1069" t="str">
        <f>IFERROR(VLOOKUP($A392,#REF!,3,FALSE),"")</f>
        <v/>
      </c>
      <c r="G392" s="1056" t="str">
        <f>IFERROR(VLOOKUP($A392,#REF!,4,FALSE),"")</f>
        <v/>
      </c>
      <c r="H392" s="1056" t="str">
        <f>IFERROR(VLOOKUP($A392,#REF!,5,FALSE),"")</f>
        <v/>
      </c>
      <c r="I392" s="1056" t="str">
        <f>IFERROR(VLOOKUP($A392,#REF!,6,FALSE),"")</f>
        <v/>
      </c>
      <c r="J392" s="1056" t="str">
        <f>IFERROR(VLOOKUP($A392,#REF!,7,FALSE),"")</f>
        <v/>
      </c>
      <c r="K392" s="1056" t="str">
        <f>IFERROR(VLOOKUP($A392,#REF!,8,FALSE),"")</f>
        <v/>
      </c>
      <c r="L392" s="1063" t="str">
        <f>IFERROR(VLOOKUP($A392,#REF!,9,FALSE),"")</f>
        <v/>
      </c>
      <c r="M392" s="1070" t="str">
        <f>IFERROR(VLOOKUP($A392,#REF!,10,FALSE),"")</f>
        <v/>
      </c>
      <c r="N392" s="1063" t="str">
        <f>IFERROR(VLOOKUP($A392,#REF!,12,FALSE),"")</f>
        <v/>
      </c>
      <c r="O392" s="1056" t="str">
        <f>IFERROR(VLOOKUP($A392,#REF!,13,FALSE),"")</f>
        <v/>
      </c>
      <c r="P392" s="1056" t="str">
        <f>IFERROR(VLOOKUP($A392,#REF!,14,FALSE),"")</f>
        <v/>
      </c>
      <c r="Q392" s="1056" t="str">
        <f>IFERROR(VLOOKUP($A392,#REF!,16,FALSE),"")</f>
        <v/>
      </c>
      <c r="R392" s="1056" t="str">
        <f>IFERROR(VLOOKUP($A392,#REF!,17,FALSE),"")</f>
        <v/>
      </c>
      <c r="S392" s="1063" t="str">
        <f>IFERROR(VLOOKUP($A392,#REF!,20,FALSE),"")</f>
        <v/>
      </c>
      <c r="T392" s="1063" t="str">
        <f>IFERROR(VLOOKUP($A392,#REF!,21,FALSE),"")</f>
        <v/>
      </c>
      <c r="U392" s="1063" t="str">
        <f>IFERROR(VLOOKUP($A392,#REF!,22,FALSE),"")</f>
        <v/>
      </c>
      <c r="V392" s="1063" t="str">
        <f>IFERROR(VLOOKUP($A392,#REF!,23,FALSE),"")</f>
        <v/>
      </c>
      <c r="W392" s="1063" t="str">
        <f>IFERROR(VLOOKUP($A392,#REF!,24,FALSE),"")</f>
        <v/>
      </c>
      <c r="X392" s="1063" t="str">
        <f>IFERROR(VLOOKUP($A392,#REF!,41,FALSE),"")</f>
        <v/>
      </c>
      <c r="Y392" s="1063" t="str">
        <f>IFERROR(VLOOKUP($A392,#REF!,42,FALSE),"")</f>
        <v/>
      </c>
      <c r="Z392" s="1063" t="str">
        <f>IFERROR(VLOOKUP($A392,#REF!,45,FALSE),"")</f>
        <v/>
      </c>
      <c r="AA392" s="1071"/>
      <c r="AB392" s="1072"/>
      <c r="AC392" s="1073"/>
      <c r="AD392" s="1073"/>
      <c r="AE392" s="1071"/>
      <c r="AF392" s="1071"/>
      <c r="AG392" s="968"/>
      <c r="AH392" s="968"/>
      <c r="AI392" s="1071"/>
      <c r="AJ392" s="1075"/>
      <c r="AK392" s="765"/>
      <c r="AL392" s="766"/>
      <c r="AM392" s="765"/>
      <c r="AN392" s="766"/>
      <c r="AO392" s="777"/>
      <c r="AP392" s="778"/>
      <c r="AQ392" s="1076"/>
      <c r="AR392" s="968"/>
      <c r="AS392" s="968"/>
      <c r="AT392" s="968"/>
      <c r="AU392" s="968"/>
      <c r="AV392" s="968"/>
      <c r="AW392" s="968"/>
    </row>
    <row r="393" spans="1:49" s="1077" customFormat="1">
      <c r="A393" s="968" t="s">
        <v>83</v>
      </c>
      <c r="B393" s="968" t="s">
        <v>83</v>
      </c>
      <c r="C393" s="968"/>
      <c r="D393" s="968" t="s">
        <v>83</v>
      </c>
      <c r="E393" s="968" t="s">
        <v>83</v>
      </c>
      <c r="F393" s="1069" t="str">
        <f>IFERROR(VLOOKUP($A393,#REF!,3,FALSE),"")</f>
        <v/>
      </c>
      <c r="G393" s="1056" t="str">
        <f>IFERROR(VLOOKUP($A393,#REF!,4,FALSE),"")</f>
        <v/>
      </c>
      <c r="H393" s="1056" t="str">
        <f>IFERROR(VLOOKUP($A393,#REF!,5,FALSE),"")</f>
        <v/>
      </c>
      <c r="I393" s="1056" t="str">
        <f>IFERROR(VLOOKUP($A393,#REF!,6,FALSE),"")</f>
        <v/>
      </c>
      <c r="J393" s="1056" t="str">
        <f>IFERROR(VLOOKUP($A393,#REF!,7,FALSE),"")</f>
        <v/>
      </c>
      <c r="K393" s="1056" t="str">
        <f>IFERROR(VLOOKUP($A393,#REF!,8,FALSE),"")</f>
        <v/>
      </c>
      <c r="L393" s="1063" t="str">
        <f>IFERROR(VLOOKUP($A393,#REF!,9,FALSE),"")</f>
        <v/>
      </c>
      <c r="M393" s="1070" t="str">
        <f>IFERROR(VLOOKUP($A393,#REF!,10,FALSE),"")</f>
        <v/>
      </c>
      <c r="N393" s="1063" t="str">
        <f>IFERROR(VLOOKUP($A393,#REF!,12,FALSE),"")</f>
        <v/>
      </c>
      <c r="O393" s="1056" t="str">
        <f>IFERROR(VLOOKUP($A393,#REF!,13,FALSE),"")</f>
        <v/>
      </c>
      <c r="P393" s="1056" t="str">
        <f>IFERROR(VLOOKUP($A393,#REF!,14,FALSE),"")</f>
        <v/>
      </c>
      <c r="Q393" s="1056" t="str">
        <f>IFERROR(VLOOKUP($A393,#REF!,16,FALSE),"")</f>
        <v/>
      </c>
      <c r="R393" s="1056" t="str">
        <f>IFERROR(VLOOKUP($A393,#REF!,17,FALSE),"")</f>
        <v/>
      </c>
      <c r="S393" s="1063" t="str">
        <f>IFERROR(VLOOKUP($A393,#REF!,20,FALSE),"")</f>
        <v/>
      </c>
      <c r="T393" s="1063" t="str">
        <f>IFERROR(VLOOKUP($A393,#REF!,21,FALSE),"")</f>
        <v/>
      </c>
      <c r="U393" s="1063" t="str">
        <f>IFERROR(VLOOKUP($A393,#REF!,22,FALSE),"")</f>
        <v/>
      </c>
      <c r="V393" s="1063" t="str">
        <f>IFERROR(VLOOKUP($A393,#REF!,23,FALSE),"")</f>
        <v/>
      </c>
      <c r="W393" s="1063" t="str">
        <f>IFERROR(VLOOKUP($A393,#REF!,24,FALSE),"")</f>
        <v/>
      </c>
      <c r="X393" s="1063" t="str">
        <f>IFERROR(VLOOKUP($A393,#REF!,41,FALSE),"")</f>
        <v/>
      </c>
      <c r="Y393" s="1063" t="str">
        <f>IFERROR(VLOOKUP($A393,#REF!,42,FALSE),"")</f>
        <v/>
      </c>
      <c r="Z393" s="1063" t="str">
        <f>IFERROR(VLOOKUP($A393,#REF!,45,FALSE),"")</f>
        <v/>
      </c>
      <c r="AA393" s="1071">
        <v>2017</v>
      </c>
      <c r="AB393" s="1072">
        <v>14</v>
      </c>
      <c r="AC393" s="1073" t="s">
        <v>317</v>
      </c>
      <c r="AD393" s="1073" t="s">
        <v>3648</v>
      </c>
      <c r="AE393" s="1074" t="s">
        <v>307</v>
      </c>
      <c r="AF393" s="1074" t="s">
        <v>113</v>
      </c>
      <c r="AG393" s="968" t="s">
        <v>3962</v>
      </c>
      <c r="AH393" s="968" t="s">
        <v>3963</v>
      </c>
      <c r="AI393" s="1071">
        <v>1</v>
      </c>
      <c r="AJ393" s="1075" t="s">
        <v>3998</v>
      </c>
      <c r="AK393" s="765">
        <v>260021</v>
      </c>
      <c r="AL393" s="766">
        <v>22</v>
      </c>
      <c r="AM393" s="765">
        <v>260022</v>
      </c>
      <c r="AN393" s="766">
        <v>23</v>
      </c>
      <c r="AO393" s="777">
        <f t="shared" si="98"/>
        <v>260023</v>
      </c>
      <c r="AP393" s="778">
        <f t="shared" si="99"/>
        <v>24</v>
      </c>
      <c r="AQ393" s="1076"/>
      <c r="AR393" s="968"/>
      <c r="AS393" s="968"/>
      <c r="AT393" s="968"/>
      <c r="AU393" s="968"/>
      <c r="AV393" s="968"/>
      <c r="AW393" s="968"/>
    </row>
    <row r="394" spans="1:49" s="1077" customFormat="1">
      <c r="A394" s="968" t="s">
        <v>83</v>
      </c>
      <c r="B394" s="968" t="s">
        <v>83</v>
      </c>
      <c r="C394" s="968"/>
      <c r="D394" s="968" t="s">
        <v>83</v>
      </c>
      <c r="E394" s="968" t="s">
        <v>83</v>
      </c>
      <c r="F394" s="1069" t="str">
        <f>IFERROR(VLOOKUP($A394,#REF!,3,FALSE),"")</f>
        <v/>
      </c>
      <c r="G394" s="1056" t="str">
        <f>IFERROR(VLOOKUP($A394,#REF!,4,FALSE),"")</f>
        <v/>
      </c>
      <c r="H394" s="1056" t="str">
        <f>IFERROR(VLOOKUP($A394,#REF!,5,FALSE),"")</f>
        <v/>
      </c>
      <c r="I394" s="1056" t="str">
        <f>IFERROR(VLOOKUP($A394,#REF!,6,FALSE),"")</f>
        <v/>
      </c>
      <c r="J394" s="1056" t="str">
        <f>IFERROR(VLOOKUP($A394,#REF!,7,FALSE),"")</f>
        <v/>
      </c>
      <c r="K394" s="1056" t="str">
        <f>IFERROR(VLOOKUP($A394,#REF!,8,FALSE),"")</f>
        <v/>
      </c>
      <c r="L394" s="1063" t="str">
        <f>IFERROR(VLOOKUP($A394,#REF!,9,FALSE),"")</f>
        <v/>
      </c>
      <c r="M394" s="1070" t="str">
        <f>IFERROR(VLOOKUP($A394,#REF!,10,FALSE),"")</f>
        <v/>
      </c>
      <c r="N394" s="1063" t="str">
        <f>IFERROR(VLOOKUP($A394,#REF!,12,FALSE),"")</f>
        <v/>
      </c>
      <c r="O394" s="1056" t="str">
        <f>IFERROR(VLOOKUP($A394,#REF!,13,FALSE),"")</f>
        <v/>
      </c>
      <c r="P394" s="1056" t="str">
        <f>IFERROR(VLOOKUP($A394,#REF!,14,FALSE),"")</f>
        <v/>
      </c>
      <c r="Q394" s="1056" t="str">
        <f>IFERROR(VLOOKUP($A394,#REF!,16,FALSE),"")</f>
        <v/>
      </c>
      <c r="R394" s="1056" t="str">
        <f>IFERROR(VLOOKUP($A394,#REF!,17,FALSE),"")</f>
        <v/>
      </c>
      <c r="S394" s="1063" t="str">
        <f>IFERROR(VLOOKUP($A394,#REF!,20,FALSE),"")</f>
        <v/>
      </c>
      <c r="T394" s="1063" t="str">
        <f>IFERROR(VLOOKUP($A394,#REF!,21,FALSE),"")</f>
        <v/>
      </c>
      <c r="U394" s="1063" t="str">
        <f>IFERROR(VLOOKUP($A394,#REF!,22,FALSE),"")</f>
        <v/>
      </c>
      <c r="V394" s="1063" t="str">
        <f>IFERROR(VLOOKUP($A394,#REF!,23,FALSE),"")</f>
        <v/>
      </c>
      <c r="W394" s="1063" t="str">
        <f>IFERROR(VLOOKUP($A394,#REF!,24,FALSE),"")</f>
        <v/>
      </c>
      <c r="X394" s="1063" t="str">
        <f>IFERROR(VLOOKUP($A394,#REF!,41,FALSE),"")</f>
        <v/>
      </c>
      <c r="Y394" s="1063" t="str">
        <f>IFERROR(VLOOKUP($A394,#REF!,42,FALSE),"")</f>
        <v/>
      </c>
      <c r="Z394" s="1063" t="str">
        <f>IFERROR(VLOOKUP($A394,#REF!,45,FALSE),"")</f>
        <v/>
      </c>
      <c r="AA394" s="1071">
        <v>2017</v>
      </c>
      <c r="AB394" s="1072">
        <v>14</v>
      </c>
      <c r="AC394" s="1073" t="s">
        <v>317</v>
      </c>
      <c r="AD394" s="1073" t="s">
        <v>3648</v>
      </c>
      <c r="AE394" s="1074" t="s">
        <v>307</v>
      </c>
      <c r="AF394" s="1074" t="s">
        <v>113</v>
      </c>
      <c r="AG394" s="968" t="s">
        <v>3972</v>
      </c>
      <c r="AH394" s="968" t="s">
        <v>3973</v>
      </c>
      <c r="AI394" s="1071">
        <v>7</v>
      </c>
      <c r="AJ394" s="1075" t="s">
        <v>4001</v>
      </c>
      <c r="AK394" s="765">
        <v>909678</v>
      </c>
      <c r="AL394" s="766">
        <v>88</v>
      </c>
      <c r="AM394" s="765">
        <v>909678</v>
      </c>
      <c r="AN394" s="766">
        <v>89</v>
      </c>
      <c r="AO394" s="777">
        <f>AM394</f>
        <v>909678</v>
      </c>
      <c r="AP394" s="778">
        <f t="shared" si="99"/>
        <v>90</v>
      </c>
      <c r="AQ394" s="1076"/>
      <c r="AR394" s="968"/>
      <c r="AS394" s="968"/>
      <c r="AT394" s="968"/>
      <c r="AU394" s="968"/>
      <c r="AV394" s="968"/>
      <c r="AW394" s="968"/>
    </row>
    <row r="395" spans="1:49" s="1077" customFormat="1">
      <c r="A395" s="968" t="s">
        <v>83</v>
      </c>
      <c r="B395" s="968" t="s">
        <v>83</v>
      </c>
      <c r="C395" s="968"/>
      <c r="D395" s="968" t="s">
        <v>83</v>
      </c>
      <c r="E395" s="968" t="s">
        <v>83</v>
      </c>
      <c r="F395" s="1069" t="str">
        <f>IFERROR(VLOOKUP($A395,#REF!,3,FALSE),"")</f>
        <v/>
      </c>
      <c r="G395" s="1056" t="str">
        <f>IFERROR(VLOOKUP($A395,#REF!,4,FALSE),"")</f>
        <v/>
      </c>
      <c r="H395" s="1056" t="str">
        <f>IFERROR(VLOOKUP($A395,#REF!,5,FALSE),"")</f>
        <v/>
      </c>
      <c r="I395" s="1056" t="str">
        <f>IFERROR(VLOOKUP($A395,#REF!,6,FALSE),"")</f>
        <v/>
      </c>
      <c r="J395" s="1056" t="str">
        <f>IFERROR(VLOOKUP($A395,#REF!,7,FALSE),"")</f>
        <v/>
      </c>
      <c r="K395" s="1056" t="str">
        <f>IFERROR(VLOOKUP($A395,#REF!,8,FALSE),"")</f>
        <v/>
      </c>
      <c r="L395" s="1063" t="str">
        <f>IFERROR(VLOOKUP($A395,#REF!,9,FALSE),"")</f>
        <v/>
      </c>
      <c r="M395" s="1070" t="str">
        <f>IFERROR(VLOOKUP($A395,#REF!,10,FALSE),"")</f>
        <v/>
      </c>
      <c r="N395" s="1063" t="str">
        <f>IFERROR(VLOOKUP($A395,#REF!,12,FALSE),"")</f>
        <v/>
      </c>
      <c r="O395" s="1056" t="str">
        <f>IFERROR(VLOOKUP($A395,#REF!,13,FALSE),"")</f>
        <v/>
      </c>
      <c r="P395" s="1056" t="str">
        <f>IFERROR(VLOOKUP($A395,#REF!,14,FALSE),"")</f>
        <v/>
      </c>
      <c r="Q395" s="1056" t="str">
        <f>IFERROR(VLOOKUP($A395,#REF!,16,FALSE),"")</f>
        <v/>
      </c>
      <c r="R395" s="1056" t="str">
        <f>IFERROR(VLOOKUP($A395,#REF!,17,FALSE),"")</f>
        <v/>
      </c>
      <c r="S395" s="1063" t="str">
        <f>IFERROR(VLOOKUP($A395,#REF!,20,FALSE),"")</f>
        <v/>
      </c>
      <c r="T395" s="1063" t="str">
        <f>IFERROR(VLOOKUP($A395,#REF!,21,FALSE),"")</f>
        <v/>
      </c>
      <c r="U395" s="1063" t="str">
        <f>IFERROR(VLOOKUP($A395,#REF!,22,FALSE),"")</f>
        <v/>
      </c>
      <c r="V395" s="1063" t="str">
        <f>IFERROR(VLOOKUP($A395,#REF!,23,FALSE),"")</f>
        <v/>
      </c>
      <c r="W395" s="1063" t="str">
        <f>IFERROR(VLOOKUP($A395,#REF!,24,FALSE),"")</f>
        <v/>
      </c>
      <c r="X395" s="1063" t="str">
        <f>IFERROR(VLOOKUP($A395,#REF!,41,FALSE),"")</f>
        <v/>
      </c>
      <c r="Y395" s="1063" t="str">
        <f>IFERROR(VLOOKUP($A395,#REF!,42,FALSE),"")</f>
        <v/>
      </c>
      <c r="Z395" s="1063" t="str">
        <f>IFERROR(VLOOKUP($A395,#REF!,45,FALSE),"")</f>
        <v/>
      </c>
      <c r="AA395" s="1071">
        <v>2017</v>
      </c>
      <c r="AB395" s="1072">
        <v>14</v>
      </c>
      <c r="AC395" s="1073" t="s">
        <v>317</v>
      </c>
      <c r="AD395" s="1073" t="s">
        <v>3648</v>
      </c>
      <c r="AE395" s="1074" t="s">
        <v>307</v>
      </c>
      <c r="AF395" s="1074" t="s">
        <v>113</v>
      </c>
      <c r="AG395" s="968" t="s">
        <v>3972</v>
      </c>
      <c r="AH395" s="968" t="s">
        <v>3977</v>
      </c>
      <c r="AI395" s="1071">
        <v>13</v>
      </c>
      <c r="AJ395" s="1075" t="s">
        <v>4004</v>
      </c>
      <c r="AK395" s="765"/>
      <c r="AL395" s="766"/>
      <c r="AM395" s="765"/>
      <c r="AN395" s="766"/>
      <c r="AO395" s="777"/>
      <c r="AP395" s="778"/>
      <c r="AQ395" s="1076"/>
      <c r="AR395" s="968"/>
      <c r="AS395" s="968"/>
      <c r="AT395" s="968"/>
      <c r="AU395" s="968"/>
      <c r="AV395" s="968"/>
      <c r="AW395" s="968"/>
    </row>
    <row r="396" spans="1:49" s="1077" customFormat="1">
      <c r="A396" s="968"/>
      <c r="B396" s="968"/>
      <c r="C396" s="968"/>
      <c r="D396" s="968"/>
      <c r="E396" s="968"/>
      <c r="F396" s="1069" t="str">
        <f>IFERROR(VLOOKUP($A396,#REF!,3,FALSE),"")</f>
        <v/>
      </c>
      <c r="G396" s="1056" t="str">
        <f>IFERROR(VLOOKUP($A396,#REF!,4,FALSE),"")</f>
        <v/>
      </c>
      <c r="H396" s="1056" t="str">
        <f>IFERROR(VLOOKUP($A396,#REF!,5,FALSE),"")</f>
        <v/>
      </c>
      <c r="I396" s="1056" t="str">
        <f>IFERROR(VLOOKUP($A396,#REF!,6,FALSE),"")</f>
        <v/>
      </c>
      <c r="J396" s="1056" t="str">
        <f>IFERROR(VLOOKUP($A396,#REF!,7,FALSE),"")</f>
        <v/>
      </c>
      <c r="K396" s="1056" t="str">
        <f>IFERROR(VLOOKUP($A396,#REF!,8,FALSE),"")</f>
        <v/>
      </c>
      <c r="L396" s="1063" t="str">
        <f>IFERROR(VLOOKUP($A396,#REF!,9,FALSE),"")</f>
        <v/>
      </c>
      <c r="M396" s="1070" t="str">
        <f>IFERROR(VLOOKUP($A396,#REF!,10,FALSE),"")</f>
        <v/>
      </c>
      <c r="N396" s="1063" t="str">
        <f>IFERROR(VLOOKUP($A396,#REF!,12,FALSE),"")</f>
        <v/>
      </c>
      <c r="O396" s="1056" t="str">
        <f>IFERROR(VLOOKUP($A396,#REF!,13,FALSE),"")</f>
        <v/>
      </c>
      <c r="P396" s="1056" t="str">
        <f>IFERROR(VLOOKUP($A396,#REF!,14,FALSE),"")</f>
        <v/>
      </c>
      <c r="Q396" s="1056" t="str">
        <f>IFERROR(VLOOKUP($A396,#REF!,16,FALSE),"")</f>
        <v/>
      </c>
      <c r="R396" s="1056" t="str">
        <f>IFERROR(VLOOKUP($A396,#REF!,17,FALSE),"")</f>
        <v/>
      </c>
      <c r="S396" s="1063" t="str">
        <f>IFERROR(VLOOKUP($A396,#REF!,20,FALSE),"")</f>
        <v/>
      </c>
      <c r="T396" s="1063" t="str">
        <f>IFERROR(VLOOKUP($A396,#REF!,21,FALSE),"")</f>
        <v/>
      </c>
      <c r="U396" s="1063" t="str">
        <f>IFERROR(VLOOKUP($A396,#REF!,22,FALSE),"")</f>
        <v/>
      </c>
      <c r="V396" s="1063" t="str">
        <f>IFERROR(VLOOKUP($A396,#REF!,23,FALSE),"")</f>
        <v/>
      </c>
      <c r="W396" s="1063" t="str">
        <f>IFERROR(VLOOKUP($A396,#REF!,24,FALSE),"")</f>
        <v/>
      </c>
      <c r="X396" s="1063" t="str">
        <f>IFERROR(VLOOKUP($A396,#REF!,41,FALSE),"")</f>
        <v/>
      </c>
      <c r="Y396" s="1063" t="str">
        <f>IFERROR(VLOOKUP($A396,#REF!,42,FALSE),"")</f>
        <v/>
      </c>
      <c r="Z396" s="1063" t="str">
        <f>IFERROR(VLOOKUP($A396,#REF!,45,FALSE),"")</f>
        <v/>
      </c>
      <c r="AA396" s="1071"/>
      <c r="AB396" s="1072"/>
      <c r="AC396" s="1073"/>
      <c r="AD396" s="1073"/>
      <c r="AE396" s="1074"/>
      <c r="AF396" s="1074"/>
      <c r="AG396" s="968"/>
      <c r="AH396" s="968"/>
      <c r="AI396" s="1071"/>
      <c r="AJ396" s="1075"/>
      <c r="AK396" s="765"/>
      <c r="AL396" s="766"/>
      <c r="AM396" s="765"/>
      <c r="AN396" s="766"/>
      <c r="AO396" s="777"/>
      <c r="AP396" s="778"/>
      <c r="AQ396" s="1076"/>
      <c r="AR396" s="968"/>
      <c r="AS396" s="968"/>
      <c r="AT396" s="968"/>
      <c r="AU396" s="968"/>
      <c r="AV396" s="968"/>
      <c r="AW396" s="968"/>
    </row>
    <row r="397" spans="1:49" s="1077" customFormat="1">
      <c r="A397" s="968" t="s">
        <v>90</v>
      </c>
      <c r="B397" s="968" t="s">
        <v>4005</v>
      </c>
      <c r="C397" s="968"/>
      <c r="D397" s="968" t="s">
        <v>4005</v>
      </c>
      <c r="E397" s="968" t="s">
        <v>4005</v>
      </c>
      <c r="F397" s="1069" t="str">
        <f>IFERROR(VLOOKUP($A397,#REF!,3,FALSE),"")</f>
        <v/>
      </c>
      <c r="G397" s="1056" t="str">
        <f>IFERROR(VLOOKUP($A397,#REF!,4,FALSE),"")</f>
        <v/>
      </c>
      <c r="H397" s="1056" t="str">
        <f>IFERROR(VLOOKUP($A397,#REF!,5,FALSE),"")</f>
        <v/>
      </c>
      <c r="I397" s="1056" t="str">
        <f>IFERROR(VLOOKUP($A397,#REF!,6,FALSE),"")</f>
        <v/>
      </c>
      <c r="J397" s="1056" t="str">
        <f>IFERROR(VLOOKUP($A397,#REF!,7,FALSE),"")</f>
        <v/>
      </c>
      <c r="K397" s="1056" t="str">
        <f>IFERROR(VLOOKUP($A397,#REF!,8,FALSE),"")</f>
        <v/>
      </c>
      <c r="L397" s="1063" t="str">
        <f>IFERROR(VLOOKUP($A397,#REF!,9,FALSE),"")</f>
        <v/>
      </c>
      <c r="M397" s="1070" t="str">
        <f>IFERROR(VLOOKUP($A397,#REF!,10,FALSE),"")</f>
        <v/>
      </c>
      <c r="N397" s="1063" t="str">
        <f>IFERROR(VLOOKUP($A397,#REF!,12,FALSE),"")</f>
        <v/>
      </c>
      <c r="O397" s="1056" t="str">
        <f>IFERROR(VLOOKUP($A397,#REF!,13,FALSE),"")</f>
        <v/>
      </c>
      <c r="P397" s="1056" t="str">
        <f>IFERROR(VLOOKUP($A397,#REF!,14,FALSE),"")</f>
        <v/>
      </c>
      <c r="Q397" s="1056" t="str">
        <f>IFERROR(VLOOKUP($A397,#REF!,16,FALSE),"")</f>
        <v/>
      </c>
      <c r="R397" s="1056" t="str">
        <f>IFERROR(VLOOKUP($A397,#REF!,17,FALSE),"")</f>
        <v/>
      </c>
      <c r="S397" s="1063" t="str">
        <f>IFERROR(VLOOKUP($A397,#REF!,20,FALSE),"")</f>
        <v/>
      </c>
      <c r="T397" s="1063" t="str">
        <f>IFERROR(VLOOKUP($A397,#REF!,21,FALSE),"")</f>
        <v/>
      </c>
      <c r="U397" s="1063" t="str">
        <f>IFERROR(VLOOKUP($A397,#REF!,22,FALSE),"")</f>
        <v/>
      </c>
      <c r="V397" s="1063" t="str">
        <f>IFERROR(VLOOKUP($A397,#REF!,23,FALSE),"")</f>
        <v/>
      </c>
      <c r="W397" s="1063" t="str">
        <f>IFERROR(VLOOKUP($A397,#REF!,24,FALSE),"")</f>
        <v/>
      </c>
      <c r="X397" s="1063" t="str">
        <f>IFERROR(VLOOKUP($A397,#REF!,41,FALSE),"")</f>
        <v/>
      </c>
      <c r="Y397" s="1063" t="str">
        <f>IFERROR(VLOOKUP($A397,#REF!,42,FALSE),"")</f>
        <v/>
      </c>
      <c r="Z397" s="1063" t="str">
        <f>IFERROR(VLOOKUP($A397,#REF!,45,FALSE),"")</f>
        <v/>
      </c>
      <c r="AA397" s="1071">
        <v>2017</v>
      </c>
      <c r="AB397" s="1072">
        <v>11</v>
      </c>
      <c r="AC397" s="1073" t="s">
        <v>317</v>
      </c>
      <c r="AD397" s="1073" t="s">
        <v>4147</v>
      </c>
      <c r="AE397" s="1074" t="s">
        <v>307</v>
      </c>
      <c r="AF397" s="1074" t="s">
        <v>113</v>
      </c>
      <c r="AG397" s="968" t="s">
        <v>3962</v>
      </c>
      <c r="AH397" s="968" t="s">
        <v>3963</v>
      </c>
      <c r="AI397" s="1071">
        <v>1</v>
      </c>
      <c r="AJ397" s="1075" t="s">
        <v>3998</v>
      </c>
      <c r="AK397" s="765">
        <v>260006</v>
      </c>
      <c r="AL397" s="766">
        <v>130</v>
      </c>
      <c r="AM397" s="765">
        <v>260007</v>
      </c>
      <c r="AN397" s="766">
        <v>131</v>
      </c>
      <c r="AO397" s="777">
        <f t="shared" si="98"/>
        <v>260008</v>
      </c>
      <c r="AP397" s="778">
        <f t="shared" si="99"/>
        <v>132</v>
      </c>
      <c r="AQ397" s="1076"/>
      <c r="AR397" s="968"/>
      <c r="AS397" s="968"/>
      <c r="AT397" s="968"/>
      <c r="AU397" s="968"/>
      <c r="AV397" s="968"/>
      <c r="AW397" s="968"/>
    </row>
    <row r="398" spans="1:49" s="1077" customFormat="1">
      <c r="A398" s="968" t="s">
        <v>90</v>
      </c>
      <c r="B398" s="968" t="s">
        <v>4005</v>
      </c>
      <c r="C398" s="968"/>
      <c r="D398" s="968" t="s">
        <v>4005</v>
      </c>
      <c r="E398" s="968" t="s">
        <v>4005</v>
      </c>
      <c r="F398" s="1069" t="str">
        <f>IFERROR(VLOOKUP($A398,#REF!,3,FALSE),"")</f>
        <v/>
      </c>
      <c r="G398" s="1056" t="str">
        <f>IFERROR(VLOOKUP($A398,#REF!,4,FALSE),"")</f>
        <v/>
      </c>
      <c r="H398" s="1056" t="str">
        <f>IFERROR(VLOOKUP($A398,#REF!,5,FALSE),"")</f>
        <v/>
      </c>
      <c r="I398" s="1056" t="str">
        <f>IFERROR(VLOOKUP($A398,#REF!,6,FALSE),"")</f>
        <v/>
      </c>
      <c r="J398" s="1056" t="str">
        <f>IFERROR(VLOOKUP($A398,#REF!,7,FALSE),"")</f>
        <v/>
      </c>
      <c r="K398" s="1056" t="str">
        <f>IFERROR(VLOOKUP($A398,#REF!,8,FALSE),"")</f>
        <v/>
      </c>
      <c r="L398" s="1063" t="str">
        <f>IFERROR(VLOOKUP($A398,#REF!,9,FALSE),"")</f>
        <v/>
      </c>
      <c r="M398" s="1070" t="str">
        <f>IFERROR(VLOOKUP($A398,#REF!,10,FALSE),"")</f>
        <v/>
      </c>
      <c r="N398" s="1063" t="str">
        <f>IFERROR(VLOOKUP($A398,#REF!,12,FALSE),"")</f>
        <v/>
      </c>
      <c r="O398" s="1056" t="str">
        <f>IFERROR(VLOOKUP($A398,#REF!,13,FALSE),"")</f>
        <v/>
      </c>
      <c r="P398" s="1056" t="str">
        <f>IFERROR(VLOOKUP($A398,#REF!,14,FALSE),"")</f>
        <v/>
      </c>
      <c r="Q398" s="1056" t="str">
        <f>IFERROR(VLOOKUP($A398,#REF!,16,FALSE),"")</f>
        <v/>
      </c>
      <c r="R398" s="1056" t="str">
        <f>IFERROR(VLOOKUP($A398,#REF!,17,FALSE),"")</f>
        <v/>
      </c>
      <c r="S398" s="1063" t="str">
        <f>IFERROR(VLOOKUP($A398,#REF!,20,FALSE),"")</f>
        <v/>
      </c>
      <c r="T398" s="1063" t="str">
        <f>IFERROR(VLOOKUP($A398,#REF!,21,FALSE),"")</f>
        <v/>
      </c>
      <c r="U398" s="1063" t="str">
        <f>IFERROR(VLOOKUP($A398,#REF!,22,FALSE),"")</f>
        <v/>
      </c>
      <c r="V398" s="1063" t="str">
        <f>IFERROR(VLOOKUP($A398,#REF!,23,FALSE),"")</f>
        <v/>
      </c>
      <c r="W398" s="1063" t="str">
        <f>IFERROR(VLOOKUP($A398,#REF!,24,FALSE),"")</f>
        <v/>
      </c>
      <c r="X398" s="1063" t="str">
        <f>IFERROR(VLOOKUP($A398,#REF!,41,FALSE),"")</f>
        <v/>
      </c>
      <c r="Y398" s="1063" t="str">
        <f>IFERROR(VLOOKUP($A398,#REF!,42,FALSE),"")</f>
        <v/>
      </c>
      <c r="Z398" s="1063" t="str">
        <f>IFERROR(VLOOKUP($A398,#REF!,45,FALSE),"")</f>
        <v/>
      </c>
      <c r="AA398" s="1071">
        <v>2017</v>
      </c>
      <c r="AB398" s="1072">
        <v>11</v>
      </c>
      <c r="AC398" s="1073" t="s">
        <v>317</v>
      </c>
      <c r="AD398" s="1073" t="s">
        <v>4147</v>
      </c>
      <c r="AE398" s="1074" t="s">
        <v>307</v>
      </c>
      <c r="AF398" s="1074" t="s">
        <v>113</v>
      </c>
      <c r="AG398" s="968" t="s">
        <v>3972</v>
      </c>
      <c r="AH398" s="968" t="s">
        <v>3973</v>
      </c>
      <c r="AI398" s="1071">
        <v>8</v>
      </c>
      <c r="AJ398" s="1075" t="s">
        <v>3992</v>
      </c>
      <c r="AK398" s="765">
        <v>909678</v>
      </c>
      <c r="AL398" s="766">
        <v>28</v>
      </c>
      <c r="AM398" s="765">
        <v>909678</v>
      </c>
      <c r="AN398" s="766">
        <v>29</v>
      </c>
      <c r="AO398" s="777">
        <f>AM398</f>
        <v>909678</v>
      </c>
      <c r="AP398" s="778">
        <f t="shared" si="99"/>
        <v>30</v>
      </c>
      <c r="AQ398" s="1076"/>
      <c r="AR398" s="968"/>
      <c r="AS398" s="968"/>
      <c r="AT398" s="968"/>
      <c r="AU398" s="968"/>
      <c r="AV398" s="968"/>
      <c r="AW398" s="968"/>
    </row>
    <row r="399" spans="1:49" s="1077" customFormat="1">
      <c r="A399" s="968" t="s">
        <v>90</v>
      </c>
      <c r="B399" s="968" t="s">
        <v>4005</v>
      </c>
      <c r="C399" s="968"/>
      <c r="D399" s="968" t="s">
        <v>4005</v>
      </c>
      <c r="E399" s="968" t="s">
        <v>4005</v>
      </c>
      <c r="F399" s="1069" t="str">
        <f>IFERROR(VLOOKUP($A399,#REF!,3,FALSE),"")</f>
        <v/>
      </c>
      <c r="G399" s="1056" t="str">
        <f>IFERROR(VLOOKUP($A399,#REF!,4,FALSE),"")</f>
        <v/>
      </c>
      <c r="H399" s="1056" t="str">
        <f>IFERROR(VLOOKUP($A399,#REF!,5,FALSE),"")</f>
        <v/>
      </c>
      <c r="I399" s="1056" t="str">
        <f>IFERROR(VLOOKUP($A399,#REF!,6,FALSE),"")</f>
        <v/>
      </c>
      <c r="J399" s="1056" t="str">
        <f>IFERROR(VLOOKUP($A399,#REF!,7,FALSE),"")</f>
        <v/>
      </c>
      <c r="K399" s="1056" t="str">
        <f>IFERROR(VLOOKUP($A399,#REF!,8,FALSE),"")</f>
        <v/>
      </c>
      <c r="L399" s="1063" t="str">
        <f>IFERROR(VLOOKUP($A399,#REF!,9,FALSE),"")</f>
        <v/>
      </c>
      <c r="M399" s="1070" t="str">
        <f>IFERROR(VLOOKUP($A399,#REF!,10,FALSE),"")</f>
        <v/>
      </c>
      <c r="N399" s="1063" t="str">
        <f>IFERROR(VLOOKUP($A399,#REF!,12,FALSE),"")</f>
        <v/>
      </c>
      <c r="O399" s="1056" t="str">
        <f>IFERROR(VLOOKUP($A399,#REF!,13,FALSE),"")</f>
        <v/>
      </c>
      <c r="P399" s="1056" t="str">
        <f>IFERROR(VLOOKUP($A399,#REF!,14,FALSE),"")</f>
        <v/>
      </c>
      <c r="Q399" s="1056" t="str">
        <f>IFERROR(VLOOKUP($A399,#REF!,16,FALSE),"")</f>
        <v/>
      </c>
      <c r="R399" s="1056" t="str">
        <f>IFERROR(VLOOKUP($A399,#REF!,17,FALSE),"")</f>
        <v/>
      </c>
      <c r="S399" s="1063" t="str">
        <f>IFERROR(VLOOKUP($A399,#REF!,20,FALSE),"")</f>
        <v/>
      </c>
      <c r="T399" s="1063" t="str">
        <f>IFERROR(VLOOKUP($A399,#REF!,21,FALSE),"")</f>
        <v/>
      </c>
      <c r="U399" s="1063" t="str">
        <f>IFERROR(VLOOKUP($A399,#REF!,22,FALSE),"")</f>
        <v/>
      </c>
      <c r="V399" s="1063" t="str">
        <f>IFERROR(VLOOKUP($A399,#REF!,23,FALSE),"")</f>
        <v/>
      </c>
      <c r="W399" s="1063" t="str">
        <f>IFERROR(VLOOKUP($A399,#REF!,24,FALSE),"")</f>
        <v/>
      </c>
      <c r="X399" s="1063" t="str">
        <f>IFERROR(VLOOKUP($A399,#REF!,41,FALSE),"")</f>
        <v/>
      </c>
      <c r="Y399" s="1063" t="str">
        <f>IFERROR(VLOOKUP($A399,#REF!,42,FALSE),"")</f>
        <v/>
      </c>
      <c r="Z399" s="1063" t="str">
        <f>IFERROR(VLOOKUP($A399,#REF!,45,FALSE),"")</f>
        <v/>
      </c>
      <c r="AA399" s="1071">
        <v>2017</v>
      </c>
      <c r="AB399" s="1072">
        <v>11</v>
      </c>
      <c r="AC399" s="1073" t="s">
        <v>317</v>
      </c>
      <c r="AD399" s="1073" t="s">
        <v>4147</v>
      </c>
      <c r="AE399" s="1074" t="s">
        <v>307</v>
      </c>
      <c r="AF399" s="1074" t="s">
        <v>113</v>
      </c>
      <c r="AG399" s="968" t="s">
        <v>3972</v>
      </c>
      <c r="AH399" s="968" t="s">
        <v>3977</v>
      </c>
      <c r="AI399" s="1071">
        <v>14</v>
      </c>
      <c r="AJ399" s="1075" t="s">
        <v>3994</v>
      </c>
      <c r="AK399" s="765"/>
      <c r="AL399" s="766"/>
      <c r="AM399" s="765"/>
      <c r="AN399" s="766"/>
      <c r="AO399" s="777"/>
      <c r="AP399" s="778"/>
      <c r="AQ399" s="1076"/>
      <c r="AR399" s="968"/>
      <c r="AS399" s="968"/>
      <c r="AT399" s="968"/>
      <c r="AU399" s="968"/>
      <c r="AV399" s="968"/>
      <c r="AW399" s="968"/>
    </row>
    <row r="400" spans="1:49" s="1077" customFormat="1">
      <c r="A400" s="968" t="s">
        <v>90</v>
      </c>
      <c r="B400" s="968" t="s">
        <v>4005</v>
      </c>
      <c r="C400" s="968"/>
      <c r="D400" s="968" t="s">
        <v>4005</v>
      </c>
      <c r="E400" s="968" t="s">
        <v>4005</v>
      </c>
      <c r="F400" s="1069" t="str">
        <f>IFERROR(VLOOKUP($A400,#REF!,3,FALSE),"")</f>
        <v/>
      </c>
      <c r="G400" s="1056" t="str">
        <f>IFERROR(VLOOKUP($A400,#REF!,4,FALSE),"")</f>
        <v/>
      </c>
      <c r="H400" s="1056" t="str">
        <f>IFERROR(VLOOKUP($A400,#REF!,5,FALSE),"")</f>
        <v/>
      </c>
      <c r="I400" s="1056" t="str">
        <f>IFERROR(VLOOKUP($A400,#REF!,6,FALSE),"")</f>
        <v/>
      </c>
      <c r="J400" s="1056" t="str">
        <f>IFERROR(VLOOKUP($A400,#REF!,7,FALSE),"")</f>
        <v/>
      </c>
      <c r="K400" s="1056" t="str">
        <f>IFERROR(VLOOKUP($A400,#REF!,8,FALSE),"")</f>
        <v/>
      </c>
      <c r="L400" s="1063" t="str">
        <f>IFERROR(VLOOKUP($A400,#REF!,9,FALSE),"")</f>
        <v/>
      </c>
      <c r="M400" s="1070" t="str">
        <f>IFERROR(VLOOKUP($A400,#REF!,10,FALSE),"")</f>
        <v/>
      </c>
      <c r="N400" s="1063" t="str">
        <f>IFERROR(VLOOKUP($A400,#REF!,12,FALSE),"")</f>
        <v/>
      </c>
      <c r="O400" s="1056" t="str">
        <f>IFERROR(VLOOKUP($A400,#REF!,13,FALSE),"")</f>
        <v/>
      </c>
      <c r="P400" s="1056" t="str">
        <f>IFERROR(VLOOKUP($A400,#REF!,14,FALSE),"")</f>
        <v/>
      </c>
      <c r="Q400" s="1056" t="str">
        <f>IFERROR(VLOOKUP($A400,#REF!,16,FALSE),"")</f>
        <v/>
      </c>
      <c r="R400" s="1056" t="str">
        <f>IFERROR(VLOOKUP($A400,#REF!,17,FALSE),"")</f>
        <v/>
      </c>
      <c r="S400" s="1063" t="str">
        <f>IFERROR(VLOOKUP($A400,#REF!,20,FALSE),"")</f>
        <v/>
      </c>
      <c r="T400" s="1063" t="str">
        <f>IFERROR(VLOOKUP($A400,#REF!,21,FALSE),"")</f>
        <v/>
      </c>
      <c r="U400" s="1063" t="str">
        <f>IFERROR(VLOOKUP($A400,#REF!,22,FALSE),"")</f>
        <v/>
      </c>
      <c r="V400" s="1063" t="str">
        <f>IFERROR(VLOOKUP($A400,#REF!,23,FALSE),"")</f>
        <v/>
      </c>
      <c r="W400" s="1063" t="str">
        <f>IFERROR(VLOOKUP($A400,#REF!,24,FALSE),"")</f>
        <v/>
      </c>
      <c r="X400" s="1063" t="str">
        <f>IFERROR(VLOOKUP($A400,#REF!,41,FALSE),"")</f>
        <v/>
      </c>
      <c r="Y400" s="1063" t="str">
        <f>IFERROR(VLOOKUP($A400,#REF!,42,FALSE),"")</f>
        <v/>
      </c>
      <c r="Z400" s="1063" t="str">
        <f>IFERROR(VLOOKUP($A400,#REF!,45,FALSE),"")</f>
        <v/>
      </c>
      <c r="AA400" s="1071">
        <v>2017</v>
      </c>
      <c r="AB400" s="1072">
        <v>11</v>
      </c>
      <c r="AC400" s="1073" t="s">
        <v>317</v>
      </c>
      <c r="AD400" s="1073" t="s">
        <v>4147</v>
      </c>
      <c r="AE400" s="1074" t="s">
        <v>307</v>
      </c>
      <c r="AF400" s="1074" t="s">
        <v>113</v>
      </c>
      <c r="AG400" s="968" t="s">
        <v>3981</v>
      </c>
      <c r="AH400" s="968" t="s">
        <v>3973</v>
      </c>
      <c r="AI400" s="1071">
        <v>11</v>
      </c>
      <c r="AJ400" s="1075" t="s">
        <v>3982</v>
      </c>
      <c r="AK400" s="765">
        <v>909678</v>
      </c>
      <c r="AL400" s="766">
        <v>25</v>
      </c>
      <c r="AM400" s="765">
        <v>909678</v>
      </c>
      <c r="AN400" s="766">
        <v>26</v>
      </c>
      <c r="AO400" s="777">
        <f>AM400</f>
        <v>909678</v>
      </c>
      <c r="AP400" s="778">
        <f t="shared" si="99"/>
        <v>27</v>
      </c>
      <c r="AQ400" s="1076"/>
      <c r="AR400" s="968"/>
      <c r="AS400" s="968"/>
      <c r="AT400" s="968"/>
      <c r="AU400" s="968"/>
      <c r="AV400" s="968"/>
      <c r="AW400" s="968"/>
    </row>
    <row r="401" spans="1:49" s="1077" customFormat="1">
      <c r="A401" s="968" t="s">
        <v>90</v>
      </c>
      <c r="B401" s="968" t="s">
        <v>4005</v>
      </c>
      <c r="C401" s="968"/>
      <c r="D401" s="968" t="s">
        <v>4005</v>
      </c>
      <c r="E401" s="968" t="s">
        <v>4005</v>
      </c>
      <c r="F401" s="1069" t="str">
        <f>IFERROR(VLOOKUP($A401,#REF!,3,FALSE),"")</f>
        <v/>
      </c>
      <c r="G401" s="1056" t="str">
        <f>IFERROR(VLOOKUP($A401,#REF!,4,FALSE),"")</f>
        <v/>
      </c>
      <c r="H401" s="1056" t="str">
        <f>IFERROR(VLOOKUP($A401,#REF!,5,FALSE),"")</f>
        <v/>
      </c>
      <c r="I401" s="1056" t="str">
        <f>IFERROR(VLOOKUP($A401,#REF!,6,FALSE),"")</f>
        <v/>
      </c>
      <c r="J401" s="1056" t="str">
        <f>IFERROR(VLOOKUP($A401,#REF!,7,FALSE),"")</f>
        <v/>
      </c>
      <c r="K401" s="1056" t="str">
        <f>IFERROR(VLOOKUP($A401,#REF!,8,FALSE),"")</f>
        <v/>
      </c>
      <c r="L401" s="1063" t="str">
        <f>IFERROR(VLOOKUP($A401,#REF!,9,FALSE),"")</f>
        <v/>
      </c>
      <c r="M401" s="1070" t="str">
        <f>IFERROR(VLOOKUP($A401,#REF!,10,FALSE),"")</f>
        <v/>
      </c>
      <c r="N401" s="1063" t="str">
        <f>IFERROR(VLOOKUP($A401,#REF!,12,FALSE),"")</f>
        <v/>
      </c>
      <c r="O401" s="1056" t="str">
        <f>IFERROR(VLOOKUP($A401,#REF!,13,FALSE),"")</f>
        <v/>
      </c>
      <c r="P401" s="1056" t="str">
        <f>IFERROR(VLOOKUP($A401,#REF!,14,FALSE),"")</f>
        <v/>
      </c>
      <c r="Q401" s="1056" t="str">
        <f>IFERROR(VLOOKUP($A401,#REF!,16,FALSE),"")</f>
        <v/>
      </c>
      <c r="R401" s="1056" t="str">
        <f>IFERROR(VLOOKUP($A401,#REF!,17,FALSE),"")</f>
        <v/>
      </c>
      <c r="S401" s="1063" t="str">
        <f>IFERROR(VLOOKUP($A401,#REF!,20,FALSE),"")</f>
        <v/>
      </c>
      <c r="T401" s="1063" t="str">
        <f>IFERROR(VLOOKUP($A401,#REF!,21,FALSE),"")</f>
        <v/>
      </c>
      <c r="U401" s="1063" t="str">
        <f>IFERROR(VLOOKUP($A401,#REF!,22,FALSE),"")</f>
        <v/>
      </c>
      <c r="V401" s="1063" t="str">
        <f>IFERROR(VLOOKUP($A401,#REF!,23,FALSE),"")</f>
        <v/>
      </c>
      <c r="W401" s="1063" t="str">
        <f>IFERROR(VLOOKUP($A401,#REF!,24,FALSE),"")</f>
        <v/>
      </c>
      <c r="X401" s="1063" t="str">
        <f>IFERROR(VLOOKUP($A401,#REF!,41,FALSE),"")</f>
        <v/>
      </c>
      <c r="Y401" s="1063" t="str">
        <f>IFERROR(VLOOKUP($A401,#REF!,42,FALSE),"")</f>
        <v/>
      </c>
      <c r="Z401" s="1063" t="str">
        <f>IFERROR(VLOOKUP($A401,#REF!,45,FALSE),"")</f>
        <v/>
      </c>
      <c r="AA401" s="1071">
        <v>2017</v>
      </c>
      <c r="AB401" s="1072">
        <v>11</v>
      </c>
      <c r="AC401" s="1073" t="s">
        <v>317</v>
      </c>
      <c r="AD401" s="1073" t="s">
        <v>4147</v>
      </c>
      <c r="AE401" s="1074" t="s">
        <v>307</v>
      </c>
      <c r="AF401" s="1074" t="s">
        <v>113</v>
      </c>
      <c r="AG401" s="968" t="s">
        <v>3981</v>
      </c>
      <c r="AH401" s="968" t="s">
        <v>3977</v>
      </c>
      <c r="AI401" s="1071">
        <v>16</v>
      </c>
      <c r="AJ401" s="1075" t="s">
        <v>3985</v>
      </c>
      <c r="AK401" s="765"/>
      <c r="AL401" s="766"/>
      <c r="AM401" s="765"/>
      <c r="AN401" s="766"/>
      <c r="AO401" s="777"/>
      <c r="AP401" s="778"/>
      <c r="AQ401" s="1076"/>
      <c r="AR401" s="968"/>
      <c r="AS401" s="968"/>
      <c r="AT401" s="968"/>
      <c r="AU401" s="968"/>
      <c r="AV401" s="968"/>
      <c r="AW401" s="968"/>
    </row>
    <row r="402" spans="1:49" s="1077" customFormat="1">
      <c r="A402" s="968"/>
      <c r="B402" s="968"/>
      <c r="C402" s="968"/>
      <c r="D402" s="968"/>
      <c r="E402" s="968"/>
      <c r="F402" s="1069" t="str">
        <f>IFERROR(VLOOKUP($A402,#REF!,3,FALSE),"")</f>
        <v/>
      </c>
      <c r="G402" s="1056" t="str">
        <f>IFERROR(VLOOKUP($A402,#REF!,4,FALSE),"")</f>
        <v/>
      </c>
      <c r="H402" s="1056" t="str">
        <f>IFERROR(VLOOKUP($A402,#REF!,5,FALSE),"")</f>
        <v/>
      </c>
      <c r="I402" s="1056" t="str">
        <f>IFERROR(VLOOKUP($A402,#REF!,6,FALSE),"")</f>
        <v/>
      </c>
      <c r="J402" s="1056" t="str">
        <f>IFERROR(VLOOKUP($A402,#REF!,7,FALSE),"")</f>
        <v/>
      </c>
      <c r="K402" s="1056" t="str">
        <f>IFERROR(VLOOKUP($A402,#REF!,8,FALSE),"")</f>
        <v/>
      </c>
      <c r="L402" s="1063" t="str">
        <f>IFERROR(VLOOKUP($A402,#REF!,9,FALSE),"")</f>
        <v/>
      </c>
      <c r="M402" s="1070" t="str">
        <f>IFERROR(VLOOKUP($A402,#REF!,10,FALSE),"")</f>
        <v/>
      </c>
      <c r="N402" s="1063" t="str">
        <f>IFERROR(VLOOKUP($A402,#REF!,12,FALSE),"")</f>
        <v/>
      </c>
      <c r="O402" s="1056" t="str">
        <f>IFERROR(VLOOKUP($A402,#REF!,13,FALSE),"")</f>
        <v/>
      </c>
      <c r="P402" s="1056" t="str">
        <f>IFERROR(VLOOKUP($A402,#REF!,14,FALSE),"")</f>
        <v/>
      </c>
      <c r="Q402" s="1056" t="str">
        <f>IFERROR(VLOOKUP($A402,#REF!,16,FALSE),"")</f>
        <v/>
      </c>
      <c r="R402" s="1056" t="str">
        <f>IFERROR(VLOOKUP($A402,#REF!,17,FALSE),"")</f>
        <v/>
      </c>
      <c r="S402" s="1063" t="str">
        <f>IFERROR(VLOOKUP($A402,#REF!,20,FALSE),"")</f>
        <v/>
      </c>
      <c r="T402" s="1063" t="str">
        <f>IFERROR(VLOOKUP($A402,#REF!,21,FALSE),"")</f>
        <v/>
      </c>
      <c r="U402" s="1063" t="str">
        <f>IFERROR(VLOOKUP($A402,#REF!,22,FALSE),"")</f>
        <v/>
      </c>
      <c r="V402" s="1063" t="str">
        <f>IFERROR(VLOOKUP($A402,#REF!,23,FALSE),"")</f>
        <v/>
      </c>
      <c r="W402" s="1063" t="str">
        <f>IFERROR(VLOOKUP($A402,#REF!,24,FALSE),"")</f>
        <v/>
      </c>
      <c r="X402" s="1063" t="str">
        <f>IFERROR(VLOOKUP($A402,#REF!,41,FALSE),"")</f>
        <v/>
      </c>
      <c r="Y402" s="1063" t="str">
        <f>IFERROR(VLOOKUP($A402,#REF!,42,FALSE),"")</f>
        <v/>
      </c>
      <c r="Z402" s="1063" t="str">
        <f>IFERROR(VLOOKUP($A402,#REF!,45,FALSE),"")</f>
        <v/>
      </c>
      <c r="AA402" s="1071"/>
      <c r="AB402" s="1072"/>
      <c r="AC402" s="1073"/>
      <c r="AD402" s="1073"/>
      <c r="AE402" s="1074"/>
      <c r="AF402" s="1074"/>
      <c r="AG402" s="968"/>
      <c r="AH402" s="968"/>
      <c r="AI402" s="1071"/>
      <c r="AJ402" s="1075"/>
      <c r="AK402" s="765"/>
      <c r="AL402" s="766"/>
      <c r="AM402" s="765"/>
      <c r="AN402" s="766"/>
      <c r="AO402" s="777"/>
      <c r="AP402" s="778"/>
      <c r="AQ402" s="1076"/>
      <c r="AR402" s="968"/>
      <c r="AS402" s="968"/>
      <c r="AT402" s="968"/>
      <c r="AU402" s="968"/>
      <c r="AV402" s="968"/>
      <c r="AW402" s="968"/>
    </row>
    <row r="403" spans="1:49" s="1077" customFormat="1">
      <c r="A403" s="968" t="s">
        <v>319</v>
      </c>
      <c r="B403" s="968" t="s">
        <v>4010</v>
      </c>
      <c r="C403" s="968"/>
      <c r="D403" s="968"/>
      <c r="E403" s="968"/>
      <c r="F403" s="1069">
        <f>IFERROR(VLOOKUP($A403,'2018'!$A:$BB,3,FALSE),"")</f>
        <v>262120522</v>
      </c>
      <c r="G403" s="1056" t="str">
        <f>IFERROR(VLOOKUP($A403,'2018'!$A:$BB,4,FALSE),"")</f>
        <v xml:space="preserve">521 Cottonwood Dr 
Suite #111 
Milpitas, CA 95035 </v>
      </c>
      <c r="H403" s="1056" t="str">
        <f>IFERROR(VLOOKUP($A403,'2018'!$A:$BB,5,FALSE),"")</f>
        <v xml:space="preserve">Lucy Gu (legal name - Yiping Gu)
408-773-8807
lucy.gu@appliedstemcell.com </v>
      </c>
      <c r="I403" s="1056" t="str">
        <f>IFERROR(VLOOKUP($A403,'2018'!$A:$BB,6,FALSE),"")</f>
        <v xml:space="preserve">Lucy Gu (legal name - Yiping Gu)
408-773-8807
lucy.gu@appliedstemcell.com </v>
      </c>
      <c r="J403" s="1056" t="str">
        <f>IFERROR(VLOOKUP($A403,'2018'!$A:$BB,7,FALSE),"")</f>
        <v>ABD</v>
      </c>
      <c r="K403" s="1056" t="str">
        <f>IFERROR(VLOOKUP($A403,'2018'!$A:$BB,8,FALSE),"")</f>
        <v xml:space="preserve">Account Managed by ABD Team
Mark Anderson
Mark.Anderson@theabdteam.com
Angie Lopez
angie.lopez@theabdteam.com </v>
      </c>
      <c r="L403" s="1063" t="str">
        <f>IFERROR(VLOOKUP($A403,'2018'!$A:$BB,9,FALSE),"")</f>
        <v>New</v>
      </c>
      <c r="M403" s="1070">
        <f>IFERROR(VLOOKUP($A403,'2018'!$A:$BB,10,FALSE),"")</f>
        <v>43009</v>
      </c>
      <c r="N403" s="1063">
        <f>IFERROR(VLOOKUP($A403,'2018'!$A:$BB,12,FALSE),"")</f>
        <v>54</v>
      </c>
      <c r="O403" s="1056" t="str">
        <f>IFERROR(VLOOKUP($A403,'2018'!$A:$BB,13,FALSE),"")</f>
        <v>IGOE</v>
      </c>
      <c r="P403" s="1056" t="str">
        <f>IFERROR(VLOOKUP($A403,'2018'!$A:$BB,14,FALSE),"")</f>
        <v>Flock</v>
      </c>
      <c r="Q403" s="1056" t="str">
        <f>IFERROR(VLOOKUP($A403,'2018'!$A:$BB,16,FALSE),"")</f>
        <v>N/A</v>
      </c>
      <c r="R403" s="1056" t="str">
        <f>IFERROR(VLOOKUP($A403,'2018'!$A:$BB,17,FALSE),"")</f>
        <v>N/A - Don't want to Set-up</v>
      </c>
      <c r="S403" s="1063" t="str">
        <f>IFERROR(VLOOKUP($A403,'2018'!$A:$BB,20,FALSE),"")</f>
        <v>NCAL</v>
      </c>
      <c r="T403" s="1063" t="str">
        <f>IFERROR(VLOOKUP($A403,'2018'!$A:$BB,21,FALSE),"")</f>
        <v>Group B (34-44)</v>
      </c>
      <c r="U403" s="1063" t="str">
        <f>IFERROR(VLOOKUP($A403,'2018'!$A:$BB,22,FALSE),"")</f>
        <v>Expanded</v>
      </c>
      <c r="V403" s="1063" t="str">
        <f>IFERROR(VLOOKUP($A403,'2018'!$A:$BB,23,FALSE),"")</f>
        <v>Advantage</v>
      </c>
      <c r="W403" s="1063" t="str">
        <f>IFERROR(VLOOKUP($A403,'2018'!$A:$BB,24,FALSE),"")</f>
        <v>No</v>
      </c>
      <c r="X403" s="1063">
        <f>IFERROR(VLOOKUP($A403,'2018'!$A:$BB,41,FALSE),"")</f>
        <v>0</v>
      </c>
      <c r="Y403" s="1063">
        <f>IFERROR(VLOOKUP($A403,'2018'!$A:$BB,42,FALSE),"")</f>
        <v>0</v>
      </c>
      <c r="Z403" s="1063">
        <f>IFERROR(VLOOKUP($A403,'2018'!$A:$BB,45,FALSE),"")</f>
        <v>0</v>
      </c>
      <c r="AA403" s="1071">
        <v>2017</v>
      </c>
      <c r="AB403" s="1078" t="s">
        <v>4149</v>
      </c>
      <c r="AC403" s="1074" t="s">
        <v>303</v>
      </c>
      <c r="AD403" s="1074" t="s">
        <v>3648</v>
      </c>
      <c r="AE403" s="1074" t="s">
        <v>307</v>
      </c>
      <c r="AF403" s="1074" t="s">
        <v>113</v>
      </c>
      <c r="AG403" s="735" t="s">
        <v>3981</v>
      </c>
      <c r="AH403" s="735" t="s">
        <v>3973</v>
      </c>
      <c r="AI403" s="1074">
        <v>11</v>
      </c>
      <c r="AJ403" s="1079" t="s">
        <v>3982</v>
      </c>
      <c r="AK403" s="765">
        <v>909678</v>
      </c>
      <c r="AL403" s="778">
        <v>469</v>
      </c>
      <c r="AM403" s="765">
        <v>909678</v>
      </c>
      <c r="AN403" s="778">
        <v>470</v>
      </c>
      <c r="AO403" s="777">
        <f t="shared" ref="AO403:AO404" si="100">AM403</f>
        <v>909678</v>
      </c>
      <c r="AP403" s="778">
        <f>AN403+1</f>
        <v>471</v>
      </c>
      <c r="AQ403" s="1080"/>
      <c r="AR403" s="735"/>
      <c r="AS403" s="735"/>
      <c r="AT403" s="735"/>
      <c r="AU403" s="735"/>
      <c r="AV403" s="735"/>
      <c r="AW403" s="735"/>
    </row>
    <row r="404" spans="1:49" s="1077" customFormat="1">
      <c r="A404" s="968" t="s">
        <v>319</v>
      </c>
      <c r="B404" s="968" t="s">
        <v>4010</v>
      </c>
      <c r="C404" s="968"/>
      <c r="D404" s="968"/>
      <c r="E404" s="968"/>
      <c r="F404" s="1069">
        <f>IFERROR(VLOOKUP($A404,'2018'!$A:$BB,3,FALSE),"")</f>
        <v>262120522</v>
      </c>
      <c r="G404" s="1056" t="str">
        <f>IFERROR(VLOOKUP($A404,'2018'!$A:$BB,4,FALSE),"")</f>
        <v xml:space="preserve">521 Cottonwood Dr 
Suite #111 
Milpitas, CA 95035 </v>
      </c>
      <c r="H404" s="1056" t="str">
        <f>IFERROR(VLOOKUP($A404,'2018'!$A:$BB,5,FALSE),"")</f>
        <v xml:space="preserve">Lucy Gu (legal name - Yiping Gu)
408-773-8807
lucy.gu@appliedstemcell.com </v>
      </c>
      <c r="I404" s="1056" t="str">
        <f>IFERROR(VLOOKUP($A404,'2018'!$A:$BB,6,FALSE),"")</f>
        <v xml:space="preserve">Lucy Gu (legal name - Yiping Gu)
408-773-8807
lucy.gu@appliedstemcell.com </v>
      </c>
      <c r="J404" s="1056" t="str">
        <f>IFERROR(VLOOKUP($A404,'2018'!$A:$BB,7,FALSE),"")</f>
        <v>ABD</v>
      </c>
      <c r="K404" s="1056" t="str">
        <f>IFERROR(VLOOKUP($A404,'2018'!$A:$BB,8,FALSE),"")</f>
        <v xml:space="preserve">Account Managed by ABD Team
Mark Anderson
Mark.Anderson@theabdteam.com
Angie Lopez
angie.lopez@theabdteam.com </v>
      </c>
      <c r="L404" s="1063" t="str">
        <f>IFERROR(VLOOKUP($A404,'2018'!$A:$BB,9,FALSE),"")</f>
        <v>New</v>
      </c>
      <c r="M404" s="1070">
        <f>IFERROR(VLOOKUP($A404,'2018'!$A:$BB,10,FALSE),"")</f>
        <v>43009</v>
      </c>
      <c r="N404" s="1063">
        <f>IFERROR(VLOOKUP($A404,'2018'!$A:$BB,12,FALSE),"")</f>
        <v>54</v>
      </c>
      <c r="O404" s="1056" t="str">
        <f>IFERROR(VLOOKUP($A404,'2018'!$A:$BB,13,FALSE),"")</f>
        <v>IGOE</v>
      </c>
      <c r="P404" s="1056" t="str">
        <f>IFERROR(VLOOKUP($A404,'2018'!$A:$BB,14,FALSE),"")</f>
        <v>Flock</v>
      </c>
      <c r="Q404" s="1056" t="str">
        <f>IFERROR(VLOOKUP($A404,'2018'!$A:$BB,16,FALSE),"")</f>
        <v>N/A</v>
      </c>
      <c r="R404" s="1056" t="str">
        <f>IFERROR(VLOOKUP($A404,'2018'!$A:$BB,17,FALSE),"")</f>
        <v>N/A - Don't want to Set-up</v>
      </c>
      <c r="S404" s="1063" t="str">
        <f>IFERROR(VLOOKUP($A404,'2018'!$A:$BB,20,FALSE),"")</f>
        <v>NCAL</v>
      </c>
      <c r="T404" s="1063" t="str">
        <f>IFERROR(VLOOKUP($A404,'2018'!$A:$BB,21,FALSE),"")</f>
        <v>Group B (34-44)</v>
      </c>
      <c r="U404" s="1063" t="str">
        <f>IFERROR(VLOOKUP($A404,'2018'!$A:$BB,22,FALSE),"")</f>
        <v>Expanded</v>
      </c>
      <c r="V404" s="1063" t="str">
        <f>IFERROR(VLOOKUP($A404,'2018'!$A:$BB,23,FALSE),"")</f>
        <v>Advantage</v>
      </c>
      <c r="W404" s="1063" t="str">
        <f>IFERROR(VLOOKUP($A404,'2018'!$A:$BB,24,FALSE),"")</f>
        <v>No</v>
      </c>
      <c r="X404" s="1063">
        <f>IFERROR(VLOOKUP($A404,'2018'!$A:$BB,41,FALSE),"")</f>
        <v>0</v>
      </c>
      <c r="Y404" s="1063">
        <f>IFERROR(VLOOKUP($A404,'2018'!$A:$BB,42,FALSE),"")</f>
        <v>0</v>
      </c>
      <c r="Z404" s="1063">
        <f>IFERROR(VLOOKUP($A404,'2018'!$A:$BB,45,FALSE),"")</f>
        <v>0</v>
      </c>
      <c r="AA404" s="1071">
        <v>2017</v>
      </c>
      <c r="AB404" s="1078" t="s">
        <v>4149</v>
      </c>
      <c r="AC404" s="1074" t="s">
        <v>303</v>
      </c>
      <c r="AD404" s="1074" t="s">
        <v>3648</v>
      </c>
      <c r="AE404" s="1074" t="s">
        <v>307</v>
      </c>
      <c r="AF404" s="1074" t="s">
        <v>113</v>
      </c>
      <c r="AG404" s="735" t="s">
        <v>3981</v>
      </c>
      <c r="AH404" s="735" t="s">
        <v>3977</v>
      </c>
      <c r="AI404" s="1074">
        <v>16</v>
      </c>
      <c r="AJ404" s="1079" t="s">
        <v>3985</v>
      </c>
      <c r="AK404" s="765">
        <v>909678</v>
      </c>
      <c r="AL404" s="778">
        <v>721</v>
      </c>
      <c r="AM404" s="765">
        <v>909678</v>
      </c>
      <c r="AN404" s="778">
        <v>722</v>
      </c>
      <c r="AO404" s="777">
        <f t="shared" si="100"/>
        <v>909678</v>
      </c>
      <c r="AP404" s="778">
        <f>AN404+1</f>
        <v>723</v>
      </c>
      <c r="AQ404" s="1080"/>
      <c r="AR404" s="735"/>
      <c r="AS404" s="735"/>
      <c r="AT404" s="735"/>
      <c r="AU404" s="735"/>
      <c r="AV404" s="735"/>
      <c r="AW404" s="735"/>
    </row>
    <row r="405" spans="1:49" s="1077" customFormat="1">
      <c r="A405" s="968"/>
      <c r="B405" s="968"/>
      <c r="C405" s="968"/>
      <c r="D405" s="968"/>
      <c r="E405" s="968"/>
      <c r="F405" s="1069" t="str">
        <f>IFERROR(VLOOKUP($A405,'2018'!$A:$BB,3,FALSE),"")</f>
        <v/>
      </c>
      <c r="G405" s="1056" t="str">
        <f>IFERROR(VLOOKUP($A405,'2018'!$A:$BB,4,FALSE),"")</f>
        <v/>
      </c>
      <c r="H405" s="1056" t="str">
        <f>IFERROR(VLOOKUP($A405,'2018'!$A:$BB,5,FALSE),"")</f>
        <v/>
      </c>
      <c r="I405" s="1056" t="str">
        <f>IFERROR(VLOOKUP($A405,'2018'!$A:$BB,6,FALSE),"")</f>
        <v/>
      </c>
      <c r="J405" s="1056" t="str">
        <f>IFERROR(VLOOKUP($A405,'2018'!$A:$BB,7,FALSE),"")</f>
        <v/>
      </c>
      <c r="K405" s="1056" t="str">
        <f>IFERROR(VLOOKUP($A405,'2018'!$A:$BB,8,FALSE),"")</f>
        <v/>
      </c>
      <c r="L405" s="1063" t="str">
        <f>IFERROR(VLOOKUP($A405,'2018'!$A:$BB,9,FALSE),"")</f>
        <v/>
      </c>
      <c r="M405" s="1070" t="str">
        <f>IFERROR(VLOOKUP($A405,'2018'!$A:$BB,10,FALSE),"")</f>
        <v/>
      </c>
      <c r="N405" s="1063" t="str">
        <f>IFERROR(VLOOKUP($A405,'2018'!$A:$BB,12,FALSE),"")</f>
        <v/>
      </c>
      <c r="O405" s="1056" t="str">
        <f>IFERROR(VLOOKUP($A405,'2018'!$A:$BB,13,FALSE),"")</f>
        <v/>
      </c>
      <c r="P405" s="1056" t="str">
        <f>IFERROR(VLOOKUP($A405,'2018'!$A:$BB,14,FALSE),"")</f>
        <v/>
      </c>
      <c r="Q405" s="1056" t="str">
        <f>IFERROR(VLOOKUP($A405,'2018'!$A:$BB,16,FALSE),"")</f>
        <v/>
      </c>
      <c r="R405" s="1056" t="str">
        <f>IFERROR(VLOOKUP($A405,'2018'!$A:$BB,17,FALSE),"")</f>
        <v/>
      </c>
      <c r="S405" s="1063" t="str">
        <f>IFERROR(VLOOKUP($A405,'2018'!$A:$BB,20,FALSE),"")</f>
        <v/>
      </c>
      <c r="T405" s="1063" t="str">
        <f>IFERROR(VLOOKUP($A405,'2018'!$A:$BB,21,FALSE),"")</f>
        <v/>
      </c>
      <c r="U405" s="1063" t="str">
        <f>IFERROR(VLOOKUP($A405,'2018'!$A:$BB,22,FALSE),"")</f>
        <v/>
      </c>
      <c r="V405" s="1063" t="str">
        <f>IFERROR(VLOOKUP($A405,'2018'!$A:$BB,23,FALSE),"")</f>
        <v/>
      </c>
      <c r="W405" s="1063" t="str">
        <f>IFERROR(VLOOKUP($A405,'2018'!$A:$BB,24,FALSE),"")</f>
        <v/>
      </c>
      <c r="X405" s="1063" t="str">
        <f>IFERROR(VLOOKUP($A405,'2018'!$A:$BB,41,FALSE),"")</f>
        <v/>
      </c>
      <c r="Y405" s="1063" t="str">
        <f>IFERROR(VLOOKUP($A405,'2018'!$A:$BB,42,FALSE),"")</f>
        <v/>
      </c>
      <c r="Z405" s="1063" t="str">
        <f>IFERROR(VLOOKUP($A405,'2018'!$A:$BB,45,FALSE),"")</f>
        <v/>
      </c>
      <c r="AA405" s="1074"/>
      <c r="AB405" s="1078"/>
      <c r="AC405" s="1074"/>
      <c r="AD405" s="1074"/>
      <c r="AE405" s="1074"/>
      <c r="AF405" s="1074"/>
      <c r="AG405" s="735"/>
      <c r="AH405" s="735"/>
      <c r="AI405" s="1074"/>
      <c r="AJ405" s="1079"/>
      <c r="AK405" s="1081"/>
      <c r="AL405" s="778"/>
      <c r="AM405" s="1081"/>
      <c r="AN405" s="778"/>
      <c r="AO405" s="777"/>
      <c r="AP405" s="778"/>
      <c r="AQ405" s="1080"/>
      <c r="AR405" s="735"/>
      <c r="AS405" s="735"/>
      <c r="AT405" s="735"/>
      <c r="AU405" s="735"/>
      <c r="AV405" s="735"/>
      <c r="AW405" s="735"/>
    </row>
    <row r="406" spans="1:49" s="1077" customFormat="1">
      <c r="A406" s="968" t="s">
        <v>4378</v>
      </c>
      <c r="B406" s="968" t="s">
        <v>4012</v>
      </c>
      <c r="C406" s="968"/>
      <c r="D406" s="968" t="s">
        <v>4177</v>
      </c>
      <c r="E406" s="968" t="s">
        <v>4177</v>
      </c>
      <c r="F406" s="1069">
        <f>IFERROR(VLOOKUP($A406,'2018'!$A:$BB,3,FALSE),"")</f>
        <v>232908305</v>
      </c>
      <c r="G406" s="1056" t="str">
        <f>IFERROR(VLOOKUP($A406,'2018'!$A:$BB,4,FALSE),"")</f>
        <v xml:space="preserve">6154 Nancy Ridge Drive 
San Diego, CA 92121 </v>
      </c>
      <c r="H406" s="1056" t="str">
        <f>IFERROR(VLOOKUP($A406,'2018'!$A:$BB,5,FALSE),"")</f>
        <v xml:space="preserve">Nicole Semonis
858 210-3617 
nsemonis@arenapharm.com </v>
      </c>
      <c r="I406" s="1056" t="str">
        <f>IFERROR(VLOOKUP($A406,'2018'!$A:$BB,6,FALSE),"")</f>
        <v xml:space="preserve">Nicole Semonis
858 210-3617 
nsemonis@arenapharm.com </v>
      </c>
      <c r="J406" s="1056" t="str">
        <f>IFERROR(VLOOKUP($A406,'2018'!$A:$BB,7,FALSE),"")</f>
        <v>HUB (San Diego)</v>
      </c>
      <c r="K406" s="1056" t="str">
        <f>IFERROR(VLOOKUP($A406,'2018'!$A:$BB,8,FALSE),"")</f>
        <v>Account Managed by HUB SD Team
Producer - Matt Creighton
Service Lead - Ben Hendricks
AM - Yvonne Bello</v>
      </c>
      <c r="L406" s="1063" t="str">
        <f>IFERROR(VLOOKUP($A406,'2018'!$A:$BB,9,FALSE),"")</f>
        <v>Renewal</v>
      </c>
      <c r="M406" s="1070">
        <f>IFERROR(VLOOKUP($A406,'2018'!$A:$BB,10,FALSE),"")</f>
        <v>42736</v>
      </c>
      <c r="N406" s="1063">
        <f>IFERROR(VLOOKUP($A406,'2018'!$A:$BB,12,FALSE),"")</f>
        <v>79</v>
      </c>
      <c r="O406" s="1056" t="str">
        <f>IFERROR(VLOOKUP($A406,'2018'!$A:$BB,13,FALSE),"")</f>
        <v xml:space="preserve">IGOE </v>
      </c>
      <c r="P406" s="1056" t="str">
        <f>IFERROR(VLOOKUP($A406,'2018'!$A:$BB,14,FALSE),"")</f>
        <v xml:space="preserve">ADP </v>
      </c>
      <c r="Q406" s="1056" t="str">
        <f>IFERROR(VLOOKUP($A406,'2018'!$A:$BB,16,FALSE),"")</f>
        <v>IGOE</v>
      </c>
      <c r="R406" s="1056" t="str">
        <f>IFERROR(VLOOKUP($A406,'2018'!$A:$BB,17,FALSE),"")</f>
        <v>Optum Health</v>
      </c>
      <c r="S406" s="1063" t="str">
        <f>IFERROR(VLOOKUP($A406,'2018'!$A:$BB,20,FALSE),"")</f>
        <v>SCAL</v>
      </c>
      <c r="T406" s="1063" t="str">
        <f>IFERROR(VLOOKUP($A406,'2018'!$A:$BB,21,FALSE),"")</f>
        <v>Group C (44-54)</v>
      </c>
      <c r="U406" s="1063" t="str">
        <f>IFERROR(VLOOKUP($A406,'2018'!$A:$BB,22,FALSE),"")</f>
        <v>Expanded</v>
      </c>
      <c r="V406" s="1063" t="str">
        <f>IFERROR(VLOOKUP($A406,'2018'!$A:$BB,23,FALSE),"")</f>
        <v>Advantage</v>
      </c>
      <c r="W406" s="1063" t="str">
        <f>IFERROR(VLOOKUP($A406,'2018'!$A:$BB,24,FALSE),"")</f>
        <v>No</v>
      </c>
      <c r="X406" s="1063" t="str">
        <f>IFERROR(VLOOKUP($A406,'2018'!$A:$BB,41,FALSE),"")</f>
        <v>Region 2</v>
      </c>
      <c r="Y406" s="1063" t="str">
        <f>IFERROR(VLOOKUP($A406,'2018'!$A:$BB,42,FALSE),"")</f>
        <v>(25-49)</v>
      </c>
      <c r="Z406" s="1063" t="str">
        <f>IFERROR(VLOOKUP($A406,'2018'!$A:$BB,45,FALSE),"")</f>
        <v xml:space="preserve"> (50-99)</v>
      </c>
      <c r="AA406" s="1071">
        <v>2017</v>
      </c>
      <c r="AB406" s="1072">
        <v>10</v>
      </c>
      <c r="AC406" s="1074" t="s">
        <v>317</v>
      </c>
      <c r="AD406" s="1074" t="s">
        <v>4148</v>
      </c>
      <c r="AE406" s="1074" t="s">
        <v>307</v>
      </c>
      <c r="AF406" s="1074" t="s">
        <v>113</v>
      </c>
      <c r="AG406" s="968" t="s">
        <v>3962</v>
      </c>
      <c r="AH406" s="968" t="s">
        <v>3963</v>
      </c>
      <c r="AI406" s="1071">
        <v>1</v>
      </c>
      <c r="AJ406" s="1075" t="s">
        <v>3998</v>
      </c>
      <c r="AK406" s="765">
        <v>260003</v>
      </c>
      <c r="AL406" s="766">
        <v>127</v>
      </c>
      <c r="AM406" s="765">
        <v>260004</v>
      </c>
      <c r="AN406" s="766">
        <v>128</v>
      </c>
      <c r="AO406" s="777">
        <f t="shared" si="98"/>
        <v>260005</v>
      </c>
      <c r="AP406" s="778">
        <f t="shared" si="99"/>
        <v>129</v>
      </c>
      <c r="AQ406" s="1076"/>
      <c r="AR406" s="968"/>
      <c r="AS406" s="968"/>
      <c r="AT406" s="968"/>
      <c r="AU406" s="968"/>
      <c r="AV406" s="968"/>
      <c r="AW406" s="968"/>
    </row>
    <row r="407" spans="1:49" s="1077" customFormat="1">
      <c r="A407" s="968" t="s">
        <v>4378</v>
      </c>
      <c r="B407" s="968" t="s">
        <v>4012</v>
      </c>
      <c r="C407" s="968"/>
      <c r="D407" s="968" t="s">
        <v>4177</v>
      </c>
      <c r="E407" s="968" t="s">
        <v>4177</v>
      </c>
      <c r="F407" s="1069">
        <f>IFERROR(VLOOKUP($A407,'2018'!$A:$BB,3,FALSE),"")</f>
        <v>232908305</v>
      </c>
      <c r="G407" s="1056" t="str">
        <f>IFERROR(VLOOKUP($A407,'2018'!$A:$BB,4,FALSE),"")</f>
        <v xml:space="preserve">6154 Nancy Ridge Drive 
San Diego, CA 92121 </v>
      </c>
      <c r="H407" s="1056" t="str">
        <f>IFERROR(VLOOKUP($A407,'2018'!$A:$BB,5,FALSE),"")</f>
        <v xml:space="preserve">Nicole Semonis
858 210-3617 
nsemonis@arenapharm.com </v>
      </c>
      <c r="I407" s="1056" t="str">
        <f>IFERROR(VLOOKUP($A407,'2018'!$A:$BB,6,FALSE),"")</f>
        <v xml:space="preserve">Nicole Semonis
858 210-3617 
nsemonis@arenapharm.com </v>
      </c>
      <c r="J407" s="1056" t="str">
        <f>IFERROR(VLOOKUP($A407,'2018'!$A:$BB,7,FALSE),"")</f>
        <v>HUB (San Diego)</v>
      </c>
      <c r="K407" s="1056" t="str">
        <f>IFERROR(VLOOKUP($A407,'2018'!$A:$BB,8,FALSE),"")</f>
        <v>Account Managed by HUB SD Team
Producer - Matt Creighton
Service Lead - Ben Hendricks
AM - Yvonne Bello</v>
      </c>
      <c r="L407" s="1063" t="str">
        <f>IFERROR(VLOOKUP($A407,'2018'!$A:$BB,9,FALSE),"")</f>
        <v>Renewal</v>
      </c>
      <c r="M407" s="1070">
        <f>IFERROR(VLOOKUP($A407,'2018'!$A:$BB,10,FALSE),"")</f>
        <v>42736</v>
      </c>
      <c r="N407" s="1063">
        <f>IFERROR(VLOOKUP($A407,'2018'!$A:$BB,12,FALSE),"")</f>
        <v>79</v>
      </c>
      <c r="O407" s="1056" t="str">
        <f>IFERROR(VLOOKUP($A407,'2018'!$A:$BB,13,FALSE),"")</f>
        <v xml:space="preserve">IGOE </v>
      </c>
      <c r="P407" s="1056" t="str">
        <f>IFERROR(VLOOKUP($A407,'2018'!$A:$BB,14,FALSE),"")</f>
        <v xml:space="preserve">ADP </v>
      </c>
      <c r="Q407" s="1056" t="str">
        <f>IFERROR(VLOOKUP($A407,'2018'!$A:$BB,16,FALSE),"")</f>
        <v>IGOE</v>
      </c>
      <c r="R407" s="1056" t="str">
        <f>IFERROR(VLOOKUP($A407,'2018'!$A:$BB,17,FALSE),"")</f>
        <v>Optum Health</v>
      </c>
      <c r="S407" s="1063" t="str">
        <f>IFERROR(VLOOKUP($A407,'2018'!$A:$BB,20,FALSE),"")</f>
        <v>SCAL</v>
      </c>
      <c r="T407" s="1063" t="str">
        <f>IFERROR(VLOOKUP($A407,'2018'!$A:$BB,21,FALSE),"")</f>
        <v>Group C (44-54)</v>
      </c>
      <c r="U407" s="1063" t="str">
        <f>IFERROR(VLOOKUP($A407,'2018'!$A:$BB,22,FALSE),"")</f>
        <v>Expanded</v>
      </c>
      <c r="V407" s="1063" t="str">
        <f>IFERROR(VLOOKUP($A407,'2018'!$A:$BB,23,FALSE),"")</f>
        <v>Advantage</v>
      </c>
      <c r="W407" s="1063" t="str">
        <f>IFERROR(VLOOKUP($A407,'2018'!$A:$BB,24,FALSE),"")</f>
        <v>No</v>
      </c>
      <c r="X407" s="1063" t="str">
        <f>IFERROR(VLOOKUP($A407,'2018'!$A:$BB,41,FALSE),"")</f>
        <v>Region 2</v>
      </c>
      <c r="Y407" s="1063" t="str">
        <f>IFERROR(VLOOKUP($A407,'2018'!$A:$BB,42,FALSE),"")</f>
        <v>(25-49)</v>
      </c>
      <c r="Z407" s="1063" t="str">
        <f>IFERROR(VLOOKUP($A407,'2018'!$A:$BB,45,FALSE),"")</f>
        <v xml:space="preserve"> (50-99)</v>
      </c>
      <c r="AA407" s="1071">
        <v>2017</v>
      </c>
      <c r="AB407" s="1072">
        <v>10</v>
      </c>
      <c r="AC407" s="1074" t="s">
        <v>317</v>
      </c>
      <c r="AD407" s="1074" t="s">
        <v>4148</v>
      </c>
      <c r="AE407" s="1074" t="s">
        <v>307</v>
      </c>
      <c r="AF407" s="1074" t="s">
        <v>113</v>
      </c>
      <c r="AG407" s="968" t="s">
        <v>3972</v>
      </c>
      <c r="AH407" s="968" t="s">
        <v>3973</v>
      </c>
      <c r="AI407" s="1071">
        <v>8</v>
      </c>
      <c r="AJ407" s="1075" t="s">
        <v>3992</v>
      </c>
      <c r="AK407" s="765">
        <v>909678</v>
      </c>
      <c r="AL407" s="766">
        <v>64</v>
      </c>
      <c r="AM407" s="765">
        <v>909678</v>
      </c>
      <c r="AN407" s="766">
        <v>65</v>
      </c>
      <c r="AO407" s="777">
        <f>AM407</f>
        <v>909678</v>
      </c>
      <c r="AP407" s="778">
        <f t="shared" si="99"/>
        <v>66</v>
      </c>
      <c r="AQ407" s="1076"/>
      <c r="AR407" s="968"/>
      <c r="AS407" s="968"/>
      <c r="AT407" s="968"/>
      <c r="AU407" s="968"/>
      <c r="AV407" s="968"/>
      <c r="AW407" s="968"/>
    </row>
    <row r="408" spans="1:49" s="1077" customFormat="1">
      <c r="A408" s="968" t="s">
        <v>4378</v>
      </c>
      <c r="B408" s="968" t="s">
        <v>4012</v>
      </c>
      <c r="C408" s="968"/>
      <c r="D408" s="968" t="s">
        <v>4177</v>
      </c>
      <c r="E408" s="968" t="s">
        <v>4177</v>
      </c>
      <c r="F408" s="1069">
        <f>IFERROR(VLOOKUP($A408,'2018'!$A:$BB,3,FALSE),"")</f>
        <v>232908305</v>
      </c>
      <c r="G408" s="1056" t="str">
        <f>IFERROR(VLOOKUP($A408,'2018'!$A:$BB,4,FALSE),"")</f>
        <v xml:space="preserve">6154 Nancy Ridge Drive 
San Diego, CA 92121 </v>
      </c>
      <c r="H408" s="1056" t="str">
        <f>IFERROR(VLOOKUP($A408,'2018'!$A:$BB,5,FALSE),"")</f>
        <v xml:space="preserve">Nicole Semonis
858 210-3617 
nsemonis@arenapharm.com </v>
      </c>
      <c r="I408" s="1056" t="str">
        <f>IFERROR(VLOOKUP($A408,'2018'!$A:$BB,6,FALSE),"")</f>
        <v xml:space="preserve">Nicole Semonis
858 210-3617 
nsemonis@arenapharm.com </v>
      </c>
      <c r="J408" s="1056" t="str">
        <f>IFERROR(VLOOKUP($A408,'2018'!$A:$BB,7,FALSE),"")</f>
        <v>HUB (San Diego)</v>
      </c>
      <c r="K408" s="1056" t="str">
        <f>IFERROR(VLOOKUP($A408,'2018'!$A:$BB,8,FALSE),"")</f>
        <v>Account Managed by HUB SD Team
Producer - Matt Creighton
Service Lead - Ben Hendricks
AM - Yvonne Bello</v>
      </c>
      <c r="L408" s="1063" t="str">
        <f>IFERROR(VLOOKUP($A408,'2018'!$A:$BB,9,FALSE),"")</f>
        <v>Renewal</v>
      </c>
      <c r="M408" s="1070">
        <f>IFERROR(VLOOKUP($A408,'2018'!$A:$BB,10,FALSE),"")</f>
        <v>42736</v>
      </c>
      <c r="N408" s="1063">
        <f>IFERROR(VLOOKUP($A408,'2018'!$A:$BB,12,FALSE),"")</f>
        <v>79</v>
      </c>
      <c r="O408" s="1056" t="str">
        <f>IFERROR(VLOOKUP($A408,'2018'!$A:$BB,13,FALSE),"")</f>
        <v xml:space="preserve">IGOE </v>
      </c>
      <c r="P408" s="1056" t="str">
        <f>IFERROR(VLOOKUP($A408,'2018'!$A:$BB,14,FALSE),"")</f>
        <v xml:space="preserve">ADP </v>
      </c>
      <c r="Q408" s="1056" t="str">
        <f>IFERROR(VLOOKUP($A408,'2018'!$A:$BB,16,FALSE),"")</f>
        <v>IGOE</v>
      </c>
      <c r="R408" s="1056" t="str">
        <f>IFERROR(VLOOKUP($A408,'2018'!$A:$BB,17,FALSE),"")</f>
        <v>Optum Health</v>
      </c>
      <c r="S408" s="1063" t="str">
        <f>IFERROR(VLOOKUP($A408,'2018'!$A:$BB,20,FALSE),"")</f>
        <v>SCAL</v>
      </c>
      <c r="T408" s="1063" t="str">
        <f>IFERROR(VLOOKUP($A408,'2018'!$A:$BB,21,FALSE),"")</f>
        <v>Group C (44-54)</v>
      </c>
      <c r="U408" s="1063" t="str">
        <f>IFERROR(VLOOKUP($A408,'2018'!$A:$BB,22,FALSE),"")</f>
        <v>Expanded</v>
      </c>
      <c r="V408" s="1063" t="str">
        <f>IFERROR(VLOOKUP($A408,'2018'!$A:$BB,23,FALSE),"")</f>
        <v>Advantage</v>
      </c>
      <c r="W408" s="1063" t="str">
        <f>IFERROR(VLOOKUP($A408,'2018'!$A:$BB,24,FALSE),"")</f>
        <v>No</v>
      </c>
      <c r="X408" s="1063" t="str">
        <f>IFERROR(VLOOKUP($A408,'2018'!$A:$BB,41,FALSE),"")</f>
        <v>Region 2</v>
      </c>
      <c r="Y408" s="1063" t="str">
        <f>IFERROR(VLOOKUP($A408,'2018'!$A:$BB,42,FALSE),"")</f>
        <v>(25-49)</v>
      </c>
      <c r="Z408" s="1063" t="str">
        <f>IFERROR(VLOOKUP($A408,'2018'!$A:$BB,45,FALSE),"")</f>
        <v xml:space="preserve"> (50-99)</v>
      </c>
      <c r="AA408" s="1071">
        <v>2017</v>
      </c>
      <c r="AB408" s="1072">
        <v>10</v>
      </c>
      <c r="AC408" s="1074" t="s">
        <v>317</v>
      </c>
      <c r="AD408" s="1074" t="s">
        <v>4148</v>
      </c>
      <c r="AE408" s="1074" t="s">
        <v>307</v>
      </c>
      <c r="AF408" s="1074" t="s">
        <v>113</v>
      </c>
      <c r="AG408" s="968" t="s">
        <v>3972</v>
      </c>
      <c r="AH408" s="968" t="s">
        <v>3977</v>
      </c>
      <c r="AI408" s="1071">
        <v>14</v>
      </c>
      <c r="AJ408" s="1075" t="s">
        <v>3994</v>
      </c>
      <c r="AK408" s="765"/>
      <c r="AL408" s="766"/>
      <c r="AM408" s="765"/>
      <c r="AN408" s="766"/>
      <c r="AO408" s="777"/>
      <c r="AP408" s="778"/>
      <c r="AQ408" s="1076"/>
      <c r="AR408" s="968"/>
      <c r="AS408" s="968"/>
      <c r="AT408" s="968"/>
      <c r="AU408" s="968"/>
      <c r="AV408" s="968"/>
      <c r="AW408" s="968"/>
    </row>
    <row r="409" spans="1:49" s="1077" customFormat="1">
      <c r="A409" s="968" t="s">
        <v>4378</v>
      </c>
      <c r="B409" s="968" t="s">
        <v>4012</v>
      </c>
      <c r="C409" s="968"/>
      <c r="D409" s="968" t="s">
        <v>4177</v>
      </c>
      <c r="E409" s="968" t="s">
        <v>4177</v>
      </c>
      <c r="F409" s="1069">
        <f>IFERROR(VLOOKUP($A409,'2018'!$A:$BB,3,FALSE),"")</f>
        <v>232908305</v>
      </c>
      <c r="G409" s="1056" t="str">
        <f>IFERROR(VLOOKUP($A409,'2018'!$A:$BB,4,FALSE),"")</f>
        <v xml:space="preserve">6154 Nancy Ridge Drive 
San Diego, CA 92121 </v>
      </c>
      <c r="H409" s="1056" t="str">
        <f>IFERROR(VLOOKUP($A409,'2018'!$A:$BB,5,FALSE),"")</f>
        <v xml:space="preserve">Nicole Semonis
858 210-3617 
nsemonis@arenapharm.com </v>
      </c>
      <c r="I409" s="1056" t="str">
        <f>IFERROR(VLOOKUP($A409,'2018'!$A:$BB,6,FALSE),"")</f>
        <v xml:space="preserve">Nicole Semonis
858 210-3617 
nsemonis@arenapharm.com </v>
      </c>
      <c r="J409" s="1056" t="str">
        <f>IFERROR(VLOOKUP($A409,'2018'!$A:$BB,7,FALSE),"")</f>
        <v>HUB (San Diego)</v>
      </c>
      <c r="K409" s="1056" t="str">
        <f>IFERROR(VLOOKUP($A409,'2018'!$A:$BB,8,FALSE),"")</f>
        <v>Account Managed by HUB SD Team
Producer - Matt Creighton
Service Lead - Ben Hendricks
AM - Yvonne Bello</v>
      </c>
      <c r="L409" s="1063" t="str">
        <f>IFERROR(VLOOKUP($A409,'2018'!$A:$BB,9,FALSE),"")</f>
        <v>Renewal</v>
      </c>
      <c r="M409" s="1070">
        <f>IFERROR(VLOOKUP($A409,'2018'!$A:$BB,10,FALSE),"")</f>
        <v>42736</v>
      </c>
      <c r="N409" s="1063">
        <f>IFERROR(VLOOKUP($A409,'2018'!$A:$BB,12,FALSE),"")</f>
        <v>79</v>
      </c>
      <c r="O409" s="1056" t="str">
        <f>IFERROR(VLOOKUP($A409,'2018'!$A:$BB,13,FALSE),"")</f>
        <v xml:space="preserve">IGOE </v>
      </c>
      <c r="P409" s="1056" t="str">
        <f>IFERROR(VLOOKUP($A409,'2018'!$A:$BB,14,FALSE),"")</f>
        <v xml:space="preserve">ADP </v>
      </c>
      <c r="Q409" s="1056" t="str">
        <f>IFERROR(VLOOKUP($A409,'2018'!$A:$BB,16,FALSE),"")</f>
        <v>IGOE</v>
      </c>
      <c r="R409" s="1056" t="str">
        <f>IFERROR(VLOOKUP($A409,'2018'!$A:$BB,17,FALSE),"")</f>
        <v>Optum Health</v>
      </c>
      <c r="S409" s="1063" t="str">
        <f>IFERROR(VLOOKUP($A409,'2018'!$A:$BB,20,FALSE),"")</f>
        <v>SCAL</v>
      </c>
      <c r="T409" s="1063" t="str">
        <f>IFERROR(VLOOKUP($A409,'2018'!$A:$BB,21,FALSE),"")</f>
        <v>Group C (44-54)</v>
      </c>
      <c r="U409" s="1063" t="str">
        <f>IFERROR(VLOOKUP($A409,'2018'!$A:$BB,22,FALSE),"")</f>
        <v>Expanded</v>
      </c>
      <c r="V409" s="1063" t="str">
        <f>IFERROR(VLOOKUP($A409,'2018'!$A:$BB,23,FALSE),"")</f>
        <v>Advantage</v>
      </c>
      <c r="W409" s="1063" t="str">
        <f>IFERROR(VLOOKUP($A409,'2018'!$A:$BB,24,FALSE),"")</f>
        <v>No</v>
      </c>
      <c r="X409" s="1063" t="str">
        <f>IFERROR(VLOOKUP($A409,'2018'!$A:$BB,41,FALSE),"")</f>
        <v>Region 2</v>
      </c>
      <c r="Y409" s="1063" t="str">
        <f>IFERROR(VLOOKUP($A409,'2018'!$A:$BB,42,FALSE),"")</f>
        <v>(25-49)</v>
      </c>
      <c r="Z409" s="1063" t="str">
        <f>IFERROR(VLOOKUP($A409,'2018'!$A:$BB,45,FALSE),"")</f>
        <v xml:space="preserve"> (50-99)</v>
      </c>
      <c r="AA409" s="1071">
        <v>2017</v>
      </c>
      <c r="AB409" s="1072">
        <v>10</v>
      </c>
      <c r="AC409" s="1074" t="s">
        <v>317</v>
      </c>
      <c r="AD409" s="1074" t="s">
        <v>4148</v>
      </c>
      <c r="AE409" s="1074" t="s">
        <v>307</v>
      </c>
      <c r="AF409" s="1074" t="s">
        <v>113</v>
      </c>
      <c r="AG409" s="968" t="s">
        <v>3981</v>
      </c>
      <c r="AH409" s="968" t="s">
        <v>3973</v>
      </c>
      <c r="AI409" s="1071">
        <v>11</v>
      </c>
      <c r="AJ409" s="1075" t="s">
        <v>3982</v>
      </c>
      <c r="AK409" s="765">
        <v>909678</v>
      </c>
      <c r="AL409" s="766">
        <v>67</v>
      </c>
      <c r="AM409" s="765">
        <v>909678</v>
      </c>
      <c r="AN409" s="766">
        <v>68</v>
      </c>
      <c r="AO409" s="777">
        <f>AM409</f>
        <v>909678</v>
      </c>
      <c r="AP409" s="778">
        <f t="shared" si="99"/>
        <v>69</v>
      </c>
      <c r="AQ409" s="1076"/>
      <c r="AR409" s="968"/>
      <c r="AS409" s="968"/>
      <c r="AT409" s="968"/>
      <c r="AU409" s="968"/>
      <c r="AV409" s="968"/>
      <c r="AW409" s="968"/>
    </row>
    <row r="410" spans="1:49" s="1077" customFormat="1">
      <c r="A410" s="968" t="s">
        <v>4378</v>
      </c>
      <c r="B410" s="968" t="s">
        <v>4012</v>
      </c>
      <c r="C410" s="968"/>
      <c r="D410" s="968" t="s">
        <v>4177</v>
      </c>
      <c r="E410" s="968" t="s">
        <v>4177</v>
      </c>
      <c r="F410" s="1069">
        <f>IFERROR(VLOOKUP($A410,'2018'!$A:$BB,3,FALSE),"")</f>
        <v>232908305</v>
      </c>
      <c r="G410" s="1056" t="str">
        <f>IFERROR(VLOOKUP($A410,'2018'!$A:$BB,4,FALSE),"")</f>
        <v xml:space="preserve">6154 Nancy Ridge Drive 
San Diego, CA 92121 </v>
      </c>
      <c r="H410" s="1056" t="str">
        <f>IFERROR(VLOOKUP($A410,'2018'!$A:$BB,5,FALSE),"")</f>
        <v xml:space="preserve">Nicole Semonis
858 210-3617 
nsemonis@arenapharm.com </v>
      </c>
      <c r="I410" s="1056" t="str">
        <f>IFERROR(VLOOKUP($A410,'2018'!$A:$BB,6,FALSE),"")</f>
        <v xml:space="preserve">Nicole Semonis
858 210-3617 
nsemonis@arenapharm.com </v>
      </c>
      <c r="J410" s="1056" t="str">
        <f>IFERROR(VLOOKUP($A410,'2018'!$A:$BB,7,FALSE),"")</f>
        <v>HUB (San Diego)</v>
      </c>
      <c r="K410" s="1056" t="str">
        <f>IFERROR(VLOOKUP($A410,'2018'!$A:$BB,8,FALSE),"")</f>
        <v>Account Managed by HUB SD Team
Producer - Matt Creighton
Service Lead - Ben Hendricks
AM - Yvonne Bello</v>
      </c>
      <c r="L410" s="1063" t="str">
        <f>IFERROR(VLOOKUP($A410,'2018'!$A:$BB,9,FALSE),"")</f>
        <v>Renewal</v>
      </c>
      <c r="M410" s="1070">
        <f>IFERROR(VLOOKUP($A410,'2018'!$A:$BB,10,FALSE),"")</f>
        <v>42736</v>
      </c>
      <c r="N410" s="1063">
        <f>IFERROR(VLOOKUP($A410,'2018'!$A:$BB,12,FALSE),"")</f>
        <v>79</v>
      </c>
      <c r="O410" s="1056" t="str">
        <f>IFERROR(VLOOKUP($A410,'2018'!$A:$BB,13,FALSE),"")</f>
        <v xml:space="preserve">IGOE </v>
      </c>
      <c r="P410" s="1056" t="str">
        <f>IFERROR(VLOOKUP($A410,'2018'!$A:$BB,14,FALSE),"")</f>
        <v xml:space="preserve">ADP </v>
      </c>
      <c r="Q410" s="1056" t="str">
        <f>IFERROR(VLOOKUP($A410,'2018'!$A:$BB,16,FALSE),"")</f>
        <v>IGOE</v>
      </c>
      <c r="R410" s="1056" t="str">
        <f>IFERROR(VLOOKUP($A410,'2018'!$A:$BB,17,FALSE),"")</f>
        <v>Optum Health</v>
      </c>
      <c r="S410" s="1063" t="str">
        <f>IFERROR(VLOOKUP($A410,'2018'!$A:$BB,20,FALSE),"")</f>
        <v>SCAL</v>
      </c>
      <c r="T410" s="1063" t="str">
        <f>IFERROR(VLOOKUP($A410,'2018'!$A:$BB,21,FALSE),"")</f>
        <v>Group C (44-54)</v>
      </c>
      <c r="U410" s="1063" t="str">
        <f>IFERROR(VLOOKUP($A410,'2018'!$A:$BB,22,FALSE),"")</f>
        <v>Expanded</v>
      </c>
      <c r="V410" s="1063" t="str">
        <f>IFERROR(VLOOKUP($A410,'2018'!$A:$BB,23,FALSE),"")</f>
        <v>Advantage</v>
      </c>
      <c r="W410" s="1063" t="str">
        <f>IFERROR(VLOOKUP($A410,'2018'!$A:$BB,24,FALSE),"")</f>
        <v>No</v>
      </c>
      <c r="X410" s="1063" t="str">
        <f>IFERROR(VLOOKUP($A410,'2018'!$A:$BB,41,FALSE),"")</f>
        <v>Region 2</v>
      </c>
      <c r="Y410" s="1063" t="str">
        <f>IFERROR(VLOOKUP($A410,'2018'!$A:$BB,42,FALSE),"")</f>
        <v>(25-49)</v>
      </c>
      <c r="Z410" s="1063" t="str">
        <f>IFERROR(VLOOKUP($A410,'2018'!$A:$BB,45,FALSE),"")</f>
        <v xml:space="preserve"> (50-99)</v>
      </c>
      <c r="AA410" s="1071">
        <v>2017</v>
      </c>
      <c r="AB410" s="1072">
        <v>10</v>
      </c>
      <c r="AC410" s="1074" t="s">
        <v>317</v>
      </c>
      <c r="AD410" s="1074" t="s">
        <v>4148</v>
      </c>
      <c r="AE410" s="1074" t="s">
        <v>307</v>
      </c>
      <c r="AF410" s="1074" t="s">
        <v>113</v>
      </c>
      <c r="AG410" s="968" t="s">
        <v>3981</v>
      </c>
      <c r="AH410" s="968" t="s">
        <v>3977</v>
      </c>
      <c r="AI410" s="1071">
        <v>16</v>
      </c>
      <c r="AJ410" s="1075" t="s">
        <v>3985</v>
      </c>
      <c r="AK410" s="765"/>
      <c r="AL410" s="766"/>
      <c r="AM410" s="765"/>
      <c r="AN410" s="766"/>
      <c r="AO410" s="777"/>
      <c r="AP410" s="778"/>
      <c r="AQ410" s="1076"/>
      <c r="AR410" s="968"/>
      <c r="AS410" s="968"/>
      <c r="AT410" s="968"/>
      <c r="AU410" s="968"/>
      <c r="AV410" s="968"/>
      <c r="AW410" s="968"/>
    </row>
    <row r="411" spans="1:49" s="1077" customFormat="1">
      <c r="A411" s="968"/>
      <c r="B411" s="968"/>
      <c r="C411" s="968"/>
      <c r="D411" s="968"/>
      <c r="E411" s="968"/>
      <c r="F411" s="1069" t="str">
        <f>IFERROR(VLOOKUP($A411,'2018'!$A:$BB,3,FALSE),"")</f>
        <v/>
      </c>
      <c r="G411" s="1056" t="str">
        <f>IFERROR(VLOOKUP($A411,'2018'!$A:$BB,4,FALSE),"")</f>
        <v/>
      </c>
      <c r="H411" s="1056" t="str">
        <f>IFERROR(VLOOKUP($A411,'2018'!$A:$BB,5,FALSE),"")</f>
        <v/>
      </c>
      <c r="I411" s="1056" t="str">
        <f>IFERROR(VLOOKUP($A411,'2018'!$A:$BB,6,FALSE),"")</f>
        <v/>
      </c>
      <c r="J411" s="1056" t="str">
        <f>IFERROR(VLOOKUP($A411,'2018'!$A:$BB,7,FALSE),"")</f>
        <v/>
      </c>
      <c r="K411" s="1056" t="str">
        <f>IFERROR(VLOOKUP($A411,'2018'!$A:$BB,8,FALSE),"")</f>
        <v/>
      </c>
      <c r="L411" s="1063" t="str">
        <f>IFERROR(VLOOKUP($A411,'2018'!$A:$BB,9,FALSE),"")</f>
        <v/>
      </c>
      <c r="M411" s="1070" t="str">
        <f>IFERROR(VLOOKUP($A411,'2018'!$A:$BB,10,FALSE),"")</f>
        <v/>
      </c>
      <c r="N411" s="1063" t="str">
        <f>IFERROR(VLOOKUP($A411,'2018'!$A:$BB,12,FALSE),"")</f>
        <v/>
      </c>
      <c r="O411" s="1056" t="str">
        <f>IFERROR(VLOOKUP($A411,'2018'!$A:$BB,13,FALSE),"")</f>
        <v/>
      </c>
      <c r="P411" s="1056" t="str">
        <f>IFERROR(VLOOKUP($A411,'2018'!$A:$BB,14,FALSE),"")</f>
        <v/>
      </c>
      <c r="Q411" s="1056" t="str">
        <f>IFERROR(VLOOKUP($A411,'2018'!$A:$BB,16,FALSE),"")</f>
        <v/>
      </c>
      <c r="R411" s="1056" t="str">
        <f>IFERROR(VLOOKUP($A411,'2018'!$A:$BB,17,FALSE),"")</f>
        <v/>
      </c>
      <c r="S411" s="1063" t="str">
        <f>IFERROR(VLOOKUP($A411,'2018'!$A:$BB,20,FALSE),"")</f>
        <v/>
      </c>
      <c r="T411" s="1063" t="str">
        <f>IFERROR(VLOOKUP($A411,'2018'!$A:$BB,21,FALSE),"")</f>
        <v/>
      </c>
      <c r="U411" s="1063" t="str">
        <f>IFERROR(VLOOKUP($A411,'2018'!$A:$BB,22,FALSE),"")</f>
        <v/>
      </c>
      <c r="V411" s="1063" t="str">
        <f>IFERROR(VLOOKUP($A411,'2018'!$A:$BB,23,FALSE),"")</f>
        <v/>
      </c>
      <c r="W411" s="1063" t="str">
        <f>IFERROR(VLOOKUP($A411,'2018'!$A:$BB,24,FALSE),"")</f>
        <v/>
      </c>
      <c r="X411" s="1063" t="str">
        <f>IFERROR(VLOOKUP($A411,'2018'!$A:$BB,41,FALSE),"")</f>
        <v/>
      </c>
      <c r="Y411" s="1063" t="str">
        <f>IFERROR(VLOOKUP($A411,'2018'!$A:$BB,42,FALSE),"")</f>
        <v/>
      </c>
      <c r="Z411" s="1063" t="str">
        <f>IFERROR(VLOOKUP($A411,'2018'!$A:$BB,45,FALSE),"")</f>
        <v/>
      </c>
      <c r="AA411" s="1071"/>
      <c r="AB411" s="1072"/>
      <c r="AC411" s="1073"/>
      <c r="AD411" s="1073"/>
      <c r="AE411" s="1071"/>
      <c r="AF411" s="1071"/>
      <c r="AG411" s="968"/>
      <c r="AH411" s="968"/>
      <c r="AI411" s="1071"/>
      <c r="AJ411" s="1075"/>
      <c r="AK411" s="765"/>
      <c r="AL411" s="766"/>
      <c r="AM411" s="765"/>
      <c r="AN411" s="766"/>
      <c r="AO411" s="777"/>
      <c r="AP411" s="778"/>
      <c r="AQ411" s="1076"/>
      <c r="AR411" s="968"/>
      <c r="AS411" s="968"/>
      <c r="AT411" s="968"/>
      <c r="AU411" s="968"/>
      <c r="AV411" s="968"/>
      <c r="AW411" s="968"/>
    </row>
    <row r="412" spans="1:49" s="1077" customFormat="1">
      <c r="A412" s="968" t="s">
        <v>103</v>
      </c>
      <c r="B412" s="968" t="s">
        <v>4020</v>
      </c>
      <c r="C412" s="968"/>
      <c r="D412" s="968"/>
      <c r="E412" s="968"/>
      <c r="F412" s="1069" t="str">
        <f>IFERROR(VLOOKUP($A412,#REF!,3,FALSE),"")</f>
        <v/>
      </c>
      <c r="G412" s="1056" t="str">
        <f>IFERROR(VLOOKUP($A412,#REF!,4,FALSE),"")</f>
        <v/>
      </c>
      <c r="H412" s="1056" t="str">
        <f>IFERROR(VLOOKUP($A412,#REF!,5,FALSE),"")</f>
        <v/>
      </c>
      <c r="I412" s="1056" t="str">
        <f>IFERROR(VLOOKUP($A412,#REF!,6,FALSE),"")</f>
        <v/>
      </c>
      <c r="J412" s="1056" t="str">
        <f>IFERROR(VLOOKUP($A412,#REF!,7,FALSE),"")</f>
        <v/>
      </c>
      <c r="K412" s="1056" t="str">
        <f>IFERROR(VLOOKUP($A412,#REF!,8,FALSE),"")</f>
        <v/>
      </c>
      <c r="L412" s="1063" t="str">
        <f>IFERROR(VLOOKUP($A412,#REF!,9,FALSE),"")</f>
        <v/>
      </c>
      <c r="M412" s="1070" t="str">
        <f>IFERROR(VLOOKUP($A412,#REF!,10,FALSE),"")</f>
        <v/>
      </c>
      <c r="N412" s="1063" t="str">
        <f>IFERROR(VLOOKUP($A412,#REF!,12,FALSE),"")</f>
        <v/>
      </c>
      <c r="O412" s="1056" t="str">
        <f>IFERROR(VLOOKUP($A412,#REF!,13,FALSE),"")</f>
        <v/>
      </c>
      <c r="P412" s="1056" t="str">
        <f>IFERROR(VLOOKUP($A412,#REF!,14,FALSE),"")</f>
        <v/>
      </c>
      <c r="Q412" s="1056" t="str">
        <f>IFERROR(VLOOKUP($A412,#REF!,16,FALSE),"")</f>
        <v/>
      </c>
      <c r="R412" s="1056" t="str">
        <f>IFERROR(VLOOKUP($A412,#REF!,17,FALSE),"")</f>
        <v/>
      </c>
      <c r="S412" s="1063" t="str">
        <f>IFERROR(VLOOKUP($A412,#REF!,20,FALSE),"")</f>
        <v/>
      </c>
      <c r="T412" s="1063" t="str">
        <f>IFERROR(VLOOKUP($A412,#REF!,21,FALSE),"")</f>
        <v/>
      </c>
      <c r="U412" s="1063" t="str">
        <f>IFERROR(VLOOKUP($A412,#REF!,22,FALSE),"")</f>
        <v/>
      </c>
      <c r="V412" s="1063" t="str">
        <f>IFERROR(VLOOKUP($A412,#REF!,23,FALSE),"")</f>
        <v/>
      </c>
      <c r="W412" s="1063" t="str">
        <f>IFERROR(VLOOKUP($A412,#REF!,24,FALSE),"")</f>
        <v/>
      </c>
      <c r="X412" s="1063" t="str">
        <f>IFERROR(VLOOKUP($A412,#REF!,41,FALSE),"")</f>
        <v/>
      </c>
      <c r="Y412" s="1063" t="str">
        <f>IFERROR(VLOOKUP($A412,#REF!,42,FALSE),"")</f>
        <v/>
      </c>
      <c r="Z412" s="1063" t="str">
        <f>IFERROR(VLOOKUP($A412,#REF!,45,FALSE),"")</f>
        <v/>
      </c>
      <c r="AA412" s="1071">
        <v>2017</v>
      </c>
      <c r="AB412" s="1072">
        <v>13</v>
      </c>
      <c r="AC412" s="1073" t="s">
        <v>303</v>
      </c>
      <c r="AD412" s="1073" t="s">
        <v>4147</v>
      </c>
      <c r="AE412" s="1074" t="s">
        <v>307</v>
      </c>
      <c r="AF412" s="1074" t="s">
        <v>113</v>
      </c>
      <c r="AG412" s="968" t="s">
        <v>3962</v>
      </c>
      <c r="AH412" s="968" t="s">
        <v>3963</v>
      </c>
      <c r="AI412" s="1071">
        <v>3</v>
      </c>
      <c r="AJ412" s="1075" t="s">
        <v>4021</v>
      </c>
      <c r="AK412" s="765">
        <v>260009</v>
      </c>
      <c r="AL412" s="766">
        <v>139</v>
      </c>
      <c r="AM412" s="765">
        <v>260010</v>
      </c>
      <c r="AN412" s="766">
        <v>140</v>
      </c>
      <c r="AO412" s="777">
        <f t="shared" si="98"/>
        <v>260011</v>
      </c>
      <c r="AP412" s="778">
        <f t="shared" si="99"/>
        <v>141</v>
      </c>
      <c r="AQ412" s="1076"/>
      <c r="AR412" s="968"/>
      <c r="AS412" s="968"/>
      <c r="AT412" s="968"/>
      <c r="AU412" s="968"/>
      <c r="AV412" s="968"/>
      <c r="AW412" s="968"/>
    </row>
    <row r="413" spans="1:49" s="1077" customFormat="1">
      <c r="A413" s="968" t="s">
        <v>103</v>
      </c>
      <c r="B413" s="968" t="s">
        <v>4020</v>
      </c>
      <c r="C413" s="968"/>
      <c r="D413" s="968"/>
      <c r="E413" s="968"/>
      <c r="F413" s="1069" t="str">
        <f>IFERROR(VLOOKUP($A413,#REF!,3,FALSE),"")</f>
        <v/>
      </c>
      <c r="G413" s="1056" t="str">
        <f>IFERROR(VLOOKUP($A413,#REF!,4,FALSE),"")</f>
        <v/>
      </c>
      <c r="H413" s="1056" t="str">
        <f>IFERROR(VLOOKUP($A413,#REF!,5,FALSE),"")</f>
        <v/>
      </c>
      <c r="I413" s="1056" t="str">
        <f>IFERROR(VLOOKUP($A413,#REF!,6,FALSE),"")</f>
        <v/>
      </c>
      <c r="J413" s="1056" t="str">
        <f>IFERROR(VLOOKUP($A413,#REF!,7,FALSE),"")</f>
        <v/>
      </c>
      <c r="K413" s="1056" t="str">
        <f>IFERROR(VLOOKUP($A413,#REF!,8,FALSE),"")</f>
        <v/>
      </c>
      <c r="L413" s="1063" t="str">
        <f>IFERROR(VLOOKUP($A413,#REF!,9,FALSE),"")</f>
        <v/>
      </c>
      <c r="M413" s="1070" t="str">
        <f>IFERROR(VLOOKUP($A413,#REF!,10,FALSE),"")</f>
        <v/>
      </c>
      <c r="N413" s="1063" t="str">
        <f>IFERROR(VLOOKUP($A413,#REF!,12,FALSE),"")</f>
        <v/>
      </c>
      <c r="O413" s="1056" t="str">
        <f>IFERROR(VLOOKUP($A413,#REF!,13,FALSE),"")</f>
        <v/>
      </c>
      <c r="P413" s="1056" t="str">
        <f>IFERROR(VLOOKUP($A413,#REF!,14,FALSE),"")</f>
        <v/>
      </c>
      <c r="Q413" s="1056" t="str">
        <f>IFERROR(VLOOKUP($A413,#REF!,16,FALSE),"")</f>
        <v/>
      </c>
      <c r="R413" s="1056" t="str">
        <f>IFERROR(VLOOKUP($A413,#REF!,17,FALSE),"")</f>
        <v/>
      </c>
      <c r="S413" s="1063" t="str">
        <f>IFERROR(VLOOKUP($A413,#REF!,20,FALSE),"")</f>
        <v/>
      </c>
      <c r="T413" s="1063" t="str">
        <f>IFERROR(VLOOKUP($A413,#REF!,21,FALSE),"")</f>
        <v/>
      </c>
      <c r="U413" s="1063" t="str">
        <f>IFERROR(VLOOKUP($A413,#REF!,22,FALSE),"")</f>
        <v/>
      </c>
      <c r="V413" s="1063" t="str">
        <f>IFERROR(VLOOKUP($A413,#REF!,23,FALSE),"")</f>
        <v/>
      </c>
      <c r="W413" s="1063" t="str">
        <f>IFERROR(VLOOKUP($A413,#REF!,24,FALSE),"")</f>
        <v/>
      </c>
      <c r="X413" s="1063" t="str">
        <f>IFERROR(VLOOKUP($A413,#REF!,41,FALSE),"")</f>
        <v/>
      </c>
      <c r="Y413" s="1063" t="str">
        <f>IFERROR(VLOOKUP($A413,#REF!,42,FALSE),"")</f>
        <v/>
      </c>
      <c r="Z413" s="1063" t="str">
        <f>IFERROR(VLOOKUP($A413,#REF!,45,FALSE),"")</f>
        <v/>
      </c>
      <c r="AA413" s="1071">
        <v>2017</v>
      </c>
      <c r="AB413" s="1072">
        <v>13</v>
      </c>
      <c r="AC413" s="1073" t="s">
        <v>303</v>
      </c>
      <c r="AD413" s="1073" t="s">
        <v>4147</v>
      </c>
      <c r="AE413" s="1074" t="s">
        <v>307</v>
      </c>
      <c r="AF413" s="1074" t="s">
        <v>113</v>
      </c>
      <c r="AG413" s="968" t="s">
        <v>3972</v>
      </c>
      <c r="AH413" s="968" t="s">
        <v>3973</v>
      </c>
      <c r="AI413" s="1071">
        <v>8</v>
      </c>
      <c r="AJ413" s="1075" t="s">
        <v>3992</v>
      </c>
      <c r="AK413" s="765">
        <v>909678</v>
      </c>
      <c r="AL413" s="766">
        <v>76</v>
      </c>
      <c r="AM413" s="765">
        <v>909678</v>
      </c>
      <c r="AN413" s="766">
        <v>77</v>
      </c>
      <c r="AO413" s="777">
        <f>AM413</f>
        <v>909678</v>
      </c>
      <c r="AP413" s="778">
        <f t="shared" si="99"/>
        <v>78</v>
      </c>
      <c r="AQ413" s="1076"/>
      <c r="AR413" s="968"/>
      <c r="AS413" s="968"/>
      <c r="AT413" s="968"/>
      <c r="AU413" s="968"/>
      <c r="AV413" s="968"/>
      <c r="AW413" s="968"/>
    </row>
    <row r="414" spans="1:49" s="1077" customFormat="1">
      <c r="A414" s="968" t="s">
        <v>103</v>
      </c>
      <c r="B414" s="968" t="s">
        <v>4020</v>
      </c>
      <c r="C414" s="968"/>
      <c r="D414" s="968"/>
      <c r="E414" s="968"/>
      <c r="F414" s="1069" t="str">
        <f>IFERROR(VLOOKUP($A414,#REF!,3,FALSE),"")</f>
        <v/>
      </c>
      <c r="G414" s="1056" t="str">
        <f>IFERROR(VLOOKUP($A414,#REF!,4,FALSE),"")</f>
        <v/>
      </c>
      <c r="H414" s="1056" t="str">
        <f>IFERROR(VLOOKUP($A414,#REF!,5,FALSE),"")</f>
        <v/>
      </c>
      <c r="I414" s="1056" t="str">
        <f>IFERROR(VLOOKUP($A414,#REF!,6,FALSE),"")</f>
        <v/>
      </c>
      <c r="J414" s="1056" t="str">
        <f>IFERROR(VLOOKUP($A414,#REF!,7,FALSE),"")</f>
        <v/>
      </c>
      <c r="K414" s="1056" t="str">
        <f>IFERROR(VLOOKUP($A414,#REF!,8,FALSE),"")</f>
        <v/>
      </c>
      <c r="L414" s="1063" t="str">
        <f>IFERROR(VLOOKUP($A414,#REF!,9,FALSE),"")</f>
        <v/>
      </c>
      <c r="M414" s="1070" t="str">
        <f>IFERROR(VLOOKUP($A414,#REF!,10,FALSE),"")</f>
        <v/>
      </c>
      <c r="N414" s="1063" t="str">
        <f>IFERROR(VLOOKUP($A414,#REF!,12,FALSE),"")</f>
        <v/>
      </c>
      <c r="O414" s="1056" t="str">
        <f>IFERROR(VLOOKUP($A414,#REF!,13,FALSE),"")</f>
        <v/>
      </c>
      <c r="P414" s="1056" t="str">
        <f>IFERROR(VLOOKUP($A414,#REF!,14,FALSE),"")</f>
        <v/>
      </c>
      <c r="Q414" s="1056" t="str">
        <f>IFERROR(VLOOKUP($A414,#REF!,16,FALSE),"")</f>
        <v/>
      </c>
      <c r="R414" s="1056" t="str">
        <f>IFERROR(VLOOKUP($A414,#REF!,17,FALSE),"")</f>
        <v/>
      </c>
      <c r="S414" s="1063" t="str">
        <f>IFERROR(VLOOKUP($A414,#REF!,20,FALSE),"")</f>
        <v/>
      </c>
      <c r="T414" s="1063" t="str">
        <f>IFERROR(VLOOKUP($A414,#REF!,21,FALSE),"")</f>
        <v/>
      </c>
      <c r="U414" s="1063" t="str">
        <f>IFERROR(VLOOKUP($A414,#REF!,22,FALSE),"")</f>
        <v/>
      </c>
      <c r="V414" s="1063" t="str">
        <f>IFERROR(VLOOKUP($A414,#REF!,23,FALSE),"")</f>
        <v/>
      </c>
      <c r="W414" s="1063" t="str">
        <f>IFERROR(VLOOKUP($A414,#REF!,24,FALSE),"")</f>
        <v/>
      </c>
      <c r="X414" s="1063" t="str">
        <f>IFERROR(VLOOKUP($A414,#REF!,41,FALSE),"")</f>
        <v/>
      </c>
      <c r="Y414" s="1063" t="str">
        <f>IFERROR(VLOOKUP($A414,#REF!,42,FALSE),"")</f>
        <v/>
      </c>
      <c r="Z414" s="1063" t="str">
        <f>IFERROR(VLOOKUP($A414,#REF!,45,FALSE),"")</f>
        <v/>
      </c>
      <c r="AA414" s="1071">
        <v>2017</v>
      </c>
      <c r="AB414" s="1072">
        <v>13</v>
      </c>
      <c r="AC414" s="1073" t="s">
        <v>303</v>
      </c>
      <c r="AD414" s="1073" t="s">
        <v>4147</v>
      </c>
      <c r="AE414" s="1074" t="s">
        <v>307</v>
      </c>
      <c r="AF414" s="1074" t="s">
        <v>113</v>
      </c>
      <c r="AG414" s="968" t="s">
        <v>3972</v>
      </c>
      <c r="AH414" s="968" t="s">
        <v>3977</v>
      </c>
      <c r="AI414" s="1071">
        <v>14</v>
      </c>
      <c r="AJ414" s="1075" t="s">
        <v>3994</v>
      </c>
      <c r="AK414" s="765"/>
      <c r="AL414" s="766"/>
      <c r="AM414" s="765"/>
      <c r="AN414" s="766"/>
      <c r="AO414" s="777"/>
      <c r="AP414" s="778"/>
      <c r="AQ414" s="1076"/>
      <c r="AR414" s="968"/>
      <c r="AS414" s="968"/>
      <c r="AT414" s="968"/>
      <c r="AU414" s="968"/>
      <c r="AV414" s="968"/>
      <c r="AW414" s="968"/>
    </row>
    <row r="415" spans="1:49" s="1077" customFormat="1">
      <c r="A415" s="968"/>
      <c r="B415" s="968"/>
      <c r="C415" s="968"/>
      <c r="D415" s="968"/>
      <c r="E415" s="968"/>
      <c r="F415" s="1069" t="str">
        <f>IFERROR(VLOOKUP($A415,#REF!,3,FALSE),"")</f>
        <v/>
      </c>
      <c r="G415" s="1056" t="str">
        <f>IFERROR(VLOOKUP($A415,#REF!,4,FALSE),"")</f>
        <v/>
      </c>
      <c r="H415" s="1056" t="str">
        <f>IFERROR(VLOOKUP($A415,#REF!,5,FALSE),"")</f>
        <v/>
      </c>
      <c r="I415" s="1056" t="str">
        <f>IFERROR(VLOOKUP($A415,#REF!,6,FALSE),"")</f>
        <v/>
      </c>
      <c r="J415" s="1056" t="str">
        <f>IFERROR(VLOOKUP($A415,#REF!,7,FALSE),"")</f>
        <v/>
      </c>
      <c r="K415" s="1056" t="str">
        <f>IFERROR(VLOOKUP($A415,#REF!,8,FALSE),"")</f>
        <v/>
      </c>
      <c r="L415" s="1063" t="str">
        <f>IFERROR(VLOOKUP($A415,#REF!,9,FALSE),"")</f>
        <v/>
      </c>
      <c r="M415" s="1070" t="str">
        <f>IFERROR(VLOOKUP($A415,#REF!,10,FALSE),"")</f>
        <v/>
      </c>
      <c r="N415" s="1063" t="str">
        <f>IFERROR(VLOOKUP($A415,#REF!,12,FALSE),"")</f>
        <v/>
      </c>
      <c r="O415" s="1056" t="str">
        <f>IFERROR(VLOOKUP($A415,#REF!,13,FALSE),"")</f>
        <v/>
      </c>
      <c r="P415" s="1056" t="str">
        <f>IFERROR(VLOOKUP($A415,#REF!,14,FALSE),"")</f>
        <v/>
      </c>
      <c r="Q415" s="1056" t="str">
        <f>IFERROR(VLOOKUP($A415,#REF!,16,FALSE),"")</f>
        <v/>
      </c>
      <c r="R415" s="1056" t="str">
        <f>IFERROR(VLOOKUP($A415,#REF!,17,FALSE),"")</f>
        <v/>
      </c>
      <c r="S415" s="1063" t="str">
        <f>IFERROR(VLOOKUP($A415,#REF!,20,FALSE),"")</f>
        <v/>
      </c>
      <c r="T415" s="1063" t="str">
        <f>IFERROR(VLOOKUP($A415,#REF!,21,FALSE),"")</f>
        <v/>
      </c>
      <c r="U415" s="1063" t="str">
        <f>IFERROR(VLOOKUP($A415,#REF!,22,FALSE),"")</f>
        <v/>
      </c>
      <c r="V415" s="1063" t="str">
        <f>IFERROR(VLOOKUP($A415,#REF!,23,FALSE),"")</f>
        <v/>
      </c>
      <c r="W415" s="1063" t="str">
        <f>IFERROR(VLOOKUP($A415,#REF!,24,FALSE),"")</f>
        <v/>
      </c>
      <c r="X415" s="1063" t="str">
        <f>IFERROR(VLOOKUP($A415,#REF!,41,FALSE),"")</f>
        <v/>
      </c>
      <c r="Y415" s="1063" t="str">
        <f>IFERROR(VLOOKUP($A415,#REF!,42,FALSE),"")</f>
        <v/>
      </c>
      <c r="Z415" s="1063" t="str">
        <f>IFERROR(VLOOKUP($A415,#REF!,45,FALSE),"")</f>
        <v/>
      </c>
      <c r="AA415" s="1071"/>
      <c r="AB415" s="1072"/>
      <c r="AC415" s="1073"/>
      <c r="AD415" s="1073"/>
      <c r="AE415" s="1071"/>
      <c r="AF415" s="1071"/>
      <c r="AG415" s="968"/>
      <c r="AH415" s="968"/>
      <c r="AI415" s="1071"/>
      <c r="AJ415" s="1075"/>
      <c r="AK415" s="765"/>
      <c r="AL415" s="766"/>
      <c r="AM415" s="765"/>
      <c r="AN415" s="766"/>
      <c r="AO415" s="777"/>
      <c r="AP415" s="778"/>
      <c r="AQ415" s="1076"/>
      <c r="AR415" s="968"/>
      <c r="AS415" s="968"/>
      <c r="AT415" s="968"/>
      <c r="AU415" s="968"/>
      <c r="AV415" s="968"/>
      <c r="AW415" s="968"/>
    </row>
    <row r="416" spans="1:49" s="1077" customFormat="1">
      <c r="A416" s="968" t="s">
        <v>118</v>
      </c>
      <c r="B416" s="968" t="s">
        <v>3718</v>
      </c>
      <c r="C416" s="968" t="s">
        <v>118</v>
      </c>
      <c r="D416" s="968" t="s">
        <v>118</v>
      </c>
      <c r="E416" s="968" t="s">
        <v>3718</v>
      </c>
      <c r="F416" s="1069" t="str">
        <f>IFERROR(VLOOKUP($A416,#REF!,3,FALSE),"")</f>
        <v/>
      </c>
      <c r="G416" s="1056" t="str">
        <f>IFERROR(VLOOKUP($A416,#REF!,4,FALSE),"")</f>
        <v/>
      </c>
      <c r="H416" s="1056" t="str">
        <f>IFERROR(VLOOKUP($A416,#REF!,5,FALSE),"")</f>
        <v/>
      </c>
      <c r="I416" s="1056" t="str">
        <f>IFERROR(VLOOKUP($A416,#REF!,6,FALSE),"")</f>
        <v/>
      </c>
      <c r="J416" s="1056" t="str">
        <f>IFERROR(VLOOKUP($A416,#REF!,7,FALSE),"")</f>
        <v/>
      </c>
      <c r="K416" s="1056" t="str">
        <f>IFERROR(VLOOKUP($A416,#REF!,8,FALSE),"")</f>
        <v/>
      </c>
      <c r="L416" s="1063" t="str">
        <f>IFERROR(VLOOKUP($A416,#REF!,9,FALSE),"")</f>
        <v/>
      </c>
      <c r="M416" s="1070" t="str">
        <f>IFERROR(VLOOKUP($A416,#REF!,10,FALSE),"")</f>
        <v/>
      </c>
      <c r="N416" s="1063" t="str">
        <f>IFERROR(VLOOKUP($A416,#REF!,12,FALSE),"")</f>
        <v/>
      </c>
      <c r="O416" s="1056" t="str">
        <f>IFERROR(VLOOKUP($A416,#REF!,13,FALSE),"")</f>
        <v/>
      </c>
      <c r="P416" s="1056" t="str">
        <f>IFERROR(VLOOKUP($A416,#REF!,14,FALSE),"")</f>
        <v/>
      </c>
      <c r="Q416" s="1056" t="str">
        <f>IFERROR(VLOOKUP($A416,#REF!,16,FALSE),"")</f>
        <v/>
      </c>
      <c r="R416" s="1056" t="str">
        <f>IFERROR(VLOOKUP($A416,#REF!,17,FALSE),"")</f>
        <v/>
      </c>
      <c r="S416" s="1063" t="str">
        <f>IFERROR(VLOOKUP($A416,#REF!,20,FALSE),"")</f>
        <v/>
      </c>
      <c r="T416" s="1063" t="str">
        <f>IFERROR(VLOOKUP($A416,#REF!,21,FALSE),"")</f>
        <v/>
      </c>
      <c r="U416" s="1063" t="str">
        <f>IFERROR(VLOOKUP($A416,#REF!,22,FALSE),"")</f>
        <v/>
      </c>
      <c r="V416" s="1063" t="str">
        <f>IFERROR(VLOOKUP($A416,#REF!,23,FALSE),"")</f>
        <v/>
      </c>
      <c r="W416" s="1063" t="str">
        <f>IFERROR(VLOOKUP($A416,#REF!,24,FALSE),"")</f>
        <v/>
      </c>
      <c r="X416" s="1063" t="str">
        <f>IFERROR(VLOOKUP($A416,#REF!,41,FALSE),"")</f>
        <v/>
      </c>
      <c r="Y416" s="1063" t="str">
        <f>IFERROR(VLOOKUP($A416,#REF!,42,FALSE),"")</f>
        <v/>
      </c>
      <c r="Z416" s="1063" t="str">
        <f>IFERROR(VLOOKUP($A416,#REF!,45,FALSE),"")</f>
        <v/>
      </c>
      <c r="AA416" s="1071">
        <v>2017</v>
      </c>
      <c r="AB416" s="1072">
        <v>8</v>
      </c>
      <c r="AC416" s="1073" t="s">
        <v>317</v>
      </c>
      <c r="AD416" s="1073" t="s">
        <v>3648</v>
      </c>
      <c r="AE416" s="1074" t="s">
        <v>307</v>
      </c>
      <c r="AF416" s="1074" t="s">
        <v>113</v>
      </c>
      <c r="AG416" s="968" t="s">
        <v>3962</v>
      </c>
      <c r="AH416" s="968" t="s">
        <v>3963</v>
      </c>
      <c r="AI416" s="1071">
        <v>1</v>
      </c>
      <c r="AJ416" s="1075" t="s">
        <v>3998</v>
      </c>
      <c r="AK416" s="765">
        <v>260015</v>
      </c>
      <c r="AL416" s="766">
        <v>145</v>
      </c>
      <c r="AM416" s="765">
        <v>260016</v>
      </c>
      <c r="AN416" s="766">
        <v>146</v>
      </c>
      <c r="AO416" s="777">
        <f t="shared" si="98"/>
        <v>260017</v>
      </c>
      <c r="AP416" s="778">
        <f t="shared" si="99"/>
        <v>147</v>
      </c>
      <c r="AQ416" s="1076"/>
      <c r="AR416" s="968"/>
      <c r="AS416" s="968"/>
      <c r="AT416" s="968"/>
      <c r="AU416" s="968"/>
      <c r="AV416" s="968"/>
      <c r="AW416" s="968"/>
    </row>
    <row r="417" spans="1:49" s="1077" customFormat="1">
      <c r="A417" s="968" t="s">
        <v>118</v>
      </c>
      <c r="B417" s="968" t="s">
        <v>3718</v>
      </c>
      <c r="C417" s="968" t="s">
        <v>118</v>
      </c>
      <c r="D417" s="968" t="s">
        <v>118</v>
      </c>
      <c r="E417" s="968" t="s">
        <v>3718</v>
      </c>
      <c r="F417" s="1069" t="str">
        <f>IFERROR(VLOOKUP($A417,#REF!,3,FALSE),"")</f>
        <v/>
      </c>
      <c r="G417" s="1056" t="str">
        <f>IFERROR(VLOOKUP($A417,#REF!,4,FALSE),"")</f>
        <v/>
      </c>
      <c r="H417" s="1056" t="str">
        <f>IFERROR(VLOOKUP($A417,#REF!,5,FALSE),"")</f>
        <v/>
      </c>
      <c r="I417" s="1056" t="str">
        <f>IFERROR(VLOOKUP($A417,#REF!,6,FALSE),"")</f>
        <v/>
      </c>
      <c r="J417" s="1056" t="str">
        <f>IFERROR(VLOOKUP($A417,#REF!,7,FALSE),"")</f>
        <v/>
      </c>
      <c r="K417" s="1056" t="str">
        <f>IFERROR(VLOOKUP($A417,#REF!,8,FALSE),"")</f>
        <v/>
      </c>
      <c r="L417" s="1063" t="str">
        <f>IFERROR(VLOOKUP($A417,#REF!,9,FALSE),"")</f>
        <v/>
      </c>
      <c r="M417" s="1070" t="str">
        <f>IFERROR(VLOOKUP($A417,#REF!,10,FALSE),"")</f>
        <v/>
      </c>
      <c r="N417" s="1063" t="str">
        <f>IFERROR(VLOOKUP($A417,#REF!,12,FALSE),"")</f>
        <v/>
      </c>
      <c r="O417" s="1056" t="str">
        <f>IFERROR(VLOOKUP($A417,#REF!,13,FALSE),"")</f>
        <v/>
      </c>
      <c r="P417" s="1056" t="str">
        <f>IFERROR(VLOOKUP($A417,#REF!,14,FALSE),"")</f>
        <v/>
      </c>
      <c r="Q417" s="1056" t="str">
        <f>IFERROR(VLOOKUP($A417,#REF!,16,FALSE),"")</f>
        <v/>
      </c>
      <c r="R417" s="1056" t="str">
        <f>IFERROR(VLOOKUP($A417,#REF!,17,FALSE),"")</f>
        <v/>
      </c>
      <c r="S417" s="1063" t="str">
        <f>IFERROR(VLOOKUP($A417,#REF!,20,FALSE),"")</f>
        <v/>
      </c>
      <c r="T417" s="1063" t="str">
        <f>IFERROR(VLOOKUP($A417,#REF!,21,FALSE),"")</f>
        <v/>
      </c>
      <c r="U417" s="1063" t="str">
        <f>IFERROR(VLOOKUP($A417,#REF!,22,FALSE),"")</f>
        <v/>
      </c>
      <c r="V417" s="1063" t="str">
        <f>IFERROR(VLOOKUP($A417,#REF!,23,FALSE),"")</f>
        <v/>
      </c>
      <c r="W417" s="1063" t="str">
        <f>IFERROR(VLOOKUP($A417,#REF!,24,FALSE),"")</f>
        <v/>
      </c>
      <c r="X417" s="1063" t="str">
        <f>IFERROR(VLOOKUP($A417,#REF!,41,FALSE),"")</f>
        <v/>
      </c>
      <c r="Y417" s="1063" t="str">
        <f>IFERROR(VLOOKUP($A417,#REF!,42,FALSE),"")</f>
        <v/>
      </c>
      <c r="Z417" s="1063" t="str">
        <f>IFERROR(VLOOKUP($A417,#REF!,45,FALSE),"")</f>
        <v/>
      </c>
      <c r="AA417" s="1071">
        <v>2017</v>
      </c>
      <c r="AB417" s="1072">
        <v>8</v>
      </c>
      <c r="AC417" s="1073" t="s">
        <v>317</v>
      </c>
      <c r="AD417" s="1073" t="s">
        <v>3648</v>
      </c>
      <c r="AE417" s="1074" t="s">
        <v>307</v>
      </c>
      <c r="AF417" s="1074" t="s">
        <v>113</v>
      </c>
      <c r="AG417" s="968" t="s">
        <v>3972</v>
      </c>
      <c r="AH417" s="968" t="s">
        <v>3973</v>
      </c>
      <c r="AI417" s="1071">
        <v>7</v>
      </c>
      <c r="AJ417" s="1075" t="s">
        <v>4001</v>
      </c>
      <c r="AK417" s="765">
        <v>909678</v>
      </c>
      <c r="AL417" s="766">
        <v>58</v>
      </c>
      <c r="AM417" s="765">
        <v>909678</v>
      </c>
      <c r="AN417" s="766">
        <v>59</v>
      </c>
      <c r="AO417" s="777">
        <f>AM417</f>
        <v>909678</v>
      </c>
      <c r="AP417" s="778">
        <f t="shared" si="99"/>
        <v>60</v>
      </c>
      <c r="AQ417" s="1076"/>
      <c r="AR417" s="968"/>
      <c r="AS417" s="968"/>
      <c r="AT417" s="968"/>
      <c r="AU417" s="968"/>
      <c r="AV417" s="968"/>
      <c r="AW417" s="968"/>
    </row>
    <row r="418" spans="1:49" s="1077" customFormat="1">
      <c r="A418" s="968" t="s">
        <v>118</v>
      </c>
      <c r="B418" s="968" t="s">
        <v>3718</v>
      </c>
      <c r="C418" s="968" t="s">
        <v>118</v>
      </c>
      <c r="D418" s="968" t="s">
        <v>118</v>
      </c>
      <c r="E418" s="968" t="s">
        <v>3718</v>
      </c>
      <c r="F418" s="1069" t="str">
        <f>IFERROR(VLOOKUP($A418,#REF!,3,FALSE),"")</f>
        <v/>
      </c>
      <c r="G418" s="1056" t="str">
        <f>IFERROR(VLOOKUP($A418,#REF!,4,FALSE),"")</f>
        <v/>
      </c>
      <c r="H418" s="1056" t="str">
        <f>IFERROR(VLOOKUP($A418,#REF!,5,FALSE),"")</f>
        <v/>
      </c>
      <c r="I418" s="1056" t="str">
        <f>IFERROR(VLOOKUP($A418,#REF!,6,FALSE),"")</f>
        <v/>
      </c>
      <c r="J418" s="1056" t="str">
        <f>IFERROR(VLOOKUP($A418,#REF!,7,FALSE),"")</f>
        <v/>
      </c>
      <c r="K418" s="1056" t="str">
        <f>IFERROR(VLOOKUP($A418,#REF!,8,FALSE),"")</f>
        <v/>
      </c>
      <c r="L418" s="1063" t="str">
        <f>IFERROR(VLOOKUP($A418,#REF!,9,FALSE),"")</f>
        <v/>
      </c>
      <c r="M418" s="1070" t="str">
        <f>IFERROR(VLOOKUP($A418,#REF!,10,FALSE),"")</f>
        <v/>
      </c>
      <c r="N418" s="1063" t="str">
        <f>IFERROR(VLOOKUP($A418,#REF!,12,FALSE),"")</f>
        <v/>
      </c>
      <c r="O418" s="1056" t="str">
        <f>IFERROR(VLOOKUP($A418,#REF!,13,FALSE),"")</f>
        <v/>
      </c>
      <c r="P418" s="1056" t="str">
        <f>IFERROR(VLOOKUP($A418,#REF!,14,FALSE),"")</f>
        <v/>
      </c>
      <c r="Q418" s="1056" t="str">
        <f>IFERROR(VLOOKUP($A418,#REF!,16,FALSE),"")</f>
        <v/>
      </c>
      <c r="R418" s="1056" t="str">
        <f>IFERROR(VLOOKUP($A418,#REF!,17,FALSE),"")</f>
        <v/>
      </c>
      <c r="S418" s="1063" t="str">
        <f>IFERROR(VLOOKUP($A418,#REF!,20,FALSE),"")</f>
        <v/>
      </c>
      <c r="T418" s="1063" t="str">
        <f>IFERROR(VLOOKUP($A418,#REF!,21,FALSE),"")</f>
        <v/>
      </c>
      <c r="U418" s="1063" t="str">
        <f>IFERROR(VLOOKUP($A418,#REF!,22,FALSE),"")</f>
        <v/>
      </c>
      <c r="V418" s="1063" t="str">
        <f>IFERROR(VLOOKUP($A418,#REF!,23,FALSE),"")</f>
        <v/>
      </c>
      <c r="W418" s="1063" t="str">
        <f>IFERROR(VLOOKUP($A418,#REF!,24,FALSE),"")</f>
        <v/>
      </c>
      <c r="X418" s="1063" t="str">
        <f>IFERROR(VLOOKUP($A418,#REF!,41,FALSE),"")</f>
        <v/>
      </c>
      <c r="Y418" s="1063" t="str">
        <f>IFERROR(VLOOKUP($A418,#REF!,42,FALSE),"")</f>
        <v/>
      </c>
      <c r="Z418" s="1063" t="str">
        <f>IFERROR(VLOOKUP($A418,#REF!,45,FALSE),"")</f>
        <v/>
      </c>
      <c r="AA418" s="1071">
        <v>2017</v>
      </c>
      <c r="AB418" s="1072">
        <v>8</v>
      </c>
      <c r="AC418" s="1073" t="s">
        <v>317</v>
      </c>
      <c r="AD418" s="1073" t="s">
        <v>3648</v>
      </c>
      <c r="AE418" s="1074" t="s">
        <v>307</v>
      </c>
      <c r="AF418" s="1074" t="s">
        <v>113</v>
      </c>
      <c r="AG418" s="968" t="s">
        <v>3972</v>
      </c>
      <c r="AH418" s="968" t="s">
        <v>3977</v>
      </c>
      <c r="AI418" s="1071">
        <v>13</v>
      </c>
      <c r="AJ418" s="1075" t="s">
        <v>4004</v>
      </c>
      <c r="AK418" s="765"/>
      <c r="AL418" s="766"/>
      <c r="AM418" s="765"/>
      <c r="AN418" s="766"/>
      <c r="AO418" s="777"/>
      <c r="AP418" s="778"/>
      <c r="AQ418" s="1076"/>
      <c r="AR418" s="968"/>
      <c r="AS418" s="968"/>
      <c r="AT418" s="968"/>
      <c r="AU418" s="968"/>
      <c r="AV418" s="968"/>
      <c r="AW418" s="968"/>
    </row>
    <row r="419" spans="1:49" s="1077" customFormat="1">
      <c r="A419" s="968" t="s">
        <v>118</v>
      </c>
      <c r="B419" s="968" t="s">
        <v>3718</v>
      </c>
      <c r="C419" s="968" t="s">
        <v>118</v>
      </c>
      <c r="D419" s="968" t="s">
        <v>118</v>
      </c>
      <c r="E419" s="968" t="s">
        <v>3718</v>
      </c>
      <c r="F419" s="1069" t="str">
        <f>IFERROR(VLOOKUP($A419,#REF!,3,FALSE),"")</f>
        <v/>
      </c>
      <c r="G419" s="1056" t="str">
        <f>IFERROR(VLOOKUP($A419,#REF!,4,FALSE),"")</f>
        <v/>
      </c>
      <c r="H419" s="1056" t="str">
        <f>IFERROR(VLOOKUP($A419,#REF!,5,FALSE),"")</f>
        <v/>
      </c>
      <c r="I419" s="1056" t="str">
        <f>IFERROR(VLOOKUP($A419,#REF!,6,FALSE),"")</f>
        <v/>
      </c>
      <c r="J419" s="1056" t="str">
        <f>IFERROR(VLOOKUP($A419,#REF!,7,FALSE),"")</f>
        <v/>
      </c>
      <c r="K419" s="1056" t="str">
        <f>IFERROR(VLOOKUP($A419,#REF!,8,FALSE),"")</f>
        <v/>
      </c>
      <c r="L419" s="1063" t="str">
        <f>IFERROR(VLOOKUP($A419,#REF!,9,FALSE),"")</f>
        <v/>
      </c>
      <c r="M419" s="1070" t="str">
        <f>IFERROR(VLOOKUP($A419,#REF!,10,FALSE),"")</f>
        <v/>
      </c>
      <c r="N419" s="1063" t="str">
        <f>IFERROR(VLOOKUP($A419,#REF!,12,FALSE),"")</f>
        <v/>
      </c>
      <c r="O419" s="1056" t="str">
        <f>IFERROR(VLOOKUP($A419,#REF!,13,FALSE),"")</f>
        <v/>
      </c>
      <c r="P419" s="1056" t="str">
        <f>IFERROR(VLOOKUP($A419,#REF!,14,FALSE),"")</f>
        <v/>
      </c>
      <c r="Q419" s="1056" t="str">
        <f>IFERROR(VLOOKUP($A419,#REF!,16,FALSE),"")</f>
        <v/>
      </c>
      <c r="R419" s="1056" t="str">
        <f>IFERROR(VLOOKUP($A419,#REF!,17,FALSE),"")</f>
        <v/>
      </c>
      <c r="S419" s="1063" t="str">
        <f>IFERROR(VLOOKUP($A419,#REF!,20,FALSE),"")</f>
        <v/>
      </c>
      <c r="T419" s="1063" t="str">
        <f>IFERROR(VLOOKUP($A419,#REF!,21,FALSE),"")</f>
        <v/>
      </c>
      <c r="U419" s="1063" t="str">
        <f>IFERROR(VLOOKUP($A419,#REF!,22,FALSE),"")</f>
        <v/>
      </c>
      <c r="V419" s="1063" t="str">
        <f>IFERROR(VLOOKUP($A419,#REF!,23,FALSE),"")</f>
        <v/>
      </c>
      <c r="W419" s="1063" t="str">
        <f>IFERROR(VLOOKUP($A419,#REF!,24,FALSE),"")</f>
        <v/>
      </c>
      <c r="X419" s="1063" t="str">
        <f>IFERROR(VLOOKUP($A419,#REF!,41,FALSE),"")</f>
        <v/>
      </c>
      <c r="Y419" s="1063" t="str">
        <f>IFERROR(VLOOKUP($A419,#REF!,42,FALSE),"")</f>
        <v/>
      </c>
      <c r="Z419" s="1063" t="str">
        <f>IFERROR(VLOOKUP($A419,#REF!,45,FALSE),"")</f>
        <v/>
      </c>
      <c r="AA419" s="1071">
        <v>2017</v>
      </c>
      <c r="AB419" s="1072">
        <v>8</v>
      </c>
      <c r="AC419" s="1073" t="s">
        <v>317</v>
      </c>
      <c r="AD419" s="1073" t="s">
        <v>3648</v>
      </c>
      <c r="AE419" s="1074" t="s">
        <v>307</v>
      </c>
      <c r="AF419" s="1074" t="s">
        <v>113</v>
      </c>
      <c r="AG419" s="968" t="s">
        <v>3981</v>
      </c>
      <c r="AH419" s="968" t="s">
        <v>3973</v>
      </c>
      <c r="AI419" s="1071">
        <v>11</v>
      </c>
      <c r="AJ419" s="1075" t="s">
        <v>3982</v>
      </c>
      <c r="AK419" s="765">
        <v>909678</v>
      </c>
      <c r="AL419" s="766">
        <v>61</v>
      </c>
      <c r="AM419" s="765">
        <v>909678</v>
      </c>
      <c r="AN419" s="766">
        <v>62</v>
      </c>
      <c r="AO419" s="777">
        <f>AM419</f>
        <v>909678</v>
      </c>
      <c r="AP419" s="778">
        <f t="shared" si="99"/>
        <v>63</v>
      </c>
      <c r="AQ419" s="1076"/>
      <c r="AR419" s="968"/>
      <c r="AS419" s="968"/>
      <c r="AT419" s="968"/>
      <c r="AU419" s="968"/>
      <c r="AV419" s="968"/>
      <c r="AW419" s="968"/>
    </row>
    <row r="420" spans="1:49" s="1077" customFormat="1">
      <c r="A420" s="968" t="s">
        <v>118</v>
      </c>
      <c r="B420" s="968" t="s">
        <v>3718</v>
      </c>
      <c r="C420" s="968" t="s">
        <v>118</v>
      </c>
      <c r="D420" s="968" t="s">
        <v>118</v>
      </c>
      <c r="E420" s="968" t="s">
        <v>3718</v>
      </c>
      <c r="F420" s="1069" t="str">
        <f>IFERROR(VLOOKUP($A420,#REF!,3,FALSE),"")</f>
        <v/>
      </c>
      <c r="G420" s="1056" t="str">
        <f>IFERROR(VLOOKUP($A420,#REF!,4,FALSE),"")</f>
        <v/>
      </c>
      <c r="H420" s="1056" t="str">
        <f>IFERROR(VLOOKUP($A420,#REF!,5,FALSE),"")</f>
        <v/>
      </c>
      <c r="I420" s="1056" t="str">
        <f>IFERROR(VLOOKUP($A420,#REF!,6,FALSE),"")</f>
        <v/>
      </c>
      <c r="J420" s="1056" t="str">
        <f>IFERROR(VLOOKUP($A420,#REF!,7,FALSE),"")</f>
        <v/>
      </c>
      <c r="K420" s="1056" t="str">
        <f>IFERROR(VLOOKUP($A420,#REF!,8,FALSE),"")</f>
        <v/>
      </c>
      <c r="L420" s="1063" t="str">
        <f>IFERROR(VLOOKUP($A420,#REF!,9,FALSE),"")</f>
        <v/>
      </c>
      <c r="M420" s="1070" t="str">
        <f>IFERROR(VLOOKUP($A420,#REF!,10,FALSE),"")</f>
        <v/>
      </c>
      <c r="N420" s="1063" t="str">
        <f>IFERROR(VLOOKUP($A420,#REF!,12,FALSE),"")</f>
        <v/>
      </c>
      <c r="O420" s="1056" t="str">
        <f>IFERROR(VLOOKUP($A420,#REF!,13,FALSE),"")</f>
        <v/>
      </c>
      <c r="P420" s="1056" t="str">
        <f>IFERROR(VLOOKUP($A420,#REF!,14,FALSE),"")</f>
        <v/>
      </c>
      <c r="Q420" s="1056" t="str">
        <f>IFERROR(VLOOKUP($A420,#REF!,16,FALSE),"")</f>
        <v/>
      </c>
      <c r="R420" s="1056" t="str">
        <f>IFERROR(VLOOKUP($A420,#REF!,17,FALSE),"")</f>
        <v/>
      </c>
      <c r="S420" s="1063" t="str">
        <f>IFERROR(VLOOKUP($A420,#REF!,20,FALSE),"")</f>
        <v/>
      </c>
      <c r="T420" s="1063" t="str">
        <f>IFERROR(VLOOKUP($A420,#REF!,21,FALSE),"")</f>
        <v/>
      </c>
      <c r="U420" s="1063" t="str">
        <f>IFERROR(VLOOKUP($A420,#REF!,22,FALSE),"")</f>
        <v/>
      </c>
      <c r="V420" s="1063" t="str">
        <f>IFERROR(VLOOKUP($A420,#REF!,23,FALSE),"")</f>
        <v/>
      </c>
      <c r="W420" s="1063" t="str">
        <f>IFERROR(VLOOKUP($A420,#REF!,24,FALSE),"")</f>
        <v/>
      </c>
      <c r="X420" s="1063" t="str">
        <f>IFERROR(VLOOKUP($A420,#REF!,41,FALSE),"")</f>
        <v/>
      </c>
      <c r="Y420" s="1063" t="str">
        <f>IFERROR(VLOOKUP($A420,#REF!,42,FALSE),"")</f>
        <v/>
      </c>
      <c r="Z420" s="1063" t="str">
        <f>IFERROR(VLOOKUP($A420,#REF!,45,FALSE),"")</f>
        <v/>
      </c>
      <c r="AA420" s="1071">
        <v>2017</v>
      </c>
      <c r="AB420" s="1072">
        <v>8</v>
      </c>
      <c r="AC420" s="1073" t="s">
        <v>317</v>
      </c>
      <c r="AD420" s="1073" t="s">
        <v>3648</v>
      </c>
      <c r="AE420" s="1074" t="s">
        <v>307</v>
      </c>
      <c r="AF420" s="1074" t="s">
        <v>113</v>
      </c>
      <c r="AG420" s="968" t="s">
        <v>3981</v>
      </c>
      <c r="AH420" s="968" t="s">
        <v>3977</v>
      </c>
      <c r="AI420" s="1071">
        <v>16</v>
      </c>
      <c r="AJ420" s="1075" t="s">
        <v>3985</v>
      </c>
      <c r="AK420" s="765"/>
      <c r="AL420" s="766"/>
      <c r="AM420" s="765"/>
      <c r="AN420" s="766"/>
      <c r="AO420" s="777"/>
      <c r="AP420" s="778"/>
      <c r="AQ420" s="1076"/>
      <c r="AR420" s="968"/>
      <c r="AS420" s="968"/>
      <c r="AT420" s="968"/>
      <c r="AU420" s="968"/>
      <c r="AV420" s="968"/>
      <c r="AW420" s="968"/>
    </row>
    <row r="421" spans="1:49" s="1077" customFormat="1">
      <c r="A421" s="968"/>
      <c r="B421" s="968"/>
      <c r="C421" s="968"/>
      <c r="D421" s="968"/>
      <c r="E421" s="968"/>
      <c r="F421" s="1069" t="str">
        <f>IFERROR(VLOOKUP($A421,#REF!,3,FALSE),"")</f>
        <v/>
      </c>
      <c r="G421" s="1056" t="str">
        <f>IFERROR(VLOOKUP($A421,#REF!,4,FALSE),"")</f>
        <v/>
      </c>
      <c r="H421" s="1056" t="str">
        <f>IFERROR(VLOOKUP($A421,#REF!,5,FALSE),"")</f>
        <v/>
      </c>
      <c r="I421" s="1056" t="str">
        <f>IFERROR(VLOOKUP($A421,#REF!,6,FALSE),"")</f>
        <v/>
      </c>
      <c r="J421" s="1056" t="str">
        <f>IFERROR(VLOOKUP($A421,#REF!,7,FALSE),"")</f>
        <v/>
      </c>
      <c r="K421" s="1056" t="str">
        <f>IFERROR(VLOOKUP($A421,#REF!,8,FALSE),"")</f>
        <v/>
      </c>
      <c r="L421" s="1063" t="str">
        <f>IFERROR(VLOOKUP($A421,#REF!,9,FALSE),"")</f>
        <v/>
      </c>
      <c r="M421" s="1070" t="str">
        <f>IFERROR(VLOOKUP($A421,#REF!,10,FALSE),"")</f>
        <v/>
      </c>
      <c r="N421" s="1063" t="str">
        <f>IFERROR(VLOOKUP($A421,#REF!,12,FALSE),"")</f>
        <v/>
      </c>
      <c r="O421" s="1056" t="str">
        <f>IFERROR(VLOOKUP($A421,#REF!,13,FALSE),"")</f>
        <v/>
      </c>
      <c r="P421" s="1056" t="str">
        <f>IFERROR(VLOOKUP($A421,#REF!,14,FALSE),"")</f>
        <v/>
      </c>
      <c r="Q421" s="1056" t="str">
        <f>IFERROR(VLOOKUP($A421,#REF!,16,FALSE),"")</f>
        <v/>
      </c>
      <c r="R421" s="1056" t="str">
        <f>IFERROR(VLOOKUP($A421,#REF!,17,FALSE),"")</f>
        <v/>
      </c>
      <c r="S421" s="1063" t="str">
        <f>IFERROR(VLOOKUP($A421,#REF!,20,FALSE),"")</f>
        <v/>
      </c>
      <c r="T421" s="1063" t="str">
        <f>IFERROR(VLOOKUP($A421,#REF!,21,FALSE),"")</f>
        <v/>
      </c>
      <c r="U421" s="1063" t="str">
        <f>IFERROR(VLOOKUP($A421,#REF!,22,FALSE),"")</f>
        <v/>
      </c>
      <c r="V421" s="1063" t="str">
        <f>IFERROR(VLOOKUP($A421,#REF!,23,FALSE),"")</f>
        <v/>
      </c>
      <c r="W421" s="1063" t="str">
        <f>IFERROR(VLOOKUP($A421,#REF!,24,FALSE),"")</f>
        <v/>
      </c>
      <c r="X421" s="1063" t="str">
        <f>IFERROR(VLOOKUP($A421,#REF!,41,FALSE),"")</f>
        <v/>
      </c>
      <c r="Y421" s="1063" t="str">
        <f>IFERROR(VLOOKUP($A421,#REF!,42,FALSE),"")</f>
        <v/>
      </c>
      <c r="Z421" s="1063" t="str">
        <f>IFERROR(VLOOKUP($A421,#REF!,45,FALSE),"")</f>
        <v/>
      </c>
      <c r="AA421" s="1071"/>
      <c r="AB421" s="1072"/>
      <c r="AC421" s="1073"/>
      <c r="AD421" s="1073"/>
      <c r="AE421" s="1071"/>
      <c r="AF421" s="1071"/>
      <c r="AG421" s="968"/>
      <c r="AH421" s="968"/>
      <c r="AI421" s="1071"/>
      <c r="AJ421" s="1075"/>
      <c r="AK421" s="765"/>
      <c r="AL421" s="766"/>
      <c r="AM421" s="765"/>
      <c r="AN421" s="766"/>
      <c r="AO421" s="777"/>
      <c r="AP421" s="778"/>
      <c r="AQ421" s="1076"/>
      <c r="AR421" s="968"/>
      <c r="AS421" s="968"/>
      <c r="AT421" s="968"/>
      <c r="AU421" s="968"/>
      <c r="AV421" s="968"/>
      <c r="AW421" s="968"/>
    </row>
    <row r="422" spans="1:49" s="1077" customFormat="1">
      <c r="A422" s="968" t="s">
        <v>259</v>
      </c>
      <c r="B422" s="968" t="s">
        <v>259</v>
      </c>
      <c r="C422" s="968"/>
      <c r="D422" s="968" t="s">
        <v>4181</v>
      </c>
      <c r="E422" s="968" t="s">
        <v>4181</v>
      </c>
      <c r="F422" s="1069" t="str">
        <f>IFERROR(VLOOKUP($A422,#REF!,3,FALSE),"")</f>
        <v/>
      </c>
      <c r="G422" s="1056" t="str">
        <f>IFERROR(VLOOKUP($A422,#REF!,4,FALSE),"")</f>
        <v/>
      </c>
      <c r="H422" s="1056" t="str">
        <f>IFERROR(VLOOKUP($A422,#REF!,5,FALSE),"")</f>
        <v/>
      </c>
      <c r="I422" s="1056" t="str">
        <f>IFERROR(VLOOKUP($A422,#REF!,6,FALSE),"")</f>
        <v/>
      </c>
      <c r="J422" s="1056" t="str">
        <f>IFERROR(VLOOKUP($A422,#REF!,7,FALSE),"")</f>
        <v/>
      </c>
      <c r="K422" s="1056" t="str">
        <f>IFERROR(VLOOKUP($A422,#REF!,8,FALSE),"")</f>
        <v/>
      </c>
      <c r="L422" s="1063" t="str">
        <f>IFERROR(VLOOKUP($A422,#REF!,9,FALSE),"")</f>
        <v/>
      </c>
      <c r="M422" s="1070" t="str">
        <f>IFERROR(VLOOKUP($A422,#REF!,10,FALSE),"")</f>
        <v/>
      </c>
      <c r="N422" s="1063" t="str">
        <f>IFERROR(VLOOKUP($A422,#REF!,12,FALSE),"")</f>
        <v/>
      </c>
      <c r="O422" s="1056" t="str">
        <f>IFERROR(VLOOKUP($A422,#REF!,13,FALSE),"")</f>
        <v/>
      </c>
      <c r="P422" s="1056" t="str">
        <f>IFERROR(VLOOKUP($A422,#REF!,14,FALSE),"")</f>
        <v/>
      </c>
      <c r="Q422" s="1056" t="str">
        <f>IFERROR(VLOOKUP($A422,#REF!,16,FALSE),"")</f>
        <v/>
      </c>
      <c r="R422" s="1056" t="str">
        <f>IFERROR(VLOOKUP($A422,#REF!,17,FALSE),"")</f>
        <v/>
      </c>
      <c r="S422" s="1063" t="str">
        <f>IFERROR(VLOOKUP($A422,#REF!,20,FALSE),"")</f>
        <v/>
      </c>
      <c r="T422" s="1063" t="str">
        <f>IFERROR(VLOOKUP($A422,#REF!,21,FALSE),"")</f>
        <v/>
      </c>
      <c r="U422" s="1063" t="str">
        <f>IFERROR(VLOOKUP($A422,#REF!,22,FALSE),"")</f>
        <v/>
      </c>
      <c r="V422" s="1063" t="str">
        <f>IFERROR(VLOOKUP($A422,#REF!,23,FALSE),"")</f>
        <v/>
      </c>
      <c r="W422" s="1063" t="str">
        <f>IFERROR(VLOOKUP($A422,#REF!,24,FALSE),"")</f>
        <v/>
      </c>
      <c r="X422" s="1063" t="str">
        <f>IFERROR(VLOOKUP($A422,#REF!,41,FALSE),"")</f>
        <v/>
      </c>
      <c r="Y422" s="1063" t="str">
        <f>IFERROR(VLOOKUP($A422,#REF!,42,FALSE),"")</f>
        <v/>
      </c>
      <c r="Z422" s="1063" t="str">
        <f>IFERROR(VLOOKUP($A422,#REF!,45,FALSE),"")</f>
        <v/>
      </c>
      <c r="AA422" s="1071">
        <v>2017</v>
      </c>
      <c r="AB422" s="1072" t="s">
        <v>4149</v>
      </c>
      <c r="AC422" s="1073" t="s">
        <v>317</v>
      </c>
      <c r="AD422" s="1073" t="s">
        <v>3648</v>
      </c>
      <c r="AE422" s="1074" t="s">
        <v>307</v>
      </c>
      <c r="AF422" s="1074" t="s">
        <v>113</v>
      </c>
      <c r="AG422" s="968" t="s">
        <v>3962</v>
      </c>
      <c r="AH422" s="968" t="s">
        <v>3963</v>
      </c>
      <c r="AI422" s="1071">
        <v>2</v>
      </c>
      <c r="AJ422" s="1075" t="s">
        <v>3964</v>
      </c>
      <c r="AK422" s="1081">
        <v>260089</v>
      </c>
      <c r="AL422" s="778">
        <v>190</v>
      </c>
      <c r="AM422" s="1081">
        <v>260090</v>
      </c>
      <c r="AN422" s="778">
        <v>191</v>
      </c>
      <c r="AO422" s="777">
        <f>AM422+1</f>
        <v>260091</v>
      </c>
      <c r="AP422" s="778">
        <f>AN422+1</f>
        <v>192</v>
      </c>
      <c r="AQ422" s="1076"/>
      <c r="AR422" s="968"/>
      <c r="AS422" s="968"/>
      <c r="AT422" s="968"/>
      <c r="AU422" s="968"/>
      <c r="AV422" s="968"/>
      <c r="AW422" s="968"/>
    </row>
    <row r="423" spans="1:49" s="1077" customFormat="1">
      <c r="A423" s="968" t="s">
        <v>259</v>
      </c>
      <c r="B423" s="968" t="s">
        <v>259</v>
      </c>
      <c r="C423" s="968"/>
      <c r="D423" s="968" t="s">
        <v>4181</v>
      </c>
      <c r="E423" s="968" t="s">
        <v>4181</v>
      </c>
      <c r="F423" s="1069" t="str">
        <f>IFERROR(VLOOKUP($A423,#REF!,3,FALSE),"")</f>
        <v/>
      </c>
      <c r="G423" s="1056" t="str">
        <f>IFERROR(VLOOKUP($A423,#REF!,4,FALSE),"")</f>
        <v/>
      </c>
      <c r="H423" s="1056" t="str">
        <f>IFERROR(VLOOKUP($A423,#REF!,5,FALSE),"")</f>
        <v/>
      </c>
      <c r="I423" s="1056" t="str">
        <f>IFERROR(VLOOKUP($A423,#REF!,6,FALSE),"")</f>
        <v/>
      </c>
      <c r="J423" s="1056" t="str">
        <f>IFERROR(VLOOKUP($A423,#REF!,7,FALSE),"")</f>
        <v/>
      </c>
      <c r="K423" s="1056" t="str">
        <f>IFERROR(VLOOKUP($A423,#REF!,8,FALSE),"")</f>
        <v/>
      </c>
      <c r="L423" s="1063" t="str">
        <f>IFERROR(VLOOKUP($A423,#REF!,9,FALSE),"")</f>
        <v/>
      </c>
      <c r="M423" s="1070" t="str">
        <f>IFERROR(VLOOKUP($A423,#REF!,10,FALSE),"")</f>
        <v/>
      </c>
      <c r="N423" s="1063" t="str">
        <f>IFERROR(VLOOKUP($A423,#REF!,12,FALSE),"")</f>
        <v/>
      </c>
      <c r="O423" s="1056" t="str">
        <f>IFERROR(VLOOKUP($A423,#REF!,13,FALSE),"")</f>
        <v/>
      </c>
      <c r="P423" s="1056" t="str">
        <f>IFERROR(VLOOKUP($A423,#REF!,14,FALSE),"")</f>
        <v/>
      </c>
      <c r="Q423" s="1056" t="str">
        <f>IFERROR(VLOOKUP($A423,#REF!,16,FALSE),"")</f>
        <v/>
      </c>
      <c r="R423" s="1056" t="str">
        <f>IFERROR(VLOOKUP($A423,#REF!,17,FALSE),"")</f>
        <v/>
      </c>
      <c r="S423" s="1063" t="str">
        <f>IFERROR(VLOOKUP($A423,#REF!,20,FALSE),"")</f>
        <v/>
      </c>
      <c r="T423" s="1063" t="str">
        <f>IFERROR(VLOOKUP($A423,#REF!,21,FALSE),"")</f>
        <v/>
      </c>
      <c r="U423" s="1063" t="str">
        <f>IFERROR(VLOOKUP($A423,#REF!,22,FALSE),"")</f>
        <v/>
      </c>
      <c r="V423" s="1063" t="str">
        <f>IFERROR(VLOOKUP($A423,#REF!,23,FALSE),"")</f>
        <v/>
      </c>
      <c r="W423" s="1063" t="str">
        <f>IFERROR(VLOOKUP($A423,#REF!,24,FALSE),"")</f>
        <v/>
      </c>
      <c r="X423" s="1063" t="str">
        <f>IFERROR(VLOOKUP($A423,#REF!,41,FALSE),"")</f>
        <v/>
      </c>
      <c r="Y423" s="1063" t="str">
        <f>IFERROR(VLOOKUP($A423,#REF!,42,FALSE),"")</f>
        <v/>
      </c>
      <c r="Z423" s="1063" t="str">
        <f>IFERROR(VLOOKUP($A423,#REF!,45,FALSE),"")</f>
        <v/>
      </c>
      <c r="AA423" s="1071">
        <v>2017</v>
      </c>
      <c r="AB423" s="1072" t="s">
        <v>4149</v>
      </c>
      <c r="AC423" s="1073" t="s">
        <v>317</v>
      </c>
      <c r="AD423" s="1073" t="s">
        <v>3648</v>
      </c>
      <c r="AE423" s="1074" t="s">
        <v>307</v>
      </c>
      <c r="AF423" s="1074" t="s">
        <v>113</v>
      </c>
      <c r="AG423" s="968" t="s">
        <v>3972</v>
      </c>
      <c r="AH423" s="968" t="s">
        <v>3973</v>
      </c>
      <c r="AI423" s="1071">
        <v>8</v>
      </c>
      <c r="AJ423" s="1075" t="s">
        <v>3992</v>
      </c>
      <c r="AK423" s="1082">
        <v>909678</v>
      </c>
      <c r="AL423" s="778">
        <v>373</v>
      </c>
      <c r="AM423" s="765">
        <v>909678</v>
      </c>
      <c r="AN423" s="778">
        <v>374</v>
      </c>
      <c r="AO423" s="777">
        <f t="shared" ref="AO423:AO424" si="101">AM423</f>
        <v>909678</v>
      </c>
      <c r="AP423" s="778">
        <f>AN423+1</f>
        <v>375</v>
      </c>
      <c r="AQ423" s="1076"/>
      <c r="AR423" s="968"/>
      <c r="AS423" s="968"/>
      <c r="AT423" s="968"/>
      <c r="AU423" s="968"/>
      <c r="AV423" s="968"/>
      <c r="AW423" s="968"/>
    </row>
    <row r="424" spans="1:49" s="1077" customFormat="1">
      <c r="A424" s="968" t="s">
        <v>259</v>
      </c>
      <c r="B424" s="968" t="s">
        <v>259</v>
      </c>
      <c r="C424" s="968"/>
      <c r="D424" s="968" t="s">
        <v>4181</v>
      </c>
      <c r="E424" s="968" t="s">
        <v>4181</v>
      </c>
      <c r="F424" s="1069" t="str">
        <f>IFERROR(VLOOKUP($A424,#REF!,3,FALSE),"")</f>
        <v/>
      </c>
      <c r="G424" s="1056" t="str">
        <f>IFERROR(VLOOKUP($A424,#REF!,4,FALSE),"")</f>
        <v/>
      </c>
      <c r="H424" s="1056" t="str">
        <f>IFERROR(VLOOKUP($A424,#REF!,5,FALSE),"")</f>
        <v/>
      </c>
      <c r="I424" s="1056" t="str">
        <f>IFERROR(VLOOKUP($A424,#REF!,6,FALSE),"")</f>
        <v/>
      </c>
      <c r="J424" s="1056" t="str">
        <f>IFERROR(VLOOKUP($A424,#REF!,7,FALSE),"")</f>
        <v/>
      </c>
      <c r="K424" s="1056" t="str">
        <f>IFERROR(VLOOKUP($A424,#REF!,8,FALSE),"")</f>
        <v/>
      </c>
      <c r="L424" s="1063" t="str">
        <f>IFERROR(VLOOKUP($A424,#REF!,9,FALSE),"")</f>
        <v/>
      </c>
      <c r="M424" s="1070" t="str">
        <f>IFERROR(VLOOKUP($A424,#REF!,10,FALSE),"")</f>
        <v/>
      </c>
      <c r="N424" s="1063" t="str">
        <f>IFERROR(VLOOKUP($A424,#REF!,12,FALSE),"")</f>
        <v/>
      </c>
      <c r="O424" s="1056" t="str">
        <f>IFERROR(VLOOKUP($A424,#REF!,13,FALSE),"")</f>
        <v/>
      </c>
      <c r="P424" s="1056" t="str">
        <f>IFERROR(VLOOKUP($A424,#REF!,14,FALSE),"")</f>
        <v/>
      </c>
      <c r="Q424" s="1056" t="str">
        <f>IFERROR(VLOOKUP($A424,#REF!,16,FALSE),"")</f>
        <v/>
      </c>
      <c r="R424" s="1056" t="str">
        <f>IFERROR(VLOOKUP($A424,#REF!,17,FALSE),"")</f>
        <v/>
      </c>
      <c r="S424" s="1063" t="str">
        <f>IFERROR(VLOOKUP($A424,#REF!,20,FALSE),"")</f>
        <v/>
      </c>
      <c r="T424" s="1063" t="str">
        <f>IFERROR(VLOOKUP($A424,#REF!,21,FALSE),"")</f>
        <v/>
      </c>
      <c r="U424" s="1063" t="str">
        <f>IFERROR(VLOOKUP($A424,#REF!,22,FALSE),"")</f>
        <v/>
      </c>
      <c r="V424" s="1063" t="str">
        <f>IFERROR(VLOOKUP($A424,#REF!,23,FALSE),"")</f>
        <v/>
      </c>
      <c r="W424" s="1063" t="str">
        <f>IFERROR(VLOOKUP($A424,#REF!,24,FALSE),"")</f>
        <v/>
      </c>
      <c r="X424" s="1063" t="str">
        <f>IFERROR(VLOOKUP($A424,#REF!,41,FALSE),"")</f>
        <v/>
      </c>
      <c r="Y424" s="1063" t="str">
        <f>IFERROR(VLOOKUP($A424,#REF!,42,FALSE),"")</f>
        <v/>
      </c>
      <c r="Z424" s="1063" t="str">
        <f>IFERROR(VLOOKUP($A424,#REF!,45,FALSE),"")</f>
        <v/>
      </c>
      <c r="AA424" s="1071">
        <v>2017</v>
      </c>
      <c r="AB424" s="1072" t="s">
        <v>4149</v>
      </c>
      <c r="AC424" s="1073" t="s">
        <v>317</v>
      </c>
      <c r="AD424" s="1073" t="s">
        <v>3648</v>
      </c>
      <c r="AE424" s="1074" t="s">
        <v>307</v>
      </c>
      <c r="AF424" s="1074" t="s">
        <v>113</v>
      </c>
      <c r="AG424" s="968" t="s">
        <v>3972</v>
      </c>
      <c r="AH424" s="968" t="s">
        <v>3977</v>
      </c>
      <c r="AI424" s="1071">
        <v>14</v>
      </c>
      <c r="AJ424" s="1075" t="s">
        <v>3994</v>
      </c>
      <c r="AK424" s="1082">
        <v>909678</v>
      </c>
      <c r="AL424" s="778">
        <v>625</v>
      </c>
      <c r="AM424" s="765">
        <v>909678</v>
      </c>
      <c r="AN424" s="778">
        <v>626</v>
      </c>
      <c r="AO424" s="777">
        <f t="shared" si="101"/>
        <v>909678</v>
      </c>
      <c r="AP424" s="778">
        <f>AN424+1</f>
        <v>627</v>
      </c>
      <c r="AQ424" s="1076"/>
      <c r="AR424" s="968"/>
      <c r="AS424" s="968"/>
      <c r="AT424" s="968"/>
      <c r="AU424" s="968"/>
      <c r="AV424" s="968"/>
      <c r="AW424" s="968"/>
    </row>
    <row r="425" spans="1:49" s="1077" customFormat="1">
      <c r="A425" s="968"/>
      <c r="B425" s="968"/>
      <c r="C425" s="968"/>
      <c r="D425" s="968"/>
      <c r="E425" s="968"/>
      <c r="F425" s="1069" t="str">
        <f>IFERROR(VLOOKUP($A425,#REF!,3,FALSE),"")</f>
        <v/>
      </c>
      <c r="G425" s="1056" t="str">
        <f>IFERROR(VLOOKUP($A425,#REF!,4,FALSE),"")</f>
        <v/>
      </c>
      <c r="H425" s="1056" t="str">
        <f>IFERROR(VLOOKUP($A425,#REF!,5,FALSE),"")</f>
        <v/>
      </c>
      <c r="I425" s="1056" t="str">
        <f>IFERROR(VLOOKUP($A425,#REF!,6,FALSE),"")</f>
        <v/>
      </c>
      <c r="J425" s="1056" t="str">
        <f>IFERROR(VLOOKUP($A425,#REF!,7,FALSE),"")</f>
        <v/>
      </c>
      <c r="K425" s="1056" t="str">
        <f>IFERROR(VLOOKUP($A425,#REF!,8,FALSE),"")</f>
        <v/>
      </c>
      <c r="L425" s="1063" t="str">
        <f>IFERROR(VLOOKUP($A425,#REF!,9,FALSE),"")</f>
        <v/>
      </c>
      <c r="M425" s="1070" t="str">
        <f>IFERROR(VLOOKUP($A425,#REF!,10,FALSE),"")</f>
        <v/>
      </c>
      <c r="N425" s="1063" t="str">
        <f>IFERROR(VLOOKUP($A425,#REF!,12,FALSE),"")</f>
        <v/>
      </c>
      <c r="O425" s="1056" t="str">
        <f>IFERROR(VLOOKUP($A425,#REF!,13,FALSE),"")</f>
        <v/>
      </c>
      <c r="P425" s="1056" t="str">
        <f>IFERROR(VLOOKUP($A425,#REF!,14,FALSE),"")</f>
        <v/>
      </c>
      <c r="Q425" s="1056" t="str">
        <f>IFERROR(VLOOKUP($A425,#REF!,16,FALSE),"")</f>
        <v/>
      </c>
      <c r="R425" s="1056" t="str">
        <f>IFERROR(VLOOKUP($A425,#REF!,17,FALSE),"")</f>
        <v/>
      </c>
      <c r="S425" s="1063" t="str">
        <f>IFERROR(VLOOKUP($A425,#REF!,20,FALSE),"")</f>
        <v/>
      </c>
      <c r="T425" s="1063" t="str">
        <f>IFERROR(VLOOKUP($A425,#REF!,21,FALSE),"")</f>
        <v/>
      </c>
      <c r="U425" s="1063" t="str">
        <f>IFERROR(VLOOKUP($A425,#REF!,22,FALSE),"")</f>
        <v/>
      </c>
      <c r="V425" s="1063" t="str">
        <f>IFERROR(VLOOKUP($A425,#REF!,23,FALSE),"")</f>
        <v/>
      </c>
      <c r="W425" s="1063" t="str">
        <f>IFERROR(VLOOKUP($A425,#REF!,24,FALSE),"")</f>
        <v/>
      </c>
      <c r="X425" s="1063" t="str">
        <f>IFERROR(VLOOKUP($A425,#REF!,41,FALSE),"")</f>
        <v/>
      </c>
      <c r="Y425" s="1063" t="str">
        <f>IFERROR(VLOOKUP($A425,#REF!,42,FALSE),"")</f>
        <v/>
      </c>
      <c r="Z425" s="1063" t="str">
        <f>IFERROR(VLOOKUP($A425,#REF!,45,FALSE),"")</f>
        <v/>
      </c>
      <c r="AA425" s="1083"/>
      <c r="AB425" s="1078"/>
      <c r="AC425" s="1074"/>
      <c r="AD425" s="1074"/>
      <c r="AE425" s="1074"/>
      <c r="AF425" s="1074"/>
      <c r="AG425" s="735"/>
      <c r="AH425" s="735"/>
      <c r="AI425" s="1074"/>
      <c r="AJ425" s="1079"/>
      <c r="AK425" s="1081"/>
      <c r="AL425" s="778"/>
      <c r="AM425" s="1081"/>
      <c r="AN425" s="778"/>
      <c r="AO425" s="777"/>
      <c r="AP425" s="778"/>
      <c r="AQ425" s="1080"/>
      <c r="AR425" s="735"/>
      <c r="AS425" s="735"/>
      <c r="AT425" s="735"/>
      <c r="AU425" s="735"/>
      <c r="AV425" s="735"/>
      <c r="AW425" s="735"/>
    </row>
    <row r="426" spans="1:49" s="1077" customFormat="1">
      <c r="A426" s="968" t="s">
        <v>408</v>
      </c>
      <c r="B426" s="968" t="s">
        <v>408</v>
      </c>
      <c r="C426" s="968"/>
      <c r="D426" s="968" t="s">
        <v>408</v>
      </c>
      <c r="E426" s="968" t="s">
        <v>408</v>
      </c>
      <c r="F426" s="1069" t="str">
        <f>IFERROR(VLOOKUP($A426,#REF!,3,FALSE),"")</f>
        <v/>
      </c>
      <c r="G426" s="1056" t="str">
        <f>IFERROR(VLOOKUP($A426,#REF!,4,FALSE),"")</f>
        <v/>
      </c>
      <c r="H426" s="1056" t="str">
        <f>IFERROR(VLOOKUP($A426,#REF!,5,FALSE),"")</f>
        <v/>
      </c>
      <c r="I426" s="1056" t="str">
        <f>IFERROR(VLOOKUP($A426,#REF!,6,FALSE),"")</f>
        <v/>
      </c>
      <c r="J426" s="1056" t="str">
        <f>IFERROR(VLOOKUP($A426,#REF!,7,FALSE),"")</f>
        <v/>
      </c>
      <c r="K426" s="1056" t="str">
        <f>IFERROR(VLOOKUP($A426,#REF!,8,FALSE),"")</f>
        <v/>
      </c>
      <c r="L426" s="1063" t="str">
        <f>IFERROR(VLOOKUP($A426,#REF!,9,FALSE),"")</f>
        <v/>
      </c>
      <c r="M426" s="1070" t="str">
        <f>IFERROR(VLOOKUP($A426,#REF!,10,FALSE),"")</f>
        <v/>
      </c>
      <c r="N426" s="1063" t="str">
        <f>IFERROR(VLOOKUP($A426,#REF!,12,FALSE),"")</f>
        <v/>
      </c>
      <c r="O426" s="1056" t="str">
        <f>IFERROR(VLOOKUP($A426,#REF!,13,FALSE),"")</f>
        <v/>
      </c>
      <c r="P426" s="1056" t="str">
        <f>IFERROR(VLOOKUP($A426,#REF!,14,FALSE),"")</f>
        <v/>
      </c>
      <c r="Q426" s="1056" t="str">
        <f>IFERROR(VLOOKUP($A426,#REF!,16,FALSE),"")</f>
        <v/>
      </c>
      <c r="R426" s="1056" t="str">
        <f>IFERROR(VLOOKUP($A426,#REF!,17,FALSE),"")</f>
        <v/>
      </c>
      <c r="S426" s="1063" t="str">
        <f>IFERROR(VLOOKUP($A426,#REF!,20,FALSE),"")</f>
        <v/>
      </c>
      <c r="T426" s="1063" t="str">
        <f>IFERROR(VLOOKUP($A426,#REF!,21,FALSE),"")</f>
        <v/>
      </c>
      <c r="U426" s="1063" t="str">
        <f>IFERROR(VLOOKUP($A426,#REF!,22,FALSE),"")</f>
        <v/>
      </c>
      <c r="V426" s="1063" t="str">
        <f>IFERROR(VLOOKUP($A426,#REF!,23,FALSE),"")</f>
        <v/>
      </c>
      <c r="W426" s="1063" t="str">
        <f>IFERROR(VLOOKUP($A426,#REF!,24,FALSE),"")</f>
        <v/>
      </c>
      <c r="X426" s="1063" t="str">
        <f>IFERROR(VLOOKUP($A426,#REF!,41,FALSE),"")</f>
        <v/>
      </c>
      <c r="Y426" s="1063" t="str">
        <f>IFERROR(VLOOKUP($A426,#REF!,42,FALSE),"")</f>
        <v/>
      </c>
      <c r="Z426" s="1063" t="str">
        <f>IFERROR(VLOOKUP($A426,#REF!,45,FALSE),"")</f>
        <v/>
      </c>
      <c r="AA426" s="1071">
        <v>2017</v>
      </c>
      <c r="AB426" s="1072">
        <v>19</v>
      </c>
      <c r="AC426" s="1073" t="s">
        <v>303</v>
      </c>
      <c r="AD426" s="1073" t="s">
        <v>3656</v>
      </c>
      <c r="AE426" s="1074" t="s">
        <v>307</v>
      </c>
      <c r="AF426" s="1074" t="s">
        <v>113</v>
      </c>
      <c r="AG426" s="968" t="s">
        <v>3962</v>
      </c>
      <c r="AH426" s="968" t="s">
        <v>3963</v>
      </c>
      <c r="AI426" s="1071">
        <v>1</v>
      </c>
      <c r="AJ426" s="1075" t="s">
        <v>3998</v>
      </c>
      <c r="AK426" s="765">
        <v>260030</v>
      </c>
      <c r="AL426" s="766">
        <v>121</v>
      </c>
      <c r="AM426" s="765">
        <v>260031</v>
      </c>
      <c r="AN426" s="766">
        <v>122</v>
      </c>
      <c r="AO426" s="777">
        <f t="shared" si="98"/>
        <v>260032</v>
      </c>
      <c r="AP426" s="778">
        <f t="shared" si="99"/>
        <v>123</v>
      </c>
      <c r="AQ426" s="1076"/>
      <c r="AR426" s="968"/>
      <c r="AS426" s="968"/>
      <c r="AT426" s="968"/>
      <c r="AU426" s="968"/>
      <c r="AV426" s="968"/>
      <c r="AW426" s="968"/>
    </row>
    <row r="427" spans="1:49" s="1077" customFormat="1">
      <c r="A427" s="968" t="s">
        <v>408</v>
      </c>
      <c r="B427" s="968" t="s">
        <v>408</v>
      </c>
      <c r="C427" s="968"/>
      <c r="D427" s="968" t="s">
        <v>408</v>
      </c>
      <c r="E427" s="968" t="s">
        <v>408</v>
      </c>
      <c r="F427" s="1069" t="str">
        <f>IFERROR(VLOOKUP($A427,#REF!,3,FALSE),"")</f>
        <v/>
      </c>
      <c r="G427" s="1056" t="str">
        <f>IFERROR(VLOOKUP($A427,#REF!,4,FALSE),"")</f>
        <v/>
      </c>
      <c r="H427" s="1056" t="str">
        <f>IFERROR(VLOOKUP($A427,#REF!,5,FALSE),"")</f>
        <v/>
      </c>
      <c r="I427" s="1056" t="str">
        <f>IFERROR(VLOOKUP($A427,#REF!,6,FALSE),"")</f>
        <v/>
      </c>
      <c r="J427" s="1056" t="str">
        <f>IFERROR(VLOOKUP($A427,#REF!,7,FALSE),"")</f>
        <v/>
      </c>
      <c r="K427" s="1056" t="str">
        <f>IFERROR(VLOOKUP($A427,#REF!,8,FALSE),"")</f>
        <v/>
      </c>
      <c r="L427" s="1063" t="str">
        <f>IFERROR(VLOOKUP($A427,#REF!,9,FALSE),"")</f>
        <v/>
      </c>
      <c r="M427" s="1070" t="str">
        <f>IFERROR(VLOOKUP($A427,#REF!,10,FALSE),"")</f>
        <v/>
      </c>
      <c r="N427" s="1063" t="str">
        <f>IFERROR(VLOOKUP($A427,#REF!,12,FALSE),"")</f>
        <v/>
      </c>
      <c r="O427" s="1056" t="str">
        <f>IFERROR(VLOOKUP($A427,#REF!,13,FALSE),"")</f>
        <v/>
      </c>
      <c r="P427" s="1056" t="str">
        <f>IFERROR(VLOOKUP($A427,#REF!,14,FALSE),"")</f>
        <v/>
      </c>
      <c r="Q427" s="1056" t="str">
        <f>IFERROR(VLOOKUP($A427,#REF!,16,FALSE),"")</f>
        <v/>
      </c>
      <c r="R427" s="1056" t="str">
        <f>IFERROR(VLOOKUP($A427,#REF!,17,FALSE),"")</f>
        <v/>
      </c>
      <c r="S427" s="1063" t="str">
        <f>IFERROR(VLOOKUP($A427,#REF!,20,FALSE),"")</f>
        <v/>
      </c>
      <c r="T427" s="1063" t="str">
        <f>IFERROR(VLOOKUP($A427,#REF!,21,FALSE),"")</f>
        <v/>
      </c>
      <c r="U427" s="1063" t="str">
        <f>IFERROR(VLOOKUP($A427,#REF!,22,FALSE),"")</f>
        <v/>
      </c>
      <c r="V427" s="1063" t="str">
        <f>IFERROR(VLOOKUP($A427,#REF!,23,FALSE),"")</f>
        <v/>
      </c>
      <c r="W427" s="1063" t="str">
        <f>IFERROR(VLOOKUP($A427,#REF!,24,FALSE),"")</f>
        <v/>
      </c>
      <c r="X427" s="1063" t="str">
        <f>IFERROR(VLOOKUP($A427,#REF!,41,FALSE),"")</f>
        <v/>
      </c>
      <c r="Y427" s="1063" t="str">
        <f>IFERROR(VLOOKUP($A427,#REF!,42,FALSE),"")</f>
        <v/>
      </c>
      <c r="Z427" s="1063" t="str">
        <f>IFERROR(VLOOKUP($A427,#REF!,45,FALSE),"")</f>
        <v/>
      </c>
      <c r="AA427" s="1071">
        <v>2017</v>
      </c>
      <c r="AB427" s="1072">
        <v>19</v>
      </c>
      <c r="AC427" s="1073" t="s">
        <v>303</v>
      </c>
      <c r="AD427" s="1073" t="s">
        <v>3656</v>
      </c>
      <c r="AE427" s="1074" t="s">
        <v>307</v>
      </c>
      <c r="AF427" s="1074" t="s">
        <v>113</v>
      </c>
      <c r="AG427" s="968" t="s">
        <v>3972</v>
      </c>
      <c r="AH427" s="968" t="s">
        <v>3973</v>
      </c>
      <c r="AI427" s="1071">
        <v>7</v>
      </c>
      <c r="AJ427" s="1075" t="s">
        <v>4001</v>
      </c>
      <c r="AK427" s="765">
        <v>909678</v>
      </c>
      <c r="AL427" s="766">
        <v>112</v>
      </c>
      <c r="AM427" s="765">
        <v>909678</v>
      </c>
      <c r="AN427" s="766">
        <v>113</v>
      </c>
      <c r="AO427" s="777">
        <f>AM427</f>
        <v>909678</v>
      </c>
      <c r="AP427" s="778">
        <f t="shared" si="99"/>
        <v>114</v>
      </c>
      <c r="AQ427" s="1076"/>
      <c r="AR427" s="968"/>
      <c r="AS427" s="968"/>
      <c r="AT427" s="968"/>
      <c r="AU427" s="968"/>
      <c r="AV427" s="968"/>
      <c r="AW427" s="968"/>
    </row>
    <row r="428" spans="1:49" s="1077" customFormat="1">
      <c r="A428" s="968" t="s">
        <v>408</v>
      </c>
      <c r="B428" s="968" t="s">
        <v>408</v>
      </c>
      <c r="C428" s="968"/>
      <c r="D428" s="968" t="s">
        <v>408</v>
      </c>
      <c r="E428" s="968" t="s">
        <v>408</v>
      </c>
      <c r="F428" s="1069" t="str">
        <f>IFERROR(VLOOKUP($A428,#REF!,3,FALSE),"")</f>
        <v/>
      </c>
      <c r="G428" s="1056" t="str">
        <f>IFERROR(VLOOKUP($A428,#REF!,4,FALSE),"")</f>
        <v/>
      </c>
      <c r="H428" s="1056" t="str">
        <f>IFERROR(VLOOKUP($A428,#REF!,5,FALSE),"")</f>
        <v/>
      </c>
      <c r="I428" s="1056" t="str">
        <f>IFERROR(VLOOKUP($A428,#REF!,6,FALSE),"")</f>
        <v/>
      </c>
      <c r="J428" s="1056" t="str">
        <f>IFERROR(VLOOKUP($A428,#REF!,7,FALSE),"")</f>
        <v/>
      </c>
      <c r="K428" s="1056" t="str">
        <f>IFERROR(VLOOKUP($A428,#REF!,8,FALSE),"")</f>
        <v/>
      </c>
      <c r="L428" s="1063" t="str">
        <f>IFERROR(VLOOKUP($A428,#REF!,9,FALSE),"")</f>
        <v/>
      </c>
      <c r="M428" s="1070" t="str">
        <f>IFERROR(VLOOKUP($A428,#REF!,10,FALSE),"")</f>
        <v/>
      </c>
      <c r="N428" s="1063" t="str">
        <f>IFERROR(VLOOKUP($A428,#REF!,12,FALSE),"")</f>
        <v/>
      </c>
      <c r="O428" s="1056" t="str">
        <f>IFERROR(VLOOKUP($A428,#REF!,13,FALSE),"")</f>
        <v/>
      </c>
      <c r="P428" s="1056" t="str">
        <f>IFERROR(VLOOKUP($A428,#REF!,14,FALSE),"")</f>
        <v/>
      </c>
      <c r="Q428" s="1056" t="str">
        <f>IFERROR(VLOOKUP($A428,#REF!,16,FALSE),"")</f>
        <v/>
      </c>
      <c r="R428" s="1056" t="str">
        <f>IFERROR(VLOOKUP($A428,#REF!,17,FALSE),"")</f>
        <v/>
      </c>
      <c r="S428" s="1063" t="str">
        <f>IFERROR(VLOOKUP($A428,#REF!,20,FALSE),"")</f>
        <v/>
      </c>
      <c r="T428" s="1063" t="str">
        <f>IFERROR(VLOOKUP($A428,#REF!,21,FALSE),"")</f>
        <v/>
      </c>
      <c r="U428" s="1063" t="str">
        <f>IFERROR(VLOOKUP($A428,#REF!,22,FALSE),"")</f>
        <v/>
      </c>
      <c r="V428" s="1063" t="str">
        <f>IFERROR(VLOOKUP($A428,#REF!,23,FALSE),"")</f>
        <v/>
      </c>
      <c r="W428" s="1063" t="str">
        <f>IFERROR(VLOOKUP($A428,#REF!,24,FALSE),"")</f>
        <v/>
      </c>
      <c r="X428" s="1063" t="str">
        <f>IFERROR(VLOOKUP($A428,#REF!,41,FALSE),"")</f>
        <v/>
      </c>
      <c r="Y428" s="1063" t="str">
        <f>IFERROR(VLOOKUP($A428,#REF!,42,FALSE),"")</f>
        <v/>
      </c>
      <c r="Z428" s="1063" t="str">
        <f>IFERROR(VLOOKUP($A428,#REF!,45,FALSE),"")</f>
        <v/>
      </c>
      <c r="AA428" s="1071">
        <v>2017</v>
      </c>
      <c r="AB428" s="1072">
        <v>19</v>
      </c>
      <c r="AC428" s="1073" t="s">
        <v>303</v>
      </c>
      <c r="AD428" s="1073" t="s">
        <v>3656</v>
      </c>
      <c r="AE428" s="1074" t="s">
        <v>307</v>
      </c>
      <c r="AF428" s="1074" t="s">
        <v>113</v>
      </c>
      <c r="AG428" s="968" t="s">
        <v>3972</v>
      </c>
      <c r="AH428" s="968" t="s">
        <v>3977</v>
      </c>
      <c r="AI428" s="1071">
        <v>13</v>
      </c>
      <c r="AJ428" s="1075" t="s">
        <v>4004</v>
      </c>
      <c r="AK428" s="765"/>
      <c r="AL428" s="766"/>
      <c r="AM428" s="765"/>
      <c r="AN428" s="766"/>
      <c r="AO428" s="777"/>
      <c r="AP428" s="778"/>
      <c r="AQ428" s="1076"/>
      <c r="AR428" s="968"/>
      <c r="AS428" s="968"/>
      <c r="AT428" s="968"/>
      <c r="AU428" s="968"/>
      <c r="AV428" s="968"/>
      <c r="AW428" s="968"/>
    </row>
    <row r="429" spans="1:49" s="1077" customFormat="1">
      <c r="A429" s="968" t="s">
        <v>408</v>
      </c>
      <c r="B429" s="968" t="s">
        <v>408</v>
      </c>
      <c r="C429" s="968"/>
      <c r="D429" s="968" t="s">
        <v>408</v>
      </c>
      <c r="E429" s="968" t="s">
        <v>408</v>
      </c>
      <c r="F429" s="1069" t="str">
        <f>IFERROR(VLOOKUP($A429,#REF!,3,FALSE),"")</f>
        <v/>
      </c>
      <c r="G429" s="1056" t="str">
        <f>IFERROR(VLOOKUP($A429,#REF!,4,FALSE),"")</f>
        <v/>
      </c>
      <c r="H429" s="1056" t="str">
        <f>IFERROR(VLOOKUP($A429,#REF!,5,FALSE),"")</f>
        <v/>
      </c>
      <c r="I429" s="1056" t="str">
        <f>IFERROR(VLOOKUP($A429,#REF!,6,FALSE),"")</f>
        <v/>
      </c>
      <c r="J429" s="1056" t="str">
        <f>IFERROR(VLOOKUP($A429,#REF!,7,FALSE),"")</f>
        <v/>
      </c>
      <c r="K429" s="1056" t="str">
        <f>IFERROR(VLOOKUP($A429,#REF!,8,FALSE),"")</f>
        <v/>
      </c>
      <c r="L429" s="1063" t="str">
        <f>IFERROR(VLOOKUP($A429,#REF!,9,FALSE),"")</f>
        <v/>
      </c>
      <c r="M429" s="1070" t="str">
        <f>IFERROR(VLOOKUP($A429,#REF!,10,FALSE),"")</f>
        <v/>
      </c>
      <c r="N429" s="1063" t="str">
        <f>IFERROR(VLOOKUP($A429,#REF!,12,FALSE),"")</f>
        <v/>
      </c>
      <c r="O429" s="1056" t="str">
        <f>IFERROR(VLOOKUP($A429,#REF!,13,FALSE),"")</f>
        <v/>
      </c>
      <c r="P429" s="1056" t="str">
        <f>IFERROR(VLOOKUP($A429,#REF!,14,FALSE),"")</f>
        <v/>
      </c>
      <c r="Q429" s="1056" t="str">
        <f>IFERROR(VLOOKUP($A429,#REF!,16,FALSE),"")</f>
        <v/>
      </c>
      <c r="R429" s="1056" t="str">
        <f>IFERROR(VLOOKUP($A429,#REF!,17,FALSE),"")</f>
        <v/>
      </c>
      <c r="S429" s="1063" t="str">
        <f>IFERROR(VLOOKUP($A429,#REF!,20,FALSE),"")</f>
        <v/>
      </c>
      <c r="T429" s="1063" t="str">
        <f>IFERROR(VLOOKUP($A429,#REF!,21,FALSE),"")</f>
        <v/>
      </c>
      <c r="U429" s="1063" t="str">
        <f>IFERROR(VLOOKUP($A429,#REF!,22,FALSE),"")</f>
        <v/>
      </c>
      <c r="V429" s="1063" t="str">
        <f>IFERROR(VLOOKUP($A429,#REF!,23,FALSE),"")</f>
        <v/>
      </c>
      <c r="W429" s="1063" t="str">
        <f>IFERROR(VLOOKUP($A429,#REF!,24,FALSE),"")</f>
        <v/>
      </c>
      <c r="X429" s="1063" t="str">
        <f>IFERROR(VLOOKUP($A429,#REF!,41,FALSE),"")</f>
        <v/>
      </c>
      <c r="Y429" s="1063" t="str">
        <f>IFERROR(VLOOKUP($A429,#REF!,42,FALSE),"")</f>
        <v/>
      </c>
      <c r="Z429" s="1063" t="str">
        <f>IFERROR(VLOOKUP($A429,#REF!,45,FALSE),"")</f>
        <v/>
      </c>
      <c r="AA429" s="1071">
        <v>2017</v>
      </c>
      <c r="AB429" s="1072">
        <v>19</v>
      </c>
      <c r="AC429" s="1073" t="s">
        <v>303</v>
      </c>
      <c r="AD429" s="1073" t="s">
        <v>3656</v>
      </c>
      <c r="AE429" s="1074" t="s">
        <v>307</v>
      </c>
      <c r="AF429" s="1074" t="s">
        <v>113</v>
      </c>
      <c r="AG429" s="968" t="s">
        <v>3981</v>
      </c>
      <c r="AH429" s="968" t="s">
        <v>3973</v>
      </c>
      <c r="AI429" s="1071">
        <v>11</v>
      </c>
      <c r="AJ429" s="1075" t="s">
        <v>3982</v>
      </c>
      <c r="AK429" s="765">
        <v>909678</v>
      </c>
      <c r="AL429" s="766">
        <v>115</v>
      </c>
      <c r="AM429" s="765">
        <v>909678</v>
      </c>
      <c r="AN429" s="766">
        <v>116</v>
      </c>
      <c r="AO429" s="777">
        <f>AM429</f>
        <v>909678</v>
      </c>
      <c r="AP429" s="778">
        <f t="shared" si="99"/>
        <v>117</v>
      </c>
      <c r="AQ429" s="1076"/>
      <c r="AR429" s="968"/>
      <c r="AS429" s="968"/>
      <c r="AT429" s="968"/>
      <c r="AU429" s="968"/>
      <c r="AV429" s="968"/>
      <c r="AW429" s="968"/>
    </row>
    <row r="430" spans="1:49" s="1077" customFormat="1">
      <c r="A430" s="968" t="s">
        <v>408</v>
      </c>
      <c r="B430" s="968" t="s">
        <v>408</v>
      </c>
      <c r="C430" s="968"/>
      <c r="D430" s="968" t="s">
        <v>408</v>
      </c>
      <c r="E430" s="968" t="s">
        <v>408</v>
      </c>
      <c r="F430" s="1069" t="str">
        <f>IFERROR(VLOOKUP($A430,#REF!,3,FALSE),"")</f>
        <v/>
      </c>
      <c r="G430" s="1056" t="str">
        <f>IFERROR(VLOOKUP($A430,#REF!,4,FALSE),"")</f>
        <v/>
      </c>
      <c r="H430" s="1056" t="str">
        <f>IFERROR(VLOOKUP($A430,#REF!,5,FALSE),"")</f>
        <v/>
      </c>
      <c r="I430" s="1056" t="str">
        <f>IFERROR(VLOOKUP($A430,#REF!,6,FALSE),"")</f>
        <v/>
      </c>
      <c r="J430" s="1056" t="str">
        <f>IFERROR(VLOOKUP($A430,#REF!,7,FALSE),"")</f>
        <v/>
      </c>
      <c r="K430" s="1056" t="str">
        <f>IFERROR(VLOOKUP($A430,#REF!,8,FALSE),"")</f>
        <v/>
      </c>
      <c r="L430" s="1063" t="str">
        <f>IFERROR(VLOOKUP($A430,#REF!,9,FALSE),"")</f>
        <v/>
      </c>
      <c r="M430" s="1070" t="str">
        <f>IFERROR(VLOOKUP($A430,#REF!,10,FALSE),"")</f>
        <v/>
      </c>
      <c r="N430" s="1063" t="str">
        <f>IFERROR(VLOOKUP($A430,#REF!,12,FALSE),"")</f>
        <v/>
      </c>
      <c r="O430" s="1056" t="str">
        <f>IFERROR(VLOOKUP($A430,#REF!,13,FALSE),"")</f>
        <v/>
      </c>
      <c r="P430" s="1056" t="str">
        <f>IFERROR(VLOOKUP($A430,#REF!,14,FALSE),"")</f>
        <v/>
      </c>
      <c r="Q430" s="1056" t="str">
        <f>IFERROR(VLOOKUP($A430,#REF!,16,FALSE),"")</f>
        <v/>
      </c>
      <c r="R430" s="1056" t="str">
        <f>IFERROR(VLOOKUP($A430,#REF!,17,FALSE),"")</f>
        <v/>
      </c>
      <c r="S430" s="1063" t="str">
        <f>IFERROR(VLOOKUP($A430,#REF!,20,FALSE),"")</f>
        <v/>
      </c>
      <c r="T430" s="1063" t="str">
        <f>IFERROR(VLOOKUP($A430,#REF!,21,FALSE),"")</f>
        <v/>
      </c>
      <c r="U430" s="1063" t="str">
        <f>IFERROR(VLOOKUP($A430,#REF!,22,FALSE),"")</f>
        <v/>
      </c>
      <c r="V430" s="1063" t="str">
        <f>IFERROR(VLOOKUP($A430,#REF!,23,FALSE),"")</f>
        <v/>
      </c>
      <c r="W430" s="1063" t="str">
        <f>IFERROR(VLOOKUP($A430,#REF!,24,FALSE),"")</f>
        <v/>
      </c>
      <c r="X430" s="1063" t="str">
        <f>IFERROR(VLOOKUP($A430,#REF!,41,FALSE),"")</f>
        <v/>
      </c>
      <c r="Y430" s="1063" t="str">
        <f>IFERROR(VLOOKUP($A430,#REF!,42,FALSE),"")</f>
        <v/>
      </c>
      <c r="Z430" s="1063" t="str">
        <f>IFERROR(VLOOKUP($A430,#REF!,45,FALSE),"")</f>
        <v/>
      </c>
      <c r="AA430" s="1071">
        <v>2017</v>
      </c>
      <c r="AB430" s="1072">
        <v>19</v>
      </c>
      <c r="AC430" s="1073" t="s">
        <v>303</v>
      </c>
      <c r="AD430" s="1073" t="s">
        <v>3656</v>
      </c>
      <c r="AE430" s="1074" t="s">
        <v>307</v>
      </c>
      <c r="AF430" s="1074" t="s">
        <v>113</v>
      </c>
      <c r="AG430" s="968" t="s">
        <v>3981</v>
      </c>
      <c r="AH430" s="968" t="s">
        <v>3977</v>
      </c>
      <c r="AI430" s="1071">
        <v>16</v>
      </c>
      <c r="AJ430" s="1075" t="s">
        <v>3985</v>
      </c>
      <c r="AK430" s="765"/>
      <c r="AL430" s="766"/>
      <c r="AM430" s="765"/>
      <c r="AN430" s="766"/>
      <c r="AO430" s="777"/>
      <c r="AP430" s="778"/>
      <c r="AQ430" s="1076"/>
      <c r="AR430" s="968"/>
      <c r="AS430" s="968"/>
      <c r="AT430" s="968"/>
      <c r="AU430" s="968"/>
      <c r="AV430" s="968"/>
      <c r="AW430" s="968"/>
    </row>
    <row r="431" spans="1:49" s="1077" customFormat="1">
      <c r="A431" s="968"/>
      <c r="B431" s="968"/>
      <c r="C431" s="968"/>
      <c r="D431" s="968"/>
      <c r="E431" s="968"/>
      <c r="F431" s="1069" t="str">
        <f>IFERROR(VLOOKUP($A431,#REF!,3,FALSE),"")</f>
        <v/>
      </c>
      <c r="G431" s="1056" t="str">
        <f>IFERROR(VLOOKUP($A431,#REF!,4,FALSE),"")</f>
        <v/>
      </c>
      <c r="H431" s="1056" t="str">
        <f>IFERROR(VLOOKUP($A431,#REF!,5,FALSE),"")</f>
        <v/>
      </c>
      <c r="I431" s="1056" t="str">
        <f>IFERROR(VLOOKUP($A431,#REF!,6,FALSE),"")</f>
        <v/>
      </c>
      <c r="J431" s="1056" t="str">
        <f>IFERROR(VLOOKUP($A431,#REF!,7,FALSE),"")</f>
        <v/>
      </c>
      <c r="K431" s="1056" t="str">
        <f>IFERROR(VLOOKUP($A431,#REF!,8,FALSE),"")</f>
        <v/>
      </c>
      <c r="L431" s="1063" t="str">
        <f>IFERROR(VLOOKUP($A431,#REF!,9,FALSE),"")</f>
        <v/>
      </c>
      <c r="M431" s="1070" t="str">
        <f>IFERROR(VLOOKUP($A431,#REF!,10,FALSE),"")</f>
        <v/>
      </c>
      <c r="N431" s="1063" t="str">
        <f>IFERROR(VLOOKUP($A431,#REF!,12,FALSE),"")</f>
        <v/>
      </c>
      <c r="O431" s="1056" t="str">
        <f>IFERROR(VLOOKUP($A431,#REF!,13,FALSE),"")</f>
        <v/>
      </c>
      <c r="P431" s="1056" t="str">
        <f>IFERROR(VLOOKUP($A431,#REF!,14,FALSE),"")</f>
        <v/>
      </c>
      <c r="Q431" s="1056" t="str">
        <f>IFERROR(VLOOKUP($A431,#REF!,16,FALSE),"")</f>
        <v/>
      </c>
      <c r="R431" s="1056" t="str">
        <f>IFERROR(VLOOKUP($A431,#REF!,17,FALSE),"")</f>
        <v/>
      </c>
      <c r="S431" s="1063" t="str">
        <f>IFERROR(VLOOKUP($A431,#REF!,20,FALSE),"")</f>
        <v/>
      </c>
      <c r="T431" s="1063" t="str">
        <f>IFERROR(VLOOKUP($A431,#REF!,21,FALSE),"")</f>
        <v/>
      </c>
      <c r="U431" s="1063" t="str">
        <f>IFERROR(VLOOKUP($A431,#REF!,22,FALSE),"")</f>
        <v/>
      </c>
      <c r="V431" s="1063" t="str">
        <f>IFERROR(VLOOKUP($A431,#REF!,23,FALSE),"")</f>
        <v/>
      </c>
      <c r="W431" s="1063" t="str">
        <f>IFERROR(VLOOKUP($A431,#REF!,24,FALSE),"")</f>
        <v/>
      </c>
      <c r="X431" s="1063" t="str">
        <f>IFERROR(VLOOKUP($A431,#REF!,41,FALSE),"")</f>
        <v/>
      </c>
      <c r="Y431" s="1063" t="str">
        <f>IFERROR(VLOOKUP($A431,#REF!,42,FALSE),"")</f>
        <v/>
      </c>
      <c r="Z431" s="1063" t="str">
        <f>IFERROR(VLOOKUP($A431,#REF!,45,FALSE),"")</f>
        <v/>
      </c>
      <c r="AA431" s="1071"/>
      <c r="AB431" s="1072"/>
      <c r="AC431" s="1073"/>
      <c r="AD431" s="1073"/>
      <c r="AE431" s="1071"/>
      <c r="AF431" s="1071"/>
      <c r="AG431" s="968"/>
      <c r="AH431" s="968"/>
      <c r="AI431" s="1071"/>
      <c r="AJ431" s="1075"/>
      <c r="AK431" s="765"/>
      <c r="AL431" s="766"/>
      <c r="AM431" s="765"/>
      <c r="AN431" s="766"/>
      <c r="AO431" s="777"/>
      <c r="AP431" s="778"/>
      <c r="AQ431" s="1076"/>
      <c r="AR431" s="968"/>
      <c r="AS431" s="968"/>
      <c r="AT431" s="968"/>
      <c r="AU431" s="968"/>
      <c r="AV431" s="968"/>
      <c r="AW431" s="968"/>
    </row>
    <row r="432" spans="1:49" s="1077" customFormat="1">
      <c r="A432" s="968" t="s">
        <v>353</v>
      </c>
      <c r="B432" s="968" t="s">
        <v>353</v>
      </c>
      <c r="C432" s="968"/>
      <c r="D432" s="968" t="s">
        <v>4183</v>
      </c>
      <c r="E432" s="968" t="s">
        <v>4183</v>
      </c>
      <c r="F432" s="1069">
        <f>IFERROR(VLOOKUP($A432,'2018'!$A:$BB,3,FALSE),"")</f>
        <v>391834508</v>
      </c>
      <c r="G432" s="1056" t="str">
        <f>IFERROR(VLOOKUP($A432,'2018'!$A:$BB,4,FALSE),"")</f>
        <v>12760 High Bluff Drive, Suite 370 
San Diego, Ca. 92130</v>
      </c>
      <c r="H432" s="1056" t="str">
        <f>IFERROR(VLOOKUP($A432,'2018'!$A:$BB,5,FALSE),"")</f>
        <v xml:space="preserve">Coleen Deangelo
858-794-4860 x 325
cdeangelo@chemdiv.com </v>
      </c>
      <c r="I432" s="1056" t="str">
        <f>IFERROR(VLOOKUP($A432,'2018'!$A:$BB,6,FALSE),"")</f>
        <v>Valentina Satur
858-794-4860 x 309
vsatur@chemdiv.com</v>
      </c>
      <c r="J432" s="1056" t="str">
        <f>IFERROR(VLOOKUP($A432,'2018'!$A:$BB,7,FALSE),"")</f>
        <v>HUB (Del Mar)</v>
      </c>
      <c r="K432" s="1056" t="str">
        <f>IFERROR(VLOOKUP($A432,'2018'!$A:$BB,8,FALSE),"")</f>
        <v>Account Managed by HUB Del Mar Team
Producer - Thomas Freismuth
Service Lead - Kim Larochelle</v>
      </c>
      <c r="L432" s="1063" t="str">
        <f>IFERROR(VLOOKUP($A432,'2018'!$A:$BB,9,FALSE),"")</f>
        <v>New</v>
      </c>
      <c r="M432" s="1070">
        <f>IFERROR(VLOOKUP($A432,'2018'!$A:$BB,10,FALSE),"")</f>
        <v>43040</v>
      </c>
      <c r="N432" s="1063">
        <f>IFERROR(VLOOKUP($A432,'2018'!$A:$BB,12,FALSE),"")</f>
        <v>17</v>
      </c>
      <c r="O432" s="1056" t="str">
        <f>IFERROR(VLOOKUP($A432,'2018'!$A:$BB,13,FALSE),"")</f>
        <v xml:space="preserve">IGOE </v>
      </c>
      <c r="P432" s="1056" t="str">
        <f>IFERROR(VLOOKUP($A432,'2018'!$A:$BB,14,FALSE),"")</f>
        <v xml:space="preserve">Maestro </v>
      </c>
      <c r="Q432" s="1056" t="str">
        <f>IFERROR(VLOOKUP($A432,'2018'!$A:$BB,16,FALSE),"")</f>
        <v>The Advantage Group</v>
      </c>
      <c r="R432" s="1056" t="str">
        <f>IFERROR(VLOOKUP($A432,'2018'!$A:$BB,17,FALSE),"")</f>
        <v>Optum Health</v>
      </c>
      <c r="S432" s="1063" t="str">
        <f>IFERROR(VLOOKUP($A432,'2018'!$A:$BB,20,FALSE),"")</f>
        <v>SCAL</v>
      </c>
      <c r="T432" s="1063" t="str">
        <f>IFERROR(VLOOKUP($A432,'2018'!$A:$BB,21,FALSE),"")</f>
        <v>Group C (44-54)</v>
      </c>
      <c r="U432" s="1063" t="str">
        <f>IFERROR(VLOOKUP($A432,'2018'!$A:$BB,22,FALSE),"")</f>
        <v>Expanded</v>
      </c>
      <c r="V432" s="1063" t="str">
        <f>IFERROR(VLOOKUP($A432,'2018'!$A:$BB,23,FALSE),"")</f>
        <v>Advantage</v>
      </c>
      <c r="W432" s="1063" t="str">
        <f>IFERROR(VLOOKUP($A432,'2018'!$A:$BB,24,FALSE),"")</f>
        <v>No</v>
      </c>
      <c r="X432" s="1063" t="str">
        <f>IFERROR(VLOOKUP($A432,'2018'!$A:$BB,41,FALSE),"")</f>
        <v>N/A</v>
      </c>
      <c r="Y432" s="1063" t="str">
        <f>IFERROR(VLOOKUP($A432,'2018'!$A:$BB,42,FALSE),"")</f>
        <v>N/A</v>
      </c>
      <c r="Z432" s="1063" t="str">
        <f>IFERROR(VLOOKUP($A432,'2018'!$A:$BB,45,FALSE),"")</f>
        <v>N/A</v>
      </c>
      <c r="AA432" s="1071">
        <v>2017</v>
      </c>
      <c r="AB432" s="1072" t="s">
        <v>4149</v>
      </c>
      <c r="AC432" s="1074" t="s">
        <v>317</v>
      </c>
      <c r="AD432" s="1074" t="s">
        <v>3656</v>
      </c>
      <c r="AE432" s="1074" t="s">
        <v>307</v>
      </c>
      <c r="AF432" s="1074" t="s">
        <v>113</v>
      </c>
      <c r="AG432" s="735" t="s">
        <v>3981</v>
      </c>
      <c r="AH432" s="735" t="s">
        <v>3973</v>
      </c>
      <c r="AI432" s="1074">
        <v>11</v>
      </c>
      <c r="AJ432" s="1079" t="s">
        <v>3982</v>
      </c>
      <c r="AK432" s="1082">
        <v>909678</v>
      </c>
      <c r="AL432" s="778">
        <v>484</v>
      </c>
      <c r="AM432" s="765">
        <v>909678</v>
      </c>
      <c r="AN432" s="778">
        <v>485</v>
      </c>
      <c r="AO432" s="777">
        <f t="shared" ref="AO432:AO433" si="102">AM432</f>
        <v>909678</v>
      </c>
      <c r="AP432" s="778">
        <f>AN432+1</f>
        <v>486</v>
      </c>
      <c r="AQ432" s="1080"/>
      <c r="AR432" s="735"/>
      <c r="AS432" s="735"/>
      <c r="AT432" s="735"/>
      <c r="AU432" s="735"/>
      <c r="AV432" s="735"/>
      <c r="AW432" s="735"/>
    </row>
    <row r="433" spans="1:49" s="1077" customFormat="1">
      <c r="A433" s="968" t="s">
        <v>353</v>
      </c>
      <c r="B433" s="968" t="s">
        <v>353</v>
      </c>
      <c r="C433" s="968"/>
      <c r="D433" s="968" t="s">
        <v>4183</v>
      </c>
      <c r="E433" s="968" t="s">
        <v>4183</v>
      </c>
      <c r="F433" s="1069">
        <f>IFERROR(VLOOKUP($A433,'2018'!$A:$BB,3,FALSE),"")</f>
        <v>391834508</v>
      </c>
      <c r="G433" s="1056" t="str">
        <f>IFERROR(VLOOKUP($A433,'2018'!$A:$BB,4,FALSE),"")</f>
        <v>12760 High Bluff Drive, Suite 370 
San Diego, Ca. 92130</v>
      </c>
      <c r="H433" s="1056" t="str">
        <f>IFERROR(VLOOKUP($A433,'2018'!$A:$BB,5,FALSE),"")</f>
        <v xml:space="preserve">Coleen Deangelo
858-794-4860 x 325
cdeangelo@chemdiv.com </v>
      </c>
      <c r="I433" s="1056" t="str">
        <f>IFERROR(VLOOKUP($A433,'2018'!$A:$BB,6,FALSE),"")</f>
        <v>Valentina Satur
858-794-4860 x 309
vsatur@chemdiv.com</v>
      </c>
      <c r="J433" s="1056" t="str">
        <f>IFERROR(VLOOKUP($A433,'2018'!$A:$BB,7,FALSE),"")</f>
        <v>HUB (Del Mar)</v>
      </c>
      <c r="K433" s="1056" t="str">
        <f>IFERROR(VLOOKUP($A433,'2018'!$A:$BB,8,FALSE),"")</f>
        <v>Account Managed by HUB Del Mar Team
Producer - Thomas Freismuth
Service Lead - Kim Larochelle</v>
      </c>
      <c r="L433" s="1063" t="str">
        <f>IFERROR(VLOOKUP($A433,'2018'!$A:$BB,9,FALSE),"")</f>
        <v>New</v>
      </c>
      <c r="M433" s="1070">
        <f>IFERROR(VLOOKUP($A433,'2018'!$A:$BB,10,FALSE),"")</f>
        <v>43040</v>
      </c>
      <c r="N433" s="1063">
        <f>IFERROR(VLOOKUP($A433,'2018'!$A:$BB,12,FALSE),"")</f>
        <v>17</v>
      </c>
      <c r="O433" s="1056" t="str">
        <f>IFERROR(VLOOKUP($A433,'2018'!$A:$BB,13,FALSE),"")</f>
        <v xml:space="preserve">IGOE </v>
      </c>
      <c r="P433" s="1056" t="str">
        <f>IFERROR(VLOOKUP($A433,'2018'!$A:$BB,14,FALSE),"")</f>
        <v xml:space="preserve">Maestro </v>
      </c>
      <c r="Q433" s="1056" t="str">
        <f>IFERROR(VLOOKUP($A433,'2018'!$A:$BB,16,FALSE),"")</f>
        <v>The Advantage Group</v>
      </c>
      <c r="R433" s="1056" t="str">
        <f>IFERROR(VLOOKUP($A433,'2018'!$A:$BB,17,FALSE),"")</f>
        <v>Optum Health</v>
      </c>
      <c r="S433" s="1063" t="str">
        <f>IFERROR(VLOOKUP($A433,'2018'!$A:$BB,20,FALSE),"")</f>
        <v>SCAL</v>
      </c>
      <c r="T433" s="1063" t="str">
        <f>IFERROR(VLOOKUP($A433,'2018'!$A:$BB,21,FALSE),"")</f>
        <v>Group C (44-54)</v>
      </c>
      <c r="U433" s="1063" t="str">
        <f>IFERROR(VLOOKUP($A433,'2018'!$A:$BB,22,FALSE),"")</f>
        <v>Expanded</v>
      </c>
      <c r="V433" s="1063" t="str">
        <f>IFERROR(VLOOKUP($A433,'2018'!$A:$BB,23,FALSE),"")</f>
        <v>Advantage</v>
      </c>
      <c r="W433" s="1063" t="str">
        <f>IFERROR(VLOOKUP($A433,'2018'!$A:$BB,24,FALSE),"")</f>
        <v>No</v>
      </c>
      <c r="X433" s="1063" t="str">
        <f>IFERROR(VLOOKUP($A433,'2018'!$A:$BB,41,FALSE),"")</f>
        <v>N/A</v>
      </c>
      <c r="Y433" s="1063" t="str">
        <f>IFERROR(VLOOKUP($A433,'2018'!$A:$BB,42,FALSE),"")</f>
        <v>N/A</v>
      </c>
      <c r="Z433" s="1063" t="str">
        <f>IFERROR(VLOOKUP($A433,'2018'!$A:$BB,45,FALSE),"")</f>
        <v>N/A</v>
      </c>
      <c r="AA433" s="1071">
        <v>2017</v>
      </c>
      <c r="AB433" s="1072" t="s">
        <v>4149</v>
      </c>
      <c r="AC433" s="1074" t="s">
        <v>317</v>
      </c>
      <c r="AD433" s="1074" t="s">
        <v>3656</v>
      </c>
      <c r="AE433" s="1074" t="s">
        <v>307</v>
      </c>
      <c r="AF433" s="1074" t="s">
        <v>113</v>
      </c>
      <c r="AG433" s="735" t="s">
        <v>3981</v>
      </c>
      <c r="AH433" s="735" t="s">
        <v>3977</v>
      </c>
      <c r="AI433" s="1074">
        <v>16</v>
      </c>
      <c r="AJ433" s="1079" t="s">
        <v>3985</v>
      </c>
      <c r="AK433" s="1082">
        <v>909678</v>
      </c>
      <c r="AL433" s="778">
        <v>736</v>
      </c>
      <c r="AM433" s="765">
        <v>909678</v>
      </c>
      <c r="AN433" s="778">
        <v>737</v>
      </c>
      <c r="AO433" s="777">
        <f t="shared" si="102"/>
        <v>909678</v>
      </c>
      <c r="AP433" s="778">
        <f>AN433+1</f>
        <v>738</v>
      </c>
      <c r="AQ433" s="1080"/>
      <c r="AR433" s="735"/>
      <c r="AS433" s="735"/>
      <c r="AT433" s="735"/>
      <c r="AU433" s="735"/>
      <c r="AV433" s="735"/>
      <c r="AW433" s="735"/>
    </row>
    <row r="434" spans="1:49" s="1077" customFormat="1">
      <c r="A434" s="968"/>
      <c r="B434" s="968"/>
      <c r="C434" s="968"/>
      <c r="D434" s="968"/>
      <c r="E434" s="968"/>
      <c r="F434" s="1069" t="str">
        <f>IFERROR(VLOOKUP($A434,#REF!,3,FALSE),"")</f>
        <v/>
      </c>
      <c r="G434" s="1056" t="str">
        <f>IFERROR(VLOOKUP($A434,#REF!,4,FALSE),"")</f>
        <v/>
      </c>
      <c r="H434" s="1056" t="str">
        <f>IFERROR(VLOOKUP($A434,#REF!,5,FALSE),"")</f>
        <v/>
      </c>
      <c r="I434" s="1056" t="str">
        <f>IFERROR(VLOOKUP($A434,#REF!,6,FALSE),"")</f>
        <v/>
      </c>
      <c r="J434" s="1056" t="str">
        <f>IFERROR(VLOOKUP($A434,#REF!,7,FALSE),"")</f>
        <v/>
      </c>
      <c r="K434" s="1056" t="str">
        <f>IFERROR(VLOOKUP($A434,#REF!,8,FALSE),"")</f>
        <v/>
      </c>
      <c r="L434" s="1063" t="str">
        <f>IFERROR(VLOOKUP($A434,#REF!,9,FALSE),"")</f>
        <v/>
      </c>
      <c r="M434" s="1070" t="str">
        <f>IFERROR(VLOOKUP($A434,#REF!,10,FALSE),"")</f>
        <v/>
      </c>
      <c r="N434" s="1063" t="str">
        <f>IFERROR(VLOOKUP($A434,#REF!,12,FALSE),"")</f>
        <v/>
      </c>
      <c r="O434" s="1056" t="str">
        <f>IFERROR(VLOOKUP($A434,#REF!,13,FALSE),"")</f>
        <v/>
      </c>
      <c r="P434" s="1056" t="str">
        <f>IFERROR(VLOOKUP($A434,#REF!,14,FALSE),"")</f>
        <v/>
      </c>
      <c r="Q434" s="1056" t="str">
        <f>IFERROR(VLOOKUP($A434,#REF!,16,FALSE),"")</f>
        <v/>
      </c>
      <c r="R434" s="1056" t="str">
        <f>IFERROR(VLOOKUP($A434,#REF!,17,FALSE),"")</f>
        <v/>
      </c>
      <c r="S434" s="1063" t="str">
        <f>IFERROR(VLOOKUP($A434,#REF!,20,FALSE),"")</f>
        <v/>
      </c>
      <c r="T434" s="1063" t="str">
        <f>IFERROR(VLOOKUP($A434,#REF!,21,FALSE),"")</f>
        <v/>
      </c>
      <c r="U434" s="1063" t="str">
        <f>IFERROR(VLOOKUP($A434,#REF!,22,FALSE),"")</f>
        <v/>
      </c>
      <c r="V434" s="1063" t="str">
        <f>IFERROR(VLOOKUP($A434,#REF!,23,FALSE),"")</f>
        <v/>
      </c>
      <c r="W434" s="1063" t="str">
        <f>IFERROR(VLOOKUP($A434,#REF!,24,FALSE),"")</f>
        <v/>
      </c>
      <c r="X434" s="1063" t="str">
        <f>IFERROR(VLOOKUP($A434,#REF!,41,FALSE),"")</f>
        <v/>
      </c>
      <c r="Y434" s="1063" t="str">
        <f>IFERROR(VLOOKUP($A434,#REF!,42,FALSE),"")</f>
        <v/>
      </c>
      <c r="Z434" s="1063" t="str">
        <f>IFERROR(VLOOKUP($A434,#REF!,45,FALSE),"")</f>
        <v/>
      </c>
      <c r="AA434" s="1071"/>
      <c r="AB434" s="1072"/>
      <c r="AC434" s="1074"/>
      <c r="AD434" s="1074"/>
      <c r="AE434" s="1074"/>
      <c r="AF434" s="1074"/>
      <c r="AG434" s="735"/>
      <c r="AH434" s="735"/>
      <c r="AI434" s="1074"/>
      <c r="AJ434" s="1079"/>
      <c r="AK434" s="1082"/>
      <c r="AL434" s="778"/>
      <c r="AM434" s="765"/>
      <c r="AN434" s="778"/>
      <c r="AO434" s="777"/>
      <c r="AP434" s="778"/>
      <c r="AQ434" s="1080"/>
      <c r="AR434" s="735"/>
      <c r="AS434" s="735"/>
      <c r="AT434" s="735"/>
      <c r="AU434" s="735"/>
      <c r="AV434" s="735"/>
      <c r="AW434" s="735"/>
    </row>
    <row r="435" spans="1:49" s="1077" customFormat="1">
      <c r="A435" s="968" t="s">
        <v>411</v>
      </c>
      <c r="B435" s="968" t="s">
        <v>4046</v>
      </c>
      <c r="C435" s="968"/>
      <c r="D435" s="968" t="s">
        <v>4186</v>
      </c>
      <c r="E435" s="968" t="s">
        <v>4186</v>
      </c>
      <c r="F435" s="1069" t="str">
        <f>IFERROR(VLOOKUP($A435,#REF!,3,FALSE),"")</f>
        <v/>
      </c>
      <c r="G435" s="1056" t="str">
        <f>IFERROR(VLOOKUP($A435,#REF!,4,FALSE),"")</f>
        <v/>
      </c>
      <c r="H435" s="1056" t="str">
        <f>IFERROR(VLOOKUP($A435,#REF!,5,FALSE),"")</f>
        <v/>
      </c>
      <c r="I435" s="1056" t="str">
        <f>IFERROR(VLOOKUP($A435,#REF!,6,FALSE),"")</f>
        <v/>
      </c>
      <c r="J435" s="1056" t="str">
        <f>IFERROR(VLOOKUP($A435,#REF!,7,FALSE),"")</f>
        <v/>
      </c>
      <c r="K435" s="1056" t="str">
        <f>IFERROR(VLOOKUP($A435,#REF!,8,FALSE),"")</f>
        <v/>
      </c>
      <c r="L435" s="1063" t="str">
        <f>IFERROR(VLOOKUP($A435,#REF!,9,FALSE),"")</f>
        <v/>
      </c>
      <c r="M435" s="1070" t="str">
        <f>IFERROR(VLOOKUP($A435,#REF!,10,FALSE),"")</f>
        <v/>
      </c>
      <c r="N435" s="1063" t="str">
        <f>IFERROR(VLOOKUP($A435,#REF!,12,FALSE),"")</f>
        <v/>
      </c>
      <c r="O435" s="1056" t="str">
        <f>IFERROR(VLOOKUP($A435,#REF!,13,FALSE),"")</f>
        <v/>
      </c>
      <c r="P435" s="1056" t="str">
        <f>IFERROR(VLOOKUP($A435,#REF!,14,FALSE),"")</f>
        <v/>
      </c>
      <c r="Q435" s="1056" t="str">
        <f>IFERROR(VLOOKUP($A435,#REF!,16,FALSE),"")</f>
        <v/>
      </c>
      <c r="R435" s="1056" t="str">
        <f>IFERROR(VLOOKUP($A435,#REF!,17,FALSE),"")</f>
        <v/>
      </c>
      <c r="S435" s="1063" t="str">
        <f>IFERROR(VLOOKUP($A435,#REF!,20,FALSE),"")</f>
        <v/>
      </c>
      <c r="T435" s="1063" t="str">
        <f>IFERROR(VLOOKUP($A435,#REF!,21,FALSE),"")</f>
        <v/>
      </c>
      <c r="U435" s="1063" t="str">
        <f>IFERROR(VLOOKUP($A435,#REF!,22,FALSE),"")</f>
        <v/>
      </c>
      <c r="V435" s="1063" t="str">
        <f>IFERROR(VLOOKUP($A435,#REF!,23,FALSE),"")</f>
        <v/>
      </c>
      <c r="W435" s="1063" t="str">
        <f>IFERROR(VLOOKUP($A435,#REF!,24,FALSE),"")</f>
        <v/>
      </c>
      <c r="X435" s="1063" t="str">
        <f>IFERROR(VLOOKUP($A435,#REF!,41,FALSE),"")</f>
        <v/>
      </c>
      <c r="Y435" s="1063" t="str">
        <f>IFERROR(VLOOKUP($A435,#REF!,42,FALSE),"")</f>
        <v/>
      </c>
      <c r="Z435" s="1063" t="str">
        <f>IFERROR(VLOOKUP($A435,#REF!,45,FALSE),"")</f>
        <v/>
      </c>
      <c r="AA435" s="1071">
        <v>2017</v>
      </c>
      <c r="AB435" s="1072">
        <v>6</v>
      </c>
      <c r="AC435" s="1074" t="s">
        <v>303</v>
      </c>
      <c r="AD435" s="1074" t="s">
        <v>3656</v>
      </c>
      <c r="AE435" s="1074" t="s">
        <v>307</v>
      </c>
      <c r="AF435" s="1074" t="s">
        <v>113</v>
      </c>
      <c r="AG435" s="968" t="s">
        <v>3962</v>
      </c>
      <c r="AH435" s="968" t="s">
        <v>3963</v>
      </c>
      <c r="AI435" s="1071">
        <v>2</v>
      </c>
      <c r="AJ435" s="1075" t="s">
        <v>3964</v>
      </c>
      <c r="AK435" s="765">
        <v>260012</v>
      </c>
      <c r="AL435" s="766">
        <v>136</v>
      </c>
      <c r="AM435" s="765">
        <v>260013</v>
      </c>
      <c r="AN435" s="766">
        <v>137</v>
      </c>
      <c r="AO435" s="777">
        <f t="shared" si="98"/>
        <v>260014</v>
      </c>
      <c r="AP435" s="778">
        <f t="shared" si="99"/>
        <v>138</v>
      </c>
      <c r="AQ435" s="1076"/>
      <c r="AR435" s="968"/>
      <c r="AS435" s="968"/>
      <c r="AT435" s="968"/>
      <c r="AU435" s="968"/>
      <c r="AV435" s="968"/>
      <c r="AW435" s="968"/>
    </row>
    <row r="436" spans="1:49" s="1077" customFormat="1">
      <c r="A436" s="968" t="s">
        <v>411</v>
      </c>
      <c r="B436" s="968" t="s">
        <v>4046</v>
      </c>
      <c r="C436" s="968"/>
      <c r="D436" s="968" t="s">
        <v>4186</v>
      </c>
      <c r="E436" s="968" t="s">
        <v>4186</v>
      </c>
      <c r="F436" s="1069" t="str">
        <f>IFERROR(VLOOKUP($A436,#REF!,3,FALSE),"")</f>
        <v/>
      </c>
      <c r="G436" s="1056" t="str">
        <f>IFERROR(VLOOKUP($A436,#REF!,4,FALSE),"")</f>
        <v/>
      </c>
      <c r="H436" s="1056" t="str">
        <f>IFERROR(VLOOKUP($A436,#REF!,5,FALSE),"")</f>
        <v/>
      </c>
      <c r="I436" s="1056" t="str">
        <f>IFERROR(VLOOKUP($A436,#REF!,6,FALSE),"")</f>
        <v/>
      </c>
      <c r="J436" s="1056" t="str">
        <f>IFERROR(VLOOKUP($A436,#REF!,7,FALSE),"")</f>
        <v/>
      </c>
      <c r="K436" s="1056" t="str">
        <f>IFERROR(VLOOKUP($A436,#REF!,8,FALSE),"")</f>
        <v/>
      </c>
      <c r="L436" s="1063" t="str">
        <f>IFERROR(VLOOKUP($A436,#REF!,9,FALSE),"")</f>
        <v/>
      </c>
      <c r="M436" s="1070" t="str">
        <f>IFERROR(VLOOKUP($A436,#REF!,10,FALSE),"")</f>
        <v/>
      </c>
      <c r="N436" s="1063" t="str">
        <f>IFERROR(VLOOKUP($A436,#REF!,12,FALSE),"")</f>
        <v/>
      </c>
      <c r="O436" s="1056" t="str">
        <f>IFERROR(VLOOKUP($A436,#REF!,13,FALSE),"")</f>
        <v/>
      </c>
      <c r="P436" s="1056" t="str">
        <f>IFERROR(VLOOKUP($A436,#REF!,14,FALSE),"")</f>
        <v/>
      </c>
      <c r="Q436" s="1056" t="str">
        <f>IFERROR(VLOOKUP($A436,#REF!,16,FALSE),"")</f>
        <v/>
      </c>
      <c r="R436" s="1056" t="str">
        <f>IFERROR(VLOOKUP($A436,#REF!,17,FALSE),"")</f>
        <v/>
      </c>
      <c r="S436" s="1063" t="str">
        <f>IFERROR(VLOOKUP($A436,#REF!,20,FALSE),"")</f>
        <v/>
      </c>
      <c r="T436" s="1063" t="str">
        <f>IFERROR(VLOOKUP($A436,#REF!,21,FALSE),"")</f>
        <v/>
      </c>
      <c r="U436" s="1063" t="str">
        <f>IFERROR(VLOOKUP($A436,#REF!,22,FALSE),"")</f>
        <v/>
      </c>
      <c r="V436" s="1063" t="str">
        <f>IFERROR(VLOOKUP($A436,#REF!,23,FALSE),"")</f>
        <v/>
      </c>
      <c r="W436" s="1063" t="str">
        <f>IFERROR(VLOOKUP($A436,#REF!,24,FALSE),"")</f>
        <v/>
      </c>
      <c r="X436" s="1063" t="str">
        <f>IFERROR(VLOOKUP($A436,#REF!,41,FALSE),"")</f>
        <v/>
      </c>
      <c r="Y436" s="1063" t="str">
        <f>IFERROR(VLOOKUP($A436,#REF!,42,FALSE),"")</f>
        <v/>
      </c>
      <c r="Z436" s="1063" t="str">
        <f>IFERROR(VLOOKUP($A436,#REF!,45,FALSE),"")</f>
        <v/>
      </c>
      <c r="AA436" s="1071">
        <v>2017</v>
      </c>
      <c r="AB436" s="1072">
        <v>6</v>
      </c>
      <c r="AC436" s="1074" t="s">
        <v>303</v>
      </c>
      <c r="AD436" s="1074" t="s">
        <v>3656</v>
      </c>
      <c r="AE436" s="1074" t="s">
        <v>307</v>
      </c>
      <c r="AF436" s="1074" t="s">
        <v>113</v>
      </c>
      <c r="AG436" s="968" t="s">
        <v>3972</v>
      </c>
      <c r="AH436" s="968" t="s">
        <v>3973</v>
      </c>
      <c r="AI436" s="1071">
        <v>7</v>
      </c>
      <c r="AJ436" s="1075" t="s">
        <v>4001</v>
      </c>
      <c r="AK436" s="765">
        <v>909678</v>
      </c>
      <c r="AL436" s="766">
        <v>49</v>
      </c>
      <c r="AM436" s="765">
        <v>909678</v>
      </c>
      <c r="AN436" s="766">
        <v>50</v>
      </c>
      <c r="AO436" s="777">
        <f>AM436</f>
        <v>909678</v>
      </c>
      <c r="AP436" s="778">
        <f t="shared" si="99"/>
        <v>51</v>
      </c>
      <c r="AQ436" s="1076"/>
      <c r="AR436" s="968"/>
      <c r="AS436" s="968"/>
      <c r="AT436" s="968"/>
      <c r="AU436" s="968"/>
      <c r="AV436" s="968"/>
      <c r="AW436" s="968"/>
    </row>
    <row r="437" spans="1:49" s="1077" customFormat="1">
      <c r="A437" s="968" t="s">
        <v>411</v>
      </c>
      <c r="B437" s="968" t="s">
        <v>4046</v>
      </c>
      <c r="C437" s="968"/>
      <c r="D437" s="968" t="s">
        <v>4186</v>
      </c>
      <c r="E437" s="968" t="s">
        <v>4186</v>
      </c>
      <c r="F437" s="1069" t="str">
        <f>IFERROR(VLOOKUP($A437,#REF!,3,FALSE),"")</f>
        <v/>
      </c>
      <c r="G437" s="1056" t="str">
        <f>IFERROR(VLOOKUP($A437,#REF!,4,FALSE),"")</f>
        <v/>
      </c>
      <c r="H437" s="1056" t="str">
        <f>IFERROR(VLOOKUP($A437,#REF!,5,FALSE),"")</f>
        <v/>
      </c>
      <c r="I437" s="1056" t="str">
        <f>IFERROR(VLOOKUP($A437,#REF!,6,FALSE),"")</f>
        <v/>
      </c>
      <c r="J437" s="1056" t="str">
        <f>IFERROR(VLOOKUP($A437,#REF!,7,FALSE),"")</f>
        <v/>
      </c>
      <c r="K437" s="1056" t="str">
        <f>IFERROR(VLOOKUP($A437,#REF!,8,FALSE),"")</f>
        <v/>
      </c>
      <c r="L437" s="1063" t="str">
        <f>IFERROR(VLOOKUP($A437,#REF!,9,FALSE),"")</f>
        <v/>
      </c>
      <c r="M437" s="1070" t="str">
        <f>IFERROR(VLOOKUP($A437,#REF!,10,FALSE),"")</f>
        <v/>
      </c>
      <c r="N437" s="1063" t="str">
        <f>IFERROR(VLOOKUP($A437,#REF!,12,FALSE),"")</f>
        <v/>
      </c>
      <c r="O437" s="1056" t="str">
        <f>IFERROR(VLOOKUP($A437,#REF!,13,FALSE),"")</f>
        <v/>
      </c>
      <c r="P437" s="1056" t="str">
        <f>IFERROR(VLOOKUP($A437,#REF!,14,FALSE),"")</f>
        <v/>
      </c>
      <c r="Q437" s="1056" t="str">
        <f>IFERROR(VLOOKUP($A437,#REF!,16,FALSE),"")</f>
        <v/>
      </c>
      <c r="R437" s="1056" t="str">
        <f>IFERROR(VLOOKUP($A437,#REF!,17,FALSE),"")</f>
        <v/>
      </c>
      <c r="S437" s="1063" t="str">
        <f>IFERROR(VLOOKUP($A437,#REF!,20,FALSE),"")</f>
        <v/>
      </c>
      <c r="T437" s="1063" t="str">
        <f>IFERROR(VLOOKUP($A437,#REF!,21,FALSE),"")</f>
        <v/>
      </c>
      <c r="U437" s="1063" t="str">
        <f>IFERROR(VLOOKUP($A437,#REF!,22,FALSE),"")</f>
        <v/>
      </c>
      <c r="V437" s="1063" t="str">
        <f>IFERROR(VLOOKUP($A437,#REF!,23,FALSE),"")</f>
        <v/>
      </c>
      <c r="W437" s="1063" t="str">
        <f>IFERROR(VLOOKUP($A437,#REF!,24,FALSE),"")</f>
        <v/>
      </c>
      <c r="X437" s="1063" t="str">
        <f>IFERROR(VLOOKUP($A437,#REF!,41,FALSE),"")</f>
        <v/>
      </c>
      <c r="Y437" s="1063" t="str">
        <f>IFERROR(VLOOKUP($A437,#REF!,42,FALSE),"")</f>
        <v/>
      </c>
      <c r="Z437" s="1063" t="str">
        <f>IFERROR(VLOOKUP($A437,#REF!,45,FALSE),"")</f>
        <v/>
      </c>
      <c r="AA437" s="1071">
        <v>2017</v>
      </c>
      <c r="AB437" s="1072">
        <v>6</v>
      </c>
      <c r="AC437" s="1074" t="s">
        <v>303</v>
      </c>
      <c r="AD437" s="1074" t="s">
        <v>3656</v>
      </c>
      <c r="AE437" s="1074" t="s">
        <v>307</v>
      </c>
      <c r="AF437" s="1074" t="s">
        <v>113</v>
      </c>
      <c r="AG437" s="968" t="s">
        <v>3972</v>
      </c>
      <c r="AH437" s="968" t="s">
        <v>3977</v>
      </c>
      <c r="AI437" s="1071">
        <v>13</v>
      </c>
      <c r="AJ437" s="1075" t="s">
        <v>4004</v>
      </c>
      <c r="AK437" s="765"/>
      <c r="AL437" s="766"/>
      <c r="AM437" s="765"/>
      <c r="AN437" s="766"/>
      <c r="AO437" s="777"/>
      <c r="AP437" s="778"/>
      <c r="AQ437" s="1076"/>
      <c r="AR437" s="968"/>
      <c r="AS437" s="968"/>
      <c r="AT437" s="968"/>
      <c r="AU437" s="968"/>
      <c r="AV437" s="968"/>
      <c r="AW437" s="968"/>
    </row>
    <row r="438" spans="1:49" s="1077" customFormat="1">
      <c r="A438" s="968" t="s">
        <v>411</v>
      </c>
      <c r="B438" s="968" t="s">
        <v>4046</v>
      </c>
      <c r="C438" s="968"/>
      <c r="D438" s="968" t="s">
        <v>4186</v>
      </c>
      <c r="E438" s="968" t="s">
        <v>4186</v>
      </c>
      <c r="F438" s="1069" t="str">
        <f>IFERROR(VLOOKUP($A438,#REF!,3,FALSE),"")</f>
        <v/>
      </c>
      <c r="G438" s="1056" t="str">
        <f>IFERROR(VLOOKUP($A438,#REF!,4,FALSE),"")</f>
        <v/>
      </c>
      <c r="H438" s="1056" t="str">
        <f>IFERROR(VLOOKUP($A438,#REF!,5,FALSE),"")</f>
        <v/>
      </c>
      <c r="I438" s="1056" t="str">
        <f>IFERROR(VLOOKUP($A438,#REF!,6,FALSE),"")</f>
        <v/>
      </c>
      <c r="J438" s="1056" t="str">
        <f>IFERROR(VLOOKUP($A438,#REF!,7,FALSE),"")</f>
        <v/>
      </c>
      <c r="K438" s="1056" t="str">
        <f>IFERROR(VLOOKUP($A438,#REF!,8,FALSE),"")</f>
        <v/>
      </c>
      <c r="L438" s="1063" t="str">
        <f>IFERROR(VLOOKUP($A438,#REF!,9,FALSE),"")</f>
        <v/>
      </c>
      <c r="M438" s="1070" t="str">
        <f>IFERROR(VLOOKUP($A438,#REF!,10,FALSE),"")</f>
        <v/>
      </c>
      <c r="N438" s="1063" t="str">
        <f>IFERROR(VLOOKUP($A438,#REF!,12,FALSE),"")</f>
        <v/>
      </c>
      <c r="O438" s="1056" t="str">
        <f>IFERROR(VLOOKUP($A438,#REF!,13,FALSE),"")</f>
        <v/>
      </c>
      <c r="P438" s="1056" t="str">
        <f>IFERROR(VLOOKUP($A438,#REF!,14,FALSE),"")</f>
        <v/>
      </c>
      <c r="Q438" s="1056" t="str">
        <f>IFERROR(VLOOKUP($A438,#REF!,16,FALSE),"")</f>
        <v/>
      </c>
      <c r="R438" s="1056" t="str">
        <f>IFERROR(VLOOKUP($A438,#REF!,17,FALSE),"")</f>
        <v/>
      </c>
      <c r="S438" s="1063" t="str">
        <f>IFERROR(VLOOKUP($A438,#REF!,20,FALSE),"")</f>
        <v/>
      </c>
      <c r="T438" s="1063" t="str">
        <f>IFERROR(VLOOKUP($A438,#REF!,21,FALSE),"")</f>
        <v/>
      </c>
      <c r="U438" s="1063" t="str">
        <f>IFERROR(VLOOKUP($A438,#REF!,22,FALSE),"")</f>
        <v/>
      </c>
      <c r="V438" s="1063" t="str">
        <f>IFERROR(VLOOKUP($A438,#REF!,23,FALSE),"")</f>
        <v/>
      </c>
      <c r="W438" s="1063" t="str">
        <f>IFERROR(VLOOKUP($A438,#REF!,24,FALSE),"")</f>
        <v/>
      </c>
      <c r="X438" s="1063" t="str">
        <f>IFERROR(VLOOKUP($A438,#REF!,41,FALSE),"")</f>
        <v/>
      </c>
      <c r="Y438" s="1063" t="str">
        <f>IFERROR(VLOOKUP($A438,#REF!,42,FALSE),"")</f>
        <v/>
      </c>
      <c r="Z438" s="1063" t="str">
        <f>IFERROR(VLOOKUP($A438,#REF!,45,FALSE),"")</f>
        <v/>
      </c>
      <c r="AA438" s="1071">
        <v>2017</v>
      </c>
      <c r="AB438" s="1072">
        <v>6</v>
      </c>
      <c r="AC438" s="1074" t="s">
        <v>303</v>
      </c>
      <c r="AD438" s="1074" t="s">
        <v>3656</v>
      </c>
      <c r="AE438" s="1074" t="s">
        <v>307</v>
      </c>
      <c r="AF438" s="1074" t="s">
        <v>113</v>
      </c>
      <c r="AG438" s="968" t="s">
        <v>3981</v>
      </c>
      <c r="AH438" s="968" t="s">
        <v>3973</v>
      </c>
      <c r="AI438" s="1071">
        <v>11</v>
      </c>
      <c r="AJ438" s="1075" t="s">
        <v>3982</v>
      </c>
      <c r="AK438" s="765">
        <v>909678</v>
      </c>
      <c r="AL438" s="766">
        <v>52</v>
      </c>
      <c r="AM438" s="765">
        <v>909678</v>
      </c>
      <c r="AN438" s="766">
        <v>53</v>
      </c>
      <c r="AO438" s="777">
        <f>AM438</f>
        <v>909678</v>
      </c>
      <c r="AP438" s="778">
        <f t="shared" si="99"/>
        <v>54</v>
      </c>
      <c r="AQ438" s="1076"/>
      <c r="AR438" s="968"/>
      <c r="AS438" s="968"/>
      <c r="AT438" s="968"/>
      <c r="AU438" s="968"/>
      <c r="AV438" s="968"/>
      <c r="AW438" s="968"/>
    </row>
    <row r="439" spans="1:49" s="1077" customFormat="1">
      <c r="A439" s="968" t="s">
        <v>411</v>
      </c>
      <c r="B439" s="968" t="s">
        <v>4046</v>
      </c>
      <c r="C439" s="968"/>
      <c r="D439" s="968" t="s">
        <v>4186</v>
      </c>
      <c r="E439" s="968" t="s">
        <v>4186</v>
      </c>
      <c r="F439" s="1069" t="str">
        <f>IFERROR(VLOOKUP($A439,#REF!,3,FALSE),"")</f>
        <v/>
      </c>
      <c r="G439" s="1056" t="str">
        <f>IFERROR(VLOOKUP($A439,#REF!,4,FALSE),"")</f>
        <v/>
      </c>
      <c r="H439" s="1056" t="str">
        <f>IFERROR(VLOOKUP($A439,#REF!,5,FALSE),"")</f>
        <v/>
      </c>
      <c r="I439" s="1056" t="str">
        <f>IFERROR(VLOOKUP($A439,#REF!,6,FALSE),"")</f>
        <v/>
      </c>
      <c r="J439" s="1056" t="str">
        <f>IFERROR(VLOOKUP($A439,#REF!,7,FALSE),"")</f>
        <v/>
      </c>
      <c r="K439" s="1056" t="str">
        <f>IFERROR(VLOOKUP($A439,#REF!,8,FALSE),"")</f>
        <v/>
      </c>
      <c r="L439" s="1063" t="str">
        <f>IFERROR(VLOOKUP($A439,#REF!,9,FALSE),"")</f>
        <v/>
      </c>
      <c r="M439" s="1070" t="str">
        <f>IFERROR(VLOOKUP($A439,#REF!,10,FALSE),"")</f>
        <v/>
      </c>
      <c r="N439" s="1063" t="str">
        <f>IFERROR(VLOOKUP($A439,#REF!,12,FALSE),"")</f>
        <v/>
      </c>
      <c r="O439" s="1056" t="str">
        <f>IFERROR(VLOOKUP($A439,#REF!,13,FALSE),"")</f>
        <v/>
      </c>
      <c r="P439" s="1056" t="str">
        <f>IFERROR(VLOOKUP($A439,#REF!,14,FALSE),"")</f>
        <v/>
      </c>
      <c r="Q439" s="1056" t="str">
        <f>IFERROR(VLOOKUP($A439,#REF!,16,FALSE),"")</f>
        <v/>
      </c>
      <c r="R439" s="1056" t="str">
        <f>IFERROR(VLOOKUP($A439,#REF!,17,FALSE),"")</f>
        <v/>
      </c>
      <c r="S439" s="1063" t="str">
        <f>IFERROR(VLOOKUP($A439,#REF!,20,FALSE),"")</f>
        <v/>
      </c>
      <c r="T439" s="1063" t="str">
        <f>IFERROR(VLOOKUP($A439,#REF!,21,FALSE),"")</f>
        <v/>
      </c>
      <c r="U439" s="1063" t="str">
        <f>IFERROR(VLOOKUP($A439,#REF!,22,FALSE),"")</f>
        <v/>
      </c>
      <c r="V439" s="1063" t="str">
        <f>IFERROR(VLOOKUP($A439,#REF!,23,FALSE),"")</f>
        <v/>
      </c>
      <c r="W439" s="1063" t="str">
        <f>IFERROR(VLOOKUP($A439,#REF!,24,FALSE),"")</f>
        <v/>
      </c>
      <c r="X439" s="1063" t="str">
        <f>IFERROR(VLOOKUP($A439,#REF!,41,FALSE),"")</f>
        <v/>
      </c>
      <c r="Y439" s="1063" t="str">
        <f>IFERROR(VLOOKUP($A439,#REF!,42,FALSE),"")</f>
        <v/>
      </c>
      <c r="Z439" s="1063" t="str">
        <f>IFERROR(VLOOKUP($A439,#REF!,45,FALSE),"")</f>
        <v/>
      </c>
      <c r="AA439" s="1071">
        <v>2017</v>
      </c>
      <c r="AB439" s="1072">
        <v>6</v>
      </c>
      <c r="AC439" s="1074" t="s">
        <v>303</v>
      </c>
      <c r="AD439" s="1074" t="s">
        <v>3656</v>
      </c>
      <c r="AE439" s="1074" t="s">
        <v>307</v>
      </c>
      <c r="AF439" s="1074" t="s">
        <v>113</v>
      </c>
      <c r="AG439" s="968" t="s">
        <v>3981</v>
      </c>
      <c r="AH439" s="968" t="s">
        <v>3977</v>
      </c>
      <c r="AI439" s="1071">
        <v>16</v>
      </c>
      <c r="AJ439" s="1075" t="s">
        <v>3985</v>
      </c>
      <c r="AK439" s="765"/>
      <c r="AL439" s="766"/>
      <c r="AM439" s="765"/>
      <c r="AN439" s="766"/>
      <c r="AO439" s="777"/>
      <c r="AP439" s="778"/>
      <c r="AQ439" s="1076"/>
      <c r="AR439" s="968"/>
      <c r="AS439" s="968"/>
      <c r="AT439" s="968"/>
      <c r="AU439" s="968"/>
      <c r="AV439" s="968"/>
      <c r="AW439" s="968"/>
    </row>
    <row r="440" spans="1:49" s="1077" customFormat="1">
      <c r="A440" s="968"/>
      <c r="B440" s="968"/>
      <c r="C440" s="968"/>
      <c r="D440" s="968"/>
      <c r="E440" s="968"/>
      <c r="F440" s="1069" t="str">
        <f>IFERROR(VLOOKUP($A440,#REF!,3,FALSE),"")</f>
        <v/>
      </c>
      <c r="G440" s="1056" t="str">
        <f>IFERROR(VLOOKUP($A440,#REF!,4,FALSE),"")</f>
        <v/>
      </c>
      <c r="H440" s="1056" t="str">
        <f>IFERROR(VLOOKUP($A440,#REF!,5,FALSE),"")</f>
        <v/>
      </c>
      <c r="I440" s="1056" t="str">
        <f>IFERROR(VLOOKUP($A440,#REF!,6,FALSE),"")</f>
        <v/>
      </c>
      <c r="J440" s="1056" t="str">
        <f>IFERROR(VLOOKUP($A440,#REF!,7,FALSE),"")</f>
        <v/>
      </c>
      <c r="K440" s="1056" t="str">
        <f>IFERROR(VLOOKUP($A440,#REF!,8,FALSE),"")</f>
        <v/>
      </c>
      <c r="L440" s="1063" t="str">
        <f>IFERROR(VLOOKUP($A440,#REF!,9,FALSE),"")</f>
        <v/>
      </c>
      <c r="M440" s="1070" t="str">
        <f>IFERROR(VLOOKUP($A440,#REF!,10,FALSE),"")</f>
        <v/>
      </c>
      <c r="N440" s="1063" t="str">
        <f>IFERROR(VLOOKUP($A440,#REF!,12,FALSE),"")</f>
        <v/>
      </c>
      <c r="O440" s="1056" t="str">
        <f>IFERROR(VLOOKUP($A440,#REF!,13,FALSE),"")</f>
        <v/>
      </c>
      <c r="P440" s="1056" t="str">
        <f>IFERROR(VLOOKUP($A440,#REF!,14,FALSE),"")</f>
        <v/>
      </c>
      <c r="Q440" s="1056" t="str">
        <f>IFERROR(VLOOKUP($A440,#REF!,16,FALSE),"")</f>
        <v/>
      </c>
      <c r="R440" s="1056" t="str">
        <f>IFERROR(VLOOKUP($A440,#REF!,17,FALSE),"")</f>
        <v/>
      </c>
      <c r="S440" s="1063" t="str">
        <f>IFERROR(VLOOKUP($A440,#REF!,20,FALSE),"")</f>
        <v/>
      </c>
      <c r="T440" s="1063" t="str">
        <f>IFERROR(VLOOKUP($A440,#REF!,21,FALSE),"")</f>
        <v/>
      </c>
      <c r="U440" s="1063" t="str">
        <f>IFERROR(VLOOKUP($A440,#REF!,22,FALSE),"")</f>
        <v/>
      </c>
      <c r="V440" s="1063" t="str">
        <f>IFERROR(VLOOKUP($A440,#REF!,23,FALSE),"")</f>
        <v/>
      </c>
      <c r="W440" s="1063" t="str">
        <f>IFERROR(VLOOKUP($A440,#REF!,24,FALSE),"")</f>
        <v/>
      </c>
      <c r="X440" s="1063" t="str">
        <f>IFERROR(VLOOKUP($A440,#REF!,41,FALSE),"")</f>
        <v/>
      </c>
      <c r="Y440" s="1063" t="str">
        <f>IFERROR(VLOOKUP($A440,#REF!,42,FALSE),"")</f>
        <v/>
      </c>
      <c r="Z440" s="1063" t="str">
        <f>IFERROR(VLOOKUP($A440,#REF!,45,FALSE),"")</f>
        <v/>
      </c>
      <c r="AA440" s="1071"/>
      <c r="AB440" s="1072"/>
      <c r="AC440" s="1073"/>
      <c r="AD440" s="1073"/>
      <c r="AE440" s="1071"/>
      <c r="AF440" s="1071"/>
      <c r="AG440" s="968"/>
      <c r="AH440" s="968"/>
      <c r="AI440" s="1071"/>
      <c r="AJ440" s="1075"/>
      <c r="AK440" s="765"/>
      <c r="AL440" s="766"/>
      <c r="AM440" s="765"/>
      <c r="AN440" s="766"/>
      <c r="AO440" s="777"/>
      <c r="AP440" s="778"/>
      <c r="AQ440" s="1076"/>
      <c r="AR440" s="968"/>
      <c r="AS440" s="968"/>
      <c r="AT440" s="968"/>
      <c r="AU440" s="968"/>
      <c r="AV440" s="968"/>
      <c r="AW440" s="968"/>
    </row>
    <row r="441" spans="1:49" s="1077" customFormat="1">
      <c r="A441" s="968" t="s">
        <v>128</v>
      </c>
      <c r="B441" s="968" t="s">
        <v>3826</v>
      </c>
      <c r="C441" s="968"/>
      <c r="D441" s="968" t="s">
        <v>4205</v>
      </c>
      <c r="E441" s="968" t="s">
        <v>4205</v>
      </c>
      <c r="F441" s="1069" t="str">
        <f>IFERROR(VLOOKUP($A441,#REF!,3,FALSE),"")</f>
        <v/>
      </c>
      <c r="G441" s="1056" t="str">
        <f>IFERROR(VLOOKUP($A441,#REF!,4,FALSE),"")</f>
        <v/>
      </c>
      <c r="H441" s="1056" t="str">
        <f>IFERROR(VLOOKUP($A441,#REF!,5,FALSE),"")</f>
        <v/>
      </c>
      <c r="I441" s="1056" t="str">
        <f>IFERROR(VLOOKUP($A441,#REF!,6,FALSE),"")</f>
        <v/>
      </c>
      <c r="J441" s="1056" t="str">
        <f>IFERROR(VLOOKUP($A441,#REF!,7,FALSE),"")</f>
        <v/>
      </c>
      <c r="K441" s="1056" t="str">
        <f>IFERROR(VLOOKUP($A441,#REF!,8,FALSE),"")</f>
        <v/>
      </c>
      <c r="L441" s="1063" t="str">
        <f>IFERROR(VLOOKUP($A441,#REF!,9,FALSE),"")</f>
        <v/>
      </c>
      <c r="M441" s="1070" t="str">
        <f>IFERROR(VLOOKUP($A441,#REF!,10,FALSE),"")</f>
        <v/>
      </c>
      <c r="N441" s="1063" t="str">
        <f>IFERROR(VLOOKUP($A441,#REF!,12,FALSE),"")</f>
        <v/>
      </c>
      <c r="O441" s="1056" t="str">
        <f>IFERROR(VLOOKUP($A441,#REF!,13,FALSE),"")</f>
        <v/>
      </c>
      <c r="P441" s="1056" t="str">
        <f>IFERROR(VLOOKUP($A441,#REF!,14,FALSE),"")</f>
        <v/>
      </c>
      <c r="Q441" s="1056" t="str">
        <f>IFERROR(VLOOKUP($A441,#REF!,16,FALSE),"")</f>
        <v/>
      </c>
      <c r="R441" s="1056" t="str">
        <f>IFERROR(VLOOKUP($A441,#REF!,17,FALSE),"")</f>
        <v/>
      </c>
      <c r="S441" s="1063" t="str">
        <f>IFERROR(VLOOKUP($A441,#REF!,20,FALSE),"")</f>
        <v/>
      </c>
      <c r="T441" s="1063" t="str">
        <f>IFERROR(VLOOKUP($A441,#REF!,21,FALSE),"")</f>
        <v/>
      </c>
      <c r="U441" s="1063" t="str">
        <f>IFERROR(VLOOKUP($A441,#REF!,22,FALSE),"")</f>
        <v/>
      </c>
      <c r="V441" s="1063" t="str">
        <f>IFERROR(VLOOKUP($A441,#REF!,23,FALSE),"")</f>
        <v/>
      </c>
      <c r="W441" s="1063" t="str">
        <f>IFERROR(VLOOKUP($A441,#REF!,24,FALSE),"")</f>
        <v/>
      </c>
      <c r="X441" s="1063" t="str">
        <f>IFERROR(VLOOKUP($A441,#REF!,41,FALSE),"")</f>
        <v/>
      </c>
      <c r="Y441" s="1063" t="str">
        <f>IFERROR(VLOOKUP($A441,#REF!,42,FALSE),"")</f>
        <v/>
      </c>
      <c r="Z441" s="1063" t="str">
        <f>IFERROR(VLOOKUP($A441,#REF!,45,FALSE),"")</f>
        <v/>
      </c>
      <c r="AA441" s="1071">
        <v>2017</v>
      </c>
      <c r="AB441" s="1072">
        <v>4</v>
      </c>
      <c r="AC441" s="1074" t="s">
        <v>317</v>
      </c>
      <c r="AD441" s="1074" t="s">
        <v>4148</v>
      </c>
      <c r="AE441" s="1074" t="s">
        <v>307</v>
      </c>
      <c r="AF441" s="1074" t="s">
        <v>113</v>
      </c>
      <c r="AG441" s="968" t="s">
        <v>3962</v>
      </c>
      <c r="AH441" s="968" t="s">
        <v>3963</v>
      </c>
      <c r="AI441" s="1071">
        <v>2</v>
      </c>
      <c r="AJ441" s="1075" t="s">
        <v>3964</v>
      </c>
      <c r="AK441" s="765">
        <v>248667</v>
      </c>
      <c r="AL441" s="766">
        <v>43</v>
      </c>
      <c r="AM441" s="765">
        <v>248668</v>
      </c>
      <c r="AN441" s="766">
        <v>44</v>
      </c>
      <c r="AO441" s="777">
        <f t="shared" si="98"/>
        <v>248669</v>
      </c>
      <c r="AP441" s="778">
        <f t="shared" si="99"/>
        <v>45</v>
      </c>
      <c r="AQ441" s="1076"/>
      <c r="AR441" s="968"/>
      <c r="AS441" s="968"/>
      <c r="AT441" s="968"/>
      <c r="AU441" s="968"/>
      <c r="AV441" s="968"/>
      <c r="AW441" s="968"/>
    </row>
    <row r="442" spans="1:49" s="1077" customFormat="1">
      <c r="A442" s="968" t="s">
        <v>128</v>
      </c>
      <c r="B442" s="968" t="s">
        <v>3826</v>
      </c>
      <c r="C442" s="968"/>
      <c r="D442" s="968" t="s">
        <v>4205</v>
      </c>
      <c r="E442" s="968" t="s">
        <v>4205</v>
      </c>
      <c r="F442" s="1069" t="str">
        <f>IFERROR(VLOOKUP($A442,#REF!,3,FALSE),"")</f>
        <v/>
      </c>
      <c r="G442" s="1056" t="str">
        <f>IFERROR(VLOOKUP($A442,#REF!,4,FALSE),"")</f>
        <v/>
      </c>
      <c r="H442" s="1056" t="str">
        <f>IFERROR(VLOOKUP($A442,#REF!,5,FALSE),"")</f>
        <v/>
      </c>
      <c r="I442" s="1056" t="str">
        <f>IFERROR(VLOOKUP($A442,#REF!,6,FALSE),"")</f>
        <v/>
      </c>
      <c r="J442" s="1056" t="str">
        <f>IFERROR(VLOOKUP($A442,#REF!,7,FALSE),"")</f>
        <v/>
      </c>
      <c r="K442" s="1056" t="str">
        <f>IFERROR(VLOOKUP($A442,#REF!,8,FALSE),"")</f>
        <v/>
      </c>
      <c r="L442" s="1063" t="str">
        <f>IFERROR(VLOOKUP($A442,#REF!,9,FALSE),"")</f>
        <v/>
      </c>
      <c r="M442" s="1070" t="str">
        <f>IFERROR(VLOOKUP($A442,#REF!,10,FALSE),"")</f>
        <v/>
      </c>
      <c r="N442" s="1063" t="str">
        <f>IFERROR(VLOOKUP($A442,#REF!,12,FALSE),"")</f>
        <v/>
      </c>
      <c r="O442" s="1056" t="str">
        <f>IFERROR(VLOOKUP($A442,#REF!,13,FALSE),"")</f>
        <v/>
      </c>
      <c r="P442" s="1056" t="str">
        <f>IFERROR(VLOOKUP($A442,#REF!,14,FALSE),"")</f>
        <v/>
      </c>
      <c r="Q442" s="1056" t="str">
        <f>IFERROR(VLOOKUP($A442,#REF!,16,FALSE),"")</f>
        <v/>
      </c>
      <c r="R442" s="1056" t="str">
        <f>IFERROR(VLOOKUP($A442,#REF!,17,FALSE),"")</f>
        <v/>
      </c>
      <c r="S442" s="1063" t="str">
        <f>IFERROR(VLOOKUP($A442,#REF!,20,FALSE),"")</f>
        <v/>
      </c>
      <c r="T442" s="1063" t="str">
        <f>IFERROR(VLOOKUP($A442,#REF!,21,FALSE),"")</f>
        <v/>
      </c>
      <c r="U442" s="1063" t="str">
        <f>IFERROR(VLOOKUP($A442,#REF!,22,FALSE),"")</f>
        <v/>
      </c>
      <c r="V442" s="1063" t="str">
        <f>IFERROR(VLOOKUP($A442,#REF!,23,FALSE),"")</f>
        <v/>
      </c>
      <c r="W442" s="1063" t="str">
        <f>IFERROR(VLOOKUP($A442,#REF!,24,FALSE),"")</f>
        <v/>
      </c>
      <c r="X442" s="1063" t="str">
        <f>IFERROR(VLOOKUP($A442,#REF!,41,FALSE),"")</f>
        <v/>
      </c>
      <c r="Y442" s="1063" t="str">
        <f>IFERROR(VLOOKUP($A442,#REF!,42,FALSE),"")</f>
        <v/>
      </c>
      <c r="Z442" s="1063" t="str">
        <f>IFERROR(VLOOKUP($A442,#REF!,45,FALSE),"")</f>
        <v/>
      </c>
      <c r="AA442" s="1071">
        <v>2017</v>
      </c>
      <c r="AB442" s="1072">
        <v>4</v>
      </c>
      <c r="AC442" s="1074" t="s">
        <v>317</v>
      </c>
      <c r="AD442" s="1074" t="s">
        <v>4148</v>
      </c>
      <c r="AE442" s="1074" t="s">
        <v>307</v>
      </c>
      <c r="AF442" s="1074" t="s">
        <v>113</v>
      </c>
      <c r="AG442" s="968" t="s">
        <v>3972</v>
      </c>
      <c r="AH442" s="968" t="s">
        <v>3973</v>
      </c>
      <c r="AI442" s="1071">
        <v>8</v>
      </c>
      <c r="AJ442" s="1075" t="s">
        <v>3992</v>
      </c>
      <c r="AK442" s="765">
        <v>909678</v>
      </c>
      <c r="AL442" s="766">
        <v>16</v>
      </c>
      <c r="AM442" s="765">
        <v>909678</v>
      </c>
      <c r="AN442" s="766">
        <v>17</v>
      </c>
      <c r="AO442" s="777">
        <f>AM442</f>
        <v>909678</v>
      </c>
      <c r="AP442" s="778">
        <f t="shared" si="99"/>
        <v>18</v>
      </c>
      <c r="AQ442" s="1076"/>
      <c r="AR442" s="968"/>
      <c r="AS442" s="968"/>
      <c r="AT442" s="968"/>
      <c r="AU442" s="968"/>
      <c r="AV442" s="968"/>
      <c r="AW442" s="968"/>
    </row>
    <row r="443" spans="1:49" s="1077" customFormat="1">
      <c r="A443" s="968" t="s">
        <v>128</v>
      </c>
      <c r="B443" s="968" t="s">
        <v>3826</v>
      </c>
      <c r="C443" s="968"/>
      <c r="D443" s="968" t="s">
        <v>4205</v>
      </c>
      <c r="E443" s="968" t="s">
        <v>4205</v>
      </c>
      <c r="F443" s="1069" t="str">
        <f>IFERROR(VLOOKUP($A443,#REF!,3,FALSE),"")</f>
        <v/>
      </c>
      <c r="G443" s="1056" t="str">
        <f>IFERROR(VLOOKUP($A443,#REF!,4,FALSE),"")</f>
        <v/>
      </c>
      <c r="H443" s="1056" t="str">
        <f>IFERROR(VLOOKUP($A443,#REF!,5,FALSE),"")</f>
        <v/>
      </c>
      <c r="I443" s="1056" t="str">
        <f>IFERROR(VLOOKUP($A443,#REF!,6,FALSE),"")</f>
        <v/>
      </c>
      <c r="J443" s="1056" t="str">
        <f>IFERROR(VLOOKUP($A443,#REF!,7,FALSE),"")</f>
        <v/>
      </c>
      <c r="K443" s="1056" t="str">
        <f>IFERROR(VLOOKUP($A443,#REF!,8,FALSE),"")</f>
        <v/>
      </c>
      <c r="L443" s="1063" t="str">
        <f>IFERROR(VLOOKUP($A443,#REF!,9,FALSE),"")</f>
        <v/>
      </c>
      <c r="M443" s="1070" t="str">
        <f>IFERROR(VLOOKUP($A443,#REF!,10,FALSE),"")</f>
        <v/>
      </c>
      <c r="N443" s="1063" t="str">
        <f>IFERROR(VLOOKUP($A443,#REF!,12,FALSE),"")</f>
        <v/>
      </c>
      <c r="O443" s="1056" t="str">
        <f>IFERROR(VLOOKUP($A443,#REF!,13,FALSE),"")</f>
        <v/>
      </c>
      <c r="P443" s="1056" t="str">
        <f>IFERROR(VLOOKUP($A443,#REF!,14,FALSE),"")</f>
        <v/>
      </c>
      <c r="Q443" s="1056" t="str">
        <f>IFERROR(VLOOKUP($A443,#REF!,16,FALSE),"")</f>
        <v/>
      </c>
      <c r="R443" s="1056" t="str">
        <f>IFERROR(VLOOKUP($A443,#REF!,17,FALSE),"")</f>
        <v/>
      </c>
      <c r="S443" s="1063" t="str">
        <f>IFERROR(VLOOKUP($A443,#REF!,20,FALSE),"")</f>
        <v/>
      </c>
      <c r="T443" s="1063" t="str">
        <f>IFERROR(VLOOKUP($A443,#REF!,21,FALSE),"")</f>
        <v/>
      </c>
      <c r="U443" s="1063" t="str">
        <f>IFERROR(VLOOKUP($A443,#REF!,22,FALSE),"")</f>
        <v/>
      </c>
      <c r="V443" s="1063" t="str">
        <f>IFERROR(VLOOKUP($A443,#REF!,23,FALSE),"")</f>
        <v/>
      </c>
      <c r="W443" s="1063" t="str">
        <f>IFERROR(VLOOKUP($A443,#REF!,24,FALSE),"")</f>
        <v/>
      </c>
      <c r="X443" s="1063" t="str">
        <f>IFERROR(VLOOKUP($A443,#REF!,41,FALSE),"")</f>
        <v/>
      </c>
      <c r="Y443" s="1063" t="str">
        <f>IFERROR(VLOOKUP($A443,#REF!,42,FALSE),"")</f>
        <v/>
      </c>
      <c r="Z443" s="1063" t="str">
        <f>IFERROR(VLOOKUP($A443,#REF!,45,FALSE),"")</f>
        <v/>
      </c>
      <c r="AA443" s="1071">
        <v>2017</v>
      </c>
      <c r="AB443" s="1072">
        <v>4</v>
      </c>
      <c r="AC443" s="1074" t="s">
        <v>317</v>
      </c>
      <c r="AD443" s="1074" t="s">
        <v>4148</v>
      </c>
      <c r="AE443" s="1074" t="s">
        <v>307</v>
      </c>
      <c r="AF443" s="1074" t="s">
        <v>113</v>
      </c>
      <c r="AG443" s="968" t="s">
        <v>3972</v>
      </c>
      <c r="AH443" s="968" t="s">
        <v>3977</v>
      </c>
      <c r="AI443" s="1071">
        <v>14</v>
      </c>
      <c r="AJ443" s="1075" t="s">
        <v>3994</v>
      </c>
      <c r="AK443" s="765"/>
      <c r="AL443" s="766"/>
      <c r="AM443" s="765"/>
      <c r="AN443" s="766"/>
      <c r="AO443" s="777"/>
      <c r="AP443" s="778"/>
      <c r="AQ443" s="1076"/>
      <c r="AR443" s="968"/>
      <c r="AS443" s="968"/>
      <c r="AT443" s="968"/>
      <c r="AU443" s="968"/>
      <c r="AV443" s="968"/>
      <c r="AW443" s="968"/>
    </row>
    <row r="444" spans="1:49" s="1077" customFormat="1">
      <c r="A444" s="968" t="s">
        <v>128</v>
      </c>
      <c r="B444" s="968" t="s">
        <v>3826</v>
      </c>
      <c r="C444" s="968"/>
      <c r="D444" s="968" t="s">
        <v>4205</v>
      </c>
      <c r="E444" s="968" t="s">
        <v>4205</v>
      </c>
      <c r="F444" s="1069" t="str">
        <f>IFERROR(VLOOKUP($A444,#REF!,3,FALSE),"")</f>
        <v/>
      </c>
      <c r="G444" s="1056" t="str">
        <f>IFERROR(VLOOKUP($A444,#REF!,4,FALSE),"")</f>
        <v/>
      </c>
      <c r="H444" s="1056" t="str">
        <f>IFERROR(VLOOKUP($A444,#REF!,5,FALSE),"")</f>
        <v/>
      </c>
      <c r="I444" s="1056" t="str">
        <f>IFERROR(VLOOKUP($A444,#REF!,6,FALSE),"")</f>
        <v/>
      </c>
      <c r="J444" s="1056" t="str">
        <f>IFERROR(VLOOKUP($A444,#REF!,7,FALSE),"")</f>
        <v/>
      </c>
      <c r="K444" s="1056" t="str">
        <f>IFERROR(VLOOKUP($A444,#REF!,8,FALSE),"")</f>
        <v/>
      </c>
      <c r="L444" s="1063" t="str">
        <f>IFERROR(VLOOKUP($A444,#REF!,9,FALSE),"")</f>
        <v/>
      </c>
      <c r="M444" s="1070" t="str">
        <f>IFERROR(VLOOKUP($A444,#REF!,10,FALSE),"")</f>
        <v/>
      </c>
      <c r="N444" s="1063" t="str">
        <f>IFERROR(VLOOKUP($A444,#REF!,12,FALSE),"")</f>
        <v/>
      </c>
      <c r="O444" s="1056" t="str">
        <f>IFERROR(VLOOKUP($A444,#REF!,13,FALSE),"")</f>
        <v/>
      </c>
      <c r="P444" s="1056" t="str">
        <f>IFERROR(VLOOKUP($A444,#REF!,14,FALSE),"")</f>
        <v/>
      </c>
      <c r="Q444" s="1056" t="str">
        <f>IFERROR(VLOOKUP($A444,#REF!,16,FALSE),"")</f>
        <v/>
      </c>
      <c r="R444" s="1056" t="str">
        <f>IFERROR(VLOOKUP($A444,#REF!,17,FALSE),"")</f>
        <v/>
      </c>
      <c r="S444" s="1063" t="str">
        <f>IFERROR(VLOOKUP($A444,#REF!,20,FALSE),"")</f>
        <v/>
      </c>
      <c r="T444" s="1063" t="str">
        <f>IFERROR(VLOOKUP($A444,#REF!,21,FALSE),"")</f>
        <v/>
      </c>
      <c r="U444" s="1063" t="str">
        <f>IFERROR(VLOOKUP($A444,#REF!,22,FALSE),"")</f>
        <v/>
      </c>
      <c r="V444" s="1063" t="str">
        <f>IFERROR(VLOOKUP($A444,#REF!,23,FALSE),"")</f>
        <v/>
      </c>
      <c r="W444" s="1063" t="str">
        <f>IFERROR(VLOOKUP($A444,#REF!,24,FALSE),"")</f>
        <v/>
      </c>
      <c r="X444" s="1063" t="str">
        <f>IFERROR(VLOOKUP($A444,#REF!,41,FALSE),"")</f>
        <v/>
      </c>
      <c r="Y444" s="1063" t="str">
        <f>IFERROR(VLOOKUP($A444,#REF!,42,FALSE),"")</f>
        <v/>
      </c>
      <c r="Z444" s="1063" t="str">
        <f>IFERROR(VLOOKUP($A444,#REF!,45,FALSE),"")</f>
        <v/>
      </c>
      <c r="AA444" s="1071">
        <v>2017</v>
      </c>
      <c r="AB444" s="1072">
        <v>4</v>
      </c>
      <c r="AC444" s="1074" t="s">
        <v>317</v>
      </c>
      <c r="AD444" s="1074" t="s">
        <v>4148</v>
      </c>
      <c r="AE444" s="1074" t="s">
        <v>307</v>
      </c>
      <c r="AF444" s="1074" t="s">
        <v>113</v>
      </c>
      <c r="AG444" s="968" t="s">
        <v>3981</v>
      </c>
      <c r="AH444" s="968" t="s">
        <v>3973</v>
      </c>
      <c r="AI444" s="1071">
        <v>11</v>
      </c>
      <c r="AJ444" s="1075" t="s">
        <v>3982</v>
      </c>
      <c r="AK444" s="765">
        <v>909678</v>
      </c>
      <c r="AL444" s="766">
        <v>19</v>
      </c>
      <c r="AM444" s="765">
        <v>909678</v>
      </c>
      <c r="AN444" s="766">
        <v>20</v>
      </c>
      <c r="AO444" s="777">
        <f t="shared" ref="AO444:AO445" si="103">AM444</f>
        <v>909678</v>
      </c>
      <c r="AP444" s="778">
        <f t="shared" si="99"/>
        <v>21</v>
      </c>
      <c r="AQ444" s="1076"/>
      <c r="AR444" s="968"/>
      <c r="AS444" s="968"/>
      <c r="AT444" s="968"/>
      <c r="AU444" s="968"/>
      <c r="AV444" s="968"/>
      <c r="AW444" s="968"/>
    </row>
    <row r="445" spans="1:49" s="1077" customFormat="1">
      <c r="A445" s="968" t="s">
        <v>128</v>
      </c>
      <c r="B445" s="968" t="s">
        <v>3826</v>
      </c>
      <c r="C445" s="968"/>
      <c r="D445" s="968" t="s">
        <v>4205</v>
      </c>
      <c r="E445" s="968" t="s">
        <v>4205</v>
      </c>
      <c r="F445" s="1069" t="str">
        <f>IFERROR(VLOOKUP($A445,#REF!,3,FALSE),"")</f>
        <v/>
      </c>
      <c r="G445" s="1056" t="str">
        <f>IFERROR(VLOOKUP($A445,#REF!,4,FALSE),"")</f>
        <v/>
      </c>
      <c r="H445" s="1056" t="str">
        <f>IFERROR(VLOOKUP($A445,#REF!,5,FALSE),"")</f>
        <v/>
      </c>
      <c r="I445" s="1056" t="str">
        <f>IFERROR(VLOOKUP($A445,#REF!,6,FALSE),"")</f>
        <v/>
      </c>
      <c r="J445" s="1056" t="str">
        <f>IFERROR(VLOOKUP($A445,#REF!,7,FALSE),"")</f>
        <v/>
      </c>
      <c r="K445" s="1056" t="str">
        <f>IFERROR(VLOOKUP($A445,#REF!,8,FALSE),"")</f>
        <v/>
      </c>
      <c r="L445" s="1063" t="str">
        <f>IFERROR(VLOOKUP($A445,#REF!,9,FALSE),"")</f>
        <v/>
      </c>
      <c r="M445" s="1070" t="str">
        <f>IFERROR(VLOOKUP($A445,#REF!,10,FALSE),"")</f>
        <v/>
      </c>
      <c r="N445" s="1063" t="str">
        <f>IFERROR(VLOOKUP($A445,#REF!,12,FALSE),"")</f>
        <v/>
      </c>
      <c r="O445" s="1056" t="str">
        <f>IFERROR(VLOOKUP($A445,#REF!,13,FALSE),"")</f>
        <v/>
      </c>
      <c r="P445" s="1056" t="str">
        <f>IFERROR(VLOOKUP($A445,#REF!,14,FALSE),"")</f>
        <v/>
      </c>
      <c r="Q445" s="1056" t="str">
        <f>IFERROR(VLOOKUP($A445,#REF!,16,FALSE),"")</f>
        <v/>
      </c>
      <c r="R445" s="1056" t="str">
        <f>IFERROR(VLOOKUP($A445,#REF!,17,FALSE),"")</f>
        <v/>
      </c>
      <c r="S445" s="1063" t="str">
        <f>IFERROR(VLOOKUP($A445,#REF!,20,FALSE),"")</f>
        <v/>
      </c>
      <c r="T445" s="1063" t="str">
        <f>IFERROR(VLOOKUP($A445,#REF!,21,FALSE),"")</f>
        <v/>
      </c>
      <c r="U445" s="1063" t="str">
        <f>IFERROR(VLOOKUP($A445,#REF!,22,FALSE),"")</f>
        <v/>
      </c>
      <c r="V445" s="1063" t="str">
        <f>IFERROR(VLOOKUP($A445,#REF!,23,FALSE),"")</f>
        <v/>
      </c>
      <c r="W445" s="1063" t="str">
        <f>IFERROR(VLOOKUP($A445,#REF!,24,FALSE),"")</f>
        <v/>
      </c>
      <c r="X445" s="1063" t="str">
        <f>IFERROR(VLOOKUP($A445,#REF!,41,FALSE),"")</f>
        <v/>
      </c>
      <c r="Y445" s="1063" t="str">
        <f>IFERROR(VLOOKUP($A445,#REF!,42,FALSE),"")</f>
        <v/>
      </c>
      <c r="Z445" s="1063" t="str">
        <f>IFERROR(VLOOKUP($A445,#REF!,45,FALSE),"")</f>
        <v/>
      </c>
      <c r="AA445" s="1071">
        <v>2017</v>
      </c>
      <c r="AB445" s="1072">
        <v>4</v>
      </c>
      <c r="AC445" s="1074" t="s">
        <v>317</v>
      </c>
      <c r="AD445" s="1074" t="s">
        <v>4148</v>
      </c>
      <c r="AE445" s="1074" t="s">
        <v>307</v>
      </c>
      <c r="AF445" s="1074" t="s">
        <v>113</v>
      </c>
      <c r="AG445" s="968" t="s">
        <v>3981</v>
      </c>
      <c r="AH445" s="968" t="s">
        <v>3977</v>
      </c>
      <c r="AI445" s="1071">
        <v>16</v>
      </c>
      <c r="AJ445" s="1075" t="s">
        <v>3985</v>
      </c>
      <c r="AK445" s="765">
        <v>909678</v>
      </c>
      <c r="AL445" s="766">
        <v>94</v>
      </c>
      <c r="AM445" s="765">
        <v>909678</v>
      </c>
      <c r="AN445" s="766">
        <v>95</v>
      </c>
      <c r="AO445" s="777">
        <f t="shared" si="103"/>
        <v>909678</v>
      </c>
      <c r="AP445" s="778">
        <f t="shared" si="99"/>
        <v>96</v>
      </c>
      <c r="AQ445" s="1076"/>
      <c r="AR445" s="968"/>
      <c r="AS445" s="968"/>
      <c r="AT445" s="968"/>
      <c r="AU445" s="968"/>
      <c r="AV445" s="968"/>
      <c r="AW445" s="968"/>
    </row>
    <row r="446" spans="1:49" s="1077" customFormat="1">
      <c r="A446" s="968"/>
      <c r="B446" s="968"/>
      <c r="C446" s="968"/>
      <c r="D446" s="968"/>
      <c r="E446" s="968"/>
      <c r="F446" s="1069" t="str">
        <f>IFERROR(VLOOKUP($A446,#REF!,3,FALSE),"")</f>
        <v/>
      </c>
      <c r="G446" s="1056" t="str">
        <f>IFERROR(VLOOKUP($A446,#REF!,4,FALSE),"")</f>
        <v/>
      </c>
      <c r="H446" s="1056" t="str">
        <f>IFERROR(VLOOKUP($A446,#REF!,5,FALSE),"")</f>
        <v/>
      </c>
      <c r="I446" s="1056" t="str">
        <f>IFERROR(VLOOKUP($A446,#REF!,6,FALSE),"")</f>
        <v/>
      </c>
      <c r="J446" s="1056" t="str">
        <f>IFERROR(VLOOKUP($A446,#REF!,7,FALSE),"")</f>
        <v/>
      </c>
      <c r="K446" s="1056" t="str">
        <f>IFERROR(VLOOKUP($A446,#REF!,8,FALSE),"")</f>
        <v/>
      </c>
      <c r="L446" s="1063" t="str">
        <f>IFERROR(VLOOKUP($A446,#REF!,9,FALSE),"")</f>
        <v/>
      </c>
      <c r="M446" s="1070" t="str">
        <f>IFERROR(VLOOKUP($A446,#REF!,10,FALSE),"")</f>
        <v/>
      </c>
      <c r="N446" s="1063" t="str">
        <f>IFERROR(VLOOKUP($A446,#REF!,12,FALSE),"")</f>
        <v/>
      </c>
      <c r="O446" s="1056" t="str">
        <f>IFERROR(VLOOKUP($A446,#REF!,13,FALSE),"")</f>
        <v/>
      </c>
      <c r="P446" s="1056" t="str">
        <f>IFERROR(VLOOKUP($A446,#REF!,14,FALSE),"")</f>
        <v/>
      </c>
      <c r="Q446" s="1056" t="str">
        <f>IFERROR(VLOOKUP($A446,#REF!,16,FALSE),"")</f>
        <v/>
      </c>
      <c r="R446" s="1056" t="str">
        <f>IFERROR(VLOOKUP($A446,#REF!,17,FALSE),"")</f>
        <v/>
      </c>
      <c r="S446" s="1063" t="str">
        <f>IFERROR(VLOOKUP($A446,#REF!,20,FALSE),"")</f>
        <v/>
      </c>
      <c r="T446" s="1063" t="str">
        <f>IFERROR(VLOOKUP($A446,#REF!,21,FALSE),"")</f>
        <v/>
      </c>
      <c r="U446" s="1063" t="str">
        <f>IFERROR(VLOOKUP($A446,#REF!,22,FALSE),"")</f>
        <v/>
      </c>
      <c r="V446" s="1063" t="str">
        <f>IFERROR(VLOOKUP($A446,#REF!,23,FALSE),"")</f>
        <v/>
      </c>
      <c r="W446" s="1063" t="str">
        <f>IFERROR(VLOOKUP($A446,#REF!,24,FALSE),"")</f>
        <v/>
      </c>
      <c r="X446" s="1063" t="str">
        <f>IFERROR(VLOOKUP($A446,#REF!,41,FALSE),"")</f>
        <v/>
      </c>
      <c r="Y446" s="1063" t="str">
        <f>IFERROR(VLOOKUP($A446,#REF!,42,FALSE),"")</f>
        <v/>
      </c>
      <c r="Z446" s="1063" t="str">
        <f>IFERROR(VLOOKUP($A446,#REF!,45,FALSE),"")</f>
        <v/>
      </c>
      <c r="AA446" s="1071"/>
      <c r="AB446" s="1072"/>
      <c r="AC446" s="1073"/>
      <c r="AD446" s="1073"/>
      <c r="AE446" s="1074"/>
      <c r="AF446" s="1074"/>
      <c r="AG446" s="968"/>
      <c r="AH446" s="968"/>
      <c r="AI446" s="1071"/>
      <c r="AJ446" s="1075"/>
      <c r="AK446" s="765"/>
      <c r="AL446" s="766"/>
      <c r="AM446" s="765"/>
      <c r="AN446" s="766"/>
      <c r="AO446" s="777"/>
      <c r="AP446" s="778"/>
      <c r="AQ446" s="1076"/>
      <c r="AR446" s="968"/>
      <c r="AS446" s="968"/>
      <c r="AT446" s="968"/>
      <c r="AU446" s="968"/>
      <c r="AV446" s="968"/>
      <c r="AW446" s="968"/>
    </row>
    <row r="447" spans="1:49" s="1077" customFormat="1">
      <c r="A447" s="968" t="s">
        <v>4970</v>
      </c>
      <c r="B447" s="968" t="s">
        <v>4970</v>
      </c>
      <c r="C447" s="968"/>
      <c r="D447" s="967" t="s">
        <v>4052</v>
      </c>
      <c r="E447" s="967" t="s">
        <v>4052</v>
      </c>
      <c r="F447" s="1069" t="str">
        <f>IFERROR(VLOOKUP($A447,#REF!,3,FALSE),"")</f>
        <v/>
      </c>
      <c r="G447" s="1056" t="str">
        <f>IFERROR(VLOOKUP($A447,#REF!,4,FALSE),"")</f>
        <v/>
      </c>
      <c r="H447" s="1056" t="str">
        <f>IFERROR(VLOOKUP($A447,#REF!,5,FALSE),"")</f>
        <v/>
      </c>
      <c r="I447" s="1056" t="str">
        <f>IFERROR(VLOOKUP($A447,#REF!,6,FALSE),"")</f>
        <v/>
      </c>
      <c r="J447" s="1056" t="str">
        <f>IFERROR(VLOOKUP($A447,#REF!,7,FALSE),"")</f>
        <v/>
      </c>
      <c r="K447" s="1056" t="str">
        <f>IFERROR(VLOOKUP($A447,#REF!,8,FALSE),"")</f>
        <v/>
      </c>
      <c r="L447" s="1063" t="str">
        <f>IFERROR(VLOOKUP($A447,#REF!,9,FALSE),"")</f>
        <v/>
      </c>
      <c r="M447" s="1070" t="str">
        <f>IFERROR(VLOOKUP($A447,#REF!,10,FALSE),"")</f>
        <v/>
      </c>
      <c r="N447" s="1063" t="str">
        <f>IFERROR(VLOOKUP($A447,#REF!,12,FALSE),"")</f>
        <v/>
      </c>
      <c r="O447" s="1056" t="str">
        <f>IFERROR(VLOOKUP($A447,#REF!,13,FALSE),"")</f>
        <v/>
      </c>
      <c r="P447" s="1056" t="str">
        <f>IFERROR(VLOOKUP($A447,#REF!,14,FALSE),"")</f>
        <v/>
      </c>
      <c r="Q447" s="1056" t="str">
        <f>IFERROR(VLOOKUP($A447,#REF!,16,FALSE),"")</f>
        <v/>
      </c>
      <c r="R447" s="1056" t="str">
        <f>IFERROR(VLOOKUP($A447,#REF!,17,FALSE),"")</f>
        <v/>
      </c>
      <c r="S447" s="1063" t="str">
        <f>IFERROR(VLOOKUP($A447,#REF!,20,FALSE),"")</f>
        <v/>
      </c>
      <c r="T447" s="1063" t="str">
        <f>IFERROR(VLOOKUP($A447,#REF!,21,FALSE),"")</f>
        <v/>
      </c>
      <c r="U447" s="1063" t="str">
        <f>IFERROR(VLOOKUP($A447,#REF!,22,FALSE),"")</f>
        <v/>
      </c>
      <c r="V447" s="1063" t="str">
        <f>IFERROR(VLOOKUP($A447,#REF!,23,FALSE),"")</f>
        <v/>
      </c>
      <c r="W447" s="1063" t="str">
        <f>IFERROR(VLOOKUP($A447,#REF!,24,FALSE),"")</f>
        <v/>
      </c>
      <c r="X447" s="1063" t="str">
        <f>IFERROR(VLOOKUP($A447,#REF!,41,FALSE),"")</f>
        <v/>
      </c>
      <c r="Y447" s="1063" t="str">
        <f>IFERROR(VLOOKUP($A447,#REF!,42,FALSE),"")</f>
        <v/>
      </c>
      <c r="Z447" s="1063" t="str">
        <f>IFERROR(VLOOKUP($A447,#REF!,45,FALSE),"")</f>
        <v/>
      </c>
      <c r="AA447" s="1071">
        <v>2017</v>
      </c>
      <c r="AB447" s="1072" t="s">
        <v>4149</v>
      </c>
      <c r="AC447" s="1074" t="s">
        <v>317</v>
      </c>
      <c r="AD447" s="1074" t="s">
        <v>3658</v>
      </c>
      <c r="AE447" s="1074" t="s">
        <v>307</v>
      </c>
      <c r="AF447" s="1074" t="s">
        <v>113</v>
      </c>
      <c r="AG447" s="968" t="s">
        <v>3962</v>
      </c>
      <c r="AH447" s="968" t="s">
        <v>3963</v>
      </c>
      <c r="AI447" s="1071">
        <v>2</v>
      </c>
      <c r="AJ447" s="1075" t="s">
        <v>3964</v>
      </c>
      <c r="AK447" s="1081">
        <v>260095</v>
      </c>
      <c r="AL447" s="778">
        <v>196</v>
      </c>
      <c r="AM447" s="1081">
        <v>260096</v>
      </c>
      <c r="AN447" s="778">
        <v>197</v>
      </c>
      <c r="AO447" s="777">
        <f>AM447+1</f>
        <v>260097</v>
      </c>
      <c r="AP447" s="778">
        <f>AN447+1</f>
        <v>198</v>
      </c>
      <c r="AQ447" s="1076"/>
      <c r="AR447" s="968"/>
      <c r="AS447" s="968"/>
      <c r="AT447" s="968"/>
      <c r="AU447" s="968"/>
      <c r="AV447" s="968"/>
      <c r="AW447" s="968"/>
    </row>
    <row r="448" spans="1:49" s="1077" customFormat="1">
      <c r="A448" s="968" t="s">
        <v>4970</v>
      </c>
      <c r="B448" s="968" t="s">
        <v>4970</v>
      </c>
      <c r="C448" s="968"/>
      <c r="D448" s="967" t="s">
        <v>4052</v>
      </c>
      <c r="E448" s="967" t="s">
        <v>4052</v>
      </c>
      <c r="F448" s="1069" t="str">
        <f>IFERROR(VLOOKUP($A448,#REF!,3,FALSE),"")</f>
        <v/>
      </c>
      <c r="G448" s="1056" t="str">
        <f>IFERROR(VLOOKUP($A448,#REF!,4,FALSE),"")</f>
        <v/>
      </c>
      <c r="H448" s="1056" t="str">
        <f>IFERROR(VLOOKUP($A448,#REF!,5,FALSE),"")</f>
        <v/>
      </c>
      <c r="I448" s="1056" t="str">
        <f>IFERROR(VLOOKUP($A448,#REF!,6,FALSE),"")</f>
        <v/>
      </c>
      <c r="J448" s="1056" t="str">
        <f>IFERROR(VLOOKUP($A448,#REF!,7,FALSE),"")</f>
        <v/>
      </c>
      <c r="K448" s="1056" t="str">
        <f>IFERROR(VLOOKUP($A448,#REF!,8,FALSE),"")</f>
        <v/>
      </c>
      <c r="L448" s="1063" t="str">
        <f>IFERROR(VLOOKUP($A448,#REF!,9,FALSE),"")</f>
        <v/>
      </c>
      <c r="M448" s="1070" t="str">
        <f>IFERROR(VLOOKUP($A448,#REF!,10,FALSE),"")</f>
        <v/>
      </c>
      <c r="N448" s="1063" t="str">
        <f>IFERROR(VLOOKUP($A448,#REF!,12,FALSE),"")</f>
        <v/>
      </c>
      <c r="O448" s="1056" t="str">
        <f>IFERROR(VLOOKUP($A448,#REF!,13,FALSE),"")</f>
        <v/>
      </c>
      <c r="P448" s="1056" t="str">
        <f>IFERROR(VLOOKUP($A448,#REF!,14,FALSE),"")</f>
        <v/>
      </c>
      <c r="Q448" s="1056" t="str">
        <f>IFERROR(VLOOKUP($A448,#REF!,16,FALSE),"")</f>
        <v/>
      </c>
      <c r="R448" s="1056" t="str">
        <f>IFERROR(VLOOKUP($A448,#REF!,17,FALSE),"")</f>
        <v/>
      </c>
      <c r="S448" s="1063" t="str">
        <f>IFERROR(VLOOKUP($A448,#REF!,20,FALSE),"")</f>
        <v/>
      </c>
      <c r="T448" s="1063" t="str">
        <f>IFERROR(VLOOKUP($A448,#REF!,21,FALSE),"")</f>
        <v/>
      </c>
      <c r="U448" s="1063" t="str">
        <f>IFERROR(VLOOKUP($A448,#REF!,22,FALSE),"")</f>
        <v/>
      </c>
      <c r="V448" s="1063" t="str">
        <f>IFERROR(VLOOKUP($A448,#REF!,23,FALSE),"")</f>
        <v/>
      </c>
      <c r="W448" s="1063" t="str">
        <f>IFERROR(VLOOKUP($A448,#REF!,24,FALSE),"")</f>
        <v/>
      </c>
      <c r="X448" s="1063" t="str">
        <f>IFERROR(VLOOKUP($A448,#REF!,41,FALSE),"")</f>
        <v/>
      </c>
      <c r="Y448" s="1063" t="str">
        <f>IFERROR(VLOOKUP($A448,#REF!,42,FALSE),"")</f>
        <v/>
      </c>
      <c r="Z448" s="1063" t="str">
        <f>IFERROR(VLOOKUP($A448,#REF!,45,FALSE),"")</f>
        <v/>
      </c>
      <c r="AA448" s="1071">
        <v>2017</v>
      </c>
      <c r="AB448" s="1072" t="s">
        <v>4149</v>
      </c>
      <c r="AC448" s="1074" t="s">
        <v>317</v>
      </c>
      <c r="AD448" s="1074" t="s">
        <v>3658</v>
      </c>
      <c r="AE448" s="1074" t="s">
        <v>307</v>
      </c>
      <c r="AF448" s="1074" t="s">
        <v>113</v>
      </c>
      <c r="AG448" s="968" t="s">
        <v>3972</v>
      </c>
      <c r="AH448" s="968" t="s">
        <v>3973</v>
      </c>
      <c r="AI448" s="1071">
        <v>8</v>
      </c>
      <c r="AJ448" s="1075" t="s">
        <v>3992</v>
      </c>
      <c r="AK448" s="1082">
        <v>909678</v>
      </c>
      <c r="AL448" s="778">
        <v>379</v>
      </c>
      <c r="AM448" s="765">
        <v>909678</v>
      </c>
      <c r="AN448" s="778">
        <v>380</v>
      </c>
      <c r="AO448" s="777">
        <f t="shared" ref="AO448:AO451" si="104">AM448</f>
        <v>909678</v>
      </c>
      <c r="AP448" s="778">
        <f>AN448+1</f>
        <v>381</v>
      </c>
      <c r="AQ448" s="1076"/>
      <c r="AR448" s="968"/>
      <c r="AS448" s="968"/>
      <c r="AT448" s="968"/>
      <c r="AU448" s="968"/>
      <c r="AV448" s="968"/>
      <c r="AW448" s="968"/>
    </row>
    <row r="449" spans="1:49" s="1077" customFormat="1">
      <c r="A449" s="968" t="s">
        <v>4970</v>
      </c>
      <c r="B449" s="968" t="s">
        <v>4970</v>
      </c>
      <c r="C449" s="968"/>
      <c r="D449" s="967" t="s">
        <v>4052</v>
      </c>
      <c r="E449" s="967" t="s">
        <v>4052</v>
      </c>
      <c r="F449" s="1069" t="str">
        <f>IFERROR(VLOOKUP($A449,#REF!,3,FALSE),"")</f>
        <v/>
      </c>
      <c r="G449" s="1056" t="str">
        <f>IFERROR(VLOOKUP($A449,#REF!,4,FALSE),"")</f>
        <v/>
      </c>
      <c r="H449" s="1056" t="str">
        <f>IFERROR(VLOOKUP($A449,#REF!,5,FALSE),"")</f>
        <v/>
      </c>
      <c r="I449" s="1056" t="str">
        <f>IFERROR(VLOOKUP($A449,#REF!,6,FALSE),"")</f>
        <v/>
      </c>
      <c r="J449" s="1056" t="str">
        <f>IFERROR(VLOOKUP($A449,#REF!,7,FALSE),"")</f>
        <v/>
      </c>
      <c r="K449" s="1056" t="str">
        <f>IFERROR(VLOOKUP($A449,#REF!,8,FALSE),"")</f>
        <v/>
      </c>
      <c r="L449" s="1063" t="str">
        <f>IFERROR(VLOOKUP($A449,#REF!,9,FALSE),"")</f>
        <v/>
      </c>
      <c r="M449" s="1070" t="str">
        <f>IFERROR(VLOOKUP($A449,#REF!,10,FALSE),"")</f>
        <v/>
      </c>
      <c r="N449" s="1063" t="str">
        <f>IFERROR(VLOOKUP($A449,#REF!,12,FALSE),"")</f>
        <v/>
      </c>
      <c r="O449" s="1056" t="str">
        <f>IFERROR(VLOOKUP($A449,#REF!,13,FALSE),"")</f>
        <v/>
      </c>
      <c r="P449" s="1056" t="str">
        <f>IFERROR(VLOOKUP($A449,#REF!,14,FALSE),"")</f>
        <v/>
      </c>
      <c r="Q449" s="1056" t="str">
        <f>IFERROR(VLOOKUP($A449,#REF!,16,FALSE),"")</f>
        <v/>
      </c>
      <c r="R449" s="1056" t="str">
        <f>IFERROR(VLOOKUP($A449,#REF!,17,FALSE),"")</f>
        <v/>
      </c>
      <c r="S449" s="1063" t="str">
        <f>IFERROR(VLOOKUP($A449,#REF!,20,FALSE),"")</f>
        <v/>
      </c>
      <c r="T449" s="1063" t="str">
        <f>IFERROR(VLOOKUP($A449,#REF!,21,FALSE),"")</f>
        <v/>
      </c>
      <c r="U449" s="1063" t="str">
        <f>IFERROR(VLOOKUP($A449,#REF!,22,FALSE),"")</f>
        <v/>
      </c>
      <c r="V449" s="1063" t="str">
        <f>IFERROR(VLOOKUP($A449,#REF!,23,FALSE),"")</f>
        <v/>
      </c>
      <c r="W449" s="1063" t="str">
        <f>IFERROR(VLOOKUP($A449,#REF!,24,FALSE),"")</f>
        <v/>
      </c>
      <c r="X449" s="1063" t="str">
        <f>IFERROR(VLOOKUP($A449,#REF!,41,FALSE),"")</f>
        <v/>
      </c>
      <c r="Y449" s="1063" t="str">
        <f>IFERROR(VLOOKUP($A449,#REF!,42,FALSE),"")</f>
        <v/>
      </c>
      <c r="Z449" s="1063" t="str">
        <f>IFERROR(VLOOKUP($A449,#REF!,45,FALSE),"")</f>
        <v/>
      </c>
      <c r="AA449" s="1071">
        <v>2017</v>
      </c>
      <c r="AB449" s="1072" t="s">
        <v>4149</v>
      </c>
      <c r="AC449" s="1074" t="s">
        <v>317</v>
      </c>
      <c r="AD449" s="1074" t="s">
        <v>3658</v>
      </c>
      <c r="AE449" s="1074" t="s">
        <v>307</v>
      </c>
      <c r="AF449" s="1074" t="s">
        <v>113</v>
      </c>
      <c r="AG449" s="968" t="s">
        <v>3972</v>
      </c>
      <c r="AH449" s="968" t="s">
        <v>3977</v>
      </c>
      <c r="AI449" s="1071">
        <v>14</v>
      </c>
      <c r="AJ449" s="1075" t="s">
        <v>3994</v>
      </c>
      <c r="AK449" s="1082">
        <v>909678</v>
      </c>
      <c r="AL449" s="778">
        <v>631</v>
      </c>
      <c r="AM449" s="765">
        <v>909678</v>
      </c>
      <c r="AN449" s="778">
        <v>632</v>
      </c>
      <c r="AO449" s="777">
        <f t="shared" si="104"/>
        <v>909678</v>
      </c>
      <c r="AP449" s="778">
        <f>AN449+1</f>
        <v>633</v>
      </c>
      <c r="AQ449" s="1076"/>
      <c r="AR449" s="968"/>
      <c r="AS449" s="968"/>
      <c r="AT449" s="968"/>
      <c r="AU449" s="968"/>
      <c r="AV449" s="968"/>
      <c r="AW449" s="968"/>
    </row>
    <row r="450" spans="1:49" s="1077" customFormat="1">
      <c r="A450" s="968" t="s">
        <v>4970</v>
      </c>
      <c r="B450" s="968" t="s">
        <v>4970</v>
      </c>
      <c r="C450" s="968"/>
      <c r="D450" s="967" t="s">
        <v>4052</v>
      </c>
      <c r="E450" s="967" t="s">
        <v>4052</v>
      </c>
      <c r="F450" s="1069" t="str">
        <f>IFERROR(VLOOKUP($A450,#REF!,3,FALSE),"")</f>
        <v/>
      </c>
      <c r="G450" s="1056" t="str">
        <f>IFERROR(VLOOKUP($A450,#REF!,4,FALSE),"")</f>
        <v/>
      </c>
      <c r="H450" s="1056" t="str">
        <f>IFERROR(VLOOKUP($A450,#REF!,5,FALSE),"")</f>
        <v/>
      </c>
      <c r="I450" s="1056" t="str">
        <f>IFERROR(VLOOKUP($A450,#REF!,6,FALSE),"")</f>
        <v/>
      </c>
      <c r="J450" s="1056" t="str">
        <f>IFERROR(VLOOKUP($A450,#REF!,7,FALSE),"")</f>
        <v/>
      </c>
      <c r="K450" s="1056" t="str">
        <f>IFERROR(VLOOKUP($A450,#REF!,8,FALSE),"")</f>
        <v/>
      </c>
      <c r="L450" s="1063" t="str">
        <f>IFERROR(VLOOKUP($A450,#REF!,9,FALSE),"")</f>
        <v/>
      </c>
      <c r="M450" s="1070" t="str">
        <f>IFERROR(VLOOKUP($A450,#REF!,10,FALSE),"")</f>
        <v/>
      </c>
      <c r="N450" s="1063" t="str">
        <f>IFERROR(VLOOKUP($A450,#REF!,12,FALSE),"")</f>
        <v/>
      </c>
      <c r="O450" s="1056" t="str">
        <f>IFERROR(VLOOKUP($A450,#REF!,13,FALSE),"")</f>
        <v/>
      </c>
      <c r="P450" s="1056" t="str">
        <f>IFERROR(VLOOKUP($A450,#REF!,14,FALSE),"")</f>
        <v/>
      </c>
      <c r="Q450" s="1056" t="str">
        <f>IFERROR(VLOOKUP($A450,#REF!,16,FALSE),"")</f>
        <v/>
      </c>
      <c r="R450" s="1056" t="str">
        <f>IFERROR(VLOOKUP($A450,#REF!,17,FALSE),"")</f>
        <v/>
      </c>
      <c r="S450" s="1063" t="str">
        <f>IFERROR(VLOOKUP($A450,#REF!,20,FALSE),"")</f>
        <v/>
      </c>
      <c r="T450" s="1063" t="str">
        <f>IFERROR(VLOOKUP($A450,#REF!,21,FALSE),"")</f>
        <v/>
      </c>
      <c r="U450" s="1063" t="str">
        <f>IFERROR(VLOOKUP($A450,#REF!,22,FALSE),"")</f>
        <v/>
      </c>
      <c r="V450" s="1063" t="str">
        <f>IFERROR(VLOOKUP($A450,#REF!,23,FALSE),"")</f>
        <v/>
      </c>
      <c r="W450" s="1063" t="str">
        <f>IFERROR(VLOOKUP($A450,#REF!,24,FALSE),"")</f>
        <v/>
      </c>
      <c r="X450" s="1063" t="str">
        <f>IFERROR(VLOOKUP($A450,#REF!,41,FALSE),"")</f>
        <v/>
      </c>
      <c r="Y450" s="1063" t="str">
        <f>IFERROR(VLOOKUP($A450,#REF!,42,FALSE),"")</f>
        <v/>
      </c>
      <c r="Z450" s="1063" t="str">
        <f>IFERROR(VLOOKUP($A450,#REF!,45,FALSE),"")</f>
        <v/>
      </c>
      <c r="AA450" s="1071">
        <v>2017</v>
      </c>
      <c r="AB450" s="1072" t="s">
        <v>4149</v>
      </c>
      <c r="AC450" s="1074" t="s">
        <v>317</v>
      </c>
      <c r="AD450" s="1074" t="s">
        <v>3658</v>
      </c>
      <c r="AE450" s="1074" t="s">
        <v>307</v>
      </c>
      <c r="AF450" s="1074" t="s">
        <v>113</v>
      </c>
      <c r="AG450" s="968" t="s">
        <v>3981</v>
      </c>
      <c r="AH450" s="968" t="s">
        <v>3973</v>
      </c>
      <c r="AI450" s="1071">
        <v>11</v>
      </c>
      <c r="AJ450" s="1075" t="s">
        <v>3982</v>
      </c>
      <c r="AK450" s="1082">
        <v>909678</v>
      </c>
      <c r="AL450" s="778">
        <v>487</v>
      </c>
      <c r="AM450" s="765">
        <v>909678</v>
      </c>
      <c r="AN450" s="778">
        <v>488</v>
      </c>
      <c r="AO450" s="777">
        <f t="shared" si="104"/>
        <v>909678</v>
      </c>
      <c r="AP450" s="778">
        <f>AN450+1</f>
        <v>489</v>
      </c>
      <c r="AQ450" s="1076"/>
      <c r="AR450" s="968"/>
      <c r="AS450" s="968"/>
      <c r="AT450" s="968"/>
      <c r="AU450" s="968"/>
      <c r="AV450" s="968"/>
      <c r="AW450" s="968"/>
    </row>
    <row r="451" spans="1:49" s="1077" customFormat="1">
      <c r="A451" s="968" t="s">
        <v>4970</v>
      </c>
      <c r="B451" s="968" t="s">
        <v>4970</v>
      </c>
      <c r="C451" s="968"/>
      <c r="D451" s="967" t="s">
        <v>4052</v>
      </c>
      <c r="E451" s="967" t="s">
        <v>4052</v>
      </c>
      <c r="F451" s="1069" t="str">
        <f>IFERROR(VLOOKUP($A451,#REF!,3,FALSE),"")</f>
        <v/>
      </c>
      <c r="G451" s="1056" t="str">
        <f>IFERROR(VLOOKUP($A451,#REF!,4,FALSE),"")</f>
        <v/>
      </c>
      <c r="H451" s="1056" t="str">
        <f>IFERROR(VLOOKUP($A451,#REF!,5,FALSE),"")</f>
        <v/>
      </c>
      <c r="I451" s="1056" t="str">
        <f>IFERROR(VLOOKUP($A451,#REF!,6,FALSE),"")</f>
        <v/>
      </c>
      <c r="J451" s="1056" t="str">
        <f>IFERROR(VLOOKUP($A451,#REF!,7,FALSE),"")</f>
        <v/>
      </c>
      <c r="K451" s="1056" t="str">
        <f>IFERROR(VLOOKUP($A451,#REF!,8,FALSE),"")</f>
        <v/>
      </c>
      <c r="L451" s="1063" t="str">
        <f>IFERROR(VLOOKUP($A451,#REF!,9,FALSE),"")</f>
        <v/>
      </c>
      <c r="M451" s="1070" t="str">
        <f>IFERROR(VLOOKUP($A451,#REF!,10,FALSE),"")</f>
        <v/>
      </c>
      <c r="N451" s="1063" t="str">
        <f>IFERROR(VLOOKUP($A451,#REF!,12,FALSE),"")</f>
        <v/>
      </c>
      <c r="O451" s="1056" t="str">
        <f>IFERROR(VLOOKUP($A451,#REF!,13,FALSE),"")</f>
        <v/>
      </c>
      <c r="P451" s="1056" t="str">
        <f>IFERROR(VLOOKUP($A451,#REF!,14,FALSE),"")</f>
        <v/>
      </c>
      <c r="Q451" s="1056" t="str">
        <f>IFERROR(VLOOKUP($A451,#REF!,16,FALSE),"")</f>
        <v/>
      </c>
      <c r="R451" s="1056" t="str">
        <f>IFERROR(VLOOKUP($A451,#REF!,17,FALSE),"")</f>
        <v/>
      </c>
      <c r="S451" s="1063" t="str">
        <f>IFERROR(VLOOKUP($A451,#REF!,20,FALSE),"")</f>
        <v/>
      </c>
      <c r="T451" s="1063" t="str">
        <f>IFERROR(VLOOKUP($A451,#REF!,21,FALSE),"")</f>
        <v/>
      </c>
      <c r="U451" s="1063" t="str">
        <f>IFERROR(VLOOKUP($A451,#REF!,22,FALSE),"")</f>
        <v/>
      </c>
      <c r="V451" s="1063" t="str">
        <f>IFERROR(VLOOKUP($A451,#REF!,23,FALSE),"")</f>
        <v/>
      </c>
      <c r="W451" s="1063" t="str">
        <f>IFERROR(VLOOKUP($A451,#REF!,24,FALSE),"")</f>
        <v/>
      </c>
      <c r="X451" s="1063" t="str">
        <f>IFERROR(VLOOKUP($A451,#REF!,41,FALSE),"")</f>
        <v/>
      </c>
      <c r="Y451" s="1063" t="str">
        <f>IFERROR(VLOOKUP($A451,#REF!,42,FALSE),"")</f>
        <v/>
      </c>
      <c r="Z451" s="1063" t="str">
        <f>IFERROR(VLOOKUP($A451,#REF!,45,FALSE),"")</f>
        <v/>
      </c>
      <c r="AA451" s="1071">
        <v>2017</v>
      </c>
      <c r="AB451" s="1072" t="s">
        <v>4149</v>
      </c>
      <c r="AC451" s="1074" t="s">
        <v>317</v>
      </c>
      <c r="AD451" s="1074" t="s">
        <v>3658</v>
      </c>
      <c r="AE451" s="1074" t="s">
        <v>307</v>
      </c>
      <c r="AF451" s="1074" t="s">
        <v>113</v>
      </c>
      <c r="AG451" s="968" t="s">
        <v>3981</v>
      </c>
      <c r="AH451" s="968" t="s">
        <v>3977</v>
      </c>
      <c r="AI451" s="1071">
        <v>16</v>
      </c>
      <c r="AJ451" s="1075" t="s">
        <v>3985</v>
      </c>
      <c r="AK451" s="1082">
        <v>909678</v>
      </c>
      <c r="AL451" s="778">
        <v>739</v>
      </c>
      <c r="AM451" s="765">
        <v>909678</v>
      </c>
      <c r="AN451" s="778">
        <v>740</v>
      </c>
      <c r="AO451" s="777">
        <f t="shared" si="104"/>
        <v>909678</v>
      </c>
      <c r="AP451" s="778">
        <f>AN451+1</f>
        <v>741</v>
      </c>
      <c r="AQ451" s="1076"/>
      <c r="AR451" s="968"/>
      <c r="AS451" s="968"/>
      <c r="AT451" s="968"/>
      <c r="AU451" s="968"/>
      <c r="AV451" s="968"/>
      <c r="AW451" s="968"/>
    </row>
    <row r="452" spans="1:49" s="1077" customFormat="1">
      <c r="A452" s="968"/>
      <c r="B452" s="968"/>
      <c r="C452" s="968"/>
      <c r="D452" s="968"/>
      <c r="E452" s="968"/>
      <c r="F452" s="1069" t="str">
        <f>IFERROR(VLOOKUP($A452,#REF!,3,FALSE),"")</f>
        <v/>
      </c>
      <c r="G452" s="1056" t="str">
        <f>IFERROR(VLOOKUP($A452,#REF!,4,FALSE),"")</f>
        <v/>
      </c>
      <c r="H452" s="1056" t="str">
        <f>IFERROR(VLOOKUP($A452,#REF!,5,FALSE),"")</f>
        <v/>
      </c>
      <c r="I452" s="1056" t="str">
        <f>IFERROR(VLOOKUP($A452,#REF!,6,FALSE),"")</f>
        <v/>
      </c>
      <c r="J452" s="1056" t="str">
        <f>IFERROR(VLOOKUP($A452,#REF!,7,FALSE),"")</f>
        <v/>
      </c>
      <c r="K452" s="1056" t="str">
        <f>IFERROR(VLOOKUP($A452,#REF!,8,FALSE),"")</f>
        <v/>
      </c>
      <c r="L452" s="1063" t="str">
        <f>IFERROR(VLOOKUP($A452,#REF!,9,FALSE),"")</f>
        <v/>
      </c>
      <c r="M452" s="1070" t="str">
        <f>IFERROR(VLOOKUP($A452,#REF!,10,FALSE),"")</f>
        <v/>
      </c>
      <c r="N452" s="1063" t="str">
        <f>IFERROR(VLOOKUP($A452,#REF!,12,FALSE),"")</f>
        <v/>
      </c>
      <c r="O452" s="1056" t="str">
        <f>IFERROR(VLOOKUP($A452,#REF!,13,FALSE),"")</f>
        <v/>
      </c>
      <c r="P452" s="1056" t="str">
        <f>IFERROR(VLOOKUP($A452,#REF!,14,FALSE),"")</f>
        <v/>
      </c>
      <c r="Q452" s="1056" t="str">
        <f>IFERROR(VLOOKUP($A452,#REF!,16,FALSE),"")</f>
        <v/>
      </c>
      <c r="R452" s="1056" t="str">
        <f>IFERROR(VLOOKUP($A452,#REF!,17,FALSE),"")</f>
        <v/>
      </c>
      <c r="S452" s="1063" t="str">
        <f>IFERROR(VLOOKUP($A452,#REF!,20,FALSE),"")</f>
        <v/>
      </c>
      <c r="T452" s="1063" t="str">
        <f>IFERROR(VLOOKUP($A452,#REF!,21,FALSE),"")</f>
        <v/>
      </c>
      <c r="U452" s="1063" t="str">
        <f>IFERROR(VLOOKUP($A452,#REF!,22,FALSE),"")</f>
        <v/>
      </c>
      <c r="V452" s="1063" t="str">
        <f>IFERROR(VLOOKUP($A452,#REF!,23,FALSE),"")</f>
        <v/>
      </c>
      <c r="W452" s="1063" t="str">
        <f>IFERROR(VLOOKUP($A452,#REF!,24,FALSE),"")</f>
        <v/>
      </c>
      <c r="X452" s="1063" t="str">
        <f>IFERROR(VLOOKUP($A452,#REF!,41,FALSE),"")</f>
        <v/>
      </c>
      <c r="Y452" s="1063" t="str">
        <f>IFERROR(VLOOKUP($A452,#REF!,42,FALSE),"")</f>
        <v/>
      </c>
      <c r="Z452" s="1063" t="str">
        <f>IFERROR(VLOOKUP($A452,#REF!,45,FALSE),"")</f>
        <v/>
      </c>
      <c r="AA452" s="1071"/>
      <c r="AB452" s="1072"/>
      <c r="AC452" s="1073"/>
      <c r="AD452" s="1073"/>
      <c r="AE452" s="1071"/>
      <c r="AF452" s="1071"/>
      <c r="AG452" s="968"/>
      <c r="AH452" s="968"/>
      <c r="AI452" s="1071"/>
      <c r="AJ452" s="1075"/>
      <c r="AK452" s="765"/>
      <c r="AL452" s="766"/>
      <c r="AM452" s="765"/>
      <c r="AN452" s="766"/>
      <c r="AO452" s="777"/>
      <c r="AP452" s="778"/>
      <c r="AQ452" s="1076"/>
      <c r="AR452" s="968"/>
      <c r="AS452" s="968"/>
      <c r="AT452" s="968"/>
      <c r="AU452" s="968"/>
      <c r="AV452" s="968"/>
      <c r="AW452" s="968"/>
    </row>
    <row r="453" spans="1:49" s="1077" customFormat="1">
      <c r="A453" s="968" t="s">
        <v>132</v>
      </c>
      <c r="B453" s="968" t="s">
        <v>132</v>
      </c>
      <c r="C453" s="968"/>
      <c r="D453" s="967" t="s">
        <v>132</v>
      </c>
      <c r="E453" s="967" t="s">
        <v>132</v>
      </c>
      <c r="F453" s="1069" t="str">
        <f>IFERROR(VLOOKUP($A453,#REF!,3,FALSE),"")</f>
        <v/>
      </c>
      <c r="G453" s="1056" t="str">
        <f>IFERROR(VLOOKUP($A453,#REF!,4,FALSE),"")</f>
        <v/>
      </c>
      <c r="H453" s="1056" t="str">
        <f>IFERROR(VLOOKUP($A453,#REF!,5,FALSE),"")</f>
        <v/>
      </c>
      <c r="I453" s="1056" t="str">
        <f>IFERROR(VLOOKUP($A453,#REF!,6,FALSE),"")</f>
        <v/>
      </c>
      <c r="J453" s="1056" t="str">
        <f>IFERROR(VLOOKUP($A453,#REF!,7,FALSE),"")</f>
        <v/>
      </c>
      <c r="K453" s="1056" t="str">
        <f>IFERROR(VLOOKUP($A453,#REF!,8,FALSE),"")</f>
        <v/>
      </c>
      <c r="L453" s="1063" t="str">
        <f>IFERROR(VLOOKUP($A453,#REF!,9,FALSE),"")</f>
        <v/>
      </c>
      <c r="M453" s="1070" t="str">
        <f>IFERROR(VLOOKUP($A453,#REF!,10,FALSE),"")</f>
        <v/>
      </c>
      <c r="N453" s="1063" t="str">
        <f>IFERROR(VLOOKUP($A453,#REF!,12,FALSE),"")</f>
        <v/>
      </c>
      <c r="O453" s="1056" t="str">
        <f>IFERROR(VLOOKUP($A453,#REF!,13,FALSE),"")</f>
        <v/>
      </c>
      <c r="P453" s="1056" t="str">
        <f>IFERROR(VLOOKUP($A453,#REF!,14,FALSE),"")</f>
        <v/>
      </c>
      <c r="Q453" s="1056" t="str">
        <f>IFERROR(VLOOKUP($A453,#REF!,16,FALSE),"")</f>
        <v/>
      </c>
      <c r="R453" s="1056" t="str">
        <f>IFERROR(VLOOKUP($A453,#REF!,17,FALSE),"")</f>
        <v/>
      </c>
      <c r="S453" s="1063" t="str">
        <f>IFERROR(VLOOKUP($A453,#REF!,20,FALSE),"")</f>
        <v/>
      </c>
      <c r="T453" s="1063" t="str">
        <f>IFERROR(VLOOKUP($A453,#REF!,21,FALSE),"")</f>
        <v/>
      </c>
      <c r="U453" s="1063" t="str">
        <f>IFERROR(VLOOKUP($A453,#REF!,22,FALSE),"")</f>
        <v/>
      </c>
      <c r="V453" s="1063" t="str">
        <f>IFERROR(VLOOKUP($A453,#REF!,23,FALSE),"")</f>
        <v/>
      </c>
      <c r="W453" s="1063" t="str">
        <f>IFERROR(VLOOKUP($A453,#REF!,24,FALSE),"")</f>
        <v/>
      </c>
      <c r="X453" s="1063" t="str">
        <f>IFERROR(VLOOKUP($A453,#REF!,41,FALSE),"")</f>
        <v/>
      </c>
      <c r="Y453" s="1063" t="str">
        <f>IFERROR(VLOOKUP($A453,#REF!,42,FALSE),"")</f>
        <v/>
      </c>
      <c r="Z453" s="1063" t="str">
        <f>IFERROR(VLOOKUP($A453,#REF!,45,FALSE),"")</f>
        <v/>
      </c>
      <c r="AA453" s="1071">
        <v>2017</v>
      </c>
      <c r="AB453" s="1072">
        <v>20</v>
      </c>
      <c r="AC453" s="1073" t="s">
        <v>303</v>
      </c>
      <c r="AD453" s="1073" t="s">
        <v>3656</v>
      </c>
      <c r="AE453" s="1074" t="s">
        <v>307</v>
      </c>
      <c r="AF453" s="1074" t="s">
        <v>113</v>
      </c>
      <c r="AG453" s="968" t="s">
        <v>3972</v>
      </c>
      <c r="AH453" s="968" t="s">
        <v>3973</v>
      </c>
      <c r="AI453" s="1071">
        <v>7</v>
      </c>
      <c r="AJ453" s="1075" t="s">
        <v>4001</v>
      </c>
      <c r="AK453" s="765">
        <v>909678</v>
      </c>
      <c r="AL453" s="766">
        <v>148</v>
      </c>
      <c r="AM453" s="765">
        <v>909678</v>
      </c>
      <c r="AN453" s="766">
        <v>149</v>
      </c>
      <c r="AO453" s="777">
        <f>AM453</f>
        <v>909678</v>
      </c>
      <c r="AP453" s="778">
        <f t="shared" si="99"/>
        <v>150</v>
      </c>
      <c r="AQ453" s="1076"/>
      <c r="AR453" s="968"/>
      <c r="AS453" s="968"/>
      <c r="AT453" s="968"/>
      <c r="AU453" s="968"/>
      <c r="AV453" s="968"/>
      <c r="AW453" s="968"/>
    </row>
    <row r="454" spans="1:49" s="1077" customFormat="1">
      <c r="A454" s="968" t="s">
        <v>132</v>
      </c>
      <c r="B454" s="968" t="s">
        <v>132</v>
      </c>
      <c r="C454" s="968"/>
      <c r="D454" s="967" t="s">
        <v>132</v>
      </c>
      <c r="E454" s="967" t="s">
        <v>132</v>
      </c>
      <c r="F454" s="1069" t="str">
        <f>IFERROR(VLOOKUP($A454,#REF!,3,FALSE),"")</f>
        <v/>
      </c>
      <c r="G454" s="1056" t="str">
        <f>IFERROR(VLOOKUP($A454,#REF!,4,FALSE),"")</f>
        <v/>
      </c>
      <c r="H454" s="1056" t="str">
        <f>IFERROR(VLOOKUP($A454,#REF!,5,FALSE),"")</f>
        <v/>
      </c>
      <c r="I454" s="1056" t="str">
        <f>IFERROR(VLOOKUP($A454,#REF!,6,FALSE),"")</f>
        <v/>
      </c>
      <c r="J454" s="1056" t="str">
        <f>IFERROR(VLOOKUP($A454,#REF!,7,FALSE),"")</f>
        <v/>
      </c>
      <c r="K454" s="1056" t="str">
        <f>IFERROR(VLOOKUP($A454,#REF!,8,FALSE),"")</f>
        <v/>
      </c>
      <c r="L454" s="1063" t="str">
        <f>IFERROR(VLOOKUP($A454,#REF!,9,FALSE),"")</f>
        <v/>
      </c>
      <c r="M454" s="1070" t="str">
        <f>IFERROR(VLOOKUP($A454,#REF!,10,FALSE),"")</f>
        <v/>
      </c>
      <c r="N454" s="1063" t="str">
        <f>IFERROR(VLOOKUP($A454,#REF!,12,FALSE),"")</f>
        <v/>
      </c>
      <c r="O454" s="1056" t="str">
        <f>IFERROR(VLOOKUP($A454,#REF!,13,FALSE),"")</f>
        <v/>
      </c>
      <c r="P454" s="1056" t="str">
        <f>IFERROR(VLOOKUP($A454,#REF!,14,FALSE),"")</f>
        <v/>
      </c>
      <c r="Q454" s="1056" t="str">
        <f>IFERROR(VLOOKUP($A454,#REF!,16,FALSE),"")</f>
        <v/>
      </c>
      <c r="R454" s="1056" t="str">
        <f>IFERROR(VLOOKUP($A454,#REF!,17,FALSE),"")</f>
        <v/>
      </c>
      <c r="S454" s="1063" t="str">
        <f>IFERROR(VLOOKUP($A454,#REF!,20,FALSE),"")</f>
        <v/>
      </c>
      <c r="T454" s="1063" t="str">
        <f>IFERROR(VLOOKUP($A454,#REF!,21,FALSE),"")</f>
        <v/>
      </c>
      <c r="U454" s="1063" t="str">
        <f>IFERROR(VLOOKUP($A454,#REF!,22,FALSE),"")</f>
        <v/>
      </c>
      <c r="V454" s="1063" t="str">
        <f>IFERROR(VLOOKUP($A454,#REF!,23,FALSE),"")</f>
        <v/>
      </c>
      <c r="W454" s="1063" t="str">
        <f>IFERROR(VLOOKUP($A454,#REF!,24,FALSE),"")</f>
        <v/>
      </c>
      <c r="X454" s="1063" t="str">
        <f>IFERROR(VLOOKUP($A454,#REF!,41,FALSE),"")</f>
        <v/>
      </c>
      <c r="Y454" s="1063" t="str">
        <f>IFERROR(VLOOKUP($A454,#REF!,42,FALSE),"")</f>
        <v/>
      </c>
      <c r="Z454" s="1063" t="str">
        <f>IFERROR(VLOOKUP($A454,#REF!,45,FALSE),"")</f>
        <v/>
      </c>
      <c r="AA454" s="1071">
        <v>2017</v>
      </c>
      <c r="AB454" s="1072">
        <v>20</v>
      </c>
      <c r="AC454" s="1073" t="s">
        <v>303</v>
      </c>
      <c r="AD454" s="1073" t="s">
        <v>3656</v>
      </c>
      <c r="AE454" s="1074" t="s">
        <v>307</v>
      </c>
      <c r="AF454" s="1074" t="s">
        <v>113</v>
      </c>
      <c r="AG454" s="968" t="s">
        <v>3972</v>
      </c>
      <c r="AH454" s="968" t="s">
        <v>3977</v>
      </c>
      <c r="AI454" s="1071">
        <v>13</v>
      </c>
      <c r="AJ454" s="1075" t="s">
        <v>4004</v>
      </c>
      <c r="AK454" s="765"/>
      <c r="AL454" s="766"/>
      <c r="AM454" s="765"/>
      <c r="AN454" s="766"/>
      <c r="AO454" s="777"/>
      <c r="AP454" s="778"/>
      <c r="AQ454" s="1076"/>
      <c r="AR454" s="968"/>
      <c r="AS454" s="968"/>
      <c r="AT454" s="968"/>
      <c r="AU454" s="968"/>
      <c r="AV454" s="968"/>
      <c r="AW454" s="968"/>
    </row>
    <row r="455" spans="1:49" s="1077" customFormat="1">
      <c r="A455" s="968" t="s">
        <v>132</v>
      </c>
      <c r="B455" s="968" t="s">
        <v>132</v>
      </c>
      <c r="C455" s="968"/>
      <c r="D455" s="967" t="s">
        <v>132</v>
      </c>
      <c r="E455" s="967" t="s">
        <v>132</v>
      </c>
      <c r="F455" s="1069" t="str">
        <f>IFERROR(VLOOKUP($A455,#REF!,3,FALSE),"")</f>
        <v/>
      </c>
      <c r="G455" s="1056" t="str">
        <f>IFERROR(VLOOKUP($A455,#REF!,4,FALSE),"")</f>
        <v/>
      </c>
      <c r="H455" s="1056" t="str">
        <f>IFERROR(VLOOKUP($A455,#REF!,5,FALSE),"")</f>
        <v/>
      </c>
      <c r="I455" s="1056" t="str">
        <f>IFERROR(VLOOKUP($A455,#REF!,6,FALSE),"")</f>
        <v/>
      </c>
      <c r="J455" s="1056" t="str">
        <f>IFERROR(VLOOKUP($A455,#REF!,7,FALSE),"")</f>
        <v/>
      </c>
      <c r="K455" s="1056" t="str">
        <f>IFERROR(VLOOKUP($A455,#REF!,8,FALSE),"")</f>
        <v/>
      </c>
      <c r="L455" s="1063" t="str">
        <f>IFERROR(VLOOKUP($A455,#REF!,9,FALSE),"")</f>
        <v/>
      </c>
      <c r="M455" s="1070" t="str">
        <f>IFERROR(VLOOKUP($A455,#REF!,10,FALSE),"")</f>
        <v/>
      </c>
      <c r="N455" s="1063" t="str">
        <f>IFERROR(VLOOKUP($A455,#REF!,12,FALSE),"")</f>
        <v/>
      </c>
      <c r="O455" s="1056" t="str">
        <f>IFERROR(VLOOKUP($A455,#REF!,13,FALSE),"")</f>
        <v/>
      </c>
      <c r="P455" s="1056" t="str">
        <f>IFERROR(VLOOKUP($A455,#REF!,14,FALSE),"")</f>
        <v/>
      </c>
      <c r="Q455" s="1056" t="str">
        <f>IFERROR(VLOOKUP($A455,#REF!,16,FALSE),"")</f>
        <v/>
      </c>
      <c r="R455" s="1056" t="str">
        <f>IFERROR(VLOOKUP($A455,#REF!,17,FALSE),"")</f>
        <v/>
      </c>
      <c r="S455" s="1063" t="str">
        <f>IFERROR(VLOOKUP($A455,#REF!,20,FALSE),"")</f>
        <v/>
      </c>
      <c r="T455" s="1063" t="str">
        <f>IFERROR(VLOOKUP($A455,#REF!,21,FALSE),"")</f>
        <v/>
      </c>
      <c r="U455" s="1063" t="str">
        <f>IFERROR(VLOOKUP($A455,#REF!,22,FALSE),"")</f>
        <v/>
      </c>
      <c r="V455" s="1063" t="str">
        <f>IFERROR(VLOOKUP($A455,#REF!,23,FALSE),"")</f>
        <v/>
      </c>
      <c r="W455" s="1063" t="str">
        <f>IFERROR(VLOOKUP($A455,#REF!,24,FALSE),"")</f>
        <v/>
      </c>
      <c r="X455" s="1063" t="str">
        <f>IFERROR(VLOOKUP($A455,#REF!,41,FALSE),"")</f>
        <v/>
      </c>
      <c r="Y455" s="1063" t="str">
        <f>IFERROR(VLOOKUP($A455,#REF!,42,FALSE),"")</f>
        <v/>
      </c>
      <c r="Z455" s="1063" t="str">
        <f>IFERROR(VLOOKUP($A455,#REF!,45,FALSE),"")</f>
        <v/>
      </c>
      <c r="AA455" s="1071">
        <v>2017</v>
      </c>
      <c r="AB455" s="1072">
        <v>20</v>
      </c>
      <c r="AC455" s="1073" t="s">
        <v>303</v>
      </c>
      <c r="AD455" s="1073" t="s">
        <v>3656</v>
      </c>
      <c r="AE455" s="1074" t="s">
        <v>307</v>
      </c>
      <c r="AF455" s="1074" t="s">
        <v>113</v>
      </c>
      <c r="AG455" s="968" t="s">
        <v>3981</v>
      </c>
      <c r="AH455" s="968" t="s">
        <v>3973</v>
      </c>
      <c r="AI455" s="1071">
        <v>11</v>
      </c>
      <c r="AJ455" s="1075" t="s">
        <v>3982</v>
      </c>
      <c r="AK455" s="765">
        <v>909678</v>
      </c>
      <c r="AL455" s="766">
        <v>151</v>
      </c>
      <c r="AM455" s="765">
        <v>909678</v>
      </c>
      <c r="AN455" s="766">
        <v>152</v>
      </c>
      <c r="AO455" s="777">
        <f>AM455</f>
        <v>909678</v>
      </c>
      <c r="AP455" s="778">
        <f t="shared" si="99"/>
        <v>153</v>
      </c>
      <c r="AQ455" s="1076"/>
      <c r="AR455" s="968"/>
      <c r="AS455" s="968"/>
      <c r="AT455" s="968"/>
      <c r="AU455" s="968"/>
      <c r="AV455" s="968"/>
      <c r="AW455" s="968"/>
    </row>
    <row r="456" spans="1:49" s="1077" customFormat="1">
      <c r="A456" s="968" t="s">
        <v>132</v>
      </c>
      <c r="B456" s="968" t="s">
        <v>132</v>
      </c>
      <c r="C456" s="968"/>
      <c r="D456" s="967" t="s">
        <v>132</v>
      </c>
      <c r="E456" s="967" t="s">
        <v>132</v>
      </c>
      <c r="F456" s="1069" t="str">
        <f>IFERROR(VLOOKUP($A456,#REF!,3,FALSE),"")</f>
        <v/>
      </c>
      <c r="G456" s="1056" t="str">
        <f>IFERROR(VLOOKUP($A456,#REF!,4,FALSE),"")</f>
        <v/>
      </c>
      <c r="H456" s="1056" t="str">
        <f>IFERROR(VLOOKUP($A456,#REF!,5,FALSE),"")</f>
        <v/>
      </c>
      <c r="I456" s="1056" t="str">
        <f>IFERROR(VLOOKUP($A456,#REF!,6,FALSE),"")</f>
        <v/>
      </c>
      <c r="J456" s="1056" t="str">
        <f>IFERROR(VLOOKUP($A456,#REF!,7,FALSE),"")</f>
        <v/>
      </c>
      <c r="K456" s="1056" t="str">
        <f>IFERROR(VLOOKUP($A456,#REF!,8,FALSE),"")</f>
        <v/>
      </c>
      <c r="L456" s="1063" t="str">
        <f>IFERROR(VLOOKUP($A456,#REF!,9,FALSE),"")</f>
        <v/>
      </c>
      <c r="M456" s="1070" t="str">
        <f>IFERROR(VLOOKUP($A456,#REF!,10,FALSE),"")</f>
        <v/>
      </c>
      <c r="N456" s="1063" t="str">
        <f>IFERROR(VLOOKUP($A456,#REF!,12,FALSE),"")</f>
        <v/>
      </c>
      <c r="O456" s="1056" t="str">
        <f>IFERROR(VLOOKUP($A456,#REF!,13,FALSE),"")</f>
        <v/>
      </c>
      <c r="P456" s="1056" t="str">
        <f>IFERROR(VLOOKUP($A456,#REF!,14,FALSE),"")</f>
        <v/>
      </c>
      <c r="Q456" s="1056" t="str">
        <f>IFERROR(VLOOKUP($A456,#REF!,16,FALSE),"")</f>
        <v/>
      </c>
      <c r="R456" s="1056" t="str">
        <f>IFERROR(VLOOKUP($A456,#REF!,17,FALSE),"")</f>
        <v/>
      </c>
      <c r="S456" s="1063" t="str">
        <f>IFERROR(VLOOKUP($A456,#REF!,20,FALSE),"")</f>
        <v/>
      </c>
      <c r="T456" s="1063" t="str">
        <f>IFERROR(VLOOKUP($A456,#REF!,21,FALSE),"")</f>
        <v/>
      </c>
      <c r="U456" s="1063" t="str">
        <f>IFERROR(VLOOKUP($A456,#REF!,22,FALSE),"")</f>
        <v/>
      </c>
      <c r="V456" s="1063" t="str">
        <f>IFERROR(VLOOKUP($A456,#REF!,23,FALSE),"")</f>
        <v/>
      </c>
      <c r="W456" s="1063" t="str">
        <f>IFERROR(VLOOKUP($A456,#REF!,24,FALSE),"")</f>
        <v/>
      </c>
      <c r="X456" s="1063" t="str">
        <f>IFERROR(VLOOKUP($A456,#REF!,41,FALSE),"")</f>
        <v/>
      </c>
      <c r="Y456" s="1063" t="str">
        <f>IFERROR(VLOOKUP($A456,#REF!,42,FALSE),"")</f>
        <v/>
      </c>
      <c r="Z456" s="1063" t="str">
        <f>IFERROR(VLOOKUP($A456,#REF!,45,FALSE),"")</f>
        <v/>
      </c>
      <c r="AA456" s="1071">
        <v>2017</v>
      </c>
      <c r="AB456" s="1072">
        <v>20</v>
      </c>
      <c r="AC456" s="1073" t="s">
        <v>303</v>
      </c>
      <c r="AD456" s="1073" t="s">
        <v>3656</v>
      </c>
      <c r="AE456" s="1074" t="s">
        <v>307</v>
      </c>
      <c r="AF456" s="1074" t="s">
        <v>113</v>
      </c>
      <c r="AG456" s="968" t="s">
        <v>3981</v>
      </c>
      <c r="AH456" s="968" t="s">
        <v>3977</v>
      </c>
      <c r="AI456" s="1071">
        <v>16</v>
      </c>
      <c r="AJ456" s="1075" t="s">
        <v>3985</v>
      </c>
      <c r="AK456" s="765"/>
      <c r="AL456" s="766"/>
      <c r="AM456" s="765"/>
      <c r="AN456" s="766"/>
      <c r="AO456" s="777"/>
      <c r="AP456" s="778"/>
      <c r="AQ456" s="1076"/>
      <c r="AR456" s="968"/>
      <c r="AS456" s="968"/>
      <c r="AT456" s="968"/>
      <c r="AU456" s="968"/>
      <c r="AV456" s="968"/>
      <c r="AW456" s="968"/>
    </row>
    <row r="457" spans="1:49" s="1077" customFormat="1">
      <c r="A457" s="968"/>
      <c r="B457" s="968"/>
      <c r="C457" s="968"/>
      <c r="D457" s="968"/>
      <c r="E457" s="968"/>
      <c r="F457" s="1069" t="str">
        <f>IFERROR(VLOOKUP($A457,#REF!,3,FALSE),"")</f>
        <v/>
      </c>
      <c r="G457" s="1056" t="str">
        <f>IFERROR(VLOOKUP($A457,#REF!,4,FALSE),"")</f>
        <v/>
      </c>
      <c r="H457" s="1056" t="str">
        <f>IFERROR(VLOOKUP($A457,#REF!,5,FALSE),"")</f>
        <v/>
      </c>
      <c r="I457" s="1056" t="str">
        <f>IFERROR(VLOOKUP($A457,#REF!,6,FALSE),"")</f>
        <v/>
      </c>
      <c r="J457" s="1056" t="str">
        <f>IFERROR(VLOOKUP($A457,#REF!,7,FALSE),"")</f>
        <v/>
      </c>
      <c r="K457" s="1056" t="str">
        <f>IFERROR(VLOOKUP($A457,#REF!,8,FALSE),"")</f>
        <v/>
      </c>
      <c r="L457" s="1063" t="str">
        <f>IFERROR(VLOOKUP($A457,#REF!,9,FALSE),"")</f>
        <v/>
      </c>
      <c r="M457" s="1070" t="str">
        <f>IFERROR(VLOOKUP($A457,#REF!,10,FALSE),"")</f>
        <v/>
      </c>
      <c r="N457" s="1063" t="str">
        <f>IFERROR(VLOOKUP($A457,#REF!,12,FALSE),"")</f>
        <v/>
      </c>
      <c r="O457" s="1056" t="str">
        <f>IFERROR(VLOOKUP($A457,#REF!,13,FALSE),"")</f>
        <v/>
      </c>
      <c r="P457" s="1056" t="str">
        <f>IFERROR(VLOOKUP($A457,#REF!,14,FALSE),"")</f>
        <v/>
      </c>
      <c r="Q457" s="1056" t="str">
        <f>IFERROR(VLOOKUP($A457,#REF!,16,FALSE),"")</f>
        <v/>
      </c>
      <c r="R457" s="1056" t="str">
        <f>IFERROR(VLOOKUP($A457,#REF!,17,FALSE),"")</f>
        <v/>
      </c>
      <c r="S457" s="1063" t="str">
        <f>IFERROR(VLOOKUP($A457,#REF!,20,FALSE),"")</f>
        <v/>
      </c>
      <c r="T457" s="1063" t="str">
        <f>IFERROR(VLOOKUP($A457,#REF!,21,FALSE),"")</f>
        <v/>
      </c>
      <c r="U457" s="1063" t="str">
        <f>IFERROR(VLOOKUP($A457,#REF!,22,FALSE),"")</f>
        <v/>
      </c>
      <c r="V457" s="1063" t="str">
        <f>IFERROR(VLOOKUP($A457,#REF!,23,FALSE),"")</f>
        <v/>
      </c>
      <c r="W457" s="1063" t="str">
        <f>IFERROR(VLOOKUP($A457,#REF!,24,FALSE),"")</f>
        <v/>
      </c>
      <c r="X457" s="1063" t="str">
        <f>IFERROR(VLOOKUP($A457,#REF!,41,FALSE),"")</f>
        <v/>
      </c>
      <c r="Y457" s="1063" t="str">
        <f>IFERROR(VLOOKUP($A457,#REF!,42,FALSE),"")</f>
        <v/>
      </c>
      <c r="Z457" s="1063" t="str">
        <f>IFERROR(VLOOKUP($A457,#REF!,45,FALSE),"")</f>
        <v/>
      </c>
      <c r="AA457" s="1071"/>
      <c r="AB457" s="1072"/>
      <c r="AC457" s="1073"/>
      <c r="AD457" s="1073"/>
      <c r="AE457" s="1071"/>
      <c r="AF457" s="1071"/>
      <c r="AG457" s="968"/>
      <c r="AH457" s="968"/>
      <c r="AI457" s="1071"/>
      <c r="AJ457" s="1075"/>
      <c r="AK457" s="765"/>
      <c r="AL457" s="766"/>
      <c r="AM457" s="765"/>
      <c r="AN457" s="766"/>
      <c r="AO457" s="777"/>
      <c r="AP457" s="778"/>
      <c r="AQ457" s="1076"/>
      <c r="AR457" s="968"/>
      <c r="AS457" s="968"/>
      <c r="AT457" s="968"/>
      <c r="AU457" s="968"/>
      <c r="AV457" s="968"/>
      <c r="AW457" s="968"/>
    </row>
    <row r="458" spans="1:49" s="1077" customFormat="1">
      <c r="A458" s="968" t="s">
        <v>136</v>
      </c>
      <c r="B458" s="968" t="s">
        <v>3714</v>
      </c>
      <c r="C458" s="968"/>
      <c r="D458" s="968" t="s">
        <v>136</v>
      </c>
      <c r="E458" s="968" t="s">
        <v>136</v>
      </c>
      <c r="F458" s="1069" t="str">
        <f>IFERROR(VLOOKUP($A458,#REF!,3,FALSE),"")</f>
        <v/>
      </c>
      <c r="G458" s="1056" t="str">
        <f>IFERROR(VLOOKUP($A458,#REF!,4,FALSE),"")</f>
        <v/>
      </c>
      <c r="H458" s="1056" t="str">
        <f>IFERROR(VLOOKUP($A458,#REF!,5,FALSE),"")</f>
        <v/>
      </c>
      <c r="I458" s="1056" t="str">
        <f>IFERROR(VLOOKUP($A458,#REF!,6,FALSE),"")</f>
        <v/>
      </c>
      <c r="J458" s="1056" t="str">
        <f>IFERROR(VLOOKUP($A458,#REF!,7,FALSE),"")</f>
        <v/>
      </c>
      <c r="K458" s="1056" t="str">
        <f>IFERROR(VLOOKUP($A458,#REF!,8,FALSE),"")</f>
        <v/>
      </c>
      <c r="L458" s="1063" t="str">
        <f>IFERROR(VLOOKUP($A458,#REF!,9,FALSE),"")</f>
        <v/>
      </c>
      <c r="M458" s="1070" t="str">
        <f>IFERROR(VLOOKUP($A458,#REF!,10,FALSE),"")</f>
        <v/>
      </c>
      <c r="N458" s="1063" t="str">
        <f>IFERROR(VLOOKUP($A458,#REF!,12,FALSE),"")</f>
        <v/>
      </c>
      <c r="O458" s="1056" t="str">
        <f>IFERROR(VLOOKUP($A458,#REF!,13,FALSE),"")</f>
        <v/>
      </c>
      <c r="P458" s="1056" t="str">
        <f>IFERROR(VLOOKUP($A458,#REF!,14,FALSE),"")</f>
        <v/>
      </c>
      <c r="Q458" s="1056" t="str">
        <f>IFERROR(VLOOKUP($A458,#REF!,16,FALSE),"")</f>
        <v/>
      </c>
      <c r="R458" s="1056" t="str">
        <f>IFERROR(VLOOKUP($A458,#REF!,17,FALSE),"")</f>
        <v/>
      </c>
      <c r="S458" s="1063" t="str">
        <f>IFERROR(VLOOKUP($A458,#REF!,20,FALSE),"")</f>
        <v/>
      </c>
      <c r="T458" s="1063" t="str">
        <f>IFERROR(VLOOKUP($A458,#REF!,21,FALSE),"")</f>
        <v/>
      </c>
      <c r="U458" s="1063" t="str">
        <f>IFERROR(VLOOKUP($A458,#REF!,22,FALSE),"")</f>
        <v/>
      </c>
      <c r="V458" s="1063" t="str">
        <f>IFERROR(VLOOKUP($A458,#REF!,23,FALSE),"")</f>
        <v/>
      </c>
      <c r="W458" s="1063" t="str">
        <f>IFERROR(VLOOKUP($A458,#REF!,24,FALSE),"")</f>
        <v/>
      </c>
      <c r="X458" s="1063" t="str">
        <f>IFERROR(VLOOKUP($A458,#REF!,41,FALSE),"")</f>
        <v/>
      </c>
      <c r="Y458" s="1063" t="str">
        <f>IFERROR(VLOOKUP($A458,#REF!,42,FALSE),"")</f>
        <v/>
      </c>
      <c r="Z458" s="1063" t="str">
        <f>IFERROR(VLOOKUP($A458,#REF!,45,FALSE),"")</f>
        <v/>
      </c>
      <c r="AA458" s="1071">
        <v>2017</v>
      </c>
      <c r="AB458" s="1072">
        <v>9</v>
      </c>
      <c r="AC458" s="1074" t="s">
        <v>303</v>
      </c>
      <c r="AD458" s="1074" t="s">
        <v>4148</v>
      </c>
      <c r="AE458" s="1074" t="s">
        <v>307</v>
      </c>
      <c r="AF458" s="1074" t="s">
        <v>113</v>
      </c>
      <c r="AG458" s="968" t="s">
        <v>3962</v>
      </c>
      <c r="AH458" s="968" t="s">
        <v>3963</v>
      </c>
      <c r="AI458" s="1071">
        <v>2</v>
      </c>
      <c r="AJ458" s="1075" t="s">
        <v>3964</v>
      </c>
      <c r="AK458" s="765">
        <v>260000</v>
      </c>
      <c r="AL458" s="766">
        <v>133</v>
      </c>
      <c r="AM458" s="765">
        <v>260001</v>
      </c>
      <c r="AN458" s="766">
        <v>134</v>
      </c>
      <c r="AO458" s="777">
        <f t="shared" ref="AO458:AO495" si="105">AM458+1</f>
        <v>260002</v>
      </c>
      <c r="AP458" s="778">
        <f t="shared" ref="AP458:AP504" si="106">AN458+1</f>
        <v>135</v>
      </c>
      <c r="AQ458" s="1076"/>
      <c r="AR458" s="968"/>
      <c r="AS458" s="968"/>
      <c r="AT458" s="968"/>
      <c r="AU458" s="968"/>
      <c r="AV458" s="968"/>
      <c r="AW458" s="968"/>
    </row>
    <row r="459" spans="1:49" s="1077" customFormat="1">
      <c r="A459" s="968" t="s">
        <v>136</v>
      </c>
      <c r="B459" s="968" t="s">
        <v>3714</v>
      </c>
      <c r="C459" s="968"/>
      <c r="D459" s="968" t="s">
        <v>136</v>
      </c>
      <c r="E459" s="968" t="s">
        <v>136</v>
      </c>
      <c r="F459" s="1069" t="str">
        <f>IFERROR(VLOOKUP($A459,#REF!,3,FALSE),"")</f>
        <v/>
      </c>
      <c r="G459" s="1056" t="str">
        <f>IFERROR(VLOOKUP($A459,#REF!,4,FALSE),"")</f>
        <v/>
      </c>
      <c r="H459" s="1056" t="str">
        <f>IFERROR(VLOOKUP($A459,#REF!,5,FALSE),"")</f>
        <v/>
      </c>
      <c r="I459" s="1056" t="str">
        <f>IFERROR(VLOOKUP($A459,#REF!,6,FALSE),"")</f>
        <v/>
      </c>
      <c r="J459" s="1056" t="str">
        <f>IFERROR(VLOOKUP($A459,#REF!,7,FALSE),"")</f>
        <v/>
      </c>
      <c r="K459" s="1056" t="str">
        <f>IFERROR(VLOOKUP($A459,#REF!,8,FALSE),"")</f>
        <v/>
      </c>
      <c r="L459" s="1063" t="str">
        <f>IFERROR(VLOOKUP($A459,#REF!,9,FALSE),"")</f>
        <v/>
      </c>
      <c r="M459" s="1070" t="str">
        <f>IFERROR(VLOOKUP($A459,#REF!,10,FALSE),"")</f>
        <v/>
      </c>
      <c r="N459" s="1063" t="str">
        <f>IFERROR(VLOOKUP($A459,#REF!,12,FALSE),"")</f>
        <v/>
      </c>
      <c r="O459" s="1056" t="str">
        <f>IFERROR(VLOOKUP($A459,#REF!,13,FALSE),"")</f>
        <v/>
      </c>
      <c r="P459" s="1056" t="str">
        <f>IFERROR(VLOOKUP($A459,#REF!,14,FALSE),"")</f>
        <v/>
      </c>
      <c r="Q459" s="1056" t="str">
        <f>IFERROR(VLOOKUP($A459,#REF!,16,FALSE),"")</f>
        <v/>
      </c>
      <c r="R459" s="1056" t="str">
        <f>IFERROR(VLOOKUP($A459,#REF!,17,FALSE),"")</f>
        <v/>
      </c>
      <c r="S459" s="1063" t="str">
        <f>IFERROR(VLOOKUP($A459,#REF!,20,FALSE),"")</f>
        <v/>
      </c>
      <c r="T459" s="1063" t="str">
        <f>IFERROR(VLOOKUP($A459,#REF!,21,FALSE),"")</f>
        <v/>
      </c>
      <c r="U459" s="1063" t="str">
        <f>IFERROR(VLOOKUP($A459,#REF!,22,FALSE),"")</f>
        <v/>
      </c>
      <c r="V459" s="1063" t="str">
        <f>IFERROR(VLOOKUP($A459,#REF!,23,FALSE),"")</f>
        <v/>
      </c>
      <c r="W459" s="1063" t="str">
        <f>IFERROR(VLOOKUP($A459,#REF!,24,FALSE),"")</f>
        <v/>
      </c>
      <c r="X459" s="1063" t="str">
        <f>IFERROR(VLOOKUP($A459,#REF!,41,FALSE),"")</f>
        <v/>
      </c>
      <c r="Y459" s="1063" t="str">
        <f>IFERROR(VLOOKUP($A459,#REF!,42,FALSE),"")</f>
        <v/>
      </c>
      <c r="Z459" s="1063" t="str">
        <f>IFERROR(VLOOKUP($A459,#REF!,45,FALSE),"")</f>
        <v/>
      </c>
      <c r="AA459" s="1071">
        <v>2017</v>
      </c>
      <c r="AB459" s="1072">
        <v>9</v>
      </c>
      <c r="AC459" s="1074" t="s">
        <v>303</v>
      </c>
      <c r="AD459" s="1074" t="s">
        <v>4148</v>
      </c>
      <c r="AE459" s="1074" t="s">
        <v>307</v>
      </c>
      <c r="AF459" s="1074" t="s">
        <v>113</v>
      </c>
      <c r="AG459" s="968" t="s">
        <v>3972</v>
      </c>
      <c r="AH459" s="968" t="s">
        <v>3973</v>
      </c>
      <c r="AI459" s="1071">
        <v>7</v>
      </c>
      <c r="AJ459" s="1075" t="s">
        <v>4001</v>
      </c>
      <c r="AK459" s="765">
        <v>909678</v>
      </c>
      <c r="AL459" s="766">
        <v>70</v>
      </c>
      <c r="AM459" s="765">
        <v>909678</v>
      </c>
      <c r="AN459" s="766">
        <v>71</v>
      </c>
      <c r="AO459" s="777">
        <f>AM459</f>
        <v>909678</v>
      </c>
      <c r="AP459" s="778">
        <f t="shared" si="106"/>
        <v>72</v>
      </c>
      <c r="AQ459" s="1076"/>
      <c r="AR459" s="968"/>
      <c r="AS459" s="968"/>
      <c r="AT459" s="968"/>
      <c r="AU459" s="968"/>
      <c r="AV459" s="968"/>
      <c r="AW459" s="968"/>
    </row>
    <row r="460" spans="1:49" s="1077" customFormat="1">
      <c r="A460" s="968" t="s">
        <v>136</v>
      </c>
      <c r="B460" s="968" t="s">
        <v>3714</v>
      </c>
      <c r="C460" s="968"/>
      <c r="D460" s="968" t="s">
        <v>136</v>
      </c>
      <c r="E460" s="968" t="s">
        <v>136</v>
      </c>
      <c r="F460" s="1069" t="str">
        <f>IFERROR(VLOOKUP($A460,#REF!,3,FALSE),"")</f>
        <v/>
      </c>
      <c r="G460" s="1056" t="str">
        <f>IFERROR(VLOOKUP($A460,#REF!,4,FALSE),"")</f>
        <v/>
      </c>
      <c r="H460" s="1056" t="str">
        <f>IFERROR(VLOOKUP($A460,#REF!,5,FALSE),"")</f>
        <v/>
      </c>
      <c r="I460" s="1056" t="str">
        <f>IFERROR(VLOOKUP($A460,#REF!,6,FALSE),"")</f>
        <v/>
      </c>
      <c r="J460" s="1056" t="str">
        <f>IFERROR(VLOOKUP($A460,#REF!,7,FALSE),"")</f>
        <v/>
      </c>
      <c r="K460" s="1056" t="str">
        <f>IFERROR(VLOOKUP($A460,#REF!,8,FALSE),"")</f>
        <v/>
      </c>
      <c r="L460" s="1063" t="str">
        <f>IFERROR(VLOOKUP($A460,#REF!,9,FALSE),"")</f>
        <v/>
      </c>
      <c r="M460" s="1070" t="str">
        <f>IFERROR(VLOOKUP($A460,#REF!,10,FALSE),"")</f>
        <v/>
      </c>
      <c r="N460" s="1063" t="str">
        <f>IFERROR(VLOOKUP($A460,#REF!,12,FALSE),"")</f>
        <v/>
      </c>
      <c r="O460" s="1056" t="str">
        <f>IFERROR(VLOOKUP($A460,#REF!,13,FALSE),"")</f>
        <v/>
      </c>
      <c r="P460" s="1056" t="str">
        <f>IFERROR(VLOOKUP($A460,#REF!,14,FALSE),"")</f>
        <v/>
      </c>
      <c r="Q460" s="1056" t="str">
        <f>IFERROR(VLOOKUP($A460,#REF!,16,FALSE),"")</f>
        <v/>
      </c>
      <c r="R460" s="1056" t="str">
        <f>IFERROR(VLOOKUP($A460,#REF!,17,FALSE),"")</f>
        <v/>
      </c>
      <c r="S460" s="1063" t="str">
        <f>IFERROR(VLOOKUP($A460,#REF!,20,FALSE),"")</f>
        <v/>
      </c>
      <c r="T460" s="1063" t="str">
        <f>IFERROR(VLOOKUP($A460,#REF!,21,FALSE),"")</f>
        <v/>
      </c>
      <c r="U460" s="1063" t="str">
        <f>IFERROR(VLOOKUP($A460,#REF!,22,FALSE),"")</f>
        <v/>
      </c>
      <c r="V460" s="1063" t="str">
        <f>IFERROR(VLOOKUP($A460,#REF!,23,FALSE),"")</f>
        <v/>
      </c>
      <c r="W460" s="1063" t="str">
        <f>IFERROR(VLOOKUP($A460,#REF!,24,FALSE),"")</f>
        <v/>
      </c>
      <c r="X460" s="1063" t="str">
        <f>IFERROR(VLOOKUP($A460,#REF!,41,FALSE),"")</f>
        <v/>
      </c>
      <c r="Y460" s="1063" t="str">
        <f>IFERROR(VLOOKUP($A460,#REF!,42,FALSE),"")</f>
        <v/>
      </c>
      <c r="Z460" s="1063" t="str">
        <f>IFERROR(VLOOKUP($A460,#REF!,45,FALSE),"")</f>
        <v/>
      </c>
      <c r="AA460" s="1071">
        <v>2017</v>
      </c>
      <c r="AB460" s="1072">
        <v>9</v>
      </c>
      <c r="AC460" s="1074" t="s">
        <v>303</v>
      </c>
      <c r="AD460" s="1074" t="s">
        <v>4148</v>
      </c>
      <c r="AE460" s="1074" t="s">
        <v>307</v>
      </c>
      <c r="AF460" s="1074" t="s">
        <v>113</v>
      </c>
      <c r="AG460" s="968" t="s">
        <v>3972</v>
      </c>
      <c r="AH460" s="968" t="s">
        <v>3977</v>
      </c>
      <c r="AI460" s="1071">
        <v>13</v>
      </c>
      <c r="AJ460" s="1075" t="s">
        <v>4004</v>
      </c>
      <c r="AK460" s="765"/>
      <c r="AL460" s="766"/>
      <c r="AM460" s="765"/>
      <c r="AN460" s="766"/>
      <c r="AO460" s="777"/>
      <c r="AP460" s="778"/>
      <c r="AQ460" s="1076"/>
      <c r="AR460" s="968"/>
      <c r="AS460" s="968"/>
      <c r="AT460" s="968"/>
      <c r="AU460" s="968"/>
      <c r="AV460" s="968"/>
      <c r="AW460" s="968"/>
    </row>
    <row r="461" spans="1:49" s="1077" customFormat="1">
      <c r="A461" s="968"/>
      <c r="B461" s="968"/>
      <c r="C461" s="968"/>
      <c r="D461" s="968"/>
      <c r="E461" s="968"/>
      <c r="F461" s="1069" t="str">
        <f>IFERROR(VLOOKUP($A461,#REF!,3,FALSE),"")</f>
        <v/>
      </c>
      <c r="G461" s="1056" t="str">
        <f>IFERROR(VLOOKUP($A461,#REF!,4,FALSE),"")</f>
        <v/>
      </c>
      <c r="H461" s="1056" t="str">
        <f>IFERROR(VLOOKUP($A461,#REF!,5,FALSE),"")</f>
        <v/>
      </c>
      <c r="I461" s="1056" t="str">
        <f>IFERROR(VLOOKUP($A461,#REF!,6,FALSE),"")</f>
        <v/>
      </c>
      <c r="J461" s="1056" t="str">
        <f>IFERROR(VLOOKUP($A461,#REF!,7,FALSE),"")</f>
        <v/>
      </c>
      <c r="K461" s="1056" t="str">
        <f>IFERROR(VLOOKUP($A461,#REF!,8,FALSE),"")</f>
        <v/>
      </c>
      <c r="L461" s="1063" t="str">
        <f>IFERROR(VLOOKUP($A461,#REF!,9,FALSE),"")</f>
        <v/>
      </c>
      <c r="M461" s="1070" t="str">
        <f>IFERROR(VLOOKUP($A461,#REF!,10,FALSE),"")</f>
        <v/>
      </c>
      <c r="N461" s="1063" t="str">
        <f>IFERROR(VLOOKUP($A461,#REF!,12,FALSE),"")</f>
        <v/>
      </c>
      <c r="O461" s="1056" t="str">
        <f>IFERROR(VLOOKUP($A461,#REF!,13,FALSE),"")</f>
        <v/>
      </c>
      <c r="P461" s="1056" t="str">
        <f>IFERROR(VLOOKUP($A461,#REF!,14,FALSE),"")</f>
        <v/>
      </c>
      <c r="Q461" s="1056" t="str">
        <f>IFERROR(VLOOKUP($A461,#REF!,16,FALSE),"")</f>
        <v/>
      </c>
      <c r="R461" s="1056" t="str">
        <f>IFERROR(VLOOKUP($A461,#REF!,17,FALSE),"")</f>
        <v/>
      </c>
      <c r="S461" s="1063" t="str">
        <f>IFERROR(VLOOKUP($A461,#REF!,20,FALSE),"")</f>
        <v/>
      </c>
      <c r="T461" s="1063" t="str">
        <f>IFERROR(VLOOKUP($A461,#REF!,21,FALSE),"")</f>
        <v/>
      </c>
      <c r="U461" s="1063" t="str">
        <f>IFERROR(VLOOKUP($A461,#REF!,22,FALSE),"")</f>
        <v/>
      </c>
      <c r="V461" s="1063" t="str">
        <f>IFERROR(VLOOKUP($A461,#REF!,23,FALSE),"")</f>
        <v/>
      </c>
      <c r="W461" s="1063" t="str">
        <f>IFERROR(VLOOKUP($A461,#REF!,24,FALSE),"")</f>
        <v/>
      </c>
      <c r="X461" s="1063" t="str">
        <f>IFERROR(VLOOKUP($A461,#REF!,41,FALSE),"")</f>
        <v/>
      </c>
      <c r="Y461" s="1063" t="str">
        <f>IFERROR(VLOOKUP($A461,#REF!,42,FALSE),"")</f>
        <v/>
      </c>
      <c r="Z461" s="1063" t="str">
        <f>IFERROR(VLOOKUP($A461,#REF!,45,FALSE),"")</f>
        <v/>
      </c>
      <c r="AA461" s="1071"/>
      <c r="AB461" s="1072"/>
      <c r="AC461" s="1073"/>
      <c r="AD461" s="1073"/>
      <c r="AE461" s="1071"/>
      <c r="AF461" s="1071"/>
      <c r="AG461" s="968"/>
      <c r="AH461" s="968"/>
      <c r="AI461" s="1071"/>
      <c r="AJ461" s="1075"/>
      <c r="AK461" s="765"/>
      <c r="AL461" s="766"/>
      <c r="AM461" s="765"/>
      <c r="AN461" s="766"/>
      <c r="AO461" s="777"/>
      <c r="AP461" s="778"/>
      <c r="AQ461" s="1076"/>
      <c r="AR461" s="968"/>
      <c r="AS461" s="968"/>
      <c r="AT461" s="968"/>
      <c r="AU461" s="968"/>
      <c r="AV461" s="968"/>
      <c r="AW461" s="968"/>
    </row>
    <row r="462" spans="1:49" s="1077" customFormat="1">
      <c r="A462" s="968" t="s">
        <v>141</v>
      </c>
      <c r="B462" s="968" t="s">
        <v>141</v>
      </c>
      <c r="C462" s="968"/>
      <c r="D462" s="968" t="s">
        <v>141</v>
      </c>
      <c r="E462" s="968" t="s">
        <v>141</v>
      </c>
      <c r="F462" s="1069" t="str">
        <f>IFERROR(VLOOKUP($A462,#REF!,3,FALSE),"")</f>
        <v/>
      </c>
      <c r="G462" s="1056" t="str">
        <f>IFERROR(VLOOKUP($A462,#REF!,4,FALSE),"")</f>
        <v/>
      </c>
      <c r="H462" s="1056" t="str">
        <f>IFERROR(VLOOKUP($A462,#REF!,5,FALSE),"")</f>
        <v/>
      </c>
      <c r="I462" s="1056" t="str">
        <f>IFERROR(VLOOKUP($A462,#REF!,6,FALSE),"")</f>
        <v/>
      </c>
      <c r="J462" s="1056" t="str">
        <f>IFERROR(VLOOKUP($A462,#REF!,7,FALSE),"")</f>
        <v/>
      </c>
      <c r="K462" s="1056" t="str">
        <f>IFERROR(VLOOKUP($A462,#REF!,8,FALSE),"")</f>
        <v/>
      </c>
      <c r="L462" s="1063" t="str">
        <f>IFERROR(VLOOKUP($A462,#REF!,9,FALSE),"")</f>
        <v/>
      </c>
      <c r="M462" s="1070" t="str">
        <f>IFERROR(VLOOKUP($A462,#REF!,10,FALSE),"")</f>
        <v/>
      </c>
      <c r="N462" s="1063" t="str">
        <f>IFERROR(VLOOKUP($A462,#REF!,12,FALSE),"")</f>
        <v/>
      </c>
      <c r="O462" s="1056" t="str">
        <f>IFERROR(VLOOKUP($A462,#REF!,13,FALSE),"")</f>
        <v/>
      </c>
      <c r="P462" s="1056" t="str">
        <f>IFERROR(VLOOKUP($A462,#REF!,14,FALSE),"")</f>
        <v/>
      </c>
      <c r="Q462" s="1056" t="str">
        <f>IFERROR(VLOOKUP($A462,#REF!,16,FALSE),"")</f>
        <v/>
      </c>
      <c r="R462" s="1056" t="str">
        <f>IFERROR(VLOOKUP($A462,#REF!,17,FALSE),"")</f>
        <v/>
      </c>
      <c r="S462" s="1063" t="str">
        <f>IFERROR(VLOOKUP($A462,#REF!,20,FALSE),"")</f>
        <v/>
      </c>
      <c r="T462" s="1063" t="str">
        <f>IFERROR(VLOOKUP($A462,#REF!,21,FALSE),"")</f>
        <v/>
      </c>
      <c r="U462" s="1063" t="str">
        <f>IFERROR(VLOOKUP($A462,#REF!,22,FALSE),"")</f>
        <v/>
      </c>
      <c r="V462" s="1063" t="str">
        <f>IFERROR(VLOOKUP($A462,#REF!,23,FALSE),"")</f>
        <v/>
      </c>
      <c r="W462" s="1063" t="str">
        <f>IFERROR(VLOOKUP($A462,#REF!,24,FALSE),"")</f>
        <v/>
      </c>
      <c r="X462" s="1063" t="str">
        <f>IFERROR(VLOOKUP($A462,#REF!,41,FALSE),"")</f>
        <v/>
      </c>
      <c r="Y462" s="1063" t="str">
        <f>IFERROR(VLOOKUP($A462,#REF!,42,FALSE),"")</f>
        <v/>
      </c>
      <c r="Z462" s="1063" t="str">
        <f>IFERROR(VLOOKUP($A462,#REF!,45,FALSE),"")</f>
        <v/>
      </c>
      <c r="AA462" s="1071">
        <v>2017</v>
      </c>
      <c r="AB462" s="1072">
        <v>16</v>
      </c>
      <c r="AC462" s="1073" t="s">
        <v>303</v>
      </c>
      <c r="AD462" s="1073" t="s">
        <v>3648</v>
      </c>
      <c r="AE462" s="1074" t="s">
        <v>307</v>
      </c>
      <c r="AF462" s="1074" t="s">
        <v>113</v>
      </c>
      <c r="AG462" s="968" t="s">
        <v>3962</v>
      </c>
      <c r="AH462" s="968" t="s">
        <v>3963</v>
      </c>
      <c r="AI462" s="1071">
        <v>2</v>
      </c>
      <c r="AJ462" s="1075" t="s">
        <v>3964</v>
      </c>
      <c r="AK462" s="765">
        <v>260024</v>
      </c>
      <c r="AL462" s="766">
        <v>46</v>
      </c>
      <c r="AM462" s="765">
        <v>260025</v>
      </c>
      <c r="AN462" s="766">
        <v>47</v>
      </c>
      <c r="AO462" s="777">
        <f t="shared" si="105"/>
        <v>260026</v>
      </c>
      <c r="AP462" s="778">
        <f t="shared" si="106"/>
        <v>48</v>
      </c>
      <c r="AQ462" s="1076"/>
      <c r="AR462" s="968"/>
      <c r="AS462" s="968"/>
      <c r="AT462" s="968"/>
      <c r="AU462" s="968"/>
      <c r="AV462" s="968"/>
      <c r="AW462" s="968"/>
    </row>
    <row r="463" spans="1:49" s="1077" customFormat="1">
      <c r="A463" s="968" t="s">
        <v>141</v>
      </c>
      <c r="B463" s="968" t="s">
        <v>141</v>
      </c>
      <c r="C463" s="968"/>
      <c r="D463" s="968" t="s">
        <v>141</v>
      </c>
      <c r="E463" s="968" t="s">
        <v>141</v>
      </c>
      <c r="F463" s="1069" t="str">
        <f>IFERROR(VLOOKUP($A463,#REF!,3,FALSE),"")</f>
        <v/>
      </c>
      <c r="G463" s="1056" t="str">
        <f>IFERROR(VLOOKUP($A463,#REF!,4,FALSE),"")</f>
        <v/>
      </c>
      <c r="H463" s="1056" t="str">
        <f>IFERROR(VLOOKUP($A463,#REF!,5,FALSE),"")</f>
        <v/>
      </c>
      <c r="I463" s="1056" t="str">
        <f>IFERROR(VLOOKUP($A463,#REF!,6,FALSE),"")</f>
        <v/>
      </c>
      <c r="J463" s="1056" t="str">
        <f>IFERROR(VLOOKUP($A463,#REF!,7,FALSE),"")</f>
        <v/>
      </c>
      <c r="K463" s="1056" t="str">
        <f>IFERROR(VLOOKUP($A463,#REF!,8,FALSE),"")</f>
        <v/>
      </c>
      <c r="L463" s="1063" t="str">
        <f>IFERROR(VLOOKUP($A463,#REF!,9,FALSE),"")</f>
        <v/>
      </c>
      <c r="M463" s="1070" t="str">
        <f>IFERROR(VLOOKUP($A463,#REF!,10,FALSE),"")</f>
        <v/>
      </c>
      <c r="N463" s="1063" t="str">
        <f>IFERROR(VLOOKUP($A463,#REF!,12,FALSE),"")</f>
        <v/>
      </c>
      <c r="O463" s="1056" t="str">
        <f>IFERROR(VLOOKUP($A463,#REF!,13,FALSE),"")</f>
        <v/>
      </c>
      <c r="P463" s="1056" t="str">
        <f>IFERROR(VLOOKUP($A463,#REF!,14,FALSE),"")</f>
        <v/>
      </c>
      <c r="Q463" s="1056" t="str">
        <f>IFERROR(VLOOKUP($A463,#REF!,16,FALSE),"")</f>
        <v/>
      </c>
      <c r="R463" s="1056" t="str">
        <f>IFERROR(VLOOKUP($A463,#REF!,17,FALSE),"")</f>
        <v/>
      </c>
      <c r="S463" s="1063" t="str">
        <f>IFERROR(VLOOKUP($A463,#REF!,20,FALSE),"")</f>
        <v/>
      </c>
      <c r="T463" s="1063" t="str">
        <f>IFERROR(VLOOKUP($A463,#REF!,21,FALSE),"")</f>
        <v/>
      </c>
      <c r="U463" s="1063" t="str">
        <f>IFERROR(VLOOKUP($A463,#REF!,22,FALSE),"")</f>
        <v/>
      </c>
      <c r="V463" s="1063" t="str">
        <f>IFERROR(VLOOKUP($A463,#REF!,23,FALSE),"")</f>
        <v/>
      </c>
      <c r="W463" s="1063" t="str">
        <f>IFERROR(VLOOKUP($A463,#REF!,24,FALSE),"")</f>
        <v/>
      </c>
      <c r="X463" s="1063" t="str">
        <f>IFERROR(VLOOKUP($A463,#REF!,41,FALSE),"")</f>
        <v/>
      </c>
      <c r="Y463" s="1063" t="str">
        <f>IFERROR(VLOOKUP($A463,#REF!,42,FALSE),"")</f>
        <v/>
      </c>
      <c r="Z463" s="1063" t="str">
        <f>IFERROR(VLOOKUP($A463,#REF!,45,FALSE),"")</f>
        <v/>
      </c>
      <c r="AA463" s="1071">
        <v>2017</v>
      </c>
      <c r="AB463" s="1072">
        <v>16</v>
      </c>
      <c r="AC463" s="1073" t="s">
        <v>303</v>
      </c>
      <c r="AD463" s="1073" t="s">
        <v>3648</v>
      </c>
      <c r="AE463" s="1074" t="s">
        <v>307</v>
      </c>
      <c r="AF463" s="1074" t="s">
        <v>113</v>
      </c>
      <c r="AG463" s="968" t="s">
        <v>3972</v>
      </c>
      <c r="AH463" s="968" t="s">
        <v>3973</v>
      </c>
      <c r="AI463" s="1071">
        <v>7</v>
      </c>
      <c r="AJ463" s="1075" t="s">
        <v>4001</v>
      </c>
      <c r="AK463" s="765">
        <v>909678</v>
      </c>
      <c r="AL463" s="766">
        <v>97</v>
      </c>
      <c r="AM463" s="765">
        <v>909678</v>
      </c>
      <c r="AN463" s="766">
        <v>98</v>
      </c>
      <c r="AO463" s="777">
        <f>AM463</f>
        <v>909678</v>
      </c>
      <c r="AP463" s="778">
        <f t="shared" si="106"/>
        <v>99</v>
      </c>
      <c r="AQ463" s="1076"/>
      <c r="AR463" s="968"/>
      <c r="AS463" s="968"/>
      <c r="AT463" s="968"/>
      <c r="AU463" s="968"/>
      <c r="AV463" s="968"/>
      <c r="AW463" s="968"/>
    </row>
    <row r="464" spans="1:49" s="1077" customFormat="1">
      <c r="A464" s="968" t="s">
        <v>141</v>
      </c>
      <c r="B464" s="968" t="s">
        <v>141</v>
      </c>
      <c r="C464" s="968"/>
      <c r="D464" s="968" t="s">
        <v>141</v>
      </c>
      <c r="E464" s="968" t="s">
        <v>141</v>
      </c>
      <c r="F464" s="1069" t="str">
        <f>IFERROR(VLOOKUP($A464,#REF!,3,FALSE),"")</f>
        <v/>
      </c>
      <c r="G464" s="1056" t="str">
        <f>IFERROR(VLOOKUP($A464,#REF!,4,FALSE),"")</f>
        <v/>
      </c>
      <c r="H464" s="1056" t="str">
        <f>IFERROR(VLOOKUP($A464,#REF!,5,FALSE),"")</f>
        <v/>
      </c>
      <c r="I464" s="1056" t="str">
        <f>IFERROR(VLOOKUP($A464,#REF!,6,FALSE),"")</f>
        <v/>
      </c>
      <c r="J464" s="1056" t="str">
        <f>IFERROR(VLOOKUP($A464,#REF!,7,FALSE),"")</f>
        <v/>
      </c>
      <c r="K464" s="1056" t="str">
        <f>IFERROR(VLOOKUP($A464,#REF!,8,FALSE),"")</f>
        <v/>
      </c>
      <c r="L464" s="1063" t="str">
        <f>IFERROR(VLOOKUP($A464,#REF!,9,FALSE),"")</f>
        <v/>
      </c>
      <c r="M464" s="1070" t="str">
        <f>IFERROR(VLOOKUP($A464,#REF!,10,FALSE),"")</f>
        <v/>
      </c>
      <c r="N464" s="1063" t="str">
        <f>IFERROR(VLOOKUP($A464,#REF!,12,FALSE),"")</f>
        <v/>
      </c>
      <c r="O464" s="1056" t="str">
        <f>IFERROR(VLOOKUP($A464,#REF!,13,FALSE),"")</f>
        <v/>
      </c>
      <c r="P464" s="1056" t="str">
        <f>IFERROR(VLOOKUP($A464,#REF!,14,FALSE),"")</f>
        <v/>
      </c>
      <c r="Q464" s="1056" t="str">
        <f>IFERROR(VLOOKUP($A464,#REF!,16,FALSE),"")</f>
        <v/>
      </c>
      <c r="R464" s="1056" t="str">
        <f>IFERROR(VLOOKUP($A464,#REF!,17,FALSE),"")</f>
        <v/>
      </c>
      <c r="S464" s="1063" t="str">
        <f>IFERROR(VLOOKUP($A464,#REF!,20,FALSE),"")</f>
        <v/>
      </c>
      <c r="T464" s="1063" t="str">
        <f>IFERROR(VLOOKUP($A464,#REF!,21,FALSE),"")</f>
        <v/>
      </c>
      <c r="U464" s="1063" t="str">
        <f>IFERROR(VLOOKUP($A464,#REF!,22,FALSE),"")</f>
        <v/>
      </c>
      <c r="V464" s="1063" t="str">
        <f>IFERROR(VLOOKUP($A464,#REF!,23,FALSE),"")</f>
        <v/>
      </c>
      <c r="W464" s="1063" t="str">
        <f>IFERROR(VLOOKUP($A464,#REF!,24,FALSE),"")</f>
        <v/>
      </c>
      <c r="X464" s="1063" t="str">
        <f>IFERROR(VLOOKUP($A464,#REF!,41,FALSE),"")</f>
        <v/>
      </c>
      <c r="Y464" s="1063" t="str">
        <f>IFERROR(VLOOKUP($A464,#REF!,42,FALSE),"")</f>
        <v/>
      </c>
      <c r="Z464" s="1063" t="str">
        <f>IFERROR(VLOOKUP($A464,#REF!,45,FALSE),"")</f>
        <v/>
      </c>
      <c r="AA464" s="1071">
        <v>2017</v>
      </c>
      <c r="AB464" s="1072">
        <v>16</v>
      </c>
      <c r="AC464" s="1073" t="s">
        <v>303</v>
      </c>
      <c r="AD464" s="1073" t="s">
        <v>3648</v>
      </c>
      <c r="AE464" s="1074" t="s">
        <v>307</v>
      </c>
      <c r="AF464" s="1074" t="s">
        <v>113</v>
      </c>
      <c r="AG464" s="968" t="s">
        <v>3972</v>
      </c>
      <c r="AH464" s="968" t="s">
        <v>3977</v>
      </c>
      <c r="AI464" s="1071">
        <v>13</v>
      </c>
      <c r="AJ464" s="1075" t="s">
        <v>4004</v>
      </c>
      <c r="AK464" s="765"/>
      <c r="AL464" s="766"/>
      <c r="AM464" s="765"/>
      <c r="AN464" s="766"/>
      <c r="AO464" s="777"/>
      <c r="AP464" s="778"/>
      <c r="AQ464" s="1076"/>
      <c r="AR464" s="968"/>
      <c r="AS464" s="968"/>
      <c r="AT464" s="968"/>
      <c r="AU464" s="968"/>
      <c r="AV464" s="968"/>
      <c r="AW464" s="968"/>
    </row>
    <row r="465" spans="1:49" s="1077" customFormat="1">
      <c r="A465" s="968" t="s">
        <v>141</v>
      </c>
      <c r="B465" s="968" t="s">
        <v>141</v>
      </c>
      <c r="C465" s="968"/>
      <c r="D465" s="968" t="s">
        <v>141</v>
      </c>
      <c r="E465" s="968" t="s">
        <v>141</v>
      </c>
      <c r="F465" s="1069" t="str">
        <f>IFERROR(VLOOKUP($A465,#REF!,3,FALSE),"")</f>
        <v/>
      </c>
      <c r="G465" s="1056" t="str">
        <f>IFERROR(VLOOKUP($A465,#REF!,4,FALSE),"")</f>
        <v/>
      </c>
      <c r="H465" s="1056" t="str">
        <f>IFERROR(VLOOKUP($A465,#REF!,5,FALSE),"")</f>
        <v/>
      </c>
      <c r="I465" s="1056" t="str">
        <f>IFERROR(VLOOKUP($A465,#REF!,6,FALSE),"")</f>
        <v/>
      </c>
      <c r="J465" s="1056" t="str">
        <f>IFERROR(VLOOKUP($A465,#REF!,7,FALSE),"")</f>
        <v/>
      </c>
      <c r="K465" s="1056" t="str">
        <f>IFERROR(VLOOKUP($A465,#REF!,8,FALSE),"")</f>
        <v/>
      </c>
      <c r="L465" s="1063" t="str">
        <f>IFERROR(VLOOKUP($A465,#REF!,9,FALSE),"")</f>
        <v/>
      </c>
      <c r="M465" s="1070" t="str">
        <f>IFERROR(VLOOKUP($A465,#REF!,10,FALSE),"")</f>
        <v/>
      </c>
      <c r="N465" s="1063" t="str">
        <f>IFERROR(VLOOKUP($A465,#REF!,12,FALSE),"")</f>
        <v/>
      </c>
      <c r="O465" s="1056" t="str">
        <f>IFERROR(VLOOKUP($A465,#REF!,13,FALSE),"")</f>
        <v/>
      </c>
      <c r="P465" s="1056" t="str">
        <f>IFERROR(VLOOKUP($A465,#REF!,14,FALSE),"")</f>
        <v/>
      </c>
      <c r="Q465" s="1056" t="str">
        <f>IFERROR(VLOOKUP($A465,#REF!,16,FALSE),"")</f>
        <v/>
      </c>
      <c r="R465" s="1056" t="str">
        <f>IFERROR(VLOOKUP($A465,#REF!,17,FALSE),"")</f>
        <v/>
      </c>
      <c r="S465" s="1063" t="str">
        <f>IFERROR(VLOOKUP($A465,#REF!,20,FALSE),"")</f>
        <v/>
      </c>
      <c r="T465" s="1063" t="str">
        <f>IFERROR(VLOOKUP($A465,#REF!,21,FALSE),"")</f>
        <v/>
      </c>
      <c r="U465" s="1063" t="str">
        <f>IFERROR(VLOOKUP($A465,#REF!,22,FALSE),"")</f>
        <v/>
      </c>
      <c r="V465" s="1063" t="str">
        <f>IFERROR(VLOOKUP($A465,#REF!,23,FALSE),"")</f>
        <v/>
      </c>
      <c r="W465" s="1063" t="str">
        <f>IFERROR(VLOOKUP($A465,#REF!,24,FALSE),"")</f>
        <v/>
      </c>
      <c r="X465" s="1063" t="str">
        <f>IFERROR(VLOOKUP($A465,#REF!,41,FALSE),"")</f>
        <v/>
      </c>
      <c r="Y465" s="1063" t="str">
        <f>IFERROR(VLOOKUP($A465,#REF!,42,FALSE),"")</f>
        <v/>
      </c>
      <c r="Z465" s="1063" t="str">
        <f>IFERROR(VLOOKUP($A465,#REF!,45,FALSE),"")</f>
        <v/>
      </c>
      <c r="AA465" s="1071">
        <v>2017</v>
      </c>
      <c r="AB465" s="1072">
        <v>16</v>
      </c>
      <c r="AC465" s="1073" t="s">
        <v>303</v>
      </c>
      <c r="AD465" s="1073" t="s">
        <v>3648</v>
      </c>
      <c r="AE465" s="1074" t="s">
        <v>307</v>
      </c>
      <c r="AF465" s="1074" t="s">
        <v>113</v>
      </c>
      <c r="AG465" s="968" t="s">
        <v>3981</v>
      </c>
      <c r="AH465" s="968" t="s">
        <v>3973</v>
      </c>
      <c r="AI465" s="1071">
        <v>11</v>
      </c>
      <c r="AJ465" s="1075" t="s">
        <v>3982</v>
      </c>
      <c r="AK465" s="765">
        <v>909678</v>
      </c>
      <c r="AL465" s="766">
        <v>100</v>
      </c>
      <c r="AM465" s="765">
        <v>909678</v>
      </c>
      <c r="AN465" s="766">
        <v>101</v>
      </c>
      <c r="AO465" s="777">
        <f>AM465</f>
        <v>909678</v>
      </c>
      <c r="AP465" s="778">
        <f t="shared" si="106"/>
        <v>102</v>
      </c>
      <c r="AQ465" s="1076"/>
      <c r="AR465" s="968"/>
      <c r="AS465" s="968"/>
      <c r="AT465" s="968"/>
      <c r="AU465" s="968"/>
      <c r="AV465" s="968"/>
      <c r="AW465" s="968"/>
    </row>
    <row r="466" spans="1:49" s="1077" customFormat="1">
      <c r="A466" s="968" t="s">
        <v>141</v>
      </c>
      <c r="B466" s="968" t="s">
        <v>141</v>
      </c>
      <c r="C466" s="968"/>
      <c r="D466" s="968" t="s">
        <v>141</v>
      </c>
      <c r="E466" s="968" t="s">
        <v>141</v>
      </c>
      <c r="F466" s="1069" t="str">
        <f>IFERROR(VLOOKUP($A466,#REF!,3,FALSE),"")</f>
        <v/>
      </c>
      <c r="G466" s="1056" t="str">
        <f>IFERROR(VLOOKUP($A466,#REF!,4,FALSE),"")</f>
        <v/>
      </c>
      <c r="H466" s="1056" t="str">
        <f>IFERROR(VLOOKUP($A466,#REF!,5,FALSE),"")</f>
        <v/>
      </c>
      <c r="I466" s="1056" t="str">
        <f>IFERROR(VLOOKUP($A466,#REF!,6,FALSE),"")</f>
        <v/>
      </c>
      <c r="J466" s="1056" t="str">
        <f>IFERROR(VLOOKUP($A466,#REF!,7,FALSE),"")</f>
        <v/>
      </c>
      <c r="K466" s="1056" t="str">
        <f>IFERROR(VLOOKUP($A466,#REF!,8,FALSE),"")</f>
        <v/>
      </c>
      <c r="L466" s="1063" t="str">
        <f>IFERROR(VLOOKUP($A466,#REF!,9,FALSE),"")</f>
        <v/>
      </c>
      <c r="M466" s="1070" t="str">
        <f>IFERROR(VLOOKUP($A466,#REF!,10,FALSE),"")</f>
        <v/>
      </c>
      <c r="N466" s="1063" t="str">
        <f>IFERROR(VLOOKUP($A466,#REF!,12,FALSE),"")</f>
        <v/>
      </c>
      <c r="O466" s="1056" t="str">
        <f>IFERROR(VLOOKUP($A466,#REF!,13,FALSE),"")</f>
        <v/>
      </c>
      <c r="P466" s="1056" t="str">
        <f>IFERROR(VLOOKUP($A466,#REF!,14,FALSE),"")</f>
        <v/>
      </c>
      <c r="Q466" s="1056" t="str">
        <f>IFERROR(VLOOKUP($A466,#REF!,16,FALSE),"")</f>
        <v/>
      </c>
      <c r="R466" s="1056" t="str">
        <f>IFERROR(VLOOKUP($A466,#REF!,17,FALSE),"")</f>
        <v/>
      </c>
      <c r="S466" s="1063" t="str">
        <f>IFERROR(VLOOKUP($A466,#REF!,20,FALSE),"")</f>
        <v/>
      </c>
      <c r="T466" s="1063" t="str">
        <f>IFERROR(VLOOKUP($A466,#REF!,21,FALSE),"")</f>
        <v/>
      </c>
      <c r="U466" s="1063" t="str">
        <f>IFERROR(VLOOKUP($A466,#REF!,22,FALSE),"")</f>
        <v/>
      </c>
      <c r="V466" s="1063" t="str">
        <f>IFERROR(VLOOKUP($A466,#REF!,23,FALSE),"")</f>
        <v/>
      </c>
      <c r="W466" s="1063" t="str">
        <f>IFERROR(VLOOKUP($A466,#REF!,24,FALSE),"")</f>
        <v/>
      </c>
      <c r="X466" s="1063" t="str">
        <f>IFERROR(VLOOKUP($A466,#REF!,41,FALSE),"")</f>
        <v/>
      </c>
      <c r="Y466" s="1063" t="str">
        <f>IFERROR(VLOOKUP($A466,#REF!,42,FALSE),"")</f>
        <v/>
      </c>
      <c r="Z466" s="1063" t="str">
        <f>IFERROR(VLOOKUP($A466,#REF!,45,FALSE),"")</f>
        <v/>
      </c>
      <c r="AA466" s="1071">
        <v>2017</v>
      </c>
      <c r="AB466" s="1072">
        <v>16</v>
      </c>
      <c r="AC466" s="1073" t="s">
        <v>303</v>
      </c>
      <c r="AD466" s="1073" t="s">
        <v>3648</v>
      </c>
      <c r="AE466" s="1074" t="s">
        <v>307</v>
      </c>
      <c r="AF466" s="1074" t="s">
        <v>113</v>
      </c>
      <c r="AG466" s="968" t="s">
        <v>3981</v>
      </c>
      <c r="AH466" s="968" t="s">
        <v>3977</v>
      </c>
      <c r="AI466" s="1071">
        <v>16</v>
      </c>
      <c r="AJ466" s="1075" t="s">
        <v>3985</v>
      </c>
      <c r="AK466" s="765"/>
      <c r="AL466" s="766"/>
      <c r="AM466" s="765"/>
      <c r="AN466" s="766"/>
      <c r="AO466" s="777"/>
      <c r="AP466" s="778"/>
      <c r="AQ466" s="1076"/>
      <c r="AR466" s="968"/>
      <c r="AS466" s="968"/>
      <c r="AT466" s="968"/>
      <c r="AU466" s="968"/>
      <c r="AV466" s="968"/>
      <c r="AW466" s="968"/>
    </row>
    <row r="467" spans="1:49" s="1077" customFormat="1">
      <c r="A467" s="968"/>
      <c r="B467" s="968"/>
      <c r="C467" s="968"/>
      <c r="D467" s="968"/>
      <c r="E467" s="968"/>
      <c r="F467" s="1069" t="str">
        <f>IFERROR(VLOOKUP($A467,#REF!,3,FALSE),"")</f>
        <v/>
      </c>
      <c r="G467" s="1056" t="str">
        <f>IFERROR(VLOOKUP($A467,#REF!,4,FALSE),"")</f>
        <v/>
      </c>
      <c r="H467" s="1056" t="str">
        <f>IFERROR(VLOOKUP($A467,#REF!,5,FALSE),"")</f>
        <v/>
      </c>
      <c r="I467" s="1056" t="str">
        <f>IFERROR(VLOOKUP($A467,#REF!,6,FALSE),"")</f>
        <v/>
      </c>
      <c r="J467" s="1056" t="str">
        <f>IFERROR(VLOOKUP($A467,#REF!,7,FALSE),"")</f>
        <v/>
      </c>
      <c r="K467" s="1056" t="str">
        <f>IFERROR(VLOOKUP($A467,#REF!,8,FALSE),"")</f>
        <v/>
      </c>
      <c r="L467" s="1063" t="str">
        <f>IFERROR(VLOOKUP($A467,#REF!,9,FALSE),"")</f>
        <v/>
      </c>
      <c r="M467" s="1070" t="str">
        <f>IFERROR(VLOOKUP($A467,#REF!,10,FALSE),"")</f>
        <v/>
      </c>
      <c r="N467" s="1063" t="str">
        <f>IFERROR(VLOOKUP($A467,#REF!,12,FALSE),"")</f>
        <v/>
      </c>
      <c r="O467" s="1056" t="str">
        <f>IFERROR(VLOOKUP($A467,#REF!,13,FALSE),"")</f>
        <v/>
      </c>
      <c r="P467" s="1056" t="str">
        <f>IFERROR(VLOOKUP($A467,#REF!,14,FALSE),"")</f>
        <v/>
      </c>
      <c r="Q467" s="1056" t="str">
        <f>IFERROR(VLOOKUP($A467,#REF!,16,FALSE),"")</f>
        <v/>
      </c>
      <c r="R467" s="1056" t="str">
        <f>IFERROR(VLOOKUP($A467,#REF!,17,FALSE),"")</f>
        <v/>
      </c>
      <c r="S467" s="1063" t="str">
        <f>IFERROR(VLOOKUP($A467,#REF!,20,FALSE),"")</f>
        <v/>
      </c>
      <c r="T467" s="1063" t="str">
        <f>IFERROR(VLOOKUP($A467,#REF!,21,FALSE),"")</f>
        <v/>
      </c>
      <c r="U467" s="1063" t="str">
        <f>IFERROR(VLOOKUP($A467,#REF!,22,FALSE),"")</f>
        <v/>
      </c>
      <c r="V467" s="1063" t="str">
        <f>IFERROR(VLOOKUP($A467,#REF!,23,FALSE),"")</f>
        <v/>
      </c>
      <c r="W467" s="1063" t="str">
        <f>IFERROR(VLOOKUP($A467,#REF!,24,FALSE),"")</f>
        <v/>
      </c>
      <c r="X467" s="1063" t="str">
        <f>IFERROR(VLOOKUP($A467,#REF!,41,FALSE),"")</f>
        <v/>
      </c>
      <c r="Y467" s="1063" t="str">
        <f>IFERROR(VLOOKUP($A467,#REF!,42,FALSE),"")</f>
        <v/>
      </c>
      <c r="Z467" s="1063" t="str">
        <f>IFERROR(VLOOKUP($A467,#REF!,45,FALSE),"")</f>
        <v/>
      </c>
      <c r="AA467" s="1071"/>
      <c r="AB467" s="1072"/>
      <c r="AC467" s="1073"/>
      <c r="AD467" s="1073"/>
      <c r="AE467" s="1071"/>
      <c r="AF467" s="1071"/>
      <c r="AG467" s="968"/>
      <c r="AH467" s="968"/>
      <c r="AI467" s="1071"/>
      <c r="AJ467" s="1075"/>
      <c r="AK467" s="765"/>
      <c r="AL467" s="766"/>
      <c r="AM467" s="765"/>
      <c r="AN467" s="766"/>
      <c r="AO467" s="777"/>
      <c r="AP467" s="778"/>
      <c r="AQ467" s="1076"/>
      <c r="AR467" s="968"/>
      <c r="AS467" s="968"/>
      <c r="AT467" s="968"/>
      <c r="AU467" s="968"/>
      <c r="AV467" s="968"/>
      <c r="AW467" s="968"/>
    </row>
    <row r="468" spans="1:49" s="1077" customFormat="1">
      <c r="A468" s="968" t="s">
        <v>142</v>
      </c>
      <c r="B468" s="968" t="s">
        <v>142</v>
      </c>
      <c r="C468" s="968"/>
      <c r="D468" s="968"/>
      <c r="E468" s="968"/>
      <c r="F468" s="1069" t="str">
        <f>IFERROR(VLOOKUP($A468,#REF!,3,FALSE),"")</f>
        <v/>
      </c>
      <c r="G468" s="1056" t="str">
        <f>IFERROR(VLOOKUP($A468,#REF!,4,FALSE),"")</f>
        <v/>
      </c>
      <c r="H468" s="1056" t="str">
        <f>IFERROR(VLOOKUP($A468,#REF!,5,FALSE),"")</f>
        <v/>
      </c>
      <c r="I468" s="1056" t="str">
        <f>IFERROR(VLOOKUP($A468,#REF!,6,FALSE),"")</f>
        <v/>
      </c>
      <c r="J468" s="1056" t="str">
        <f>IFERROR(VLOOKUP($A468,#REF!,7,FALSE),"")</f>
        <v/>
      </c>
      <c r="K468" s="1056" t="str">
        <f>IFERROR(VLOOKUP($A468,#REF!,8,FALSE),"")</f>
        <v/>
      </c>
      <c r="L468" s="1063" t="str">
        <f>IFERROR(VLOOKUP($A468,#REF!,9,FALSE),"")</f>
        <v/>
      </c>
      <c r="M468" s="1070" t="str">
        <f>IFERROR(VLOOKUP($A468,#REF!,10,FALSE),"")</f>
        <v/>
      </c>
      <c r="N468" s="1063" t="str">
        <f>IFERROR(VLOOKUP($A468,#REF!,12,FALSE),"")</f>
        <v/>
      </c>
      <c r="O468" s="1056" t="str">
        <f>IFERROR(VLOOKUP($A468,#REF!,13,FALSE),"")</f>
        <v/>
      </c>
      <c r="P468" s="1056" t="str">
        <f>IFERROR(VLOOKUP($A468,#REF!,14,FALSE),"")</f>
        <v/>
      </c>
      <c r="Q468" s="1056" t="str">
        <f>IFERROR(VLOOKUP($A468,#REF!,16,FALSE),"")</f>
        <v/>
      </c>
      <c r="R468" s="1056" t="str">
        <f>IFERROR(VLOOKUP($A468,#REF!,17,FALSE),"")</f>
        <v/>
      </c>
      <c r="S468" s="1063" t="str">
        <f>IFERROR(VLOOKUP($A468,#REF!,20,FALSE),"")</f>
        <v/>
      </c>
      <c r="T468" s="1063" t="str">
        <f>IFERROR(VLOOKUP($A468,#REF!,21,FALSE),"")</f>
        <v/>
      </c>
      <c r="U468" s="1063" t="str">
        <f>IFERROR(VLOOKUP($A468,#REF!,22,FALSE),"")</f>
        <v/>
      </c>
      <c r="V468" s="1063" t="str">
        <f>IFERROR(VLOOKUP($A468,#REF!,23,FALSE),"")</f>
        <v/>
      </c>
      <c r="W468" s="1063" t="str">
        <f>IFERROR(VLOOKUP($A468,#REF!,24,FALSE),"")</f>
        <v/>
      </c>
      <c r="X468" s="1063" t="str">
        <f>IFERROR(VLOOKUP($A468,#REF!,41,FALSE),"")</f>
        <v/>
      </c>
      <c r="Y468" s="1063" t="str">
        <f>IFERROR(VLOOKUP($A468,#REF!,42,FALSE),"")</f>
        <v/>
      </c>
      <c r="Z468" s="1063" t="str">
        <f>IFERROR(VLOOKUP($A468,#REF!,45,FALSE),"")</f>
        <v/>
      </c>
      <c r="AA468" s="1071">
        <v>2017</v>
      </c>
      <c r="AB468" s="1072">
        <v>12</v>
      </c>
      <c r="AC468" s="1073" t="s">
        <v>317</v>
      </c>
      <c r="AD468" s="1073" t="s">
        <v>3656</v>
      </c>
      <c r="AE468" s="1074" t="s">
        <v>307</v>
      </c>
      <c r="AF468" s="1074" t="s">
        <v>113</v>
      </c>
      <c r="AG468" s="968" t="s">
        <v>3981</v>
      </c>
      <c r="AH468" s="968" t="s">
        <v>3973</v>
      </c>
      <c r="AI468" s="1071">
        <v>11</v>
      </c>
      <c r="AJ468" s="1075" t="s">
        <v>3982</v>
      </c>
      <c r="AK468" s="765">
        <v>909678</v>
      </c>
      <c r="AL468" s="766">
        <v>73</v>
      </c>
      <c r="AM468" s="765">
        <v>909678</v>
      </c>
      <c r="AN468" s="766">
        <v>74</v>
      </c>
      <c r="AO468" s="777">
        <f>AM468</f>
        <v>909678</v>
      </c>
      <c r="AP468" s="778">
        <f t="shared" si="106"/>
        <v>75</v>
      </c>
      <c r="AQ468" s="1076"/>
      <c r="AR468" s="968"/>
      <c r="AS468" s="968"/>
      <c r="AT468" s="968"/>
      <c r="AU468" s="968"/>
      <c r="AV468" s="968"/>
      <c r="AW468" s="968"/>
    </row>
    <row r="469" spans="1:49" s="1077" customFormat="1">
      <c r="A469" s="968" t="s">
        <v>142</v>
      </c>
      <c r="B469" s="968" t="s">
        <v>142</v>
      </c>
      <c r="C469" s="968"/>
      <c r="D469" s="968"/>
      <c r="E469" s="968"/>
      <c r="F469" s="1069" t="str">
        <f>IFERROR(VLOOKUP($A469,#REF!,3,FALSE),"")</f>
        <v/>
      </c>
      <c r="G469" s="1056" t="str">
        <f>IFERROR(VLOOKUP($A469,#REF!,4,FALSE),"")</f>
        <v/>
      </c>
      <c r="H469" s="1056" t="str">
        <f>IFERROR(VLOOKUP($A469,#REF!,5,FALSE),"")</f>
        <v/>
      </c>
      <c r="I469" s="1056" t="str">
        <f>IFERROR(VLOOKUP($A469,#REF!,6,FALSE),"")</f>
        <v/>
      </c>
      <c r="J469" s="1056" t="str">
        <f>IFERROR(VLOOKUP($A469,#REF!,7,FALSE),"")</f>
        <v/>
      </c>
      <c r="K469" s="1056" t="str">
        <f>IFERROR(VLOOKUP($A469,#REF!,8,FALSE),"")</f>
        <v/>
      </c>
      <c r="L469" s="1063" t="str">
        <f>IFERROR(VLOOKUP($A469,#REF!,9,FALSE),"")</f>
        <v/>
      </c>
      <c r="M469" s="1070" t="str">
        <f>IFERROR(VLOOKUP($A469,#REF!,10,FALSE),"")</f>
        <v/>
      </c>
      <c r="N469" s="1063" t="str">
        <f>IFERROR(VLOOKUP($A469,#REF!,12,FALSE),"")</f>
        <v/>
      </c>
      <c r="O469" s="1056" t="str">
        <f>IFERROR(VLOOKUP($A469,#REF!,13,FALSE),"")</f>
        <v/>
      </c>
      <c r="P469" s="1056" t="str">
        <f>IFERROR(VLOOKUP($A469,#REF!,14,FALSE),"")</f>
        <v/>
      </c>
      <c r="Q469" s="1056" t="str">
        <f>IFERROR(VLOOKUP($A469,#REF!,16,FALSE),"")</f>
        <v/>
      </c>
      <c r="R469" s="1056" t="str">
        <f>IFERROR(VLOOKUP($A469,#REF!,17,FALSE),"")</f>
        <v/>
      </c>
      <c r="S469" s="1063" t="str">
        <f>IFERROR(VLOOKUP($A469,#REF!,20,FALSE),"")</f>
        <v/>
      </c>
      <c r="T469" s="1063" t="str">
        <f>IFERROR(VLOOKUP($A469,#REF!,21,FALSE),"")</f>
        <v/>
      </c>
      <c r="U469" s="1063" t="str">
        <f>IFERROR(VLOOKUP($A469,#REF!,22,FALSE),"")</f>
        <v/>
      </c>
      <c r="V469" s="1063" t="str">
        <f>IFERROR(VLOOKUP($A469,#REF!,23,FALSE),"")</f>
        <v/>
      </c>
      <c r="W469" s="1063" t="str">
        <f>IFERROR(VLOOKUP($A469,#REF!,24,FALSE),"")</f>
        <v/>
      </c>
      <c r="X469" s="1063" t="str">
        <f>IFERROR(VLOOKUP($A469,#REF!,41,FALSE),"")</f>
        <v/>
      </c>
      <c r="Y469" s="1063" t="str">
        <f>IFERROR(VLOOKUP($A469,#REF!,42,FALSE),"")</f>
        <v/>
      </c>
      <c r="Z469" s="1063" t="str">
        <f>IFERROR(VLOOKUP($A469,#REF!,45,FALSE),"")</f>
        <v/>
      </c>
      <c r="AA469" s="1071">
        <v>2017</v>
      </c>
      <c r="AB469" s="1072">
        <v>12</v>
      </c>
      <c r="AC469" s="1073" t="s">
        <v>317</v>
      </c>
      <c r="AD469" s="1073" t="s">
        <v>3656</v>
      </c>
      <c r="AE469" s="1074" t="s">
        <v>307</v>
      </c>
      <c r="AF469" s="1074" t="s">
        <v>113</v>
      </c>
      <c r="AG469" s="968" t="s">
        <v>3981</v>
      </c>
      <c r="AH469" s="968" t="s">
        <v>3977</v>
      </c>
      <c r="AI469" s="1071">
        <v>16</v>
      </c>
      <c r="AJ469" s="1075" t="s">
        <v>3985</v>
      </c>
      <c r="AK469" s="765"/>
      <c r="AL469" s="766"/>
      <c r="AM469" s="765"/>
      <c r="AN469" s="766"/>
      <c r="AO469" s="777"/>
      <c r="AP469" s="778"/>
      <c r="AQ469" s="1076"/>
      <c r="AR469" s="968"/>
      <c r="AS469" s="968"/>
      <c r="AT469" s="968"/>
      <c r="AU469" s="968"/>
      <c r="AV469" s="968"/>
      <c r="AW469" s="968"/>
    </row>
    <row r="470" spans="1:49" s="1077" customFormat="1">
      <c r="A470" s="968"/>
      <c r="B470" s="968"/>
      <c r="C470" s="968"/>
      <c r="D470" s="968"/>
      <c r="E470" s="968"/>
      <c r="F470" s="1069" t="str">
        <f>IFERROR(VLOOKUP($A470,#REF!,3,FALSE),"")</f>
        <v/>
      </c>
      <c r="G470" s="1056" t="str">
        <f>IFERROR(VLOOKUP($A470,#REF!,4,FALSE),"")</f>
        <v/>
      </c>
      <c r="H470" s="1056" t="str">
        <f>IFERROR(VLOOKUP($A470,#REF!,5,FALSE),"")</f>
        <v/>
      </c>
      <c r="I470" s="1056" t="str">
        <f>IFERROR(VLOOKUP($A470,#REF!,6,FALSE),"")</f>
        <v/>
      </c>
      <c r="J470" s="1056" t="str">
        <f>IFERROR(VLOOKUP($A470,#REF!,7,FALSE),"")</f>
        <v/>
      </c>
      <c r="K470" s="1056" t="str">
        <f>IFERROR(VLOOKUP($A470,#REF!,8,FALSE),"")</f>
        <v/>
      </c>
      <c r="L470" s="1063" t="str">
        <f>IFERROR(VLOOKUP($A470,#REF!,9,FALSE),"")</f>
        <v/>
      </c>
      <c r="M470" s="1070" t="str">
        <f>IFERROR(VLOOKUP($A470,#REF!,10,FALSE),"")</f>
        <v/>
      </c>
      <c r="N470" s="1063" t="str">
        <f>IFERROR(VLOOKUP($A470,#REF!,12,FALSE),"")</f>
        <v/>
      </c>
      <c r="O470" s="1056" t="str">
        <f>IFERROR(VLOOKUP($A470,#REF!,13,FALSE),"")</f>
        <v/>
      </c>
      <c r="P470" s="1056" t="str">
        <f>IFERROR(VLOOKUP($A470,#REF!,14,FALSE),"")</f>
        <v/>
      </c>
      <c r="Q470" s="1056" t="str">
        <f>IFERROR(VLOOKUP($A470,#REF!,16,FALSE),"")</f>
        <v/>
      </c>
      <c r="R470" s="1056" t="str">
        <f>IFERROR(VLOOKUP($A470,#REF!,17,FALSE),"")</f>
        <v/>
      </c>
      <c r="S470" s="1063" t="str">
        <f>IFERROR(VLOOKUP($A470,#REF!,20,FALSE),"")</f>
        <v/>
      </c>
      <c r="T470" s="1063" t="str">
        <f>IFERROR(VLOOKUP($A470,#REF!,21,FALSE),"")</f>
        <v/>
      </c>
      <c r="U470" s="1063" t="str">
        <f>IFERROR(VLOOKUP($A470,#REF!,22,FALSE),"")</f>
        <v/>
      </c>
      <c r="V470" s="1063" t="str">
        <f>IFERROR(VLOOKUP($A470,#REF!,23,FALSE),"")</f>
        <v/>
      </c>
      <c r="W470" s="1063" t="str">
        <f>IFERROR(VLOOKUP($A470,#REF!,24,FALSE),"")</f>
        <v/>
      </c>
      <c r="X470" s="1063" t="str">
        <f>IFERROR(VLOOKUP($A470,#REF!,41,FALSE),"")</f>
        <v/>
      </c>
      <c r="Y470" s="1063" t="str">
        <f>IFERROR(VLOOKUP($A470,#REF!,42,FALSE),"")</f>
        <v/>
      </c>
      <c r="Z470" s="1063" t="str">
        <f>IFERROR(VLOOKUP($A470,#REF!,45,FALSE),"")</f>
        <v/>
      </c>
      <c r="AA470" s="1071"/>
      <c r="AB470" s="1072"/>
      <c r="AC470" s="1073"/>
      <c r="AD470" s="1073"/>
      <c r="AE470" s="1071"/>
      <c r="AF470" s="1071"/>
      <c r="AG470" s="968"/>
      <c r="AH470" s="968"/>
      <c r="AI470" s="1071"/>
      <c r="AJ470" s="1075"/>
      <c r="AK470" s="765"/>
      <c r="AL470" s="766"/>
      <c r="AM470" s="765"/>
      <c r="AN470" s="766"/>
      <c r="AO470" s="777"/>
      <c r="AP470" s="778"/>
      <c r="AQ470" s="1076"/>
      <c r="AR470" s="968"/>
      <c r="AS470" s="968"/>
      <c r="AT470" s="968"/>
      <c r="AU470" s="968"/>
      <c r="AV470" s="968"/>
      <c r="AW470" s="968"/>
    </row>
    <row r="471" spans="1:49" s="1077" customFormat="1">
      <c r="A471" s="968" t="s">
        <v>262</v>
      </c>
      <c r="B471" s="968" t="s">
        <v>262</v>
      </c>
      <c r="C471" s="968"/>
      <c r="D471" s="968" t="s">
        <v>3701</v>
      </c>
      <c r="E471" s="968" t="s">
        <v>3701</v>
      </c>
      <c r="F471" s="1069" t="str">
        <f>IFERROR(VLOOKUP($A471,#REF!,3,FALSE),"")</f>
        <v/>
      </c>
      <c r="G471" s="1056" t="str">
        <f>IFERROR(VLOOKUP($A471,#REF!,4,FALSE),"")</f>
        <v/>
      </c>
      <c r="H471" s="1056" t="str">
        <f>IFERROR(VLOOKUP($A471,#REF!,5,FALSE),"")</f>
        <v/>
      </c>
      <c r="I471" s="1056" t="str">
        <f>IFERROR(VLOOKUP($A471,#REF!,6,FALSE),"")</f>
        <v/>
      </c>
      <c r="J471" s="1056" t="str">
        <f>IFERROR(VLOOKUP($A471,#REF!,7,FALSE),"")</f>
        <v/>
      </c>
      <c r="K471" s="1056" t="str">
        <f>IFERROR(VLOOKUP($A471,#REF!,8,FALSE),"")</f>
        <v/>
      </c>
      <c r="L471" s="1063" t="str">
        <f>IFERROR(VLOOKUP($A471,#REF!,9,FALSE),"")</f>
        <v/>
      </c>
      <c r="M471" s="1070" t="str">
        <f>IFERROR(VLOOKUP($A471,#REF!,10,FALSE),"")</f>
        <v/>
      </c>
      <c r="N471" s="1063" t="str">
        <f>IFERROR(VLOOKUP($A471,#REF!,12,FALSE),"")</f>
        <v/>
      </c>
      <c r="O471" s="1056" t="str">
        <f>IFERROR(VLOOKUP($A471,#REF!,13,FALSE),"")</f>
        <v/>
      </c>
      <c r="P471" s="1056" t="str">
        <f>IFERROR(VLOOKUP($A471,#REF!,14,FALSE),"")</f>
        <v/>
      </c>
      <c r="Q471" s="1056" t="str">
        <f>IFERROR(VLOOKUP($A471,#REF!,16,FALSE),"")</f>
        <v/>
      </c>
      <c r="R471" s="1056" t="str">
        <f>IFERROR(VLOOKUP($A471,#REF!,17,FALSE),"")</f>
        <v/>
      </c>
      <c r="S471" s="1063" t="str">
        <f>IFERROR(VLOOKUP($A471,#REF!,20,FALSE),"")</f>
        <v/>
      </c>
      <c r="T471" s="1063" t="str">
        <f>IFERROR(VLOOKUP($A471,#REF!,21,FALSE),"")</f>
        <v/>
      </c>
      <c r="U471" s="1063" t="str">
        <f>IFERROR(VLOOKUP($A471,#REF!,22,FALSE),"")</f>
        <v/>
      </c>
      <c r="V471" s="1063" t="str">
        <f>IFERROR(VLOOKUP($A471,#REF!,23,FALSE),"")</f>
        <v/>
      </c>
      <c r="W471" s="1063" t="str">
        <f>IFERROR(VLOOKUP($A471,#REF!,24,FALSE),"")</f>
        <v/>
      </c>
      <c r="X471" s="1063" t="str">
        <f>IFERROR(VLOOKUP($A471,#REF!,41,FALSE),"")</f>
        <v/>
      </c>
      <c r="Y471" s="1063" t="str">
        <f>IFERROR(VLOOKUP($A471,#REF!,42,FALSE),"")</f>
        <v/>
      </c>
      <c r="Z471" s="1063" t="str">
        <f>IFERROR(VLOOKUP($A471,#REF!,45,FALSE),"")</f>
        <v/>
      </c>
      <c r="AA471" s="1071">
        <v>2017</v>
      </c>
      <c r="AB471" s="1072" t="s">
        <v>4149</v>
      </c>
      <c r="AC471" s="1073" t="s">
        <v>317</v>
      </c>
      <c r="AD471" s="1073" t="s">
        <v>3656</v>
      </c>
      <c r="AE471" s="1074" t="s">
        <v>307</v>
      </c>
      <c r="AF471" s="1074" t="s">
        <v>113</v>
      </c>
      <c r="AG471" s="968" t="s">
        <v>3981</v>
      </c>
      <c r="AH471" s="968" t="s">
        <v>3973</v>
      </c>
      <c r="AI471" s="1071">
        <v>11</v>
      </c>
      <c r="AJ471" s="1075" t="s">
        <v>3982</v>
      </c>
      <c r="AK471" s="1082">
        <v>909678</v>
      </c>
      <c r="AL471" s="778">
        <v>484</v>
      </c>
      <c r="AM471" s="765">
        <v>909678</v>
      </c>
      <c r="AN471" s="778">
        <v>485</v>
      </c>
      <c r="AO471" s="777">
        <f t="shared" ref="AO471:AO472" si="107">AM471</f>
        <v>909678</v>
      </c>
      <c r="AP471" s="778">
        <f>AN471+1</f>
        <v>486</v>
      </c>
      <c r="AQ471" s="1076"/>
      <c r="AR471" s="968"/>
      <c r="AS471" s="968"/>
      <c r="AT471" s="968"/>
      <c r="AU471" s="968"/>
      <c r="AV471" s="968"/>
      <c r="AW471" s="968"/>
    </row>
    <row r="472" spans="1:49" s="1077" customFormat="1">
      <c r="A472" s="968" t="s">
        <v>262</v>
      </c>
      <c r="B472" s="968" t="s">
        <v>262</v>
      </c>
      <c r="C472" s="968"/>
      <c r="D472" s="968" t="s">
        <v>3701</v>
      </c>
      <c r="E472" s="968" t="s">
        <v>3701</v>
      </c>
      <c r="F472" s="1069" t="str">
        <f>IFERROR(VLOOKUP($A472,#REF!,3,FALSE),"")</f>
        <v/>
      </c>
      <c r="G472" s="1056" t="str">
        <f>IFERROR(VLOOKUP($A472,#REF!,4,FALSE),"")</f>
        <v/>
      </c>
      <c r="H472" s="1056" t="str">
        <f>IFERROR(VLOOKUP($A472,#REF!,5,FALSE),"")</f>
        <v/>
      </c>
      <c r="I472" s="1056" t="str">
        <f>IFERROR(VLOOKUP($A472,#REF!,6,FALSE),"")</f>
        <v/>
      </c>
      <c r="J472" s="1056" t="str">
        <f>IFERROR(VLOOKUP($A472,#REF!,7,FALSE),"")</f>
        <v/>
      </c>
      <c r="K472" s="1056" t="str">
        <f>IFERROR(VLOOKUP($A472,#REF!,8,FALSE),"")</f>
        <v/>
      </c>
      <c r="L472" s="1063" t="str">
        <f>IFERROR(VLOOKUP($A472,#REF!,9,FALSE),"")</f>
        <v/>
      </c>
      <c r="M472" s="1070" t="str">
        <f>IFERROR(VLOOKUP($A472,#REF!,10,FALSE),"")</f>
        <v/>
      </c>
      <c r="N472" s="1063" t="str">
        <f>IFERROR(VLOOKUP($A472,#REF!,12,FALSE),"")</f>
        <v/>
      </c>
      <c r="O472" s="1056" t="str">
        <f>IFERROR(VLOOKUP($A472,#REF!,13,FALSE),"")</f>
        <v/>
      </c>
      <c r="P472" s="1056" t="str">
        <f>IFERROR(VLOOKUP($A472,#REF!,14,FALSE),"")</f>
        <v/>
      </c>
      <c r="Q472" s="1056" t="str">
        <f>IFERROR(VLOOKUP($A472,#REF!,16,FALSE),"")</f>
        <v/>
      </c>
      <c r="R472" s="1056" t="str">
        <f>IFERROR(VLOOKUP($A472,#REF!,17,FALSE),"")</f>
        <v/>
      </c>
      <c r="S472" s="1063" t="str">
        <f>IFERROR(VLOOKUP($A472,#REF!,20,FALSE),"")</f>
        <v/>
      </c>
      <c r="T472" s="1063" t="str">
        <f>IFERROR(VLOOKUP($A472,#REF!,21,FALSE),"")</f>
        <v/>
      </c>
      <c r="U472" s="1063" t="str">
        <f>IFERROR(VLOOKUP($A472,#REF!,22,FALSE),"")</f>
        <v/>
      </c>
      <c r="V472" s="1063" t="str">
        <f>IFERROR(VLOOKUP($A472,#REF!,23,FALSE),"")</f>
        <v/>
      </c>
      <c r="W472" s="1063" t="str">
        <f>IFERROR(VLOOKUP($A472,#REF!,24,FALSE),"")</f>
        <v/>
      </c>
      <c r="X472" s="1063" t="str">
        <f>IFERROR(VLOOKUP($A472,#REF!,41,FALSE),"")</f>
        <v/>
      </c>
      <c r="Y472" s="1063" t="str">
        <f>IFERROR(VLOOKUP($A472,#REF!,42,FALSE),"")</f>
        <v/>
      </c>
      <c r="Z472" s="1063" t="str">
        <f>IFERROR(VLOOKUP($A472,#REF!,45,FALSE),"")</f>
        <v/>
      </c>
      <c r="AA472" s="1071">
        <v>2017</v>
      </c>
      <c r="AB472" s="1072" t="s">
        <v>4149</v>
      </c>
      <c r="AC472" s="1073" t="s">
        <v>317</v>
      </c>
      <c r="AD472" s="1073" t="s">
        <v>3656</v>
      </c>
      <c r="AE472" s="1074" t="s">
        <v>307</v>
      </c>
      <c r="AF472" s="1074" t="s">
        <v>113</v>
      </c>
      <c r="AG472" s="968" t="s">
        <v>3981</v>
      </c>
      <c r="AH472" s="968" t="s">
        <v>3977</v>
      </c>
      <c r="AI472" s="1071">
        <v>16</v>
      </c>
      <c r="AJ472" s="1075" t="s">
        <v>3985</v>
      </c>
      <c r="AK472" s="1082">
        <v>909678</v>
      </c>
      <c r="AL472" s="778">
        <v>736</v>
      </c>
      <c r="AM472" s="765">
        <v>909678</v>
      </c>
      <c r="AN472" s="778">
        <v>737</v>
      </c>
      <c r="AO472" s="777">
        <f t="shared" si="107"/>
        <v>909678</v>
      </c>
      <c r="AP472" s="778">
        <f>AN472+1</f>
        <v>738</v>
      </c>
      <c r="AQ472" s="1076"/>
      <c r="AR472" s="968"/>
      <c r="AS472" s="968"/>
      <c r="AT472" s="968"/>
      <c r="AU472" s="968"/>
      <c r="AV472" s="968"/>
      <c r="AW472" s="968"/>
    </row>
    <row r="473" spans="1:49" s="1077" customFormat="1">
      <c r="A473" s="968"/>
      <c r="B473" s="968"/>
      <c r="C473" s="968"/>
      <c r="D473" s="968"/>
      <c r="E473" s="968"/>
      <c r="F473" s="1069" t="str">
        <f>IFERROR(VLOOKUP($A473,#REF!,3,FALSE),"")</f>
        <v/>
      </c>
      <c r="G473" s="1056" t="str">
        <f>IFERROR(VLOOKUP($A473,#REF!,4,FALSE),"")</f>
        <v/>
      </c>
      <c r="H473" s="1056" t="str">
        <f>IFERROR(VLOOKUP($A473,#REF!,5,FALSE),"")</f>
        <v/>
      </c>
      <c r="I473" s="1056" t="str">
        <f>IFERROR(VLOOKUP($A473,#REF!,6,FALSE),"")</f>
        <v/>
      </c>
      <c r="J473" s="1056" t="str">
        <f>IFERROR(VLOOKUP($A473,#REF!,7,FALSE),"")</f>
        <v/>
      </c>
      <c r="K473" s="1056" t="str">
        <f>IFERROR(VLOOKUP($A473,#REF!,8,FALSE),"")</f>
        <v/>
      </c>
      <c r="L473" s="1063" t="str">
        <f>IFERROR(VLOOKUP($A473,#REF!,9,FALSE),"")</f>
        <v/>
      </c>
      <c r="M473" s="1070" t="str">
        <f>IFERROR(VLOOKUP($A473,#REF!,10,FALSE),"")</f>
        <v/>
      </c>
      <c r="N473" s="1063" t="str">
        <f>IFERROR(VLOOKUP($A473,#REF!,12,FALSE),"")</f>
        <v/>
      </c>
      <c r="O473" s="1056" t="str">
        <f>IFERROR(VLOOKUP($A473,#REF!,13,FALSE),"")</f>
        <v/>
      </c>
      <c r="P473" s="1056" t="str">
        <f>IFERROR(VLOOKUP($A473,#REF!,14,FALSE),"")</f>
        <v/>
      </c>
      <c r="Q473" s="1056" t="str">
        <f>IFERROR(VLOOKUP($A473,#REF!,16,FALSE),"")</f>
        <v/>
      </c>
      <c r="R473" s="1056" t="str">
        <f>IFERROR(VLOOKUP($A473,#REF!,17,FALSE),"")</f>
        <v/>
      </c>
      <c r="S473" s="1063" t="str">
        <f>IFERROR(VLOOKUP($A473,#REF!,20,FALSE),"")</f>
        <v/>
      </c>
      <c r="T473" s="1063" t="str">
        <f>IFERROR(VLOOKUP($A473,#REF!,21,FALSE),"")</f>
        <v/>
      </c>
      <c r="U473" s="1063" t="str">
        <f>IFERROR(VLOOKUP($A473,#REF!,22,FALSE),"")</f>
        <v/>
      </c>
      <c r="V473" s="1063" t="str">
        <f>IFERROR(VLOOKUP($A473,#REF!,23,FALSE),"")</f>
        <v/>
      </c>
      <c r="W473" s="1063" t="str">
        <f>IFERROR(VLOOKUP($A473,#REF!,24,FALSE),"")</f>
        <v/>
      </c>
      <c r="X473" s="1063" t="str">
        <f>IFERROR(VLOOKUP($A473,#REF!,41,FALSE),"")</f>
        <v/>
      </c>
      <c r="Y473" s="1063" t="str">
        <f>IFERROR(VLOOKUP($A473,#REF!,42,FALSE),"")</f>
        <v/>
      </c>
      <c r="Z473" s="1063" t="str">
        <f>IFERROR(VLOOKUP($A473,#REF!,45,FALSE),"")</f>
        <v/>
      </c>
      <c r="AA473" s="1071"/>
      <c r="AB473" s="1072"/>
      <c r="AC473" s="1073"/>
      <c r="AD473" s="1073"/>
      <c r="AE473" s="1071"/>
      <c r="AF473" s="1071"/>
      <c r="AG473" s="968"/>
      <c r="AH473" s="968"/>
      <c r="AI473" s="1071"/>
      <c r="AJ473" s="1075"/>
      <c r="AK473" s="765"/>
      <c r="AL473" s="766"/>
      <c r="AM473" s="765"/>
      <c r="AN473" s="766"/>
      <c r="AO473" s="777"/>
      <c r="AP473" s="778"/>
      <c r="AQ473" s="1076"/>
      <c r="AR473" s="968"/>
      <c r="AS473" s="968"/>
      <c r="AT473" s="968"/>
      <c r="AU473" s="968"/>
      <c r="AV473" s="968"/>
      <c r="AW473" s="968"/>
    </row>
    <row r="474" spans="1:49" s="1077" customFormat="1">
      <c r="A474" s="968" t="s">
        <v>347</v>
      </c>
      <c r="B474" s="968" t="s">
        <v>347</v>
      </c>
      <c r="C474" s="968"/>
      <c r="D474" s="968" t="s">
        <v>4190</v>
      </c>
      <c r="E474" s="968" t="s">
        <v>4190</v>
      </c>
      <c r="F474" s="1069">
        <f>IFERROR(VLOOKUP($A474,'2018'!$A:$BB,3,FALSE),"")</f>
        <v>821490132</v>
      </c>
      <c r="G474" s="1056" t="str">
        <f>IFERROR(VLOOKUP($A474,'2018'!$A:$BB,4,FALSE),"")</f>
        <v>10578 Science Center Drive, Suite 200
San Diego, CA 92121</v>
      </c>
      <c r="H474" s="1056" t="str">
        <f>IFERROR(VLOOKUP($A474,'2018'!$A:$BB,5,FALSE),"")</f>
        <v>Anne Song
(503) 679-8967
asong@pipelinetherapeutics.com</v>
      </c>
      <c r="I474" s="1056" t="str">
        <f>IFERROR(VLOOKUP($A474,'2018'!$A:$BB,6,FALSE),"")</f>
        <v>Anne Song
(503) 679-8967
asong@pipelinetherapeutics.com</v>
      </c>
      <c r="J474" s="1056" t="str">
        <f>IFERROR(VLOOKUP($A474,'2018'!$A:$BB,7,FALSE),"")</f>
        <v>HUB (San Diego)</v>
      </c>
      <c r="K474" s="1056" t="str">
        <f>IFERROR(VLOOKUP($A474,'2018'!$A:$BB,8,FALSE),"")</f>
        <v>Account Managed by HUB SD Team
Producer - Bo Lebherz
Service Lead - Michelle Brady</v>
      </c>
      <c r="L474" s="1063" t="str">
        <f>IFERROR(VLOOKUP($A474,'2018'!$A:$BB,9,FALSE),"")</f>
        <v>New</v>
      </c>
      <c r="M474" s="1070">
        <f>IFERROR(VLOOKUP($A474,'2018'!$A:$BB,10,FALSE),"")</f>
        <v>43009</v>
      </c>
      <c r="N474" s="1063">
        <f>IFERROR(VLOOKUP($A474,'2018'!$A:$BB,12,FALSE),"")</f>
        <v>6</v>
      </c>
      <c r="O474" s="1056" t="str">
        <f>IFERROR(VLOOKUP($A474,'2018'!$A:$BB,13,FALSE),"")</f>
        <v xml:space="preserve">IGOE </v>
      </c>
      <c r="P474" s="1056" t="str">
        <f>IFERROR(VLOOKUP($A474,'2018'!$A:$BB,14,FALSE),"")</f>
        <v xml:space="preserve">Zuman </v>
      </c>
      <c r="Q474" s="1056" t="str">
        <f>IFERROR(VLOOKUP($A474,'2018'!$A:$BB,16,FALSE),"")</f>
        <v>N/A</v>
      </c>
      <c r="R474" s="1056" t="str">
        <f>IFERROR(VLOOKUP($A474,'2018'!$A:$BB,17,FALSE),"")</f>
        <v>N/A</v>
      </c>
      <c r="S474" s="1063" t="str">
        <f>IFERROR(VLOOKUP($A474,'2018'!$A:$BB,20,FALSE),"")</f>
        <v>SCAL</v>
      </c>
      <c r="T474" s="1063" t="str">
        <f>IFERROR(VLOOKUP($A474,'2018'!$A:$BB,21,FALSE),"")</f>
        <v>Group B (34-44)</v>
      </c>
      <c r="U474" s="1063" t="str">
        <f>IFERROR(VLOOKUP($A474,'2018'!$A:$BB,22,FALSE),"")</f>
        <v>Expanded</v>
      </c>
      <c r="V474" s="1063" t="str">
        <f>IFERROR(VLOOKUP($A474,'2018'!$A:$BB,23,FALSE),"")</f>
        <v>Advantage</v>
      </c>
      <c r="W474" s="1063" t="str">
        <f>IFERROR(VLOOKUP($A474,'2018'!$A:$BB,24,FALSE),"")</f>
        <v>No</v>
      </c>
      <c r="X474" s="1063" t="str">
        <f>IFERROR(VLOOKUP($A474,'2018'!$A:$BB,41,FALSE),"")</f>
        <v>Region 2</v>
      </c>
      <c r="Y474" s="1063" t="str">
        <f>IFERROR(VLOOKUP($A474,'2018'!$A:$BB,42,FALSE),"")</f>
        <v>(2-9)</v>
      </c>
      <c r="Z474" s="1063" t="str">
        <f>IFERROR(VLOOKUP($A474,'2018'!$A:$BB,45,FALSE),"")</f>
        <v xml:space="preserve"> (2-49)</v>
      </c>
      <c r="AA474" s="1071">
        <v>2017</v>
      </c>
      <c r="AB474" s="1072" t="s">
        <v>4149</v>
      </c>
      <c r="AC474" s="1074" t="s">
        <v>317</v>
      </c>
      <c r="AD474" s="1074" t="s">
        <v>3648</v>
      </c>
      <c r="AE474" s="1074" t="s">
        <v>307</v>
      </c>
      <c r="AF474" s="1074" t="s">
        <v>113</v>
      </c>
      <c r="AG474" s="735" t="s">
        <v>3962</v>
      </c>
      <c r="AH474" s="735" t="s">
        <v>3963</v>
      </c>
      <c r="AI474" s="1074">
        <v>1</v>
      </c>
      <c r="AJ474" s="1079" t="s">
        <v>3998</v>
      </c>
      <c r="AK474" s="1081">
        <v>260065</v>
      </c>
      <c r="AL474" s="778">
        <v>166</v>
      </c>
      <c r="AM474" s="1081">
        <v>260066</v>
      </c>
      <c r="AN474" s="778">
        <v>167</v>
      </c>
      <c r="AO474" s="777">
        <f>AM474+1</f>
        <v>260067</v>
      </c>
      <c r="AP474" s="778">
        <f>AN474+1</f>
        <v>168</v>
      </c>
      <c r="AQ474" s="1080"/>
      <c r="AR474" s="735"/>
      <c r="AS474" s="735"/>
      <c r="AT474" s="735"/>
      <c r="AU474" s="735"/>
      <c r="AV474" s="735"/>
      <c r="AW474" s="735"/>
    </row>
    <row r="475" spans="1:49" s="1077" customFormat="1">
      <c r="A475" s="968" t="s">
        <v>347</v>
      </c>
      <c r="B475" s="968" t="s">
        <v>347</v>
      </c>
      <c r="C475" s="968"/>
      <c r="D475" s="968" t="s">
        <v>4190</v>
      </c>
      <c r="E475" s="968" t="s">
        <v>4190</v>
      </c>
      <c r="F475" s="1069">
        <f>IFERROR(VLOOKUP($A475,'2018'!$A:$BB,3,FALSE),"")</f>
        <v>821490132</v>
      </c>
      <c r="G475" s="1056" t="str">
        <f>IFERROR(VLOOKUP($A475,'2018'!$A:$BB,4,FALSE),"")</f>
        <v>10578 Science Center Drive, Suite 200
San Diego, CA 92121</v>
      </c>
      <c r="H475" s="1056" t="str">
        <f>IFERROR(VLOOKUP($A475,'2018'!$A:$BB,5,FALSE),"")</f>
        <v>Anne Song
(503) 679-8967
asong@pipelinetherapeutics.com</v>
      </c>
      <c r="I475" s="1056" t="str">
        <f>IFERROR(VLOOKUP($A475,'2018'!$A:$BB,6,FALSE),"")</f>
        <v>Anne Song
(503) 679-8967
asong@pipelinetherapeutics.com</v>
      </c>
      <c r="J475" s="1056" t="str">
        <f>IFERROR(VLOOKUP($A475,'2018'!$A:$BB,7,FALSE),"")</f>
        <v>HUB (San Diego)</v>
      </c>
      <c r="K475" s="1056" t="str">
        <f>IFERROR(VLOOKUP($A475,'2018'!$A:$BB,8,FALSE),"")</f>
        <v>Account Managed by HUB SD Team
Producer - Bo Lebherz
Service Lead - Michelle Brady</v>
      </c>
      <c r="L475" s="1063" t="str">
        <f>IFERROR(VLOOKUP($A475,'2018'!$A:$BB,9,FALSE),"")</f>
        <v>New</v>
      </c>
      <c r="M475" s="1070">
        <f>IFERROR(VLOOKUP($A475,'2018'!$A:$BB,10,FALSE),"")</f>
        <v>43009</v>
      </c>
      <c r="N475" s="1063">
        <f>IFERROR(VLOOKUP($A475,'2018'!$A:$BB,12,FALSE),"")</f>
        <v>6</v>
      </c>
      <c r="O475" s="1056" t="str">
        <f>IFERROR(VLOOKUP($A475,'2018'!$A:$BB,13,FALSE),"")</f>
        <v xml:space="preserve">IGOE </v>
      </c>
      <c r="P475" s="1056" t="str">
        <f>IFERROR(VLOOKUP($A475,'2018'!$A:$BB,14,FALSE),"")</f>
        <v xml:space="preserve">Zuman </v>
      </c>
      <c r="Q475" s="1056" t="str">
        <f>IFERROR(VLOOKUP($A475,'2018'!$A:$BB,16,FALSE),"")</f>
        <v>N/A</v>
      </c>
      <c r="R475" s="1056" t="str">
        <f>IFERROR(VLOOKUP($A475,'2018'!$A:$BB,17,FALSE),"")</f>
        <v>N/A</v>
      </c>
      <c r="S475" s="1063" t="str">
        <f>IFERROR(VLOOKUP($A475,'2018'!$A:$BB,20,FALSE),"")</f>
        <v>SCAL</v>
      </c>
      <c r="T475" s="1063" t="str">
        <f>IFERROR(VLOOKUP($A475,'2018'!$A:$BB,21,FALSE),"")</f>
        <v>Group B (34-44)</v>
      </c>
      <c r="U475" s="1063" t="str">
        <f>IFERROR(VLOOKUP($A475,'2018'!$A:$BB,22,FALSE),"")</f>
        <v>Expanded</v>
      </c>
      <c r="V475" s="1063" t="str">
        <f>IFERROR(VLOOKUP($A475,'2018'!$A:$BB,23,FALSE),"")</f>
        <v>Advantage</v>
      </c>
      <c r="W475" s="1063" t="str">
        <f>IFERROR(VLOOKUP($A475,'2018'!$A:$BB,24,FALSE),"")</f>
        <v>No</v>
      </c>
      <c r="X475" s="1063" t="str">
        <f>IFERROR(VLOOKUP($A475,'2018'!$A:$BB,41,FALSE),"")</f>
        <v>Region 2</v>
      </c>
      <c r="Y475" s="1063" t="str">
        <f>IFERROR(VLOOKUP($A475,'2018'!$A:$BB,42,FALSE),"")</f>
        <v>(2-9)</v>
      </c>
      <c r="Z475" s="1063" t="str">
        <f>IFERROR(VLOOKUP($A475,'2018'!$A:$BB,45,FALSE),"")</f>
        <v xml:space="preserve"> (2-49)</v>
      </c>
      <c r="AA475" s="1071">
        <v>2017</v>
      </c>
      <c r="AB475" s="1072" t="s">
        <v>4149</v>
      </c>
      <c r="AC475" s="1074" t="s">
        <v>317</v>
      </c>
      <c r="AD475" s="1074" t="s">
        <v>3648</v>
      </c>
      <c r="AE475" s="1074" t="s">
        <v>307</v>
      </c>
      <c r="AF475" s="1074" t="s">
        <v>113</v>
      </c>
      <c r="AG475" s="735" t="s">
        <v>3972</v>
      </c>
      <c r="AH475" s="735" t="s">
        <v>3973</v>
      </c>
      <c r="AI475" s="1074">
        <v>7</v>
      </c>
      <c r="AJ475" s="1079" t="s">
        <v>4001</v>
      </c>
      <c r="AK475" s="1082">
        <v>909678</v>
      </c>
      <c r="AL475" s="778">
        <v>337</v>
      </c>
      <c r="AM475" s="765">
        <v>909678</v>
      </c>
      <c r="AN475" s="778">
        <v>338</v>
      </c>
      <c r="AO475" s="777">
        <f t="shared" ref="AO475:AO476" si="108">AM475</f>
        <v>909678</v>
      </c>
      <c r="AP475" s="778">
        <f>AN475+1</f>
        <v>339</v>
      </c>
      <c r="AQ475" s="1080"/>
      <c r="AR475" s="735"/>
      <c r="AS475" s="735"/>
      <c r="AT475" s="735"/>
      <c r="AU475" s="735"/>
      <c r="AV475" s="735"/>
      <c r="AW475" s="735"/>
    </row>
    <row r="476" spans="1:49" s="1077" customFormat="1">
      <c r="A476" s="968" t="s">
        <v>347</v>
      </c>
      <c r="B476" s="968" t="s">
        <v>347</v>
      </c>
      <c r="C476" s="968"/>
      <c r="D476" s="968" t="s">
        <v>4190</v>
      </c>
      <c r="E476" s="968" t="s">
        <v>4190</v>
      </c>
      <c r="F476" s="1069">
        <f>IFERROR(VLOOKUP($A476,'2018'!$A:$BB,3,FALSE),"")</f>
        <v>821490132</v>
      </c>
      <c r="G476" s="1056" t="str">
        <f>IFERROR(VLOOKUP($A476,'2018'!$A:$BB,4,FALSE),"")</f>
        <v>10578 Science Center Drive, Suite 200
San Diego, CA 92121</v>
      </c>
      <c r="H476" s="1056" t="str">
        <f>IFERROR(VLOOKUP($A476,'2018'!$A:$BB,5,FALSE),"")</f>
        <v>Anne Song
(503) 679-8967
asong@pipelinetherapeutics.com</v>
      </c>
      <c r="I476" s="1056" t="str">
        <f>IFERROR(VLOOKUP($A476,'2018'!$A:$BB,6,FALSE),"")</f>
        <v>Anne Song
(503) 679-8967
asong@pipelinetherapeutics.com</v>
      </c>
      <c r="J476" s="1056" t="str">
        <f>IFERROR(VLOOKUP($A476,'2018'!$A:$BB,7,FALSE),"")</f>
        <v>HUB (San Diego)</v>
      </c>
      <c r="K476" s="1056" t="str">
        <f>IFERROR(VLOOKUP($A476,'2018'!$A:$BB,8,FALSE),"")</f>
        <v>Account Managed by HUB SD Team
Producer - Bo Lebherz
Service Lead - Michelle Brady</v>
      </c>
      <c r="L476" s="1063" t="str">
        <f>IFERROR(VLOOKUP($A476,'2018'!$A:$BB,9,FALSE),"")</f>
        <v>New</v>
      </c>
      <c r="M476" s="1070">
        <f>IFERROR(VLOOKUP($A476,'2018'!$A:$BB,10,FALSE),"")</f>
        <v>43009</v>
      </c>
      <c r="N476" s="1063">
        <f>IFERROR(VLOOKUP($A476,'2018'!$A:$BB,12,FALSE),"")</f>
        <v>6</v>
      </c>
      <c r="O476" s="1056" t="str">
        <f>IFERROR(VLOOKUP($A476,'2018'!$A:$BB,13,FALSE),"")</f>
        <v xml:space="preserve">IGOE </v>
      </c>
      <c r="P476" s="1056" t="str">
        <f>IFERROR(VLOOKUP($A476,'2018'!$A:$BB,14,FALSE),"")</f>
        <v xml:space="preserve">Zuman </v>
      </c>
      <c r="Q476" s="1056" t="str">
        <f>IFERROR(VLOOKUP($A476,'2018'!$A:$BB,16,FALSE),"")</f>
        <v>N/A</v>
      </c>
      <c r="R476" s="1056" t="str">
        <f>IFERROR(VLOOKUP($A476,'2018'!$A:$BB,17,FALSE),"")</f>
        <v>N/A</v>
      </c>
      <c r="S476" s="1063" t="str">
        <f>IFERROR(VLOOKUP($A476,'2018'!$A:$BB,20,FALSE),"")</f>
        <v>SCAL</v>
      </c>
      <c r="T476" s="1063" t="str">
        <f>IFERROR(VLOOKUP($A476,'2018'!$A:$BB,21,FALSE),"")</f>
        <v>Group B (34-44)</v>
      </c>
      <c r="U476" s="1063" t="str">
        <f>IFERROR(VLOOKUP($A476,'2018'!$A:$BB,22,FALSE),"")</f>
        <v>Expanded</v>
      </c>
      <c r="V476" s="1063" t="str">
        <f>IFERROR(VLOOKUP($A476,'2018'!$A:$BB,23,FALSE),"")</f>
        <v>Advantage</v>
      </c>
      <c r="W476" s="1063" t="str">
        <f>IFERROR(VLOOKUP($A476,'2018'!$A:$BB,24,FALSE),"")</f>
        <v>No</v>
      </c>
      <c r="X476" s="1063" t="str">
        <f>IFERROR(VLOOKUP($A476,'2018'!$A:$BB,41,FALSE),"")</f>
        <v>Region 2</v>
      </c>
      <c r="Y476" s="1063" t="str">
        <f>IFERROR(VLOOKUP($A476,'2018'!$A:$BB,42,FALSE),"")</f>
        <v>(2-9)</v>
      </c>
      <c r="Z476" s="1063" t="str">
        <f>IFERROR(VLOOKUP($A476,'2018'!$A:$BB,45,FALSE),"")</f>
        <v xml:space="preserve"> (2-49)</v>
      </c>
      <c r="AA476" s="1071">
        <v>2017</v>
      </c>
      <c r="AB476" s="1072" t="s">
        <v>4149</v>
      </c>
      <c r="AC476" s="1074" t="s">
        <v>317</v>
      </c>
      <c r="AD476" s="1074" t="s">
        <v>3648</v>
      </c>
      <c r="AE476" s="1074" t="s">
        <v>307</v>
      </c>
      <c r="AF476" s="1074" t="s">
        <v>113</v>
      </c>
      <c r="AG476" s="735" t="s">
        <v>3972</v>
      </c>
      <c r="AH476" s="735" t="s">
        <v>3977</v>
      </c>
      <c r="AI476" s="1074">
        <v>13</v>
      </c>
      <c r="AJ476" s="1079" t="s">
        <v>4004</v>
      </c>
      <c r="AK476" s="1082">
        <v>909678</v>
      </c>
      <c r="AL476" s="778">
        <v>589</v>
      </c>
      <c r="AM476" s="765">
        <v>909678</v>
      </c>
      <c r="AN476" s="778">
        <v>590</v>
      </c>
      <c r="AO476" s="777">
        <f t="shared" si="108"/>
        <v>909678</v>
      </c>
      <c r="AP476" s="778">
        <f>AN476+1</f>
        <v>591</v>
      </c>
      <c r="AQ476" s="1080"/>
      <c r="AR476" s="735"/>
      <c r="AS476" s="735"/>
      <c r="AT476" s="735"/>
      <c r="AU476" s="735"/>
      <c r="AV476" s="735"/>
      <c r="AW476" s="735"/>
    </row>
    <row r="477" spans="1:49" s="1077" customFormat="1">
      <c r="A477" s="968"/>
      <c r="B477" s="968"/>
      <c r="C477" s="968"/>
      <c r="D477" s="968"/>
      <c r="E477" s="968"/>
      <c r="F477" s="1069" t="str">
        <f>IFERROR(VLOOKUP($A477,#REF!,3,FALSE),"")</f>
        <v/>
      </c>
      <c r="G477" s="1056" t="str">
        <f>IFERROR(VLOOKUP($A477,#REF!,4,FALSE),"")</f>
        <v/>
      </c>
      <c r="H477" s="1056" t="str">
        <f>IFERROR(VLOOKUP($A477,#REF!,5,FALSE),"")</f>
        <v/>
      </c>
      <c r="I477" s="1056" t="str">
        <f>IFERROR(VLOOKUP($A477,#REF!,6,FALSE),"")</f>
        <v/>
      </c>
      <c r="J477" s="1056" t="str">
        <f>IFERROR(VLOOKUP($A477,#REF!,7,FALSE),"")</f>
        <v/>
      </c>
      <c r="K477" s="1056" t="str">
        <f>IFERROR(VLOOKUP($A477,#REF!,8,FALSE),"")</f>
        <v/>
      </c>
      <c r="L477" s="1063" t="str">
        <f>IFERROR(VLOOKUP($A477,#REF!,9,FALSE),"")</f>
        <v/>
      </c>
      <c r="M477" s="1070" t="str">
        <f>IFERROR(VLOOKUP($A477,#REF!,10,FALSE),"")</f>
        <v/>
      </c>
      <c r="N477" s="1063" t="str">
        <f>IFERROR(VLOOKUP($A477,#REF!,12,FALSE),"")</f>
        <v/>
      </c>
      <c r="O477" s="1056" t="str">
        <f>IFERROR(VLOOKUP($A477,#REF!,13,FALSE),"")</f>
        <v/>
      </c>
      <c r="P477" s="1056" t="str">
        <f>IFERROR(VLOOKUP($A477,#REF!,14,FALSE),"")</f>
        <v/>
      </c>
      <c r="Q477" s="1056" t="str">
        <f>IFERROR(VLOOKUP($A477,#REF!,16,FALSE),"")</f>
        <v/>
      </c>
      <c r="R477" s="1056" t="str">
        <f>IFERROR(VLOOKUP($A477,#REF!,17,FALSE),"")</f>
        <v/>
      </c>
      <c r="S477" s="1063" t="str">
        <f>IFERROR(VLOOKUP($A477,#REF!,20,FALSE),"")</f>
        <v/>
      </c>
      <c r="T477" s="1063" t="str">
        <f>IFERROR(VLOOKUP($A477,#REF!,21,FALSE),"")</f>
        <v/>
      </c>
      <c r="U477" s="1063" t="str">
        <f>IFERROR(VLOOKUP($A477,#REF!,22,FALSE),"")</f>
        <v/>
      </c>
      <c r="V477" s="1063" t="str">
        <f>IFERROR(VLOOKUP($A477,#REF!,23,FALSE),"")</f>
        <v/>
      </c>
      <c r="W477" s="1063" t="str">
        <f>IFERROR(VLOOKUP($A477,#REF!,24,FALSE),"")</f>
        <v/>
      </c>
      <c r="X477" s="1063" t="str">
        <f>IFERROR(VLOOKUP($A477,#REF!,41,FALSE),"")</f>
        <v/>
      </c>
      <c r="Y477" s="1063" t="str">
        <f>IFERROR(VLOOKUP($A477,#REF!,42,FALSE),"")</f>
        <v/>
      </c>
      <c r="Z477" s="1063" t="str">
        <f>IFERROR(VLOOKUP($A477,#REF!,45,FALSE),"")</f>
        <v/>
      </c>
      <c r="AA477" s="1071"/>
      <c r="AB477" s="1072"/>
      <c r="AC477" s="1074"/>
      <c r="AD477" s="1074"/>
      <c r="AE477" s="1074"/>
      <c r="AF477" s="1074"/>
      <c r="AG477" s="735"/>
      <c r="AH477" s="735"/>
      <c r="AI477" s="1074"/>
      <c r="AJ477" s="1079"/>
      <c r="AK477" s="1082"/>
      <c r="AL477" s="778"/>
      <c r="AM477" s="765"/>
      <c r="AN477" s="778"/>
      <c r="AO477" s="777"/>
      <c r="AP477" s="778"/>
      <c r="AQ477" s="1080"/>
      <c r="AR477" s="735"/>
      <c r="AS477" s="735"/>
      <c r="AT477" s="735"/>
      <c r="AU477" s="735"/>
      <c r="AV477" s="735"/>
      <c r="AW477" s="735"/>
    </row>
    <row r="478" spans="1:49" s="1077" customFormat="1">
      <c r="A478" s="968" t="s">
        <v>149</v>
      </c>
      <c r="B478" s="968" t="s">
        <v>4073</v>
      </c>
      <c r="C478" s="968"/>
      <c r="D478" s="968" t="s">
        <v>4191</v>
      </c>
      <c r="E478" s="968" t="s">
        <v>4191</v>
      </c>
      <c r="F478" s="1069" t="str">
        <f>IFERROR(VLOOKUP($A478,#REF!,3,FALSE),"")</f>
        <v/>
      </c>
      <c r="G478" s="1056" t="str">
        <f>IFERROR(VLOOKUP($A478,#REF!,4,FALSE),"")</f>
        <v/>
      </c>
      <c r="H478" s="1056" t="str">
        <f>IFERROR(VLOOKUP($A478,#REF!,5,FALSE),"")</f>
        <v/>
      </c>
      <c r="I478" s="1056" t="str">
        <f>IFERROR(VLOOKUP($A478,#REF!,6,FALSE),"")</f>
        <v/>
      </c>
      <c r="J478" s="1056" t="str">
        <f>IFERROR(VLOOKUP($A478,#REF!,7,FALSE),"")</f>
        <v/>
      </c>
      <c r="K478" s="1056" t="str">
        <f>IFERROR(VLOOKUP($A478,#REF!,8,FALSE),"")</f>
        <v/>
      </c>
      <c r="L478" s="1063" t="str">
        <f>IFERROR(VLOOKUP($A478,#REF!,9,FALSE),"")</f>
        <v/>
      </c>
      <c r="M478" s="1070" t="str">
        <f>IFERROR(VLOOKUP($A478,#REF!,10,FALSE),"")</f>
        <v/>
      </c>
      <c r="N478" s="1063" t="str">
        <f>IFERROR(VLOOKUP($A478,#REF!,12,FALSE),"")</f>
        <v/>
      </c>
      <c r="O478" s="1056" t="str">
        <f>IFERROR(VLOOKUP($A478,#REF!,13,FALSE),"")</f>
        <v/>
      </c>
      <c r="P478" s="1056" t="str">
        <f>IFERROR(VLOOKUP($A478,#REF!,14,FALSE),"")</f>
        <v/>
      </c>
      <c r="Q478" s="1056" t="str">
        <f>IFERROR(VLOOKUP($A478,#REF!,16,FALSE),"")</f>
        <v/>
      </c>
      <c r="R478" s="1056" t="str">
        <f>IFERROR(VLOOKUP($A478,#REF!,17,FALSE),"")</f>
        <v/>
      </c>
      <c r="S478" s="1063" t="str">
        <f>IFERROR(VLOOKUP($A478,#REF!,20,FALSE),"")</f>
        <v/>
      </c>
      <c r="T478" s="1063" t="str">
        <f>IFERROR(VLOOKUP($A478,#REF!,21,FALSE),"")</f>
        <v/>
      </c>
      <c r="U478" s="1063" t="str">
        <f>IFERROR(VLOOKUP($A478,#REF!,22,FALSE),"")</f>
        <v/>
      </c>
      <c r="V478" s="1063" t="str">
        <f>IFERROR(VLOOKUP($A478,#REF!,23,FALSE),"")</f>
        <v/>
      </c>
      <c r="W478" s="1063" t="str">
        <f>IFERROR(VLOOKUP($A478,#REF!,24,FALSE),"")</f>
        <v/>
      </c>
      <c r="X478" s="1063" t="str">
        <f>IFERROR(VLOOKUP($A478,#REF!,41,FALSE),"")</f>
        <v/>
      </c>
      <c r="Y478" s="1063" t="str">
        <f>IFERROR(VLOOKUP($A478,#REF!,42,FALSE),"")</f>
        <v/>
      </c>
      <c r="Z478" s="1063" t="str">
        <f>IFERROR(VLOOKUP($A478,#REF!,45,FALSE),"")</f>
        <v/>
      </c>
      <c r="AA478" s="1071">
        <v>2017</v>
      </c>
      <c r="AB478" s="1072">
        <v>7</v>
      </c>
      <c r="AC478" s="1073" t="s">
        <v>303</v>
      </c>
      <c r="AD478" s="1073" t="s">
        <v>4147</v>
      </c>
      <c r="AE478" s="1074" t="s">
        <v>307</v>
      </c>
      <c r="AF478" s="1074" t="s">
        <v>113</v>
      </c>
      <c r="AG478" s="968" t="s">
        <v>3962</v>
      </c>
      <c r="AH478" s="968" t="s">
        <v>3963</v>
      </c>
      <c r="AI478" s="1071">
        <v>3</v>
      </c>
      <c r="AJ478" s="1075" t="s">
        <v>4021</v>
      </c>
      <c r="AK478" s="765">
        <v>260018</v>
      </c>
      <c r="AL478" s="766">
        <v>142</v>
      </c>
      <c r="AM478" s="765">
        <v>260019</v>
      </c>
      <c r="AN478" s="766">
        <v>143</v>
      </c>
      <c r="AO478" s="777">
        <f t="shared" si="105"/>
        <v>260020</v>
      </c>
      <c r="AP478" s="778">
        <f t="shared" si="106"/>
        <v>144</v>
      </c>
      <c r="AQ478" s="1076"/>
      <c r="AR478" s="968"/>
      <c r="AS478" s="968"/>
      <c r="AT478" s="968"/>
      <c r="AU478" s="968"/>
      <c r="AV478" s="968"/>
      <c r="AW478" s="968"/>
    </row>
    <row r="479" spans="1:49" s="1077" customFormat="1">
      <c r="A479" s="968" t="s">
        <v>149</v>
      </c>
      <c r="B479" s="968" t="s">
        <v>4073</v>
      </c>
      <c r="C479" s="968"/>
      <c r="D479" s="968" t="s">
        <v>4191</v>
      </c>
      <c r="E479" s="968" t="s">
        <v>4191</v>
      </c>
      <c r="F479" s="1069" t="str">
        <f>IFERROR(VLOOKUP($A479,#REF!,3,FALSE),"")</f>
        <v/>
      </c>
      <c r="G479" s="1056" t="str">
        <f>IFERROR(VLOOKUP($A479,#REF!,4,FALSE),"")</f>
        <v/>
      </c>
      <c r="H479" s="1056" t="str">
        <f>IFERROR(VLOOKUP($A479,#REF!,5,FALSE),"")</f>
        <v/>
      </c>
      <c r="I479" s="1056" t="str">
        <f>IFERROR(VLOOKUP($A479,#REF!,6,FALSE),"")</f>
        <v/>
      </c>
      <c r="J479" s="1056" t="str">
        <f>IFERROR(VLOOKUP($A479,#REF!,7,FALSE),"")</f>
        <v/>
      </c>
      <c r="K479" s="1056" t="str">
        <f>IFERROR(VLOOKUP($A479,#REF!,8,FALSE),"")</f>
        <v/>
      </c>
      <c r="L479" s="1063" t="str">
        <f>IFERROR(VLOOKUP($A479,#REF!,9,FALSE),"")</f>
        <v/>
      </c>
      <c r="M479" s="1070" t="str">
        <f>IFERROR(VLOOKUP($A479,#REF!,10,FALSE),"")</f>
        <v/>
      </c>
      <c r="N479" s="1063" t="str">
        <f>IFERROR(VLOOKUP($A479,#REF!,12,FALSE),"")</f>
        <v/>
      </c>
      <c r="O479" s="1056" t="str">
        <f>IFERROR(VLOOKUP($A479,#REF!,13,FALSE),"")</f>
        <v/>
      </c>
      <c r="P479" s="1056" t="str">
        <f>IFERROR(VLOOKUP($A479,#REF!,14,FALSE),"")</f>
        <v/>
      </c>
      <c r="Q479" s="1056" t="str">
        <f>IFERROR(VLOOKUP($A479,#REF!,16,FALSE),"")</f>
        <v/>
      </c>
      <c r="R479" s="1056" t="str">
        <f>IFERROR(VLOOKUP($A479,#REF!,17,FALSE),"")</f>
        <v/>
      </c>
      <c r="S479" s="1063" t="str">
        <f>IFERROR(VLOOKUP($A479,#REF!,20,FALSE),"")</f>
        <v/>
      </c>
      <c r="T479" s="1063" t="str">
        <f>IFERROR(VLOOKUP($A479,#REF!,21,FALSE),"")</f>
        <v/>
      </c>
      <c r="U479" s="1063" t="str">
        <f>IFERROR(VLOOKUP($A479,#REF!,22,FALSE),"")</f>
        <v/>
      </c>
      <c r="V479" s="1063" t="str">
        <f>IFERROR(VLOOKUP($A479,#REF!,23,FALSE),"")</f>
        <v/>
      </c>
      <c r="W479" s="1063" t="str">
        <f>IFERROR(VLOOKUP($A479,#REF!,24,FALSE),"")</f>
        <v/>
      </c>
      <c r="X479" s="1063" t="str">
        <f>IFERROR(VLOOKUP($A479,#REF!,41,FALSE),"")</f>
        <v/>
      </c>
      <c r="Y479" s="1063" t="str">
        <f>IFERROR(VLOOKUP($A479,#REF!,42,FALSE),"")</f>
        <v/>
      </c>
      <c r="Z479" s="1063" t="str">
        <f>IFERROR(VLOOKUP($A479,#REF!,45,FALSE),"")</f>
        <v/>
      </c>
      <c r="AA479" s="1071">
        <v>2017</v>
      </c>
      <c r="AB479" s="1072">
        <v>7</v>
      </c>
      <c r="AC479" s="1073" t="s">
        <v>303</v>
      </c>
      <c r="AD479" s="1073" t="s">
        <v>4147</v>
      </c>
      <c r="AE479" s="1074" t="s">
        <v>307</v>
      </c>
      <c r="AF479" s="1074" t="s">
        <v>113</v>
      </c>
      <c r="AG479" s="968" t="s">
        <v>3972</v>
      </c>
      <c r="AH479" s="968" t="s">
        <v>3973</v>
      </c>
      <c r="AI479" s="1071">
        <v>7</v>
      </c>
      <c r="AJ479" s="1075" t="s">
        <v>4001</v>
      </c>
      <c r="AK479" s="765">
        <v>909678</v>
      </c>
      <c r="AL479" s="766">
        <v>55</v>
      </c>
      <c r="AM479" s="765">
        <v>909678</v>
      </c>
      <c r="AN479" s="766">
        <v>56</v>
      </c>
      <c r="AO479" s="777">
        <f>AM479</f>
        <v>909678</v>
      </c>
      <c r="AP479" s="778">
        <f t="shared" si="106"/>
        <v>57</v>
      </c>
      <c r="AQ479" s="1076"/>
      <c r="AR479" s="968"/>
      <c r="AS479" s="968"/>
      <c r="AT479" s="968"/>
      <c r="AU479" s="968"/>
      <c r="AV479" s="968"/>
      <c r="AW479" s="968"/>
    </row>
    <row r="480" spans="1:49" s="1077" customFormat="1">
      <c r="A480" s="968" t="s">
        <v>149</v>
      </c>
      <c r="B480" s="968" t="s">
        <v>4073</v>
      </c>
      <c r="C480" s="968"/>
      <c r="D480" s="968" t="s">
        <v>4191</v>
      </c>
      <c r="E480" s="968" t="s">
        <v>4191</v>
      </c>
      <c r="F480" s="1069" t="str">
        <f>IFERROR(VLOOKUP($A480,#REF!,3,FALSE),"")</f>
        <v/>
      </c>
      <c r="G480" s="1056" t="str">
        <f>IFERROR(VLOOKUP($A480,#REF!,4,FALSE),"")</f>
        <v/>
      </c>
      <c r="H480" s="1056" t="str">
        <f>IFERROR(VLOOKUP($A480,#REF!,5,FALSE),"")</f>
        <v/>
      </c>
      <c r="I480" s="1056" t="str">
        <f>IFERROR(VLOOKUP($A480,#REF!,6,FALSE),"")</f>
        <v/>
      </c>
      <c r="J480" s="1056" t="str">
        <f>IFERROR(VLOOKUP($A480,#REF!,7,FALSE),"")</f>
        <v/>
      </c>
      <c r="K480" s="1056" t="str">
        <f>IFERROR(VLOOKUP($A480,#REF!,8,FALSE),"")</f>
        <v/>
      </c>
      <c r="L480" s="1063" t="str">
        <f>IFERROR(VLOOKUP($A480,#REF!,9,FALSE),"")</f>
        <v/>
      </c>
      <c r="M480" s="1070" t="str">
        <f>IFERROR(VLOOKUP($A480,#REF!,10,FALSE),"")</f>
        <v/>
      </c>
      <c r="N480" s="1063" t="str">
        <f>IFERROR(VLOOKUP($A480,#REF!,12,FALSE),"")</f>
        <v/>
      </c>
      <c r="O480" s="1056" t="str">
        <f>IFERROR(VLOOKUP($A480,#REF!,13,FALSE),"")</f>
        <v/>
      </c>
      <c r="P480" s="1056" t="str">
        <f>IFERROR(VLOOKUP($A480,#REF!,14,FALSE),"")</f>
        <v/>
      </c>
      <c r="Q480" s="1056" t="str">
        <f>IFERROR(VLOOKUP($A480,#REF!,16,FALSE),"")</f>
        <v/>
      </c>
      <c r="R480" s="1056" t="str">
        <f>IFERROR(VLOOKUP($A480,#REF!,17,FALSE),"")</f>
        <v/>
      </c>
      <c r="S480" s="1063" t="str">
        <f>IFERROR(VLOOKUP($A480,#REF!,20,FALSE),"")</f>
        <v/>
      </c>
      <c r="T480" s="1063" t="str">
        <f>IFERROR(VLOOKUP($A480,#REF!,21,FALSE),"")</f>
        <v/>
      </c>
      <c r="U480" s="1063" t="str">
        <f>IFERROR(VLOOKUP($A480,#REF!,22,FALSE),"")</f>
        <v/>
      </c>
      <c r="V480" s="1063" t="str">
        <f>IFERROR(VLOOKUP($A480,#REF!,23,FALSE),"")</f>
        <v/>
      </c>
      <c r="W480" s="1063" t="str">
        <f>IFERROR(VLOOKUP($A480,#REF!,24,FALSE),"")</f>
        <v/>
      </c>
      <c r="X480" s="1063" t="str">
        <f>IFERROR(VLOOKUP($A480,#REF!,41,FALSE),"")</f>
        <v/>
      </c>
      <c r="Y480" s="1063" t="str">
        <f>IFERROR(VLOOKUP($A480,#REF!,42,FALSE),"")</f>
        <v/>
      </c>
      <c r="Z480" s="1063" t="str">
        <f>IFERROR(VLOOKUP($A480,#REF!,45,FALSE),"")</f>
        <v/>
      </c>
      <c r="AA480" s="1071">
        <v>2017</v>
      </c>
      <c r="AB480" s="1072">
        <v>7</v>
      </c>
      <c r="AC480" s="1073" t="s">
        <v>303</v>
      </c>
      <c r="AD480" s="1073" t="s">
        <v>4147</v>
      </c>
      <c r="AE480" s="1074" t="s">
        <v>307</v>
      </c>
      <c r="AF480" s="1074" t="s">
        <v>113</v>
      </c>
      <c r="AG480" s="968" t="s">
        <v>3972</v>
      </c>
      <c r="AH480" s="968" t="s">
        <v>3977</v>
      </c>
      <c r="AI480" s="1071">
        <v>13</v>
      </c>
      <c r="AJ480" s="1075" t="s">
        <v>4004</v>
      </c>
      <c r="AK480" s="765"/>
      <c r="AL480" s="766"/>
      <c r="AM480" s="765"/>
      <c r="AN480" s="766"/>
      <c r="AO480" s="777"/>
      <c r="AP480" s="778"/>
      <c r="AQ480" s="1076"/>
      <c r="AR480" s="968"/>
      <c r="AS480" s="968"/>
      <c r="AT480" s="968"/>
      <c r="AU480" s="968"/>
      <c r="AV480" s="968"/>
      <c r="AW480" s="968"/>
    </row>
    <row r="481" spans="1:49" s="1077" customFormat="1">
      <c r="A481" s="968"/>
      <c r="B481" s="968"/>
      <c r="C481" s="968"/>
      <c r="D481" s="968"/>
      <c r="E481" s="968"/>
      <c r="F481" s="1069" t="str">
        <f>IFERROR(VLOOKUP($A481,#REF!,3,FALSE),"")</f>
        <v/>
      </c>
      <c r="G481" s="1056" t="str">
        <f>IFERROR(VLOOKUP($A481,#REF!,4,FALSE),"")</f>
        <v/>
      </c>
      <c r="H481" s="1056" t="str">
        <f>IFERROR(VLOOKUP($A481,#REF!,5,FALSE),"")</f>
        <v/>
      </c>
      <c r="I481" s="1056" t="str">
        <f>IFERROR(VLOOKUP($A481,#REF!,6,FALSE),"")</f>
        <v/>
      </c>
      <c r="J481" s="1056" t="str">
        <f>IFERROR(VLOOKUP($A481,#REF!,7,FALSE),"")</f>
        <v/>
      </c>
      <c r="K481" s="1056" t="str">
        <f>IFERROR(VLOOKUP($A481,#REF!,8,FALSE),"")</f>
        <v/>
      </c>
      <c r="L481" s="1063" t="str">
        <f>IFERROR(VLOOKUP($A481,#REF!,9,FALSE),"")</f>
        <v/>
      </c>
      <c r="M481" s="1070" t="str">
        <f>IFERROR(VLOOKUP($A481,#REF!,10,FALSE),"")</f>
        <v/>
      </c>
      <c r="N481" s="1063" t="str">
        <f>IFERROR(VLOOKUP($A481,#REF!,12,FALSE),"")</f>
        <v/>
      </c>
      <c r="O481" s="1056" t="str">
        <f>IFERROR(VLOOKUP($A481,#REF!,13,FALSE),"")</f>
        <v/>
      </c>
      <c r="P481" s="1056" t="str">
        <f>IFERROR(VLOOKUP($A481,#REF!,14,FALSE),"")</f>
        <v/>
      </c>
      <c r="Q481" s="1056" t="str">
        <f>IFERROR(VLOOKUP($A481,#REF!,16,FALSE),"")</f>
        <v/>
      </c>
      <c r="R481" s="1056" t="str">
        <f>IFERROR(VLOOKUP($A481,#REF!,17,FALSE),"")</f>
        <v/>
      </c>
      <c r="S481" s="1063" t="str">
        <f>IFERROR(VLOOKUP($A481,#REF!,20,FALSE),"")</f>
        <v/>
      </c>
      <c r="T481" s="1063" t="str">
        <f>IFERROR(VLOOKUP($A481,#REF!,21,FALSE),"")</f>
        <v/>
      </c>
      <c r="U481" s="1063" t="str">
        <f>IFERROR(VLOOKUP($A481,#REF!,22,FALSE),"")</f>
        <v/>
      </c>
      <c r="V481" s="1063" t="str">
        <f>IFERROR(VLOOKUP($A481,#REF!,23,FALSE),"")</f>
        <v/>
      </c>
      <c r="W481" s="1063" t="str">
        <f>IFERROR(VLOOKUP($A481,#REF!,24,FALSE),"")</f>
        <v/>
      </c>
      <c r="X481" s="1063" t="str">
        <f>IFERROR(VLOOKUP($A481,#REF!,41,FALSE),"")</f>
        <v/>
      </c>
      <c r="Y481" s="1063" t="str">
        <f>IFERROR(VLOOKUP($A481,#REF!,42,FALSE),"")</f>
        <v/>
      </c>
      <c r="Z481" s="1063" t="str">
        <f>IFERROR(VLOOKUP($A481,#REF!,45,FALSE),"")</f>
        <v/>
      </c>
      <c r="AA481" s="1071"/>
      <c r="AB481" s="1072"/>
      <c r="AC481" s="1073"/>
      <c r="AD481" s="1073"/>
      <c r="AE481" s="1071"/>
      <c r="AF481" s="1071"/>
      <c r="AG481" s="968"/>
      <c r="AH481" s="968"/>
      <c r="AI481" s="1071"/>
      <c r="AJ481" s="1075"/>
      <c r="AK481" s="765"/>
      <c r="AL481" s="766"/>
      <c r="AM481" s="765"/>
      <c r="AN481" s="766"/>
      <c r="AO481" s="777"/>
      <c r="AP481" s="778"/>
      <c r="AQ481" s="1076"/>
      <c r="AR481" s="968"/>
      <c r="AS481" s="968"/>
      <c r="AT481" s="968"/>
      <c r="AU481" s="968"/>
      <c r="AV481" s="968"/>
      <c r="AW481" s="968"/>
    </row>
    <row r="482" spans="1:49" s="1077" customFormat="1">
      <c r="A482" s="968" t="s">
        <v>152</v>
      </c>
      <c r="B482" s="968" t="s">
        <v>152</v>
      </c>
      <c r="C482" s="968"/>
      <c r="D482" s="968" t="s">
        <v>152</v>
      </c>
      <c r="E482" s="968" t="s">
        <v>152</v>
      </c>
      <c r="F482" s="1069" t="str">
        <f>IFERROR(VLOOKUP($A482,#REF!,3,FALSE),"")</f>
        <v/>
      </c>
      <c r="G482" s="1056" t="str">
        <f>IFERROR(VLOOKUP($A482,#REF!,4,FALSE),"")</f>
        <v/>
      </c>
      <c r="H482" s="1056" t="str">
        <f>IFERROR(VLOOKUP($A482,#REF!,5,FALSE),"")</f>
        <v/>
      </c>
      <c r="I482" s="1056" t="str">
        <f>IFERROR(VLOOKUP($A482,#REF!,6,FALSE),"")</f>
        <v/>
      </c>
      <c r="J482" s="1056" t="str">
        <f>IFERROR(VLOOKUP($A482,#REF!,7,FALSE),"")</f>
        <v/>
      </c>
      <c r="K482" s="1056" t="str">
        <f>IFERROR(VLOOKUP($A482,#REF!,8,FALSE),"")</f>
        <v/>
      </c>
      <c r="L482" s="1063" t="str">
        <f>IFERROR(VLOOKUP($A482,#REF!,9,FALSE),"")</f>
        <v/>
      </c>
      <c r="M482" s="1070" t="str">
        <f>IFERROR(VLOOKUP($A482,#REF!,10,FALSE),"")</f>
        <v/>
      </c>
      <c r="N482" s="1063" t="str">
        <f>IFERROR(VLOOKUP($A482,#REF!,12,FALSE),"")</f>
        <v/>
      </c>
      <c r="O482" s="1056" t="str">
        <f>IFERROR(VLOOKUP($A482,#REF!,13,FALSE),"")</f>
        <v/>
      </c>
      <c r="P482" s="1056" t="str">
        <f>IFERROR(VLOOKUP($A482,#REF!,14,FALSE),"")</f>
        <v/>
      </c>
      <c r="Q482" s="1056" t="str">
        <f>IFERROR(VLOOKUP($A482,#REF!,16,FALSE),"")</f>
        <v/>
      </c>
      <c r="R482" s="1056" t="str">
        <f>IFERROR(VLOOKUP($A482,#REF!,17,FALSE),"")</f>
        <v/>
      </c>
      <c r="S482" s="1063" t="str">
        <f>IFERROR(VLOOKUP($A482,#REF!,20,FALSE),"")</f>
        <v/>
      </c>
      <c r="T482" s="1063" t="str">
        <f>IFERROR(VLOOKUP($A482,#REF!,21,FALSE),"")</f>
        <v/>
      </c>
      <c r="U482" s="1063" t="str">
        <f>IFERROR(VLOOKUP($A482,#REF!,22,FALSE),"")</f>
        <v/>
      </c>
      <c r="V482" s="1063" t="str">
        <f>IFERROR(VLOOKUP($A482,#REF!,23,FALSE),"")</f>
        <v/>
      </c>
      <c r="W482" s="1063" t="str">
        <f>IFERROR(VLOOKUP($A482,#REF!,24,FALSE),"")</f>
        <v/>
      </c>
      <c r="X482" s="1063" t="str">
        <f>IFERROR(VLOOKUP($A482,#REF!,41,FALSE),"")</f>
        <v/>
      </c>
      <c r="Y482" s="1063" t="str">
        <f>IFERROR(VLOOKUP($A482,#REF!,42,FALSE),"")</f>
        <v/>
      </c>
      <c r="Z482" s="1063" t="str">
        <f>IFERROR(VLOOKUP($A482,#REF!,45,FALSE),"")</f>
        <v/>
      </c>
      <c r="AA482" s="1071">
        <v>2017</v>
      </c>
      <c r="AB482" s="1072">
        <v>17</v>
      </c>
      <c r="AC482" s="1073" t="s">
        <v>303</v>
      </c>
      <c r="AD482" s="1073" t="s">
        <v>3656</v>
      </c>
      <c r="AE482" s="1074" t="s">
        <v>307</v>
      </c>
      <c r="AF482" s="1074" t="s">
        <v>113</v>
      </c>
      <c r="AG482" s="968" t="s">
        <v>3962</v>
      </c>
      <c r="AH482" s="968" t="s">
        <v>3963</v>
      </c>
      <c r="AI482" s="1071">
        <v>1</v>
      </c>
      <c r="AJ482" s="1075" t="s">
        <v>3998</v>
      </c>
      <c r="AK482" s="765">
        <v>260027</v>
      </c>
      <c r="AL482" s="766">
        <v>118</v>
      </c>
      <c r="AM482" s="765">
        <v>260028</v>
      </c>
      <c r="AN482" s="766">
        <v>119</v>
      </c>
      <c r="AO482" s="777">
        <f>AM482+1</f>
        <v>260029</v>
      </c>
      <c r="AP482" s="778">
        <f>AN482+1</f>
        <v>120</v>
      </c>
      <c r="AQ482" s="1076"/>
      <c r="AR482" s="968"/>
      <c r="AS482" s="968"/>
      <c r="AT482" s="968"/>
      <c r="AU482" s="968"/>
      <c r="AV482" s="968"/>
      <c r="AW482" s="968"/>
    </row>
    <row r="483" spans="1:49" s="1077" customFormat="1">
      <c r="A483" s="968" t="s">
        <v>152</v>
      </c>
      <c r="B483" s="968" t="s">
        <v>152</v>
      </c>
      <c r="C483" s="968"/>
      <c r="D483" s="968" t="s">
        <v>152</v>
      </c>
      <c r="E483" s="968" t="s">
        <v>152</v>
      </c>
      <c r="F483" s="1069" t="str">
        <f>IFERROR(VLOOKUP($A483,#REF!,3,FALSE),"")</f>
        <v/>
      </c>
      <c r="G483" s="1056" t="str">
        <f>IFERROR(VLOOKUP($A483,#REF!,4,FALSE),"")</f>
        <v/>
      </c>
      <c r="H483" s="1056" t="str">
        <f>IFERROR(VLOOKUP($A483,#REF!,5,FALSE),"")</f>
        <v/>
      </c>
      <c r="I483" s="1056" t="str">
        <f>IFERROR(VLOOKUP($A483,#REF!,6,FALSE),"")</f>
        <v/>
      </c>
      <c r="J483" s="1056" t="str">
        <f>IFERROR(VLOOKUP($A483,#REF!,7,FALSE),"")</f>
        <v/>
      </c>
      <c r="K483" s="1056" t="str">
        <f>IFERROR(VLOOKUP($A483,#REF!,8,FALSE),"")</f>
        <v/>
      </c>
      <c r="L483" s="1063" t="str">
        <f>IFERROR(VLOOKUP($A483,#REF!,9,FALSE),"")</f>
        <v/>
      </c>
      <c r="M483" s="1070" t="str">
        <f>IFERROR(VLOOKUP($A483,#REF!,10,FALSE),"")</f>
        <v/>
      </c>
      <c r="N483" s="1063" t="str">
        <f>IFERROR(VLOOKUP($A483,#REF!,12,FALSE),"")</f>
        <v/>
      </c>
      <c r="O483" s="1056" t="str">
        <f>IFERROR(VLOOKUP($A483,#REF!,13,FALSE),"")</f>
        <v/>
      </c>
      <c r="P483" s="1056" t="str">
        <f>IFERROR(VLOOKUP($A483,#REF!,14,FALSE),"")</f>
        <v/>
      </c>
      <c r="Q483" s="1056" t="str">
        <f>IFERROR(VLOOKUP($A483,#REF!,16,FALSE),"")</f>
        <v/>
      </c>
      <c r="R483" s="1056" t="str">
        <f>IFERROR(VLOOKUP($A483,#REF!,17,FALSE),"")</f>
        <v/>
      </c>
      <c r="S483" s="1063" t="str">
        <f>IFERROR(VLOOKUP($A483,#REF!,20,FALSE),"")</f>
        <v/>
      </c>
      <c r="T483" s="1063" t="str">
        <f>IFERROR(VLOOKUP($A483,#REF!,21,FALSE),"")</f>
        <v/>
      </c>
      <c r="U483" s="1063" t="str">
        <f>IFERROR(VLOOKUP($A483,#REF!,22,FALSE),"")</f>
        <v/>
      </c>
      <c r="V483" s="1063" t="str">
        <f>IFERROR(VLOOKUP($A483,#REF!,23,FALSE),"")</f>
        <v/>
      </c>
      <c r="W483" s="1063" t="str">
        <f>IFERROR(VLOOKUP($A483,#REF!,24,FALSE),"")</f>
        <v/>
      </c>
      <c r="X483" s="1063" t="str">
        <f>IFERROR(VLOOKUP($A483,#REF!,41,FALSE),"")</f>
        <v/>
      </c>
      <c r="Y483" s="1063" t="str">
        <f>IFERROR(VLOOKUP($A483,#REF!,42,FALSE),"")</f>
        <v/>
      </c>
      <c r="Z483" s="1063" t="str">
        <f>IFERROR(VLOOKUP($A483,#REF!,45,FALSE),"")</f>
        <v/>
      </c>
      <c r="AA483" s="1071">
        <v>2017</v>
      </c>
      <c r="AB483" s="1072">
        <v>17</v>
      </c>
      <c r="AC483" s="1073" t="s">
        <v>303</v>
      </c>
      <c r="AD483" s="1073" t="s">
        <v>3656</v>
      </c>
      <c r="AE483" s="1074" t="s">
        <v>307</v>
      </c>
      <c r="AF483" s="1074" t="s">
        <v>113</v>
      </c>
      <c r="AG483" s="968" t="s">
        <v>3972</v>
      </c>
      <c r="AH483" s="968" t="s">
        <v>3973</v>
      </c>
      <c r="AI483" s="1071">
        <v>7</v>
      </c>
      <c r="AJ483" s="1075" t="s">
        <v>4001</v>
      </c>
      <c r="AK483" s="765">
        <v>909678</v>
      </c>
      <c r="AL483" s="766">
        <v>103</v>
      </c>
      <c r="AM483" s="765">
        <v>909678</v>
      </c>
      <c r="AN483" s="766">
        <v>104</v>
      </c>
      <c r="AO483" s="777">
        <f>AM483</f>
        <v>909678</v>
      </c>
      <c r="AP483" s="778">
        <f>AN483+1</f>
        <v>105</v>
      </c>
      <c r="AQ483" s="1076"/>
      <c r="AR483" s="968"/>
      <c r="AS483" s="968"/>
      <c r="AT483" s="968"/>
      <c r="AU483" s="968"/>
      <c r="AV483" s="968"/>
      <c r="AW483" s="968"/>
    </row>
    <row r="484" spans="1:49" s="1077" customFormat="1">
      <c r="A484" s="968" t="s">
        <v>152</v>
      </c>
      <c r="B484" s="968" t="s">
        <v>152</v>
      </c>
      <c r="C484" s="968"/>
      <c r="D484" s="968" t="s">
        <v>152</v>
      </c>
      <c r="E484" s="968" t="s">
        <v>152</v>
      </c>
      <c r="F484" s="1069" t="str">
        <f>IFERROR(VLOOKUP($A484,#REF!,3,FALSE),"")</f>
        <v/>
      </c>
      <c r="G484" s="1056" t="str">
        <f>IFERROR(VLOOKUP($A484,#REF!,4,FALSE),"")</f>
        <v/>
      </c>
      <c r="H484" s="1056" t="str">
        <f>IFERROR(VLOOKUP($A484,#REF!,5,FALSE),"")</f>
        <v/>
      </c>
      <c r="I484" s="1056" t="str">
        <f>IFERROR(VLOOKUP($A484,#REF!,6,FALSE),"")</f>
        <v/>
      </c>
      <c r="J484" s="1056" t="str">
        <f>IFERROR(VLOOKUP($A484,#REF!,7,FALSE),"")</f>
        <v/>
      </c>
      <c r="K484" s="1056" t="str">
        <f>IFERROR(VLOOKUP($A484,#REF!,8,FALSE),"")</f>
        <v/>
      </c>
      <c r="L484" s="1063" t="str">
        <f>IFERROR(VLOOKUP($A484,#REF!,9,FALSE),"")</f>
        <v/>
      </c>
      <c r="M484" s="1070" t="str">
        <f>IFERROR(VLOOKUP($A484,#REF!,10,FALSE),"")</f>
        <v/>
      </c>
      <c r="N484" s="1063" t="str">
        <f>IFERROR(VLOOKUP($A484,#REF!,12,FALSE),"")</f>
        <v/>
      </c>
      <c r="O484" s="1056" t="str">
        <f>IFERROR(VLOOKUP($A484,#REF!,13,FALSE),"")</f>
        <v/>
      </c>
      <c r="P484" s="1056" t="str">
        <f>IFERROR(VLOOKUP($A484,#REF!,14,FALSE),"")</f>
        <v/>
      </c>
      <c r="Q484" s="1056" t="str">
        <f>IFERROR(VLOOKUP($A484,#REF!,16,FALSE),"")</f>
        <v/>
      </c>
      <c r="R484" s="1056" t="str">
        <f>IFERROR(VLOOKUP($A484,#REF!,17,FALSE),"")</f>
        <v/>
      </c>
      <c r="S484" s="1063" t="str">
        <f>IFERROR(VLOOKUP($A484,#REF!,20,FALSE),"")</f>
        <v/>
      </c>
      <c r="T484" s="1063" t="str">
        <f>IFERROR(VLOOKUP($A484,#REF!,21,FALSE),"")</f>
        <v/>
      </c>
      <c r="U484" s="1063" t="str">
        <f>IFERROR(VLOOKUP($A484,#REF!,22,FALSE),"")</f>
        <v/>
      </c>
      <c r="V484" s="1063" t="str">
        <f>IFERROR(VLOOKUP($A484,#REF!,23,FALSE),"")</f>
        <v/>
      </c>
      <c r="W484" s="1063" t="str">
        <f>IFERROR(VLOOKUP($A484,#REF!,24,FALSE),"")</f>
        <v/>
      </c>
      <c r="X484" s="1063" t="str">
        <f>IFERROR(VLOOKUP($A484,#REF!,41,FALSE),"")</f>
        <v/>
      </c>
      <c r="Y484" s="1063" t="str">
        <f>IFERROR(VLOOKUP($A484,#REF!,42,FALSE),"")</f>
        <v/>
      </c>
      <c r="Z484" s="1063" t="str">
        <f>IFERROR(VLOOKUP($A484,#REF!,45,FALSE),"")</f>
        <v/>
      </c>
      <c r="AA484" s="1071">
        <v>2017</v>
      </c>
      <c r="AB484" s="1072">
        <v>17</v>
      </c>
      <c r="AC484" s="1073" t="s">
        <v>303</v>
      </c>
      <c r="AD484" s="1073" t="s">
        <v>3656</v>
      </c>
      <c r="AE484" s="1074" t="s">
        <v>307</v>
      </c>
      <c r="AF484" s="1074" t="s">
        <v>113</v>
      </c>
      <c r="AG484" s="968" t="s">
        <v>3972</v>
      </c>
      <c r="AH484" s="968" t="s">
        <v>3977</v>
      </c>
      <c r="AI484" s="1071">
        <v>13</v>
      </c>
      <c r="AJ484" s="1075" t="s">
        <v>4004</v>
      </c>
      <c r="AK484" s="765"/>
      <c r="AL484" s="766"/>
      <c r="AM484" s="765"/>
      <c r="AN484" s="766"/>
      <c r="AO484" s="777"/>
      <c r="AP484" s="778"/>
      <c r="AQ484" s="1076"/>
      <c r="AR484" s="968"/>
      <c r="AS484" s="968"/>
      <c r="AT484" s="968"/>
      <c r="AU484" s="968"/>
      <c r="AV484" s="968"/>
      <c r="AW484" s="968"/>
    </row>
    <row r="485" spans="1:49" s="1077" customFormat="1">
      <c r="A485" s="968" t="s">
        <v>152</v>
      </c>
      <c r="B485" s="968" t="s">
        <v>152</v>
      </c>
      <c r="C485" s="968"/>
      <c r="D485" s="968" t="s">
        <v>152</v>
      </c>
      <c r="E485" s="968" t="s">
        <v>152</v>
      </c>
      <c r="F485" s="1069" t="str">
        <f>IFERROR(VLOOKUP($A485,#REF!,3,FALSE),"")</f>
        <v/>
      </c>
      <c r="G485" s="1056" t="str">
        <f>IFERROR(VLOOKUP($A485,#REF!,4,FALSE),"")</f>
        <v/>
      </c>
      <c r="H485" s="1056" t="str">
        <f>IFERROR(VLOOKUP($A485,#REF!,5,FALSE),"")</f>
        <v/>
      </c>
      <c r="I485" s="1056" t="str">
        <f>IFERROR(VLOOKUP($A485,#REF!,6,FALSE),"")</f>
        <v/>
      </c>
      <c r="J485" s="1056" t="str">
        <f>IFERROR(VLOOKUP($A485,#REF!,7,FALSE),"")</f>
        <v/>
      </c>
      <c r="K485" s="1056" t="str">
        <f>IFERROR(VLOOKUP($A485,#REF!,8,FALSE),"")</f>
        <v/>
      </c>
      <c r="L485" s="1063" t="str">
        <f>IFERROR(VLOOKUP($A485,#REF!,9,FALSE),"")</f>
        <v/>
      </c>
      <c r="M485" s="1070" t="str">
        <f>IFERROR(VLOOKUP($A485,#REF!,10,FALSE),"")</f>
        <v/>
      </c>
      <c r="N485" s="1063" t="str">
        <f>IFERROR(VLOOKUP($A485,#REF!,12,FALSE),"")</f>
        <v/>
      </c>
      <c r="O485" s="1056" t="str">
        <f>IFERROR(VLOOKUP($A485,#REF!,13,FALSE),"")</f>
        <v/>
      </c>
      <c r="P485" s="1056" t="str">
        <f>IFERROR(VLOOKUP($A485,#REF!,14,FALSE),"")</f>
        <v/>
      </c>
      <c r="Q485" s="1056" t="str">
        <f>IFERROR(VLOOKUP($A485,#REF!,16,FALSE),"")</f>
        <v/>
      </c>
      <c r="R485" s="1056" t="str">
        <f>IFERROR(VLOOKUP($A485,#REF!,17,FALSE),"")</f>
        <v/>
      </c>
      <c r="S485" s="1063" t="str">
        <f>IFERROR(VLOOKUP($A485,#REF!,20,FALSE),"")</f>
        <v/>
      </c>
      <c r="T485" s="1063" t="str">
        <f>IFERROR(VLOOKUP($A485,#REF!,21,FALSE),"")</f>
        <v/>
      </c>
      <c r="U485" s="1063" t="str">
        <f>IFERROR(VLOOKUP($A485,#REF!,22,FALSE),"")</f>
        <v/>
      </c>
      <c r="V485" s="1063" t="str">
        <f>IFERROR(VLOOKUP($A485,#REF!,23,FALSE),"")</f>
        <v/>
      </c>
      <c r="W485" s="1063" t="str">
        <f>IFERROR(VLOOKUP($A485,#REF!,24,FALSE),"")</f>
        <v/>
      </c>
      <c r="X485" s="1063" t="str">
        <f>IFERROR(VLOOKUP($A485,#REF!,41,FALSE),"")</f>
        <v/>
      </c>
      <c r="Y485" s="1063" t="str">
        <f>IFERROR(VLOOKUP($A485,#REF!,42,FALSE),"")</f>
        <v/>
      </c>
      <c r="Z485" s="1063" t="str">
        <f>IFERROR(VLOOKUP($A485,#REF!,45,FALSE),"")</f>
        <v/>
      </c>
      <c r="AA485" s="1071">
        <v>2017</v>
      </c>
      <c r="AB485" s="1072">
        <v>17</v>
      </c>
      <c r="AC485" s="1073" t="s">
        <v>303</v>
      </c>
      <c r="AD485" s="1073" t="s">
        <v>3656</v>
      </c>
      <c r="AE485" s="1074" t="s">
        <v>307</v>
      </c>
      <c r="AF485" s="1074" t="s">
        <v>113</v>
      </c>
      <c r="AG485" s="968" t="s">
        <v>3981</v>
      </c>
      <c r="AH485" s="968" t="s">
        <v>3973</v>
      </c>
      <c r="AI485" s="1071">
        <v>11</v>
      </c>
      <c r="AJ485" s="1075" t="s">
        <v>3982</v>
      </c>
      <c r="AK485" s="765">
        <v>909678</v>
      </c>
      <c r="AL485" s="766">
        <v>106</v>
      </c>
      <c r="AM485" s="765">
        <v>909678</v>
      </c>
      <c r="AN485" s="766">
        <v>107</v>
      </c>
      <c r="AO485" s="777">
        <f>AM485</f>
        <v>909678</v>
      </c>
      <c r="AP485" s="778">
        <f>AN485+1</f>
        <v>108</v>
      </c>
      <c r="AQ485" s="1076"/>
      <c r="AR485" s="968"/>
      <c r="AS485" s="968"/>
      <c r="AT485" s="968"/>
      <c r="AU485" s="968"/>
      <c r="AV485" s="968"/>
      <c r="AW485" s="968"/>
    </row>
    <row r="486" spans="1:49" s="1077" customFormat="1">
      <c r="A486" s="968" t="s">
        <v>152</v>
      </c>
      <c r="B486" s="968" t="s">
        <v>152</v>
      </c>
      <c r="C486" s="968"/>
      <c r="D486" s="968" t="s">
        <v>152</v>
      </c>
      <c r="E486" s="968" t="s">
        <v>152</v>
      </c>
      <c r="F486" s="1069" t="str">
        <f>IFERROR(VLOOKUP($A486,#REF!,3,FALSE),"")</f>
        <v/>
      </c>
      <c r="G486" s="1056" t="str">
        <f>IFERROR(VLOOKUP($A486,#REF!,4,FALSE),"")</f>
        <v/>
      </c>
      <c r="H486" s="1056" t="str">
        <f>IFERROR(VLOOKUP($A486,#REF!,5,FALSE),"")</f>
        <v/>
      </c>
      <c r="I486" s="1056" t="str">
        <f>IFERROR(VLOOKUP($A486,#REF!,6,FALSE),"")</f>
        <v/>
      </c>
      <c r="J486" s="1056" t="str">
        <f>IFERROR(VLOOKUP($A486,#REF!,7,FALSE),"")</f>
        <v/>
      </c>
      <c r="K486" s="1056" t="str">
        <f>IFERROR(VLOOKUP($A486,#REF!,8,FALSE),"")</f>
        <v/>
      </c>
      <c r="L486" s="1063" t="str">
        <f>IFERROR(VLOOKUP($A486,#REF!,9,FALSE),"")</f>
        <v/>
      </c>
      <c r="M486" s="1070" t="str">
        <f>IFERROR(VLOOKUP($A486,#REF!,10,FALSE),"")</f>
        <v/>
      </c>
      <c r="N486" s="1063" t="str">
        <f>IFERROR(VLOOKUP($A486,#REF!,12,FALSE),"")</f>
        <v/>
      </c>
      <c r="O486" s="1056" t="str">
        <f>IFERROR(VLOOKUP($A486,#REF!,13,FALSE),"")</f>
        <v/>
      </c>
      <c r="P486" s="1056" t="str">
        <f>IFERROR(VLOOKUP($A486,#REF!,14,FALSE),"")</f>
        <v/>
      </c>
      <c r="Q486" s="1056" t="str">
        <f>IFERROR(VLOOKUP($A486,#REF!,16,FALSE),"")</f>
        <v/>
      </c>
      <c r="R486" s="1056" t="str">
        <f>IFERROR(VLOOKUP($A486,#REF!,17,FALSE),"")</f>
        <v/>
      </c>
      <c r="S486" s="1063" t="str">
        <f>IFERROR(VLOOKUP($A486,#REF!,20,FALSE),"")</f>
        <v/>
      </c>
      <c r="T486" s="1063" t="str">
        <f>IFERROR(VLOOKUP($A486,#REF!,21,FALSE),"")</f>
        <v/>
      </c>
      <c r="U486" s="1063" t="str">
        <f>IFERROR(VLOOKUP($A486,#REF!,22,FALSE),"")</f>
        <v/>
      </c>
      <c r="V486" s="1063" t="str">
        <f>IFERROR(VLOOKUP($A486,#REF!,23,FALSE),"")</f>
        <v/>
      </c>
      <c r="W486" s="1063" t="str">
        <f>IFERROR(VLOOKUP($A486,#REF!,24,FALSE),"")</f>
        <v/>
      </c>
      <c r="X486" s="1063" t="str">
        <f>IFERROR(VLOOKUP($A486,#REF!,41,FALSE),"")</f>
        <v/>
      </c>
      <c r="Y486" s="1063" t="str">
        <f>IFERROR(VLOOKUP($A486,#REF!,42,FALSE),"")</f>
        <v/>
      </c>
      <c r="Z486" s="1063" t="str">
        <f>IFERROR(VLOOKUP($A486,#REF!,45,FALSE),"")</f>
        <v/>
      </c>
      <c r="AA486" s="1071">
        <v>2017</v>
      </c>
      <c r="AB486" s="1072">
        <v>17</v>
      </c>
      <c r="AC486" s="1073" t="s">
        <v>303</v>
      </c>
      <c r="AD486" s="1073" t="s">
        <v>3656</v>
      </c>
      <c r="AE486" s="1074" t="s">
        <v>307</v>
      </c>
      <c r="AF486" s="1074" t="s">
        <v>113</v>
      </c>
      <c r="AG486" s="968" t="s">
        <v>3981</v>
      </c>
      <c r="AH486" s="968" t="s">
        <v>3977</v>
      </c>
      <c r="AI486" s="1071">
        <v>16</v>
      </c>
      <c r="AJ486" s="1075" t="s">
        <v>3985</v>
      </c>
      <c r="AK486" s="765"/>
      <c r="AL486" s="766"/>
      <c r="AM486" s="765"/>
      <c r="AN486" s="766"/>
      <c r="AO486" s="777"/>
      <c r="AP486" s="778"/>
      <c r="AQ486" s="1076"/>
      <c r="AR486" s="968"/>
      <c r="AS486" s="968"/>
      <c r="AT486" s="968"/>
      <c r="AU486" s="968"/>
      <c r="AV486" s="968"/>
      <c r="AW486" s="968"/>
    </row>
    <row r="487" spans="1:49" s="1077" customFormat="1">
      <c r="A487" s="968"/>
      <c r="B487" s="968"/>
      <c r="C487" s="968"/>
      <c r="D487" s="968"/>
      <c r="E487" s="968"/>
      <c r="F487" s="1069" t="str">
        <f>IFERROR(VLOOKUP($A487,#REF!,3,FALSE),"")</f>
        <v/>
      </c>
      <c r="G487" s="1056" t="str">
        <f>IFERROR(VLOOKUP($A487,#REF!,4,FALSE),"")</f>
        <v/>
      </c>
      <c r="H487" s="1056" t="str">
        <f>IFERROR(VLOOKUP($A487,#REF!,5,FALSE),"")</f>
        <v/>
      </c>
      <c r="I487" s="1056" t="str">
        <f>IFERROR(VLOOKUP($A487,#REF!,6,FALSE),"")</f>
        <v/>
      </c>
      <c r="J487" s="1056" t="str">
        <f>IFERROR(VLOOKUP($A487,#REF!,7,FALSE),"")</f>
        <v/>
      </c>
      <c r="K487" s="1056" t="str">
        <f>IFERROR(VLOOKUP($A487,#REF!,8,FALSE),"")</f>
        <v/>
      </c>
      <c r="L487" s="1063" t="str">
        <f>IFERROR(VLOOKUP($A487,#REF!,9,FALSE),"")</f>
        <v/>
      </c>
      <c r="M487" s="1070" t="str">
        <f>IFERROR(VLOOKUP($A487,#REF!,10,FALSE),"")</f>
        <v/>
      </c>
      <c r="N487" s="1063" t="str">
        <f>IFERROR(VLOOKUP($A487,#REF!,12,FALSE),"")</f>
        <v/>
      </c>
      <c r="O487" s="1056" t="str">
        <f>IFERROR(VLOOKUP($A487,#REF!,13,FALSE),"")</f>
        <v/>
      </c>
      <c r="P487" s="1056" t="str">
        <f>IFERROR(VLOOKUP($A487,#REF!,14,FALSE),"")</f>
        <v/>
      </c>
      <c r="Q487" s="1056" t="str">
        <f>IFERROR(VLOOKUP($A487,#REF!,16,FALSE),"")</f>
        <v/>
      </c>
      <c r="R487" s="1056" t="str">
        <f>IFERROR(VLOOKUP($A487,#REF!,17,FALSE),"")</f>
        <v/>
      </c>
      <c r="S487" s="1063" t="str">
        <f>IFERROR(VLOOKUP($A487,#REF!,20,FALSE),"")</f>
        <v/>
      </c>
      <c r="T487" s="1063" t="str">
        <f>IFERROR(VLOOKUP($A487,#REF!,21,FALSE),"")</f>
        <v/>
      </c>
      <c r="U487" s="1063" t="str">
        <f>IFERROR(VLOOKUP($A487,#REF!,22,FALSE),"")</f>
        <v/>
      </c>
      <c r="V487" s="1063" t="str">
        <f>IFERROR(VLOOKUP($A487,#REF!,23,FALSE),"")</f>
        <v/>
      </c>
      <c r="W487" s="1063" t="str">
        <f>IFERROR(VLOOKUP($A487,#REF!,24,FALSE),"")</f>
        <v/>
      </c>
      <c r="X487" s="1063" t="str">
        <f>IFERROR(VLOOKUP($A487,#REF!,41,FALSE),"")</f>
        <v/>
      </c>
      <c r="Y487" s="1063" t="str">
        <f>IFERROR(VLOOKUP($A487,#REF!,42,FALSE),"")</f>
        <v/>
      </c>
      <c r="Z487" s="1063" t="str">
        <f>IFERROR(VLOOKUP($A487,#REF!,45,FALSE),"")</f>
        <v/>
      </c>
      <c r="AA487" s="1071"/>
      <c r="AB487" s="1072"/>
      <c r="AC487" s="1073"/>
      <c r="AD487" s="1073"/>
      <c r="AE487" s="1074"/>
      <c r="AF487" s="1074"/>
      <c r="AG487" s="968"/>
      <c r="AH487" s="968"/>
      <c r="AI487" s="1071"/>
      <c r="AJ487" s="1075"/>
      <c r="AK487" s="765"/>
      <c r="AL487" s="766"/>
      <c r="AM487" s="765"/>
      <c r="AN487" s="766"/>
      <c r="AO487" s="777"/>
      <c r="AP487" s="778"/>
      <c r="AQ487" s="1076"/>
      <c r="AR487" s="968"/>
      <c r="AS487" s="968"/>
      <c r="AT487" s="968"/>
      <c r="AU487" s="968"/>
      <c r="AV487" s="968"/>
      <c r="AW487" s="968"/>
    </row>
    <row r="488" spans="1:49" s="1077" customFormat="1">
      <c r="A488" s="968" t="s">
        <v>154</v>
      </c>
      <c r="B488" s="968" t="s">
        <v>3889</v>
      </c>
      <c r="C488" s="968"/>
      <c r="D488" s="968" t="s">
        <v>154</v>
      </c>
      <c r="E488" s="968" t="s">
        <v>154</v>
      </c>
      <c r="F488" s="1069" t="str">
        <f>IFERROR(VLOOKUP($A488,#REF!,3,FALSE),"")</f>
        <v/>
      </c>
      <c r="G488" s="1056" t="str">
        <f>IFERROR(VLOOKUP($A488,#REF!,4,FALSE),"")</f>
        <v/>
      </c>
      <c r="H488" s="1056" t="str">
        <f>IFERROR(VLOOKUP($A488,#REF!,5,FALSE),"")</f>
        <v/>
      </c>
      <c r="I488" s="1056" t="str">
        <f>IFERROR(VLOOKUP($A488,#REF!,6,FALSE),"")</f>
        <v/>
      </c>
      <c r="J488" s="1056" t="str">
        <f>IFERROR(VLOOKUP($A488,#REF!,7,FALSE),"")</f>
        <v/>
      </c>
      <c r="K488" s="1056" t="str">
        <f>IFERROR(VLOOKUP($A488,#REF!,8,FALSE),"")</f>
        <v/>
      </c>
      <c r="L488" s="1063" t="str">
        <f>IFERROR(VLOOKUP($A488,#REF!,9,FALSE),"")</f>
        <v/>
      </c>
      <c r="M488" s="1070" t="str">
        <f>IFERROR(VLOOKUP($A488,#REF!,10,FALSE),"")</f>
        <v/>
      </c>
      <c r="N488" s="1063" t="str">
        <f>IFERROR(VLOOKUP($A488,#REF!,12,FALSE),"")</f>
        <v/>
      </c>
      <c r="O488" s="1056" t="str">
        <f>IFERROR(VLOOKUP($A488,#REF!,13,FALSE),"")</f>
        <v/>
      </c>
      <c r="P488" s="1056" t="str">
        <f>IFERROR(VLOOKUP($A488,#REF!,14,FALSE),"")</f>
        <v/>
      </c>
      <c r="Q488" s="1056" t="str">
        <f>IFERROR(VLOOKUP($A488,#REF!,16,FALSE),"")</f>
        <v/>
      </c>
      <c r="R488" s="1056" t="str">
        <f>IFERROR(VLOOKUP($A488,#REF!,17,FALSE),"")</f>
        <v/>
      </c>
      <c r="S488" s="1063" t="str">
        <f>IFERROR(VLOOKUP($A488,#REF!,20,FALSE),"")</f>
        <v/>
      </c>
      <c r="T488" s="1063" t="str">
        <f>IFERROR(VLOOKUP($A488,#REF!,21,FALSE),"")</f>
        <v/>
      </c>
      <c r="U488" s="1063" t="str">
        <f>IFERROR(VLOOKUP($A488,#REF!,22,FALSE),"")</f>
        <v/>
      </c>
      <c r="V488" s="1063" t="str">
        <f>IFERROR(VLOOKUP($A488,#REF!,23,FALSE),"")</f>
        <v/>
      </c>
      <c r="W488" s="1063" t="str">
        <f>IFERROR(VLOOKUP($A488,#REF!,24,FALSE),"")</f>
        <v/>
      </c>
      <c r="X488" s="1063" t="str">
        <f>IFERROR(VLOOKUP($A488,#REF!,41,FALSE),"")</f>
        <v/>
      </c>
      <c r="Y488" s="1063" t="str">
        <f>IFERROR(VLOOKUP($A488,#REF!,42,FALSE),"")</f>
        <v/>
      </c>
      <c r="Z488" s="1063" t="str">
        <f>IFERROR(VLOOKUP($A488,#REF!,45,FALSE),"")</f>
        <v/>
      </c>
      <c r="AA488" s="1071">
        <v>2017</v>
      </c>
      <c r="AB488" s="1072">
        <v>1</v>
      </c>
      <c r="AC488" s="1074" t="s">
        <v>317</v>
      </c>
      <c r="AD488" s="1074" t="s">
        <v>4148</v>
      </c>
      <c r="AE488" s="1074" t="s">
        <v>307</v>
      </c>
      <c r="AF488" s="1074" t="s">
        <v>113</v>
      </c>
      <c r="AG488" s="968" t="s">
        <v>3962</v>
      </c>
      <c r="AH488" s="968" t="s">
        <v>3963</v>
      </c>
      <c r="AI488" s="1071">
        <v>3</v>
      </c>
      <c r="AJ488" s="1075" t="s">
        <v>4021</v>
      </c>
      <c r="AK488" s="765">
        <v>248652</v>
      </c>
      <c r="AL488" s="766">
        <v>31</v>
      </c>
      <c r="AM488" s="765">
        <v>248653</v>
      </c>
      <c r="AN488" s="766">
        <v>32</v>
      </c>
      <c r="AO488" s="777">
        <f t="shared" si="105"/>
        <v>248654</v>
      </c>
      <c r="AP488" s="778">
        <f t="shared" si="106"/>
        <v>33</v>
      </c>
      <c r="AQ488" s="1076"/>
      <c r="AR488" s="968"/>
      <c r="AS488" s="968"/>
      <c r="AT488" s="968"/>
      <c r="AU488" s="968"/>
      <c r="AV488" s="968"/>
      <c r="AW488" s="968"/>
    </row>
    <row r="489" spans="1:49" s="1077" customFormat="1">
      <c r="A489" s="968" t="s">
        <v>154</v>
      </c>
      <c r="B489" s="968" t="s">
        <v>3889</v>
      </c>
      <c r="C489" s="968"/>
      <c r="D489" s="968" t="s">
        <v>154</v>
      </c>
      <c r="E489" s="968" t="s">
        <v>154</v>
      </c>
      <c r="F489" s="1069" t="str">
        <f>IFERROR(VLOOKUP($A489,#REF!,3,FALSE),"")</f>
        <v/>
      </c>
      <c r="G489" s="1056" t="str">
        <f>IFERROR(VLOOKUP($A489,#REF!,4,FALSE),"")</f>
        <v/>
      </c>
      <c r="H489" s="1056" t="str">
        <f>IFERROR(VLOOKUP($A489,#REF!,5,FALSE),"")</f>
        <v/>
      </c>
      <c r="I489" s="1056" t="str">
        <f>IFERROR(VLOOKUP($A489,#REF!,6,FALSE),"")</f>
        <v/>
      </c>
      <c r="J489" s="1056" t="str">
        <f>IFERROR(VLOOKUP($A489,#REF!,7,FALSE),"")</f>
        <v/>
      </c>
      <c r="K489" s="1056" t="str">
        <f>IFERROR(VLOOKUP($A489,#REF!,8,FALSE),"")</f>
        <v/>
      </c>
      <c r="L489" s="1063" t="str">
        <f>IFERROR(VLOOKUP($A489,#REF!,9,FALSE),"")</f>
        <v/>
      </c>
      <c r="M489" s="1070" t="str">
        <f>IFERROR(VLOOKUP($A489,#REF!,10,FALSE),"")</f>
        <v/>
      </c>
      <c r="N489" s="1063" t="str">
        <f>IFERROR(VLOOKUP($A489,#REF!,12,FALSE),"")</f>
        <v/>
      </c>
      <c r="O489" s="1056" t="str">
        <f>IFERROR(VLOOKUP($A489,#REF!,13,FALSE),"")</f>
        <v/>
      </c>
      <c r="P489" s="1056" t="str">
        <f>IFERROR(VLOOKUP($A489,#REF!,14,FALSE),"")</f>
        <v/>
      </c>
      <c r="Q489" s="1056" t="str">
        <f>IFERROR(VLOOKUP($A489,#REF!,16,FALSE),"")</f>
        <v/>
      </c>
      <c r="R489" s="1056" t="str">
        <f>IFERROR(VLOOKUP($A489,#REF!,17,FALSE),"")</f>
        <v/>
      </c>
      <c r="S489" s="1063" t="str">
        <f>IFERROR(VLOOKUP($A489,#REF!,20,FALSE),"")</f>
        <v/>
      </c>
      <c r="T489" s="1063" t="str">
        <f>IFERROR(VLOOKUP($A489,#REF!,21,FALSE),"")</f>
        <v/>
      </c>
      <c r="U489" s="1063" t="str">
        <f>IFERROR(VLOOKUP($A489,#REF!,22,FALSE),"")</f>
        <v/>
      </c>
      <c r="V489" s="1063" t="str">
        <f>IFERROR(VLOOKUP($A489,#REF!,23,FALSE),"")</f>
        <v/>
      </c>
      <c r="W489" s="1063" t="str">
        <f>IFERROR(VLOOKUP($A489,#REF!,24,FALSE),"")</f>
        <v/>
      </c>
      <c r="X489" s="1063" t="str">
        <f>IFERROR(VLOOKUP($A489,#REF!,41,FALSE),"")</f>
        <v/>
      </c>
      <c r="Y489" s="1063" t="str">
        <f>IFERROR(VLOOKUP($A489,#REF!,42,FALSE),"")</f>
        <v/>
      </c>
      <c r="Z489" s="1063" t="str">
        <f>IFERROR(VLOOKUP($A489,#REF!,45,FALSE),"")</f>
        <v/>
      </c>
      <c r="AA489" s="1071">
        <v>2017</v>
      </c>
      <c r="AB489" s="1072">
        <v>1</v>
      </c>
      <c r="AC489" s="1074" t="s">
        <v>317</v>
      </c>
      <c r="AD489" s="1074" t="s">
        <v>4148</v>
      </c>
      <c r="AE489" s="1074" t="s">
        <v>307</v>
      </c>
      <c r="AF489" s="1074" t="s">
        <v>113</v>
      </c>
      <c r="AG489" s="968" t="s">
        <v>3962</v>
      </c>
      <c r="AH489" s="968" t="s">
        <v>3968</v>
      </c>
      <c r="AI489" s="1071">
        <v>5</v>
      </c>
      <c r="AJ489" s="1075" t="s">
        <v>4082</v>
      </c>
      <c r="AK489" s="765">
        <v>248655</v>
      </c>
      <c r="AL489" s="766">
        <v>34</v>
      </c>
      <c r="AM489" s="765">
        <v>248656</v>
      </c>
      <c r="AN489" s="766">
        <v>35</v>
      </c>
      <c r="AO489" s="777">
        <f t="shared" si="105"/>
        <v>248657</v>
      </c>
      <c r="AP489" s="778">
        <f t="shared" si="106"/>
        <v>36</v>
      </c>
      <c r="AQ489" s="1076"/>
      <c r="AR489" s="968"/>
      <c r="AS489" s="968"/>
      <c r="AT489" s="968"/>
      <c r="AU489" s="968"/>
      <c r="AV489" s="968"/>
      <c r="AW489" s="968"/>
    </row>
    <row r="490" spans="1:49" s="1077" customFormat="1">
      <c r="A490" s="968" t="s">
        <v>154</v>
      </c>
      <c r="B490" s="968" t="s">
        <v>3889</v>
      </c>
      <c r="C490" s="968"/>
      <c r="D490" s="968" t="s">
        <v>154</v>
      </c>
      <c r="E490" s="968" t="s">
        <v>154</v>
      </c>
      <c r="F490" s="1069" t="str">
        <f>IFERROR(VLOOKUP($A490,#REF!,3,FALSE),"")</f>
        <v/>
      </c>
      <c r="G490" s="1056" t="str">
        <f>IFERROR(VLOOKUP($A490,#REF!,4,FALSE),"")</f>
        <v/>
      </c>
      <c r="H490" s="1056" t="str">
        <f>IFERROR(VLOOKUP($A490,#REF!,5,FALSE),"")</f>
        <v/>
      </c>
      <c r="I490" s="1056" t="str">
        <f>IFERROR(VLOOKUP($A490,#REF!,6,FALSE),"")</f>
        <v/>
      </c>
      <c r="J490" s="1056" t="str">
        <f>IFERROR(VLOOKUP($A490,#REF!,7,FALSE),"")</f>
        <v/>
      </c>
      <c r="K490" s="1056" t="str">
        <f>IFERROR(VLOOKUP($A490,#REF!,8,FALSE),"")</f>
        <v/>
      </c>
      <c r="L490" s="1063" t="str">
        <f>IFERROR(VLOOKUP($A490,#REF!,9,FALSE),"")</f>
        <v/>
      </c>
      <c r="M490" s="1070" t="str">
        <f>IFERROR(VLOOKUP($A490,#REF!,10,FALSE),"")</f>
        <v/>
      </c>
      <c r="N490" s="1063" t="str">
        <f>IFERROR(VLOOKUP($A490,#REF!,12,FALSE),"")</f>
        <v/>
      </c>
      <c r="O490" s="1056" t="str">
        <f>IFERROR(VLOOKUP($A490,#REF!,13,FALSE),"")</f>
        <v/>
      </c>
      <c r="P490" s="1056" t="str">
        <f>IFERROR(VLOOKUP($A490,#REF!,14,FALSE),"")</f>
        <v/>
      </c>
      <c r="Q490" s="1056" t="str">
        <f>IFERROR(VLOOKUP($A490,#REF!,16,FALSE),"")</f>
        <v/>
      </c>
      <c r="R490" s="1056" t="str">
        <f>IFERROR(VLOOKUP($A490,#REF!,17,FALSE),"")</f>
        <v/>
      </c>
      <c r="S490" s="1063" t="str">
        <f>IFERROR(VLOOKUP($A490,#REF!,20,FALSE),"")</f>
        <v/>
      </c>
      <c r="T490" s="1063" t="str">
        <f>IFERROR(VLOOKUP($A490,#REF!,21,FALSE),"")</f>
        <v/>
      </c>
      <c r="U490" s="1063" t="str">
        <f>IFERROR(VLOOKUP($A490,#REF!,22,FALSE),"")</f>
        <v/>
      </c>
      <c r="V490" s="1063" t="str">
        <f>IFERROR(VLOOKUP($A490,#REF!,23,FALSE),"")</f>
        <v/>
      </c>
      <c r="W490" s="1063" t="str">
        <f>IFERROR(VLOOKUP($A490,#REF!,24,FALSE),"")</f>
        <v/>
      </c>
      <c r="X490" s="1063" t="str">
        <f>IFERROR(VLOOKUP($A490,#REF!,41,FALSE),"")</f>
        <v/>
      </c>
      <c r="Y490" s="1063" t="str">
        <f>IFERROR(VLOOKUP($A490,#REF!,42,FALSE),"")</f>
        <v/>
      </c>
      <c r="Z490" s="1063" t="str">
        <f>IFERROR(VLOOKUP($A490,#REF!,45,FALSE),"")</f>
        <v/>
      </c>
      <c r="AA490" s="1071">
        <v>2017</v>
      </c>
      <c r="AB490" s="1072">
        <v>1</v>
      </c>
      <c r="AC490" s="1074" t="s">
        <v>317</v>
      </c>
      <c r="AD490" s="1074" t="s">
        <v>4148</v>
      </c>
      <c r="AE490" s="1074" t="s">
        <v>307</v>
      </c>
      <c r="AF490" s="1074" t="s">
        <v>113</v>
      </c>
      <c r="AG490" s="968" t="s">
        <v>3972</v>
      </c>
      <c r="AH490" s="968" t="s">
        <v>3973</v>
      </c>
      <c r="AI490" s="1071">
        <v>8</v>
      </c>
      <c r="AJ490" s="1075" t="s">
        <v>3992</v>
      </c>
      <c r="AK490" s="765">
        <v>909678</v>
      </c>
      <c r="AL490" s="766">
        <v>10</v>
      </c>
      <c r="AM490" s="765">
        <v>909678</v>
      </c>
      <c r="AN490" s="766">
        <v>11</v>
      </c>
      <c r="AO490" s="777">
        <f>AM490</f>
        <v>909678</v>
      </c>
      <c r="AP490" s="778">
        <f t="shared" si="106"/>
        <v>12</v>
      </c>
      <c r="AQ490" s="1076"/>
      <c r="AR490" s="968"/>
      <c r="AS490" s="968"/>
      <c r="AT490" s="968"/>
      <c r="AU490" s="968"/>
      <c r="AV490" s="968"/>
      <c r="AW490" s="968"/>
    </row>
    <row r="491" spans="1:49" s="1077" customFormat="1">
      <c r="A491" s="968" t="s">
        <v>154</v>
      </c>
      <c r="B491" s="968" t="s">
        <v>3889</v>
      </c>
      <c r="C491" s="968"/>
      <c r="D491" s="968" t="s">
        <v>154</v>
      </c>
      <c r="E491" s="968" t="s">
        <v>154</v>
      </c>
      <c r="F491" s="1069" t="str">
        <f>IFERROR(VLOOKUP($A491,#REF!,3,FALSE),"")</f>
        <v/>
      </c>
      <c r="G491" s="1056" t="str">
        <f>IFERROR(VLOOKUP($A491,#REF!,4,FALSE),"")</f>
        <v/>
      </c>
      <c r="H491" s="1056" t="str">
        <f>IFERROR(VLOOKUP($A491,#REF!,5,FALSE),"")</f>
        <v/>
      </c>
      <c r="I491" s="1056" t="str">
        <f>IFERROR(VLOOKUP($A491,#REF!,6,FALSE),"")</f>
        <v/>
      </c>
      <c r="J491" s="1056" t="str">
        <f>IFERROR(VLOOKUP($A491,#REF!,7,FALSE),"")</f>
        <v/>
      </c>
      <c r="K491" s="1056" t="str">
        <f>IFERROR(VLOOKUP($A491,#REF!,8,FALSE),"")</f>
        <v/>
      </c>
      <c r="L491" s="1063" t="str">
        <f>IFERROR(VLOOKUP($A491,#REF!,9,FALSE),"")</f>
        <v/>
      </c>
      <c r="M491" s="1070" t="str">
        <f>IFERROR(VLOOKUP($A491,#REF!,10,FALSE),"")</f>
        <v/>
      </c>
      <c r="N491" s="1063" t="str">
        <f>IFERROR(VLOOKUP($A491,#REF!,12,FALSE),"")</f>
        <v/>
      </c>
      <c r="O491" s="1056" t="str">
        <f>IFERROR(VLOOKUP($A491,#REF!,13,FALSE),"")</f>
        <v/>
      </c>
      <c r="P491" s="1056" t="str">
        <f>IFERROR(VLOOKUP($A491,#REF!,14,FALSE),"")</f>
        <v/>
      </c>
      <c r="Q491" s="1056" t="str">
        <f>IFERROR(VLOOKUP($A491,#REF!,16,FALSE),"")</f>
        <v/>
      </c>
      <c r="R491" s="1056" t="str">
        <f>IFERROR(VLOOKUP($A491,#REF!,17,FALSE),"")</f>
        <v/>
      </c>
      <c r="S491" s="1063" t="str">
        <f>IFERROR(VLOOKUP($A491,#REF!,20,FALSE),"")</f>
        <v/>
      </c>
      <c r="T491" s="1063" t="str">
        <f>IFERROR(VLOOKUP($A491,#REF!,21,FALSE),"")</f>
        <v/>
      </c>
      <c r="U491" s="1063" t="str">
        <f>IFERROR(VLOOKUP($A491,#REF!,22,FALSE),"")</f>
        <v/>
      </c>
      <c r="V491" s="1063" t="str">
        <f>IFERROR(VLOOKUP($A491,#REF!,23,FALSE),"")</f>
        <v/>
      </c>
      <c r="W491" s="1063" t="str">
        <f>IFERROR(VLOOKUP($A491,#REF!,24,FALSE),"")</f>
        <v/>
      </c>
      <c r="X491" s="1063" t="str">
        <f>IFERROR(VLOOKUP($A491,#REF!,41,FALSE),"")</f>
        <v/>
      </c>
      <c r="Y491" s="1063" t="str">
        <f>IFERROR(VLOOKUP($A491,#REF!,42,FALSE),"")</f>
        <v/>
      </c>
      <c r="Z491" s="1063" t="str">
        <f>IFERROR(VLOOKUP($A491,#REF!,45,FALSE),"")</f>
        <v/>
      </c>
      <c r="AA491" s="1071">
        <v>2017</v>
      </c>
      <c r="AB491" s="1072">
        <v>1</v>
      </c>
      <c r="AC491" s="1074" t="s">
        <v>317</v>
      </c>
      <c r="AD491" s="1074" t="s">
        <v>4148</v>
      </c>
      <c r="AE491" s="1074" t="s">
        <v>307</v>
      </c>
      <c r="AF491" s="1074" t="s">
        <v>113</v>
      </c>
      <c r="AG491" s="968" t="s">
        <v>3972</v>
      </c>
      <c r="AH491" s="968" t="s">
        <v>3977</v>
      </c>
      <c r="AI491" s="1071">
        <v>14</v>
      </c>
      <c r="AJ491" s="1075" t="s">
        <v>3994</v>
      </c>
      <c r="AK491" s="765"/>
      <c r="AL491" s="766"/>
      <c r="AM491" s="765"/>
      <c r="AN491" s="766"/>
      <c r="AO491" s="777"/>
      <c r="AP491" s="778"/>
      <c r="AQ491" s="1076"/>
      <c r="AR491" s="968"/>
      <c r="AS491" s="968"/>
      <c r="AT491" s="968"/>
      <c r="AU491" s="968"/>
      <c r="AV491" s="968"/>
      <c r="AW491" s="968"/>
    </row>
    <row r="492" spans="1:49" s="1077" customFormat="1">
      <c r="A492" s="968" t="s">
        <v>154</v>
      </c>
      <c r="B492" s="968" t="s">
        <v>3889</v>
      </c>
      <c r="C492" s="968"/>
      <c r="D492" s="968" t="s">
        <v>154</v>
      </c>
      <c r="E492" s="968" t="s">
        <v>154</v>
      </c>
      <c r="F492" s="1069" t="str">
        <f>IFERROR(VLOOKUP($A492,#REF!,3,FALSE),"")</f>
        <v/>
      </c>
      <c r="G492" s="1056" t="str">
        <f>IFERROR(VLOOKUP($A492,#REF!,4,FALSE),"")</f>
        <v/>
      </c>
      <c r="H492" s="1056" t="str">
        <f>IFERROR(VLOOKUP($A492,#REF!,5,FALSE),"")</f>
        <v/>
      </c>
      <c r="I492" s="1056" t="str">
        <f>IFERROR(VLOOKUP($A492,#REF!,6,FALSE),"")</f>
        <v/>
      </c>
      <c r="J492" s="1056" t="str">
        <f>IFERROR(VLOOKUP($A492,#REF!,7,FALSE),"")</f>
        <v/>
      </c>
      <c r="K492" s="1056" t="str">
        <f>IFERROR(VLOOKUP($A492,#REF!,8,FALSE),"")</f>
        <v/>
      </c>
      <c r="L492" s="1063" t="str">
        <f>IFERROR(VLOOKUP($A492,#REF!,9,FALSE),"")</f>
        <v/>
      </c>
      <c r="M492" s="1070" t="str">
        <f>IFERROR(VLOOKUP($A492,#REF!,10,FALSE),"")</f>
        <v/>
      </c>
      <c r="N492" s="1063" t="str">
        <f>IFERROR(VLOOKUP($A492,#REF!,12,FALSE),"")</f>
        <v/>
      </c>
      <c r="O492" s="1056" t="str">
        <f>IFERROR(VLOOKUP($A492,#REF!,13,FALSE),"")</f>
        <v/>
      </c>
      <c r="P492" s="1056" t="str">
        <f>IFERROR(VLOOKUP($A492,#REF!,14,FALSE),"")</f>
        <v/>
      </c>
      <c r="Q492" s="1056" t="str">
        <f>IFERROR(VLOOKUP($A492,#REF!,16,FALSE),"")</f>
        <v/>
      </c>
      <c r="R492" s="1056" t="str">
        <f>IFERROR(VLOOKUP($A492,#REF!,17,FALSE),"")</f>
        <v/>
      </c>
      <c r="S492" s="1063" t="str">
        <f>IFERROR(VLOOKUP($A492,#REF!,20,FALSE),"")</f>
        <v/>
      </c>
      <c r="T492" s="1063" t="str">
        <f>IFERROR(VLOOKUP($A492,#REF!,21,FALSE),"")</f>
        <v/>
      </c>
      <c r="U492" s="1063" t="str">
        <f>IFERROR(VLOOKUP($A492,#REF!,22,FALSE),"")</f>
        <v/>
      </c>
      <c r="V492" s="1063" t="str">
        <f>IFERROR(VLOOKUP($A492,#REF!,23,FALSE),"")</f>
        <v/>
      </c>
      <c r="W492" s="1063" t="str">
        <f>IFERROR(VLOOKUP($A492,#REF!,24,FALSE),"")</f>
        <v/>
      </c>
      <c r="X492" s="1063" t="str">
        <f>IFERROR(VLOOKUP($A492,#REF!,41,FALSE),"")</f>
        <v/>
      </c>
      <c r="Y492" s="1063" t="str">
        <f>IFERROR(VLOOKUP($A492,#REF!,42,FALSE),"")</f>
        <v/>
      </c>
      <c r="Z492" s="1063" t="str">
        <f>IFERROR(VLOOKUP($A492,#REF!,45,FALSE),"")</f>
        <v/>
      </c>
      <c r="AA492" s="1071">
        <v>2017</v>
      </c>
      <c r="AB492" s="1072">
        <v>1</v>
      </c>
      <c r="AC492" s="1074" t="s">
        <v>317</v>
      </c>
      <c r="AD492" s="1074" t="s">
        <v>4148</v>
      </c>
      <c r="AE492" s="1074" t="s">
        <v>307</v>
      </c>
      <c r="AF492" s="1074" t="s">
        <v>113</v>
      </c>
      <c r="AG492" s="968" t="s">
        <v>3981</v>
      </c>
      <c r="AH492" s="968" t="s">
        <v>3973</v>
      </c>
      <c r="AI492" s="1071">
        <v>11</v>
      </c>
      <c r="AJ492" s="1075" t="s">
        <v>3982</v>
      </c>
      <c r="AK492" s="765">
        <v>909678</v>
      </c>
      <c r="AL492" s="766">
        <v>1</v>
      </c>
      <c r="AM492" s="765">
        <v>909678</v>
      </c>
      <c r="AN492" s="766">
        <v>2</v>
      </c>
      <c r="AO492" s="777">
        <f>AM492</f>
        <v>909678</v>
      </c>
      <c r="AP492" s="778">
        <f t="shared" si="106"/>
        <v>3</v>
      </c>
      <c r="AQ492" s="1076"/>
      <c r="AR492" s="968"/>
      <c r="AS492" s="968"/>
      <c r="AT492" s="968"/>
      <c r="AU492" s="968"/>
      <c r="AV492" s="968"/>
      <c r="AW492" s="968"/>
    </row>
    <row r="493" spans="1:49" s="1077" customFormat="1">
      <c r="A493" s="968" t="s">
        <v>154</v>
      </c>
      <c r="B493" s="968" t="s">
        <v>3889</v>
      </c>
      <c r="C493" s="968"/>
      <c r="D493" s="968" t="s">
        <v>154</v>
      </c>
      <c r="E493" s="968" t="s">
        <v>154</v>
      </c>
      <c r="F493" s="1069" t="str">
        <f>IFERROR(VLOOKUP($A493,#REF!,3,FALSE),"")</f>
        <v/>
      </c>
      <c r="G493" s="1056" t="str">
        <f>IFERROR(VLOOKUP($A493,#REF!,4,FALSE),"")</f>
        <v/>
      </c>
      <c r="H493" s="1056" t="str">
        <f>IFERROR(VLOOKUP($A493,#REF!,5,FALSE),"")</f>
        <v/>
      </c>
      <c r="I493" s="1056" t="str">
        <f>IFERROR(VLOOKUP($A493,#REF!,6,FALSE),"")</f>
        <v/>
      </c>
      <c r="J493" s="1056" t="str">
        <f>IFERROR(VLOOKUP($A493,#REF!,7,FALSE),"")</f>
        <v/>
      </c>
      <c r="K493" s="1056" t="str">
        <f>IFERROR(VLOOKUP($A493,#REF!,8,FALSE),"")</f>
        <v/>
      </c>
      <c r="L493" s="1063" t="str">
        <f>IFERROR(VLOOKUP($A493,#REF!,9,FALSE),"")</f>
        <v/>
      </c>
      <c r="M493" s="1070" t="str">
        <f>IFERROR(VLOOKUP($A493,#REF!,10,FALSE),"")</f>
        <v/>
      </c>
      <c r="N493" s="1063" t="str">
        <f>IFERROR(VLOOKUP($A493,#REF!,12,FALSE),"")</f>
        <v/>
      </c>
      <c r="O493" s="1056" t="str">
        <f>IFERROR(VLOOKUP($A493,#REF!,13,FALSE),"")</f>
        <v/>
      </c>
      <c r="P493" s="1056" t="str">
        <f>IFERROR(VLOOKUP($A493,#REF!,14,FALSE),"")</f>
        <v/>
      </c>
      <c r="Q493" s="1056" t="str">
        <f>IFERROR(VLOOKUP($A493,#REF!,16,FALSE),"")</f>
        <v/>
      </c>
      <c r="R493" s="1056" t="str">
        <f>IFERROR(VLOOKUP($A493,#REF!,17,FALSE),"")</f>
        <v/>
      </c>
      <c r="S493" s="1063" t="str">
        <f>IFERROR(VLOOKUP($A493,#REF!,20,FALSE),"")</f>
        <v/>
      </c>
      <c r="T493" s="1063" t="str">
        <f>IFERROR(VLOOKUP($A493,#REF!,21,FALSE),"")</f>
        <v/>
      </c>
      <c r="U493" s="1063" t="str">
        <f>IFERROR(VLOOKUP($A493,#REF!,22,FALSE),"")</f>
        <v/>
      </c>
      <c r="V493" s="1063" t="str">
        <f>IFERROR(VLOOKUP($A493,#REF!,23,FALSE),"")</f>
        <v/>
      </c>
      <c r="W493" s="1063" t="str">
        <f>IFERROR(VLOOKUP($A493,#REF!,24,FALSE),"")</f>
        <v/>
      </c>
      <c r="X493" s="1063" t="str">
        <f>IFERROR(VLOOKUP($A493,#REF!,41,FALSE),"")</f>
        <v/>
      </c>
      <c r="Y493" s="1063" t="str">
        <f>IFERROR(VLOOKUP($A493,#REF!,42,FALSE),"")</f>
        <v/>
      </c>
      <c r="Z493" s="1063" t="str">
        <f>IFERROR(VLOOKUP($A493,#REF!,45,FALSE),"")</f>
        <v/>
      </c>
      <c r="AA493" s="1071">
        <v>2017</v>
      </c>
      <c r="AB493" s="1072">
        <v>1</v>
      </c>
      <c r="AC493" s="1074" t="s">
        <v>317</v>
      </c>
      <c r="AD493" s="1074" t="s">
        <v>4148</v>
      </c>
      <c r="AE493" s="1074" t="s">
        <v>307</v>
      </c>
      <c r="AF493" s="1074" t="s">
        <v>113</v>
      </c>
      <c r="AG493" s="968" t="s">
        <v>3981</v>
      </c>
      <c r="AH493" s="968" t="s">
        <v>3977</v>
      </c>
      <c r="AI493" s="1071">
        <v>16</v>
      </c>
      <c r="AJ493" s="1075" t="s">
        <v>3985</v>
      </c>
      <c r="AK493" s="765"/>
      <c r="AL493" s="766"/>
      <c r="AM493" s="765"/>
      <c r="AN493" s="766"/>
      <c r="AO493" s="777"/>
      <c r="AP493" s="778"/>
      <c r="AQ493" s="1076"/>
      <c r="AR493" s="968"/>
      <c r="AS493" s="968"/>
      <c r="AT493" s="968"/>
      <c r="AU493" s="968"/>
      <c r="AV493" s="968"/>
      <c r="AW493" s="968"/>
    </row>
    <row r="494" spans="1:49" s="1077" customFormat="1">
      <c r="A494" s="968"/>
      <c r="B494" s="968"/>
      <c r="C494" s="968"/>
      <c r="D494" s="968"/>
      <c r="E494" s="968"/>
      <c r="F494" s="1069" t="str">
        <f>IFERROR(VLOOKUP($A494,#REF!,3,FALSE),"")</f>
        <v/>
      </c>
      <c r="G494" s="1056" t="str">
        <f>IFERROR(VLOOKUP($A494,#REF!,4,FALSE),"")</f>
        <v/>
      </c>
      <c r="H494" s="1056" t="str">
        <f>IFERROR(VLOOKUP($A494,#REF!,5,FALSE),"")</f>
        <v/>
      </c>
      <c r="I494" s="1056" t="str">
        <f>IFERROR(VLOOKUP($A494,#REF!,6,FALSE),"")</f>
        <v/>
      </c>
      <c r="J494" s="1056" t="str">
        <f>IFERROR(VLOOKUP($A494,#REF!,7,FALSE),"")</f>
        <v/>
      </c>
      <c r="K494" s="1056" t="str">
        <f>IFERROR(VLOOKUP($A494,#REF!,8,FALSE),"")</f>
        <v/>
      </c>
      <c r="L494" s="1063" t="str">
        <f>IFERROR(VLOOKUP($A494,#REF!,9,FALSE),"")</f>
        <v/>
      </c>
      <c r="M494" s="1070" t="str">
        <f>IFERROR(VLOOKUP($A494,#REF!,10,FALSE),"")</f>
        <v/>
      </c>
      <c r="N494" s="1063" t="str">
        <f>IFERROR(VLOOKUP($A494,#REF!,12,FALSE),"")</f>
        <v/>
      </c>
      <c r="O494" s="1056" t="str">
        <f>IFERROR(VLOOKUP($A494,#REF!,13,FALSE),"")</f>
        <v/>
      </c>
      <c r="P494" s="1056" t="str">
        <f>IFERROR(VLOOKUP($A494,#REF!,14,FALSE),"")</f>
        <v/>
      </c>
      <c r="Q494" s="1056" t="str">
        <f>IFERROR(VLOOKUP($A494,#REF!,16,FALSE),"")</f>
        <v/>
      </c>
      <c r="R494" s="1056" t="str">
        <f>IFERROR(VLOOKUP($A494,#REF!,17,FALSE),"")</f>
        <v/>
      </c>
      <c r="S494" s="1063" t="str">
        <f>IFERROR(VLOOKUP($A494,#REF!,20,FALSE),"")</f>
        <v/>
      </c>
      <c r="T494" s="1063" t="str">
        <f>IFERROR(VLOOKUP($A494,#REF!,21,FALSE),"")</f>
        <v/>
      </c>
      <c r="U494" s="1063" t="str">
        <f>IFERROR(VLOOKUP($A494,#REF!,22,FALSE),"")</f>
        <v/>
      </c>
      <c r="V494" s="1063" t="str">
        <f>IFERROR(VLOOKUP($A494,#REF!,23,FALSE),"")</f>
        <v/>
      </c>
      <c r="W494" s="1063" t="str">
        <f>IFERROR(VLOOKUP($A494,#REF!,24,FALSE),"")</f>
        <v/>
      </c>
      <c r="X494" s="1063" t="str">
        <f>IFERROR(VLOOKUP($A494,#REF!,41,FALSE),"")</f>
        <v/>
      </c>
      <c r="Y494" s="1063" t="str">
        <f>IFERROR(VLOOKUP($A494,#REF!,42,FALSE),"")</f>
        <v/>
      </c>
      <c r="Z494" s="1063" t="str">
        <f>IFERROR(VLOOKUP($A494,#REF!,45,FALSE),"")</f>
        <v/>
      </c>
      <c r="AA494" s="1071"/>
      <c r="AB494" s="1072"/>
      <c r="AC494" s="1073"/>
      <c r="AD494" s="1073"/>
      <c r="AE494" s="1071"/>
      <c r="AF494" s="1071"/>
      <c r="AG494" s="968"/>
      <c r="AH494" s="968"/>
      <c r="AI494" s="1071"/>
      <c r="AJ494" s="1075"/>
      <c r="AK494" s="765"/>
      <c r="AL494" s="766"/>
      <c r="AM494" s="765"/>
      <c r="AN494" s="766"/>
      <c r="AO494" s="777"/>
      <c r="AP494" s="778"/>
      <c r="AQ494" s="1076"/>
      <c r="AR494" s="968"/>
      <c r="AS494" s="968"/>
      <c r="AT494" s="968"/>
      <c r="AU494" s="968"/>
      <c r="AV494" s="968"/>
      <c r="AW494" s="968"/>
    </row>
    <row r="495" spans="1:49" s="1077" customFormat="1">
      <c r="A495" s="968" t="s">
        <v>170</v>
      </c>
      <c r="B495" s="968" t="s">
        <v>4117</v>
      </c>
      <c r="C495" s="968"/>
      <c r="D495" s="968" t="s">
        <v>4195</v>
      </c>
      <c r="E495" s="968" t="s">
        <v>4195</v>
      </c>
      <c r="F495" s="1069" t="str">
        <f>IFERROR(VLOOKUP($A495,#REF!,3,FALSE),"")</f>
        <v/>
      </c>
      <c r="G495" s="1056" t="str">
        <f>IFERROR(VLOOKUP($A495,#REF!,4,FALSE),"")</f>
        <v/>
      </c>
      <c r="H495" s="1056" t="str">
        <f>IFERROR(VLOOKUP($A495,#REF!,5,FALSE),"")</f>
        <v/>
      </c>
      <c r="I495" s="1056" t="str">
        <f>IFERROR(VLOOKUP($A495,#REF!,6,FALSE),"")</f>
        <v/>
      </c>
      <c r="J495" s="1056" t="str">
        <f>IFERROR(VLOOKUP($A495,#REF!,7,FALSE),"")</f>
        <v/>
      </c>
      <c r="K495" s="1056" t="str">
        <f>IFERROR(VLOOKUP($A495,#REF!,8,FALSE),"")</f>
        <v/>
      </c>
      <c r="L495" s="1063" t="str">
        <f>IFERROR(VLOOKUP($A495,#REF!,9,FALSE),"")</f>
        <v/>
      </c>
      <c r="M495" s="1070" t="str">
        <f>IFERROR(VLOOKUP($A495,#REF!,10,FALSE),"")</f>
        <v/>
      </c>
      <c r="N495" s="1063" t="str">
        <f>IFERROR(VLOOKUP($A495,#REF!,12,FALSE),"")</f>
        <v/>
      </c>
      <c r="O495" s="1056" t="str">
        <f>IFERROR(VLOOKUP($A495,#REF!,13,FALSE),"")</f>
        <v/>
      </c>
      <c r="P495" s="1056" t="str">
        <f>IFERROR(VLOOKUP($A495,#REF!,14,FALSE),"")</f>
        <v/>
      </c>
      <c r="Q495" s="1056" t="str">
        <f>IFERROR(VLOOKUP($A495,#REF!,16,FALSE),"")</f>
        <v/>
      </c>
      <c r="R495" s="1056" t="str">
        <f>IFERROR(VLOOKUP($A495,#REF!,17,FALSE),"")</f>
        <v/>
      </c>
      <c r="S495" s="1063" t="str">
        <f>IFERROR(VLOOKUP($A495,#REF!,20,FALSE),"")</f>
        <v/>
      </c>
      <c r="T495" s="1063" t="str">
        <f>IFERROR(VLOOKUP($A495,#REF!,21,FALSE),"")</f>
        <v/>
      </c>
      <c r="U495" s="1063" t="str">
        <f>IFERROR(VLOOKUP($A495,#REF!,22,FALSE),"")</f>
        <v/>
      </c>
      <c r="V495" s="1063" t="str">
        <f>IFERROR(VLOOKUP($A495,#REF!,23,FALSE),"")</f>
        <v/>
      </c>
      <c r="W495" s="1063" t="str">
        <f>IFERROR(VLOOKUP($A495,#REF!,24,FALSE),"")</f>
        <v/>
      </c>
      <c r="X495" s="1063" t="str">
        <f>IFERROR(VLOOKUP($A495,#REF!,41,FALSE),"")</f>
        <v/>
      </c>
      <c r="Y495" s="1063" t="str">
        <f>IFERROR(VLOOKUP($A495,#REF!,42,FALSE),"")</f>
        <v/>
      </c>
      <c r="Z495" s="1063" t="str">
        <f>IFERROR(VLOOKUP($A495,#REF!,45,FALSE),"")</f>
        <v/>
      </c>
      <c r="AA495" s="1071">
        <v>2017</v>
      </c>
      <c r="AB495" s="1072">
        <v>2</v>
      </c>
      <c r="AC495" s="1074" t="s">
        <v>303</v>
      </c>
      <c r="AD495" s="1074" t="s">
        <v>4148</v>
      </c>
      <c r="AE495" s="1074" t="s">
        <v>307</v>
      </c>
      <c r="AF495" s="1074" t="s">
        <v>113</v>
      </c>
      <c r="AG495" s="968" t="s">
        <v>3962</v>
      </c>
      <c r="AH495" s="968" t="s">
        <v>3963</v>
      </c>
      <c r="AI495" s="1071">
        <v>2</v>
      </c>
      <c r="AJ495" s="1075" t="s">
        <v>3964</v>
      </c>
      <c r="AK495" s="765">
        <v>248658</v>
      </c>
      <c r="AL495" s="766">
        <v>37</v>
      </c>
      <c r="AM495" s="765">
        <v>248659</v>
      </c>
      <c r="AN495" s="766">
        <v>38</v>
      </c>
      <c r="AO495" s="777">
        <f t="shared" si="105"/>
        <v>248660</v>
      </c>
      <c r="AP495" s="778">
        <f t="shared" si="106"/>
        <v>39</v>
      </c>
      <c r="AQ495" s="1076"/>
      <c r="AR495" s="968"/>
      <c r="AS495" s="968"/>
      <c r="AT495" s="968"/>
      <c r="AU495" s="968"/>
      <c r="AV495" s="968"/>
      <c r="AW495" s="968"/>
    </row>
    <row r="496" spans="1:49" s="1077" customFormat="1">
      <c r="A496" s="968" t="s">
        <v>170</v>
      </c>
      <c r="B496" s="968" t="s">
        <v>4117</v>
      </c>
      <c r="C496" s="968"/>
      <c r="D496" s="968" t="s">
        <v>4195</v>
      </c>
      <c r="E496" s="968" t="s">
        <v>4195</v>
      </c>
      <c r="F496" s="1069" t="str">
        <f>IFERROR(VLOOKUP($A496,#REF!,3,FALSE),"")</f>
        <v/>
      </c>
      <c r="G496" s="1056" t="str">
        <f>IFERROR(VLOOKUP($A496,#REF!,4,FALSE),"")</f>
        <v/>
      </c>
      <c r="H496" s="1056" t="str">
        <f>IFERROR(VLOOKUP($A496,#REF!,5,FALSE),"")</f>
        <v/>
      </c>
      <c r="I496" s="1056" t="str">
        <f>IFERROR(VLOOKUP($A496,#REF!,6,FALSE),"")</f>
        <v/>
      </c>
      <c r="J496" s="1056" t="str">
        <f>IFERROR(VLOOKUP($A496,#REF!,7,FALSE),"")</f>
        <v/>
      </c>
      <c r="K496" s="1056" t="str">
        <f>IFERROR(VLOOKUP($A496,#REF!,8,FALSE),"")</f>
        <v/>
      </c>
      <c r="L496" s="1063" t="str">
        <f>IFERROR(VLOOKUP($A496,#REF!,9,FALSE),"")</f>
        <v/>
      </c>
      <c r="M496" s="1070" t="str">
        <f>IFERROR(VLOOKUP($A496,#REF!,10,FALSE),"")</f>
        <v/>
      </c>
      <c r="N496" s="1063" t="str">
        <f>IFERROR(VLOOKUP($A496,#REF!,12,FALSE),"")</f>
        <v/>
      </c>
      <c r="O496" s="1056" t="str">
        <f>IFERROR(VLOOKUP($A496,#REF!,13,FALSE),"")</f>
        <v/>
      </c>
      <c r="P496" s="1056" t="str">
        <f>IFERROR(VLOOKUP($A496,#REF!,14,FALSE),"")</f>
        <v/>
      </c>
      <c r="Q496" s="1056" t="str">
        <f>IFERROR(VLOOKUP($A496,#REF!,16,FALSE),"")</f>
        <v/>
      </c>
      <c r="R496" s="1056" t="str">
        <f>IFERROR(VLOOKUP($A496,#REF!,17,FALSE),"")</f>
        <v/>
      </c>
      <c r="S496" s="1063" t="str">
        <f>IFERROR(VLOOKUP($A496,#REF!,20,FALSE),"")</f>
        <v/>
      </c>
      <c r="T496" s="1063" t="str">
        <f>IFERROR(VLOOKUP($A496,#REF!,21,FALSE),"")</f>
        <v/>
      </c>
      <c r="U496" s="1063" t="str">
        <f>IFERROR(VLOOKUP($A496,#REF!,22,FALSE),"")</f>
        <v/>
      </c>
      <c r="V496" s="1063" t="str">
        <f>IFERROR(VLOOKUP($A496,#REF!,23,FALSE),"")</f>
        <v/>
      </c>
      <c r="W496" s="1063" t="str">
        <f>IFERROR(VLOOKUP($A496,#REF!,24,FALSE),"")</f>
        <v/>
      </c>
      <c r="X496" s="1063" t="str">
        <f>IFERROR(VLOOKUP($A496,#REF!,41,FALSE),"")</f>
        <v/>
      </c>
      <c r="Y496" s="1063" t="str">
        <f>IFERROR(VLOOKUP($A496,#REF!,42,FALSE),"")</f>
        <v/>
      </c>
      <c r="Z496" s="1063" t="str">
        <f>IFERROR(VLOOKUP($A496,#REF!,45,FALSE),"")</f>
        <v/>
      </c>
      <c r="AA496" s="1071">
        <v>2017</v>
      </c>
      <c r="AB496" s="1072">
        <v>2</v>
      </c>
      <c r="AC496" s="1074" t="s">
        <v>303</v>
      </c>
      <c r="AD496" s="1074" t="s">
        <v>4148</v>
      </c>
      <c r="AE496" s="1074" t="s">
        <v>307</v>
      </c>
      <c r="AF496" s="1074" t="s">
        <v>113</v>
      </c>
      <c r="AG496" s="968" t="s">
        <v>3972</v>
      </c>
      <c r="AH496" s="968" t="s">
        <v>4096</v>
      </c>
      <c r="AI496" s="1071">
        <v>7</v>
      </c>
      <c r="AJ496" s="1075" t="s">
        <v>4001</v>
      </c>
      <c r="AK496" s="765">
        <v>909678</v>
      </c>
      <c r="AL496" s="766">
        <v>4</v>
      </c>
      <c r="AM496" s="765">
        <v>909678</v>
      </c>
      <c r="AN496" s="766">
        <v>5</v>
      </c>
      <c r="AO496" s="777">
        <f>AM496</f>
        <v>909678</v>
      </c>
      <c r="AP496" s="778">
        <f t="shared" si="106"/>
        <v>6</v>
      </c>
      <c r="AQ496" s="1076"/>
      <c r="AR496" s="968"/>
      <c r="AS496" s="968"/>
      <c r="AT496" s="968"/>
      <c r="AU496" s="968"/>
      <c r="AV496" s="968"/>
      <c r="AW496" s="968"/>
    </row>
    <row r="497" spans="1:49" s="1077" customFormat="1">
      <c r="A497" s="968" t="s">
        <v>170</v>
      </c>
      <c r="B497" s="968" t="s">
        <v>4117</v>
      </c>
      <c r="C497" s="968"/>
      <c r="D497" s="968" t="s">
        <v>4195</v>
      </c>
      <c r="E497" s="968" t="s">
        <v>4195</v>
      </c>
      <c r="F497" s="1069" t="str">
        <f>IFERROR(VLOOKUP($A497,#REF!,3,FALSE),"")</f>
        <v/>
      </c>
      <c r="G497" s="1056" t="str">
        <f>IFERROR(VLOOKUP($A497,#REF!,4,FALSE),"")</f>
        <v/>
      </c>
      <c r="H497" s="1056" t="str">
        <f>IFERROR(VLOOKUP($A497,#REF!,5,FALSE),"")</f>
        <v/>
      </c>
      <c r="I497" s="1056" t="str">
        <f>IFERROR(VLOOKUP($A497,#REF!,6,FALSE),"")</f>
        <v/>
      </c>
      <c r="J497" s="1056" t="str">
        <f>IFERROR(VLOOKUP($A497,#REF!,7,FALSE),"")</f>
        <v/>
      </c>
      <c r="K497" s="1056" t="str">
        <f>IFERROR(VLOOKUP($A497,#REF!,8,FALSE),"")</f>
        <v/>
      </c>
      <c r="L497" s="1063" t="str">
        <f>IFERROR(VLOOKUP($A497,#REF!,9,FALSE),"")</f>
        <v/>
      </c>
      <c r="M497" s="1070" t="str">
        <f>IFERROR(VLOOKUP($A497,#REF!,10,FALSE),"")</f>
        <v/>
      </c>
      <c r="N497" s="1063" t="str">
        <f>IFERROR(VLOOKUP($A497,#REF!,12,FALSE),"")</f>
        <v/>
      </c>
      <c r="O497" s="1056" t="str">
        <f>IFERROR(VLOOKUP($A497,#REF!,13,FALSE),"")</f>
        <v/>
      </c>
      <c r="P497" s="1056" t="str">
        <f>IFERROR(VLOOKUP($A497,#REF!,14,FALSE),"")</f>
        <v/>
      </c>
      <c r="Q497" s="1056" t="str">
        <f>IFERROR(VLOOKUP($A497,#REF!,16,FALSE),"")</f>
        <v/>
      </c>
      <c r="R497" s="1056" t="str">
        <f>IFERROR(VLOOKUP($A497,#REF!,17,FALSE),"")</f>
        <v/>
      </c>
      <c r="S497" s="1063" t="str">
        <f>IFERROR(VLOOKUP($A497,#REF!,20,FALSE),"")</f>
        <v/>
      </c>
      <c r="T497" s="1063" t="str">
        <f>IFERROR(VLOOKUP($A497,#REF!,21,FALSE),"")</f>
        <v/>
      </c>
      <c r="U497" s="1063" t="str">
        <f>IFERROR(VLOOKUP($A497,#REF!,22,FALSE),"")</f>
        <v/>
      </c>
      <c r="V497" s="1063" t="str">
        <f>IFERROR(VLOOKUP($A497,#REF!,23,FALSE),"")</f>
        <v/>
      </c>
      <c r="W497" s="1063" t="str">
        <f>IFERROR(VLOOKUP($A497,#REF!,24,FALSE),"")</f>
        <v/>
      </c>
      <c r="X497" s="1063" t="str">
        <f>IFERROR(VLOOKUP($A497,#REF!,41,FALSE),"")</f>
        <v/>
      </c>
      <c r="Y497" s="1063" t="str">
        <f>IFERROR(VLOOKUP($A497,#REF!,42,FALSE),"")</f>
        <v/>
      </c>
      <c r="Z497" s="1063" t="str">
        <f>IFERROR(VLOOKUP($A497,#REF!,45,FALSE),"")</f>
        <v/>
      </c>
      <c r="AA497" s="1071">
        <v>2017</v>
      </c>
      <c r="AB497" s="1072">
        <v>2</v>
      </c>
      <c r="AC497" s="1074" t="s">
        <v>303</v>
      </c>
      <c r="AD497" s="1074" t="s">
        <v>4148</v>
      </c>
      <c r="AE497" s="1074" t="s">
        <v>307</v>
      </c>
      <c r="AF497" s="1074" t="s">
        <v>113</v>
      </c>
      <c r="AG497" s="968" t="s">
        <v>3972</v>
      </c>
      <c r="AH497" s="968" t="s">
        <v>4099</v>
      </c>
      <c r="AI497" s="1071">
        <v>13</v>
      </c>
      <c r="AJ497" s="1075" t="s">
        <v>4004</v>
      </c>
      <c r="AK497" s="765"/>
      <c r="AL497" s="766"/>
      <c r="AM497" s="765"/>
      <c r="AN497" s="766"/>
      <c r="AO497" s="777"/>
      <c r="AP497" s="778"/>
      <c r="AQ497" s="1076"/>
      <c r="AR497" s="968"/>
      <c r="AS497" s="968"/>
      <c r="AT497" s="968"/>
      <c r="AU497" s="968"/>
      <c r="AV497" s="968"/>
      <c r="AW497" s="968"/>
    </row>
    <row r="498" spans="1:49" s="1077" customFormat="1">
      <c r="A498" s="968" t="s">
        <v>170</v>
      </c>
      <c r="B498" s="968" t="s">
        <v>4117</v>
      </c>
      <c r="C498" s="968"/>
      <c r="D498" s="968" t="s">
        <v>4195</v>
      </c>
      <c r="E498" s="968" t="s">
        <v>4195</v>
      </c>
      <c r="F498" s="1069" t="str">
        <f>IFERROR(VLOOKUP($A498,#REF!,3,FALSE),"")</f>
        <v/>
      </c>
      <c r="G498" s="1056" t="str">
        <f>IFERROR(VLOOKUP($A498,#REF!,4,FALSE),"")</f>
        <v/>
      </c>
      <c r="H498" s="1056" t="str">
        <f>IFERROR(VLOOKUP($A498,#REF!,5,FALSE),"")</f>
        <v/>
      </c>
      <c r="I498" s="1056" t="str">
        <f>IFERROR(VLOOKUP($A498,#REF!,6,FALSE),"")</f>
        <v/>
      </c>
      <c r="J498" s="1056" t="str">
        <f>IFERROR(VLOOKUP($A498,#REF!,7,FALSE),"")</f>
        <v/>
      </c>
      <c r="K498" s="1056" t="str">
        <f>IFERROR(VLOOKUP($A498,#REF!,8,FALSE),"")</f>
        <v/>
      </c>
      <c r="L498" s="1063" t="str">
        <f>IFERROR(VLOOKUP($A498,#REF!,9,FALSE),"")</f>
        <v/>
      </c>
      <c r="M498" s="1070" t="str">
        <f>IFERROR(VLOOKUP($A498,#REF!,10,FALSE),"")</f>
        <v/>
      </c>
      <c r="N498" s="1063" t="str">
        <f>IFERROR(VLOOKUP($A498,#REF!,12,FALSE),"")</f>
        <v/>
      </c>
      <c r="O498" s="1056" t="str">
        <f>IFERROR(VLOOKUP($A498,#REF!,13,FALSE),"")</f>
        <v/>
      </c>
      <c r="P498" s="1056" t="str">
        <f>IFERROR(VLOOKUP($A498,#REF!,14,FALSE),"")</f>
        <v/>
      </c>
      <c r="Q498" s="1056" t="str">
        <f>IFERROR(VLOOKUP($A498,#REF!,16,FALSE),"")</f>
        <v/>
      </c>
      <c r="R498" s="1056" t="str">
        <f>IFERROR(VLOOKUP($A498,#REF!,17,FALSE),"")</f>
        <v/>
      </c>
      <c r="S498" s="1063" t="str">
        <f>IFERROR(VLOOKUP($A498,#REF!,20,FALSE),"")</f>
        <v/>
      </c>
      <c r="T498" s="1063" t="str">
        <f>IFERROR(VLOOKUP($A498,#REF!,21,FALSE),"")</f>
        <v/>
      </c>
      <c r="U498" s="1063" t="str">
        <f>IFERROR(VLOOKUP($A498,#REF!,22,FALSE),"")</f>
        <v/>
      </c>
      <c r="V498" s="1063" t="str">
        <f>IFERROR(VLOOKUP($A498,#REF!,23,FALSE),"")</f>
        <v/>
      </c>
      <c r="W498" s="1063" t="str">
        <f>IFERROR(VLOOKUP($A498,#REF!,24,FALSE),"")</f>
        <v/>
      </c>
      <c r="X498" s="1063" t="str">
        <f>IFERROR(VLOOKUP($A498,#REF!,41,FALSE),"")</f>
        <v/>
      </c>
      <c r="Y498" s="1063" t="str">
        <f>IFERROR(VLOOKUP($A498,#REF!,42,FALSE),"")</f>
        <v/>
      </c>
      <c r="Z498" s="1063" t="str">
        <f>IFERROR(VLOOKUP($A498,#REF!,45,FALSE),"")</f>
        <v/>
      </c>
      <c r="AA498" s="1071">
        <v>2017</v>
      </c>
      <c r="AB498" s="1072">
        <v>2</v>
      </c>
      <c r="AC498" s="1074" t="s">
        <v>303</v>
      </c>
      <c r="AD498" s="1074" t="s">
        <v>4148</v>
      </c>
      <c r="AE498" s="1074" t="s">
        <v>307</v>
      </c>
      <c r="AF498" s="1074" t="s">
        <v>113</v>
      </c>
      <c r="AG498" s="968" t="s">
        <v>3981</v>
      </c>
      <c r="AH498" s="968" t="s">
        <v>3973</v>
      </c>
      <c r="AI498" s="1071">
        <v>11</v>
      </c>
      <c r="AJ498" s="1075" t="s">
        <v>3982</v>
      </c>
      <c r="AK498" s="765">
        <v>909678</v>
      </c>
      <c r="AL498" s="766">
        <v>7</v>
      </c>
      <c r="AM498" s="765">
        <v>909678</v>
      </c>
      <c r="AN498" s="766">
        <v>8</v>
      </c>
      <c r="AO498" s="777">
        <f>AM498</f>
        <v>909678</v>
      </c>
      <c r="AP498" s="778">
        <f t="shared" si="106"/>
        <v>9</v>
      </c>
      <c r="AQ498" s="1076"/>
      <c r="AR498" s="968"/>
      <c r="AS498" s="968"/>
      <c r="AT498" s="968"/>
      <c r="AU498" s="968"/>
      <c r="AV498" s="968"/>
      <c r="AW498" s="968"/>
    </row>
    <row r="499" spans="1:49" s="1077" customFormat="1">
      <c r="A499" s="968" t="s">
        <v>170</v>
      </c>
      <c r="B499" s="968" t="s">
        <v>4117</v>
      </c>
      <c r="C499" s="968"/>
      <c r="D499" s="968" t="s">
        <v>4195</v>
      </c>
      <c r="E499" s="968" t="s">
        <v>4195</v>
      </c>
      <c r="F499" s="1069" t="str">
        <f>IFERROR(VLOOKUP($A499,#REF!,3,FALSE),"")</f>
        <v/>
      </c>
      <c r="G499" s="1056" t="str">
        <f>IFERROR(VLOOKUP($A499,#REF!,4,FALSE),"")</f>
        <v/>
      </c>
      <c r="H499" s="1056" t="str">
        <f>IFERROR(VLOOKUP($A499,#REF!,5,FALSE),"")</f>
        <v/>
      </c>
      <c r="I499" s="1056" t="str">
        <f>IFERROR(VLOOKUP($A499,#REF!,6,FALSE),"")</f>
        <v/>
      </c>
      <c r="J499" s="1056" t="str">
        <f>IFERROR(VLOOKUP($A499,#REF!,7,FALSE),"")</f>
        <v/>
      </c>
      <c r="K499" s="1056" t="str">
        <f>IFERROR(VLOOKUP($A499,#REF!,8,FALSE),"")</f>
        <v/>
      </c>
      <c r="L499" s="1063" t="str">
        <f>IFERROR(VLOOKUP($A499,#REF!,9,FALSE),"")</f>
        <v/>
      </c>
      <c r="M499" s="1070" t="str">
        <f>IFERROR(VLOOKUP($A499,#REF!,10,FALSE),"")</f>
        <v/>
      </c>
      <c r="N499" s="1063" t="str">
        <f>IFERROR(VLOOKUP($A499,#REF!,12,FALSE),"")</f>
        <v/>
      </c>
      <c r="O499" s="1056" t="str">
        <f>IFERROR(VLOOKUP($A499,#REF!,13,FALSE),"")</f>
        <v/>
      </c>
      <c r="P499" s="1056" t="str">
        <f>IFERROR(VLOOKUP($A499,#REF!,14,FALSE),"")</f>
        <v/>
      </c>
      <c r="Q499" s="1056" t="str">
        <f>IFERROR(VLOOKUP($A499,#REF!,16,FALSE),"")</f>
        <v/>
      </c>
      <c r="R499" s="1056" t="str">
        <f>IFERROR(VLOOKUP($A499,#REF!,17,FALSE),"")</f>
        <v/>
      </c>
      <c r="S499" s="1063" t="str">
        <f>IFERROR(VLOOKUP($A499,#REF!,20,FALSE),"")</f>
        <v/>
      </c>
      <c r="T499" s="1063" t="str">
        <f>IFERROR(VLOOKUP($A499,#REF!,21,FALSE),"")</f>
        <v/>
      </c>
      <c r="U499" s="1063" t="str">
        <f>IFERROR(VLOOKUP($A499,#REF!,22,FALSE),"")</f>
        <v/>
      </c>
      <c r="V499" s="1063" t="str">
        <f>IFERROR(VLOOKUP($A499,#REF!,23,FALSE),"")</f>
        <v/>
      </c>
      <c r="W499" s="1063" t="str">
        <f>IFERROR(VLOOKUP($A499,#REF!,24,FALSE),"")</f>
        <v/>
      </c>
      <c r="X499" s="1063" t="str">
        <f>IFERROR(VLOOKUP($A499,#REF!,41,FALSE),"")</f>
        <v/>
      </c>
      <c r="Y499" s="1063" t="str">
        <f>IFERROR(VLOOKUP($A499,#REF!,42,FALSE),"")</f>
        <v/>
      </c>
      <c r="Z499" s="1063" t="str">
        <f>IFERROR(VLOOKUP($A499,#REF!,45,FALSE),"")</f>
        <v/>
      </c>
      <c r="AA499" s="1071">
        <v>2017</v>
      </c>
      <c r="AB499" s="1072">
        <v>2</v>
      </c>
      <c r="AC499" s="1074" t="s">
        <v>303</v>
      </c>
      <c r="AD499" s="1074" t="s">
        <v>4148</v>
      </c>
      <c r="AE499" s="1074" t="s">
        <v>307</v>
      </c>
      <c r="AF499" s="1074" t="s">
        <v>113</v>
      </c>
      <c r="AG499" s="968" t="s">
        <v>3981</v>
      </c>
      <c r="AH499" s="968" t="s">
        <v>3977</v>
      </c>
      <c r="AI499" s="1071">
        <v>16</v>
      </c>
      <c r="AJ499" s="1075" t="s">
        <v>3985</v>
      </c>
      <c r="AK499" s="765"/>
      <c r="AL499" s="766"/>
      <c r="AM499" s="765"/>
      <c r="AN499" s="766"/>
      <c r="AO499" s="777"/>
      <c r="AP499" s="778"/>
      <c r="AQ499" s="1076"/>
      <c r="AR499" s="968"/>
      <c r="AS499" s="968"/>
      <c r="AT499" s="968"/>
      <c r="AU499" s="968"/>
      <c r="AV499" s="968"/>
      <c r="AW499" s="968"/>
    </row>
    <row r="500" spans="1:49" s="1077" customFormat="1">
      <c r="A500" s="968"/>
      <c r="B500" s="968"/>
      <c r="C500" s="968"/>
      <c r="D500" s="968"/>
      <c r="E500" s="968"/>
      <c r="F500" s="1069" t="str">
        <f>IFERROR(VLOOKUP($A500,#REF!,3,FALSE),"")</f>
        <v/>
      </c>
      <c r="G500" s="1056" t="str">
        <f>IFERROR(VLOOKUP($A500,#REF!,4,FALSE),"")</f>
        <v/>
      </c>
      <c r="H500" s="1056" t="str">
        <f>IFERROR(VLOOKUP($A500,#REF!,5,FALSE),"")</f>
        <v/>
      </c>
      <c r="I500" s="1056" t="str">
        <f>IFERROR(VLOOKUP($A500,#REF!,6,FALSE),"")</f>
        <v/>
      </c>
      <c r="J500" s="1056" t="str">
        <f>IFERROR(VLOOKUP($A500,#REF!,7,FALSE),"")</f>
        <v/>
      </c>
      <c r="K500" s="1056" t="str">
        <f>IFERROR(VLOOKUP($A500,#REF!,8,FALSE),"")</f>
        <v/>
      </c>
      <c r="L500" s="1063" t="str">
        <f>IFERROR(VLOOKUP($A500,#REF!,9,FALSE),"")</f>
        <v/>
      </c>
      <c r="M500" s="1070" t="str">
        <f>IFERROR(VLOOKUP($A500,#REF!,10,FALSE),"")</f>
        <v/>
      </c>
      <c r="N500" s="1063" t="str">
        <f>IFERROR(VLOOKUP($A500,#REF!,12,FALSE),"")</f>
        <v/>
      </c>
      <c r="O500" s="1056" t="str">
        <f>IFERROR(VLOOKUP($A500,#REF!,13,FALSE),"")</f>
        <v/>
      </c>
      <c r="P500" s="1056" t="str">
        <f>IFERROR(VLOOKUP($A500,#REF!,14,FALSE),"")</f>
        <v/>
      </c>
      <c r="Q500" s="1056" t="str">
        <f>IFERROR(VLOOKUP($A500,#REF!,16,FALSE),"")</f>
        <v/>
      </c>
      <c r="R500" s="1056" t="str">
        <f>IFERROR(VLOOKUP($A500,#REF!,17,FALSE),"")</f>
        <v/>
      </c>
      <c r="S500" s="1063" t="str">
        <f>IFERROR(VLOOKUP($A500,#REF!,20,FALSE),"")</f>
        <v/>
      </c>
      <c r="T500" s="1063" t="str">
        <f>IFERROR(VLOOKUP($A500,#REF!,21,FALSE),"")</f>
        <v/>
      </c>
      <c r="U500" s="1063" t="str">
        <f>IFERROR(VLOOKUP($A500,#REF!,22,FALSE),"")</f>
        <v/>
      </c>
      <c r="V500" s="1063" t="str">
        <f>IFERROR(VLOOKUP($A500,#REF!,23,FALSE),"")</f>
        <v/>
      </c>
      <c r="W500" s="1063" t="str">
        <f>IFERROR(VLOOKUP($A500,#REF!,24,FALSE),"")</f>
        <v/>
      </c>
      <c r="X500" s="1063" t="str">
        <f>IFERROR(VLOOKUP($A500,#REF!,41,FALSE),"")</f>
        <v/>
      </c>
      <c r="Y500" s="1063" t="str">
        <f>IFERROR(VLOOKUP($A500,#REF!,42,FALSE),"")</f>
        <v/>
      </c>
      <c r="Z500" s="1063" t="str">
        <f>IFERROR(VLOOKUP($A500,#REF!,45,FALSE),"")</f>
        <v/>
      </c>
      <c r="AA500" s="1071"/>
      <c r="AB500" s="1072"/>
      <c r="AC500" s="1074"/>
      <c r="AD500" s="1074"/>
      <c r="AE500" s="1074"/>
      <c r="AF500" s="1074"/>
      <c r="AG500" s="968"/>
      <c r="AH500" s="968"/>
      <c r="AI500" s="1071"/>
      <c r="AJ500" s="1075"/>
      <c r="AK500" s="765"/>
      <c r="AL500" s="766"/>
      <c r="AM500" s="765"/>
      <c r="AN500" s="766"/>
      <c r="AO500" s="777"/>
      <c r="AP500" s="778"/>
      <c r="AQ500" s="1076"/>
      <c r="AR500" s="968"/>
      <c r="AS500" s="968"/>
      <c r="AT500" s="968"/>
      <c r="AU500" s="968"/>
      <c r="AV500" s="968"/>
      <c r="AW500" s="968"/>
    </row>
    <row r="501" spans="1:49" s="1077" customFormat="1">
      <c r="A501" s="968" t="s">
        <v>178</v>
      </c>
      <c r="B501" s="968" t="s">
        <v>178</v>
      </c>
      <c r="C501" s="968"/>
      <c r="D501" s="967" t="s">
        <v>178</v>
      </c>
      <c r="E501" s="967" t="s">
        <v>178</v>
      </c>
      <c r="F501" s="1069" t="str">
        <f>IFERROR(VLOOKUP($A501,#REF!,3,FALSE),"")</f>
        <v/>
      </c>
      <c r="G501" s="1056" t="str">
        <f>IFERROR(VLOOKUP($A501,#REF!,4,FALSE),"")</f>
        <v/>
      </c>
      <c r="H501" s="1056" t="str">
        <f>IFERROR(VLOOKUP($A501,#REF!,5,FALSE),"")</f>
        <v/>
      </c>
      <c r="I501" s="1056" t="str">
        <f>IFERROR(VLOOKUP($A501,#REF!,6,FALSE),"")</f>
        <v/>
      </c>
      <c r="J501" s="1056" t="str">
        <f>IFERROR(VLOOKUP($A501,#REF!,7,FALSE),"")</f>
        <v/>
      </c>
      <c r="K501" s="1056" t="str">
        <f>IFERROR(VLOOKUP($A501,#REF!,8,FALSE),"")</f>
        <v/>
      </c>
      <c r="L501" s="1063" t="str">
        <f>IFERROR(VLOOKUP($A501,#REF!,9,FALSE),"")</f>
        <v/>
      </c>
      <c r="M501" s="1070" t="str">
        <f>IFERROR(VLOOKUP($A501,#REF!,10,FALSE),"")</f>
        <v/>
      </c>
      <c r="N501" s="1063" t="str">
        <f>IFERROR(VLOOKUP($A501,#REF!,12,FALSE),"")</f>
        <v/>
      </c>
      <c r="O501" s="1056" t="str">
        <f>IFERROR(VLOOKUP($A501,#REF!,13,FALSE),"")</f>
        <v/>
      </c>
      <c r="P501" s="1056" t="str">
        <f>IFERROR(VLOOKUP($A501,#REF!,14,FALSE),"")</f>
        <v/>
      </c>
      <c r="Q501" s="1056" t="str">
        <f>IFERROR(VLOOKUP($A501,#REF!,16,FALSE),"")</f>
        <v/>
      </c>
      <c r="R501" s="1056" t="str">
        <f>IFERROR(VLOOKUP($A501,#REF!,17,FALSE),"")</f>
        <v/>
      </c>
      <c r="S501" s="1063" t="str">
        <f>IFERROR(VLOOKUP($A501,#REF!,20,FALSE),"")</f>
        <v/>
      </c>
      <c r="T501" s="1063" t="str">
        <f>IFERROR(VLOOKUP($A501,#REF!,21,FALSE),"")</f>
        <v/>
      </c>
      <c r="U501" s="1063" t="str">
        <f>IFERROR(VLOOKUP($A501,#REF!,22,FALSE),"")</f>
        <v/>
      </c>
      <c r="V501" s="1063" t="str">
        <f>IFERROR(VLOOKUP($A501,#REF!,23,FALSE),"")</f>
        <v/>
      </c>
      <c r="W501" s="1063" t="str">
        <f>IFERROR(VLOOKUP($A501,#REF!,24,FALSE),"")</f>
        <v/>
      </c>
      <c r="X501" s="1063" t="str">
        <f>IFERROR(VLOOKUP($A501,#REF!,41,FALSE),"")</f>
        <v/>
      </c>
      <c r="Y501" s="1063" t="str">
        <f>IFERROR(VLOOKUP($A501,#REF!,42,FALSE),"")</f>
        <v/>
      </c>
      <c r="Z501" s="1063" t="str">
        <f>IFERROR(VLOOKUP($A501,#REF!,45,FALSE),"")</f>
        <v/>
      </c>
      <c r="AA501" s="1071">
        <v>2017</v>
      </c>
      <c r="AB501" s="1072">
        <v>15</v>
      </c>
      <c r="AC501" s="1073" t="s">
        <v>317</v>
      </c>
      <c r="AD501" s="1073" t="s">
        <v>3656</v>
      </c>
      <c r="AE501" s="1074" t="s">
        <v>307</v>
      </c>
      <c r="AF501" s="1074" t="s">
        <v>113</v>
      </c>
      <c r="AG501" s="968" t="s">
        <v>3981</v>
      </c>
      <c r="AH501" s="968" t="s">
        <v>3973</v>
      </c>
      <c r="AI501" s="1071">
        <v>11</v>
      </c>
      <c r="AJ501" s="1075" t="s">
        <v>3982</v>
      </c>
      <c r="AK501" s="765">
        <v>909678</v>
      </c>
      <c r="AL501" s="766">
        <v>91</v>
      </c>
      <c r="AM501" s="765">
        <v>909678</v>
      </c>
      <c r="AN501" s="766">
        <v>92</v>
      </c>
      <c r="AO501" s="777">
        <f>AM501</f>
        <v>909678</v>
      </c>
      <c r="AP501" s="778">
        <f t="shared" si="106"/>
        <v>93</v>
      </c>
      <c r="AQ501" s="1076"/>
      <c r="AR501" s="968"/>
      <c r="AS501" s="968"/>
      <c r="AT501" s="968"/>
      <c r="AU501" s="968"/>
      <c r="AV501" s="968"/>
      <c r="AW501" s="968"/>
    </row>
    <row r="502" spans="1:49" s="1077" customFormat="1">
      <c r="A502" s="968" t="s">
        <v>178</v>
      </c>
      <c r="B502" s="968" t="s">
        <v>178</v>
      </c>
      <c r="C502" s="968"/>
      <c r="D502" s="967" t="s">
        <v>178</v>
      </c>
      <c r="E502" s="967" t="s">
        <v>178</v>
      </c>
      <c r="F502" s="1069" t="str">
        <f>IFERROR(VLOOKUP($A502,#REF!,3,FALSE),"")</f>
        <v/>
      </c>
      <c r="G502" s="1056" t="str">
        <f>IFERROR(VLOOKUP($A502,#REF!,4,FALSE),"")</f>
        <v/>
      </c>
      <c r="H502" s="1056" t="str">
        <f>IFERROR(VLOOKUP($A502,#REF!,5,FALSE),"")</f>
        <v/>
      </c>
      <c r="I502" s="1056" t="str">
        <f>IFERROR(VLOOKUP($A502,#REF!,6,FALSE),"")</f>
        <v/>
      </c>
      <c r="J502" s="1056" t="str">
        <f>IFERROR(VLOOKUP($A502,#REF!,7,FALSE),"")</f>
        <v/>
      </c>
      <c r="K502" s="1056" t="str">
        <f>IFERROR(VLOOKUP($A502,#REF!,8,FALSE),"")</f>
        <v/>
      </c>
      <c r="L502" s="1063" t="str">
        <f>IFERROR(VLOOKUP($A502,#REF!,9,FALSE),"")</f>
        <v/>
      </c>
      <c r="M502" s="1070" t="str">
        <f>IFERROR(VLOOKUP($A502,#REF!,10,FALSE),"")</f>
        <v/>
      </c>
      <c r="N502" s="1063" t="str">
        <f>IFERROR(VLOOKUP($A502,#REF!,12,FALSE),"")</f>
        <v/>
      </c>
      <c r="O502" s="1056" t="str">
        <f>IFERROR(VLOOKUP($A502,#REF!,13,FALSE),"")</f>
        <v/>
      </c>
      <c r="P502" s="1056" t="str">
        <f>IFERROR(VLOOKUP($A502,#REF!,14,FALSE),"")</f>
        <v/>
      </c>
      <c r="Q502" s="1056" t="str">
        <f>IFERROR(VLOOKUP($A502,#REF!,16,FALSE),"")</f>
        <v/>
      </c>
      <c r="R502" s="1056" t="str">
        <f>IFERROR(VLOOKUP($A502,#REF!,17,FALSE),"")</f>
        <v/>
      </c>
      <c r="S502" s="1063" t="str">
        <f>IFERROR(VLOOKUP($A502,#REF!,20,FALSE),"")</f>
        <v/>
      </c>
      <c r="T502" s="1063" t="str">
        <f>IFERROR(VLOOKUP($A502,#REF!,21,FALSE),"")</f>
        <v/>
      </c>
      <c r="U502" s="1063" t="str">
        <f>IFERROR(VLOOKUP($A502,#REF!,22,FALSE),"")</f>
        <v/>
      </c>
      <c r="V502" s="1063" t="str">
        <f>IFERROR(VLOOKUP($A502,#REF!,23,FALSE),"")</f>
        <v/>
      </c>
      <c r="W502" s="1063" t="str">
        <f>IFERROR(VLOOKUP($A502,#REF!,24,FALSE),"")</f>
        <v/>
      </c>
      <c r="X502" s="1063" t="str">
        <f>IFERROR(VLOOKUP($A502,#REF!,41,FALSE),"")</f>
        <v/>
      </c>
      <c r="Y502" s="1063" t="str">
        <f>IFERROR(VLOOKUP($A502,#REF!,42,FALSE),"")</f>
        <v/>
      </c>
      <c r="Z502" s="1063" t="str">
        <f>IFERROR(VLOOKUP($A502,#REF!,45,FALSE),"")</f>
        <v/>
      </c>
      <c r="AA502" s="1071">
        <v>2017</v>
      </c>
      <c r="AB502" s="1072">
        <v>15</v>
      </c>
      <c r="AC502" s="1073" t="s">
        <v>317</v>
      </c>
      <c r="AD502" s="1073" t="s">
        <v>3656</v>
      </c>
      <c r="AE502" s="1074" t="s">
        <v>307</v>
      </c>
      <c r="AF502" s="1074" t="s">
        <v>113</v>
      </c>
      <c r="AG502" s="968" t="s">
        <v>3981</v>
      </c>
      <c r="AH502" s="968" t="s">
        <v>3977</v>
      </c>
      <c r="AI502" s="1071">
        <v>16</v>
      </c>
      <c r="AJ502" s="1075" t="s">
        <v>3985</v>
      </c>
      <c r="AK502" s="765"/>
      <c r="AL502" s="766"/>
      <c r="AM502" s="765"/>
      <c r="AN502" s="766"/>
      <c r="AO502" s="777"/>
      <c r="AP502" s="778"/>
      <c r="AQ502" s="1076"/>
      <c r="AR502" s="968"/>
      <c r="AS502" s="968"/>
      <c r="AT502" s="968"/>
      <c r="AU502" s="968"/>
      <c r="AV502" s="968"/>
      <c r="AW502" s="968"/>
    </row>
    <row r="503" spans="1:49" s="1077" customFormat="1">
      <c r="A503" s="968"/>
      <c r="B503" s="968"/>
      <c r="C503" s="968"/>
      <c r="D503" s="968"/>
      <c r="E503" s="968"/>
      <c r="F503" s="1069" t="str">
        <f>IFERROR(VLOOKUP($A503,#REF!,3,FALSE),"")</f>
        <v/>
      </c>
      <c r="G503" s="1056" t="str">
        <f>IFERROR(VLOOKUP($A503,#REF!,4,FALSE),"")</f>
        <v/>
      </c>
      <c r="H503" s="1056" t="str">
        <f>IFERROR(VLOOKUP($A503,#REF!,5,FALSE),"")</f>
        <v/>
      </c>
      <c r="I503" s="1056" t="str">
        <f>IFERROR(VLOOKUP($A503,#REF!,6,FALSE),"")</f>
        <v/>
      </c>
      <c r="J503" s="1056" t="str">
        <f>IFERROR(VLOOKUP($A503,#REF!,7,FALSE),"")</f>
        <v/>
      </c>
      <c r="K503" s="1056" t="str">
        <f>IFERROR(VLOOKUP($A503,#REF!,8,FALSE),"")</f>
        <v/>
      </c>
      <c r="L503" s="1063" t="str">
        <f>IFERROR(VLOOKUP($A503,#REF!,9,FALSE),"")</f>
        <v/>
      </c>
      <c r="M503" s="1070" t="str">
        <f>IFERROR(VLOOKUP($A503,#REF!,10,FALSE),"")</f>
        <v/>
      </c>
      <c r="N503" s="1063" t="str">
        <f>IFERROR(VLOOKUP($A503,#REF!,12,FALSE),"")</f>
        <v/>
      </c>
      <c r="O503" s="1056" t="str">
        <f>IFERROR(VLOOKUP($A503,#REF!,13,FALSE),"")</f>
        <v/>
      </c>
      <c r="P503" s="1056" t="str">
        <f>IFERROR(VLOOKUP($A503,#REF!,14,FALSE),"")</f>
        <v/>
      </c>
      <c r="Q503" s="1056" t="str">
        <f>IFERROR(VLOOKUP($A503,#REF!,16,FALSE),"")</f>
        <v/>
      </c>
      <c r="R503" s="1056" t="str">
        <f>IFERROR(VLOOKUP($A503,#REF!,17,FALSE),"")</f>
        <v/>
      </c>
      <c r="S503" s="1063" t="str">
        <f>IFERROR(VLOOKUP($A503,#REF!,20,FALSE),"")</f>
        <v/>
      </c>
      <c r="T503" s="1063" t="str">
        <f>IFERROR(VLOOKUP($A503,#REF!,21,FALSE),"")</f>
        <v/>
      </c>
      <c r="U503" s="1063" t="str">
        <f>IFERROR(VLOOKUP($A503,#REF!,22,FALSE),"")</f>
        <v/>
      </c>
      <c r="V503" s="1063" t="str">
        <f>IFERROR(VLOOKUP($A503,#REF!,23,FALSE),"")</f>
        <v/>
      </c>
      <c r="W503" s="1063" t="str">
        <f>IFERROR(VLOOKUP($A503,#REF!,24,FALSE),"")</f>
        <v/>
      </c>
      <c r="X503" s="1063" t="str">
        <f>IFERROR(VLOOKUP($A503,#REF!,41,FALSE),"")</f>
        <v/>
      </c>
      <c r="Y503" s="1063" t="str">
        <f>IFERROR(VLOOKUP($A503,#REF!,42,FALSE),"")</f>
        <v/>
      </c>
      <c r="Z503" s="1063" t="str">
        <f>IFERROR(VLOOKUP($A503,#REF!,45,FALSE),"")</f>
        <v/>
      </c>
      <c r="AA503" s="1074"/>
      <c r="AB503" s="1078"/>
      <c r="AC503" s="1074"/>
      <c r="AD503" s="1074"/>
      <c r="AE503" s="1074"/>
      <c r="AF503" s="1074"/>
      <c r="AG503" s="735"/>
      <c r="AH503" s="735"/>
      <c r="AI503" s="1074"/>
      <c r="AJ503" s="1079"/>
      <c r="AK503" s="765"/>
      <c r="AL503" s="766"/>
      <c r="AM503" s="765"/>
      <c r="AN503" s="766"/>
      <c r="AO503" s="777"/>
      <c r="AP503" s="778"/>
      <c r="AQ503" s="1080"/>
      <c r="AR503" s="735"/>
      <c r="AS503" s="735"/>
      <c r="AT503" s="735"/>
      <c r="AU503" s="735"/>
      <c r="AV503" s="735"/>
      <c r="AW503" s="735"/>
    </row>
    <row r="504" spans="1:49" s="1077" customFormat="1">
      <c r="A504" s="968" t="s">
        <v>180</v>
      </c>
      <c r="B504" s="968" t="s">
        <v>180</v>
      </c>
      <c r="C504" s="968"/>
      <c r="D504" s="968"/>
      <c r="E504" s="968"/>
      <c r="F504" s="1069" t="str">
        <f>IFERROR(VLOOKUP($A504,#REF!,3,FALSE),"")</f>
        <v/>
      </c>
      <c r="G504" s="1056" t="str">
        <f>IFERROR(VLOOKUP($A504,#REF!,4,FALSE),"")</f>
        <v/>
      </c>
      <c r="H504" s="1056" t="str">
        <f>IFERROR(VLOOKUP($A504,#REF!,5,FALSE),"")</f>
        <v/>
      </c>
      <c r="I504" s="1056" t="str">
        <f>IFERROR(VLOOKUP($A504,#REF!,6,FALSE),"")</f>
        <v/>
      </c>
      <c r="J504" s="1056" t="str">
        <f>IFERROR(VLOOKUP($A504,#REF!,7,FALSE),"")</f>
        <v/>
      </c>
      <c r="K504" s="1056" t="str">
        <f>IFERROR(VLOOKUP($A504,#REF!,8,FALSE),"")</f>
        <v/>
      </c>
      <c r="L504" s="1063" t="str">
        <f>IFERROR(VLOOKUP($A504,#REF!,9,FALSE),"")</f>
        <v/>
      </c>
      <c r="M504" s="1070" t="str">
        <f>IFERROR(VLOOKUP($A504,#REF!,10,FALSE),"")</f>
        <v/>
      </c>
      <c r="N504" s="1063" t="str">
        <f>IFERROR(VLOOKUP($A504,#REF!,12,FALSE),"")</f>
        <v/>
      </c>
      <c r="O504" s="1056" t="str">
        <f>IFERROR(VLOOKUP($A504,#REF!,13,FALSE),"")</f>
        <v/>
      </c>
      <c r="P504" s="1056" t="str">
        <f>IFERROR(VLOOKUP($A504,#REF!,14,FALSE),"")</f>
        <v/>
      </c>
      <c r="Q504" s="1056" t="str">
        <f>IFERROR(VLOOKUP($A504,#REF!,16,FALSE),"")</f>
        <v/>
      </c>
      <c r="R504" s="1056" t="str">
        <f>IFERROR(VLOOKUP($A504,#REF!,17,FALSE),"")</f>
        <v/>
      </c>
      <c r="S504" s="1063" t="str">
        <f>IFERROR(VLOOKUP($A504,#REF!,20,FALSE),"")</f>
        <v/>
      </c>
      <c r="T504" s="1063" t="str">
        <f>IFERROR(VLOOKUP($A504,#REF!,21,FALSE),"")</f>
        <v/>
      </c>
      <c r="U504" s="1063" t="str">
        <f>IFERROR(VLOOKUP($A504,#REF!,22,FALSE),"")</f>
        <v/>
      </c>
      <c r="V504" s="1063" t="str">
        <f>IFERROR(VLOOKUP($A504,#REF!,23,FALSE),"")</f>
        <v/>
      </c>
      <c r="W504" s="1063" t="str">
        <f>IFERROR(VLOOKUP($A504,#REF!,24,FALSE),"")</f>
        <v/>
      </c>
      <c r="X504" s="1063" t="str">
        <f>IFERROR(VLOOKUP($A504,#REF!,41,FALSE),"")</f>
        <v/>
      </c>
      <c r="Y504" s="1063" t="str">
        <f>IFERROR(VLOOKUP($A504,#REF!,42,FALSE),"")</f>
        <v/>
      </c>
      <c r="Z504" s="1063" t="str">
        <f>IFERROR(VLOOKUP($A504,#REF!,45,FALSE),"")</f>
        <v/>
      </c>
      <c r="AA504" s="1071">
        <v>2017</v>
      </c>
      <c r="AB504" s="1072">
        <v>18</v>
      </c>
      <c r="AC504" s="1073" t="s">
        <v>303</v>
      </c>
      <c r="AD504" s="1073" t="s">
        <v>3655</v>
      </c>
      <c r="AE504" s="1074" t="s">
        <v>307</v>
      </c>
      <c r="AF504" s="1074" t="s">
        <v>113</v>
      </c>
      <c r="AG504" s="968" t="s">
        <v>3981</v>
      </c>
      <c r="AH504" s="968" t="s">
        <v>3973</v>
      </c>
      <c r="AI504" s="1071">
        <v>11</v>
      </c>
      <c r="AJ504" s="1075" t="s">
        <v>3982</v>
      </c>
      <c r="AK504" s="765">
        <v>909678</v>
      </c>
      <c r="AL504" s="766">
        <v>109</v>
      </c>
      <c r="AM504" s="765">
        <v>909678</v>
      </c>
      <c r="AN504" s="766">
        <v>110</v>
      </c>
      <c r="AO504" s="777">
        <f>AM504</f>
        <v>909678</v>
      </c>
      <c r="AP504" s="778">
        <f t="shared" si="106"/>
        <v>111</v>
      </c>
      <c r="AQ504" s="1076"/>
      <c r="AR504" s="968"/>
      <c r="AS504" s="968"/>
      <c r="AT504" s="968"/>
      <c r="AU504" s="968"/>
      <c r="AV504" s="968"/>
      <c r="AW504" s="968"/>
    </row>
    <row r="505" spans="1:49" s="1077" customFormat="1">
      <c r="A505" s="968" t="s">
        <v>180</v>
      </c>
      <c r="B505" s="968" t="s">
        <v>180</v>
      </c>
      <c r="C505" s="968"/>
      <c r="D505" s="968"/>
      <c r="E505" s="968"/>
      <c r="F505" s="1069" t="str">
        <f>IFERROR(VLOOKUP($A505,#REF!,3,FALSE),"")</f>
        <v/>
      </c>
      <c r="G505" s="1056" t="str">
        <f>IFERROR(VLOOKUP($A505,#REF!,4,FALSE),"")</f>
        <v/>
      </c>
      <c r="H505" s="1056" t="str">
        <f>IFERROR(VLOOKUP($A505,#REF!,5,FALSE),"")</f>
        <v/>
      </c>
      <c r="I505" s="1056" t="str">
        <f>IFERROR(VLOOKUP($A505,#REF!,6,FALSE),"")</f>
        <v/>
      </c>
      <c r="J505" s="1056" t="str">
        <f>IFERROR(VLOOKUP($A505,#REF!,7,FALSE),"")</f>
        <v/>
      </c>
      <c r="K505" s="1056" t="str">
        <f>IFERROR(VLOOKUP($A505,#REF!,8,FALSE),"")</f>
        <v/>
      </c>
      <c r="L505" s="1063" t="str">
        <f>IFERROR(VLOOKUP($A505,#REF!,9,FALSE),"")</f>
        <v/>
      </c>
      <c r="M505" s="1070" t="str">
        <f>IFERROR(VLOOKUP($A505,#REF!,10,FALSE),"")</f>
        <v/>
      </c>
      <c r="N505" s="1063" t="str">
        <f>IFERROR(VLOOKUP($A505,#REF!,12,FALSE),"")</f>
        <v/>
      </c>
      <c r="O505" s="1056" t="str">
        <f>IFERROR(VLOOKUP($A505,#REF!,13,FALSE),"")</f>
        <v/>
      </c>
      <c r="P505" s="1056" t="str">
        <f>IFERROR(VLOOKUP($A505,#REF!,14,FALSE),"")</f>
        <v/>
      </c>
      <c r="Q505" s="1056" t="str">
        <f>IFERROR(VLOOKUP($A505,#REF!,16,FALSE),"")</f>
        <v/>
      </c>
      <c r="R505" s="1056" t="str">
        <f>IFERROR(VLOOKUP($A505,#REF!,17,FALSE),"")</f>
        <v/>
      </c>
      <c r="S505" s="1063" t="str">
        <f>IFERROR(VLOOKUP($A505,#REF!,20,FALSE),"")</f>
        <v/>
      </c>
      <c r="T505" s="1063" t="str">
        <f>IFERROR(VLOOKUP($A505,#REF!,21,FALSE),"")</f>
        <v/>
      </c>
      <c r="U505" s="1063" t="str">
        <f>IFERROR(VLOOKUP($A505,#REF!,22,FALSE),"")</f>
        <v/>
      </c>
      <c r="V505" s="1063" t="str">
        <f>IFERROR(VLOOKUP($A505,#REF!,23,FALSE),"")</f>
        <v/>
      </c>
      <c r="W505" s="1063" t="str">
        <f>IFERROR(VLOOKUP($A505,#REF!,24,FALSE),"")</f>
        <v/>
      </c>
      <c r="X505" s="1063" t="str">
        <f>IFERROR(VLOOKUP($A505,#REF!,41,FALSE),"")</f>
        <v/>
      </c>
      <c r="Y505" s="1063" t="str">
        <f>IFERROR(VLOOKUP($A505,#REF!,42,FALSE),"")</f>
        <v/>
      </c>
      <c r="Z505" s="1063" t="str">
        <f>IFERROR(VLOOKUP($A505,#REF!,45,FALSE),"")</f>
        <v/>
      </c>
      <c r="AA505" s="1071">
        <v>2017</v>
      </c>
      <c r="AB505" s="1072">
        <v>18</v>
      </c>
      <c r="AC505" s="1073" t="s">
        <v>303</v>
      </c>
      <c r="AD505" s="1073" t="s">
        <v>3655</v>
      </c>
      <c r="AE505" s="1074" t="s">
        <v>307</v>
      </c>
      <c r="AF505" s="1074" t="s">
        <v>113</v>
      </c>
      <c r="AG505" s="968" t="s">
        <v>3981</v>
      </c>
      <c r="AH505" s="968" t="s">
        <v>3977</v>
      </c>
      <c r="AI505" s="1071">
        <v>16</v>
      </c>
      <c r="AJ505" s="1075" t="s">
        <v>3985</v>
      </c>
      <c r="AK505" s="765"/>
      <c r="AL505" s="766"/>
      <c r="AM505" s="765"/>
      <c r="AN505" s="766"/>
      <c r="AO505" s="777"/>
      <c r="AP505" s="778"/>
      <c r="AQ505" s="1076"/>
      <c r="AR505" s="968"/>
      <c r="AS505" s="968"/>
      <c r="AT505" s="968"/>
      <c r="AU505" s="968"/>
      <c r="AV505" s="968"/>
      <c r="AW505" s="968"/>
    </row>
    <row r="506" spans="1:49" s="1077" customFormat="1">
      <c r="A506" s="968"/>
      <c r="B506" s="968"/>
      <c r="C506" s="968"/>
      <c r="D506" s="968"/>
      <c r="E506" s="968"/>
      <c r="F506" s="1069" t="str">
        <f>IFERROR(VLOOKUP($A506,#REF!,3,FALSE),"")</f>
        <v/>
      </c>
      <c r="G506" s="1056" t="str">
        <f>IFERROR(VLOOKUP($A506,#REF!,4,FALSE),"")</f>
        <v/>
      </c>
      <c r="H506" s="1056" t="str">
        <f>IFERROR(VLOOKUP($A506,#REF!,5,FALSE),"")</f>
        <v/>
      </c>
      <c r="I506" s="1056" t="str">
        <f>IFERROR(VLOOKUP($A506,#REF!,6,FALSE),"")</f>
        <v/>
      </c>
      <c r="J506" s="1056" t="str">
        <f>IFERROR(VLOOKUP($A506,#REF!,7,FALSE),"")</f>
        <v/>
      </c>
      <c r="K506" s="1056" t="str">
        <f>IFERROR(VLOOKUP($A506,#REF!,8,FALSE),"")</f>
        <v/>
      </c>
      <c r="L506" s="1063" t="str">
        <f>IFERROR(VLOOKUP($A506,#REF!,9,FALSE),"")</f>
        <v/>
      </c>
      <c r="M506" s="1070" t="str">
        <f>IFERROR(VLOOKUP($A506,#REF!,10,FALSE),"")</f>
        <v/>
      </c>
      <c r="N506" s="1063" t="str">
        <f>IFERROR(VLOOKUP($A506,#REF!,12,FALSE),"")</f>
        <v/>
      </c>
      <c r="O506" s="1056" t="str">
        <f>IFERROR(VLOOKUP($A506,#REF!,13,FALSE),"")</f>
        <v/>
      </c>
      <c r="P506" s="1056" t="str">
        <f>IFERROR(VLOOKUP($A506,#REF!,14,FALSE),"")</f>
        <v/>
      </c>
      <c r="Q506" s="1056" t="str">
        <f>IFERROR(VLOOKUP($A506,#REF!,16,FALSE),"")</f>
        <v/>
      </c>
      <c r="R506" s="1056" t="str">
        <f>IFERROR(VLOOKUP($A506,#REF!,17,FALSE),"")</f>
        <v/>
      </c>
      <c r="S506" s="1063" t="str">
        <f>IFERROR(VLOOKUP($A506,#REF!,20,FALSE),"")</f>
        <v/>
      </c>
      <c r="T506" s="1063" t="str">
        <f>IFERROR(VLOOKUP($A506,#REF!,21,FALSE),"")</f>
        <v/>
      </c>
      <c r="U506" s="1063" t="str">
        <f>IFERROR(VLOOKUP($A506,#REF!,22,FALSE),"")</f>
        <v/>
      </c>
      <c r="V506" s="1063" t="str">
        <f>IFERROR(VLOOKUP($A506,#REF!,23,FALSE),"")</f>
        <v/>
      </c>
      <c r="W506" s="1063" t="str">
        <f>IFERROR(VLOOKUP($A506,#REF!,24,FALSE),"")</f>
        <v/>
      </c>
      <c r="X506" s="1063" t="str">
        <f>IFERROR(VLOOKUP($A506,#REF!,41,FALSE),"")</f>
        <v/>
      </c>
      <c r="Y506" s="1063" t="str">
        <f>IFERROR(VLOOKUP($A506,#REF!,42,FALSE),"")</f>
        <v/>
      </c>
      <c r="Z506" s="1063" t="str">
        <f>IFERROR(VLOOKUP($A506,#REF!,45,FALSE),"")</f>
        <v/>
      </c>
      <c r="AA506" s="1071"/>
      <c r="AB506" s="1072"/>
      <c r="AC506" s="1073"/>
      <c r="AD506" s="1073"/>
      <c r="AE506" s="1074"/>
      <c r="AF506" s="1074"/>
      <c r="AG506" s="968"/>
      <c r="AH506" s="968"/>
      <c r="AI506" s="1071"/>
      <c r="AJ506" s="1075"/>
      <c r="AK506" s="1082"/>
      <c r="AL506" s="766"/>
      <c r="AM506" s="765"/>
      <c r="AN506" s="766"/>
      <c r="AO506" s="777"/>
      <c r="AP506" s="778"/>
      <c r="AQ506" s="1076"/>
      <c r="AR506" s="968"/>
      <c r="AS506" s="968"/>
      <c r="AT506" s="968"/>
      <c r="AU506" s="968"/>
      <c r="AV506" s="968"/>
      <c r="AW506" s="968"/>
    </row>
    <row r="507" spans="1:49" s="1077" customFormat="1">
      <c r="A507" s="968" t="s">
        <v>1248</v>
      </c>
      <c r="B507" s="968" t="s">
        <v>4127</v>
      </c>
      <c r="C507" s="968"/>
      <c r="D507" s="968"/>
      <c r="E507" s="968"/>
      <c r="F507" s="1069">
        <f>IFERROR(VLOOKUP($A507,'2018'!$A:$BB,3,FALSE),"")</f>
        <v>202232203</v>
      </c>
      <c r="G507" s="1056" t="str">
        <f>IFERROR(VLOOKUP($A507,'2018'!$A:$BB,4,FALSE),"")</f>
        <v>39655 Eureka Dr
Newark, CA 94560</v>
      </c>
      <c r="H507" s="1056" t="str">
        <f>IFERROR(VLOOKUP($A507,'2018'!$A:$BB,5,FALSE),"")</f>
        <v>Trudy Schapansky
510-592-3000 x65467
tschapansky@tripleringtech.com</v>
      </c>
      <c r="I507" s="1056" t="str">
        <f>IFERROR(VLOOKUP($A507,'2018'!$A:$BB,6,FALSE),"")</f>
        <v>Trudy Schapansky
510-592-3000 x65467
tschapansky@tripleringtech.com</v>
      </c>
      <c r="J507" s="1056" t="str">
        <f>IFERROR(VLOOKUP($A507,'2018'!$A:$BB,7,FALSE),"")</f>
        <v>ABD</v>
      </c>
      <c r="K507" s="1056" t="str">
        <f>IFERROR(VLOOKUP($A507,'2018'!$A:$BB,8,FALSE),"")</f>
        <v>Account Managed by ABD Team
Andrea Trudeau
andrea.trudeau@theabdteam.com
Megan Delgado
megan.delgado@theabdteam.com</v>
      </c>
      <c r="L507" s="1063" t="str">
        <f>IFERROR(VLOOKUP($A507,'2018'!$A:$BB,9,FALSE),"")</f>
        <v>New</v>
      </c>
      <c r="M507" s="1070">
        <f>IFERROR(VLOOKUP($A507,'2018'!$A:$BB,10,FALSE),"")</f>
        <v>43070</v>
      </c>
      <c r="N507" s="1063">
        <f>IFERROR(VLOOKUP($A507,'2018'!$A:$BB,12,FALSE),"")</f>
        <v>73</v>
      </c>
      <c r="O507" s="1056" t="str">
        <f>IFERROR(VLOOKUP($A507,'2018'!$A:$BB,13,FALSE),"")</f>
        <v>Basic</v>
      </c>
      <c r="P507" s="1056" t="str">
        <f>IFERROR(VLOOKUP($A507,'2018'!$A:$BB,14,FALSE),"")</f>
        <v>ADP</v>
      </c>
      <c r="Q507" s="1056" t="str">
        <f>IFERROR(VLOOKUP($A507,'2018'!$A:$BB,16,FALSE),"")</f>
        <v>N/A</v>
      </c>
      <c r="R507" s="1056" t="str">
        <f>IFERROR(VLOOKUP($A507,'2018'!$A:$BB,17,FALSE),"")</f>
        <v>Key Point Credit Union</v>
      </c>
      <c r="S507" s="1063" t="str">
        <f>IFERROR(VLOOKUP($A507,'2018'!$A:$BB,20,FALSE),"")</f>
        <v>NCAL</v>
      </c>
      <c r="T507" s="1063" t="str">
        <f>IFERROR(VLOOKUP($A507,'2018'!$A:$BB,21,FALSE),"")</f>
        <v>Group C (44-54)</v>
      </c>
      <c r="U507" s="1063" t="str">
        <f>IFERROR(VLOOKUP($A507,'2018'!$A:$BB,22,FALSE),"")</f>
        <v>Expanded</v>
      </c>
      <c r="V507" s="1063" t="str">
        <f>IFERROR(VLOOKUP($A507,'2018'!$A:$BB,23,FALSE),"")</f>
        <v>Advantage</v>
      </c>
      <c r="W507" s="1063" t="str">
        <f>IFERROR(VLOOKUP($A507,'2018'!$A:$BB,24,FALSE),"")</f>
        <v>No</v>
      </c>
      <c r="X507" s="1063" t="str">
        <f>IFERROR(VLOOKUP($A507,'2018'!$A:$BB,41,FALSE),"")</f>
        <v>N/A</v>
      </c>
      <c r="Y507" s="1063" t="str">
        <f>IFERROR(VLOOKUP($A507,'2018'!$A:$BB,42,FALSE),"")</f>
        <v>N/A</v>
      </c>
      <c r="Z507" s="1063" t="str">
        <f>IFERROR(VLOOKUP($A507,'2018'!$A:$BB,45,FALSE),"")</f>
        <v xml:space="preserve"> (50-99)</v>
      </c>
      <c r="AA507" s="1071">
        <v>2017</v>
      </c>
      <c r="AB507" s="1072" t="s">
        <v>4149</v>
      </c>
      <c r="AC507" s="1074" t="s">
        <v>303</v>
      </c>
      <c r="AD507" s="1074" t="s">
        <v>3656</v>
      </c>
      <c r="AE507" s="1074" t="s">
        <v>307</v>
      </c>
      <c r="AF507" s="1074" t="s">
        <v>113</v>
      </c>
      <c r="AG507" s="735" t="s">
        <v>3972</v>
      </c>
      <c r="AH507" s="735" t="s">
        <v>3973</v>
      </c>
      <c r="AI507" s="1074">
        <v>8</v>
      </c>
      <c r="AJ507" s="1079" t="s">
        <v>3992</v>
      </c>
      <c r="AK507" s="1082">
        <v>909678</v>
      </c>
      <c r="AL507" s="778">
        <v>364</v>
      </c>
      <c r="AM507" s="765">
        <v>909678</v>
      </c>
      <c r="AN507" s="778">
        <v>365</v>
      </c>
      <c r="AO507" s="777">
        <f t="shared" ref="AO507:AO510" si="109">AM507</f>
        <v>909678</v>
      </c>
      <c r="AP507" s="778">
        <f t="shared" ref="AP507:AP513" si="110">AN507+1</f>
        <v>366</v>
      </c>
      <c r="AQ507" s="1080"/>
      <c r="AR507" s="735"/>
      <c r="AS507" s="735"/>
      <c r="AT507" s="735"/>
      <c r="AU507" s="735"/>
      <c r="AV507" s="735"/>
      <c r="AW507" s="735"/>
    </row>
    <row r="508" spans="1:49" s="1077" customFormat="1">
      <c r="A508" s="968" t="s">
        <v>1248</v>
      </c>
      <c r="B508" s="968" t="s">
        <v>4127</v>
      </c>
      <c r="C508" s="968"/>
      <c r="D508" s="968"/>
      <c r="E508" s="968"/>
      <c r="F508" s="1069">
        <f>IFERROR(VLOOKUP($A508,'2018'!$A:$BB,3,FALSE),"")</f>
        <v>202232203</v>
      </c>
      <c r="G508" s="1056" t="str">
        <f>IFERROR(VLOOKUP($A508,'2018'!$A:$BB,4,FALSE),"")</f>
        <v>39655 Eureka Dr
Newark, CA 94560</v>
      </c>
      <c r="H508" s="1056" t="str">
        <f>IFERROR(VLOOKUP($A508,'2018'!$A:$BB,5,FALSE),"")</f>
        <v>Trudy Schapansky
510-592-3000 x65467
tschapansky@tripleringtech.com</v>
      </c>
      <c r="I508" s="1056" t="str">
        <f>IFERROR(VLOOKUP($A508,'2018'!$A:$BB,6,FALSE),"")</f>
        <v>Trudy Schapansky
510-592-3000 x65467
tschapansky@tripleringtech.com</v>
      </c>
      <c r="J508" s="1056" t="str">
        <f>IFERROR(VLOOKUP($A508,'2018'!$A:$BB,7,FALSE),"")</f>
        <v>ABD</v>
      </c>
      <c r="K508" s="1056" t="str">
        <f>IFERROR(VLOOKUP($A508,'2018'!$A:$BB,8,FALSE),"")</f>
        <v>Account Managed by ABD Team
Andrea Trudeau
andrea.trudeau@theabdteam.com
Megan Delgado
megan.delgado@theabdteam.com</v>
      </c>
      <c r="L508" s="1063" t="str">
        <f>IFERROR(VLOOKUP($A508,'2018'!$A:$BB,9,FALSE),"")</f>
        <v>New</v>
      </c>
      <c r="M508" s="1070">
        <f>IFERROR(VLOOKUP($A508,'2018'!$A:$BB,10,FALSE),"")</f>
        <v>43070</v>
      </c>
      <c r="N508" s="1063">
        <f>IFERROR(VLOOKUP($A508,'2018'!$A:$BB,12,FALSE),"")</f>
        <v>73</v>
      </c>
      <c r="O508" s="1056" t="str">
        <f>IFERROR(VLOOKUP($A508,'2018'!$A:$BB,13,FALSE),"")</f>
        <v>Basic</v>
      </c>
      <c r="P508" s="1056" t="str">
        <f>IFERROR(VLOOKUP($A508,'2018'!$A:$BB,14,FALSE),"")</f>
        <v>ADP</v>
      </c>
      <c r="Q508" s="1056" t="str">
        <f>IFERROR(VLOOKUP($A508,'2018'!$A:$BB,16,FALSE),"")</f>
        <v>N/A</v>
      </c>
      <c r="R508" s="1056" t="str">
        <f>IFERROR(VLOOKUP($A508,'2018'!$A:$BB,17,FALSE),"")</f>
        <v>Key Point Credit Union</v>
      </c>
      <c r="S508" s="1063" t="str">
        <f>IFERROR(VLOOKUP($A508,'2018'!$A:$BB,20,FALSE),"")</f>
        <v>NCAL</v>
      </c>
      <c r="T508" s="1063" t="str">
        <f>IFERROR(VLOOKUP($A508,'2018'!$A:$BB,21,FALSE),"")</f>
        <v>Group C (44-54)</v>
      </c>
      <c r="U508" s="1063" t="str">
        <f>IFERROR(VLOOKUP($A508,'2018'!$A:$BB,22,FALSE),"")</f>
        <v>Expanded</v>
      </c>
      <c r="V508" s="1063" t="str">
        <f>IFERROR(VLOOKUP($A508,'2018'!$A:$BB,23,FALSE),"")</f>
        <v>Advantage</v>
      </c>
      <c r="W508" s="1063" t="str">
        <f>IFERROR(VLOOKUP($A508,'2018'!$A:$BB,24,FALSE),"")</f>
        <v>No</v>
      </c>
      <c r="X508" s="1063" t="str">
        <f>IFERROR(VLOOKUP($A508,'2018'!$A:$BB,41,FALSE),"")</f>
        <v>N/A</v>
      </c>
      <c r="Y508" s="1063" t="str">
        <f>IFERROR(VLOOKUP($A508,'2018'!$A:$BB,42,FALSE),"")</f>
        <v>N/A</v>
      </c>
      <c r="Z508" s="1063" t="str">
        <f>IFERROR(VLOOKUP($A508,'2018'!$A:$BB,45,FALSE),"")</f>
        <v xml:space="preserve"> (50-99)</v>
      </c>
      <c r="AA508" s="1071">
        <v>2017</v>
      </c>
      <c r="AB508" s="1072" t="s">
        <v>4149</v>
      </c>
      <c r="AC508" s="1074" t="s">
        <v>303</v>
      </c>
      <c r="AD508" s="1074" t="s">
        <v>3656</v>
      </c>
      <c r="AE508" s="1074" t="s">
        <v>307</v>
      </c>
      <c r="AF508" s="1074" t="s">
        <v>113</v>
      </c>
      <c r="AG508" s="735" t="s">
        <v>3972</v>
      </c>
      <c r="AH508" s="735" t="s">
        <v>3977</v>
      </c>
      <c r="AI508" s="1074">
        <v>14</v>
      </c>
      <c r="AJ508" s="1079" t="s">
        <v>3994</v>
      </c>
      <c r="AK508" s="1082">
        <v>909678</v>
      </c>
      <c r="AL508" s="778">
        <v>616</v>
      </c>
      <c r="AM508" s="765">
        <v>909678</v>
      </c>
      <c r="AN508" s="778">
        <v>617</v>
      </c>
      <c r="AO508" s="777">
        <f t="shared" si="109"/>
        <v>909678</v>
      </c>
      <c r="AP508" s="778">
        <f t="shared" si="110"/>
        <v>618</v>
      </c>
      <c r="AQ508" s="1080"/>
      <c r="AR508" s="735"/>
      <c r="AS508" s="735"/>
      <c r="AT508" s="735"/>
      <c r="AU508" s="735"/>
      <c r="AV508" s="735"/>
      <c r="AW508" s="735"/>
    </row>
    <row r="509" spans="1:49" s="1077" customFormat="1">
      <c r="A509" s="968" t="s">
        <v>1248</v>
      </c>
      <c r="B509" s="968" t="s">
        <v>4127</v>
      </c>
      <c r="C509" s="968"/>
      <c r="D509" s="968"/>
      <c r="E509" s="968"/>
      <c r="F509" s="1069">
        <f>IFERROR(VLOOKUP($A509,'2018'!$A:$BB,3,FALSE),"")</f>
        <v>202232203</v>
      </c>
      <c r="G509" s="1056" t="str">
        <f>IFERROR(VLOOKUP($A509,'2018'!$A:$BB,4,FALSE),"")</f>
        <v>39655 Eureka Dr
Newark, CA 94560</v>
      </c>
      <c r="H509" s="1056" t="str">
        <f>IFERROR(VLOOKUP($A509,'2018'!$A:$BB,5,FALSE),"")</f>
        <v>Trudy Schapansky
510-592-3000 x65467
tschapansky@tripleringtech.com</v>
      </c>
      <c r="I509" s="1056" t="str">
        <f>IFERROR(VLOOKUP($A509,'2018'!$A:$BB,6,FALSE),"")</f>
        <v>Trudy Schapansky
510-592-3000 x65467
tschapansky@tripleringtech.com</v>
      </c>
      <c r="J509" s="1056" t="str">
        <f>IFERROR(VLOOKUP($A509,'2018'!$A:$BB,7,FALSE),"")</f>
        <v>ABD</v>
      </c>
      <c r="K509" s="1056" t="str">
        <f>IFERROR(VLOOKUP($A509,'2018'!$A:$BB,8,FALSE),"")</f>
        <v>Account Managed by ABD Team
Andrea Trudeau
andrea.trudeau@theabdteam.com
Megan Delgado
megan.delgado@theabdteam.com</v>
      </c>
      <c r="L509" s="1063" t="str">
        <f>IFERROR(VLOOKUP($A509,'2018'!$A:$BB,9,FALSE),"")</f>
        <v>New</v>
      </c>
      <c r="M509" s="1070">
        <f>IFERROR(VLOOKUP($A509,'2018'!$A:$BB,10,FALSE),"")</f>
        <v>43070</v>
      </c>
      <c r="N509" s="1063">
        <f>IFERROR(VLOOKUP($A509,'2018'!$A:$BB,12,FALSE),"")</f>
        <v>73</v>
      </c>
      <c r="O509" s="1056" t="str">
        <f>IFERROR(VLOOKUP($A509,'2018'!$A:$BB,13,FALSE),"")</f>
        <v>Basic</v>
      </c>
      <c r="P509" s="1056" t="str">
        <f>IFERROR(VLOOKUP($A509,'2018'!$A:$BB,14,FALSE),"")</f>
        <v>ADP</v>
      </c>
      <c r="Q509" s="1056" t="str">
        <f>IFERROR(VLOOKUP($A509,'2018'!$A:$BB,16,FALSE),"")</f>
        <v>N/A</v>
      </c>
      <c r="R509" s="1056" t="str">
        <f>IFERROR(VLOOKUP($A509,'2018'!$A:$BB,17,FALSE),"")</f>
        <v>Key Point Credit Union</v>
      </c>
      <c r="S509" s="1063" t="str">
        <f>IFERROR(VLOOKUP($A509,'2018'!$A:$BB,20,FALSE),"")</f>
        <v>NCAL</v>
      </c>
      <c r="T509" s="1063" t="str">
        <f>IFERROR(VLOOKUP($A509,'2018'!$A:$BB,21,FALSE),"")</f>
        <v>Group C (44-54)</v>
      </c>
      <c r="U509" s="1063" t="str">
        <f>IFERROR(VLOOKUP($A509,'2018'!$A:$BB,22,FALSE),"")</f>
        <v>Expanded</v>
      </c>
      <c r="V509" s="1063" t="str">
        <f>IFERROR(VLOOKUP($A509,'2018'!$A:$BB,23,FALSE),"")</f>
        <v>Advantage</v>
      </c>
      <c r="W509" s="1063" t="str">
        <f>IFERROR(VLOOKUP($A509,'2018'!$A:$BB,24,FALSE),"")</f>
        <v>No</v>
      </c>
      <c r="X509" s="1063" t="str">
        <f>IFERROR(VLOOKUP($A509,'2018'!$A:$BB,41,FALSE),"")</f>
        <v>N/A</v>
      </c>
      <c r="Y509" s="1063" t="str">
        <f>IFERROR(VLOOKUP($A509,'2018'!$A:$BB,42,FALSE),"")</f>
        <v>N/A</v>
      </c>
      <c r="Z509" s="1063" t="str">
        <f>IFERROR(VLOOKUP($A509,'2018'!$A:$BB,45,FALSE),"")</f>
        <v xml:space="preserve"> (50-99)</v>
      </c>
      <c r="AA509" s="1071">
        <v>2017</v>
      </c>
      <c r="AB509" s="1072" t="s">
        <v>4149</v>
      </c>
      <c r="AC509" s="1074" t="s">
        <v>303</v>
      </c>
      <c r="AD509" s="1074" t="s">
        <v>3656</v>
      </c>
      <c r="AE509" s="1074" t="s">
        <v>307</v>
      </c>
      <c r="AF509" s="1074" t="s">
        <v>113</v>
      </c>
      <c r="AG509" s="735" t="s">
        <v>3981</v>
      </c>
      <c r="AH509" s="735" t="s">
        <v>3973</v>
      </c>
      <c r="AI509" s="1074">
        <v>11</v>
      </c>
      <c r="AJ509" s="1079" t="s">
        <v>3982</v>
      </c>
      <c r="AK509" s="1082">
        <v>909678</v>
      </c>
      <c r="AL509" s="778">
        <v>472</v>
      </c>
      <c r="AM509" s="765">
        <v>909678</v>
      </c>
      <c r="AN509" s="778">
        <v>473</v>
      </c>
      <c r="AO509" s="777">
        <f t="shared" si="109"/>
        <v>909678</v>
      </c>
      <c r="AP509" s="778">
        <f t="shared" si="110"/>
        <v>474</v>
      </c>
      <c r="AQ509" s="1080"/>
      <c r="AR509" s="735"/>
      <c r="AS509" s="735"/>
      <c r="AT509" s="735"/>
      <c r="AU509" s="735"/>
      <c r="AV509" s="735"/>
      <c r="AW509" s="735"/>
    </row>
    <row r="510" spans="1:49" s="1077" customFormat="1">
      <c r="A510" s="968" t="s">
        <v>1248</v>
      </c>
      <c r="B510" s="968" t="s">
        <v>4127</v>
      </c>
      <c r="C510" s="968"/>
      <c r="D510" s="968"/>
      <c r="E510" s="968"/>
      <c r="F510" s="1069">
        <f>IFERROR(VLOOKUP($A510,'2018'!$A:$BB,3,FALSE),"")</f>
        <v>202232203</v>
      </c>
      <c r="G510" s="1056" t="str">
        <f>IFERROR(VLOOKUP($A510,'2018'!$A:$BB,4,FALSE),"")</f>
        <v>39655 Eureka Dr
Newark, CA 94560</v>
      </c>
      <c r="H510" s="1056" t="str">
        <f>IFERROR(VLOOKUP($A510,'2018'!$A:$BB,5,FALSE),"")</f>
        <v>Trudy Schapansky
510-592-3000 x65467
tschapansky@tripleringtech.com</v>
      </c>
      <c r="I510" s="1056" t="str">
        <f>IFERROR(VLOOKUP($A510,'2018'!$A:$BB,6,FALSE),"")</f>
        <v>Trudy Schapansky
510-592-3000 x65467
tschapansky@tripleringtech.com</v>
      </c>
      <c r="J510" s="1056" t="str">
        <f>IFERROR(VLOOKUP($A510,'2018'!$A:$BB,7,FALSE),"")</f>
        <v>ABD</v>
      </c>
      <c r="K510" s="1056" t="str">
        <f>IFERROR(VLOOKUP($A510,'2018'!$A:$BB,8,FALSE),"")</f>
        <v>Account Managed by ABD Team
Andrea Trudeau
andrea.trudeau@theabdteam.com
Megan Delgado
megan.delgado@theabdteam.com</v>
      </c>
      <c r="L510" s="1063" t="str">
        <f>IFERROR(VLOOKUP($A510,'2018'!$A:$BB,9,FALSE),"")</f>
        <v>New</v>
      </c>
      <c r="M510" s="1070">
        <f>IFERROR(VLOOKUP($A510,'2018'!$A:$BB,10,FALSE),"")</f>
        <v>43070</v>
      </c>
      <c r="N510" s="1063">
        <f>IFERROR(VLOOKUP($A510,'2018'!$A:$BB,12,FALSE),"")</f>
        <v>73</v>
      </c>
      <c r="O510" s="1056" t="str">
        <f>IFERROR(VLOOKUP($A510,'2018'!$A:$BB,13,FALSE),"")</f>
        <v>Basic</v>
      </c>
      <c r="P510" s="1056" t="str">
        <f>IFERROR(VLOOKUP($A510,'2018'!$A:$BB,14,FALSE),"")</f>
        <v>ADP</v>
      </c>
      <c r="Q510" s="1056" t="str">
        <f>IFERROR(VLOOKUP($A510,'2018'!$A:$BB,16,FALSE),"")</f>
        <v>N/A</v>
      </c>
      <c r="R510" s="1056" t="str">
        <f>IFERROR(VLOOKUP($A510,'2018'!$A:$BB,17,FALSE),"")</f>
        <v>Key Point Credit Union</v>
      </c>
      <c r="S510" s="1063" t="str">
        <f>IFERROR(VLOOKUP($A510,'2018'!$A:$BB,20,FALSE),"")</f>
        <v>NCAL</v>
      </c>
      <c r="T510" s="1063" t="str">
        <f>IFERROR(VLOOKUP($A510,'2018'!$A:$BB,21,FALSE),"")</f>
        <v>Group C (44-54)</v>
      </c>
      <c r="U510" s="1063" t="str">
        <f>IFERROR(VLOOKUP($A510,'2018'!$A:$BB,22,FALSE),"")</f>
        <v>Expanded</v>
      </c>
      <c r="V510" s="1063" t="str">
        <f>IFERROR(VLOOKUP($A510,'2018'!$A:$BB,23,FALSE),"")</f>
        <v>Advantage</v>
      </c>
      <c r="W510" s="1063" t="str">
        <f>IFERROR(VLOOKUP($A510,'2018'!$A:$BB,24,FALSE),"")</f>
        <v>No</v>
      </c>
      <c r="X510" s="1063" t="str">
        <f>IFERROR(VLOOKUP($A510,'2018'!$A:$BB,41,FALSE),"")</f>
        <v>N/A</v>
      </c>
      <c r="Y510" s="1063" t="str">
        <f>IFERROR(VLOOKUP($A510,'2018'!$A:$BB,42,FALSE),"")</f>
        <v>N/A</v>
      </c>
      <c r="Z510" s="1063" t="str">
        <f>IFERROR(VLOOKUP($A510,'2018'!$A:$BB,45,FALSE),"")</f>
        <v xml:space="preserve"> (50-99)</v>
      </c>
      <c r="AA510" s="1071">
        <v>2017</v>
      </c>
      <c r="AB510" s="1072" t="s">
        <v>4149</v>
      </c>
      <c r="AC510" s="1074" t="s">
        <v>303</v>
      </c>
      <c r="AD510" s="1074" t="s">
        <v>3656</v>
      </c>
      <c r="AE510" s="1074" t="s">
        <v>307</v>
      </c>
      <c r="AF510" s="1074" t="s">
        <v>113</v>
      </c>
      <c r="AG510" s="735" t="s">
        <v>3981</v>
      </c>
      <c r="AH510" s="735" t="s">
        <v>3977</v>
      </c>
      <c r="AI510" s="1074">
        <v>16</v>
      </c>
      <c r="AJ510" s="1079" t="s">
        <v>3985</v>
      </c>
      <c r="AK510" s="1082">
        <v>909678</v>
      </c>
      <c r="AL510" s="778">
        <v>724</v>
      </c>
      <c r="AM510" s="765">
        <v>909678</v>
      </c>
      <c r="AN510" s="778">
        <v>725</v>
      </c>
      <c r="AO510" s="777">
        <f t="shared" si="109"/>
        <v>909678</v>
      </c>
      <c r="AP510" s="778">
        <f t="shared" si="110"/>
        <v>726</v>
      </c>
      <c r="AQ510" s="1080"/>
      <c r="AR510" s="735"/>
      <c r="AS510" s="735"/>
      <c r="AT510" s="735"/>
      <c r="AU510" s="735"/>
      <c r="AV510" s="735"/>
      <c r="AW510" s="735"/>
    </row>
    <row r="511" spans="1:49" s="1077" customFormat="1">
      <c r="A511" s="735"/>
      <c r="B511" s="735"/>
      <c r="C511" s="735"/>
      <c r="D511" s="735"/>
      <c r="E511" s="735"/>
      <c r="F511" s="1069" t="str">
        <f>IFERROR(VLOOKUP($A511,'2018'!$A:$BB,3,FALSE),"")</f>
        <v/>
      </c>
      <c r="G511" s="1056" t="str">
        <f>IFERROR(VLOOKUP($A511,'2018'!$A:$BB,4,FALSE),"")</f>
        <v/>
      </c>
      <c r="H511" s="1056" t="str">
        <f>IFERROR(VLOOKUP($A511,'2018'!$A:$BB,5,FALSE),"")</f>
        <v/>
      </c>
      <c r="I511" s="1056" t="str">
        <f>IFERROR(VLOOKUP($A511,'2018'!$A:$BB,6,FALSE),"")</f>
        <v/>
      </c>
      <c r="J511" s="1056" t="str">
        <f>IFERROR(VLOOKUP($A511,'2018'!$A:$BB,7,FALSE),"")</f>
        <v/>
      </c>
      <c r="K511" s="1056" t="str">
        <f>IFERROR(VLOOKUP($A511,'2018'!$A:$BB,8,FALSE),"")</f>
        <v/>
      </c>
      <c r="L511" s="1063" t="str">
        <f>IFERROR(VLOOKUP($A511,'2018'!$A:$BB,9,FALSE),"")</f>
        <v/>
      </c>
      <c r="M511" s="1070" t="str">
        <f>IFERROR(VLOOKUP($A511,'2018'!$A:$BB,10,FALSE),"")</f>
        <v/>
      </c>
      <c r="N511" s="1063" t="str">
        <f>IFERROR(VLOOKUP($A511,'2018'!$A:$BB,12,FALSE),"")</f>
        <v/>
      </c>
      <c r="O511" s="1056" t="str">
        <f>IFERROR(VLOOKUP($A511,'2018'!$A:$BB,13,FALSE),"")</f>
        <v/>
      </c>
      <c r="P511" s="1056" t="str">
        <f>IFERROR(VLOOKUP($A511,'2018'!$A:$BB,14,FALSE),"")</f>
        <v/>
      </c>
      <c r="Q511" s="1056" t="str">
        <f>IFERROR(VLOOKUP($A511,'2018'!$A:$BB,16,FALSE),"")</f>
        <v/>
      </c>
      <c r="R511" s="1056" t="str">
        <f>IFERROR(VLOOKUP($A511,'2018'!$A:$BB,17,FALSE),"")</f>
        <v/>
      </c>
      <c r="S511" s="1063" t="str">
        <f>IFERROR(VLOOKUP($A511,'2018'!$A:$BB,20,FALSE),"")</f>
        <v/>
      </c>
      <c r="T511" s="1063" t="str">
        <f>IFERROR(VLOOKUP($A511,'2018'!$A:$BB,21,FALSE),"")</f>
        <v/>
      </c>
      <c r="U511" s="1063" t="str">
        <f>IFERROR(VLOOKUP($A511,'2018'!$A:$BB,22,FALSE),"")</f>
        <v/>
      </c>
      <c r="V511" s="1063" t="str">
        <f>IFERROR(VLOOKUP($A511,'2018'!$A:$BB,23,FALSE),"")</f>
        <v/>
      </c>
      <c r="W511" s="1063" t="str">
        <f>IFERROR(VLOOKUP($A511,'2018'!$A:$BB,24,FALSE),"")</f>
        <v/>
      </c>
      <c r="X511" s="1063" t="str">
        <f>IFERROR(VLOOKUP($A511,'2018'!$A:$BB,41,FALSE),"")</f>
        <v/>
      </c>
      <c r="Y511" s="1063" t="str">
        <f>IFERROR(VLOOKUP($A511,'2018'!$A:$BB,42,FALSE),"")</f>
        <v/>
      </c>
      <c r="Z511" s="1063" t="str">
        <f>IFERROR(VLOOKUP($A511,'2018'!$A:$BB,45,FALSE),"")</f>
        <v/>
      </c>
      <c r="AA511" s="1074"/>
      <c r="AB511" s="1078"/>
      <c r="AC511" s="1074"/>
      <c r="AD511" s="1074"/>
      <c r="AE511" s="1074"/>
      <c r="AF511" s="1074"/>
      <c r="AG511" s="735"/>
      <c r="AH511" s="735"/>
      <c r="AI511" s="1074"/>
      <c r="AJ511" s="1079"/>
      <c r="AK511" s="1081"/>
      <c r="AL511" s="778"/>
      <c r="AM511" s="1081"/>
      <c r="AN511" s="778"/>
      <c r="AO511" s="777"/>
      <c r="AP511" s="778"/>
      <c r="AQ511" s="1080"/>
      <c r="AR511" s="735"/>
      <c r="AS511" s="735"/>
      <c r="AT511" s="735"/>
      <c r="AU511" s="735"/>
      <c r="AV511" s="735"/>
      <c r="AW511" s="735"/>
    </row>
    <row r="512" spans="1:49" s="1077" customFormat="1">
      <c r="A512" s="1084" t="s">
        <v>414</v>
      </c>
      <c r="B512" s="735" t="s">
        <v>4130</v>
      </c>
      <c r="C512" s="735"/>
      <c r="D512" s="735" t="s">
        <v>3932</v>
      </c>
      <c r="E512" s="735" t="s">
        <v>3932</v>
      </c>
      <c r="F512" s="1069">
        <f>IFERROR(VLOOKUP($A512,'2018'!$A:$BB,3,FALSE),"")</f>
        <v>203062604</v>
      </c>
      <c r="G512" s="1056" t="str">
        <f>IFERROR(VLOOKUP($A512,'2018'!$A:$BB,4,FALSE),"")</f>
        <v>7060 Koll Center Pkwy, Suite 300, Pleasanton, CA 94566</v>
      </c>
      <c r="H512" s="1056" t="str">
        <f>IFERROR(VLOOKUP($A512,'2018'!$A:$BB,5,FALSE),"")</f>
        <v>Leiyan Connolly
(925) 931-1300 ext 283
lconnolly@trirememedical.com</v>
      </c>
      <c r="I512" s="1056" t="str">
        <f>IFERROR(VLOOKUP($A512,'2018'!$A:$BB,6,FALSE),"")</f>
        <v>Leiyan Connolly
(925) 931-1300 ext 283
lconnolly@trirememedical.com</v>
      </c>
      <c r="J512" s="1056" t="str">
        <f>IFERROR(VLOOKUP($A512,'2018'!$A:$BB,7,FALSE),"")</f>
        <v>ABD</v>
      </c>
      <c r="K512" s="1056" t="str">
        <f>IFERROR(VLOOKUP($A512,'2018'!$A:$BB,8,FALSE),"")</f>
        <v xml:space="preserve">Account Managed by ABD Team
Mark Anderson
Mark.Anderson@theabdteam.com
Angie Lopez
angie.lopez@theabdteam.com </v>
      </c>
      <c r="L512" s="1063" t="str">
        <f>IFERROR(VLOOKUP($A512,'2018'!$A:$BB,9,FALSE),"")</f>
        <v>New</v>
      </c>
      <c r="M512" s="1070">
        <f>IFERROR(VLOOKUP($A512,'2018'!$A:$BB,10,FALSE),"")</f>
        <v>43070</v>
      </c>
      <c r="N512" s="1063">
        <f>IFERROR(VLOOKUP($A512,'2018'!$A:$BB,12,FALSE),"")</f>
        <v>38</v>
      </c>
      <c r="O512" s="1056" t="str">
        <f>IFERROR(VLOOKUP($A512,'2018'!$A:$BB,13,FALSE),"")</f>
        <v xml:space="preserve">IGOE </v>
      </c>
      <c r="P512" s="1056" t="str">
        <f>IFERROR(VLOOKUP($A512,'2018'!$A:$BB,14,FALSE),"")</f>
        <v>Maestro</v>
      </c>
      <c r="Q512" s="1056" t="str">
        <f>IFERROR(VLOOKUP($A512,'2018'!$A:$BB,16,FALSE),"")</f>
        <v>N/A</v>
      </c>
      <c r="R512" s="1056" t="str">
        <f>IFERROR(VLOOKUP($A512,'2018'!$A:$BB,17,FALSE),"")</f>
        <v xml:space="preserve">Patelco Credit Union </v>
      </c>
      <c r="S512" s="1063" t="str">
        <f>IFERROR(VLOOKUP($A512,'2018'!$A:$BB,20,FALSE),"")</f>
        <v>NCAL</v>
      </c>
      <c r="T512" s="1063" t="str">
        <f>IFERROR(VLOOKUP($A512,'2018'!$A:$BB,21,FALSE),"")</f>
        <v>Group C (44-54)</v>
      </c>
      <c r="U512" s="1063" t="str">
        <f>IFERROR(VLOOKUP($A512,'2018'!$A:$BB,22,FALSE),"")</f>
        <v>Expanded</v>
      </c>
      <c r="V512" s="1063" t="str">
        <f>IFERROR(VLOOKUP($A512,'2018'!$A:$BB,23,FALSE),"")</f>
        <v>Advantage</v>
      </c>
      <c r="W512" s="1063" t="str">
        <f>IFERROR(VLOOKUP($A512,'2018'!$A:$BB,24,FALSE),"")</f>
        <v>No</v>
      </c>
      <c r="X512" s="1063" t="str">
        <f>IFERROR(VLOOKUP($A512,'2018'!$A:$BB,41,FALSE),"")</f>
        <v>Region 4</v>
      </c>
      <c r="Y512" s="1063" t="str">
        <f>IFERROR(VLOOKUP($A512,'2018'!$A:$BB,42,FALSE),"")</f>
        <v>(25-49)</v>
      </c>
      <c r="Z512" s="1063" t="str">
        <f>IFERROR(VLOOKUP($A512,'2018'!$A:$BB,45,FALSE),"")</f>
        <v xml:space="preserve"> (2-49)</v>
      </c>
      <c r="AA512" s="1071">
        <v>2017</v>
      </c>
      <c r="AB512" s="1072" t="s">
        <v>4149</v>
      </c>
      <c r="AC512" s="1074" t="s">
        <v>303</v>
      </c>
      <c r="AD512" s="1074" t="s">
        <v>3656</v>
      </c>
      <c r="AE512" s="1074" t="s">
        <v>307</v>
      </c>
      <c r="AF512" s="1074" t="s">
        <v>113</v>
      </c>
      <c r="AG512" s="735" t="s">
        <v>3981</v>
      </c>
      <c r="AH512" s="735" t="s">
        <v>3973</v>
      </c>
      <c r="AI512" s="1074">
        <v>11</v>
      </c>
      <c r="AJ512" s="1079" t="s">
        <v>3982</v>
      </c>
      <c r="AK512" s="1082">
        <v>909678</v>
      </c>
      <c r="AL512" s="778">
        <v>472</v>
      </c>
      <c r="AM512" s="765">
        <v>909678</v>
      </c>
      <c r="AN512" s="778">
        <v>473</v>
      </c>
      <c r="AO512" s="777">
        <f t="shared" ref="AO512:AO513" si="111">AM512</f>
        <v>909678</v>
      </c>
      <c r="AP512" s="778">
        <f t="shared" si="110"/>
        <v>474</v>
      </c>
      <c r="AQ512" s="1080"/>
      <c r="AR512" s="735"/>
      <c r="AS512" s="735"/>
      <c r="AT512" s="735"/>
      <c r="AU512" s="735"/>
      <c r="AV512" s="735"/>
      <c r="AW512" s="735"/>
    </row>
    <row r="513" spans="1:49" s="1077" customFormat="1" ht="15.75" thickBot="1">
      <c r="A513" s="1084" t="s">
        <v>414</v>
      </c>
      <c r="B513" s="735" t="s">
        <v>4130</v>
      </c>
      <c r="C513" s="735"/>
      <c r="D513" s="735" t="s">
        <v>3932</v>
      </c>
      <c r="E513" s="735" t="s">
        <v>3932</v>
      </c>
      <c r="F513" s="1069">
        <f>IFERROR(VLOOKUP($A513,'2018'!$A:$BB,3,FALSE),"")</f>
        <v>203062604</v>
      </c>
      <c r="G513" s="1056" t="str">
        <f>IFERROR(VLOOKUP($A513,'2018'!$A:$BB,4,FALSE),"")</f>
        <v>7060 Koll Center Pkwy, Suite 300, Pleasanton, CA 94566</v>
      </c>
      <c r="H513" s="1056" t="str">
        <f>IFERROR(VLOOKUP($A513,'2018'!$A:$BB,5,FALSE),"")</f>
        <v>Leiyan Connolly
(925) 931-1300 ext 283
lconnolly@trirememedical.com</v>
      </c>
      <c r="I513" s="1056" t="str">
        <f>IFERROR(VLOOKUP($A513,'2018'!$A:$BB,6,FALSE),"")</f>
        <v>Leiyan Connolly
(925) 931-1300 ext 283
lconnolly@trirememedical.com</v>
      </c>
      <c r="J513" s="1056" t="str">
        <f>IFERROR(VLOOKUP($A513,'2018'!$A:$BB,7,FALSE),"")</f>
        <v>ABD</v>
      </c>
      <c r="K513" s="1056" t="str">
        <f>IFERROR(VLOOKUP($A513,'2018'!$A:$BB,8,FALSE),"")</f>
        <v xml:space="preserve">Account Managed by ABD Team
Mark Anderson
Mark.Anderson@theabdteam.com
Angie Lopez
angie.lopez@theabdteam.com </v>
      </c>
      <c r="L513" s="1063" t="str">
        <f>IFERROR(VLOOKUP($A513,'2018'!$A:$BB,9,FALSE),"")</f>
        <v>New</v>
      </c>
      <c r="M513" s="1070">
        <f>IFERROR(VLOOKUP($A513,'2018'!$A:$BB,10,FALSE),"")</f>
        <v>43070</v>
      </c>
      <c r="N513" s="1063">
        <f>IFERROR(VLOOKUP($A513,'2018'!$A:$BB,12,FALSE),"")</f>
        <v>38</v>
      </c>
      <c r="O513" s="1056" t="str">
        <f>IFERROR(VLOOKUP($A513,'2018'!$A:$BB,13,FALSE),"")</f>
        <v xml:space="preserve">IGOE </v>
      </c>
      <c r="P513" s="1056" t="str">
        <f>IFERROR(VLOOKUP($A513,'2018'!$A:$BB,14,FALSE),"")</f>
        <v>Maestro</v>
      </c>
      <c r="Q513" s="1056" t="str">
        <f>IFERROR(VLOOKUP($A513,'2018'!$A:$BB,16,FALSE),"")</f>
        <v>N/A</v>
      </c>
      <c r="R513" s="1056" t="str">
        <f>IFERROR(VLOOKUP($A513,'2018'!$A:$BB,17,FALSE),"")</f>
        <v xml:space="preserve">Patelco Credit Union </v>
      </c>
      <c r="S513" s="1063" t="str">
        <f>IFERROR(VLOOKUP($A513,'2018'!$A:$BB,20,FALSE),"")</f>
        <v>NCAL</v>
      </c>
      <c r="T513" s="1063" t="str">
        <f>IFERROR(VLOOKUP($A513,'2018'!$A:$BB,21,FALSE),"")</f>
        <v>Group C (44-54)</v>
      </c>
      <c r="U513" s="1063" t="str">
        <f>IFERROR(VLOOKUP($A513,'2018'!$A:$BB,22,FALSE),"")</f>
        <v>Expanded</v>
      </c>
      <c r="V513" s="1063" t="str">
        <f>IFERROR(VLOOKUP($A513,'2018'!$A:$BB,23,FALSE),"")</f>
        <v>Advantage</v>
      </c>
      <c r="W513" s="1063" t="str">
        <f>IFERROR(VLOOKUP($A513,'2018'!$A:$BB,24,FALSE),"")</f>
        <v>No</v>
      </c>
      <c r="X513" s="1063" t="str">
        <f>IFERROR(VLOOKUP($A513,'2018'!$A:$BB,41,FALSE),"")</f>
        <v>Region 4</v>
      </c>
      <c r="Y513" s="1063" t="str">
        <f>IFERROR(VLOOKUP($A513,'2018'!$A:$BB,42,FALSE),"")</f>
        <v>(25-49)</v>
      </c>
      <c r="Z513" s="1063" t="str">
        <f>IFERROR(VLOOKUP($A513,'2018'!$A:$BB,45,FALSE),"")</f>
        <v xml:space="preserve"> (2-49)</v>
      </c>
      <c r="AA513" s="1071">
        <v>2017</v>
      </c>
      <c r="AB513" s="1072" t="s">
        <v>4149</v>
      </c>
      <c r="AC513" s="1074" t="s">
        <v>303</v>
      </c>
      <c r="AD513" s="1074" t="s">
        <v>3656</v>
      </c>
      <c r="AE513" s="1074" t="s">
        <v>307</v>
      </c>
      <c r="AF513" s="1074" t="s">
        <v>113</v>
      </c>
      <c r="AG513" s="735" t="s">
        <v>3981</v>
      </c>
      <c r="AH513" s="735" t="s">
        <v>3977</v>
      </c>
      <c r="AI513" s="1074">
        <v>16</v>
      </c>
      <c r="AJ513" s="1079" t="s">
        <v>3985</v>
      </c>
      <c r="AK513" s="1085">
        <v>909678</v>
      </c>
      <c r="AL513" s="1086">
        <v>724</v>
      </c>
      <c r="AM513" s="1087">
        <v>909678</v>
      </c>
      <c r="AN513" s="1086">
        <v>725</v>
      </c>
      <c r="AO513" s="1088">
        <f t="shared" si="111"/>
        <v>909678</v>
      </c>
      <c r="AP513" s="1086">
        <f t="shared" si="110"/>
        <v>726</v>
      </c>
      <c r="AQ513" s="1080"/>
      <c r="AR513" s="735"/>
      <c r="AS513" s="735"/>
      <c r="AT513" s="735"/>
      <c r="AU513" s="735"/>
      <c r="AV513" s="735"/>
      <c r="AW513" s="735"/>
    </row>
    <row r="514" spans="1:49">
      <c r="AA514" s="742"/>
    </row>
  </sheetData>
  <autoFilter ref="A1:AW513" xr:uid="{00000000-0009-0000-0000-000002000000}"/>
  <customSheetViews>
    <customSheetView guid="{141C9473-79E8-40AC-A2DD-D2D896AD155D}" scale="89" showPageBreaks="1" showAutoFilter="1">
      <pane xSplit="1" ySplit="1" topLeftCell="B2" activePane="bottomRight" state="frozenSplit"/>
      <selection pane="bottomRight" activeCell="A2" sqref="A2"/>
      <pageMargins left="0.7" right="0.7" top="0.75" bottom="0.75" header="0.3" footer="0.3"/>
      <pageSetup orientation="portrait" r:id="rId1"/>
      <autoFilter ref="A1:AA472" xr:uid="{00000000-0000-0000-0000-000000000000}"/>
    </customSheetView>
  </customSheetViews>
  <conditionalFormatting sqref="AE421 AE411 AE415 AE440 AE457 AE452 AE481 AE494 AE461 AE467 AE470 AE473:AE477 AE504 AE425 AE431:AE434 AE507:AE1048576 AE335:AE339 AE351:AE392 AE2:AE11 AE289:AE333 AE277:AE287 AE13:AE58 AE212:AE271 AE165:AE207 AE144:AE157 AE68:AE134">
    <cfRule type="containsText" dxfId="149" priority="172" operator="containsText" text="Access">
      <formula>NOT(ISERROR(SEARCH("Access",AE2)))</formula>
    </cfRule>
  </conditionalFormatting>
  <conditionalFormatting sqref="AF421 AF411 AF415 AF440 AF457 AF452 AF481 AF494 AF461 AF467 AF470 AF473:AF477 AF504 AF425 AF431:AF434 AF507:AF1048576 AF335:AF339 AF351:AF392 AF1:AF11 AF289:AF333 AF277:AF287 AF13:AF58 AF212:AF271 AF165:AF207 AF144:AF157 AF68:AF134">
    <cfRule type="containsText" dxfId="148" priority="171" operator="containsText" text="Yes">
      <formula>NOT(ISERROR(SEARCH("Yes",AF1)))</formula>
    </cfRule>
  </conditionalFormatting>
  <conditionalFormatting sqref="AE340:AE346">
    <cfRule type="containsText" dxfId="147" priority="170" operator="containsText" text="Access">
      <formula>NOT(ISERROR(SEARCH("Access",AE340)))</formula>
    </cfRule>
  </conditionalFormatting>
  <conditionalFormatting sqref="AF340:AF346">
    <cfRule type="containsText" dxfId="146" priority="169" operator="containsText" text="Yes">
      <formula>NOT(ISERROR(SEARCH("Yes",AF340)))</formula>
    </cfRule>
  </conditionalFormatting>
  <conditionalFormatting sqref="AE393:AE396">
    <cfRule type="containsText" dxfId="145" priority="168" operator="containsText" text="Access">
      <formula>NOT(ISERROR(SEARCH("Access",AE393)))</formula>
    </cfRule>
  </conditionalFormatting>
  <conditionalFormatting sqref="AF393:AF396">
    <cfRule type="containsText" dxfId="144" priority="167" operator="containsText" text="Yes">
      <formula>NOT(ISERROR(SEARCH("Yes",AF393)))</formula>
    </cfRule>
  </conditionalFormatting>
  <conditionalFormatting sqref="AE397:AE398">
    <cfRule type="containsText" dxfId="143" priority="166" operator="containsText" text="Access">
      <formula>NOT(ISERROR(SEARCH("Access",AE397)))</formula>
    </cfRule>
  </conditionalFormatting>
  <conditionalFormatting sqref="AF397:AF398">
    <cfRule type="containsText" dxfId="142" priority="165" operator="containsText" text="Yes">
      <formula>NOT(ISERROR(SEARCH("Yes",AF397)))</formula>
    </cfRule>
  </conditionalFormatting>
  <conditionalFormatting sqref="AE399:AE400">
    <cfRule type="containsText" dxfId="141" priority="164" operator="containsText" text="Access">
      <formula>NOT(ISERROR(SEARCH("Access",AE399)))</formula>
    </cfRule>
  </conditionalFormatting>
  <conditionalFormatting sqref="AF399:AF400">
    <cfRule type="containsText" dxfId="140" priority="163" operator="containsText" text="Yes">
      <formula>NOT(ISERROR(SEARCH("Yes",AF399)))</formula>
    </cfRule>
  </conditionalFormatting>
  <conditionalFormatting sqref="AE401:AE402">
    <cfRule type="containsText" dxfId="139" priority="162" operator="containsText" text="Access">
      <formula>NOT(ISERROR(SEARCH("Access",AE401)))</formula>
    </cfRule>
  </conditionalFormatting>
  <conditionalFormatting sqref="AF401:AF402">
    <cfRule type="containsText" dxfId="138" priority="161" operator="containsText" text="Yes">
      <formula>NOT(ISERROR(SEARCH("Yes",AF401)))</formula>
    </cfRule>
  </conditionalFormatting>
  <conditionalFormatting sqref="AE406">
    <cfRule type="containsText" dxfId="137" priority="160" operator="containsText" text="Access">
      <formula>NOT(ISERROR(SEARCH("Access",AE406)))</formula>
    </cfRule>
  </conditionalFormatting>
  <conditionalFormatting sqref="AF406">
    <cfRule type="containsText" dxfId="136" priority="159" operator="containsText" text="Yes">
      <formula>NOT(ISERROR(SEARCH("Yes",AF406)))</formula>
    </cfRule>
  </conditionalFormatting>
  <conditionalFormatting sqref="AE408 AE410">
    <cfRule type="containsText" dxfId="135" priority="156" operator="containsText" text="Access">
      <formula>NOT(ISERROR(SEARCH("Access",AE408)))</formula>
    </cfRule>
  </conditionalFormatting>
  <conditionalFormatting sqref="AF408 AF410">
    <cfRule type="containsText" dxfId="134" priority="155" operator="containsText" text="Yes">
      <formula>NOT(ISERROR(SEARCH("Yes",AF408)))</formula>
    </cfRule>
  </conditionalFormatting>
  <conditionalFormatting sqref="AE407 AE409">
    <cfRule type="containsText" dxfId="133" priority="158" operator="containsText" text="Access">
      <formula>NOT(ISERROR(SEARCH("Access",AE407)))</formula>
    </cfRule>
  </conditionalFormatting>
  <conditionalFormatting sqref="AF407 AF409">
    <cfRule type="containsText" dxfId="132" priority="157" operator="containsText" text="Yes">
      <formula>NOT(ISERROR(SEARCH("Yes",AF407)))</formula>
    </cfRule>
  </conditionalFormatting>
  <conditionalFormatting sqref="AE412">
    <cfRule type="containsText" dxfId="131" priority="154" operator="containsText" text="Access">
      <formula>NOT(ISERROR(SEARCH("Access",AE412)))</formula>
    </cfRule>
  </conditionalFormatting>
  <conditionalFormatting sqref="AF412">
    <cfRule type="containsText" dxfId="130" priority="153" operator="containsText" text="Yes">
      <formula>NOT(ISERROR(SEARCH("Yes",AF412)))</formula>
    </cfRule>
  </conditionalFormatting>
  <conditionalFormatting sqref="AE413:AE414">
    <cfRule type="containsText" dxfId="129" priority="152" operator="containsText" text="Access">
      <formula>NOT(ISERROR(SEARCH("Access",AE413)))</formula>
    </cfRule>
  </conditionalFormatting>
  <conditionalFormatting sqref="AF413:AF414">
    <cfRule type="containsText" dxfId="128" priority="151" operator="containsText" text="Yes">
      <formula>NOT(ISERROR(SEARCH("Yes",AF413)))</formula>
    </cfRule>
  </conditionalFormatting>
  <conditionalFormatting sqref="AE416">
    <cfRule type="containsText" dxfId="127" priority="150" operator="containsText" text="Access">
      <formula>NOT(ISERROR(SEARCH("Access",AE416)))</formula>
    </cfRule>
  </conditionalFormatting>
  <conditionalFormatting sqref="AF416">
    <cfRule type="containsText" dxfId="126" priority="149" operator="containsText" text="Yes">
      <formula>NOT(ISERROR(SEARCH("Yes",AF416)))</formula>
    </cfRule>
  </conditionalFormatting>
  <conditionalFormatting sqref="AE417:AE420">
    <cfRule type="containsText" dxfId="125" priority="148" operator="containsText" text="Access">
      <formula>NOT(ISERROR(SEARCH("Access",AE417)))</formula>
    </cfRule>
  </conditionalFormatting>
  <conditionalFormatting sqref="AF417:AF420">
    <cfRule type="containsText" dxfId="124" priority="147" operator="containsText" text="Yes">
      <formula>NOT(ISERROR(SEARCH("Yes",AF417)))</formula>
    </cfRule>
  </conditionalFormatting>
  <conditionalFormatting sqref="AE435">
    <cfRule type="containsText" dxfId="123" priority="146" operator="containsText" text="Access">
      <formula>NOT(ISERROR(SEARCH("Access",AE435)))</formula>
    </cfRule>
  </conditionalFormatting>
  <conditionalFormatting sqref="AF435">
    <cfRule type="containsText" dxfId="122" priority="145" operator="containsText" text="Yes">
      <formula>NOT(ISERROR(SEARCH("Yes",AF435)))</formula>
    </cfRule>
  </conditionalFormatting>
  <conditionalFormatting sqref="AE436:AE439">
    <cfRule type="containsText" dxfId="121" priority="144" operator="containsText" text="Access">
      <formula>NOT(ISERROR(SEARCH("Access",AE436)))</formula>
    </cfRule>
  </conditionalFormatting>
  <conditionalFormatting sqref="AF436:AF439">
    <cfRule type="containsText" dxfId="120" priority="143" operator="containsText" text="Yes">
      <formula>NOT(ISERROR(SEARCH("Yes",AF436)))</formula>
    </cfRule>
  </conditionalFormatting>
  <conditionalFormatting sqref="AE447:AE448">
    <cfRule type="containsText" dxfId="119" priority="132" operator="containsText" text="Access">
      <formula>NOT(ISERROR(SEARCH("Access",AE447)))</formula>
    </cfRule>
  </conditionalFormatting>
  <conditionalFormatting sqref="AF447:AF448">
    <cfRule type="containsText" dxfId="118" priority="131" operator="containsText" text="Yes">
      <formula>NOT(ISERROR(SEARCH("Yes",AF447)))</formula>
    </cfRule>
  </conditionalFormatting>
  <conditionalFormatting sqref="AE442">
    <cfRule type="containsText" dxfId="117" priority="140" operator="containsText" text="Access">
      <formula>NOT(ISERROR(SEARCH("Access",AE442)))</formula>
    </cfRule>
  </conditionalFormatting>
  <conditionalFormatting sqref="AF442">
    <cfRule type="containsText" dxfId="116" priority="139" operator="containsText" text="Yes">
      <formula>NOT(ISERROR(SEARCH("Yes",AF442)))</formula>
    </cfRule>
  </conditionalFormatting>
  <conditionalFormatting sqref="AE441">
    <cfRule type="containsText" dxfId="115" priority="142" operator="containsText" text="Access">
      <formula>NOT(ISERROR(SEARCH("Access",AE441)))</formula>
    </cfRule>
  </conditionalFormatting>
  <conditionalFormatting sqref="AF441">
    <cfRule type="containsText" dxfId="114" priority="141" operator="containsText" text="Yes">
      <formula>NOT(ISERROR(SEARCH("Yes",AF441)))</formula>
    </cfRule>
  </conditionalFormatting>
  <conditionalFormatting sqref="AE444">
    <cfRule type="containsText" dxfId="113" priority="136" operator="containsText" text="Access">
      <formula>NOT(ISERROR(SEARCH("Access",AE444)))</formula>
    </cfRule>
  </conditionalFormatting>
  <conditionalFormatting sqref="AF444">
    <cfRule type="containsText" dxfId="112" priority="135" operator="containsText" text="Yes">
      <formula>NOT(ISERROR(SEARCH("Yes",AF444)))</formula>
    </cfRule>
  </conditionalFormatting>
  <conditionalFormatting sqref="AE443">
    <cfRule type="containsText" dxfId="111" priority="138" operator="containsText" text="Access">
      <formula>NOT(ISERROR(SEARCH("Access",AE443)))</formula>
    </cfRule>
  </conditionalFormatting>
  <conditionalFormatting sqref="AF443">
    <cfRule type="containsText" dxfId="110" priority="137" operator="containsText" text="Yes">
      <formula>NOT(ISERROR(SEARCH("Yes",AF443)))</formula>
    </cfRule>
  </conditionalFormatting>
  <conditionalFormatting sqref="AE445">
    <cfRule type="containsText" dxfId="109" priority="134" operator="containsText" text="Access">
      <formula>NOT(ISERROR(SEARCH("Access",AE445)))</formula>
    </cfRule>
  </conditionalFormatting>
  <conditionalFormatting sqref="AF445">
    <cfRule type="containsText" dxfId="108" priority="133" operator="containsText" text="Yes">
      <formula>NOT(ISERROR(SEARCH("Yes",AF445)))</formula>
    </cfRule>
  </conditionalFormatting>
  <conditionalFormatting sqref="AE449:AE450">
    <cfRule type="containsText" dxfId="107" priority="130" operator="containsText" text="Access">
      <formula>NOT(ISERROR(SEARCH("Access",AE449)))</formula>
    </cfRule>
  </conditionalFormatting>
  <conditionalFormatting sqref="AF449:AF450">
    <cfRule type="containsText" dxfId="106" priority="129" operator="containsText" text="Yes">
      <formula>NOT(ISERROR(SEARCH("Yes",AF449)))</formula>
    </cfRule>
  </conditionalFormatting>
  <conditionalFormatting sqref="AE451">
    <cfRule type="containsText" dxfId="105" priority="128" operator="containsText" text="Access">
      <formula>NOT(ISERROR(SEARCH("Access",AE451)))</formula>
    </cfRule>
  </conditionalFormatting>
  <conditionalFormatting sqref="AF451">
    <cfRule type="containsText" dxfId="104" priority="127" operator="containsText" text="Yes">
      <formula>NOT(ISERROR(SEARCH("Yes",AF451)))</formula>
    </cfRule>
  </conditionalFormatting>
  <conditionalFormatting sqref="AE459">
    <cfRule type="containsText" dxfId="103" priority="124" operator="containsText" text="Access">
      <formula>NOT(ISERROR(SEARCH("Access",AE459)))</formula>
    </cfRule>
  </conditionalFormatting>
  <conditionalFormatting sqref="AF459">
    <cfRule type="containsText" dxfId="102" priority="123" operator="containsText" text="Yes">
      <formula>NOT(ISERROR(SEARCH("Yes",AF459)))</formula>
    </cfRule>
  </conditionalFormatting>
  <conditionalFormatting sqref="AE458">
    <cfRule type="containsText" dxfId="101" priority="126" operator="containsText" text="Access">
      <formula>NOT(ISERROR(SEARCH("Access",AE458)))</formula>
    </cfRule>
  </conditionalFormatting>
  <conditionalFormatting sqref="AF458">
    <cfRule type="containsText" dxfId="100" priority="125" operator="containsText" text="Yes">
      <formula>NOT(ISERROR(SEARCH("Yes",AF458)))</formula>
    </cfRule>
  </conditionalFormatting>
  <conditionalFormatting sqref="AE460">
    <cfRule type="containsText" dxfId="99" priority="122" operator="containsText" text="Access">
      <formula>NOT(ISERROR(SEARCH("Access",AE460)))</formula>
    </cfRule>
  </conditionalFormatting>
  <conditionalFormatting sqref="AF460">
    <cfRule type="containsText" dxfId="98" priority="121" operator="containsText" text="Yes">
      <formula>NOT(ISERROR(SEARCH("Yes",AF460)))</formula>
    </cfRule>
  </conditionalFormatting>
  <conditionalFormatting sqref="AE478:AE479">
    <cfRule type="containsText" dxfId="97" priority="120" operator="containsText" text="Access">
      <formula>NOT(ISERROR(SEARCH("Access",AE478)))</formula>
    </cfRule>
  </conditionalFormatting>
  <conditionalFormatting sqref="AF478:AF479">
    <cfRule type="containsText" dxfId="96" priority="119" operator="containsText" text="Yes">
      <formula>NOT(ISERROR(SEARCH("Yes",AF478)))</formula>
    </cfRule>
  </conditionalFormatting>
  <conditionalFormatting sqref="AE480">
    <cfRule type="containsText" dxfId="95" priority="118" operator="containsText" text="Access">
      <formula>NOT(ISERROR(SEARCH("Access",AE480)))</formula>
    </cfRule>
  </conditionalFormatting>
  <conditionalFormatting sqref="AF480">
    <cfRule type="containsText" dxfId="94" priority="117" operator="containsText" text="Yes">
      <formula>NOT(ISERROR(SEARCH("Yes",AF480)))</formula>
    </cfRule>
  </conditionalFormatting>
  <conditionalFormatting sqref="AE489 AE492">
    <cfRule type="containsText" dxfId="93" priority="114" operator="containsText" text="Access">
      <formula>NOT(ISERROR(SEARCH("Access",AE489)))</formula>
    </cfRule>
  </conditionalFormatting>
  <conditionalFormatting sqref="AF489 AF492">
    <cfRule type="containsText" dxfId="92" priority="113" operator="containsText" text="Yes">
      <formula>NOT(ISERROR(SEARCH("Yes",AF489)))</formula>
    </cfRule>
  </conditionalFormatting>
  <conditionalFormatting sqref="AE488 AE491">
    <cfRule type="containsText" dxfId="91" priority="116" operator="containsText" text="Access">
      <formula>NOT(ISERROR(SEARCH("Access",AE488)))</formula>
    </cfRule>
  </conditionalFormatting>
  <conditionalFormatting sqref="AF488 AF491">
    <cfRule type="containsText" dxfId="90" priority="115" operator="containsText" text="Yes">
      <formula>NOT(ISERROR(SEARCH("Yes",AF488)))</formula>
    </cfRule>
  </conditionalFormatting>
  <conditionalFormatting sqref="AE490 AE493">
    <cfRule type="containsText" dxfId="89" priority="112" operator="containsText" text="Access">
      <formula>NOT(ISERROR(SEARCH("Access",AE490)))</formula>
    </cfRule>
  </conditionalFormatting>
  <conditionalFormatting sqref="AF490 AF493">
    <cfRule type="containsText" dxfId="88" priority="111" operator="containsText" text="Yes">
      <formula>NOT(ISERROR(SEARCH("Yes",AF490)))</formula>
    </cfRule>
  </conditionalFormatting>
  <conditionalFormatting sqref="AE496:AE497">
    <cfRule type="containsText" dxfId="87" priority="108" operator="containsText" text="Access">
      <formula>NOT(ISERROR(SEARCH("Access",AE496)))</formula>
    </cfRule>
  </conditionalFormatting>
  <conditionalFormatting sqref="AF496:AF497">
    <cfRule type="containsText" dxfId="86" priority="107" operator="containsText" text="Yes">
      <formula>NOT(ISERROR(SEARCH("Yes",AF496)))</formula>
    </cfRule>
  </conditionalFormatting>
  <conditionalFormatting sqref="AE495">
    <cfRule type="containsText" dxfId="85" priority="110" operator="containsText" text="Access">
      <formula>NOT(ISERROR(SEARCH("Access",AE495)))</formula>
    </cfRule>
  </conditionalFormatting>
  <conditionalFormatting sqref="AF495">
    <cfRule type="containsText" dxfId="84" priority="109" operator="containsText" text="Yes">
      <formula>NOT(ISERROR(SEARCH("Yes",AF495)))</formula>
    </cfRule>
  </conditionalFormatting>
  <conditionalFormatting sqref="AE498:AE500">
    <cfRule type="containsText" dxfId="83" priority="106" operator="containsText" text="Access">
      <formula>NOT(ISERROR(SEARCH("Access",AE498)))</formula>
    </cfRule>
  </conditionalFormatting>
  <conditionalFormatting sqref="AF498:AF500">
    <cfRule type="containsText" dxfId="82" priority="105" operator="containsText" text="Yes">
      <formula>NOT(ISERROR(SEARCH("Yes",AF498)))</formula>
    </cfRule>
  </conditionalFormatting>
  <conditionalFormatting sqref="AE423">
    <cfRule type="containsText" dxfId="81" priority="102" operator="containsText" text="Access">
      <formula>NOT(ISERROR(SEARCH("Access",AE423)))</formula>
    </cfRule>
  </conditionalFormatting>
  <conditionalFormatting sqref="AF423">
    <cfRule type="containsText" dxfId="80" priority="101" operator="containsText" text="Yes">
      <formula>NOT(ISERROR(SEARCH("Yes",AF423)))</formula>
    </cfRule>
  </conditionalFormatting>
  <conditionalFormatting sqref="AE422">
    <cfRule type="containsText" dxfId="79" priority="104" operator="containsText" text="Access">
      <formula>NOT(ISERROR(SEARCH("Access",AE422)))</formula>
    </cfRule>
  </conditionalFormatting>
  <conditionalFormatting sqref="AF422">
    <cfRule type="containsText" dxfId="78" priority="103" operator="containsText" text="Yes">
      <formula>NOT(ISERROR(SEARCH("Yes",AF422)))</formula>
    </cfRule>
  </conditionalFormatting>
  <conditionalFormatting sqref="AE424">
    <cfRule type="containsText" dxfId="77" priority="100" operator="containsText" text="Access">
      <formula>NOT(ISERROR(SEARCH("Access",AE424)))</formula>
    </cfRule>
  </conditionalFormatting>
  <conditionalFormatting sqref="AF424">
    <cfRule type="containsText" dxfId="76" priority="99" operator="containsText" text="Yes">
      <formula>NOT(ISERROR(SEARCH("Yes",AF424)))</formula>
    </cfRule>
  </conditionalFormatting>
  <conditionalFormatting sqref="AE427">
    <cfRule type="containsText" dxfId="75" priority="94" operator="containsText" text="Access">
      <formula>NOT(ISERROR(SEARCH("Access",AE427)))</formula>
    </cfRule>
  </conditionalFormatting>
  <conditionalFormatting sqref="AF427">
    <cfRule type="containsText" dxfId="74" priority="93" operator="containsText" text="Yes">
      <formula>NOT(ISERROR(SEARCH("Yes",AF427)))</formula>
    </cfRule>
  </conditionalFormatting>
  <conditionalFormatting sqref="AE426">
    <cfRule type="containsText" dxfId="73" priority="96" operator="containsText" text="Access">
      <formula>NOT(ISERROR(SEARCH("Access",AE426)))</formula>
    </cfRule>
  </conditionalFormatting>
  <conditionalFormatting sqref="AF426">
    <cfRule type="containsText" dxfId="72" priority="95" operator="containsText" text="Yes">
      <formula>NOT(ISERROR(SEARCH("Yes",AF426)))</formula>
    </cfRule>
  </conditionalFormatting>
  <conditionalFormatting sqref="AE428">
    <cfRule type="containsText" dxfId="71" priority="92" operator="containsText" text="Access">
      <formula>NOT(ISERROR(SEARCH("Access",AE428)))</formula>
    </cfRule>
  </conditionalFormatting>
  <conditionalFormatting sqref="AF428">
    <cfRule type="containsText" dxfId="70" priority="91" operator="containsText" text="Yes">
      <formula>NOT(ISERROR(SEARCH("Yes",AF428)))</formula>
    </cfRule>
  </conditionalFormatting>
  <conditionalFormatting sqref="AE430">
    <cfRule type="containsText" dxfId="69" priority="88" operator="containsText" text="Access">
      <formula>NOT(ISERROR(SEARCH("Access",AE430)))</formula>
    </cfRule>
  </conditionalFormatting>
  <conditionalFormatting sqref="AF430">
    <cfRule type="containsText" dxfId="68" priority="87" operator="containsText" text="Yes">
      <formula>NOT(ISERROR(SEARCH("Yes",AF430)))</formula>
    </cfRule>
  </conditionalFormatting>
  <conditionalFormatting sqref="AE429">
    <cfRule type="containsText" dxfId="67" priority="90" operator="containsText" text="Access">
      <formula>NOT(ISERROR(SEARCH("Access",AE429)))</formula>
    </cfRule>
  </conditionalFormatting>
  <conditionalFormatting sqref="AF429">
    <cfRule type="containsText" dxfId="66" priority="89" operator="containsText" text="Yes">
      <formula>NOT(ISERROR(SEARCH("Yes",AF429)))</formula>
    </cfRule>
  </conditionalFormatting>
  <conditionalFormatting sqref="AE446">
    <cfRule type="containsText" dxfId="65" priority="86" operator="containsText" text="Access">
      <formula>NOT(ISERROR(SEARCH("Access",AE446)))</formula>
    </cfRule>
  </conditionalFormatting>
  <conditionalFormatting sqref="AF446">
    <cfRule type="containsText" dxfId="64" priority="85" operator="containsText" text="Yes">
      <formula>NOT(ISERROR(SEARCH("Yes",AF446)))</formula>
    </cfRule>
  </conditionalFormatting>
  <conditionalFormatting sqref="AE454 AE456">
    <cfRule type="containsText" dxfId="63" priority="82" operator="containsText" text="Access">
      <formula>NOT(ISERROR(SEARCH("Access",AE454)))</formula>
    </cfRule>
  </conditionalFormatting>
  <conditionalFormatting sqref="AF454 AF456">
    <cfRule type="containsText" dxfId="62" priority="81" operator="containsText" text="Yes">
      <formula>NOT(ISERROR(SEARCH("Yes",AF454)))</formula>
    </cfRule>
  </conditionalFormatting>
  <conditionalFormatting sqref="AE453 AE455">
    <cfRule type="containsText" dxfId="61" priority="84" operator="containsText" text="Access">
      <formula>NOT(ISERROR(SEARCH("Access",AE453)))</formula>
    </cfRule>
  </conditionalFormatting>
  <conditionalFormatting sqref="AF453 AF455">
    <cfRule type="containsText" dxfId="60" priority="83" operator="containsText" text="Yes">
      <formula>NOT(ISERROR(SEARCH("Yes",AF453)))</formula>
    </cfRule>
  </conditionalFormatting>
  <conditionalFormatting sqref="AE462:AE466">
    <cfRule type="containsText" dxfId="59" priority="80" operator="containsText" text="Access">
      <formula>NOT(ISERROR(SEARCH("Access",AE462)))</formula>
    </cfRule>
  </conditionalFormatting>
  <conditionalFormatting sqref="AF462:AF466">
    <cfRule type="containsText" dxfId="58" priority="79" operator="containsText" text="Yes">
      <formula>NOT(ISERROR(SEARCH("Yes",AF462)))</formula>
    </cfRule>
  </conditionalFormatting>
  <conditionalFormatting sqref="AE468:AE469">
    <cfRule type="containsText" dxfId="57" priority="78" operator="containsText" text="Access">
      <formula>NOT(ISERROR(SEARCH("Access",AE468)))</formula>
    </cfRule>
  </conditionalFormatting>
  <conditionalFormatting sqref="AF468:AF469">
    <cfRule type="containsText" dxfId="56" priority="77" operator="containsText" text="Yes">
      <formula>NOT(ISERROR(SEARCH("Yes",AF468)))</formula>
    </cfRule>
  </conditionalFormatting>
  <conditionalFormatting sqref="AE471:AE472">
    <cfRule type="containsText" dxfId="55" priority="76" operator="containsText" text="Access">
      <formula>NOT(ISERROR(SEARCH("Access",AE471)))</formula>
    </cfRule>
  </conditionalFormatting>
  <conditionalFormatting sqref="AF471:AF472">
    <cfRule type="containsText" dxfId="54" priority="75" operator="containsText" text="Yes">
      <formula>NOT(ISERROR(SEARCH("Yes",AF471)))</formula>
    </cfRule>
  </conditionalFormatting>
  <conditionalFormatting sqref="AE482:AE484">
    <cfRule type="containsText" dxfId="53" priority="74" operator="containsText" text="Access">
      <formula>NOT(ISERROR(SEARCH("Access",AE482)))</formula>
    </cfRule>
  </conditionalFormatting>
  <conditionalFormatting sqref="AF482:AF484">
    <cfRule type="containsText" dxfId="52" priority="73" operator="containsText" text="Yes">
      <formula>NOT(ISERROR(SEARCH("Yes",AF482)))</formula>
    </cfRule>
  </conditionalFormatting>
  <conditionalFormatting sqref="AE485:AE487">
    <cfRule type="containsText" dxfId="51" priority="72" operator="containsText" text="Access">
      <formula>NOT(ISERROR(SEARCH("Access",AE485)))</formula>
    </cfRule>
  </conditionalFormatting>
  <conditionalFormatting sqref="AF485:AF487">
    <cfRule type="containsText" dxfId="50" priority="71" operator="containsText" text="Yes">
      <formula>NOT(ISERROR(SEARCH("Yes",AF485)))</formula>
    </cfRule>
  </conditionalFormatting>
  <conditionalFormatting sqref="AE501:AE502">
    <cfRule type="containsText" dxfId="49" priority="70" operator="containsText" text="Access">
      <formula>NOT(ISERROR(SEARCH("Access",AE501)))</formula>
    </cfRule>
  </conditionalFormatting>
  <conditionalFormatting sqref="AF501:AF502">
    <cfRule type="containsText" dxfId="48" priority="69" operator="containsText" text="Yes">
      <formula>NOT(ISERROR(SEARCH("Yes",AF501)))</formula>
    </cfRule>
  </conditionalFormatting>
  <conditionalFormatting sqref="AE505:AE506">
    <cfRule type="containsText" dxfId="47" priority="66" operator="containsText" text="Access">
      <formula>NOT(ISERROR(SEARCH("Access",AE505)))</formula>
    </cfRule>
  </conditionalFormatting>
  <conditionalFormatting sqref="AF505:AF506">
    <cfRule type="containsText" dxfId="46" priority="65" operator="containsText" text="Yes">
      <formula>NOT(ISERROR(SEARCH("Yes",AF505)))</formula>
    </cfRule>
  </conditionalFormatting>
  <conditionalFormatting sqref="AE503">
    <cfRule type="containsText" dxfId="45" priority="64" operator="containsText" text="Access">
      <formula>NOT(ISERROR(SEARCH("Access",AE503)))</formula>
    </cfRule>
  </conditionalFormatting>
  <conditionalFormatting sqref="AF503">
    <cfRule type="containsText" dxfId="44" priority="63" operator="containsText" text="Yes">
      <formula>NOT(ISERROR(SEARCH("Yes",AF503)))</formula>
    </cfRule>
  </conditionalFormatting>
  <conditionalFormatting sqref="AE403:AE405">
    <cfRule type="containsText" dxfId="43" priority="62" operator="containsText" text="Access">
      <formula>NOT(ISERROR(SEARCH("Access",AE403)))</formula>
    </cfRule>
  </conditionalFormatting>
  <conditionalFormatting sqref="AF403:AF405">
    <cfRule type="containsText" dxfId="42" priority="61" operator="containsText" text="Yes">
      <formula>NOT(ISERROR(SEARCH("Yes",AF403)))</formula>
    </cfRule>
  </conditionalFormatting>
  <conditionalFormatting sqref="AE347:AE350">
    <cfRule type="containsText" dxfId="41" priority="58" operator="containsText" text="Access">
      <formula>NOT(ISERROR(SEARCH("Access",#REF!)))</formula>
    </cfRule>
  </conditionalFormatting>
  <conditionalFormatting sqref="AF347:AF350">
    <cfRule type="containsText" dxfId="40" priority="57" operator="containsText" text="Yes">
      <formula>NOT(ISERROR(SEARCH("Yes",#REF!)))</formula>
    </cfRule>
  </conditionalFormatting>
  <conditionalFormatting sqref="AE334">
    <cfRule type="containsText" dxfId="39" priority="48" operator="containsText" text="Access">
      <formula>NOT(ISERROR(SEARCH("Access",AE334)))</formula>
    </cfRule>
  </conditionalFormatting>
  <conditionalFormatting sqref="AF334">
    <cfRule type="containsText" dxfId="38" priority="47" operator="containsText" text="Yes">
      <formula>NOT(ISERROR(SEARCH("Yes",AF334)))</formula>
    </cfRule>
  </conditionalFormatting>
  <conditionalFormatting sqref="AE12">
    <cfRule type="containsText" dxfId="37" priority="42" operator="containsText" text="Access">
      <formula>NOT(ISERROR(SEARCH("Access",AE12)))</formula>
    </cfRule>
  </conditionalFormatting>
  <conditionalFormatting sqref="AF12">
    <cfRule type="containsText" dxfId="36" priority="41" operator="containsText" text="Yes">
      <formula>NOT(ISERROR(SEARCH("Yes",AF12)))</formula>
    </cfRule>
  </conditionalFormatting>
  <conditionalFormatting sqref="AE135:AE138">
    <cfRule type="containsText" dxfId="35" priority="40" operator="containsText" text="Access">
      <formula>NOT(ISERROR(SEARCH("Access",AE135)))</formula>
    </cfRule>
  </conditionalFormatting>
  <conditionalFormatting sqref="AF135:AF138">
    <cfRule type="containsText" dxfId="34" priority="39" operator="containsText" text="Yes">
      <formula>NOT(ISERROR(SEARCH("Yes",AF135)))</formula>
    </cfRule>
  </conditionalFormatting>
  <conditionalFormatting sqref="AE139">
    <cfRule type="containsText" dxfId="33" priority="38" operator="containsText" text="Access">
      <formula>NOT(ISERROR(SEARCH("Access",AE139)))</formula>
    </cfRule>
  </conditionalFormatting>
  <conditionalFormatting sqref="AF139">
    <cfRule type="containsText" dxfId="32" priority="37" operator="containsText" text="Yes">
      <formula>NOT(ISERROR(SEARCH("Yes",AF139)))</formula>
    </cfRule>
  </conditionalFormatting>
  <conditionalFormatting sqref="AE288">
    <cfRule type="containsText" dxfId="31" priority="36" operator="containsText" text="Access">
      <formula>NOT(ISERROR(SEARCH("Access",AE288)))</formula>
    </cfRule>
  </conditionalFormatting>
  <conditionalFormatting sqref="AF288">
    <cfRule type="containsText" dxfId="30" priority="35" operator="containsText" text="Yes">
      <formula>NOT(ISERROR(SEARCH("Yes",AF288)))</formula>
    </cfRule>
  </conditionalFormatting>
  <conditionalFormatting sqref="AE273:AE276">
    <cfRule type="containsText" dxfId="29" priority="34" operator="containsText" text="Access">
      <formula>NOT(ISERROR(SEARCH("Access",AE273)))</formula>
    </cfRule>
  </conditionalFormatting>
  <conditionalFormatting sqref="AF273:AF276">
    <cfRule type="containsText" dxfId="28" priority="33" operator="containsText" text="Yes">
      <formula>NOT(ISERROR(SEARCH("Yes",AF273)))</formula>
    </cfRule>
  </conditionalFormatting>
  <conditionalFormatting sqref="AE272">
    <cfRule type="containsText" dxfId="27" priority="32" operator="containsText" text="Access">
      <formula>NOT(ISERROR(SEARCH("Access",AE272)))</formula>
    </cfRule>
  </conditionalFormatting>
  <conditionalFormatting sqref="AF272">
    <cfRule type="containsText" dxfId="26" priority="31" operator="containsText" text="Yes">
      <formula>NOT(ISERROR(SEARCH("Yes",AF272)))</formula>
    </cfRule>
  </conditionalFormatting>
  <conditionalFormatting sqref="AE209:AE211">
    <cfRule type="containsText" dxfId="25" priority="28" operator="containsText" text="Access">
      <formula>NOT(ISERROR(SEARCH("Access",AE209)))</formula>
    </cfRule>
  </conditionalFormatting>
  <conditionalFormatting sqref="AF209:AF211">
    <cfRule type="containsText" dxfId="24" priority="27" operator="containsText" text="Yes">
      <formula>NOT(ISERROR(SEARCH("Yes",AF209)))</formula>
    </cfRule>
  </conditionalFormatting>
  <conditionalFormatting sqref="AE208">
    <cfRule type="containsText" dxfId="23" priority="26" operator="containsText" text="Access">
      <formula>NOT(ISERROR(SEARCH("Access",AE208)))</formula>
    </cfRule>
  </conditionalFormatting>
  <conditionalFormatting sqref="AF208">
    <cfRule type="containsText" dxfId="22" priority="25" operator="containsText" text="Yes">
      <formula>NOT(ISERROR(SEARCH("Yes",AF208)))</formula>
    </cfRule>
  </conditionalFormatting>
  <conditionalFormatting sqref="AE140:AE142">
    <cfRule type="containsText" dxfId="21" priority="24" operator="containsText" text="Access">
      <formula>NOT(ISERROR(SEARCH("Access",AE140)))</formula>
    </cfRule>
  </conditionalFormatting>
  <conditionalFormatting sqref="AF140:AF142">
    <cfRule type="containsText" dxfId="20" priority="23" operator="containsText" text="Yes">
      <formula>NOT(ISERROR(SEARCH("Yes",AF140)))</formula>
    </cfRule>
  </conditionalFormatting>
  <conditionalFormatting sqref="AE143">
    <cfRule type="containsText" dxfId="19" priority="22" operator="containsText" text="Access">
      <formula>NOT(ISERROR(SEARCH("Access",AE143)))</formula>
    </cfRule>
  </conditionalFormatting>
  <conditionalFormatting sqref="AF143">
    <cfRule type="containsText" dxfId="18" priority="21" operator="containsText" text="Yes">
      <formula>NOT(ISERROR(SEARCH("Yes",AF143)))</formula>
    </cfRule>
  </conditionalFormatting>
  <conditionalFormatting sqref="AE158:AE159 AE162:AE163">
    <cfRule type="containsText" dxfId="17" priority="20" operator="containsText" text="Access">
      <formula>NOT(ISERROR(SEARCH("Access",AE158)))</formula>
    </cfRule>
  </conditionalFormatting>
  <conditionalFormatting sqref="AF158:AF159 AF162:AF163">
    <cfRule type="containsText" dxfId="16" priority="19" operator="containsText" text="Yes">
      <formula>NOT(ISERROR(SEARCH("Yes",AF158)))</formula>
    </cfRule>
  </conditionalFormatting>
  <conditionalFormatting sqref="AE164">
    <cfRule type="containsText" dxfId="15" priority="18" operator="containsText" text="Access">
      <formula>NOT(ISERROR(SEARCH("Access",AE164)))</formula>
    </cfRule>
  </conditionalFormatting>
  <conditionalFormatting sqref="AF164">
    <cfRule type="containsText" dxfId="14" priority="17" operator="containsText" text="Yes">
      <formula>NOT(ISERROR(SEARCH("Yes",AF164)))</formula>
    </cfRule>
  </conditionalFormatting>
  <conditionalFormatting sqref="AE160:AE161">
    <cfRule type="containsText" dxfId="13" priority="16" operator="containsText" text="Access">
      <formula>NOT(ISERROR(SEARCH("Access",AE160)))</formula>
    </cfRule>
  </conditionalFormatting>
  <conditionalFormatting sqref="AF160:AF161">
    <cfRule type="containsText" dxfId="12" priority="15" operator="containsText" text="Yes">
      <formula>NOT(ISERROR(SEARCH("Yes",AF160)))</formula>
    </cfRule>
  </conditionalFormatting>
  <conditionalFormatting sqref="AE59:AE60 AE62">
    <cfRule type="containsText" dxfId="11" priority="12" operator="containsText" text="Access">
      <formula>NOT(ISERROR(SEARCH("Access",AE59)))</formula>
    </cfRule>
  </conditionalFormatting>
  <conditionalFormatting sqref="AF59:AF60 AF62">
    <cfRule type="containsText" dxfId="10" priority="11" operator="containsText" text="Yes">
      <formula>NOT(ISERROR(SEARCH("Yes",AF59)))</formula>
    </cfRule>
  </conditionalFormatting>
  <conditionalFormatting sqref="AE61">
    <cfRule type="containsText" dxfId="9" priority="10" operator="containsText" text="Access">
      <formula>NOT(ISERROR(SEARCH("Access",AE61)))</formula>
    </cfRule>
  </conditionalFormatting>
  <conditionalFormatting sqref="AF61">
    <cfRule type="containsText" dxfId="8" priority="9" operator="containsText" text="Yes">
      <formula>NOT(ISERROR(SEARCH("Yes",AF61)))</formula>
    </cfRule>
  </conditionalFormatting>
  <conditionalFormatting sqref="AE65">
    <cfRule type="containsText" dxfId="7" priority="8" operator="containsText" text="Access">
      <formula>NOT(ISERROR(SEARCH("Access",AE65)))</formula>
    </cfRule>
  </conditionalFormatting>
  <conditionalFormatting sqref="AF65">
    <cfRule type="containsText" dxfId="6" priority="7" operator="containsText" text="Yes">
      <formula>NOT(ISERROR(SEARCH("Yes",AF65)))</formula>
    </cfRule>
  </conditionalFormatting>
  <conditionalFormatting sqref="AE66">
    <cfRule type="containsText" dxfId="5" priority="6" operator="containsText" text="Access">
      <formula>NOT(ISERROR(SEARCH("Access",AE66)))</formula>
    </cfRule>
  </conditionalFormatting>
  <conditionalFormatting sqref="AF66">
    <cfRule type="containsText" dxfId="4" priority="5" operator="containsText" text="Yes">
      <formula>NOT(ISERROR(SEARCH("Yes",AF66)))</formula>
    </cfRule>
  </conditionalFormatting>
  <conditionalFormatting sqref="AE67">
    <cfRule type="containsText" dxfId="3" priority="4" operator="containsText" text="Access">
      <formula>NOT(ISERROR(SEARCH("Access",AE67)))</formula>
    </cfRule>
  </conditionalFormatting>
  <conditionalFormatting sqref="AF67">
    <cfRule type="containsText" dxfId="2" priority="3" operator="containsText" text="Yes">
      <formula>NOT(ISERROR(SEARCH("Yes",AF67)))</formula>
    </cfRule>
  </conditionalFormatting>
  <conditionalFormatting sqref="AE63:AE64">
    <cfRule type="containsText" dxfId="1" priority="2" operator="containsText" text="Access">
      <formula>NOT(ISERROR(SEARCH("Access",AE63)))</formula>
    </cfRule>
  </conditionalFormatting>
  <conditionalFormatting sqref="AF63:AF64">
    <cfRule type="containsText" dxfId="0" priority="1" operator="containsText" text="Yes">
      <formula>NOT(ISERROR(SEARCH("Yes",AF63)))</formula>
    </cfRule>
  </conditionalFormatting>
  <pageMargins left="0.7" right="0.7" top="0.75" bottom="0.75" header="0.3" footer="0.3"/>
  <pageSetup orientation="portrait" r:id="rId2"/>
  <ignoredErrors>
    <ignoredError sqref="AO68:AO92 AO106:AO133 AO165:AO168 AO172:AO183 AO187:AO195 AO212:AO236 AO289:AO321 AO364:AO402 AO406:AO421 AO426:AO431 AO478:AO481 AO435:AO446 AO453:AO470 AO488:AO513 AO351:AO359 AO327:AO332 AO4:AO11 AO277:AO287 AO257:AO271 AO33:AO37 AO17:AO26 AO148:AO154 AO39:AO5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7030A0"/>
  </sheetPr>
  <dimension ref="A1:AQ312"/>
  <sheetViews>
    <sheetView workbookViewId="0">
      <pane xSplit="5" ySplit="1" topLeftCell="AK2" activePane="bottomRight" state="frozen"/>
      <selection activeCell="G1" sqref="G1:G1048576"/>
      <selection pane="topRight" activeCell="G1" sqref="G1:G1048576"/>
      <selection pane="bottomLeft" activeCell="G1" sqref="G1:G1048576"/>
      <selection pane="bottomRight" activeCell="H14" sqref="H14"/>
    </sheetView>
  </sheetViews>
  <sheetFormatPr defaultColWidth="8.875" defaultRowHeight="12.75"/>
  <cols>
    <col min="1" max="1" width="31.875" style="1215" bestFit="1" customWidth="1"/>
    <col min="2" max="2" width="19.375" style="1215" customWidth="1"/>
    <col min="3" max="4" width="13.5" style="1215" customWidth="1"/>
    <col min="5" max="7" width="13.125" style="1218" customWidth="1"/>
    <col min="8" max="9" width="13.5" style="1217" customWidth="1"/>
    <col min="10" max="10" width="19" style="1215" customWidth="1"/>
    <col min="11" max="14" width="8.875" style="1215"/>
    <col min="15" max="15" width="12.5" style="1216" customWidth="1"/>
    <col min="16" max="16" width="13.625" style="1215" customWidth="1"/>
    <col min="17" max="17" width="12.625" style="1215" customWidth="1"/>
    <col min="18" max="18" width="23" style="1215" bestFit="1" customWidth="1"/>
    <col min="19" max="19" width="15" style="1215" bestFit="1" customWidth="1"/>
    <col min="20" max="20" width="15.625" style="1215" bestFit="1" customWidth="1"/>
    <col min="21" max="21" width="20.875" style="1215" bestFit="1" customWidth="1"/>
    <col min="22" max="22" width="15" style="1215" bestFit="1" customWidth="1"/>
    <col min="23" max="23" width="14.875" style="1215" bestFit="1" customWidth="1"/>
    <col min="24" max="24" width="18" style="1215" bestFit="1" customWidth="1"/>
    <col min="25" max="25" width="13" style="1215" bestFit="1" customWidth="1"/>
    <col min="26" max="26" width="12.875" style="1215" bestFit="1" customWidth="1"/>
    <col min="27" max="27" width="16.625" style="1215" bestFit="1" customWidth="1"/>
    <col min="28" max="28" width="33.875" style="1215" bestFit="1" customWidth="1"/>
    <col min="29" max="29" width="17.125" style="1215" bestFit="1" customWidth="1"/>
    <col min="30" max="31" width="17.125" style="1215" customWidth="1"/>
    <col min="32" max="32" width="20" style="1215" bestFit="1" customWidth="1"/>
    <col min="33" max="33" width="17.125" style="1215" bestFit="1" customWidth="1"/>
    <col min="34" max="34" width="6.5" style="1215" bestFit="1" customWidth="1"/>
    <col min="35" max="35" width="12.375" style="1215" bestFit="1" customWidth="1"/>
    <col min="36" max="36" width="8.375" style="1215" bestFit="1" customWidth="1"/>
    <col min="37" max="37" width="8.125" style="1215" bestFit="1" customWidth="1"/>
    <col min="38" max="40" width="8.875" style="1215"/>
    <col min="41" max="41" width="8.875" style="1261"/>
    <col min="42" max="42" width="8.875" style="1236"/>
    <col min="43" max="16384" width="8.875" style="1215"/>
  </cols>
  <sheetData>
    <row r="1" spans="1:43" s="1224" customFormat="1" ht="51">
      <c r="A1" s="1224" t="s">
        <v>6153</v>
      </c>
      <c r="B1" s="1224" t="s">
        <v>6156</v>
      </c>
      <c r="C1" s="1224" t="s">
        <v>6155</v>
      </c>
      <c r="D1" s="1224" t="s">
        <v>6154</v>
      </c>
      <c r="E1" s="1224" t="s">
        <v>5835</v>
      </c>
      <c r="F1" s="1224" t="s">
        <v>5834</v>
      </c>
      <c r="G1" s="1224" t="s">
        <v>5833</v>
      </c>
      <c r="H1" s="1224" t="s">
        <v>5837</v>
      </c>
      <c r="I1" s="1224" t="s">
        <v>5836</v>
      </c>
      <c r="J1" s="1228" t="s">
        <v>6135</v>
      </c>
      <c r="K1" s="1228" t="s">
        <v>6136</v>
      </c>
      <c r="L1" s="1228" t="s">
        <v>6137</v>
      </c>
      <c r="M1" s="1228" t="s">
        <v>6138</v>
      </c>
      <c r="N1" s="1228" t="s">
        <v>6139</v>
      </c>
      <c r="O1" s="1224" t="s">
        <v>5832</v>
      </c>
      <c r="P1" s="1224" t="s">
        <v>5831</v>
      </c>
      <c r="Q1" s="1229" t="s">
        <v>5830</v>
      </c>
      <c r="R1" s="1229" t="s">
        <v>5829</v>
      </c>
      <c r="S1" s="1228" t="s">
        <v>5828</v>
      </c>
      <c r="T1" s="1228" t="s">
        <v>5827</v>
      </c>
      <c r="U1" s="1228" t="s">
        <v>5826</v>
      </c>
      <c r="V1" s="1227" t="s">
        <v>5825</v>
      </c>
      <c r="W1" s="1227" t="s">
        <v>5824</v>
      </c>
      <c r="X1" s="1227" t="s">
        <v>5823</v>
      </c>
      <c r="Y1" s="1226" t="s">
        <v>5822</v>
      </c>
      <c r="Z1" s="1226" t="s">
        <v>5821</v>
      </c>
      <c r="AA1" s="1226" t="s">
        <v>5820</v>
      </c>
      <c r="AB1" s="1226" t="s">
        <v>5819</v>
      </c>
      <c r="AC1" s="1225" t="s">
        <v>5818</v>
      </c>
      <c r="AD1" s="1225" t="s">
        <v>5817</v>
      </c>
      <c r="AE1" s="1225" t="s">
        <v>5816</v>
      </c>
      <c r="AF1" s="1224" t="s">
        <v>5815</v>
      </c>
      <c r="AG1" s="1224" t="s">
        <v>5814</v>
      </c>
      <c r="AH1" s="1231" t="s">
        <v>2475</v>
      </c>
      <c r="AI1" s="1231" t="s">
        <v>2476</v>
      </c>
      <c r="AJ1" s="1231" t="s">
        <v>5505</v>
      </c>
      <c r="AK1" s="1231" t="s">
        <v>5506</v>
      </c>
      <c r="AL1" s="1227" t="s">
        <v>2478</v>
      </c>
      <c r="AM1" s="1227" t="s">
        <v>2479</v>
      </c>
      <c r="AN1" s="1227" t="s">
        <v>4377</v>
      </c>
      <c r="AO1" s="1262" t="s">
        <v>6140</v>
      </c>
      <c r="AP1" s="1228" t="s">
        <v>6161</v>
      </c>
      <c r="AQ1" s="1230"/>
    </row>
    <row r="2" spans="1:43">
      <c r="A2" s="1219" t="s">
        <v>3608</v>
      </c>
      <c r="B2" s="1219" t="s">
        <v>3757</v>
      </c>
      <c r="C2" s="1219" t="s">
        <v>3608</v>
      </c>
      <c r="D2" s="1219" t="s">
        <v>3608</v>
      </c>
      <c r="E2" s="1222">
        <v>0</v>
      </c>
      <c r="F2" s="1222" t="s">
        <v>3653</v>
      </c>
      <c r="G2" s="1222" t="s">
        <v>5518</v>
      </c>
      <c r="H2" s="1221">
        <v>42736</v>
      </c>
      <c r="I2" s="1221"/>
      <c r="J2" s="1219" t="s">
        <v>5839</v>
      </c>
      <c r="K2" s="1219" t="s">
        <v>6116</v>
      </c>
      <c r="L2" s="1219" t="s">
        <v>5840</v>
      </c>
      <c r="M2" s="1219" t="s">
        <v>476</v>
      </c>
      <c r="N2" s="1219">
        <v>92037</v>
      </c>
      <c r="O2" s="1220">
        <v>43101</v>
      </c>
      <c r="P2" s="1219" t="s">
        <v>2474</v>
      </c>
      <c r="Q2" s="1219" t="s">
        <v>2474</v>
      </c>
      <c r="R2" s="1219" t="s">
        <v>4661</v>
      </c>
      <c r="S2" s="1219" t="s">
        <v>5813</v>
      </c>
      <c r="T2" s="1219" t="s">
        <v>5812</v>
      </c>
      <c r="U2" s="1219" t="s">
        <v>5991</v>
      </c>
      <c r="V2" s="1219" t="s">
        <v>5813</v>
      </c>
      <c r="W2" s="1219" t="s">
        <v>5812</v>
      </c>
      <c r="X2" s="1219" t="s">
        <v>5991</v>
      </c>
      <c r="Y2" s="1219" t="s">
        <v>5760</v>
      </c>
      <c r="Z2" s="1219" t="s">
        <v>5759</v>
      </c>
      <c r="AA2" s="1219" t="s">
        <v>5841</v>
      </c>
      <c r="AB2" s="1219" t="s">
        <v>3227</v>
      </c>
      <c r="AC2" s="1219" t="s">
        <v>5539</v>
      </c>
      <c r="AD2" s="1219" t="s">
        <v>5538</v>
      </c>
      <c r="AE2" s="1219" t="s">
        <v>5842</v>
      </c>
      <c r="AF2" s="1219">
        <v>0</v>
      </c>
      <c r="AG2" s="1219">
        <v>0</v>
      </c>
      <c r="AH2" s="1219" t="str">
        <f>VLOOKUP($A2,'2018'!$A:$AT,20,FALSE)</f>
        <v>SCAL</v>
      </c>
      <c r="AI2" s="1219" t="str">
        <f>VLOOKUP($A2,'2018'!$A:$AT,21,FALSE)</f>
        <v>Group B (34-44)</v>
      </c>
      <c r="AJ2" s="1219" t="str">
        <f>VLOOKUP($A2,'2018'!$A:$AT,23,FALSE)</f>
        <v>Advantage</v>
      </c>
      <c r="AK2" s="1219" t="str">
        <f>VLOOKUP($A2,'2018'!$A:$AT,24,FALSE)</f>
        <v>No</v>
      </c>
      <c r="AL2" s="1219" t="str">
        <f>VLOOKUP($A2,'2018'!$A:$AT,41,FALSE)</f>
        <v>Region 1</v>
      </c>
      <c r="AM2" s="1219" t="str">
        <f>VLOOKUP($A2,'2018'!$A:$AT,42,FALSE)</f>
        <v>(25-49)</v>
      </c>
      <c r="AN2" s="1219" t="str">
        <f>VLOOKUP($A2,'2018'!$A:$AT,45,FALSE)</f>
        <v>(50-99)</v>
      </c>
      <c r="AO2" s="1263" t="s">
        <v>3759</v>
      </c>
      <c r="AP2" s="1264">
        <v>22</v>
      </c>
    </row>
    <row r="3" spans="1:43" ht="15.75" customHeight="1">
      <c r="A3" s="1219" t="s">
        <v>70</v>
      </c>
      <c r="B3" s="1219" t="s">
        <v>3762</v>
      </c>
      <c r="C3" s="1219" t="s">
        <v>70</v>
      </c>
      <c r="D3" s="1219" t="s">
        <v>70</v>
      </c>
      <c r="E3" s="1222">
        <v>0</v>
      </c>
      <c r="F3" s="1222" t="s">
        <v>3653</v>
      </c>
      <c r="G3" s="1222" t="s">
        <v>5612</v>
      </c>
      <c r="H3" s="1221">
        <v>42705</v>
      </c>
      <c r="I3" s="1221"/>
      <c r="J3" s="1219" t="s">
        <v>5843</v>
      </c>
      <c r="K3" s="1219" t="s">
        <v>5844</v>
      </c>
      <c r="L3" s="1219" t="s">
        <v>5845</v>
      </c>
      <c r="M3" s="1219" t="s">
        <v>476</v>
      </c>
      <c r="N3" s="1219">
        <v>92008</v>
      </c>
      <c r="O3" s="1220">
        <v>43101</v>
      </c>
      <c r="P3" s="1219" t="s">
        <v>2474</v>
      </c>
      <c r="Q3" s="1219" t="s">
        <v>2474</v>
      </c>
      <c r="R3" s="1219" t="s">
        <v>5811</v>
      </c>
      <c r="S3" s="1219" t="s">
        <v>5805</v>
      </c>
      <c r="T3" s="1219" t="s">
        <v>5810</v>
      </c>
      <c r="U3" s="1219" t="s">
        <v>5992</v>
      </c>
      <c r="V3" s="1219" t="s">
        <v>5805</v>
      </c>
      <c r="W3" s="1219" t="s">
        <v>5810</v>
      </c>
      <c r="X3" s="1219" t="s">
        <v>5992</v>
      </c>
      <c r="Y3" s="1219" t="s">
        <v>5650</v>
      </c>
      <c r="Z3" s="1219" t="s">
        <v>5809</v>
      </c>
      <c r="AA3" s="1219" t="s">
        <v>5846</v>
      </c>
      <c r="AB3" s="1219" t="s">
        <v>3437</v>
      </c>
      <c r="AC3" s="1219" t="s">
        <v>5808</v>
      </c>
      <c r="AD3" s="1219" t="s">
        <v>5807</v>
      </c>
      <c r="AE3" s="1219" t="s">
        <v>5847</v>
      </c>
      <c r="AF3" s="1219" t="s">
        <v>5806</v>
      </c>
      <c r="AG3" s="1219">
        <v>0</v>
      </c>
      <c r="AH3" s="1219" t="str">
        <f>VLOOKUP($A3,'2018'!$A:$AT,20,FALSE)</f>
        <v>SCAL</v>
      </c>
      <c r="AI3" s="1219" t="str">
        <f>VLOOKUP($A3,'2018'!$A:$AT,21,FALSE)</f>
        <v>Group B (34-44)</v>
      </c>
      <c r="AJ3" s="1219" t="str">
        <f>VLOOKUP($A3,'2018'!$A:$AT,23,FALSE)</f>
        <v>Advantage</v>
      </c>
      <c r="AK3" s="1219" t="str">
        <f>VLOOKUP($A3,'2018'!$A:$AT,24,FALSE)</f>
        <v>No</v>
      </c>
      <c r="AL3" s="1219" t="str">
        <f>VLOOKUP($A3,'2018'!$A:$AT,41,FALSE)</f>
        <v>Region 3</v>
      </c>
      <c r="AM3" s="1219" t="str">
        <f>VLOOKUP($A3,'2018'!$A:$AT,42,FALSE)</f>
        <v xml:space="preserve"> (25-49)</v>
      </c>
      <c r="AN3" s="1219" t="str">
        <f>VLOOKUP($A3,'2018'!$A:$AT,45,FALSE)</f>
        <v xml:space="preserve"> (2-49)</v>
      </c>
      <c r="AO3" s="1263" t="s">
        <v>3763</v>
      </c>
      <c r="AP3" s="1264">
        <v>18</v>
      </c>
    </row>
    <row r="4" spans="1:43">
      <c r="A4" s="1219" t="s">
        <v>75</v>
      </c>
      <c r="B4" s="1260" t="s">
        <v>6158</v>
      </c>
      <c r="C4" s="1219" t="s">
        <v>4136</v>
      </c>
      <c r="D4" s="1219" t="s">
        <v>6144</v>
      </c>
      <c r="E4" s="1222">
        <v>0</v>
      </c>
      <c r="F4" s="1222" t="s">
        <v>3653</v>
      </c>
      <c r="G4" s="1222" t="s">
        <v>5612</v>
      </c>
      <c r="H4" s="1221">
        <v>42736</v>
      </c>
      <c r="I4" s="1221"/>
      <c r="J4" s="1219" t="s">
        <v>6117</v>
      </c>
      <c r="K4" s="1219">
        <v>0</v>
      </c>
      <c r="L4" s="1219" t="s">
        <v>5865</v>
      </c>
      <c r="M4" s="1219" t="s">
        <v>476</v>
      </c>
      <c r="N4" s="1219">
        <v>95134</v>
      </c>
      <c r="O4" s="1220">
        <v>43101</v>
      </c>
      <c r="P4" s="1219" t="s">
        <v>2474</v>
      </c>
      <c r="Q4" s="1219" t="s">
        <v>2474</v>
      </c>
      <c r="R4" s="1219" t="s">
        <v>5532</v>
      </c>
      <c r="S4" s="1219" t="s">
        <v>5805</v>
      </c>
      <c r="T4" s="1219" t="s">
        <v>5804</v>
      </c>
      <c r="U4" s="1219" t="s">
        <v>5993</v>
      </c>
      <c r="V4" s="1219" t="s">
        <v>5805</v>
      </c>
      <c r="W4" s="1219" t="s">
        <v>5804</v>
      </c>
      <c r="X4" s="1219" t="s">
        <v>5993</v>
      </c>
      <c r="Y4" s="1219" t="s">
        <v>5803</v>
      </c>
      <c r="Z4" s="1219" t="s">
        <v>5802</v>
      </c>
      <c r="AA4" s="1219" t="s">
        <v>5849</v>
      </c>
      <c r="AB4" s="1219" t="s">
        <v>5801</v>
      </c>
      <c r="AC4" s="1219" t="s">
        <v>5677</v>
      </c>
      <c r="AD4" s="1219" t="s">
        <v>5800</v>
      </c>
      <c r="AE4" s="1219" t="s">
        <v>5850</v>
      </c>
      <c r="AF4" s="1219">
        <v>0</v>
      </c>
      <c r="AG4" s="1219">
        <v>0</v>
      </c>
      <c r="AH4" s="1219" t="str">
        <f>VLOOKUP($A4,'2018'!$A:$AT,20,FALSE)</f>
        <v>N/A</v>
      </c>
      <c r="AI4" s="1219" t="str">
        <f>VLOOKUP($A4,'2018'!$A:$AT,21,FALSE)</f>
        <v>N/A</v>
      </c>
      <c r="AJ4" s="1219" t="str">
        <f>VLOOKUP($A4,'2018'!$A:$AT,23,FALSE)</f>
        <v>N/A</v>
      </c>
      <c r="AK4" s="1219" t="str">
        <f>VLOOKUP($A4,'2018'!$A:$AT,24,FALSE)</f>
        <v>N/A</v>
      </c>
      <c r="AL4" s="1219" t="str">
        <f>VLOOKUP($A4,'2018'!$A:$AT,41,FALSE)</f>
        <v>Region 3</v>
      </c>
      <c r="AM4" s="1219" t="str">
        <f>VLOOKUP($A4,'2018'!$A:$AT,42,FALSE)</f>
        <v>(25-49)</v>
      </c>
      <c r="AN4" s="1219" t="str">
        <f>VLOOKUP($A4,'2018'!$A:$AT,45,FALSE)</f>
        <v xml:space="preserve"> (50-99)</v>
      </c>
      <c r="AO4" s="1263" t="e">
        <v>#N/A</v>
      </c>
      <c r="AP4" s="1264">
        <v>45</v>
      </c>
    </row>
    <row r="5" spans="1:43">
      <c r="A5" s="1219" t="s">
        <v>4321</v>
      </c>
      <c r="B5" s="1219" t="s">
        <v>4371</v>
      </c>
      <c r="C5" s="1219" t="s">
        <v>4321</v>
      </c>
      <c r="D5" s="1219" t="s">
        <v>4321</v>
      </c>
      <c r="E5" s="1222">
        <v>0</v>
      </c>
      <c r="F5" s="1222" t="s">
        <v>3654</v>
      </c>
      <c r="G5" s="1222" t="s">
        <v>72</v>
      </c>
      <c r="H5" s="1221">
        <v>43191</v>
      </c>
      <c r="I5" s="1221"/>
      <c r="J5" s="1219" t="s">
        <v>5852</v>
      </c>
      <c r="K5" s="1219">
        <v>0</v>
      </c>
      <c r="L5" s="1219" t="s">
        <v>5853</v>
      </c>
      <c r="M5" s="1219" t="s">
        <v>476</v>
      </c>
      <c r="N5" s="1219">
        <v>94118</v>
      </c>
      <c r="O5" s="1220">
        <v>43191</v>
      </c>
      <c r="P5" s="1219" t="s">
        <v>2473</v>
      </c>
      <c r="Q5" s="1219" t="s">
        <v>2473</v>
      </c>
      <c r="R5" s="1219" t="s">
        <v>3654</v>
      </c>
      <c r="S5" s="1219" t="s">
        <v>5799</v>
      </c>
      <c r="T5" s="1219" t="s">
        <v>5798</v>
      </c>
      <c r="U5" s="1219" t="s">
        <v>5994</v>
      </c>
      <c r="V5" s="1219" t="s">
        <v>5799</v>
      </c>
      <c r="W5" s="1219" t="s">
        <v>5798</v>
      </c>
      <c r="X5" s="1219" t="s">
        <v>5994</v>
      </c>
      <c r="Y5" s="1219" t="s">
        <v>5523</v>
      </c>
      <c r="Z5" s="1219" t="s">
        <v>5522</v>
      </c>
      <c r="AA5" s="1219" t="s">
        <v>5995</v>
      </c>
      <c r="AB5" s="1219" t="s">
        <v>3464</v>
      </c>
      <c r="AC5" s="1219" t="s">
        <v>5521</v>
      </c>
      <c r="AD5" s="1219" t="s">
        <v>5520</v>
      </c>
      <c r="AE5" s="1219" t="s">
        <v>5996</v>
      </c>
      <c r="AF5" s="1219">
        <v>0</v>
      </c>
      <c r="AG5" s="1219">
        <v>0</v>
      </c>
      <c r="AH5" s="1219" t="str">
        <f>VLOOKUP($A5,'2018'!$A:$AT,20,FALSE)</f>
        <v>NCAL</v>
      </c>
      <c r="AI5" s="1219" t="str">
        <f>VLOOKUP($A5,'2018'!$A:$AT,21,FALSE)</f>
        <v>Group C (44-54)</v>
      </c>
      <c r="AJ5" s="1219" t="str">
        <f>VLOOKUP($A5,'2018'!$A:$AT,23,FALSE)</f>
        <v>Advantage</v>
      </c>
      <c r="AK5" s="1219" t="str">
        <f>VLOOKUP($A5,'2018'!$A:$AT,24,FALSE)</f>
        <v>No</v>
      </c>
      <c r="AL5" s="1219" t="str">
        <f>VLOOKUP($A5,'2018'!$A:$AT,41,FALSE)</f>
        <v>Region 3</v>
      </c>
      <c r="AM5" s="1219" t="str">
        <f>VLOOKUP($A5,'2018'!$A:$AT,42,FALSE)</f>
        <v>(2-9)</v>
      </c>
      <c r="AN5" s="1219" t="str">
        <f>VLOOKUP($A5,'2018'!$A:$AT,45,FALSE)</f>
        <v>(2-49)</v>
      </c>
      <c r="AO5" s="1263" t="s">
        <v>4344</v>
      </c>
      <c r="AP5" s="1264">
        <v>54</v>
      </c>
    </row>
    <row r="6" spans="1:43">
      <c r="A6" s="1219" t="s">
        <v>1271</v>
      </c>
      <c r="B6" s="1219" t="s">
        <v>3766</v>
      </c>
      <c r="C6" s="1219" t="e">
        <v>#N/A</v>
      </c>
      <c r="D6" s="1219" t="s">
        <v>3991</v>
      </c>
      <c r="E6" s="1222">
        <v>0</v>
      </c>
      <c r="F6" s="1222" t="s">
        <v>3654</v>
      </c>
      <c r="G6" s="1222" t="s">
        <v>72</v>
      </c>
      <c r="H6" s="1221">
        <v>43101</v>
      </c>
      <c r="I6" s="1221"/>
      <c r="J6" s="1219" t="s">
        <v>5854</v>
      </c>
      <c r="K6" s="1219">
        <v>0</v>
      </c>
      <c r="L6" s="1219" t="s">
        <v>5855</v>
      </c>
      <c r="M6" s="1219" t="s">
        <v>476</v>
      </c>
      <c r="N6" s="1219">
        <v>94538</v>
      </c>
      <c r="O6" s="1220">
        <v>43101</v>
      </c>
      <c r="P6" s="1219" t="s">
        <v>2473</v>
      </c>
      <c r="Q6" s="1219" t="s">
        <v>2473</v>
      </c>
      <c r="R6" s="1219" t="s">
        <v>3654</v>
      </c>
      <c r="S6" s="1219" t="s">
        <v>5797</v>
      </c>
      <c r="T6" s="1219" t="s">
        <v>5796</v>
      </c>
      <c r="U6" s="1219" t="s">
        <v>5997</v>
      </c>
      <c r="V6" s="1219" t="s">
        <v>5795</v>
      </c>
      <c r="W6" s="1219" t="s">
        <v>5794</v>
      </c>
      <c r="X6" s="1219" t="s">
        <v>5998</v>
      </c>
      <c r="Y6" s="1219" t="s">
        <v>5523</v>
      </c>
      <c r="Z6" s="1219" t="s">
        <v>5522</v>
      </c>
      <c r="AA6" s="1219" t="s">
        <v>5995</v>
      </c>
      <c r="AB6" s="1219" t="s">
        <v>3464</v>
      </c>
      <c r="AC6" s="1219" t="s">
        <v>5521</v>
      </c>
      <c r="AD6" s="1219" t="s">
        <v>5520</v>
      </c>
      <c r="AE6" s="1219" t="s">
        <v>5996</v>
      </c>
      <c r="AF6" s="1219">
        <v>0</v>
      </c>
      <c r="AG6" s="1219">
        <v>0</v>
      </c>
      <c r="AH6" s="1219" t="str">
        <f>VLOOKUP($A6,'2018'!$A:$AT,20,FALSE)</f>
        <v>NCAL</v>
      </c>
      <c r="AI6" s="1219" t="str">
        <f>VLOOKUP($A6,'2018'!$A:$AT,21,FALSE)</f>
        <v>Group A (&lt;34)</v>
      </c>
      <c r="AJ6" s="1219" t="str">
        <f>VLOOKUP($A6,'2018'!$A:$AT,23,FALSE)</f>
        <v>Advantage</v>
      </c>
      <c r="AK6" s="1219" t="str">
        <f>VLOOKUP($A6,'2018'!$A:$AT,24,FALSE)</f>
        <v>No</v>
      </c>
      <c r="AL6" s="1219" t="str">
        <f>VLOOKUP($A6,'2018'!$A:$AT,41,FALSE)</f>
        <v>N/A</v>
      </c>
      <c r="AM6" s="1219" t="str">
        <f>VLOOKUP($A6,'2018'!$A:$AT,42,FALSE)</f>
        <v>N/A</v>
      </c>
      <c r="AN6" s="1219" t="str">
        <f>VLOOKUP($A6,'2018'!$A:$AT,45,FALSE)</f>
        <v>N/A</v>
      </c>
      <c r="AO6" s="1263" t="s">
        <v>3768</v>
      </c>
      <c r="AP6" s="1264" t="e">
        <v>#N/A</v>
      </c>
    </row>
    <row r="7" spans="1:43" ht="15.75" customHeight="1">
      <c r="A7" s="1219" t="s">
        <v>83</v>
      </c>
      <c r="B7" s="1219" t="s">
        <v>3771</v>
      </c>
      <c r="C7" s="1219" t="e">
        <v>#N/A</v>
      </c>
      <c r="D7" s="1219" t="s">
        <v>83</v>
      </c>
      <c r="E7" s="1222">
        <v>0</v>
      </c>
      <c r="F7" s="1222" t="s">
        <v>3653</v>
      </c>
      <c r="G7" s="1222" t="s">
        <v>5727</v>
      </c>
      <c r="H7" s="1221">
        <v>42795</v>
      </c>
      <c r="I7" s="1221"/>
      <c r="J7" s="1219" t="s">
        <v>5856</v>
      </c>
      <c r="K7" s="1219">
        <v>0</v>
      </c>
      <c r="L7" s="1219" t="s">
        <v>5840</v>
      </c>
      <c r="M7" s="1219" t="s">
        <v>476</v>
      </c>
      <c r="N7" s="1219">
        <v>92037</v>
      </c>
      <c r="O7" s="1220">
        <v>43101</v>
      </c>
      <c r="P7" s="1219" t="s">
        <v>2474</v>
      </c>
      <c r="Q7" s="1219" t="s">
        <v>2474</v>
      </c>
      <c r="R7" s="1219" t="s">
        <v>5793</v>
      </c>
      <c r="S7" s="1219" t="s">
        <v>5614</v>
      </c>
      <c r="T7" s="1219" t="s">
        <v>5792</v>
      </c>
      <c r="U7" s="1219" t="s">
        <v>5999</v>
      </c>
      <c r="V7" s="1219" t="s">
        <v>5614</v>
      </c>
      <c r="W7" s="1219" t="s">
        <v>5792</v>
      </c>
      <c r="X7" s="1219" t="s">
        <v>5999</v>
      </c>
      <c r="Y7" s="1219" t="s">
        <v>5791</v>
      </c>
      <c r="Z7" s="1219" t="s">
        <v>5790</v>
      </c>
      <c r="AA7" s="1219" t="s">
        <v>5858</v>
      </c>
      <c r="AB7" s="1219" t="s">
        <v>3588</v>
      </c>
      <c r="AC7" s="1219" t="s">
        <v>5539</v>
      </c>
      <c r="AD7" s="1219" t="s">
        <v>5789</v>
      </c>
      <c r="AE7" s="1219" t="s">
        <v>5859</v>
      </c>
      <c r="AF7" s="1219" t="s">
        <v>3308</v>
      </c>
      <c r="AG7" s="1219" t="s">
        <v>3313</v>
      </c>
      <c r="AH7" s="1219" t="str">
        <f>VLOOKUP($A7,'2018'!$A:$AT,20,FALSE)</f>
        <v>SCAL</v>
      </c>
      <c r="AI7" s="1219" t="str">
        <f>VLOOKUP($A7,'2018'!$A:$AT,21,FALSE)</f>
        <v>Group B (34-44)</v>
      </c>
      <c r="AJ7" s="1219" t="str">
        <f>VLOOKUP($A7,'2018'!$A:$AT,23,FALSE)</f>
        <v>Advantage</v>
      </c>
      <c r="AK7" s="1219" t="str">
        <f>VLOOKUP($A7,'2018'!$A:$AT,24,FALSE)</f>
        <v>No</v>
      </c>
      <c r="AL7" s="1219" t="str">
        <f>VLOOKUP($A7,'2018'!$A:$AT,41,FALSE)</f>
        <v>N/A</v>
      </c>
      <c r="AM7" s="1219" t="str">
        <f>VLOOKUP($A7,'2018'!$A:$AT,42,FALSE)</f>
        <v>N/A</v>
      </c>
      <c r="AN7" s="1219" t="str">
        <f>VLOOKUP($A7,'2018'!$A:$AT,45,FALSE)</f>
        <v>N/A</v>
      </c>
      <c r="AO7" s="1263" t="s">
        <v>3772</v>
      </c>
      <c r="AP7" s="1264" t="e">
        <v>#N/A</v>
      </c>
    </row>
    <row r="8" spans="1:43">
      <c r="A8" s="1219" t="s">
        <v>319</v>
      </c>
      <c r="B8" s="1219" t="s">
        <v>3778</v>
      </c>
      <c r="C8" s="1219" t="e">
        <v>#N/A</v>
      </c>
      <c r="D8" s="1219" t="s">
        <v>4010</v>
      </c>
      <c r="E8" s="1222">
        <v>0</v>
      </c>
      <c r="F8" s="1222" t="s">
        <v>3654</v>
      </c>
      <c r="G8" s="1222" t="s">
        <v>72</v>
      </c>
      <c r="H8" s="1221">
        <v>43009</v>
      </c>
      <c r="I8" s="1221"/>
      <c r="J8" s="1219" t="s">
        <v>5862</v>
      </c>
      <c r="K8" s="1219" t="s">
        <v>5863</v>
      </c>
      <c r="L8" s="1219" t="s">
        <v>5864</v>
      </c>
      <c r="M8" s="1219" t="s">
        <v>476</v>
      </c>
      <c r="N8" s="1219">
        <v>95035</v>
      </c>
      <c r="O8" s="1220">
        <v>43009</v>
      </c>
      <c r="P8" s="1219" t="s">
        <v>2473</v>
      </c>
      <c r="Q8" s="1219" t="s">
        <v>2473</v>
      </c>
      <c r="R8" s="1219" t="s">
        <v>3654</v>
      </c>
      <c r="S8" s="1219" t="s">
        <v>5788</v>
      </c>
      <c r="T8" s="1219" t="s">
        <v>5787</v>
      </c>
      <c r="U8" s="1219" t="s">
        <v>6000</v>
      </c>
      <c r="V8" s="1219" t="s">
        <v>5788</v>
      </c>
      <c r="W8" s="1219" t="s">
        <v>5787</v>
      </c>
      <c r="X8" s="1219" t="s">
        <v>6000</v>
      </c>
      <c r="Y8" s="1219" t="s">
        <v>5523</v>
      </c>
      <c r="Z8" s="1219" t="s">
        <v>5522</v>
      </c>
      <c r="AA8" s="1219" t="s">
        <v>5995</v>
      </c>
      <c r="AB8" s="1219" t="s">
        <v>3464</v>
      </c>
      <c r="AC8" s="1219" t="s">
        <v>5521</v>
      </c>
      <c r="AD8" s="1219" t="s">
        <v>5520</v>
      </c>
      <c r="AE8" s="1219" t="s">
        <v>5996</v>
      </c>
      <c r="AF8" s="1219">
        <v>0</v>
      </c>
      <c r="AG8" s="1219">
        <v>0</v>
      </c>
      <c r="AH8" s="1219" t="str">
        <f>VLOOKUP($A8,'2018'!$A:$AT,20,FALSE)</f>
        <v>NCAL</v>
      </c>
      <c r="AI8" s="1219" t="str">
        <f>VLOOKUP($A8,'2018'!$A:$AT,21,FALSE)</f>
        <v>Group B (34-44)</v>
      </c>
      <c r="AJ8" s="1219" t="str">
        <f>VLOOKUP($A8,'2018'!$A:$AT,23,FALSE)</f>
        <v>Advantage</v>
      </c>
      <c r="AK8" s="1219" t="str">
        <f>VLOOKUP($A8,'2018'!$A:$AT,24,FALSE)</f>
        <v>No</v>
      </c>
      <c r="AL8" s="1219">
        <f>VLOOKUP($A8,'2018'!$A:$AT,41,FALSE)</f>
        <v>0</v>
      </c>
      <c r="AM8" s="1219">
        <f>VLOOKUP($A8,'2018'!$A:$AT,42,FALSE)</f>
        <v>0</v>
      </c>
      <c r="AN8" s="1219">
        <f>VLOOKUP($A8,'2018'!$A:$AT,45,FALSE)</f>
        <v>0</v>
      </c>
      <c r="AO8" s="1263" t="s">
        <v>3779</v>
      </c>
      <c r="AP8" s="1264" t="e">
        <v>#N/A</v>
      </c>
    </row>
    <row r="9" spans="1:43">
      <c r="A9" s="1219" t="s">
        <v>4378</v>
      </c>
      <c r="B9" s="1219" t="s">
        <v>3781</v>
      </c>
      <c r="C9" s="1219" t="s">
        <v>3750</v>
      </c>
      <c r="D9" s="1219" t="s">
        <v>4012</v>
      </c>
      <c r="E9" s="1222">
        <v>0</v>
      </c>
      <c r="F9" s="1222" t="s">
        <v>3653</v>
      </c>
      <c r="G9" s="1222" t="s">
        <v>5518</v>
      </c>
      <c r="H9" s="1221">
        <v>42736</v>
      </c>
      <c r="I9" s="1221"/>
      <c r="J9" s="1219" t="s">
        <v>5867</v>
      </c>
      <c r="K9" s="1219">
        <v>0</v>
      </c>
      <c r="L9" s="1219" t="s">
        <v>5868</v>
      </c>
      <c r="M9" s="1219" t="s">
        <v>476</v>
      </c>
      <c r="N9" s="1219">
        <v>92121</v>
      </c>
      <c r="O9" s="1220">
        <v>43101</v>
      </c>
      <c r="P9" s="1219" t="s">
        <v>2474</v>
      </c>
      <c r="Q9" s="1219" t="s">
        <v>2474</v>
      </c>
      <c r="R9" s="1219" t="s">
        <v>4661</v>
      </c>
      <c r="S9" s="1219" t="s">
        <v>5623</v>
      </c>
      <c r="T9" s="1219" t="s">
        <v>5786</v>
      </c>
      <c r="U9" s="1219" t="s">
        <v>6001</v>
      </c>
      <c r="V9" s="1219" t="s">
        <v>5623</v>
      </c>
      <c r="W9" s="1219" t="s">
        <v>5786</v>
      </c>
      <c r="X9" s="1219" t="s">
        <v>6001</v>
      </c>
      <c r="Y9" s="1219" t="s">
        <v>5739</v>
      </c>
      <c r="Z9" s="1219" t="s">
        <v>5738</v>
      </c>
      <c r="AA9" s="1219" t="s">
        <v>5866</v>
      </c>
      <c r="AB9" s="1219" t="s">
        <v>3154</v>
      </c>
      <c r="AC9" s="1219" t="s">
        <v>5513</v>
      </c>
      <c r="AD9" s="1219" t="s">
        <v>5512</v>
      </c>
      <c r="AE9" s="1219" t="s">
        <v>5860</v>
      </c>
      <c r="AF9" s="1219">
        <v>0</v>
      </c>
      <c r="AG9" s="1219">
        <v>0</v>
      </c>
      <c r="AH9" s="1219" t="str">
        <f>VLOOKUP($A9,'2018'!$A:$AT,20,FALSE)</f>
        <v>SCAL</v>
      </c>
      <c r="AI9" s="1219" t="str">
        <f>VLOOKUP($A9,'2018'!$A:$AT,21,FALSE)</f>
        <v>Group C (44-54)</v>
      </c>
      <c r="AJ9" s="1219" t="str">
        <f>VLOOKUP($A9,'2018'!$A:$AT,23,FALSE)</f>
        <v>Advantage</v>
      </c>
      <c r="AK9" s="1219" t="str">
        <f>VLOOKUP($A9,'2018'!$A:$AT,24,FALSE)</f>
        <v>No</v>
      </c>
      <c r="AL9" s="1219" t="str">
        <f>VLOOKUP($A9,'2018'!$A:$AT,41,FALSE)</f>
        <v>Region 2</v>
      </c>
      <c r="AM9" s="1219" t="str">
        <f>VLOOKUP($A9,'2018'!$A:$AT,42,FALSE)</f>
        <v>(25-49)</v>
      </c>
      <c r="AN9" s="1219" t="str">
        <f>VLOOKUP($A9,'2018'!$A:$AT,45,FALSE)</f>
        <v xml:space="preserve"> (50-99)</v>
      </c>
      <c r="AO9" s="1263" t="s">
        <v>3782</v>
      </c>
      <c r="AP9" s="1264">
        <v>41</v>
      </c>
    </row>
    <row r="10" spans="1:43" ht="15.75" customHeight="1">
      <c r="A10" s="1219" t="s">
        <v>103</v>
      </c>
      <c r="B10" s="1219" t="s">
        <v>6157</v>
      </c>
      <c r="C10" s="1219" t="e">
        <v>#N/A</v>
      </c>
      <c r="D10" s="1219" t="s">
        <v>4020</v>
      </c>
      <c r="E10" s="1222" t="s">
        <v>5785</v>
      </c>
      <c r="F10" s="1222" t="s">
        <v>3654</v>
      </c>
      <c r="G10" s="1222" t="s">
        <v>72</v>
      </c>
      <c r="H10" s="1221">
        <v>42736</v>
      </c>
      <c r="I10" s="1221"/>
      <c r="J10" s="1219" t="s">
        <v>5869</v>
      </c>
      <c r="K10" s="1219">
        <v>0</v>
      </c>
      <c r="L10" s="1219" t="s">
        <v>5870</v>
      </c>
      <c r="M10" s="1219" t="s">
        <v>476</v>
      </c>
      <c r="N10" s="1219">
        <v>94560</v>
      </c>
      <c r="O10" s="1220">
        <v>43101</v>
      </c>
      <c r="P10" s="1219" t="s">
        <v>2474</v>
      </c>
      <c r="Q10" s="1219" t="s">
        <v>2474</v>
      </c>
      <c r="R10" s="1219" t="s">
        <v>3654</v>
      </c>
      <c r="S10" s="1219" t="s">
        <v>5784</v>
      </c>
      <c r="T10" s="1219" t="s">
        <v>5783</v>
      </c>
      <c r="U10" s="1219" t="s">
        <v>6002</v>
      </c>
      <c r="V10" s="1219" t="s">
        <v>5784</v>
      </c>
      <c r="W10" s="1219" t="s">
        <v>5783</v>
      </c>
      <c r="X10" s="1219" t="s">
        <v>6002</v>
      </c>
      <c r="Y10" s="1219" t="s">
        <v>5584</v>
      </c>
      <c r="Z10" s="1219" t="s">
        <v>5643</v>
      </c>
      <c r="AA10" s="1219" t="s">
        <v>6003</v>
      </c>
      <c r="AB10" s="1219" t="s">
        <v>3501</v>
      </c>
      <c r="AC10" s="1219" t="s">
        <v>5642</v>
      </c>
      <c r="AD10" s="1219" t="s">
        <v>5641</v>
      </c>
      <c r="AE10" s="1219" t="s">
        <v>6004</v>
      </c>
      <c r="AF10" s="1219">
        <v>0</v>
      </c>
      <c r="AG10" s="1219">
        <v>0</v>
      </c>
      <c r="AH10" s="1219" t="str">
        <f>VLOOKUP($A10,'2018'!$A:$AT,20,FALSE)</f>
        <v>NCAL</v>
      </c>
      <c r="AI10" s="1219" t="str">
        <f>VLOOKUP($A10,'2018'!$A:$AT,21,FALSE)</f>
        <v>Group B (34-44)</v>
      </c>
      <c r="AJ10" s="1219" t="str">
        <f>VLOOKUP($A10,'2018'!$A:$AT,23,FALSE)</f>
        <v>Advantage</v>
      </c>
      <c r="AK10" s="1219" t="str">
        <f>VLOOKUP($A10,'2018'!$A:$AT,24,FALSE)</f>
        <v>No</v>
      </c>
      <c r="AL10" s="1219" t="str">
        <f>VLOOKUP($A10,'2018'!$A:$AT,41,FALSE)</f>
        <v>N/A</v>
      </c>
      <c r="AM10" s="1219" t="str">
        <f>VLOOKUP($A10,'2018'!$A:$AT,42,FALSE)</f>
        <v>N/A</v>
      </c>
      <c r="AN10" s="1219" t="str">
        <f>VLOOKUP($A10,'2018'!$A:$AT,45,FALSE)</f>
        <v>N/A</v>
      </c>
      <c r="AO10" s="1263" t="s">
        <v>3785</v>
      </c>
      <c r="AP10" s="1264" t="e">
        <v>#N/A</v>
      </c>
    </row>
    <row r="11" spans="1:43">
      <c r="A11" s="1219" t="s">
        <v>359</v>
      </c>
      <c r="B11" s="1219" t="s">
        <v>4024</v>
      </c>
      <c r="C11" s="1219" t="s">
        <v>359</v>
      </c>
      <c r="D11" s="1219" t="s">
        <v>4024</v>
      </c>
      <c r="E11" s="1222">
        <v>0</v>
      </c>
      <c r="F11" s="1222" t="s">
        <v>3653</v>
      </c>
      <c r="G11" s="1222" t="s">
        <v>5518</v>
      </c>
      <c r="H11" s="1221">
        <v>43101</v>
      </c>
      <c r="I11" s="1221"/>
      <c r="J11" s="1219" t="s">
        <v>5871</v>
      </c>
      <c r="K11" s="1219" t="s">
        <v>5872</v>
      </c>
      <c r="L11" s="1219" t="s">
        <v>5868</v>
      </c>
      <c r="M11" s="1219" t="s">
        <v>476</v>
      </c>
      <c r="N11" s="1219">
        <v>92121</v>
      </c>
      <c r="O11" s="1220">
        <v>43101</v>
      </c>
      <c r="P11" s="1219" t="s">
        <v>2473</v>
      </c>
      <c r="Q11" s="1219" t="s">
        <v>2473</v>
      </c>
      <c r="R11" s="1219" t="s">
        <v>4661</v>
      </c>
      <c r="S11" s="1219" t="s">
        <v>5782</v>
      </c>
      <c r="T11" s="1219" t="s">
        <v>5781</v>
      </c>
      <c r="U11" s="1219" t="s">
        <v>6005</v>
      </c>
      <c r="V11" s="1219" t="s">
        <v>5780</v>
      </c>
      <c r="W11" s="1219" t="s">
        <v>5779</v>
      </c>
      <c r="X11" s="1219" t="s">
        <v>6006</v>
      </c>
      <c r="Y11" s="1219" t="s">
        <v>5584</v>
      </c>
      <c r="Z11" s="1219" t="s">
        <v>5583</v>
      </c>
      <c r="AA11" s="1219" t="s">
        <v>5873</v>
      </c>
      <c r="AB11" s="1219" t="s">
        <v>3243</v>
      </c>
      <c r="AC11" s="1219" t="s">
        <v>5582</v>
      </c>
      <c r="AD11" s="1219" t="s">
        <v>5581</v>
      </c>
      <c r="AE11" s="1219" t="s">
        <v>5874</v>
      </c>
      <c r="AF11" s="1219">
        <v>0</v>
      </c>
      <c r="AG11" s="1219">
        <v>0</v>
      </c>
      <c r="AH11" s="1219" t="str">
        <f>VLOOKUP($A11,'2018'!$A:$AT,20,FALSE)</f>
        <v>SCAL</v>
      </c>
      <c r="AI11" s="1219" t="str">
        <f>VLOOKUP($A11,'2018'!$A:$AT,21,FALSE)</f>
        <v>Group C (44-54)</v>
      </c>
      <c r="AJ11" s="1219" t="str">
        <f>VLOOKUP($A11,'2018'!$A:$AT,23,FALSE)</f>
        <v>Advantage</v>
      </c>
      <c r="AK11" s="1219" t="str">
        <f>VLOOKUP($A11,'2018'!$A:$AT,24,FALSE)</f>
        <v>No</v>
      </c>
      <c r="AL11" s="1219" t="str">
        <f>VLOOKUP($A11,'2018'!$A:$AT,41,FALSE)</f>
        <v>Region 2</v>
      </c>
      <c r="AM11" s="1219" t="str">
        <f>VLOOKUP($A11,'2018'!$A:$AT,42,FALSE)</f>
        <v>(50-99)</v>
      </c>
      <c r="AN11" s="1219" t="str">
        <f>VLOOKUP($A11,'2018'!$A:$AT,45,FALSE)</f>
        <v>(50-99)</v>
      </c>
      <c r="AO11" s="1263" t="s">
        <v>3787</v>
      </c>
      <c r="AP11" s="1264">
        <v>16</v>
      </c>
    </row>
    <row r="12" spans="1:43">
      <c r="A12" s="1219" t="s">
        <v>4573</v>
      </c>
      <c r="B12" s="1219" t="s">
        <v>4571</v>
      </c>
      <c r="C12" s="1219" t="e">
        <v>#N/A</v>
      </c>
      <c r="D12" s="1219" t="s">
        <v>4573</v>
      </c>
      <c r="E12" s="1222">
        <v>0</v>
      </c>
      <c r="F12" s="1222" t="s">
        <v>3653</v>
      </c>
      <c r="G12" s="1222" t="s">
        <v>5518</v>
      </c>
      <c r="H12" s="1221">
        <v>43282</v>
      </c>
      <c r="I12" s="1221"/>
      <c r="J12" s="1219" t="s">
        <v>5875</v>
      </c>
      <c r="K12" s="1219">
        <v>0</v>
      </c>
      <c r="L12" s="1219" t="s">
        <v>5868</v>
      </c>
      <c r="M12" s="1219" t="s">
        <v>476</v>
      </c>
      <c r="N12" s="1219">
        <v>92121</v>
      </c>
      <c r="O12" s="1220">
        <v>43282</v>
      </c>
      <c r="P12" s="1219" t="s">
        <v>2473</v>
      </c>
      <c r="Q12" s="1219" t="s">
        <v>2473</v>
      </c>
      <c r="R12" s="1219" t="s">
        <v>4661</v>
      </c>
      <c r="S12" s="1219" t="s">
        <v>5578</v>
      </c>
      <c r="T12" s="1219" t="s">
        <v>5778</v>
      </c>
      <c r="U12" s="1219" t="s">
        <v>6007</v>
      </c>
      <c r="V12" s="1219" t="s">
        <v>5578</v>
      </c>
      <c r="W12" s="1219" t="s">
        <v>5778</v>
      </c>
      <c r="X12" s="1219" t="s">
        <v>6007</v>
      </c>
      <c r="Y12" s="1219" t="s">
        <v>5551</v>
      </c>
      <c r="Z12" s="1219" t="s">
        <v>5564</v>
      </c>
      <c r="AA12" s="1219" t="s">
        <v>5876</v>
      </c>
      <c r="AB12" s="1219" t="s">
        <v>5563</v>
      </c>
      <c r="AC12" s="1219" t="s">
        <v>5539</v>
      </c>
      <c r="AD12" s="1219" t="s">
        <v>5538</v>
      </c>
      <c r="AE12" s="1219" t="s">
        <v>5842</v>
      </c>
      <c r="AF12" s="1219">
        <v>0</v>
      </c>
      <c r="AG12" s="1219">
        <v>0</v>
      </c>
      <c r="AH12" s="1219" t="str">
        <f>VLOOKUP($A12,'2018'!$A:$AT,20,FALSE)</f>
        <v>SCAL</v>
      </c>
      <c r="AI12" s="1219" t="str">
        <f>VLOOKUP($A12,'2018'!$A:$AT,21,FALSE)</f>
        <v>Group C (44-54)</v>
      </c>
      <c r="AJ12" s="1219" t="str">
        <f>VLOOKUP($A12,'2018'!$A:$AT,23,FALSE)</f>
        <v>Advantage</v>
      </c>
      <c r="AK12" s="1219" t="str">
        <f>VLOOKUP($A12,'2018'!$A:$AT,24,FALSE)</f>
        <v>No</v>
      </c>
      <c r="AL12" s="1219" t="str">
        <f>VLOOKUP($A12,'2018'!$A:$AT,41,FALSE)</f>
        <v>Region 2</v>
      </c>
      <c r="AM12" s="1219" t="str">
        <f>VLOOKUP($A12,'2018'!$A:$AT,42,FALSE)</f>
        <v>(25-49)</v>
      </c>
      <c r="AN12" s="1219" t="str">
        <f>VLOOKUP($A12,'2018'!$A:$AT,45,FALSE)</f>
        <v xml:space="preserve"> (2-49)</v>
      </c>
      <c r="AO12" s="1263" t="e">
        <v>#N/A</v>
      </c>
      <c r="AP12" s="1264" t="e">
        <v>#N/A</v>
      </c>
    </row>
    <row r="13" spans="1:43">
      <c r="A13" s="1219" t="s">
        <v>5500</v>
      </c>
      <c r="B13" s="1260" t="s">
        <v>5500</v>
      </c>
      <c r="C13" s="1219" t="e">
        <v>#N/A</v>
      </c>
      <c r="D13" s="1219" t="s">
        <v>5500</v>
      </c>
      <c r="E13" s="1222">
        <v>0</v>
      </c>
      <c r="F13" s="1222" t="s">
        <v>3653</v>
      </c>
      <c r="G13" s="1222" t="s">
        <v>5518</v>
      </c>
      <c r="H13" s="1221">
        <v>43282</v>
      </c>
      <c r="I13" s="1221"/>
      <c r="J13" s="1219" t="s">
        <v>5877</v>
      </c>
      <c r="K13" s="1219" t="s">
        <v>5844</v>
      </c>
      <c r="L13" s="1219" t="s">
        <v>5868</v>
      </c>
      <c r="M13" s="1219" t="s">
        <v>476</v>
      </c>
      <c r="N13" s="1219">
        <v>92121</v>
      </c>
      <c r="O13" s="1220">
        <v>43282</v>
      </c>
      <c r="P13" s="1219" t="s">
        <v>2473</v>
      </c>
      <c r="Q13" s="1219" t="s">
        <v>2473</v>
      </c>
      <c r="R13" s="1219" t="s">
        <v>4835</v>
      </c>
      <c r="S13" s="1219" t="s">
        <v>5777</v>
      </c>
      <c r="T13" s="1219" t="s">
        <v>5776</v>
      </c>
      <c r="U13" s="1219" t="s">
        <v>6008</v>
      </c>
      <c r="V13" s="1219" t="s">
        <v>5777</v>
      </c>
      <c r="W13" s="1219" t="s">
        <v>5776</v>
      </c>
      <c r="X13" s="1219" t="s">
        <v>6008</v>
      </c>
      <c r="Y13" s="1219" t="s">
        <v>5558</v>
      </c>
      <c r="Z13" s="1219" t="s">
        <v>5557</v>
      </c>
      <c r="AA13" s="1219" t="s">
        <v>5878</v>
      </c>
      <c r="AB13" s="1219" t="s">
        <v>5556</v>
      </c>
      <c r="AC13" s="1219" t="s">
        <v>5533</v>
      </c>
      <c r="AD13" s="1219" t="s">
        <v>4835</v>
      </c>
      <c r="AE13" s="1219" t="s">
        <v>5851</v>
      </c>
      <c r="AF13" s="1219">
        <v>0</v>
      </c>
      <c r="AG13" s="1219">
        <v>0</v>
      </c>
      <c r="AH13" s="1219" t="str">
        <f>VLOOKUP($A13,'2018'!$A:$AT,20,FALSE)</f>
        <v>SCAL</v>
      </c>
      <c r="AI13" s="1219" t="str">
        <f>VLOOKUP($A13,'2018'!$A:$AT,21,FALSE)</f>
        <v>Group B (34-44)</v>
      </c>
      <c r="AJ13" s="1219" t="str">
        <f>VLOOKUP($A13,'2018'!$A:$AT,23,FALSE)</f>
        <v>Advantage</v>
      </c>
      <c r="AK13" s="1219" t="str">
        <f>VLOOKUP($A13,'2018'!$A:$AT,24,FALSE)</f>
        <v>No</v>
      </c>
      <c r="AL13" s="1219" t="str">
        <f>VLOOKUP($A13,'2018'!$A:$AT,41,FALSE)</f>
        <v>N/A</v>
      </c>
      <c r="AM13" s="1219" t="str">
        <f>VLOOKUP($A13,'2018'!$A:$AT,42,FALSE)</f>
        <v>N/A</v>
      </c>
      <c r="AN13" s="1219" t="str">
        <f>VLOOKUP($A13,'2018'!$A:$AT,45,FALSE)</f>
        <v>N/A</v>
      </c>
      <c r="AO13" s="1263" t="e">
        <v>#N/A</v>
      </c>
      <c r="AP13" s="1264" t="e">
        <v>#N/A</v>
      </c>
    </row>
    <row r="14" spans="1:43" ht="15.75" customHeight="1">
      <c r="A14" s="1219" t="s">
        <v>355</v>
      </c>
      <c r="B14" s="1219" t="s">
        <v>3790</v>
      </c>
      <c r="C14" s="1219" t="s">
        <v>355</v>
      </c>
      <c r="D14" s="1219" t="s">
        <v>4028</v>
      </c>
      <c r="E14" s="1222">
        <v>0</v>
      </c>
      <c r="F14" s="1222" t="s">
        <v>3653</v>
      </c>
      <c r="G14" s="1222" t="s">
        <v>5518</v>
      </c>
      <c r="H14" s="1221">
        <v>43101</v>
      </c>
      <c r="I14" s="1221"/>
      <c r="J14" s="1219" t="s">
        <v>5879</v>
      </c>
      <c r="K14" s="1219">
        <v>0</v>
      </c>
      <c r="L14" s="1219" t="s">
        <v>5868</v>
      </c>
      <c r="M14" s="1219" t="s">
        <v>476</v>
      </c>
      <c r="N14" s="1219">
        <v>92121</v>
      </c>
      <c r="O14" s="1220">
        <v>43101</v>
      </c>
      <c r="P14" s="1219" t="s">
        <v>2473</v>
      </c>
      <c r="Q14" s="1219" t="s">
        <v>2473</v>
      </c>
      <c r="R14" s="1219" t="s">
        <v>4835</v>
      </c>
      <c r="S14" s="1219" t="s">
        <v>5775</v>
      </c>
      <c r="T14" s="1219" t="s">
        <v>5774</v>
      </c>
      <c r="U14" s="1219" t="s">
        <v>6009</v>
      </c>
      <c r="V14" s="1219" t="s">
        <v>5773</v>
      </c>
      <c r="W14" s="1219" t="s">
        <v>5772</v>
      </c>
      <c r="X14" s="1219" t="s">
        <v>6010</v>
      </c>
      <c r="Y14" s="1219" t="s">
        <v>5599</v>
      </c>
      <c r="Z14" s="1219" t="s">
        <v>5598</v>
      </c>
      <c r="AA14" s="1219" t="s">
        <v>5880</v>
      </c>
      <c r="AB14" s="1219" t="s">
        <v>3202</v>
      </c>
      <c r="AC14" s="1219" t="s">
        <v>5533</v>
      </c>
      <c r="AD14" s="1219" t="s">
        <v>4835</v>
      </c>
      <c r="AE14" s="1219" t="s">
        <v>5851</v>
      </c>
      <c r="AF14" s="1219">
        <v>0</v>
      </c>
      <c r="AG14" s="1219">
        <v>0</v>
      </c>
      <c r="AH14" s="1219" t="str">
        <f>VLOOKUP($A14,'2018'!$A:$AT,20,FALSE)</f>
        <v>SCAL</v>
      </c>
      <c r="AI14" s="1219" t="str">
        <f>VLOOKUP($A14,'2018'!$A:$AT,21,FALSE)</f>
        <v>Group A (&lt;34)</v>
      </c>
      <c r="AJ14" s="1219" t="str">
        <f>VLOOKUP($A14,'2018'!$A:$AT,23,FALSE)</f>
        <v>Advantage</v>
      </c>
      <c r="AK14" s="1219" t="str">
        <f>VLOOKUP($A14,'2018'!$A:$AT,24,FALSE)</f>
        <v>No</v>
      </c>
      <c r="AL14" s="1219" t="str">
        <f>VLOOKUP($A14,'2018'!$A:$AT,41,FALSE)</f>
        <v>Region 1</v>
      </c>
      <c r="AM14" s="1219" t="str">
        <f>VLOOKUP($A14,'2018'!$A:$AT,42,FALSE)</f>
        <v>(50-99)</v>
      </c>
      <c r="AN14" s="1219" t="str">
        <f>VLOOKUP($A14,'2018'!$A:$AT,45,FALSE)</f>
        <v>(50-99)</v>
      </c>
      <c r="AO14" s="1263" t="s">
        <v>3791</v>
      </c>
      <c r="AP14" s="1264">
        <v>46</v>
      </c>
    </row>
    <row r="15" spans="1:43">
      <c r="A15" s="1219" t="s">
        <v>1257</v>
      </c>
      <c r="B15" s="1219" t="s">
        <v>3793</v>
      </c>
      <c r="C15" s="1219" t="s">
        <v>3713</v>
      </c>
      <c r="D15" s="1219" t="s">
        <v>3793</v>
      </c>
      <c r="E15" s="1222">
        <v>0</v>
      </c>
      <c r="F15" s="1222" t="s">
        <v>3653</v>
      </c>
      <c r="G15" s="1222" t="s">
        <v>5727</v>
      </c>
      <c r="H15" s="1221">
        <v>43101</v>
      </c>
      <c r="I15" s="1221"/>
      <c r="J15" s="1219" t="s">
        <v>5881</v>
      </c>
      <c r="K15" s="1219" t="s">
        <v>5882</v>
      </c>
      <c r="L15" s="1219" t="s">
        <v>5845</v>
      </c>
      <c r="M15" s="1219" t="s">
        <v>476</v>
      </c>
      <c r="N15" s="1219">
        <v>92008</v>
      </c>
      <c r="O15" s="1220">
        <v>43101</v>
      </c>
      <c r="P15" s="1219" t="s">
        <v>2473</v>
      </c>
      <c r="Q15" s="1219" t="s">
        <v>2473</v>
      </c>
      <c r="R15" s="1219" t="s">
        <v>5726</v>
      </c>
      <c r="S15" s="1219" t="s">
        <v>5628</v>
      </c>
      <c r="T15" s="1219" t="s">
        <v>5771</v>
      </c>
      <c r="U15" s="1219" t="s">
        <v>6011</v>
      </c>
      <c r="V15" s="1219" t="s">
        <v>5628</v>
      </c>
      <c r="W15" s="1219" t="s">
        <v>5771</v>
      </c>
      <c r="X15" s="1219" t="s">
        <v>6011</v>
      </c>
      <c r="Y15" s="1219" t="s">
        <v>5724</v>
      </c>
      <c r="Z15" s="1219" t="s">
        <v>5723</v>
      </c>
      <c r="AA15" s="1219" t="s">
        <v>5883</v>
      </c>
      <c r="AB15" s="1219" t="s">
        <v>3323</v>
      </c>
      <c r="AC15" s="1219" t="s">
        <v>5722</v>
      </c>
      <c r="AD15" s="1219" t="s">
        <v>5721</v>
      </c>
      <c r="AE15" s="1219" t="s">
        <v>5884</v>
      </c>
      <c r="AF15" s="1219" t="s">
        <v>3308</v>
      </c>
      <c r="AG15" s="1219" t="s">
        <v>3330</v>
      </c>
      <c r="AH15" s="1219" t="str">
        <f>VLOOKUP($A15,'2018'!$A:$AT,20,FALSE)</f>
        <v>SCAL</v>
      </c>
      <c r="AI15" s="1219" t="str">
        <f>VLOOKUP($A15,'2018'!$A:$AT,21,FALSE)</f>
        <v>Group B (34-44)</v>
      </c>
      <c r="AJ15" s="1219" t="str">
        <f>VLOOKUP($A15,'2018'!$A:$AT,23,FALSE)</f>
        <v>Advantage</v>
      </c>
      <c r="AK15" s="1219" t="str">
        <f>VLOOKUP($A15,'2018'!$A:$AT,24,FALSE)</f>
        <v>No</v>
      </c>
      <c r="AL15" s="1219" t="str">
        <f>VLOOKUP($A15,'2018'!$A:$AT,41,FALSE)</f>
        <v>Region 1</v>
      </c>
      <c r="AM15" s="1219" t="str">
        <f>VLOOKUP($A15,'2018'!$A:$AT,42,FALSE)</f>
        <v>(25-49)</v>
      </c>
      <c r="AN15" s="1219" t="str">
        <f>VLOOKUP($A15,'2018'!$A:$AT,45,FALSE)</f>
        <v xml:space="preserve"> (2-49)</v>
      </c>
      <c r="AO15" s="1263" t="s">
        <v>3794</v>
      </c>
      <c r="AP15" s="1264">
        <v>17</v>
      </c>
    </row>
    <row r="16" spans="1:43">
      <c r="A16" s="1219" t="s">
        <v>1320</v>
      </c>
      <c r="B16" s="1219" t="s">
        <v>3796</v>
      </c>
      <c r="C16" s="1219" t="s">
        <v>1320</v>
      </c>
      <c r="D16" s="1219" t="s">
        <v>4032</v>
      </c>
      <c r="E16" s="1222">
        <v>0</v>
      </c>
      <c r="F16" s="1222" t="s">
        <v>3653</v>
      </c>
      <c r="G16" s="1222" t="s">
        <v>5590</v>
      </c>
      <c r="H16" s="1221">
        <v>43101</v>
      </c>
      <c r="I16" s="1221"/>
      <c r="J16" s="1219" t="s">
        <v>5885</v>
      </c>
      <c r="K16" s="1219" t="s">
        <v>5886</v>
      </c>
      <c r="L16" s="1219" t="s">
        <v>5840</v>
      </c>
      <c r="M16" s="1219" t="s">
        <v>476</v>
      </c>
      <c r="N16" s="1219">
        <v>92037</v>
      </c>
      <c r="O16" s="1220">
        <v>43101</v>
      </c>
      <c r="P16" s="1219" t="s">
        <v>2473</v>
      </c>
      <c r="Q16" s="1219" t="s">
        <v>2473</v>
      </c>
      <c r="R16" s="1219" t="s">
        <v>4661</v>
      </c>
      <c r="S16" s="1219" t="s">
        <v>5770</v>
      </c>
      <c r="T16" s="1219" t="s">
        <v>5769</v>
      </c>
      <c r="U16" s="1219" t="s">
        <v>6012</v>
      </c>
      <c r="V16" s="1219" t="s">
        <v>5768</v>
      </c>
      <c r="W16" s="1219" t="s">
        <v>5767</v>
      </c>
      <c r="X16" s="1219" t="s">
        <v>6013</v>
      </c>
      <c r="Y16" s="1219" t="s">
        <v>5587</v>
      </c>
      <c r="Z16" s="1219" t="s">
        <v>5586</v>
      </c>
      <c r="AA16" s="1219" t="s">
        <v>5887</v>
      </c>
      <c r="AB16" s="1219" t="s">
        <v>3352</v>
      </c>
      <c r="AC16" s="1219" t="s">
        <v>5539</v>
      </c>
      <c r="AD16" s="1219" t="s">
        <v>5538</v>
      </c>
      <c r="AE16" s="1219" t="s">
        <v>5842</v>
      </c>
      <c r="AF16" s="1219">
        <v>0</v>
      </c>
      <c r="AG16" s="1219">
        <v>0</v>
      </c>
      <c r="AH16" s="1219" t="str">
        <f>VLOOKUP($A16,'2018'!$A:$AT,20,FALSE)</f>
        <v>SCAL</v>
      </c>
      <c r="AI16" s="1219" t="str">
        <f>VLOOKUP($A16,'2018'!$A:$AT,21,FALSE)</f>
        <v>Group B (34-44)</v>
      </c>
      <c r="AJ16" s="1219" t="str">
        <f>VLOOKUP($A16,'2018'!$A:$AT,23,FALSE)</f>
        <v>Advantage</v>
      </c>
      <c r="AK16" s="1219" t="str">
        <f>VLOOKUP($A16,'2018'!$A:$AT,24,FALSE)</f>
        <v>No</v>
      </c>
      <c r="AL16" s="1219" t="str">
        <f>VLOOKUP($A16,'2018'!$A:$AT,41,FALSE)</f>
        <v>Region 2</v>
      </c>
      <c r="AM16" s="1219" t="str">
        <f>VLOOKUP($A16,'2018'!$A:$AT,42,FALSE)</f>
        <v>(10-24)</v>
      </c>
      <c r="AN16" s="1219" t="str">
        <f>VLOOKUP($A16,'2018'!$A:$AT,45,FALSE)</f>
        <v xml:space="preserve"> (2-49)</v>
      </c>
      <c r="AO16" s="1263" t="s">
        <v>3797</v>
      </c>
      <c r="AP16" s="1264">
        <v>31</v>
      </c>
    </row>
    <row r="17" spans="1:42">
      <c r="A17" s="1219" t="s">
        <v>3568</v>
      </c>
      <c r="B17" s="1219" t="s">
        <v>3800</v>
      </c>
      <c r="C17" s="1219" t="s">
        <v>3568</v>
      </c>
      <c r="D17" s="1219" t="s">
        <v>4037</v>
      </c>
      <c r="E17" s="1222">
        <v>0</v>
      </c>
      <c r="F17" s="1222" t="s">
        <v>3653</v>
      </c>
      <c r="G17" s="1222" t="s">
        <v>5518</v>
      </c>
      <c r="H17" s="1221">
        <v>43101</v>
      </c>
      <c r="I17" s="1221"/>
      <c r="J17" s="1219" t="s">
        <v>5888</v>
      </c>
      <c r="K17" s="1219">
        <v>0</v>
      </c>
      <c r="L17" s="1219" t="s">
        <v>5868</v>
      </c>
      <c r="M17" s="1219" t="s">
        <v>476</v>
      </c>
      <c r="N17" s="1219">
        <v>92121</v>
      </c>
      <c r="O17" s="1220">
        <v>43101</v>
      </c>
      <c r="P17" s="1219" t="s">
        <v>2473</v>
      </c>
      <c r="Q17" s="1219" t="s">
        <v>2473</v>
      </c>
      <c r="R17" s="1219" t="s">
        <v>5766</v>
      </c>
      <c r="S17" s="1219" t="s">
        <v>5718</v>
      </c>
      <c r="T17" s="1219" t="s">
        <v>5765</v>
      </c>
      <c r="U17" s="1219" t="s">
        <v>6014</v>
      </c>
      <c r="V17" s="1219" t="s">
        <v>5664</v>
      </c>
      <c r="W17" s="1219" t="s">
        <v>5764</v>
      </c>
      <c r="X17" s="1219" t="s">
        <v>6015</v>
      </c>
      <c r="Y17" s="1219" t="s">
        <v>5584</v>
      </c>
      <c r="Z17" s="1219" t="s">
        <v>5583</v>
      </c>
      <c r="AA17" s="1219" t="s">
        <v>5873</v>
      </c>
      <c r="AB17" s="1219" t="s">
        <v>3243</v>
      </c>
      <c r="AC17" s="1219" t="s">
        <v>5582</v>
      </c>
      <c r="AD17" s="1219" t="s">
        <v>5581</v>
      </c>
      <c r="AE17" s="1219" t="s">
        <v>5874</v>
      </c>
      <c r="AF17" s="1219" t="s">
        <v>3228</v>
      </c>
      <c r="AG17" s="1219">
        <v>0</v>
      </c>
      <c r="AH17" s="1219" t="str">
        <f>VLOOKUP($A17,'2018'!$A:$AT,20,FALSE)</f>
        <v>SCAL</v>
      </c>
      <c r="AI17" s="1219" t="str">
        <f>VLOOKUP($A17,'2018'!$A:$AT,21,FALSE)</f>
        <v>Group C (44-54)</v>
      </c>
      <c r="AJ17" s="1219" t="str">
        <f>VLOOKUP($A17,'2018'!$A:$AT,23,FALSE)</f>
        <v>Advantage</v>
      </c>
      <c r="AK17" s="1219" t="str">
        <f>VLOOKUP($A17,'2018'!$A:$AT,24,FALSE)</f>
        <v>No</v>
      </c>
      <c r="AL17" s="1219" t="str">
        <f>VLOOKUP($A17,'2018'!$A:$AT,41,FALSE)</f>
        <v>Region 2</v>
      </c>
      <c r="AM17" s="1219" t="str">
        <f>VLOOKUP($A17,'2018'!$A:$AT,42,FALSE)</f>
        <v>(25-49)</v>
      </c>
      <c r="AN17" s="1219" t="str">
        <f>VLOOKUP($A17,'2018'!$A:$AT,45,FALSE)</f>
        <v xml:space="preserve"> (2-49)</v>
      </c>
      <c r="AO17" s="1263" t="s">
        <v>3801</v>
      </c>
      <c r="AP17" s="1264">
        <v>29</v>
      </c>
    </row>
    <row r="18" spans="1:42" ht="15.75" customHeight="1">
      <c r="A18" s="1219" t="s">
        <v>259</v>
      </c>
      <c r="B18" s="1219" t="s">
        <v>3802</v>
      </c>
      <c r="C18" s="1219" t="s">
        <v>3700</v>
      </c>
      <c r="D18" s="1219" t="s">
        <v>259</v>
      </c>
      <c r="E18" s="1222">
        <v>0</v>
      </c>
      <c r="F18" s="1222" t="s">
        <v>3653</v>
      </c>
      <c r="G18" s="1222" t="s">
        <v>5518</v>
      </c>
      <c r="H18" s="1221">
        <v>42979</v>
      </c>
      <c r="I18" s="1221"/>
      <c r="J18" s="1219" t="s">
        <v>5889</v>
      </c>
      <c r="K18" s="1219">
        <v>0</v>
      </c>
      <c r="L18" s="1219" t="s">
        <v>5845</v>
      </c>
      <c r="M18" s="1219" t="s">
        <v>476</v>
      </c>
      <c r="N18" s="1219">
        <v>92008</v>
      </c>
      <c r="O18" s="1220">
        <v>43101</v>
      </c>
      <c r="P18" s="1219" t="s">
        <v>2474</v>
      </c>
      <c r="Q18" s="1219" t="s">
        <v>2473</v>
      </c>
      <c r="R18" s="1219" t="s">
        <v>5763</v>
      </c>
      <c r="S18" s="1219" t="s">
        <v>5762</v>
      </c>
      <c r="T18" s="1219" t="s">
        <v>5761</v>
      </c>
      <c r="U18" s="1219" t="s">
        <v>6016</v>
      </c>
      <c r="V18" s="1219" t="s">
        <v>5762</v>
      </c>
      <c r="W18" s="1219" t="s">
        <v>5761</v>
      </c>
      <c r="X18" s="1219" t="s">
        <v>6016</v>
      </c>
      <c r="Y18" s="1219" t="s">
        <v>5760</v>
      </c>
      <c r="Z18" s="1219" t="s">
        <v>5759</v>
      </c>
      <c r="AA18" s="1219" t="s">
        <v>5841</v>
      </c>
      <c r="AB18" s="1219" t="s">
        <v>3227</v>
      </c>
      <c r="AC18" s="1219" t="s">
        <v>5533</v>
      </c>
      <c r="AD18" s="1219" t="s">
        <v>4835</v>
      </c>
      <c r="AE18" s="1219" t="s">
        <v>5851</v>
      </c>
      <c r="AF18" s="1219" t="s">
        <v>5758</v>
      </c>
      <c r="AG18" s="1219">
        <v>0</v>
      </c>
      <c r="AH18" s="1219" t="str">
        <f>VLOOKUP($A18,'2018'!$A:$AT,20,FALSE)</f>
        <v>SCAL</v>
      </c>
      <c r="AI18" s="1219" t="str">
        <f>VLOOKUP($A18,'2018'!$A:$AT,21,FALSE)</f>
        <v>Group B (34-44)</v>
      </c>
      <c r="AJ18" s="1219" t="str">
        <f>VLOOKUP($A18,'2018'!$A:$AT,23,FALSE)</f>
        <v>Advantage</v>
      </c>
      <c r="AK18" s="1219" t="str">
        <f>VLOOKUP($A18,'2018'!$A:$AT,24,FALSE)</f>
        <v>No</v>
      </c>
      <c r="AL18" s="1219" t="str">
        <f>VLOOKUP($A18,'2018'!$A:$AT,41,FALSE)</f>
        <v>Region 1</v>
      </c>
      <c r="AM18" s="1219" t="str">
        <f>VLOOKUP($A18,'2018'!$A:$AT,42,FALSE)</f>
        <v>(50-99)</v>
      </c>
      <c r="AN18" s="1219" t="str">
        <f>VLOOKUP($A18,'2018'!$A:$AT,45,FALSE)</f>
        <v>(50-99)</v>
      </c>
      <c r="AO18" s="1263" t="s">
        <v>3803</v>
      </c>
      <c r="AP18" s="1264">
        <v>7</v>
      </c>
    </row>
    <row r="19" spans="1:42">
      <c r="A19" s="1219" t="s">
        <v>3673</v>
      </c>
      <c r="B19" s="1219" t="s">
        <v>3872</v>
      </c>
      <c r="C19" s="1219" t="s">
        <v>3744</v>
      </c>
      <c r="D19" s="1219" t="s">
        <v>3674</v>
      </c>
      <c r="E19" s="1222" t="s">
        <v>3674</v>
      </c>
      <c r="F19" s="1222" t="s">
        <v>3653</v>
      </c>
      <c r="G19" s="1222" t="s">
        <v>5727</v>
      </c>
      <c r="H19" s="1221">
        <v>43101</v>
      </c>
      <c r="I19" s="1221"/>
      <c r="J19" s="1219" t="s">
        <v>5890</v>
      </c>
      <c r="K19" s="1219" t="s">
        <v>5891</v>
      </c>
      <c r="L19" s="1219" t="s">
        <v>5892</v>
      </c>
      <c r="M19" s="1219" t="s">
        <v>476</v>
      </c>
      <c r="N19" s="1219">
        <v>92081</v>
      </c>
      <c r="O19" s="1220">
        <v>43101</v>
      </c>
      <c r="P19" s="1219" t="s">
        <v>2473</v>
      </c>
      <c r="Q19" s="1219" t="s">
        <v>2473</v>
      </c>
      <c r="R19" s="1219" t="s">
        <v>5726</v>
      </c>
      <c r="S19" s="1219" t="s">
        <v>5757</v>
      </c>
      <c r="T19" s="1219" t="s">
        <v>5756</v>
      </c>
      <c r="U19" s="1219" t="s">
        <v>6017</v>
      </c>
      <c r="V19" s="1219" t="s">
        <v>5755</v>
      </c>
      <c r="W19" s="1219" t="s">
        <v>5754</v>
      </c>
      <c r="X19" s="1219" t="s">
        <v>6018</v>
      </c>
      <c r="Y19" s="1219" t="s">
        <v>5614</v>
      </c>
      <c r="Z19" s="1219" t="s">
        <v>5753</v>
      </c>
      <c r="AA19" s="1219" t="s">
        <v>5857</v>
      </c>
      <c r="AB19" s="1219" t="s">
        <v>3326</v>
      </c>
      <c r="AC19" s="1219" t="s">
        <v>5722</v>
      </c>
      <c r="AD19" s="1219" t="s">
        <v>5721</v>
      </c>
      <c r="AE19" s="1219" t="s">
        <v>5884</v>
      </c>
      <c r="AF19" s="1219" t="s">
        <v>3308</v>
      </c>
      <c r="AG19" s="1219" t="s">
        <v>3330</v>
      </c>
      <c r="AH19" s="1219" t="str">
        <f>VLOOKUP($A19,'2018'!$A:$AT,20,FALSE)</f>
        <v>SCAL</v>
      </c>
      <c r="AI19" s="1219" t="str">
        <f>VLOOKUP($A19,'2018'!$A:$AT,21,FALSE)</f>
        <v>Group A (&lt;34)</v>
      </c>
      <c r="AJ19" s="1219" t="str">
        <f>VLOOKUP($A19,'2018'!$A:$AT,23,FALSE)</f>
        <v>Advantage</v>
      </c>
      <c r="AK19" s="1219" t="str">
        <f>VLOOKUP($A19,'2018'!$A:$AT,24,FALSE)</f>
        <v>No</v>
      </c>
      <c r="AL19" s="1219" t="str">
        <f>VLOOKUP($A19,'2018'!$A:$AT,41,FALSE)</f>
        <v>Region 1</v>
      </c>
      <c r="AM19" s="1219" t="str">
        <f>VLOOKUP($A19,'2018'!$A:$AT,42,FALSE)</f>
        <v>(50-99)</v>
      </c>
      <c r="AN19" s="1219" t="str">
        <f>VLOOKUP($A19,'2018'!$A:$AT,45,FALSE)</f>
        <v xml:space="preserve"> (50-99)</v>
      </c>
      <c r="AO19" s="1263" t="s">
        <v>3873</v>
      </c>
      <c r="AP19" s="1264">
        <v>33</v>
      </c>
    </row>
    <row r="20" spans="1:42">
      <c r="A20" s="1219" t="s">
        <v>408</v>
      </c>
      <c r="B20" s="1219" t="s">
        <v>3804</v>
      </c>
      <c r="C20" s="1219" t="s">
        <v>408</v>
      </c>
      <c r="D20" s="1219" t="s">
        <v>408</v>
      </c>
      <c r="E20" s="1222">
        <v>0</v>
      </c>
      <c r="F20" s="1222" t="s">
        <v>3654</v>
      </c>
      <c r="G20" s="1222" t="s">
        <v>72</v>
      </c>
      <c r="H20" s="1221">
        <v>42887</v>
      </c>
      <c r="I20" s="1221"/>
      <c r="J20" s="1219" t="s">
        <v>5893</v>
      </c>
      <c r="K20" s="1219">
        <v>0</v>
      </c>
      <c r="L20" s="1219" t="s">
        <v>5894</v>
      </c>
      <c r="M20" s="1219" t="s">
        <v>476</v>
      </c>
      <c r="N20" s="1219">
        <v>94070</v>
      </c>
      <c r="O20" s="1220">
        <v>43101</v>
      </c>
      <c r="P20" s="1219" t="s">
        <v>2474</v>
      </c>
      <c r="Q20" s="1219" t="s">
        <v>2473</v>
      </c>
      <c r="R20" s="1219" t="s">
        <v>3654</v>
      </c>
      <c r="S20" s="1219" t="s">
        <v>5752</v>
      </c>
      <c r="T20" s="1219" t="s">
        <v>5751</v>
      </c>
      <c r="U20" s="1219" t="s">
        <v>6019</v>
      </c>
      <c r="V20" s="1219" t="s">
        <v>5752</v>
      </c>
      <c r="W20" s="1219" t="s">
        <v>5751</v>
      </c>
      <c r="X20" s="1219" t="s">
        <v>6019</v>
      </c>
      <c r="Y20" s="1219" t="s">
        <v>5750</v>
      </c>
      <c r="Z20" s="1219" t="s">
        <v>5644</v>
      </c>
      <c r="AA20" s="1219" t="s">
        <v>6020</v>
      </c>
      <c r="AB20" s="1219" t="s">
        <v>3461</v>
      </c>
      <c r="AC20" s="1219" t="s">
        <v>5750</v>
      </c>
      <c r="AD20" s="1219" t="s">
        <v>5644</v>
      </c>
      <c r="AE20" s="1219" t="s">
        <v>6020</v>
      </c>
      <c r="AF20" s="1219">
        <v>0</v>
      </c>
      <c r="AG20" s="1219">
        <v>0</v>
      </c>
      <c r="AH20" s="1219" t="str">
        <f>VLOOKUP($A20,'2018'!$A:$AT,20,FALSE)</f>
        <v>NCAL</v>
      </c>
      <c r="AI20" s="1219" t="str">
        <f>VLOOKUP($A20,'2018'!$A:$AT,21,FALSE)</f>
        <v>Group C (44-54)</v>
      </c>
      <c r="AJ20" s="1219" t="str">
        <f>VLOOKUP($A20,'2018'!$A:$AT,23,FALSE)</f>
        <v>Advantage</v>
      </c>
      <c r="AK20" s="1219" t="str">
        <f>VLOOKUP($A20,'2018'!$A:$AT,24,FALSE)</f>
        <v>No</v>
      </c>
      <c r="AL20" s="1219" t="str">
        <f>VLOOKUP($A20,'2018'!$A:$AT,41,FALSE)</f>
        <v xml:space="preserve">Region 3 </v>
      </c>
      <c r="AM20" s="1219" t="str">
        <f>VLOOKUP($A20,'2018'!$A:$AT,42,FALSE)</f>
        <v>(25-49)</v>
      </c>
      <c r="AN20" s="1219" t="str">
        <f>VLOOKUP($A20,'2018'!$A:$AT,45,FALSE)</f>
        <v xml:space="preserve"> (2-49)</v>
      </c>
      <c r="AO20" s="1263" t="s">
        <v>3805</v>
      </c>
      <c r="AP20" s="1264">
        <v>5</v>
      </c>
    </row>
    <row r="21" spans="1:42">
      <c r="A21" s="1219" t="s">
        <v>353</v>
      </c>
      <c r="B21" s="1219" t="s">
        <v>3807</v>
      </c>
      <c r="C21" s="1219" t="e">
        <v>#N/A</v>
      </c>
      <c r="D21" s="1219" t="s">
        <v>4183</v>
      </c>
      <c r="E21" s="1222">
        <v>0</v>
      </c>
      <c r="F21" s="1222" t="s">
        <v>3653</v>
      </c>
      <c r="G21" s="1222" t="s">
        <v>5590</v>
      </c>
      <c r="H21" s="1221">
        <v>43040</v>
      </c>
      <c r="I21" s="1221"/>
      <c r="J21" s="1219" t="s">
        <v>6118</v>
      </c>
      <c r="K21" s="1219">
        <v>0</v>
      </c>
      <c r="L21" s="1219" t="s">
        <v>5868</v>
      </c>
      <c r="M21" s="1219" t="s">
        <v>476</v>
      </c>
      <c r="N21" s="1219">
        <v>92130</v>
      </c>
      <c r="O21" s="1220">
        <v>43040</v>
      </c>
      <c r="P21" s="1219" t="s">
        <v>2473</v>
      </c>
      <c r="Q21" s="1219" t="s">
        <v>2473</v>
      </c>
      <c r="R21" s="1219" t="s">
        <v>4661</v>
      </c>
      <c r="S21" s="1219" t="s">
        <v>5749</v>
      </c>
      <c r="T21" s="1219" t="s">
        <v>5748</v>
      </c>
      <c r="U21" s="1219" t="s">
        <v>6021</v>
      </c>
      <c r="V21" s="1219" t="s">
        <v>5747</v>
      </c>
      <c r="W21" s="1219" t="s">
        <v>5746</v>
      </c>
      <c r="X21" s="1219" t="s">
        <v>6022</v>
      </c>
      <c r="Y21" s="1219" t="s">
        <v>5745</v>
      </c>
      <c r="Z21" s="1219" t="s">
        <v>5744</v>
      </c>
      <c r="AA21" s="1219" t="s">
        <v>5896</v>
      </c>
      <c r="AB21" s="1219" t="s">
        <v>3344</v>
      </c>
      <c r="AC21" s="1219" t="s">
        <v>5743</v>
      </c>
      <c r="AD21" s="1219" t="s">
        <v>5742</v>
      </c>
      <c r="AE21" s="1219" t="s">
        <v>6023</v>
      </c>
      <c r="AF21" s="1219">
        <v>0</v>
      </c>
      <c r="AG21" s="1219">
        <v>0</v>
      </c>
      <c r="AH21" s="1219" t="str">
        <f>VLOOKUP($A21,'2018'!$A:$AT,20,FALSE)</f>
        <v>SCAL</v>
      </c>
      <c r="AI21" s="1219" t="str">
        <f>VLOOKUP($A21,'2018'!$A:$AT,21,FALSE)</f>
        <v>Group C (44-54)</v>
      </c>
      <c r="AJ21" s="1219" t="str">
        <f>VLOOKUP($A21,'2018'!$A:$AT,23,FALSE)</f>
        <v>Advantage</v>
      </c>
      <c r="AK21" s="1219" t="str">
        <f>VLOOKUP($A21,'2018'!$A:$AT,24,FALSE)</f>
        <v>No</v>
      </c>
      <c r="AL21" s="1219" t="str">
        <f>VLOOKUP($A21,'2018'!$A:$AT,41,FALSE)</f>
        <v>N/A</v>
      </c>
      <c r="AM21" s="1219" t="str">
        <f>VLOOKUP($A21,'2018'!$A:$AT,42,FALSE)</f>
        <v>N/A</v>
      </c>
      <c r="AN21" s="1219" t="str">
        <f>VLOOKUP($A21,'2018'!$A:$AT,45,FALSE)</f>
        <v>N/A</v>
      </c>
      <c r="AO21" s="1263" t="s">
        <v>4133</v>
      </c>
      <c r="AP21" s="1264" t="e">
        <v>#N/A</v>
      </c>
    </row>
    <row r="22" spans="1:42" ht="15.75" customHeight="1">
      <c r="A22" s="1219" t="s">
        <v>356</v>
      </c>
      <c r="B22" s="1219" t="s">
        <v>3704</v>
      </c>
      <c r="C22" s="1219" t="s">
        <v>3704</v>
      </c>
      <c r="D22" s="1219" t="s">
        <v>356</v>
      </c>
      <c r="E22" s="1222">
        <v>0</v>
      </c>
      <c r="F22" s="1222" t="s">
        <v>3653</v>
      </c>
      <c r="G22" s="1222" t="s">
        <v>5518</v>
      </c>
      <c r="H22" s="1221">
        <v>43101</v>
      </c>
      <c r="I22" s="1221"/>
      <c r="J22" s="1219" t="s">
        <v>5897</v>
      </c>
      <c r="K22" s="1219" t="s">
        <v>5898</v>
      </c>
      <c r="L22" s="1219" t="s">
        <v>5868</v>
      </c>
      <c r="M22" s="1219" t="s">
        <v>476</v>
      </c>
      <c r="N22" s="1219">
        <v>92121</v>
      </c>
      <c r="O22" s="1220">
        <v>43101</v>
      </c>
      <c r="P22" s="1219" t="s">
        <v>2473</v>
      </c>
      <c r="Q22" s="1219" t="s">
        <v>2473</v>
      </c>
      <c r="R22" s="1219" t="s">
        <v>4661</v>
      </c>
      <c r="S22" s="1219" t="s">
        <v>5741</v>
      </c>
      <c r="T22" s="1219" t="s">
        <v>5641</v>
      </c>
      <c r="U22" s="1219" t="s">
        <v>6024</v>
      </c>
      <c r="V22" s="1219" t="s">
        <v>5650</v>
      </c>
      <c r="W22" s="1219" t="s">
        <v>5740</v>
      </c>
      <c r="X22" s="1219" t="s">
        <v>6025</v>
      </c>
      <c r="Y22" s="1219" t="s">
        <v>5739</v>
      </c>
      <c r="Z22" s="1219" t="s">
        <v>5738</v>
      </c>
      <c r="AA22" s="1219" t="s">
        <v>5866</v>
      </c>
      <c r="AB22" s="1219" t="s">
        <v>3154</v>
      </c>
      <c r="AC22" s="1219" t="s">
        <v>5513</v>
      </c>
      <c r="AD22" s="1219" t="s">
        <v>5512</v>
      </c>
      <c r="AE22" s="1219" t="s">
        <v>5860</v>
      </c>
      <c r="AF22" s="1219">
        <v>0</v>
      </c>
      <c r="AG22" s="1219">
        <v>0</v>
      </c>
      <c r="AH22" s="1219" t="str">
        <f>VLOOKUP($A22,'2018'!$A:$AT,20,FALSE)</f>
        <v>SCAL</v>
      </c>
      <c r="AI22" s="1219" t="str">
        <f>VLOOKUP($A22,'2018'!$A:$AT,21,FALSE)</f>
        <v>Group A (&lt;34)</v>
      </c>
      <c r="AJ22" s="1219" t="str">
        <f>VLOOKUP($A22,'2018'!$A:$AT,23,FALSE)</f>
        <v>Advantage</v>
      </c>
      <c r="AK22" s="1219" t="str">
        <f>VLOOKUP($A22,'2018'!$A:$AT,24,FALSE)</f>
        <v>No</v>
      </c>
      <c r="AL22" s="1219" t="str">
        <f>VLOOKUP($A22,'2018'!$A:$AT,41,FALSE)</f>
        <v>Region 2</v>
      </c>
      <c r="AM22" s="1219" t="str">
        <f>VLOOKUP($A22,'2018'!$A:$AT,42,FALSE)</f>
        <v>(50-99)</v>
      </c>
      <c r="AN22" s="1219" t="str">
        <f>VLOOKUP($A22,'2018'!$A:$AT,45,FALSE)</f>
        <v>(50-99)</v>
      </c>
      <c r="AO22" s="1263" t="s">
        <v>3810</v>
      </c>
      <c r="AP22" s="1264">
        <v>12</v>
      </c>
    </row>
    <row r="23" spans="1:42">
      <c r="A23" s="1219" t="s">
        <v>118</v>
      </c>
      <c r="B23" s="1219" t="s">
        <v>3814</v>
      </c>
      <c r="C23" s="1219" t="s">
        <v>3718</v>
      </c>
      <c r="D23" s="1219" t="s">
        <v>3718</v>
      </c>
      <c r="E23" s="1222">
        <v>0</v>
      </c>
      <c r="F23" s="1222" t="s">
        <v>3653</v>
      </c>
      <c r="G23" s="1222" t="s">
        <v>5518</v>
      </c>
      <c r="H23" s="1221">
        <v>42370</v>
      </c>
      <c r="I23" s="1221"/>
      <c r="J23" s="1219" t="s">
        <v>5899</v>
      </c>
      <c r="K23" s="1219" t="s">
        <v>5900</v>
      </c>
      <c r="L23" s="1219" t="s">
        <v>5868</v>
      </c>
      <c r="M23" s="1219" t="s">
        <v>476</v>
      </c>
      <c r="N23" s="1219">
        <v>92122</v>
      </c>
      <c r="O23" s="1220">
        <v>43101</v>
      </c>
      <c r="P23" s="1219" t="s">
        <v>2474</v>
      </c>
      <c r="Q23" s="1219" t="s">
        <v>2474</v>
      </c>
      <c r="R23" s="1219" t="s">
        <v>4835</v>
      </c>
      <c r="S23" s="1219" t="s">
        <v>5737</v>
      </c>
      <c r="T23" s="1219" t="s">
        <v>5736</v>
      </c>
      <c r="U23" s="1219" t="s">
        <v>6026</v>
      </c>
      <c r="V23" s="1219" t="s">
        <v>5735</v>
      </c>
      <c r="W23" s="1219" t="s">
        <v>5734</v>
      </c>
      <c r="X23" s="1219" t="s">
        <v>6027</v>
      </c>
      <c r="Y23" s="1219" t="s">
        <v>5733</v>
      </c>
      <c r="Z23" s="1219" t="s">
        <v>5732</v>
      </c>
      <c r="AA23" s="1219" t="s">
        <v>5901</v>
      </c>
      <c r="AB23" s="1219" t="s">
        <v>3217</v>
      </c>
      <c r="AC23" s="1219" t="s">
        <v>5533</v>
      </c>
      <c r="AD23" s="1219" t="s">
        <v>4835</v>
      </c>
      <c r="AE23" s="1219" t="s">
        <v>5851</v>
      </c>
      <c r="AF23" s="1219">
        <v>0</v>
      </c>
      <c r="AG23" s="1219">
        <v>0</v>
      </c>
      <c r="AH23" s="1219" t="str">
        <f>VLOOKUP($A23,'2018'!$A:$AT,20,FALSE)</f>
        <v>SCAL</v>
      </c>
      <c r="AI23" s="1219" t="str">
        <f>VLOOKUP($A23,'2018'!$A:$AT,21,FALSE)</f>
        <v>Group B (34-44)</v>
      </c>
      <c r="AJ23" s="1219" t="str">
        <f>VLOOKUP($A23,'2018'!$A:$AT,23,FALSE)</f>
        <v>Access</v>
      </c>
      <c r="AK23" s="1219" t="str">
        <f>VLOOKUP($A23,'2018'!$A:$AT,24,FALSE)</f>
        <v>No</v>
      </c>
      <c r="AL23" s="1219" t="str">
        <f>VLOOKUP($A23,'2018'!$A:$AT,41,FALSE)</f>
        <v xml:space="preserve">Region 2 </v>
      </c>
      <c r="AM23" s="1219" t="str">
        <f>VLOOKUP($A23,'2018'!$A:$AT,42,FALSE)</f>
        <v>(25-49)</v>
      </c>
      <c r="AN23" s="1219" t="str">
        <f>VLOOKUP($A23,'2018'!$A:$AT,45,FALSE)</f>
        <v xml:space="preserve"> (2-49)</v>
      </c>
      <c r="AO23" s="1263" t="s">
        <v>3816</v>
      </c>
      <c r="AP23" s="1264">
        <v>25</v>
      </c>
    </row>
    <row r="24" spans="1:42">
      <c r="A24" s="1219" t="s">
        <v>367</v>
      </c>
      <c r="B24" s="1219" t="s">
        <v>3818</v>
      </c>
      <c r="C24" s="1219" t="s">
        <v>4135</v>
      </c>
      <c r="D24" s="1219" t="s">
        <v>367</v>
      </c>
      <c r="E24" s="1222">
        <v>0</v>
      </c>
      <c r="F24" s="1222" t="s">
        <v>3653</v>
      </c>
      <c r="G24" s="1222" t="s">
        <v>5518</v>
      </c>
      <c r="H24" s="1221">
        <v>43101</v>
      </c>
      <c r="I24" s="1221"/>
      <c r="J24" s="1219" t="s">
        <v>6119</v>
      </c>
      <c r="K24" s="1219" t="s">
        <v>6120</v>
      </c>
      <c r="L24" s="1219" t="s">
        <v>5868</v>
      </c>
      <c r="M24" s="1219" t="s">
        <v>476</v>
      </c>
      <c r="N24" s="1219">
        <v>92121</v>
      </c>
      <c r="O24" s="1220">
        <v>43101</v>
      </c>
      <c r="P24" s="1219" t="s">
        <v>2473</v>
      </c>
      <c r="Q24" s="1219" t="s">
        <v>2473</v>
      </c>
      <c r="R24" s="1219" t="s">
        <v>4661</v>
      </c>
      <c r="S24" s="1219" t="s">
        <v>5731</v>
      </c>
      <c r="T24" s="1219" t="s">
        <v>5730</v>
      </c>
      <c r="U24" s="1219" t="s">
        <v>6028</v>
      </c>
      <c r="V24" s="1219" t="s">
        <v>5729</v>
      </c>
      <c r="W24" s="1219" t="s">
        <v>5728</v>
      </c>
      <c r="X24" s="1219" t="s">
        <v>6029</v>
      </c>
      <c r="Y24" s="1219" t="s">
        <v>5551</v>
      </c>
      <c r="Z24" s="1219" t="s">
        <v>5564</v>
      </c>
      <c r="AA24" s="1219" t="s">
        <v>5876</v>
      </c>
      <c r="AB24" s="1219" t="s">
        <v>5563</v>
      </c>
      <c r="AC24" s="1219" t="s">
        <v>5555</v>
      </c>
      <c r="AD24" s="1219" t="s">
        <v>5554</v>
      </c>
      <c r="AE24" s="1219" t="s">
        <v>5902</v>
      </c>
      <c r="AF24" s="1219">
        <v>0</v>
      </c>
      <c r="AG24" s="1219">
        <v>0</v>
      </c>
      <c r="AH24" s="1219" t="str">
        <f>VLOOKUP($A24,'2018'!$A:$AT,20,FALSE)</f>
        <v>SCAL</v>
      </c>
      <c r="AI24" s="1219" t="str">
        <f>VLOOKUP($A24,'2018'!$A:$AT,21,FALSE)</f>
        <v>Group D (54+)</v>
      </c>
      <c r="AJ24" s="1219" t="str">
        <f>VLOOKUP($A24,'2018'!$A:$AT,23,FALSE)</f>
        <v>Advantage</v>
      </c>
      <c r="AK24" s="1219" t="str">
        <f>VLOOKUP($A24,'2018'!$A:$AT,24,FALSE)</f>
        <v>No</v>
      </c>
      <c r="AL24" s="1219" t="str">
        <f>VLOOKUP($A24,'2018'!$A:$AT,41,FALSE)</f>
        <v>Region 2</v>
      </c>
      <c r="AM24" s="1219" t="str">
        <f>VLOOKUP($A24,'2018'!$A:$AT,42,FALSE)</f>
        <v>(10-24)</v>
      </c>
      <c r="AN24" s="1219" t="str">
        <f>VLOOKUP($A24,'2018'!$A:$AT,45,FALSE)</f>
        <v>N/A</v>
      </c>
      <c r="AO24" s="1263" t="s">
        <v>3819</v>
      </c>
      <c r="AP24" s="1264">
        <v>44</v>
      </c>
    </row>
    <row r="25" spans="1:42" ht="15.75" customHeight="1">
      <c r="A25" s="1219" t="s">
        <v>393</v>
      </c>
      <c r="B25" s="1219" t="s">
        <v>3820</v>
      </c>
      <c r="C25" s="1219" t="e">
        <v>#N/A</v>
      </c>
      <c r="D25" s="1219" t="s">
        <v>3820</v>
      </c>
      <c r="E25" s="1222">
        <v>0</v>
      </c>
      <c r="F25" s="1222" t="s">
        <v>3653</v>
      </c>
      <c r="G25" s="1222" t="s">
        <v>5727</v>
      </c>
      <c r="H25" s="1221">
        <v>43101</v>
      </c>
      <c r="I25" s="1221"/>
      <c r="J25" s="1219" t="s">
        <v>6121</v>
      </c>
      <c r="K25" s="1219">
        <v>0</v>
      </c>
      <c r="L25" s="1219" t="s">
        <v>6122</v>
      </c>
      <c r="M25" s="1219" t="s">
        <v>476</v>
      </c>
      <c r="N25" s="1219">
        <v>92064</v>
      </c>
      <c r="O25" s="1220">
        <v>43101</v>
      </c>
      <c r="P25" s="1219" t="s">
        <v>2473</v>
      </c>
      <c r="Q25" s="1219" t="s">
        <v>2473</v>
      </c>
      <c r="R25" s="1219" t="s">
        <v>5726</v>
      </c>
      <c r="S25" s="1219" t="s">
        <v>5725</v>
      </c>
      <c r="T25" s="1219" t="s">
        <v>5538</v>
      </c>
      <c r="U25" s="1219" t="s">
        <v>6030</v>
      </c>
      <c r="V25" s="1219" t="s">
        <v>5725</v>
      </c>
      <c r="W25" s="1219" t="s">
        <v>5538</v>
      </c>
      <c r="X25" s="1219" t="s">
        <v>6030</v>
      </c>
      <c r="Y25" s="1219" t="s">
        <v>5724</v>
      </c>
      <c r="Z25" s="1219" t="s">
        <v>5723</v>
      </c>
      <c r="AA25" s="1219" t="s">
        <v>5883</v>
      </c>
      <c r="AB25" s="1219" t="s">
        <v>3323</v>
      </c>
      <c r="AC25" s="1219" t="s">
        <v>5722</v>
      </c>
      <c r="AD25" s="1219" t="s">
        <v>5721</v>
      </c>
      <c r="AE25" s="1219" t="s">
        <v>5884</v>
      </c>
      <c r="AF25" s="1219" t="s">
        <v>3308</v>
      </c>
      <c r="AG25" s="1219" t="s">
        <v>3330</v>
      </c>
      <c r="AH25" s="1219" t="str">
        <f>VLOOKUP($A25,'2018'!$A:$AT,20,FALSE)</f>
        <v>SCAL</v>
      </c>
      <c r="AI25" s="1219" t="str">
        <f>VLOOKUP($A25,'2018'!$A:$AT,21,FALSE)</f>
        <v>Group A (&lt;34)</v>
      </c>
      <c r="AJ25" s="1219" t="str">
        <f>VLOOKUP($A25,'2018'!$A:$AT,23,FALSE)</f>
        <v>N/A</v>
      </c>
      <c r="AK25" s="1219" t="str">
        <f>VLOOKUP($A25,'2018'!$A:$AT,24,FALSE)</f>
        <v>N/A</v>
      </c>
      <c r="AL25" s="1219" t="str">
        <f>VLOOKUP($A25,'2018'!$A:$AT,41,FALSE)</f>
        <v>N/A</v>
      </c>
      <c r="AM25" s="1219" t="str">
        <f>VLOOKUP($A25,'2018'!$A:$AT,42,FALSE)</f>
        <v>N/A</v>
      </c>
      <c r="AN25" s="1219" t="str">
        <f>VLOOKUP($A25,'2018'!$A:$AT,45,FALSE)</f>
        <v>N/A</v>
      </c>
      <c r="AO25" s="1263" t="s">
        <v>3821</v>
      </c>
      <c r="AP25" s="1264" t="e">
        <v>#N/A</v>
      </c>
    </row>
    <row r="26" spans="1:42">
      <c r="A26" s="1219" t="s">
        <v>411</v>
      </c>
      <c r="B26" s="1219" t="s">
        <v>3823</v>
      </c>
      <c r="C26" s="1219" t="s">
        <v>411</v>
      </c>
      <c r="D26" s="1219" t="s">
        <v>4046</v>
      </c>
      <c r="E26" s="1222">
        <v>0</v>
      </c>
      <c r="F26" s="1222" t="s">
        <v>3654</v>
      </c>
      <c r="G26" s="1222" t="s">
        <v>72</v>
      </c>
      <c r="H26" s="1221">
        <v>42370</v>
      </c>
      <c r="I26" s="1221"/>
      <c r="J26" s="1219" t="s">
        <v>6123</v>
      </c>
      <c r="K26" s="1219" t="s">
        <v>5906</v>
      </c>
      <c r="L26" s="1219" t="s">
        <v>5870</v>
      </c>
      <c r="M26" s="1219" t="s">
        <v>476</v>
      </c>
      <c r="N26" s="1219">
        <v>94560</v>
      </c>
      <c r="O26" s="1220">
        <v>43101</v>
      </c>
      <c r="P26" s="1219" t="s">
        <v>2474</v>
      </c>
      <c r="Q26" s="1219" t="s">
        <v>2474</v>
      </c>
      <c r="R26" s="1219" t="s">
        <v>3654</v>
      </c>
      <c r="S26" s="1219" t="s">
        <v>5720</v>
      </c>
      <c r="T26" s="1219" t="s">
        <v>5719</v>
      </c>
      <c r="U26" s="1219" t="s">
        <v>6031</v>
      </c>
      <c r="V26" s="1219" t="s">
        <v>5720</v>
      </c>
      <c r="W26" s="1219" t="s">
        <v>5719</v>
      </c>
      <c r="X26" s="1219" t="s">
        <v>6031</v>
      </c>
      <c r="Y26" s="1219" t="s">
        <v>5523</v>
      </c>
      <c r="Z26" s="1219" t="s">
        <v>5522</v>
      </c>
      <c r="AA26" s="1219" t="s">
        <v>5995</v>
      </c>
      <c r="AB26" s="1219" t="s">
        <v>3464</v>
      </c>
      <c r="AC26" s="1219" t="s">
        <v>5521</v>
      </c>
      <c r="AD26" s="1219" t="s">
        <v>5520</v>
      </c>
      <c r="AE26" s="1219" t="s">
        <v>5996</v>
      </c>
      <c r="AF26" s="1219">
        <v>0</v>
      </c>
      <c r="AG26" s="1219">
        <v>0</v>
      </c>
      <c r="AH26" s="1219" t="str">
        <f>VLOOKUP($A26,'2018'!$A:$AT,20,FALSE)</f>
        <v>NCAL</v>
      </c>
      <c r="AI26" s="1219" t="str">
        <f>VLOOKUP($A26,'2018'!$A:$AT,21,FALSE)</f>
        <v>Group C (44-54)</v>
      </c>
      <c r="AJ26" s="1219" t="str">
        <f>VLOOKUP($A26,'2018'!$A:$AT,23,FALSE)</f>
        <v>Advantage</v>
      </c>
      <c r="AK26" s="1219" t="str">
        <f>VLOOKUP($A26,'2018'!$A:$AT,24,FALSE)</f>
        <v>No</v>
      </c>
      <c r="AL26" s="1219" t="str">
        <f>VLOOKUP($A26,'2018'!$A:$AT,41,FALSE)</f>
        <v xml:space="preserve">Region 4 </v>
      </c>
      <c r="AM26" s="1219" t="str">
        <f>VLOOKUP($A26,'2018'!$A:$AT,42,FALSE)</f>
        <v>(25-49)</v>
      </c>
      <c r="AN26" s="1219" t="str">
        <f>VLOOKUP($A26,'2018'!$A:$AT,45,FALSE)</f>
        <v xml:space="preserve"> (2-49)</v>
      </c>
      <c r="AO26" s="1263" t="s">
        <v>3824</v>
      </c>
      <c r="AP26" s="1264">
        <v>49</v>
      </c>
    </row>
    <row r="27" spans="1:42">
      <c r="A27" s="1219" t="s">
        <v>128</v>
      </c>
      <c r="B27" s="1219" t="s">
        <v>3826</v>
      </c>
      <c r="C27" s="1219" t="e">
        <v>#N/A</v>
      </c>
      <c r="D27" s="1219" t="s">
        <v>3826</v>
      </c>
      <c r="E27" s="1222">
        <v>0</v>
      </c>
      <c r="F27" s="1222" t="s">
        <v>3653</v>
      </c>
      <c r="G27" s="1222" t="s">
        <v>5518</v>
      </c>
      <c r="H27" s="1221">
        <v>42705</v>
      </c>
      <c r="I27" s="1221"/>
      <c r="J27" s="1219" t="s">
        <v>5903</v>
      </c>
      <c r="K27" s="1219">
        <v>0</v>
      </c>
      <c r="L27" s="1219" t="s">
        <v>5868</v>
      </c>
      <c r="M27" s="1219" t="s">
        <v>476</v>
      </c>
      <c r="N27" s="1219">
        <v>92121</v>
      </c>
      <c r="O27" s="1220">
        <v>43101</v>
      </c>
      <c r="P27" s="1219" t="s">
        <v>2474</v>
      </c>
      <c r="Q27" s="1219" t="s">
        <v>2474</v>
      </c>
      <c r="R27" s="1219" t="s">
        <v>4661</v>
      </c>
      <c r="S27" s="1219" t="s">
        <v>5718</v>
      </c>
      <c r="T27" s="1219" t="s">
        <v>5717</v>
      </c>
      <c r="U27" s="1219" t="s">
        <v>6032</v>
      </c>
      <c r="V27" s="1219" t="s">
        <v>5718</v>
      </c>
      <c r="W27" s="1219" t="s">
        <v>5717</v>
      </c>
      <c r="X27" s="1219" t="s">
        <v>6032</v>
      </c>
      <c r="Y27" s="1219" t="s">
        <v>5551</v>
      </c>
      <c r="Z27" s="1219" t="s">
        <v>5564</v>
      </c>
      <c r="AA27" s="1219" t="s">
        <v>5876</v>
      </c>
      <c r="AB27" s="1219" t="s">
        <v>5563</v>
      </c>
      <c r="AC27" s="1219" t="s">
        <v>5527</v>
      </c>
      <c r="AD27" s="1219" t="s">
        <v>5526</v>
      </c>
      <c r="AE27" s="1219" t="s">
        <v>5904</v>
      </c>
      <c r="AF27" s="1219">
        <v>0</v>
      </c>
      <c r="AG27" s="1219">
        <v>0</v>
      </c>
      <c r="AH27" s="1219" t="str">
        <f>VLOOKUP($A27,'2018'!$A:$AT,20,FALSE)</f>
        <v>SCAL</v>
      </c>
      <c r="AI27" s="1219" t="str">
        <f>VLOOKUP($A27,'2018'!$A:$AT,21,FALSE)</f>
        <v>Group C (40-49)</v>
      </c>
      <c r="AJ27" s="1219" t="str">
        <f>VLOOKUP($A27,'2018'!$A:$AT,23,FALSE)</f>
        <v>Advantage</v>
      </c>
      <c r="AK27" s="1219" t="str">
        <f>VLOOKUP($A27,'2018'!$A:$AT,24,FALSE)</f>
        <v>No</v>
      </c>
      <c r="AL27" s="1219" t="str">
        <f>VLOOKUP($A27,'2018'!$A:$AT,41,FALSE)</f>
        <v>N/A</v>
      </c>
      <c r="AM27" s="1219" t="str">
        <f>VLOOKUP($A27,'2018'!$A:$AT,42,FALSE)</f>
        <v>N/A</v>
      </c>
      <c r="AN27" s="1219" t="str">
        <f>VLOOKUP($A27,'2018'!$A:$AT,45,FALSE)</f>
        <v>N/A</v>
      </c>
      <c r="AO27" s="1263" t="s">
        <v>3827</v>
      </c>
      <c r="AP27" s="1264" t="e">
        <v>#N/A</v>
      </c>
    </row>
    <row r="28" spans="1:42">
      <c r="A28" s="1219" t="s">
        <v>4052</v>
      </c>
      <c r="B28" s="1219" t="s">
        <v>3829</v>
      </c>
      <c r="C28" s="1219" t="s">
        <v>3703</v>
      </c>
      <c r="D28" s="1219" t="s">
        <v>4052</v>
      </c>
      <c r="E28" s="1222">
        <v>0</v>
      </c>
      <c r="F28" s="1222" t="s">
        <v>3653</v>
      </c>
      <c r="G28" s="1222" t="s">
        <v>5518</v>
      </c>
      <c r="H28" s="1221">
        <v>42979</v>
      </c>
      <c r="I28" s="1221"/>
      <c r="J28" s="1219" t="s">
        <v>6124</v>
      </c>
      <c r="K28" s="1219" t="s">
        <v>5981</v>
      </c>
      <c r="L28" s="1219" t="s">
        <v>5840</v>
      </c>
      <c r="M28" s="1219" t="s">
        <v>476</v>
      </c>
      <c r="N28" s="1219">
        <v>92037</v>
      </c>
      <c r="O28" s="1220">
        <v>43101</v>
      </c>
      <c r="P28" s="1219" t="s">
        <v>2474</v>
      </c>
      <c r="Q28" s="1219" t="s">
        <v>2473</v>
      </c>
      <c r="R28" s="1219" t="s">
        <v>4661</v>
      </c>
      <c r="S28" s="1219" t="s">
        <v>5614</v>
      </c>
      <c r="T28" s="1219" t="s">
        <v>5716</v>
      </c>
      <c r="U28" s="1219" t="s">
        <v>6033</v>
      </c>
      <c r="V28" s="1219" t="s">
        <v>5614</v>
      </c>
      <c r="W28" s="1219" t="s">
        <v>5716</v>
      </c>
      <c r="X28" s="1219" t="s">
        <v>6033</v>
      </c>
      <c r="Y28" s="1219" t="s">
        <v>5558</v>
      </c>
      <c r="Z28" s="1219" t="s">
        <v>5557</v>
      </c>
      <c r="AA28" s="1219" t="s">
        <v>5878</v>
      </c>
      <c r="AB28" s="1219" t="s">
        <v>5556</v>
      </c>
      <c r="AC28" s="1219" t="s">
        <v>5555</v>
      </c>
      <c r="AD28" s="1219" t="s">
        <v>5554</v>
      </c>
      <c r="AE28" s="1219" t="s">
        <v>5902</v>
      </c>
      <c r="AF28" s="1219">
        <v>0</v>
      </c>
      <c r="AG28" s="1219">
        <v>0</v>
      </c>
      <c r="AH28" s="1219" t="str">
        <f>VLOOKUP($A28,'2018'!$A:$AT,20,FALSE)</f>
        <v>SCAL</v>
      </c>
      <c r="AI28" s="1219" t="str">
        <f>VLOOKUP($A28,'2018'!$A:$AT,21,FALSE)</f>
        <v>Group D (54+)</v>
      </c>
      <c r="AJ28" s="1219" t="str">
        <f>VLOOKUP($A28,'2018'!$A:$AT,23,FALSE)</f>
        <v>Advantage</v>
      </c>
      <c r="AK28" s="1219" t="str">
        <f>VLOOKUP($A28,'2018'!$A:$AT,24,FALSE)</f>
        <v>No</v>
      </c>
      <c r="AL28" s="1219" t="str">
        <f>VLOOKUP($A28,'2018'!$A:$AT,41,FALSE)</f>
        <v>Region 1</v>
      </c>
      <c r="AM28" s="1219" t="str">
        <f>VLOOKUP($A28,'2018'!$A:$AT,42,FALSE)</f>
        <v>(2-9)</v>
      </c>
      <c r="AN28" s="1219" t="str">
        <f>VLOOKUP($A28,'2018'!$A:$AT,45,FALSE)</f>
        <v xml:space="preserve"> (2-49)</v>
      </c>
      <c r="AO28" s="1263" t="e">
        <v>#N/A</v>
      </c>
      <c r="AP28" s="1264">
        <v>9</v>
      </c>
    </row>
    <row r="29" spans="1:42" ht="15.75" customHeight="1">
      <c r="A29" s="1219" t="s">
        <v>4324</v>
      </c>
      <c r="B29" s="1219" t="s">
        <v>4324</v>
      </c>
      <c r="C29" s="1219" t="s">
        <v>4324</v>
      </c>
      <c r="D29" s="1219" t="s">
        <v>6146</v>
      </c>
      <c r="E29" s="1222">
        <v>0</v>
      </c>
      <c r="F29" s="1222" t="s">
        <v>3654</v>
      </c>
      <c r="G29" s="1222" t="s">
        <v>72</v>
      </c>
      <c r="H29" s="1221">
        <v>43221</v>
      </c>
      <c r="I29" s="1221"/>
      <c r="J29" s="1219" t="s">
        <v>5905</v>
      </c>
      <c r="K29" s="1219" t="s">
        <v>5906</v>
      </c>
      <c r="L29" s="1219" t="s">
        <v>5907</v>
      </c>
      <c r="M29" s="1219" t="s">
        <v>476</v>
      </c>
      <c r="N29" s="1219">
        <v>94080</v>
      </c>
      <c r="O29" s="1220">
        <v>43221</v>
      </c>
      <c r="P29" s="1219" t="s">
        <v>2473</v>
      </c>
      <c r="Q29" s="1219" t="s">
        <v>2473</v>
      </c>
      <c r="R29" s="1219" t="s">
        <v>3654</v>
      </c>
      <c r="S29" s="1219" t="s">
        <v>5715</v>
      </c>
      <c r="T29" s="1219" t="s">
        <v>5526</v>
      </c>
      <c r="U29" s="1219" t="s">
        <v>6034</v>
      </c>
      <c r="V29" s="1219" t="s">
        <v>5715</v>
      </c>
      <c r="W29" s="1219" t="s">
        <v>5526</v>
      </c>
      <c r="X29" s="1219" t="s">
        <v>6034</v>
      </c>
      <c r="Y29" s="1219" t="s">
        <v>5523</v>
      </c>
      <c r="Z29" s="1219" t="s">
        <v>5522</v>
      </c>
      <c r="AA29" s="1219" t="s">
        <v>5995</v>
      </c>
      <c r="AB29" s="1219" t="s">
        <v>3464</v>
      </c>
      <c r="AC29" s="1219" t="s">
        <v>5521</v>
      </c>
      <c r="AD29" s="1219" t="s">
        <v>5520</v>
      </c>
      <c r="AE29" s="1219" t="s">
        <v>5996</v>
      </c>
      <c r="AF29" s="1219">
        <v>0</v>
      </c>
      <c r="AG29" s="1219">
        <v>0</v>
      </c>
      <c r="AH29" s="1219" t="str">
        <f>VLOOKUP($A29,'2018'!$A:$AT,20,FALSE)</f>
        <v>NCAL</v>
      </c>
      <c r="AI29" s="1219" t="str">
        <f>VLOOKUP($A29,'2018'!$A:$AT,21,FALSE)</f>
        <v>Group A (&lt;34)</v>
      </c>
      <c r="AJ29" s="1219" t="str">
        <f>VLOOKUP($A29,'2018'!$A:$AT,23,FALSE)</f>
        <v>Advantage</v>
      </c>
      <c r="AK29" s="1219" t="str">
        <f>VLOOKUP($A29,'2018'!$A:$AT,24,FALSE)</f>
        <v>No</v>
      </c>
      <c r="AL29" s="1219" t="str">
        <f>VLOOKUP($A29,'2018'!$A:$AT,41,FALSE)</f>
        <v>Region 3</v>
      </c>
      <c r="AM29" s="1219" t="str">
        <f>VLOOKUP($A29,'2018'!$A:$AT,42,FALSE)</f>
        <v>(2-9)</v>
      </c>
      <c r="AN29" s="1219" t="str">
        <f>VLOOKUP($A29,'2018'!$A:$AT,45,FALSE)</f>
        <v xml:space="preserve"> (2-49)</v>
      </c>
      <c r="AO29" s="1263" t="s">
        <v>4547</v>
      </c>
      <c r="AP29" s="1264">
        <v>56</v>
      </c>
    </row>
    <row r="30" spans="1:42">
      <c r="A30" s="1219" t="s">
        <v>4552</v>
      </c>
      <c r="B30" s="1219" t="s">
        <v>5493</v>
      </c>
      <c r="C30" s="1219" t="e">
        <v>#N/A</v>
      </c>
      <c r="D30" s="1219" t="s">
        <v>4552</v>
      </c>
      <c r="E30" s="1222">
        <v>0</v>
      </c>
      <c r="F30" s="1222" t="s">
        <v>3653</v>
      </c>
      <c r="G30" s="1222" t="s">
        <v>5518</v>
      </c>
      <c r="H30" s="1221">
        <v>43252</v>
      </c>
      <c r="I30" s="1221"/>
      <c r="J30" s="1219" t="s">
        <v>5908</v>
      </c>
      <c r="K30" s="1219" t="s">
        <v>5909</v>
      </c>
      <c r="L30" s="1219" t="s">
        <v>5840</v>
      </c>
      <c r="M30" s="1219" t="s">
        <v>476</v>
      </c>
      <c r="N30" s="1219">
        <v>92037</v>
      </c>
      <c r="O30" s="1220">
        <v>43252</v>
      </c>
      <c r="P30" s="1219" t="s">
        <v>2473</v>
      </c>
      <c r="Q30" s="1219" t="s">
        <v>2473</v>
      </c>
      <c r="R30" s="1219" t="s">
        <v>4983</v>
      </c>
      <c r="S30" s="1219" t="s">
        <v>5714</v>
      </c>
      <c r="T30" s="1219" t="s">
        <v>5713</v>
      </c>
      <c r="U30" s="1219" t="s">
        <v>6035</v>
      </c>
      <c r="V30" s="1219" t="s">
        <v>5714</v>
      </c>
      <c r="W30" s="1219" t="s">
        <v>5713</v>
      </c>
      <c r="X30" s="1219" t="s">
        <v>6035</v>
      </c>
      <c r="Y30" s="1219" t="s">
        <v>5584</v>
      </c>
      <c r="Z30" s="1219" t="s">
        <v>5583</v>
      </c>
      <c r="AA30" s="1219" t="s">
        <v>5873</v>
      </c>
      <c r="AB30" s="1219" t="s">
        <v>3243</v>
      </c>
      <c r="AC30" s="1219" t="s">
        <v>5582</v>
      </c>
      <c r="AD30" s="1219" t="s">
        <v>5581</v>
      </c>
      <c r="AE30" s="1219" t="s">
        <v>5874</v>
      </c>
      <c r="AF30" s="1219">
        <v>0</v>
      </c>
      <c r="AG30" s="1219">
        <v>0</v>
      </c>
      <c r="AH30" s="1219" t="str">
        <f>VLOOKUP($A30,'2018'!$A:$AT,20,FALSE)</f>
        <v>SCAL</v>
      </c>
      <c r="AI30" s="1219" t="str">
        <f>VLOOKUP($A30,'2018'!$A:$AT,21,FALSE)</f>
        <v>Group B (34-44)</v>
      </c>
      <c r="AJ30" s="1219" t="str">
        <f>VLOOKUP($A30,'2018'!$A:$AT,23,FALSE)</f>
        <v>Advantage</v>
      </c>
      <c r="AK30" s="1219" t="str">
        <f>VLOOKUP($A30,'2018'!$A:$AT,24,FALSE)</f>
        <v>No</v>
      </c>
      <c r="AL30" s="1219" t="str">
        <f>VLOOKUP($A30,'2018'!$A:$AT,41,FALSE)</f>
        <v>Region 1</v>
      </c>
      <c r="AM30" s="1219" t="str">
        <f>VLOOKUP($A30,'2018'!$A:$AT,42,FALSE)</f>
        <v>(2-9)</v>
      </c>
      <c r="AN30" s="1219" t="str">
        <f>VLOOKUP($A30,'2018'!$A:$AT,45,FALSE)</f>
        <v xml:space="preserve"> (2-49)</v>
      </c>
      <c r="AO30" s="1263" t="e">
        <v>#N/A</v>
      </c>
      <c r="AP30" s="1264" t="e">
        <v>#N/A</v>
      </c>
    </row>
    <row r="31" spans="1:42">
      <c r="A31" s="1219" t="s">
        <v>132</v>
      </c>
      <c r="B31" s="1219" t="s">
        <v>3833</v>
      </c>
      <c r="C31" s="1219" t="s">
        <v>132</v>
      </c>
      <c r="D31" s="1219" t="s">
        <v>132</v>
      </c>
      <c r="E31" s="1222">
        <v>0</v>
      </c>
      <c r="F31" s="1222" t="s">
        <v>3654</v>
      </c>
      <c r="G31" s="1222" t="s">
        <v>72</v>
      </c>
      <c r="H31" s="1221">
        <v>42887</v>
      </c>
      <c r="I31" s="1221"/>
      <c r="J31" s="1219" t="s">
        <v>5910</v>
      </c>
      <c r="K31" s="1219">
        <v>0</v>
      </c>
      <c r="L31" s="1219" t="s">
        <v>5911</v>
      </c>
      <c r="M31" s="1219" t="s">
        <v>476</v>
      </c>
      <c r="N31" s="1219">
        <v>95060</v>
      </c>
      <c r="O31" s="1220">
        <v>43101</v>
      </c>
      <c r="P31" s="1219" t="s">
        <v>2474</v>
      </c>
      <c r="Q31" s="1219" t="s">
        <v>2473</v>
      </c>
      <c r="R31" s="1219" t="s">
        <v>3654</v>
      </c>
      <c r="S31" s="1219" t="s">
        <v>5712</v>
      </c>
      <c r="T31" s="1219" t="s">
        <v>5711</v>
      </c>
      <c r="U31" s="1219" t="s">
        <v>6036</v>
      </c>
      <c r="V31" s="1219" t="s">
        <v>5712</v>
      </c>
      <c r="W31" s="1219" t="s">
        <v>5711</v>
      </c>
      <c r="X31" s="1219" t="s">
        <v>6036</v>
      </c>
      <c r="Y31" s="1219" t="s">
        <v>5523</v>
      </c>
      <c r="Z31" s="1219" t="s">
        <v>5522</v>
      </c>
      <c r="AA31" s="1219" t="s">
        <v>5995</v>
      </c>
      <c r="AB31" s="1219" t="s">
        <v>3464</v>
      </c>
      <c r="AC31" s="1219" t="s">
        <v>5521</v>
      </c>
      <c r="AD31" s="1219" t="s">
        <v>5520</v>
      </c>
      <c r="AE31" s="1219" t="s">
        <v>5996</v>
      </c>
      <c r="AF31" s="1219">
        <v>0</v>
      </c>
      <c r="AG31" s="1219">
        <v>0</v>
      </c>
      <c r="AH31" s="1219" t="str">
        <f>VLOOKUP($A31,'2018'!$A:$AT,20,FALSE)</f>
        <v>NCAL</v>
      </c>
      <c r="AI31" s="1219" t="str">
        <f>VLOOKUP($A31,'2018'!$A:$AT,21,FALSE)</f>
        <v>Group C (44-54)</v>
      </c>
      <c r="AJ31" s="1219" t="str">
        <f>VLOOKUP($A31,'2018'!$A:$AT,23,FALSE)</f>
        <v>Advantage</v>
      </c>
      <c r="AK31" s="1219" t="str">
        <f>VLOOKUP($A31,'2018'!$A:$AT,24,FALSE)</f>
        <v>No</v>
      </c>
      <c r="AL31" s="1219" t="str">
        <f>VLOOKUP($A31,'2018'!$A:$AT,41,FALSE)</f>
        <v xml:space="preserve">Region 4 </v>
      </c>
      <c r="AM31" s="1219" t="str">
        <f>VLOOKUP($A31,'2018'!$A:$AT,42,FALSE)</f>
        <v>(2-9)</v>
      </c>
      <c r="AN31" s="1219" t="str">
        <f>VLOOKUP($A31,'2018'!$A:$AT,45,FALSE)</f>
        <v xml:space="preserve"> (2-49)</v>
      </c>
      <c r="AO31" s="1263" t="s">
        <v>3834</v>
      </c>
      <c r="AP31" s="1264">
        <v>6</v>
      </c>
    </row>
    <row r="32" spans="1:42">
      <c r="A32" s="1219" t="s">
        <v>357</v>
      </c>
      <c r="B32" s="1219" t="s">
        <v>3836</v>
      </c>
      <c r="C32" s="1219" t="s">
        <v>357</v>
      </c>
      <c r="D32" s="1219" t="s">
        <v>3836</v>
      </c>
      <c r="E32" s="1222">
        <v>0</v>
      </c>
      <c r="F32" s="1222" t="s">
        <v>3653</v>
      </c>
      <c r="G32" s="1222" t="s">
        <v>5518</v>
      </c>
      <c r="H32" s="1221">
        <v>43101</v>
      </c>
      <c r="I32" s="1221"/>
      <c r="J32" s="1219" t="s">
        <v>5912</v>
      </c>
      <c r="K32" s="1219" t="s">
        <v>5913</v>
      </c>
      <c r="L32" s="1219" t="s">
        <v>5840</v>
      </c>
      <c r="M32" s="1219" t="s">
        <v>476</v>
      </c>
      <c r="N32" s="1219">
        <v>92037</v>
      </c>
      <c r="O32" s="1220">
        <v>43101</v>
      </c>
      <c r="P32" s="1219" t="s">
        <v>2473</v>
      </c>
      <c r="Q32" s="1219" t="s">
        <v>2473</v>
      </c>
      <c r="R32" s="1219" t="s">
        <v>4661</v>
      </c>
      <c r="S32" s="1219" t="s">
        <v>5710</v>
      </c>
      <c r="T32" s="1219" t="s">
        <v>5709</v>
      </c>
      <c r="U32" s="1219" t="s">
        <v>6037</v>
      </c>
      <c r="V32" s="1219" t="s">
        <v>5708</v>
      </c>
      <c r="W32" s="1219" t="s">
        <v>5707</v>
      </c>
      <c r="X32" s="1219" t="s">
        <v>6038</v>
      </c>
      <c r="Y32" s="1219" t="s">
        <v>5648</v>
      </c>
      <c r="Z32" s="1219" t="s">
        <v>5647</v>
      </c>
      <c r="AA32" s="1219" t="s">
        <v>5914</v>
      </c>
      <c r="AB32" s="1219" t="s">
        <v>5646</v>
      </c>
      <c r="AC32" s="1219" t="s">
        <v>5555</v>
      </c>
      <c r="AD32" s="1219" t="s">
        <v>5554</v>
      </c>
      <c r="AE32" s="1219" t="s">
        <v>5902</v>
      </c>
      <c r="AF32" s="1219">
        <v>0</v>
      </c>
      <c r="AG32" s="1219">
        <v>0</v>
      </c>
      <c r="AH32" s="1219" t="str">
        <f>VLOOKUP($A32,'2018'!$A:$AT,20,FALSE)</f>
        <v>SCAL</v>
      </c>
      <c r="AI32" s="1219" t="str">
        <f>VLOOKUP($A32,'2018'!$A:$AT,21,FALSE)</f>
        <v>Group B (34-44)</v>
      </c>
      <c r="AJ32" s="1219" t="str">
        <f>VLOOKUP($A32,'2018'!$A:$AT,23,FALSE)</f>
        <v>Advantage</v>
      </c>
      <c r="AK32" s="1219" t="str">
        <f>VLOOKUP($A32,'2018'!$A:$AT,24,FALSE)</f>
        <v>No</v>
      </c>
      <c r="AL32" s="1219" t="str">
        <f>VLOOKUP($A32,'2018'!$A:$AT,41,FALSE)</f>
        <v>Region 1</v>
      </c>
      <c r="AM32" s="1219" t="str">
        <f>VLOOKUP($A32,'2018'!$A:$AT,42,FALSE)</f>
        <v>(25-49)</v>
      </c>
      <c r="AN32" s="1219" t="str">
        <f>VLOOKUP($A32,'2018'!$A:$AT,45,FALSE)</f>
        <v xml:space="preserve"> (2-49)</v>
      </c>
      <c r="AO32" s="1263" t="s">
        <v>3837</v>
      </c>
      <c r="AP32" s="1264">
        <v>48</v>
      </c>
    </row>
    <row r="33" spans="1:42" ht="15.75" customHeight="1">
      <c r="A33" s="1219" t="s">
        <v>4567</v>
      </c>
      <c r="B33" s="1219" t="s">
        <v>5494</v>
      </c>
      <c r="C33" s="1219" t="e">
        <v>#N/A</v>
      </c>
      <c r="D33" s="1219" t="s">
        <v>4567</v>
      </c>
      <c r="E33" s="1222">
        <v>0</v>
      </c>
      <c r="F33" s="1222" t="s">
        <v>3653</v>
      </c>
      <c r="G33" s="1222" t="s">
        <v>5518</v>
      </c>
      <c r="H33" s="1221">
        <v>43282</v>
      </c>
      <c r="I33" s="1221"/>
      <c r="J33" s="1219" t="s">
        <v>5915</v>
      </c>
      <c r="K33" s="1219" t="s">
        <v>5916</v>
      </c>
      <c r="L33" s="1219" t="s">
        <v>5868</v>
      </c>
      <c r="M33" s="1219" t="s">
        <v>476</v>
      </c>
      <c r="N33" s="1219">
        <v>92130</v>
      </c>
      <c r="O33" s="1220">
        <v>43282</v>
      </c>
      <c r="P33" s="1219" t="s">
        <v>2473</v>
      </c>
      <c r="Q33" s="1219" t="s">
        <v>2473</v>
      </c>
      <c r="R33" s="1219" t="s">
        <v>4983</v>
      </c>
      <c r="S33" s="1219" t="s">
        <v>5706</v>
      </c>
      <c r="T33" s="1219" t="s">
        <v>5705</v>
      </c>
      <c r="U33" s="1219" t="s">
        <v>6039</v>
      </c>
      <c r="V33" s="1219" t="s">
        <v>5706</v>
      </c>
      <c r="W33" s="1219" t="s">
        <v>5705</v>
      </c>
      <c r="X33" s="1219" t="s">
        <v>6039</v>
      </c>
      <c r="Y33" s="1219" t="s">
        <v>5558</v>
      </c>
      <c r="Z33" s="1219" t="s">
        <v>5557</v>
      </c>
      <c r="AA33" s="1219" t="s">
        <v>5878</v>
      </c>
      <c r="AB33" s="1219" t="s">
        <v>5556</v>
      </c>
      <c r="AC33" s="1219" t="s">
        <v>5555</v>
      </c>
      <c r="AD33" s="1219" t="s">
        <v>5554</v>
      </c>
      <c r="AE33" s="1219" t="s">
        <v>5902</v>
      </c>
      <c r="AF33" s="1219">
        <v>0</v>
      </c>
      <c r="AG33" s="1219">
        <v>0</v>
      </c>
      <c r="AH33" s="1219" t="str">
        <f>VLOOKUP($A33,'2018'!$A:$AT,20,FALSE)</f>
        <v>SCAL</v>
      </c>
      <c r="AI33" s="1219" t="str">
        <f>VLOOKUP($A33,'2018'!$A:$AT,21,FALSE)</f>
        <v>Group D (54+)</v>
      </c>
      <c r="AJ33" s="1219" t="str">
        <f>VLOOKUP($A33,'2018'!$A:$AT,23,FALSE)</f>
        <v>Advantage</v>
      </c>
      <c r="AK33" s="1219" t="str">
        <f>VLOOKUP($A33,'2018'!$A:$AT,24,FALSE)</f>
        <v>No</v>
      </c>
      <c r="AL33" s="1219" t="str">
        <f>VLOOKUP($A33,'2018'!$A:$AT,41,FALSE)</f>
        <v>Region 2</v>
      </c>
      <c r="AM33" s="1219" t="str">
        <f>VLOOKUP($A33,'2018'!$A:$AT,42,FALSE)</f>
        <v>(2-9)</v>
      </c>
      <c r="AN33" s="1219" t="str">
        <f>VLOOKUP($A33,'2018'!$A:$AT,45,FALSE)</f>
        <v xml:space="preserve"> (2-49)</v>
      </c>
      <c r="AO33" s="1263" t="e">
        <v>#N/A</v>
      </c>
      <c r="AP33" s="1264" t="e">
        <v>#N/A</v>
      </c>
    </row>
    <row r="34" spans="1:42">
      <c r="A34" s="1219" t="s">
        <v>136</v>
      </c>
      <c r="B34" s="1219" t="s">
        <v>3839</v>
      </c>
      <c r="C34" s="1219" t="s">
        <v>3714</v>
      </c>
      <c r="D34" s="1219" t="s">
        <v>3714</v>
      </c>
      <c r="E34" s="1222">
        <v>0</v>
      </c>
      <c r="F34" s="1222" t="s">
        <v>3654</v>
      </c>
      <c r="G34" s="1222" t="s">
        <v>72</v>
      </c>
      <c r="H34" s="1221">
        <v>42736</v>
      </c>
      <c r="I34" s="1221"/>
      <c r="J34" s="1219" t="s">
        <v>5986</v>
      </c>
      <c r="K34" s="1219" t="s">
        <v>5891</v>
      </c>
      <c r="L34" s="1219" t="s">
        <v>5917</v>
      </c>
      <c r="M34" s="1219" t="s">
        <v>476</v>
      </c>
      <c r="N34" s="1219">
        <v>94025</v>
      </c>
      <c r="O34" s="1220">
        <v>43101</v>
      </c>
      <c r="P34" s="1219" t="s">
        <v>2474</v>
      </c>
      <c r="Q34" s="1219" t="s">
        <v>2474</v>
      </c>
      <c r="R34" s="1219" t="s">
        <v>3654</v>
      </c>
      <c r="S34" s="1219" t="s">
        <v>5704</v>
      </c>
      <c r="T34" s="1219" t="s">
        <v>5703</v>
      </c>
      <c r="U34" s="1219" t="s">
        <v>6040</v>
      </c>
      <c r="V34" s="1219" t="s">
        <v>5702</v>
      </c>
      <c r="W34" s="1219" t="s">
        <v>5701</v>
      </c>
      <c r="X34" s="1219" t="s">
        <v>6041</v>
      </c>
      <c r="Y34" s="1219" t="s">
        <v>5601</v>
      </c>
      <c r="Z34" s="1219" t="s">
        <v>5700</v>
      </c>
      <c r="AA34" s="1219" t="s">
        <v>6042</v>
      </c>
      <c r="AB34" s="1219" t="s">
        <v>3489</v>
      </c>
      <c r="AC34" s="1219" t="s">
        <v>5549</v>
      </c>
      <c r="AD34" s="1219" t="s">
        <v>5548</v>
      </c>
      <c r="AE34" s="1219" t="s">
        <v>6043</v>
      </c>
      <c r="AF34" s="1219">
        <v>0</v>
      </c>
      <c r="AG34" s="1219">
        <v>0</v>
      </c>
      <c r="AH34" s="1219" t="str">
        <f>VLOOKUP($A34,'2018'!$A:$AT,20,FALSE)</f>
        <v>NCAL</v>
      </c>
      <c r="AI34" s="1219" t="str">
        <f>VLOOKUP($A34,'2018'!$A:$AT,21,FALSE)</f>
        <v>Group C (44-54)</v>
      </c>
      <c r="AJ34" s="1219" t="str">
        <f>VLOOKUP($A34,'2018'!$A:$AT,23,FALSE)</f>
        <v>Advantage</v>
      </c>
      <c r="AK34" s="1219" t="str">
        <f>VLOOKUP($A34,'2018'!$A:$AT,24,FALSE)</f>
        <v>No</v>
      </c>
      <c r="AL34" s="1219" t="str">
        <f>VLOOKUP($A34,'2018'!$A:$AT,41,FALSE)</f>
        <v>Region 4</v>
      </c>
      <c r="AM34" s="1219" t="str">
        <f>VLOOKUP($A34,'2018'!$A:$AT,42,FALSE)</f>
        <v>(25-49)</v>
      </c>
      <c r="AN34" s="1219" t="str">
        <f>VLOOKUP($A34,'2018'!$A:$AT,45,FALSE)</f>
        <v xml:space="preserve"> (2-49)</v>
      </c>
      <c r="AO34" s="1263" t="s">
        <v>3840</v>
      </c>
      <c r="AP34" s="1264">
        <v>19</v>
      </c>
    </row>
    <row r="35" spans="1:42">
      <c r="A35" s="1219" t="s">
        <v>4560</v>
      </c>
      <c r="B35" s="1219" t="s">
        <v>5496</v>
      </c>
      <c r="C35" s="1219" t="e">
        <v>#N/A</v>
      </c>
      <c r="D35" s="1219" t="s">
        <v>4560</v>
      </c>
      <c r="E35" s="1222" t="s">
        <v>4561</v>
      </c>
      <c r="F35" s="1222" t="s">
        <v>5624</v>
      </c>
      <c r="G35" s="1222" t="s">
        <v>72</v>
      </c>
      <c r="H35" s="1221">
        <v>43282</v>
      </c>
      <c r="I35" s="1221"/>
      <c r="J35" s="1219" t="s">
        <v>5918</v>
      </c>
      <c r="K35" s="1219" t="s">
        <v>5919</v>
      </c>
      <c r="L35" s="1219" t="s">
        <v>5920</v>
      </c>
      <c r="M35" s="1219" t="s">
        <v>476</v>
      </c>
      <c r="N35" s="1219">
        <v>91436</v>
      </c>
      <c r="O35" s="1220">
        <v>43282</v>
      </c>
      <c r="P35" s="1219" t="s">
        <v>2473</v>
      </c>
      <c r="Q35" s="1219" t="s">
        <v>2473</v>
      </c>
      <c r="R35" s="1219" t="s">
        <v>5624</v>
      </c>
      <c r="S35" s="1219" t="s">
        <v>5699</v>
      </c>
      <c r="T35" s="1219" t="s">
        <v>5698</v>
      </c>
      <c r="U35" s="1219" t="s">
        <v>6044</v>
      </c>
      <c r="V35" s="1219" t="s">
        <v>5697</v>
      </c>
      <c r="W35" s="1219" t="s">
        <v>5696</v>
      </c>
      <c r="X35" s="1219" t="s">
        <v>6045</v>
      </c>
      <c r="Y35" s="1219" t="s">
        <v>5642</v>
      </c>
      <c r="Z35" s="1219" t="s">
        <v>5695</v>
      </c>
      <c r="AA35" s="1219" t="s">
        <v>6046</v>
      </c>
      <c r="AB35" s="1219" t="s">
        <v>4558</v>
      </c>
      <c r="AC35" s="1219" t="s">
        <v>5681</v>
      </c>
      <c r="AD35" s="1219" t="s">
        <v>5680</v>
      </c>
      <c r="AE35" s="1219" t="s">
        <v>6047</v>
      </c>
      <c r="AF35" s="1219">
        <v>0</v>
      </c>
      <c r="AG35" s="1219">
        <v>0</v>
      </c>
      <c r="AH35" s="1219" t="str">
        <f>VLOOKUP($A35,'2018'!$A:$AT,20,FALSE)</f>
        <v>SCAL</v>
      </c>
      <c r="AI35" s="1219" t="str">
        <f>VLOOKUP($A35,'2018'!$A:$AT,21,FALSE)</f>
        <v>Group B (34-44)</v>
      </c>
      <c r="AJ35" s="1219" t="str">
        <f>VLOOKUP($A35,'2018'!$A:$AT,23,FALSE)</f>
        <v>Advantage</v>
      </c>
      <c r="AK35" s="1219" t="str">
        <f>VLOOKUP($A35,'2018'!$A:$AT,24,FALSE)</f>
        <v>No</v>
      </c>
      <c r="AL35" s="1219" t="str">
        <f>VLOOKUP($A35,'2018'!$A:$AT,41,FALSE)</f>
        <v>Region 4</v>
      </c>
      <c r="AM35" s="1219" t="str">
        <f>VLOOKUP($A35,'2018'!$A:$AT,42,FALSE)</f>
        <v>(50-99)</v>
      </c>
      <c r="AN35" s="1219" t="str">
        <f>VLOOKUP($A35,'2018'!$A:$AT,45,FALSE)</f>
        <v xml:space="preserve"> (50-99)</v>
      </c>
      <c r="AO35" s="1263" t="e">
        <v>#N/A</v>
      </c>
      <c r="AP35" s="1264" t="e">
        <v>#N/A</v>
      </c>
    </row>
    <row r="36" spans="1:42">
      <c r="A36" s="1219" t="s">
        <v>3612</v>
      </c>
      <c r="B36" s="1219" t="s">
        <v>3942</v>
      </c>
      <c r="C36" s="1219" t="s">
        <v>3612</v>
      </c>
      <c r="D36" s="1219" t="s">
        <v>6147</v>
      </c>
      <c r="E36" s="1222" t="s">
        <v>3613</v>
      </c>
      <c r="F36" s="1222" t="s">
        <v>3653</v>
      </c>
      <c r="G36" s="1222" t="s">
        <v>5518</v>
      </c>
      <c r="H36" s="1221">
        <v>43132</v>
      </c>
      <c r="I36" s="1221"/>
      <c r="J36" s="1219" t="s">
        <v>5921</v>
      </c>
      <c r="K36" s="1219" t="s">
        <v>5922</v>
      </c>
      <c r="L36" s="1219" t="s">
        <v>5868</v>
      </c>
      <c r="M36" s="1219" t="s">
        <v>476</v>
      </c>
      <c r="N36" s="1219">
        <v>92121</v>
      </c>
      <c r="O36" s="1220">
        <v>43132</v>
      </c>
      <c r="P36" s="1219" t="s">
        <v>2473</v>
      </c>
      <c r="Q36" s="1219" t="s">
        <v>2473</v>
      </c>
      <c r="R36" s="1219" t="s">
        <v>4983</v>
      </c>
      <c r="S36" s="1219" t="s">
        <v>5694</v>
      </c>
      <c r="T36" s="1219" t="s">
        <v>5693</v>
      </c>
      <c r="U36" s="1219" t="s">
        <v>6048</v>
      </c>
      <c r="V36" s="1219" t="s">
        <v>5694</v>
      </c>
      <c r="W36" s="1219" t="s">
        <v>5693</v>
      </c>
      <c r="X36" s="1219" t="s">
        <v>6048</v>
      </c>
      <c r="Y36" s="1219" t="s">
        <v>5558</v>
      </c>
      <c r="Z36" s="1219" t="s">
        <v>5557</v>
      </c>
      <c r="AA36" s="1219" t="s">
        <v>5878</v>
      </c>
      <c r="AB36" s="1219" t="s">
        <v>5556</v>
      </c>
      <c r="AC36" s="1219" t="s">
        <v>5539</v>
      </c>
      <c r="AD36" s="1219" t="s">
        <v>5538</v>
      </c>
      <c r="AE36" s="1219" t="s">
        <v>5842</v>
      </c>
      <c r="AF36" s="1219">
        <v>0</v>
      </c>
      <c r="AG36" s="1219">
        <v>0</v>
      </c>
      <c r="AH36" s="1219" t="str">
        <f>VLOOKUP($A36,'2018'!$A:$AT,20,FALSE)</f>
        <v>SCAL</v>
      </c>
      <c r="AI36" s="1219" t="str">
        <f>VLOOKUP($A36,'2018'!$A:$AT,21,FALSE)</f>
        <v>Group C (44-54)</v>
      </c>
      <c r="AJ36" s="1219" t="str">
        <f>VLOOKUP($A36,'2018'!$A:$AT,23,FALSE)</f>
        <v>Advantage</v>
      </c>
      <c r="AK36" s="1219" t="str">
        <f>VLOOKUP($A36,'2018'!$A:$AT,24,FALSE)</f>
        <v>No</v>
      </c>
      <c r="AL36" s="1219" t="str">
        <f>VLOOKUP($A36,'2018'!$A:$AT,41,FALSE)</f>
        <v xml:space="preserve">Region 2 </v>
      </c>
      <c r="AM36" s="1219" t="str">
        <f>VLOOKUP($A36,'2018'!$A:$AT,42,FALSE)</f>
        <v>(2-9)</v>
      </c>
      <c r="AN36" s="1219" t="str">
        <f>VLOOKUP($A36,'2018'!$A:$AT,45,FALSE)</f>
        <v xml:space="preserve"> (2-49)</v>
      </c>
      <c r="AO36" s="1263" t="s">
        <v>4217</v>
      </c>
      <c r="AP36" s="1264">
        <v>50</v>
      </c>
    </row>
    <row r="37" spans="1:42" ht="15.75" customHeight="1">
      <c r="A37" s="1219" t="s">
        <v>392</v>
      </c>
      <c r="B37" s="1219" t="s">
        <v>3842</v>
      </c>
      <c r="C37" s="1219" t="s">
        <v>392</v>
      </c>
      <c r="D37" s="1219" t="s">
        <v>4057</v>
      </c>
      <c r="E37" s="1222">
        <v>0</v>
      </c>
      <c r="F37" s="1222" t="s">
        <v>3653</v>
      </c>
      <c r="G37" s="1222" t="s">
        <v>5590</v>
      </c>
      <c r="H37" s="1221">
        <v>43101</v>
      </c>
      <c r="I37" s="1221"/>
      <c r="J37" s="1219" t="s">
        <v>5923</v>
      </c>
      <c r="K37" s="1219" t="s">
        <v>5924</v>
      </c>
      <c r="L37" s="1219" t="s">
        <v>5845</v>
      </c>
      <c r="M37" s="1219" t="s">
        <v>476</v>
      </c>
      <c r="N37" s="1219">
        <v>92008</v>
      </c>
      <c r="O37" s="1220">
        <v>43101</v>
      </c>
      <c r="P37" s="1219" t="s">
        <v>2473</v>
      </c>
      <c r="Q37" s="1219" t="s">
        <v>2473</v>
      </c>
      <c r="R37" s="1219" t="s">
        <v>4661</v>
      </c>
      <c r="S37" s="1219" t="s">
        <v>5692</v>
      </c>
      <c r="T37" s="1219" t="s">
        <v>5691</v>
      </c>
      <c r="U37" s="1219" t="s">
        <v>6049</v>
      </c>
      <c r="V37" s="1219" t="s">
        <v>5692</v>
      </c>
      <c r="W37" s="1219" t="s">
        <v>5691</v>
      </c>
      <c r="X37" s="1219" t="s">
        <v>6049</v>
      </c>
      <c r="Y37" s="1219" t="s">
        <v>5587</v>
      </c>
      <c r="Z37" s="1219" t="s">
        <v>5586</v>
      </c>
      <c r="AA37" s="1219" t="s">
        <v>5887</v>
      </c>
      <c r="AB37" s="1219" t="s">
        <v>3352</v>
      </c>
      <c r="AC37" s="1219" t="s">
        <v>5539</v>
      </c>
      <c r="AD37" s="1219" t="s">
        <v>5538</v>
      </c>
      <c r="AE37" s="1219" t="s">
        <v>5842</v>
      </c>
      <c r="AF37" s="1219">
        <v>0</v>
      </c>
      <c r="AG37" s="1219">
        <v>0</v>
      </c>
      <c r="AH37" s="1219" t="str">
        <f>VLOOKUP($A37,'2018'!$A:$AT,20,FALSE)</f>
        <v>SCAL</v>
      </c>
      <c r="AI37" s="1219" t="str">
        <f>VLOOKUP($A37,'2018'!$A:$AT,21,FALSE)</f>
        <v>Group C (44-54)</v>
      </c>
      <c r="AJ37" s="1219" t="str">
        <f>VLOOKUP($A37,'2018'!$A:$AT,23,FALSE)</f>
        <v>Advantage</v>
      </c>
      <c r="AK37" s="1219" t="str">
        <f>VLOOKUP($A37,'2018'!$A:$AT,24,FALSE)</f>
        <v>No</v>
      </c>
      <c r="AL37" s="1219" t="str">
        <f>VLOOKUP($A37,'2018'!$A:$AT,41,FALSE)</f>
        <v>Region 1</v>
      </c>
      <c r="AM37" s="1219" t="str">
        <f>VLOOKUP($A37,'2018'!$A:$AT,42,FALSE)</f>
        <v>(10-24)</v>
      </c>
      <c r="AN37" s="1219" t="str">
        <f>VLOOKUP($A37,'2018'!$A:$AT,45,FALSE)</f>
        <v xml:space="preserve"> (2-49)</v>
      </c>
      <c r="AO37" s="1263" t="s">
        <v>3843</v>
      </c>
      <c r="AP37" s="1264">
        <v>42</v>
      </c>
    </row>
    <row r="38" spans="1:42">
      <c r="A38" s="1219" t="s">
        <v>1260</v>
      </c>
      <c r="B38" s="1219" t="s">
        <v>3845</v>
      </c>
      <c r="C38" s="1219" t="s">
        <v>3716</v>
      </c>
      <c r="D38" s="1219" t="s">
        <v>1260</v>
      </c>
      <c r="E38" s="1222">
        <v>0</v>
      </c>
      <c r="F38" s="1222" t="s">
        <v>5624</v>
      </c>
      <c r="G38" s="1222" t="s">
        <v>72</v>
      </c>
      <c r="H38" s="1221">
        <v>43101</v>
      </c>
      <c r="I38" s="1221"/>
      <c r="J38" s="1219" t="s">
        <v>5925</v>
      </c>
      <c r="K38" s="1219">
        <v>0</v>
      </c>
      <c r="L38" s="1219" t="s">
        <v>5926</v>
      </c>
      <c r="M38" s="1219" t="s">
        <v>476</v>
      </c>
      <c r="N38" s="1219">
        <v>94041</v>
      </c>
      <c r="O38" s="1220">
        <v>43101</v>
      </c>
      <c r="P38" s="1219" t="s">
        <v>2473</v>
      </c>
      <c r="Q38" s="1219" t="s">
        <v>2473</v>
      </c>
      <c r="R38" s="1219" t="s">
        <v>5624</v>
      </c>
      <c r="S38" s="1219" t="s">
        <v>5621</v>
      </c>
      <c r="T38" s="1219" t="s">
        <v>5690</v>
      </c>
      <c r="U38" s="1219" t="s">
        <v>6050</v>
      </c>
      <c r="V38" s="1219" t="s">
        <v>5689</v>
      </c>
      <c r="W38" s="1219" t="s">
        <v>5688</v>
      </c>
      <c r="X38" s="1219" t="s">
        <v>6051</v>
      </c>
      <c r="Y38" s="1219" t="s">
        <v>5658</v>
      </c>
      <c r="Z38" s="1219" t="s">
        <v>5657</v>
      </c>
      <c r="AA38" s="1219" t="s">
        <v>6052</v>
      </c>
      <c r="AB38" s="1219" t="s">
        <v>3542</v>
      </c>
      <c r="AC38" s="1219" t="s">
        <v>5687</v>
      </c>
      <c r="AD38" s="1219" t="s">
        <v>5686</v>
      </c>
      <c r="AE38" s="1219" t="s">
        <v>6053</v>
      </c>
      <c r="AF38" s="1219">
        <v>0</v>
      </c>
      <c r="AG38" s="1219">
        <v>0</v>
      </c>
      <c r="AH38" s="1219" t="str">
        <f>VLOOKUP($A38,'2018'!$A:$AT,20,FALSE)</f>
        <v>NCAL</v>
      </c>
      <c r="AI38" s="1219" t="str">
        <f>VLOOKUP($A38,'2018'!$A:$AT,21,FALSE)</f>
        <v>Group B (34-44)</v>
      </c>
      <c r="AJ38" s="1219" t="str">
        <f>VLOOKUP($A38,'2018'!$A:$AT,23,FALSE)</f>
        <v>Advantage</v>
      </c>
      <c r="AK38" s="1219" t="str">
        <f>VLOOKUP($A38,'2018'!$A:$AT,24,FALSE)</f>
        <v>No</v>
      </c>
      <c r="AL38" s="1219" t="str">
        <f>VLOOKUP($A38,'2018'!$A:$AT,41,FALSE)</f>
        <v>Region 3</v>
      </c>
      <c r="AM38" s="1219" t="str">
        <f>VLOOKUP($A38,'2018'!$A:$AT,42,FALSE)</f>
        <v>(50-99)</v>
      </c>
      <c r="AN38" s="1219" t="str">
        <f>VLOOKUP($A38,'2018'!$A:$AT,45,FALSE)</f>
        <v>(50-99)</v>
      </c>
      <c r="AO38" s="1263" t="s">
        <v>3846</v>
      </c>
      <c r="AP38" s="1264">
        <v>23</v>
      </c>
    </row>
    <row r="39" spans="1:42">
      <c r="A39" s="1219" t="s">
        <v>3619</v>
      </c>
      <c r="B39" s="1219" t="s">
        <v>4219</v>
      </c>
      <c r="C39" s="1219" t="s">
        <v>3619</v>
      </c>
      <c r="D39" s="1219" t="s">
        <v>3619</v>
      </c>
      <c r="E39" s="1222">
        <v>0</v>
      </c>
      <c r="F39" s="1222" t="s">
        <v>5624</v>
      </c>
      <c r="G39" s="1222" t="s">
        <v>72</v>
      </c>
      <c r="H39" s="1221">
        <v>43132</v>
      </c>
      <c r="I39" s="1221"/>
      <c r="J39" s="1219" t="s">
        <v>5927</v>
      </c>
      <c r="K39" s="1219">
        <v>0</v>
      </c>
      <c r="L39" s="1219" t="s">
        <v>5928</v>
      </c>
      <c r="M39" s="1219" t="s">
        <v>476</v>
      </c>
      <c r="N39" s="1219">
        <v>92618</v>
      </c>
      <c r="O39" s="1220">
        <v>43132</v>
      </c>
      <c r="P39" s="1219" t="s">
        <v>2473</v>
      </c>
      <c r="Q39" s="1219" t="s">
        <v>2473</v>
      </c>
      <c r="R39" s="1219" t="s">
        <v>5624</v>
      </c>
      <c r="S39" s="1219" t="s">
        <v>5685</v>
      </c>
      <c r="T39" s="1219" t="s">
        <v>5684</v>
      </c>
      <c r="U39" s="1219" t="s">
        <v>6054</v>
      </c>
      <c r="V39" s="1219" t="s">
        <v>5683</v>
      </c>
      <c r="W39" s="1219" t="s">
        <v>5682</v>
      </c>
      <c r="X39" s="1219" t="s">
        <v>6055</v>
      </c>
      <c r="Y39" s="1219" t="s">
        <v>5681</v>
      </c>
      <c r="Z39" s="1219" t="s">
        <v>5680</v>
      </c>
      <c r="AA39" s="1219" t="s">
        <v>6047</v>
      </c>
      <c r="AB39" s="1219" t="s">
        <v>3631</v>
      </c>
      <c r="AC39" s="1219" t="s">
        <v>5681</v>
      </c>
      <c r="AD39" s="1219" t="s">
        <v>5680</v>
      </c>
      <c r="AE39" s="1219" t="s">
        <v>6047</v>
      </c>
      <c r="AF39" s="1219">
        <v>0</v>
      </c>
      <c r="AG39" s="1219">
        <v>0</v>
      </c>
      <c r="AH39" s="1219" t="str">
        <f>VLOOKUP($A39,'2018'!$A:$AT,20,FALSE)</f>
        <v>SCAL</v>
      </c>
      <c r="AI39" s="1219" t="str">
        <f>VLOOKUP($A39,'2018'!$A:$AT,21,FALSE)</f>
        <v>Group D (54+)</v>
      </c>
      <c r="AJ39" s="1219" t="str">
        <f>VLOOKUP($A39,'2018'!$A:$AT,23,FALSE)</f>
        <v>Advantage</v>
      </c>
      <c r="AK39" s="1219" t="str">
        <f>VLOOKUP($A39,'2018'!$A:$AT,24,FALSE)</f>
        <v>No</v>
      </c>
      <c r="AL39" s="1219" t="str">
        <f>VLOOKUP($A39,'2018'!$A:$AT,41,FALSE)</f>
        <v>Region 3</v>
      </c>
      <c r="AM39" s="1219" t="str">
        <f>VLOOKUP($A39,'2018'!$A:$AT,42,FALSE)</f>
        <v>(2-9)</v>
      </c>
      <c r="AN39" s="1219" t="str">
        <f>VLOOKUP($A39,'2018'!$A:$AT,45,FALSE)</f>
        <v xml:space="preserve"> (2-49)</v>
      </c>
      <c r="AO39" s="1263" t="s">
        <v>4345</v>
      </c>
      <c r="AP39" s="1264">
        <v>52</v>
      </c>
    </row>
    <row r="40" spans="1:42">
      <c r="A40" s="1219" t="s">
        <v>1255</v>
      </c>
      <c r="B40" s="1219" t="s">
        <v>3848</v>
      </c>
      <c r="C40" s="1219" t="s">
        <v>1255</v>
      </c>
      <c r="D40" s="1219" t="s">
        <v>4062</v>
      </c>
      <c r="E40" s="1222">
        <v>0</v>
      </c>
      <c r="F40" s="1222" t="s">
        <v>3654</v>
      </c>
      <c r="G40" s="1222" t="s">
        <v>72</v>
      </c>
      <c r="H40" s="1221">
        <v>43101</v>
      </c>
      <c r="I40" s="1221"/>
      <c r="J40" s="1219" t="s">
        <v>6125</v>
      </c>
      <c r="K40" s="1219" t="s">
        <v>6126</v>
      </c>
      <c r="L40" s="1219" t="s">
        <v>6127</v>
      </c>
      <c r="M40" s="1219" t="s">
        <v>476</v>
      </c>
      <c r="N40" s="1219">
        <v>94010</v>
      </c>
      <c r="O40" s="1220">
        <v>43101</v>
      </c>
      <c r="P40" s="1219" t="s">
        <v>2473</v>
      </c>
      <c r="Q40" s="1219" t="s">
        <v>2473</v>
      </c>
      <c r="R40" s="1219" t="s">
        <v>3654</v>
      </c>
      <c r="S40" s="1219" t="s">
        <v>5679</v>
      </c>
      <c r="T40" s="1219" t="s">
        <v>5678</v>
      </c>
      <c r="U40" s="1219" t="s">
        <v>6056</v>
      </c>
      <c r="V40" s="1219" t="s">
        <v>5679</v>
      </c>
      <c r="W40" s="1219" t="s">
        <v>5678</v>
      </c>
      <c r="X40" s="1219" t="s">
        <v>6056</v>
      </c>
      <c r="Y40" s="1219" t="s">
        <v>5523</v>
      </c>
      <c r="Z40" s="1219" t="s">
        <v>5522</v>
      </c>
      <c r="AA40" s="1219" t="s">
        <v>5995</v>
      </c>
      <c r="AB40" s="1219" t="s">
        <v>3464</v>
      </c>
      <c r="AC40" s="1219" t="s">
        <v>5521</v>
      </c>
      <c r="AD40" s="1219" t="s">
        <v>5520</v>
      </c>
      <c r="AE40" s="1219" t="s">
        <v>5996</v>
      </c>
      <c r="AF40" s="1219">
        <v>0</v>
      </c>
      <c r="AG40" s="1219">
        <v>0</v>
      </c>
      <c r="AH40" s="1219" t="str">
        <f>VLOOKUP($A40,'2018'!$A:$AT,20,FALSE)</f>
        <v>NCAL</v>
      </c>
      <c r="AI40" s="1219" t="str">
        <f>VLOOKUP($A40,'2018'!$A:$AT,21,FALSE)</f>
        <v>Group C (44-54)</v>
      </c>
      <c r="AJ40" s="1219" t="str">
        <f>VLOOKUP($A40,'2018'!$A:$AT,23,FALSE)</f>
        <v>Advantage</v>
      </c>
      <c r="AK40" s="1219" t="str">
        <f>VLOOKUP($A40,'2018'!$A:$AT,24,FALSE)</f>
        <v>No</v>
      </c>
      <c r="AL40" s="1219" t="str">
        <f>VLOOKUP($A40,'2018'!$A:$AT,41,FALSE)</f>
        <v>Region 3</v>
      </c>
      <c r="AM40" s="1219" t="str">
        <f>VLOOKUP($A40,'2018'!$A:$AT,42,FALSE)</f>
        <v>(2-9)</v>
      </c>
      <c r="AN40" s="1219" t="str">
        <f>VLOOKUP($A40,'2018'!$A:$AT,45,FALSE)</f>
        <v xml:space="preserve"> (2-49)</v>
      </c>
      <c r="AO40" s="1263" t="s">
        <v>3849</v>
      </c>
      <c r="AP40" s="1264">
        <v>38</v>
      </c>
    </row>
    <row r="41" spans="1:42" ht="15.75" customHeight="1">
      <c r="A41" s="1219" t="s">
        <v>394</v>
      </c>
      <c r="B41" s="1219" t="s">
        <v>3853</v>
      </c>
      <c r="C41" s="1219" t="s">
        <v>394</v>
      </c>
      <c r="D41" s="1219" t="s">
        <v>3853</v>
      </c>
      <c r="E41" s="1222">
        <v>0</v>
      </c>
      <c r="F41" s="1222" t="s">
        <v>3653</v>
      </c>
      <c r="G41" s="1222" t="s">
        <v>5518</v>
      </c>
      <c r="H41" s="1221">
        <v>43101</v>
      </c>
      <c r="I41" s="1221"/>
      <c r="J41" s="1219" t="s">
        <v>6128</v>
      </c>
      <c r="K41" s="1219" t="s">
        <v>6129</v>
      </c>
      <c r="L41" s="1219" t="s">
        <v>5845</v>
      </c>
      <c r="M41" s="1219" t="s">
        <v>476</v>
      </c>
      <c r="N41" s="1219">
        <v>92008</v>
      </c>
      <c r="O41" s="1220">
        <v>43101</v>
      </c>
      <c r="P41" s="1219" t="s">
        <v>2473</v>
      </c>
      <c r="Q41" s="1219" t="s">
        <v>2473</v>
      </c>
      <c r="R41" s="1219" t="s">
        <v>4661</v>
      </c>
      <c r="S41" s="1219" t="s">
        <v>5677</v>
      </c>
      <c r="T41" s="1219" t="s">
        <v>5676</v>
      </c>
      <c r="U41" s="1219" t="s">
        <v>6057</v>
      </c>
      <c r="V41" s="1219" t="s">
        <v>5675</v>
      </c>
      <c r="W41" s="1219" t="s">
        <v>5674</v>
      </c>
      <c r="X41" s="1219" t="s">
        <v>6058</v>
      </c>
      <c r="Y41" s="1219" t="s">
        <v>5529</v>
      </c>
      <c r="Z41" s="1219" t="s">
        <v>5528</v>
      </c>
      <c r="AA41" s="1219" t="s">
        <v>5929</v>
      </c>
      <c r="AB41" s="1219" t="s">
        <v>3176</v>
      </c>
      <c r="AC41" s="1219" t="s">
        <v>5539</v>
      </c>
      <c r="AD41" s="1219" t="s">
        <v>5538</v>
      </c>
      <c r="AE41" s="1219" t="s">
        <v>5842</v>
      </c>
      <c r="AF41" s="1219">
        <v>0</v>
      </c>
      <c r="AG41" s="1219">
        <v>0</v>
      </c>
      <c r="AH41" s="1219" t="str">
        <f>VLOOKUP($A41,'2018'!$A:$AT,20,FALSE)</f>
        <v>SCAL</v>
      </c>
      <c r="AI41" s="1219" t="str">
        <f>VLOOKUP($A41,'2018'!$A:$AT,21,FALSE)</f>
        <v>Group B (34-44)</v>
      </c>
      <c r="AJ41" s="1219" t="str">
        <f>VLOOKUP($A41,'2018'!$A:$AT,23,FALSE)</f>
        <v>Advantage</v>
      </c>
      <c r="AK41" s="1219" t="str">
        <f>VLOOKUP($A41,'2018'!$A:$AT,24,FALSE)</f>
        <v>No</v>
      </c>
      <c r="AL41" s="1219" t="str">
        <f>VLOOKUP($A41,'2018'!$A:$AT,41,FALSE)</f>
        <v>Region 1</v>
      </c>
      <c r="AM41" s="1219" t="str">
        <f>VLOOKUP($A41,'2018'!$A:$AT,42,FALSE)</f>
        <v>(50-99)</v>
      </c>
      <c r="AN41" s="1219" t="str">
        <f>VLOOKUP($A41,'2018'!$A:$AT,45,FALSE)</f>
        <v xml:space="preserve"> (50-99)</v>
      </c>
      <c r="AO41" s="1263" t="s">
        <v>3854</v>
      </c>
      <c r="AP41" s="1264">
        <v>30</v>
      </c>
    </row>
    <row r="42" spans="1:42">
      <c r="A42" s="1219" t="s">
        <v>141</v>
      </c>
      <c r="B42" s="1219" t="s">
        <v>3856</v>
      </c>
      <c r="C42" s="1219" t="s">
        <v>141</v>
      </c>
      <c r="D42" s="1219" t="s">
        <v>141</v>
      </c>
      <c r="E42" s="1222">
        <v>0</v>
      </c>
      <c r="F42" s="1222" t="s">
        <v>3653</v>
      </c>
      <c r="G42" s="1222" t="s">
        <v>5518</v>
      </c>
      <c r="H42" s="1221">
        <v>42826</v>
      </c>
      <c r="I42" s="1221"/>
      <c r="J42" s="1219" t="s">
        <v>6130</v>
      </c>
      <c r="K42" s="1219" t="s">
        <v>6131</v>
      </c>
      <c r="L42" s="1219" t="s">
        <v>6127</v>
      </c>
      <c r="M42" s="1219" t="s">
        <v>476</v>
      </c>
      <c r="N42" s="1219">
        <v>94010</v>
      </c>
      <c r="O42" s="1220">
        <v>43101</v>
      </c>
      <c r="P42" s="1219" t="s">
        <v>2474</v>
      </c>
      <c r="Q42" s="1219" t="s">
        <v>2474</v>
      </c>
      <c r="R42" s="1219" t="s">
        <v>4835</v>
      </c>
      <c r="S42" s="1219" t="s">
        <v>5673</v>
      </c>
      <c r="T42" s="1219" t="s">
        <v>5672</v>
      </c>
      <c r="U42" s="1219" t="s">
        <v>6059</v>
      </c>
      <c r="V42" s="1219" t="s">
        <v>5673</v>
      </c>
      <c r="W42" s="1219" t="s">
        <v>5672</v>
      </c>
      <c r="X42" s="1219" t="s">
        <v>6059</v>
      </c>
      <c r="Y42" s="1219" t="s">
        <v>5558</v>
      </c>
      <c r="Z42" s="1219" t="s">
        <v>5557</v>
      </c>
      <c r="AA42" s="1219" t="s">
        <v>5878</v>
      </c>
      <c r="AB42" s="1219" t="s">
        <v>5556</v>
      </c>
      <c r="AC42" s="1219" t="s">
        <v>5533</v>
      </c>
      <c r="AD42" s="1219" t="s">
        <v>4835</v>
      </c>
      <c r="AE42" s="1219" t="s">
        <v>5851</v>
      </c>
      <c r="AF42" s="1219">
        <v>0</v>
      </c>
      <c r="AG42" s="1219">
        <v>0</v>
      </c>
      <c r="AH42" s="1219" t="str">
        <f>VLOOKUP($A42,'2018'!$A:$AT,20,FALSE)</f>
        <v>NCAL</v>
      </c>
      <c r="AI42" s="1219" t="str">
        <f>VLOOKUP($A42,'2018'!$A:$AT,21,FALSE)</f>
        <v>Group B (34-44)</v>
      </c>
      <c r="AJ42" s="1219" t="str">
        <f>VLOOKUP($A42,'2018'!$A:$AT,23,FALSE)</f>
        <v>Advantage</v>
      </c>
      <c r="AK42" s="1219" t="str">
        <f>VLOOKUP($A42,'2018'!$A:$AT,24,FALSE)</f>
        <v>No</v>
      </c>
      <c r="AL42" s="1219" t="str">
        <f>VLOOKUP($A42,'2018'!$A:$AT,41,FALSE)</f>
        <v xml:space="preserve">Region 4 </v>
      </c>
      <c r="AM42" s="1219" t="str">
        <f>VLOOKUP($A42,'2018'!$A:$AT,42,FALSE)</f>
        <v>(2-9)</v>
      </c>
      <c r="AN42" s="1219" t="str">
        <f>VLOOKUP($A42,'2018'!$A:$AT,45,FALSE)</f>
        <v xml:space="preserve"> (2-49)</v>
      </c>
      <c r="AO42" s="1263" t="s">
        <v>3857</v>
      </c>
      <c r="AP42" s="1264">
        <v>3</v>
      </c>
    </row>
    <row r="43" spans="1:42">
      <c r="A43" s="1219" t="s">
        <v>142</v>
      </c>
      <c r="B43" s="1219" t="s">
        <v>3851</v>
      </c>
      <c r="C43" s="1219" t="e">
        <v>#N/A</v>
      </c>
      <c r="D43" s="1219" t="s">
        <v>6148</v>
      </c>
      <c r="E43" s="1222">
        <v>0</v>
      </c>
      <c r="F43" s="1222" t="s">
        <v>3653</v>
      </c>
      <c r="G43" s="1222" t="s">
        <v>5518</v>
      </c>
      <c r="H43" s="1221">
        <v>42736</v>
      </c>
      <c r="I43" s="1221"/>
      <c r="J43" s="1219" t="s">
        <v>5931</v>
      </c>
      <c r="K43" s="1219" t="s">
        <v>5932</v>
      </c>
      <c r="L43" s="1219" t="s">
        <v>5840</v>
      </c>
      <c r="M43" s="1219" t="s">
        <v>476</v>
      </c>
      <c r="N43" s="1219">
        <v>92037</v>
      </c>
      <c r="O43" s="1220">
        <v>43101</v>
      </c>
      <c r="P43" s="1219" t="s">
        <v>2474</v>
      </c>
      <c r="Q43" s="1219" t="s">
        <v>2474</v>
      </c>
      <c r="R43" s="1219" t="s">
        <v>4983</v>
      </c>
      <c r="S43" s="1219" t="s">
        <v>5533</v>
      </c>
      <c r="T43" s="1219" t="s">
        <v>5671</v>
      </c>
      <c r="U43" s="1219" t="s">
        <v>6060</v>
      </c>
      <c r="V43" s="1219" t="s">
        <v>5533</v>
      </c>
      <c r="W43" s="1219" t="s">
        <v>5671</v>
      </c>
      <c r="X43" s="1219" t="s">
        <v>6060</v>
      </c>
      <c r="Y43" s="1219" t="s">
        <v>5558</v>
      </c>
      <c r="Z43" s="1219" t="s">
        <v>5557</v>
      </c>
      <c r="AA43" s="1219" t="s">
        <v>5878</v>
      </c>
      <c r="AB43" s="1219" t="s">
        <v>5556</v>
      </c>
      <c r="AC43" s="1219" t="s">
        <v>5533</v>
      </c>
      <c r="AD43" s="1219" t="s">
        <v>4835</v>
      </c>
      <c r="AE43" s="1219" t="s">
        <v>5851</v>
      </c>
      <c r="AF43" s="1219">
        <v>0</v>
      </c>
      <c r="AG43" s="1219">
        <v>0</v>
      </c>
      <c r="AH43" s="1219" t="str">
        <f>VLOOKUP($A43,'2018'!$A:$AT,20,FALSE)</f>
        <v>SCAL</v>
      </c>
      <c r="AI43" s="1219" t="str">
        <f>VLOOKUP($A43,'2018'!$A:$AT,21,FALSE)</f>
        <v>Group D (54+)</v>
      </c>
      <c r="AJ43" s="1219" t="str">
        <f>VLOOKUP($A43,'2018'!$A:$AT,23,FALSE)</f>
        <v>Advantage</v>
      </c>
      <c r="AK43" s="1219" t="str">
        <f>VLOOKUP($A43,'2018'!$A:$AT,24,FALSE)</f>
        <v>No</v>
      </c>
      <c r="AL43" s="1219" t="str">
        <f>VLOOKUP($A43,'2018'!$A:$AT,41,FALSE)</f>
        <v>N/A</v>
      </c>
      <c r="AM43" s="1219" t="str">
        <f>VLOOKUP($A43,'2018'!$A:$AT,42,FALSE)</f>
        <v>N/A</v>
      </c>
      <c r="AN43" s="1219" t="str">
        <f>VLOOKUP($A43,'2018'!$A:$AT,45,FALSE)</f>
        <v>N/A</v>
      </c>
      <c r="AO43" s="1263" t="s">
        <v>4138</v>
      </c>
      <c r="AP43" s="1264" t="e">
        <v>#N/A</v>
      </c>
    </row>
    <row r="44" spans="1:42">
      <c r="A44" s="1219" t="s">
        <v>262</v>
      </c>
      <c r="B44" s="1219" t="s">
        <v>3860</v>
      </c>
      <c r="C44" s="1219" t="s">
        <v>3701</v>
      </c>
      <c r="D44" s="1219" t="s">
        <v>262</v>
      </c>
      <c r="E44" s="1222">
        <v>0</v>
      </c>
      <c r="F44" s="1222" t="s">
        <v>3653</v>
      </c>
      <c r="G44" s="1222" t="s">
        <v>5518</v>
      </c>
      <c r="H44" s="1221">
        <v>42979</v>
      </c>
      <c r="I44" s="1221"/>
      <c r="J44" s="1219" t="s">
        <v>5933</v>
      </c>
      <c r="K44" s="1219" t="s">
        <v>5981</v>
      </c>
      <c r="L44" s="1219" t="s">
        <v>5868</v>
      </c>
      <c r="M44" s="1219" t="s">
        <v>476</v>
      </c>
      <c r="N44" s="1219">
        <v>92121</v>
      </c>
      <c r="O44" s="1220">
        <v>43101</v>
      </c>
      <c r="P44" s="1219" t="s">
        <v>2474</v>
      </c>
      <c r="Q44" s="1219" t="s">
        <v>2473</v>
      </c>
      <c r="R44" s="1219" t="s">
        <v>4983</v>
      </c>
      <c r="S44" s="1219" t="s">
        <v>5670</v>
      </c>
      <c r="T44" s="1219" t="s">
        <v>5669</v>
      </c>
      <c r="U44" s="1219" t="s">
        <v>6061</v>
      </c>
      <c r="V44" s="1219" t="s">
        <v>5668</v>
      </c>
      <c r="W44" s="1219" t="s">
        <v>5667</v>
      </c>
      <c r="X44" s="1219" t="s">
        <v>6062</v>
      </c>
      <c r="Y44" s="1219" t="s">
        <v>5558</v>
      </c>
      <c r="Z44" s="1219" t="s">
        <v>5557</v>
      </c>
      <c r="AA44" s="1219" t="s">
        <v>5878</v>
      </c>
      <c r="AB44" s="1219" t="s">
        <v>5556</v>
      </c>
      <c r="AC44" s="1219" t="s">
        <v>5533</v>
      </c>
      <c r="AD44" s="1219" t="s">
        <v>4835</v>
      </c>
      <c r="AE44" s="1219" t="s">
        <v>5851</v>
      </c>
      <c r="AF44" s="1219">
        <v>0</v>
      </c>
      <c r="AG44" s="1219">
        <v>0</v>
      </c>
      <c r="AH44" s="1219" t="str">
        <f>VLOOKUP($A44,'2018'!$A:$AT,20,FALSE)</f>
        <v>SCAL</v>
      </c>
      <c r="AI44" s="1219" t="str">
        <f>VLOOKUP($A44,'2018'!$A:$AT,21,FALSE)</f>
        <v>Group C (44-54)</v>
      </c>
      <c r="AJ44" s="1219" t="str">
        <f>VLOOKUP($A44,'2018'!$A:$AT,23,FALSE)</f>
        <v>Advantage</v>
      </c>
      <c r="AK44" s="1219" t="str">
        <f>VLOOKUP($A44,'2018'!$A:$AT,24,FALSE)</f>
        <v>No</v>
      </c>
      <c r="AL44" s="1219" t="str">
        <f>VLOOKUP($A44,'2018'!$A:$AT,41,FALSE)</f>
        <v>Region 2</v>
      </c>
      <c r="AM44" s="1219" t="str">
        <f>VLOOKUP($A44,'2018'!$A:$AT,42,FALSE)</f>
        <v>(2-9)</v>
      </c>
      <c r="AN44" s="1219" t="str">
        <f>VLOOKUP($A44,'2018'!$A:$AT,45,FALSE)</f>
        <v xml:space="preserve"> (2-49)</v>
      </c>
      <c r="AO44" s="1263" t="s">
        <v>3861</v>
      </c>
      <c r="AP44" s="1264">
        <v>8</v>
      </c>
    </row>
    <row r="45" spans="1:42" ht="15.75" customHeight="1">
      <c r="A45" s="1219" t="s">
        <v>4489</v>
      </c>
      <c r="B45" s="1219" t="s">
        <v>5492</v>
      </c>
      <c r="C45" s="1219" t="e">
        <v>#N/A</v>
      </c>
      <c r="D45" s="1219" t="s">
        <v>6149</v>
      </c>
      <c r="E45" s="1222">
        <v>0</v>
      </c>
      <c r="F45" s="1222" t="s">
        <v>3654</v>
      </c>
      <c r="G45" s="1222" t="s">
        <v>72</v>
      </c>
      <c r="H45" s="1221">
        <v>43252</v>
      </c>
      <c r="I45" s="1221"/>
      <c r="J45" s="1219" t="s">
        <v>6132</v>
      </c>
      <c r="K45" s="1219" t="s">
        <v>5916</v>
      </c>
      <c r="L45" s="1219" t="s">
        <v>5907</v>
      </c>
      <c r="M45" s="1219" t="s">
        <v>476</v>
      </c>
      <c r="N45" s="1219">
        <v>94080</v>
      </c>
      <c r="O45" s="1220">
        <v>43252</v>
      </c>
      <c r="P45" s="1219" t="s">
        <v>2473</v>
      </c>
      <c r="Q45" s="1219" t="s">
        <v>2473</v>
      </c>
      <c r="R45" s="1219" t="s">
        <v>3654</v>
      </c>
      <c r="S45" s="1219" t="s">
        <v>5666</v>
      </c>
      <c r="T45" s="1219" t="s">
        <v>5665</v>
      </c>
      <c r="U45" s="1219" t="s">
        <v>6063</v>
      </c>
      <c r="V45" s="1219" t="s">
        <v>5664</v>
      </c>
      <c r="W45" s="1219" t="s">
        <v>5663</v>
      </c>
      <c r="X45" s="1219" t="s">
        <v>6064</v>
      </c>
      <c r="Y45" s="1219" t="s">
        <v>5523</v>
      </c>
      <c r="Z45" s="1219" t="s">
        <v>5522</v>
      </c>
      <c r="AA45" s="1219" t="s">
        <v>5995</v>
      </c>
      <c r="AB45" s="1219" t="s">
        <v>3464</v>
      </c>
      <c r="AC45" s="1219" t="s">
        <v>5521</v>
      </c>
      <c r="AD45" s="1219" t="s">
        <v>5520</v>
      </c>
      <c r="AE45" s="1219" t="s">
        <v>5996</v>
      </c>
      <c r="AF45" s="1219">
        <v>0</v>
      </c>
      <c r="AG45" s="1219">
        <v>0</v>
      </c>
      <c r="AH45" s="1219" t="str">
        <f>VLOOKUP($A45,'2018'!$A:$AT,20,FALSE)</f>
        <v>NCAL</v>
      </c>
      <c r="AI45" s="1219" t="str">
        <f>VLOOKUP($A45,'2018'!$A:$AT,21,FALSE)</f>
        <v>Group C (44-54)</v>
      </c>
      <c r="AJ45" s="1219" t="str">
        <f>VLOOKUP($A45,'2018'!$A:$AT,23,FALSE)</f>
        <v>Advantage</v>
      </c>
      <c r="AK45" s="1219" t="str">
        <f>VLOOKUP($A45,'2018'!$A:$AT,24,FALSE)</f>
        <v>No</v>
      </c>
      <c r="AL45" s="1219" t="str">
        <f>VLOOKUP($A45,'2018'!$A:$AT,41,FALSE)</f>
        <v>Region 3</v>
      </c>
      <c r="AM45" s="1219" t="str">
        <f>VLOOKUP($A45,'2018'!$A:$AT,42,FALSE)</f>
        <v>(10-24)</v>
      </c>
      <c r="AN45" s="1219" t="str">
        <f>VLOOKUP($A45,'2018'!$A:$AT,45,FALSE)</f>
        <v xml:space="preserve"> (2-49)</v>
      </c>
      <c r="AO45" s="1263" t="s">
        <v>4357</v>
      </c>
      <c r="AP45" s="1264" t="e">
        <v>#N/A</v>
      </c>
    </row>
    <row r="46" spans="1:42">
      <c r="A46" s="1219" t="s">
        <v>424</v>
      </c>
      <c r="B46" s="1219" t="s">
        <v>3863</v>
      </c>
      <c r="C46" s="1219" t="s">
        <v>424</v>
      </c>
      <c r="D46" s="1219" t="s">
        <v>424</v>
      </c>
      <c r="E46" s="1222">
        <v>0</v>
      </c>
      <c r="F46" s="1222" t="s">
        <v>5624</v>
      </c>
      <c r="G46" s="1222" t="s">
        <v>72</v>
      </c>
      <c r="H46" s="1221">
        <v>43101</v>
      </c>
      <c r="I46" s="1221"/>
      <c r="J46" s="1219" t="s">
        <v>5934</v>
      </c>
      <c r="K46" s="1219">
        <v>0</v>
      </c>
      <c r="L46" s="1219" t="s">
        <v>5848</v>
      </c>
      <c r="M46" s="1219" t="s">
        <v>476</v>
      </c>
      <c r="N46" s="1219">
        <v>94304</v>
      </c>
      <c r="O46" s="1220">
        <v>43101</v>
      </c>
      <c r="P46" s="1219" t="s">
        <v>2473</v>
      </c>
      <c r="Q46" s="1219" t="s">
        <v>2473</v>
      </c>
      <c r="R46" s="1219" t="s">
        <v>5624</v>
      </c>
      <c r="S46" s="1219" t="s">
        <v>5662</v>
      </c>
      <c r="T46" s="1219" t="s">
        <v>5661</v>
      </c>
      <c r="U46" s="1219" t="s">
        <v>6065</v>
      </c>
      <c r="V46" s="1219" t="s">
        <v>5660</v>
      </c>
      <c r="W46" s="1219" t="s">
        <v>5659</v>
      </c>
      <c r="X46" s="1219" t="s">
        <v>6066</v>
      </c>
      <c r="Y46" s="1219" t="s">
        <v>5658</v>
      </c>
      <c r="Z46" s="1219" t="s">
        <v>5657</v>
      </c>
      <c r="AA46" s="1219" t="s">
        <v>6052</v>
      </c>
      <c r="AB46" s="1219" t="s">
        <v>3542</v>
      </c>
      <c r="AC46" s="1219" t="s">
        <v>5628</v>
      </c>
      <c r="AD46" s="1219" t="s">
        <v>5627</v>
      </c>
      <c r="AE46" s="1219" t="s">
        <v>6067</v>
      </c>
      <c r="AF46" s="1219">
        <v>0</v>
      </c>
      <c r="AG46" s="1219">
        <v>0</v>
      </c>
      <c r="AH46" s="1219" t="str">
        <f>VLOOKUP($A46,'2018'!$A:$AT,20,FALSE)</f>
        <v>NCAL</v>
      </c>
      <c r="AI46" s="1219" t="str">
        <f>VLOOKUP($A46,'2018'!$A:$AT,21,FALSE)</f>
        <v>Group B (34-44)</v>
      </c>
      <c r="AJ46" s="1219" t="str">
        <f>VLOOKUP($A46,'2018'!$A:$AT,23,FALSE)</f>
        <v>Advantage</v>
      </c>
      <c r="AK46" s="1219" t="str">
        <f>VLOOKUP($A46,'2018'!$A:$AT,24,FALSE)</f>
        <v>No</v>
      </c>
      <c r="AL46" s="1219" t="str">
        <f>VLOOKUP($A46,'2018'!$A:$AT,41,FALSE)</f>
        <v>Region 5</v>
      </c>
      <c r="AM46" s="1219" t="str">
        <f>VLOOKUP($A46,'2018'!$A:$AT,42,FALSE)</f>
        <v>(10-24)</v>
      </c>
      <c r="AN46" s="1219" t="str">
        <f>VLOOKUP($A46,'2018'!$A:$AT,45,FALSE)</f>
        <v xml:space="preserve"> (2-49)</v>
      </c>
      <c r="AO46" s="1263" t="s">
        <v>3864</v>
      </c>
      <c r="AP46" s="1264">
        <v>11</v>
      </c>
    </row>
    <row r="47" spans="1:42">
      <c r="A47" s="1219" t="s">
        <v>3745</v>
      </c>
      <c r="B47" s="1219" t="s">
        <v>3866</v>
      </c>
      <c r="C47" s="1219" t="s">
        <v>3745</v>
      </c>
      <c r="D47" s="1219" t="s">
        <v>3745</v>
      </c>
      <c r="E47" s="1222" t="s">
        <v>5656</v>
      </c>
      <c r="F47" s="1222" t="s">
        <v>3653</v>
      </c>
      <c r="G47" s="1222" t="s">
        <v>5518</v>
      </c>
      <c r="H47" s="1221">
        <v>43101</v>
      </c>
      <c r="I47" s="1221"/>
      <c r="J47" s="1219" t="s">
        <v>5935</v>
      </c>
      <c r="K47" s="1219">
        <v>0</v>
      </c>
      <c r="L47" s="1219" t="s">
        <v>5936</v>
      </c>
      <c r="M47" s="1219" t="s">
        <v>476</v>
      </c>
      <c r="N47" s="1219">
        <v>92780</v>
      </c>
      <c r="O47" s="1220">
        <v>43101</v>
      </c>
      <c r="P47" s="1219" t="s">
        <v>2473</v>
      </c>
      <c r="Q47" s="1219" t="s">
        <v>2473</v>
      </c>
      <c r="R47" s="1219" t="s">
        <v>4661</v>
      </c>
      <c r="S47" s="1219" t="s">
        <v>5595</v>
      </c>
      <c r="T47" s="1219" t="s">
        <v>5655</v>
      </c>
      <c r="U47" s="1219" t="s">
        <v>6068</v>
      </c>
      <c r="V47" s="1219" t="s">
        <v>5654</v>
      </c>
      <c r="W47" s="1219" t="s">
        <v>5653</v>
      </c>
      <c r="X47" s="1219" t="s">
        <v>6069</v>
      </c>
      <c r="Y47" s="1219" t="s">
        <v>5529</v>
      </c>
      <c r="Z47" s="1219" t="s">
        <v>5528</v>
      </c>
      <c r="AA47" s="1219" t="s">
        <v>5929</v>
      </c>
      <c r="AB47" s="1219" t="s">
        <v>3176</v>
      </c>
      <c r="AC47" s="1219" t="s">
        <v>5539</v>
      </c>
      <c r="AD47" s="1219" t="s">
        <v>5538</v>
      </c>
      <c r="AE47" s="1219" t="s">
        <v>5842</v>
      </c>
      <c r="AF47" s="1219">
        <v>0</v>
      </c>
      <c r="AG47" s="1219">
        <v>0</v>
      </c>
      <c r="AH47" s="1219" t="str">
        <f>VLOOKUP($A47,'2018'!$A:$AT,20,FALSE)</f>
        <v>SCAL</v>
      </c>
      <c r="AI47" s="1219" t="str">
        <f>VLOOKUP($A47,'2018'!$A:$AT,21,FALSE)</f>
        <v>Group C (44-54)</v>
      </c>
      <c r="AJ47" s="1219" t="str">
        <f>VLOOKUP($A47,'2018'!$A:$AT,23,FALSE)</f>
        <v>Advantage</v>
      </c>
      <c r="AK47" s="1219" t="str">
        <f>VLOOKUP($A47,'2018'!$A:$AT,24,FALSE)</f>
        <v>No</v>
      </c>
      <c r="AL47" s="1219" t="str">
        <f>VLOOKUP($A47,'2018'!$A:$AT,41,FALSE)</f>
        <v>Region 3</v>
      </c>
      <c r="AM47" s="1219" t="str">
        <f>VLOOKUP($A47,'2018'!$A:$AT,42,FALSE)</f>
        <v>(50-99)</v>
      </c>
      <c r="AN47" s="1219" t="str">
        <f>VLOOKUP($A47,'2018'!$A:$AT,45,FALSE)</f>
        <v>(50-99)</v>
      </c>
      <c r="AO47" s="1263" t="s">
        <v>3867</v>
      </c>
      <c r="AP47" s="1264">
        <v>34</v>
      </c>
    </row>
    <row r="48" spans="1:42">
      <c r="A48" s="1219" t="s">
        <v>358</v>
      </c>
      <c r="B48" s="1219" t="s">
        <v>3706</v>
      </c>
      <c r="C48" s="1219" t="s">
        <v>3706</v>
      </c>
      <c r="D48" s="1219" t="s">
        <v>3706</v>
      </c>
      <c r="E48" s="1222">
        <v>0</v>
      </c>
      <c r="F48" s="1222" t="s">
        <v>3653</v>
      </c>
      <c r="G48" s="1222" t="s">
        <v>5590</v>
      </c>
      <c r="H48" s="1221">
        <v>43101</v>
      </c>
      <c r="I48" s="1221"/>
      <c r="J48" s="1219" t="s">
        <v>5937</v>
      </c>
      <c r="K48" s="1219" t="s">
        <v>5938</v>
      </c>
      <c r="L48" s="1219" t="s">
        <v>5868</v>
      </c>
      <c r="M48" s="1219" t="s">
        <v>476</v>
      </c>
      <c r="N48" s="1219">
        <v>92121</v>
      </c>
      <c r="O48" s="1220">
        <v>43101</v>
      </c>
      <c r="P48" s="1219" t="s">
        <v>2473</v>
      </c>
      <c r="Q48" s="1219" t="s">
        <v>2473</v>
      </c>
      <c r="R48" s="1219" t="s">
        <v>4661</v>
      </c>
      <c r="S48" s="1219" t="s">
        <v>5652</v>
      </c>
      <c r="T48" s="1219" t="s">
        <v>5651</v>
      </c>
      <c r="U48" s="1219" t="s">
        <v>6070</v>
      </c>
      <c r="V48" s="1219" t="s">
        <v>5652</v>
      </c>
      <c r="W48" s="1219" t="s">
        <v>5651</v>
      </c>
      <c r="X48" s="1219" t="s">
        <v>6070</v>
      </c>
      <c r="Y48" s="1219" t="s">
        <v>5587</v>
      </c>
      <c r="Z48" s="1219" t="s">
        <v>5586</v>
      </c>
      <c r="AA48" s="1219" t="s">
        <v>5887</v>
      </c>
      <c r="AB48" s="1219" t="s">
        <v>3352</v>
      </c>
      <c r="AC48" s="1219" t="s">
        <v>5539</v>
      </c>
      <c r="AD48" s="1219" t="s">
        <v>5538</v>
      </c>
      <c r="AE48" s="1219" t="s">
        <v>5842</v>
      </c>
      <c r="AF48" s="1219">
        <v>0</v>
      </c>
      <c r="AG48" s="1219">
        <v>0</v>
      </c>
      <c r="AH48" s="1219" t="str">
        <f>VLOOKUP($A48,'2018'!$A:$AT,20,FALSE)</f>
        <v>SCAL</v>
      </c>
      <c r="AI48" s="1219" t="str">
        <f>VLOOKUP($A48,'2018'!$A:$AT,21,FALSE)</f>
        <v>Group B (34-44)</v>
      </c>
      <c r="AJ48" s="1219" t="str">
        <f>VLOOKUP($A48,'2018'!$A:$AT,23,FALSE)</f>
        <v>Advantage</v>
      </c>
      <c r="AK48" s="1219" t="str">
        <f>VLOOKUP($A48,'2018'!$A:$AT,24,FALSE)</f>
        <v>No</v>
      </c>
      <c r="AL48" s="1219" t="str">
        <f>VLOOKUP($A48,'2018'!$A:$AT,41,FALSE)</f>
        <v>Region 2</v>
      </c>
      <c r="AM48" s="1219" t="str">
        <f>VLOOKUP($A48,'2018'!$A:$AT,42,FALSE)</f>
        <v>(10-24)</v>
      </c>
      <c r="AN48" s="1219" t="str">
        <f>VLOOKUP($A48,'2018'!$A:$AT,45,FALSE)</f>
        <v xml:space="preserve"> (2-49)</v>
      </c>
      <c r="AO48" s="1263" t="s">
        <v>3870</v>
      </c>
      <c r="AP48" s="1264">
        <v>13</v>
      </c>
    </row>
    <row r="49" spans="1:42" ht="15.75" customHeight="1">
      <c r="A49" s="1219" t="s">
        <v>4072</v>
      </c>
      <c r="B49" s="1219" t="s">
        <v>3876</v>
      </c>
      <c r="C49" s="1219" t="s">
        <v>3747</v>
      </c>
      <c r="D49" s="1219" t="s">
        <v>4072</v>
      </c>
      <c r="E49" s="1222" t="s">
        <v>145</v>
      </c>
      <c r="F49" s="1222" t="s">
        <v>3653</v>
      </c>
      <c r="G49" s="1222" t="s">
        <v>5518</v>
      </c>
      <c r="H49" s="1221">
        <v>42705</v>
      </c>
      <c r="I49" s="1221"/>
      <c r="J49" s="1219" t="s">
        <v>5939</v>
      </c>
      <c r="K49" s="1219" t="s">
        <v>5940</v>
      </c>
      <c r="L49" s="1219" t="s">
        <v>5941</v>
      </c>
      <c r="M49" s="1219" t="s">
        <v>476</v>
      </c>
      <c r="N49" s="1219">
        <v>92024</v>
      </c>
      <c r="O49" s="1220">
        <v>43101</v>
      </c>
      <c r="P49" s="1219" t="s">
        <v>2474</v>
      </c>
      <c r="Q49" s="1219" t="s">
        <v>2474</v>
      </c>
      <c r="R49" s="1219" t="s">
        <v>4835</v>
      </c>
      <c r="S49" s="1219" t="s">
        <v>5650</v>
      </c>
      <c r="T49" s="1219" t="s">
        <v>5649</v>
      </c>
      <c r="U49" s="1219" t="s">
        <v>6071</v>
      </c>
      <c r="V49" s="1219" t="s">
        <v>5650</v>
      </c>
      <c r="W49" s="1219" t="s">
        <v>5649</v>
      </c>
      <c r="X49" s="1219" t="s">
        <v>6071</v>
      </c>
      <c r="Y49" s="1219" t="s">
        <v>5648</v>
      </c>
      <c r="Z49" s="1219" t="s">
        <v>5647</v>
      </c>
      <c r="AA49" s="1219" t="s">
        <v>5914</v>
      </c>
      <c r="AB49" s="1219" t="s">
        <v>5646</v>
      </c>
      <c r="AC49" s="1219" t="s">
        <v>5533</v>
      </c>
      <c r="AD49" s="1219" t="s">
        <v>4835</v>
      </c>
      <c r="AE49" s="1219" t="s">
        <v>5851</v>
      </c>
      <c r="AF49" s="1219">
        <v>0</v>
      </c>
      <c r="AG49" s="1219">
        <v>0</v>
      </c>
      <c r="AH49" s="1219" t="str">
        <f>VLOOKUP($A49,'2018'!$A:$AT,20,FALSE)</f>
        <v>SCAL</v>
      </c>
      <c r="AI49" s="1219" t="str">
        <f>VLOOKUP($A49,'2018'!$A:$AT,21,FALSE)</f>
        <v>Group B (34-44)</v>
      </c>
      <c r="AJ49" s="1219" t="str">
        <f>VLOOKUP($A49,'2018'!$A:$AT,23,FALSE)</f>
        <v>Advantage</v>
      </c>
      <c r="AK49" s="1219" t="str">
        <f>VLOOKUP($A49,'2018'!$A:$AT,24,FALSE)</f>
        <v>No</v>
      </c>
      <c r="AL49" s="1219" t="str">
        <f>VLOOKUP($A49,'2018'!$A:$AT,41,FALSE)</f>
        <v>Region 2</v>
      </c>
      <c r="AM49" s="1219" t="str">
        <f>VLOOKUP($A49,'2018'!$A:$AT,42,FALSE)</f>
        <v>(25-49)</v>
      </c>
      <c r="AN49" s="1219" t="str">
        <f>VLOOKUP($A49,'2018'!$A:$AT,45,FALSE)</f>
        <v xml:space="preserve"> (2-49)</v>
      </c>
      <c r="AO49" s="1263" t="s">
        <v>3877</v>
      </c>
      <c r="AP49" s="1264">
        <v>35</v>
      </c>
    </row>
    <row r="50" spans="1:42">
      <c r="A50" s="1219" t="s">
        <v>347</v>
      </c>
      <c r="B50" s="1219" t="s">
        <v>3878</v>
      </c>
      <c r="C50" s="1219" t="s">
        <v>347</v>
      </c>
      <c r="D50" s="1219" t="s">
        <v>6150</v>
      </c>
      <c r="E50" s="1222">
        <v>0</v>
      </c>
      <c r="F50" s="1222" t="s">
        <v>3653</v>
      </c>
      <c r="G50" s="1222" t="s">
        <v>5518</v>
      </c>
      <c r="H50" s="1221">
        <v>43009</v>
      </c>
      <c r="I50" s="1221"/>
      <c r="J50" s="1219" t="s">
        <v>6133</v>
      </c>
      <c r="K50" s="1219" t="s">
        <v>5981</v>
      </c>
      <c r="L50" s="1219" t="s">
        <v>5868</v>
      </c>
      <c r="M50" s="1219" t="s">
        <v>476</v>
      </c>
      <c r="N50" s="1219">
        <v>92121</v>
      </c>
      <c r="O50" s="1220">
        <v>43009</v>
      </c>
      <c r="P50" s="1219" t="s">
        <v>2473</v>
      </c>
      <c r="Q50" s="1219" t="s">
        <v>2473</v>
      </c>
      <c r="R50" s="1219" t="s">
        <v>4661</v>
      </c>
      <c r="S50" s="1219" t="s">
        <v>5632</v>
      </c>
      <c r="T50" s="1219" t="s">
        <v>5622</v>
      </c>
      <c r="U50" s="1219" t="s">
        <v>6072</v>
      </c>
      <c r="V50" s="1219" t="s">
        <v>5632</v>
      </c>
      <c r="W50" s="1219" t="s">
        <v>5622</v>
      </c>
      <c r="X50" s="1219" t="s">
        <v>6072</v>
      </c>
      <c r="Y50" s="1219" t="s">
        <v>5584</v>
      </c>
      <c r="Z50" s="1219" t="s">
        <v>5583</v>
      </c>
      <c r="AA50" s="1219" t="s">
        <v>5873</v>
      </c>
      <c r="AB50" s="1219" t="s">
        <v>3243</v>
      </c>
      <c r="AC50" s="1219" t="s">
        <v>5582</v>
      </c>
      <c r="AD50" s="1219" t="s">
        <v>5581</v>
      </c>
      <c r="AE50" s="1219" t="s">
        <v>5874</v>
      </c>
      <c r="AF50" s="1219">
        <v>0</v>
      </c>
      <c r="AG50" s="1219">
        <v>0</v>
      </c>
      <c r="AH50" s="1219" t="str">
        <f>VLOOKUP($A50,'2018'!$A:$AT,20,FALSE)</f>
        <v>SCAL</v>
      </c>
      <c r="AI50" s="1219" t="str">
        <f>VLOOKUP($A50,'2018'!$A:$AT,21,FALSE)</f>
        <v>Group B (34-44)</v>
      </c>
      <c r="AJ50" s="1219" t="str">
        <f>VLOOKUP($A50,'2018'!$A:$AT,23,FALSE)</f>
        <v>Advantage</v>
      </c>
      <c r="AK50" s="1219" t="str">
        <f>VLOOKUP($A50,'2018'!$A:$AT,24,FALSE)</f>
        <v>No</v>
      </c>
      <c r="AL50" s="1219" t="str">
        <f>VLOOKUP($A50,'2018'!$A:$AT,41,FALSE)</f>
        <v>Region 2</v>
      </c>
      <c r="AM50" s="1219" t="str">
        <f>VLOOKUP($A50,'2018'!$A:$AT,42,FALSE)</f>
        <v>(2-9)</v>
      </c>
      <c r="AN50" s="1219" t="str">
        <f>VLOOKUP($A50,'2018'!$A:$AT,45,FALSE)</f>
        <v xml:space="preserve"> (2-49)</v>
      </c>
      <c r="AO50" s="1263" t="s">
        <v>4134</v>
      </c>
      <c r="AP50" s="1264">
        <v>10</v>
      </c>
    </row>
    <row r="51" spans="1:42">
      <c r="A51" s="1219" t="s">
        <v>149</v>
      </c>
      <c r="B51" s="1219" t="s">
        <v>3880</v>
      </c>
      <c r="C51" s="1219" t="s">
        <v>4073</v>
      </c>
      <c r="D51" s="1219" t="s">
        <v>4073</v>
      </c>
      <c r="E51" s="1222">
        <v>0</v>
      </c>
      <c r="F51" s="1222" t="s">
        <v>3654</v>
      </c>
      <c r="G51" s="1222" t="s">
        <v>72</v>
      </c>
      <c r="H51" s="1221">
        <v>42736</v>
      </c>
      <c r="I51" s="1221"/>
      <c r="J51" s="1219" t="s">
        <v>5942</v>
      </c>
      <c r="K51" s="1219">
        <v>0</v>
      </c>
      <c r="L51" s="1219" t="s">
        <v>5943</v>
      </c>
      <c r="M51" s="1219" t="s">
        <v>476</v>
      </c>
      <c r="N51" s="1219">
        <v>94710</v>
      </c>
      <c r="O51" s="1220">
        <v>43101</v>
      </c>
      <c r="P51" s="1219" t="s">
        <v>2474</v>
      </c>
      <c r="Q51" s="1219" t="s">
        <v>2474</v>
      </c>
      <c r="R51" s="1219" t="s">
        <v>3654</v>
      </c>
      <c r="S51" s="1219" t="s">
        <v>5645</v>
      </c>
      <c r="T51" s="1219" t="s">
        <v>5644</v>
      </c>
      <c r="U51" s="1219" t="s">
        <v>6073</v>
      </c>
      <c r="V51" s="1219" t="s">
        <v>5645</v>
      </c>
      <c r="W51" s="1219" t="s">
        <v>5644</v>
      </c>
      <c r="X51" s="1219" t="s">
        <v>6073</v>
      </c>
      <c r="Y51" s="1219" t="s">
        <v>5584</v>
      </c>
      <c r="Z51" s="1219" t="s">
        <v>5643</v>
      </c>
      <c r="AA51" s="1219" t="s">
        <v>6003</v>
      </c>
      <c r="AB51" s="1219" t="s">
        <v>3501</v>
      </c>
      <c r="AC51" s="1219" t="s">
        <v>5642</v>
      </c>
      <c r="AD51" s="1219" t="s">
        <v>5641</v>
      </c>
      <c r="AE51" s="1219" t="s">
        <v>6004</v>
      </c>
      <c r="AF51" s="1219">
        <v>0</v>
      </c>
      <c r="AG51" s="1219">
        <v>0</v>
      </c>
      <c r="AH51" s="1219" t="str">
        <f>VLOOKUP($A51,'2018'!$A:$AT,20,FALSE)</f>
        <v>NCAL</v>
      </c>
      <c r="AI51" s="1219" t="str">
        <f>VLOOKUP($A51,'2018'!$A:$AT,21,FALSE)</f>
        <v>Group C (44-54)</v>
      </c>
      <c r="AJ51" s="1219" t="str">
        <f>VLOOKUP($A51,'2018'!$A:$AT,23,FALSE)</f>
        <v>Advantage</v>
      </c>
      <c r="AK51" s="1219" t="str">
        <f>VLOOKUP($A51,'2018'!$A:$AT,24,FALSE)</f>
        <v>No</v>
      </c>
      <c r="AL51" s="1219" t="str">
        <f>VLOOKUP($A51,'2018'!$A:$AT,41,FALSE)</f>
        <v xml:space="preserve"> Region 3</v>
      </c>
      <c r="AM51" s="1219" t="str">
        <f>VLOOKUP($A51,'2018'!$A:$AT,42,FALSE)</f>
        <v>(50-99)</v>
      </c>
      <c r="AN51" s="1219" t="str">
        <f>VLOOKUP($A51,'2018'!$A:$AT,45,FALSE)</f>
        <v>(50-99)</v>
      </c>
      <c r="AO51" s="1263" t="s">
        <v>3881</v>
      </c>
      <c r="AP51" s="1264">
        <v>1</v>
      </c>
    </row>
    <row r="52" spans="1:42">
      <c r="A52" s="1219" t="s">
        <v>152</v>
      </c>
      <c r="B52" s="1219" t="s">
        <v>3883</v>
      </c>
      <c r="C52" s="1219" t="s">
        <v>152</v>
      </c>
      <c r="D52" s="1219" t="s">
        <v>152</v>
      </c>
      <c r="E52" s="1222">
        <v>0</v>
      </c>
      <c r="F52" s="1222" t="s">
        <v>3653</v>
      </c>
      <c r="G52" s="1222" t="s">
        <v>5518</v>
      </c>
      <c r="H52" s="1221">
        <v>42826</v>
      </c>
      <c r="I52" s="1221"/>
      <c r="J52" s="1219" t="s">
        <v>6134</v>
      </c>
      <c r="K52" s="1219">
        <v>0</v>
      </c>
      <c r="L52" s="1219" t="s">
        <v>5911</v>
      </c>
      <c r="M52" s="1219" t="s">
        <v>476</v>
      </c>
      <c r="N52" s="1219">
        <v>95060</v>
      </c>
      <c r="O52" s="1220">
        <v>43101</v>
      </c>
      <c r="P52" s="1219" t="s">
        <v>2474</v>
      </c>
      <c r="Q52" s="1219" t="s">
        <v>2474</v>
      </c>
      <c r="R52" s="1219" t="s">
        <v>4983</v>
      </c>
      <c r="S52" s="1219" t="s">
        <v>5640</v>
      </c>
      <c r="T52" s="1219" t="s">
        <v>5639</v>
      </c>
      <c r="U52" s="1219" t="s">
        <v>6074</v>
      </c>
      <c r="V52" s="1219" t="s">
        <v>5640</v>
      </c>
      <c r="W52" s="1219" t="s">
        <v>5639</v>
      </c>
      <c r="X52" s="1219" t="s">
        <v>6074</v>
      </c>
      <c r="Y52" s="1219" t="s">
        <v>5558</v>
      </c>
      <c r="Z52" s="1219" t="s">
        <v>5557</v>
      </c>
      <c r="AA52" s="1219" t="s">
        <v>5878</v>
      </c>
      <c r="AB52" s="1219" t="s">
        <v>5556</v>
      </c>
      <c r="AC52" s="1219" t="s">
        <v>5533</v>
      </c>
      <c r="AD52" s="1219" t="s">
        <v>4835</v>
      </c>
      <c r="AE52" s="1219" t="s">
        <v>5851</v>
      </c>
      <c r="AF52" s="1219">
        <v>0</v>
      </c>
      <c r="AG52" s="1219">
        <v>0</v>
      </c>
      <c r="AH52" s="1219" t="str">
        <f>VLOOKUP($A52,'2018'!$A:$AT,20,FALSE)</f>
        <v>NCAL</v>
      </c>
      <c r="AI52" s="1219" t="str">
        <f>VLOOKUP($A52,'2018'!$A:$AT,21,FALSE)</f>
        <v>Group C (44-54)</v>
      </c>
      <c r="AJ52" s="1219" t="str">
        <f>VLOOKUP($A52,'2018'!$A:$AT,23,FALSE)</f>
        <v>Advantage</v>
      </c>
      <c r="AK52" s="1219" t="str">
        <f>VLOOKUP($A52,'2018'!$A:$AT,24,FALSE)</f>
        <v>No</v>
      </c>
      <c r="AL52" s="1219" t="str">
        <f>VLOOKUP($A52,'2018'!$A:$AT,41,FALSE)</f>
        <v xml:space="preserve">Region 4 </v>
      </c>
      <c r="AM52" s="1219" t="str">
        <f>VLOOKUP($A52,'2018'!$A:$AT,42,FALSE)</f>
        <v>(2-9)</v>
      </c>
      <c r="AN52" s="1219" t="str">
        <f>VLOOKUP($A52,'2018'!$A:$AT,45,FALSE)</f>
        <v xml:space="preserve"> (2-49)</v>
      </c>
      <c r="AO52" s="1263" t="s">
        <v>3884</v>
      </c>
      <c r="AP52" s="1264">
        <v>4</v>
      </c>
    </row>
    <row r="53" spans="1:42" ht="15.75" customHeight="1">
      <c r="A53" s="1219" t="s">
        <v>1293</v>
      </c>
      <c r="B53" s="1219" t="s">
        <v>3886</v>
      </c>
      <c r="C53" s="1219" t="s">
        <v>1293</v>
      </c>
      <c r="D53" s="1219" t="s">
        <v>1293</v>
      </c>
      <c r="E53" s="1222">
        <v>0</v>
      </c>
      <c r="F53" s="1222" t="s">
        <v>3653</v>
      </c>
      <c r="G53" s="1222" t="s">
        <v>5590</v>
      </c>
      <c r="H53" s="1221">
        <v>43101</v>
      </c>
      <c r="I53" s="1221"/>
      <c r="J53" s="1219" t="s">
        <v>5944</v>
      </c>
      <c r="K53" s="1219">
        <v>0</v>
      </c>
      <c r="L53" s="1219" t="s">
        <v>5845</v>
      </c>
      <c r="M53" s="1219" t="s">
        <v>476</v>
      </c>
      <c r="N53" s="1219">
        <v>92008</v>
      </c>
      <c r="O53" s="1220">
        <v>43101</v>
      </c>
      <c r="P53" s="1219" t="s">
        <v>2473</v>
      </c>
      <c r="Q53" s="1219" t="s">
        <v>2473</v>
      </c>
      <c r="R53" s="1219" t="s">
        <v>4983</v>
      </c>
      <c r="S53" s="1219" t="s">
        <v>5638</v>
      </c>
      <c r="T53" s="1219" t="s">
        <v>5637</v>
      </c>
      <c r="U53" s="1219" t="s">
        <v>6075</v>
      </c>
      <c r="V53" s="1219" t="s">
        <v>5638</v>
      </c>
      <c r="W53" s="1219" t="s">
        <v>5637</v>
      </c>
      <c r="X53" s="1219" t="s">
        <v>6075</v>
      </c>
      <c r="Y53" s="1219" t="s">
        <v>5587</v>
      </c>
      <c r="Z53" s="1219" t="s">
        <v>5586</v>
      </c>
      <c r="AA53" s="1219" t="s">
        <v>5887</v>
      </c>
      <c r="AB53" s="1219" t="s">
        <v>3352</v>
      </c>
      <c r="AC53" s="1219" t="s">
        <v>5539</v>
      </c>
      <c r="AD53" s="1219" t="s">
        <v>5538</v>
      </c>
      <c r="AE53" s="1219" t="s">
        <v>5842</v>
      </c>
      <c r="AF53" s="1219">
        <v>0</v>
      </c>
      <c r="AG53" s="1219">
        <v>0</v>
      </c>
      <c r="AH53" s="1219" t="str">
        <f>VLOOKUP($A53,'2018'!$A:$AT,20,FALSE)</f>
        <v>SCAL</v>
      </c>
      <c r="AI53" s="1219" t="str">
        <f>VLOOKUP($A53,'2018'!$A:$AT,21,FALSE)</f>
        <v>Group D (54+)</v>
      </c>
      <c r="AJ53" s="1219" t="str">
        <f>VLOOKUP($A53,'2018'!$A:$AT,23,FALSE)</f>
        <v>Advantage</v>
      </c>
      <c r="AK53" s="1219" t="str">
        <f>VLOOKUP($A53,'2018'!$A:$AT,24,FALSE)</f>
        <v>No</v>
      </c>
      <c r="AL53" s="1219" t="str">
        <f>VLOOKUP($A53,'2018'!$A:$AT,41,FALSE)</f>
        <v>Region 1</v>
      </c>
      <c r="AM53" s="1219" t="str">
        <f>VLOOKUP($A53,'2018'!$A:$AT,42,FALSE)</f>
        <v>(2-9)</v>
      </c>
      <c r="AN53" s="1219" t="str">
        <f>VLOOKUP($A53,'2018'!$A:$AT,45,FALSE)</f>
        <v xml:space="preserve"> (2-49)</v>
      </c>
      <c r="AO53" s="1263" t="s">
        <v>3887</v>
      </c>
      <c r="AP53" s="1264">
        <v>32</v>
      </c>
    </row>
    <row r="54" spans="1:42">
      <c r="A54" s="1219" t="s">
        <v>154</v>
      </c>
      <c r="B54" s="1219" t="s">
        <v>3889</v>
      </c>
      <c r="C54" s="1219" t="s">
        <v>154</v>
      </c>
      <c r="D54" s="1219" t="s">
        <v>3889</v>
      </c>
      <c r="E54" s="1222">
        <v>0</v>
      </c>
      <c r="F54" s="1222" t="s">
        <v>3653</v>
      </c>
      <c r="G54" s="1222" t="s">
        <v>5612</v>
      </c>
      <c r="H54" s="1221">
        <v>42705</v>
      </c>
      <c r="I54" s="1221"/>
      <c r="J54" s="1219" t="s">
        <v>5987</v>
      </c>
      <c r="K54" s="1219"/>
      <c r="L54" s="1219" t="s">
        <v>5928</v>
      </c>
      <c r="M54" s="1219" t="s">
        <v>476</v>
      </c>
      <c r="N54" s="1219">
        <v>92614</v>
      </c>
      <c r="O54" s="1220">
        <v>43101</v>
      </c>
      <c r="P54" s="1219" t="s">
        <v>2474</v>
      </c>
      <c r="Q54" s="1219" t="s">
        <v>2474</v>
      </c>
      <c r="R54" s="1219" t="s">
        <v>5611</v>
      </c>
      <c r="S54" s="1219" t="s">
        <v>5636</v>
      </c>
      <c r="T54" s="1219" t="s">
        <v>5635</v>
      </c>
      <c r="U54" s="1219" t="s">
        <v>6076</v>
      </c>
      <c r="V54" s="1219" t="s">
        <v>5636</v>
      </c>
      <c r="W54" s="1219" t="s">
        <v>5635</v>
      </c>
      <c r="X54" s="1219" t="s">
        <v>6076</v>
      </c>
      <c r="Y54" s="1219" t="s">
        <v>5634</v>
      </c>
      <c r="Z54" s="1219" t="s">
        <v>5633</v>
      </c>
      <c r="AA54" s="1219" t="s">
        <v>5946</v>
      </c>
      <c r="AB54" s="1219" t="s">
        <v>3368</v>
      </c>
      <c r="AC54" s="1219" t="s">
        <v>5606</v>
      </c>
      <c r="AD54" s="1219" t="s">
        <v>5605</v>
      </c>
      <c r="AE54" s="1219" t="s">
        <v>5947</v>
      </c>
      <c r="AF54" s="1219" t="s">
        <v>3399</v>
      </c>
      <c r="AG54" s="1219">
        <v>0</v>
      </c>
      <c r="AH54" s="1219" t="str">
        <f>VLOOKUP($A54,'2018'!$A:$AT,20,FALSE)</f>
        <v>SCAL</v>
      </c>
      <c r="AI54" s="1219" t="str">
        <f>VLOOKUP($A54,'2018'!$A:$AT,21,FALSE)</f>
        <v>Group C (44-54)</v>
      </c>
      <c r="AJ54" s="1219" t="str">
        <f>VLOOKUP($A54,'2018'!$A:$AT,23,FALSE)</f>
        <v>Advantage</v>
      </c>
      <c r="AK54" s="1219" t="str">
        <f>VLOOKUP($A54,'2018'!$A:$AT,24,FALSE)</f>
        <v>No</v>
      </c>
      <c r="AL54" s="1219" t="str">
        <f>VLOOKUP($A54,'2018'!$A:$AT,41,FALSE)</f>
        <v xml:space="preserve">Region 2 </v>
      </c>
      <c r="AM54" s="1219" t="str">
        <f>VLOOKUP($A54,'2018'!$A:$AT,42,FALSE)</f>
        <v>(50-99)</v>
      </c>
      <c r="AN54" s="1219" t="str">
        <f>VLOOKUP($A54,'2018'!$A:$AT,45,FALSE)</f>
        <v xml:space="preserve"> (50-99)</v>
      </c>
      <c r="AO54" s="1263" t="s">
        <v>3890</v>
      </c>
      <c r="AP54" s="1264">
        <v>26</v>
      </c>
    </row>
    <row r="55" spans="1:42">
      <c r="A55" s="1219" t="s">
        <v>427</v>
      </c>
      <c r="B55" s="1219" t="s">
        <v>3892</v>
      </c>
      <c r="C55" s="1219" t="s">
        <v>3709</v>
      </c>
      <c r="D55" s="1219" t="s">
        <v>4087</v>
      </c>
      <c r="E55" s="1222">
        <v>0</v>
      </c>
      <c r="F55" s="1222" t="s">
        <v>5624</v>
      </c>
      <c r="G55" s="1222" t="s">
        <v>72</v>
      </c>
      <c r="H55" s="1221">
        <v>43101</v>
      </c>
      <c r="I55" s="1221"/>
      <c r="J55" s="1219" t="s">
        <v>5948</v>
      </c>
      <c r="K55" s="1219">
        <v>0</v>
      </c>
      <c r="L55" s="1219" t="s">
        <v>5853</v>
      </c>
      <c r="M55" s="1219" t="s">
        <v>476</v>
      </c>
      <c r="N55" s="1219">
        <v>94111</v>
      </c>
      <c r="O55" s="1220">
        <v>43101</v>
      </c>
      <c r="P55" s="1219" t="s">
        <v>2473</v>
      </c>
      <c r="Q55" s="1219" t="s">
        <v>2473</v>
      </c>
      <c r="R55" s="1219" t="s">
        <v>5624</v>
      </c>
      <c r="S55" s="1219" t="s">
        <v>5632</v>
      </c>
      <c r="T55" s="1219" t="s">
        <v>5631</v>
      </c>
      <c r="U55" s="1219" t="s">
        <v>6077</v>
      </c>
      <c r="V55" s="1219" t="s">
        <v>5632</v>
      </c>
      <c r="W55" s="1219" t="s">
        <v>5631</v>
      </c>
      <c r="X55" s="1219" t="s">
        <v>6077</v>
      </c>
      <c r="Y55" s="1219" t="s">
        <v>5630</v>
      </c>
      <c r="Z55" s="1219" t="s">
        <v>5629</v>
      </c>
      <c r="AA55" s="1219" t="s">
        <v>6078</v>
      </c>
      <c r="AB55" s="1219" t="s">
        <v>3525</v>
      </c>
      <c r="AC55" s="1219" t="s">
        <v>5628</v>
      </c>
      <c r="AD55" s="1219" t="s">
        <v>5627</v>
      </c>
      <c r="AE55" s="1219" t="s">
        <v>6067</v>
      </c>
      <c r="AF55" s="1219">
        <v>0</v>
      </c>
      <c r="AG55" s="1219">
        <v>0</v>
      </c>
      <c r="AH55" s="1219" t="str">
        <f>VLOOKUP($A55,'2018'!$A:$AT,20,FALSE)</f>
        <v>NCAL</v>
      </c>
      <c r="AI55" s="1219" t="str">
        <f>VLOOKUP($A55,'2018'!$A:$AT,21,FALSE)</f>
        <v>Group C (44-54)</v>
      </c>
      <c r="AJ55" s="1219" t="str">
        <f>VLOOKUP($A55,'2018'!$A:$AT,23,FALSE)</f>
        <v>Advantage</v>
      </c>
      <c r="AK55" s="1219" t="str">
        <f>VLOOKUP($A55,'2018'!$A:$AT,24,FALSE)</f>
        <v>No</v>
      </c>
      <c r="AL55" s="1219" t="str">
        <f>VLOOKUP($A55,'2018'!$A:$AT,41,FALSE)</f>
        <v>Region 3</v>
      </c>
      <c r="AM55" s="1219" t="str">
        <f>VLOOKUP($A55,'2018'!$A:$AT,42,FALSE)</f>
        <v>(50-99)</v>
      </c>
      <c r="AN55" s="1219" t="str">
        <f>VLOOKUP($A55,'2018'!$A:$AT,45,FALSE)</f>
        <v xml:space="preserve"> (50-99)</v>
      </c>
      <c r="AO55" s="1263" t="s">
        <v>3893</v>
      </c>
      <c r="AP55" s="1264">
        <v>14</v>
      </c>
    </row>
    <row r="56" spans="1:42">
      <c r="A56" s="1219" t="s">
        <v>4354</v>
      </c>
      <c r="B56" s="1219" t="s">
        <v>5495</v>
      </c>
      <c r="C56" s="1219" t="e">
        <v>#N/A</v>
      </c>
      <c r="D56" s="1219" t="s">
        <v>4354</v>
      </c>
      <c r="E56" s="1222">
        <v>0</v>
      </c>
      <c r="F56" s="1222" t="s">
        <v>3653</v>
      </c>
      <c r="G56" s="1222" t="s">
        <v>5518</v>
      </c>
      <c r="H56" s="1221">
        <v>43282</v>
      </c>
      <c r="I56" s="1221"/>
      <c r="J56" s="1219" t="s">
        <v>5930</v>
      </c>
      <c r="K56" s="1219">
        <v>0</v>
      </c>
      <c r="L56" s="1219" t="s">
        <v>5853</v>
      </c>
      <c r="M56" s="1219" t="s">
        <v>476</v>
      </c>
      <c r="N56" s="1219">
        <v>94107</v>
      </c>
      <c r="O56" s="1220">
        <v>43282</v>
      </c>
      <c r="P56" s="1219" t="s">
        <v>2473</v>
      </c>
      <c r="Q56" s="1219" t="s">
        <v>2473</v>
      </c>
      <c r="R56" s="1219" t="s">
        <v>4983</v>
      </c>
      <c r="S56" s="1219" t="s">
        <v>5626</v>
      </c>
      <c r="T56" s="1219" t="s">
        <v>5625</v>
      </c>
      <c r="U56" s="1219" t="s">
        <v>6079</v>
      </c>
      <c r="V56" s="1219" t="s">
        <v>5626</v>
      </c>
      <c r="W56" s="1219" t="s">
        <v>5625</v>
      </c>
      <c r="X56" s="1219" t="s">
        <v>6079</v>
      </c>
      <c r="Y56" s="1219" t="s">
        <v>5558</v>
      </c>
      <c r="Z56" s="1219" t="s">
        <v>5557</v>
      </c>
      <c r="AA56" s="1219" t="s">
        <v>5878</v>
      </c>
      <c r="AB56" s="1219" t="s">
        <v>5556</v>
      </c>
      <c r="AC56" s="1219" t="s">
        <v>5555</v>
      </c>
      <c r="AD56" s="1219" t="s">
        <v>5554</v>
      </c>
      <c r="AE56" s="1219" t="s">
        <v>5902</v>
      </c>
      <c r="AF56" s="1219">
        <v>0</v>
      </c>
      <c r="AG56" s="1219">
        <v>0</v>
      </c>
      <c r="AH56" s="1219" t="str">
        <f>VLOOKUP($A56,'2018'!$A:$AT,20,FALSE)</f>
        <v>NCAL</v>
      </c>
      <c r="AI56" s="1219" t="str">
        <f>VLOOKUP($A56,'2018'!$A:$AT,21,FALSE)</f>
        <v>Group B (34-44)</v>
      </c>
      <c r="AJ56" s="1219" t="str">
        <f>VLOOKUP($A56,'2018'!$A:$AT,23,FALSE)</f>
        <v>Advantage</v>
      </c>
      <c r="AK56" s="1219" t="str">
        <f>VLOOKUP($A56,'2018'!$A:$AT,24,FALSE)</f>
        <v>No</v>
      </c>
      <c r="AL56" s="1219" t="str">
        <f>VLOOKUP($A56,'2018'!$A:$AT,41,FALSE)</f>
        <v>Region 4</v>
      </c>
      <c r="AM56" s="1219" t="str">
        <f>VLOOKUP($A56,'2018'!$A:$AT,42,FALSE)</f>
        <v>(2-9)</v>
      </c>
      <c r="AN56" s="1219" t="str">
        <f>VLOOKUP($A56,'2018'!$A:$AT,45,FALSE)</f>
        <v xml:space="preserve"> (2-49)</v>
      </c>
      <c r="AO56" s="1263" t="s">
        <v>4357</v>
      </c>
      <c r="AP56" s="1264" t="e">
        <v>#N/A</v>
      </c>
    </row>
    <row r="57" spans="1:42" ht="15.75" customHeight="1">
      <c r="A57" s="1219" t="s">
        <v>4173</v>
      </c>
      <c r="B57" s="1219" t="s">
        <v>3896</v>
      </c>
      <c r="C57" s="1219" t="e">
        <v>#N/A</v>
      </c>
      <c r="D57" s="1219" t="s">
        <v>4076</v>
      </c>
      <c r="E57" s="1222" t="s">
        <v>4076</v>
      </c>
      <c r="F57" s="1222" t="s">
        <v>5624</v>
      </c>
      <c r="G57" s="1222" t="s">
        <v>72</v>
      </c>
      <c r="H57" s="1221">
        <v>43101</v>
      </c>
      <c r="I57" s="1221"/>
      <c r="J57" s="1219" t="s">
        <v>5949</v>
      </c>
      <c r="K57" s="1219" t="s">
        <v>5950</v>
      </c>
      <c r="L57" s="1219" t="s">
        <v>5853</v>
      </c>
      <c r="M57" s="1219" t="s">
        <v>476</v>
      </c>
      <c r="N57" s="1219">
        <v>94111</v>
      </c>
      <c r="O57" s="1220">
        <v>43101</v>
      </c>
      <c r="P57" s="1219" t="s">
        <v>2473</v>
      </c>
      <c r="Q57" s="1219" t="s">
        <v>2473</v>
      </c>
      <c r="R57" s="1219" t="s">
        <v>5624</v>
      </c>
      <c r="S57" s="1219" t="s">
        <v>5623</v>
      </c>
      <c r="T57" s="1219" t="s">
        <v>5622</v>
      </c>
      <c r="U57" s="1219" t="s">
        <v>6080</v>
      </c>
      <c r="V57" s="1219" t="s">
        <v>5623</v>
      </c>
      <c r="W57" s="1219" t="s">
        <v>5622</v>
      </c>
      <c r="X57" s="1219" t="s">
        <v>6080</v>
      </c>
      <c r="Y57" s="1219" t="s">
        <v>5621</v>
      </c>
      <c r="Z57" s="1219" t="s">
        <v>5620</v>
      </c>
      <c r="AA57" s="1219" t="s">
        <v>6081</v>
      </c>
      <c r="AB57" s="1219" t="s">
        <v>3531</v>
      </c>
      <c r="AC57" s="1219" t="s">
        <v>5619</v>
      </c>
      <c r="AD57" s="1219" t="s">
        <v>5618</v>
      </c>
      <c r="AE57" s="1219" t="s">
        <v>6082</v>
      </c>
      <c r="AF57" s="1219">
        <v>0</v>
      </c>
      <c r="AG57" s="1219">
        <v>0</v>
      </c>
      <c r="AH57" s="1219" t="str">
        <f>VLOOKUP($A57,'2018'!$A:$AT,20,FALSE)</f>
        <v>NCAL</v>
      </c>
      <c r="AI57" s="1219" t="str">
        <f>VLOOKUP($A57,'2018'!$A:$AT,21,FALSE)</f>
        <v>Group C (44-54)</v>
      </c>
      <c r="AJ57" s="1219" t="str">
        <f>VLOOKUP($A57,'2018'!$A:$AT,23,FALSE)</f>
        <v>Advantage</v>
      </c>
      <c r="AK57" s="1219" t="str">
        <f>VLOOKUP($A57,'2018'!$A:$AT,24,FALSE)</f>
        <v>No</v>
      </c>
      <c r="AL57" s="1219" t="str">
        <f>VLOOKUP($A57,'2018'!$A:$AT,41,FALSE)</f>
        <v>N/A</v>
      </c>
      <c r="AM57" s="1219" t="str">
        <f>VLOOKUP($A57,'2018'!$A:$AT,42,FALSE)</f>
        <v>N/A</v>
      </c>
      <c r="AN57" s="1219" t="str">
        <f>VLOOKUP($A57,'2018'!$A:$AT,45,FALSE)</f>
        <v>N/A</v>
      </c>
      <c r="AO57" s="1263" t="s">
        <v>3897</v>
      </c>
      <c r="AP57" s="1264" t="e">
        <v>#N/A</v>
      </c>
    </row>
    <row r="58" spans="1:42">
      <c r="A58" s="1219" t="s">
        <v>1283</v>
      </c>
      <c r="B58" s="1219" t="s">
        <v>3899</v>
      </c>
      <c r="C58" s="1219" t="s">
        <v>1283</v>
      </c>
      <c r="D58" s="1219" t="s">
        <v>4092</v>
      </c>
      <c r="E58" s="1222">
        <v>0</v>
      </c>
      <c r="F58" s="1222" t="s">
        <v>3654</v>
      </c>
      <c r="G58" s="1222" t="s">
        <v>72</v>
      </c>
      <c r="H58" s="1221">
        <v>43101</v>
      </c>
      <c r="I58" s="1221"/>
      <c r="J58" s="1219" t="s">
        <v>5951</v>
      </c>
      <c r="K58" s="1219">
        <v>0</v>
      </c>
      <c r="L58" s="1219" t="s">
        <v>5917</v>
      </c>
      <c r="M58" s="1219" t="s">
        <v>476</v>
      </c>
      <c r="N58" s="1219">
        <v>94025</v>
      </c>
      <c r="O58" s="1220">
        <v>43101</v>
      </c>
      <c r="P58" s="1219" t="s">
        <v>2473</v>
      </c>
      <c r="Q58" s="1219" t="s">
        <v>2473</v>
      </c>
      <c r="R58" s="1219" t="s">
        <v>3654</v>
      </c>
      <c r="S58" s="1219" t="s">
        <v>5617</v>
      </c>
      <c r="T58" s="1219" t="s">
        <v>5616</v>
      </c>
      <c r="U58" s="1219" t="s">
        <v>6083</v>
      </c>
      <c r="V58" s="1219" t="s">
        <v>5617</v>
      </c>
      <c r="W58" s="1219" t="s">
        <v>5616</v>
      </c>
      <c r="X58" s="1219" t="s">
        <v>6083</v>
      </c>
      <c r="Y58" s="1219" t="s">
        <v>5523</v>
      </c>
      <c r="Z58" s="1219" t="s">
        <v>5522</v>
      </c>
      <c r="AA58" s="1219" t="s">
        <v>5995</v>
      </c>
      <c r="AB58" s="1219" t="s">
        <v>3464</v>
      </c>
      <c r="AC58" s="1219" t="s">
        <v>5521</v>
      </c>
      <c r="AD58" s="1219" t="s">
        <v>5520</v>
      </c>
      <c r="AE58" s="1219" t="s">
        <v>5996</v>
      </c>
      <c r="AF58" s="1219">
        <v>0</v>
      </c>
      <c r="AG58" s="1219">
        <v>0</v>
      </c>
      <c r="AH58" s="1219" t="str">
        <f>VLOOKUP($A58,'2018'!$A:$AT,20,FALSE)</f>
        <v>NCAL</v>
      </c>
      <c r="AI58" s="1219" t="str">
        <f>VLOOKUP($A58,'2018'!$A:$AT,21,FALSE)</f>
        <v>Group B (34-44)</v>
      </c>
      <c r="AJ58" s="1219" t="str">
        <f>VLOOKUP($A58,'2018'!$A:$AT,23,FALSE)</f>
        <v>Advantage</v>
      </c>
      <c r="AK58" s="1219" t="str">
        <f>VLOOKUP($A58,'2018'!$A:$AT,24,FALSE)</f>
        <v>No</v>
      </c>
      <c r="AL58" s="1219" t="str">
        <f>VLOOKUP($A58,'2018'!$A:$AT,41,FALSE)</f>
        <v>Region 3</v>
      </c>
      <c r="AM58" s="1219" t="str">
        <f>VLOOKUP($A58,'2018'!$A:$AT,42,FALSE)</f>
        <v>(2-9)</v>
      </c>
      <c r="AN58" s="1219" t="str">
        <f>VLOOKUP($A58,'2018'!$A:$AT,45,FALSE)</f>
        <v xml:space="preserve"> (2-49)</v>
      </c>
      <c r="AO58" s="1263" t="s">
        <v>3900</v>
      </c>
      <c r="AP58" s="1264">
        <v>27</v>
      </c>
    </row>
    <row r="59" spans="1:42">
      <c r="A59" s="1219" t="s">
        <v>426</v>
      </c>
      <c r="B59" s="1219" t="s">
        <v>3661</v>
      </c>
      <c r="C59" s="1219" t="e">
        <v>#N/A</v>
      </c>
      <c r="D59" s="1219" t="s">
        <v>426</v>
      </c>
      <c r="E59" s="1222">
        <v>0</v>
      </c>
      <c r="F59" s="1222" t="s">
        <v>3653</v>
      </c>
      <c r="G59" s="1222" t="s">
        <v>5518</v>
      </c>
      <c r="H59" s="1221">
        <v>43101</v>
      </c>
      <c r="I59" s="1221"/>
      <c r="J59" s="1219" t="s">
        <v>5988</v>
      </c>
      <c r="K59" s="1219" t="s">
        <v>5981</v>
      </c>
      <c r="L59" s="1219" t="s">
        <v>5868</v>
      </c>
      <c r="M59" s="1219" t="s">
        <v>476</v>
      </c>
      <c r="N59" s="1219">
        <v>92130</v>
      </c>
      <c r="O59" s="1220">
        <v>43101</v>
      </c>
      <c r="P59" s="1219" t="s">
        <v>2473</v>
      </c>
      <c r="Q59" s="1219" t="s">
        <v>2473</v>
      </c>
      <c r="R59" s="1219" t="s">
        <v>4661</v>
      </c>
      <c r="S59" s="1219" t="s">
        <v>5578</v>
      </c>
      <c r="T59" s="1219" t="s">
        <v>5615</v>
      </c>
      <c r="U59" s="1219" t="s">
        <v>6084</v>
      </c>
      <c r="V59" s="1219" t="s">
        <v>5578</v>
      </c>
      <c r="W59" s="1219" t="s">
        <v>5615</v>
      </c>
      <c r="X59" s="1219" t="s">
        <v>6084</v>
      </c>
      <c r="Y59" s="1219" t="s">
        <v>5614</v>
      </c>
      <c r="Z59" s="1219" t="s">
        <v>5613</v>
      </c>
      <c r="AA59" s="1219" t="s">
        <v>5952</v>
      </c>
      <c r="AB59" s="1219" t="s">
        <v>3221</v>
      </c>
      <c r="AC59" s="1219" t="s">
        <v>5527</v>
      </c>
      <c r="AD59" s="1219" t="s">
        <v>5526</v>
      </c>
      <c r="AE59" s="1219" t="s">
        <v>5904</v>
      </c>
      <c r="AF59" s="1219">
        <v>0</v>
      </c>
      <c r="AG59" s="1219">
        <v>0</v>
      </c>
      <c r="AH59" s="1219" t="str">
        <f>VLOOKUP($A59,'2018'!$A:$AT,20,FALSE)</f>
        <v>SCAL</v>
      </c>
      <c r="AI59" s="1219" t="str">
        <f>VLOOKUP($A59,'2018'!$A:$AT,21,FALSE)</f>
        <v>Group C (44-54)</v>
      </c>
      <c r="AJ59" s="1219" t="str">
        <f>VLOOKUP($A59,'2018'!$A:$AT,23,FALSE)</f>
        <v>Access</v>
      </c>
      <c r="AK59" s="1219" t="str">
        <f>VLOOKUP($A59,'2018'!$A:$AT,24,FALSE)</f>
        <v>No</v>
      </c>
      <c r="AL59" s="1219" t="str">
        <f>VLOOKUP($A59,'2018'!$A:$AT,41,FALSE)</f>
        <v>N/A</v>
      </c>
      <c r="AM59" s="1219" t="str">
        <f>VLOOKUP($A59,'2018'!$A:$AT,42,FALSE)</f>
        <v>N/A</v>
      </c>
      <c r="AN59" s="1219" t="str">
        <f>VLOOKUP($A59,'2018'!$A:$AT,45,FALSE)</f>
        <v>N/A</v>
      </c>
      <c r="AO59" s="1263" t="s">
        <v>3903</v>
      </c>
      <c r="AP59" s="1264" t="e">
        <v>#N/A</v>
      </c>
    </row>
    <row r="60" spans="1:42">
      <c r="A60" s="1219" t="s">
        <v>1261</v>
      </c>
      <c r="B60" s="1219" t="s">
        <v>3904</v>
      </c>
      <c r="C60" s="1219" t="s">
        <v>1261</v>
      </c>
      <c r="D60" s="1219" t="s">
        <v>4102</v>
      </c>
      <c r="E60" s="1222">
        <v>0</v>
      </c>
      <c r="F60" s="1222" t="s">
        <v>3653</v>
      </c>
      <c r="G60" s="1222" t="s">
        <v>5612</v>
      </c>
      <c r="H60" s="1221">
        <v>43101</v>
      </c>
      <c r="I60" s="1221"/>
      <c r="J60" s="1219" t="s">
        <v>5953</v>
      </c>
      <c r="K60" s="1219">
        <v>0</v>
      </c>
      <c r="L60" s="1219" t="s">
        <v>5954</v>
      </c>
      <c r="M60" s="1219" t="s">
        <v>476</v>
      </c>
      <c r="N60" s="1219">
        <v>93012</v>
      </c>
      <c r="O60" s="1220">
        <v>43101</v>
      </c>
      <c r="P60" s="1219" t="s">
        <v>2473</v>
      </c>
      <c r="Q60" s="1219" t="s">
        <v>2473</v>
      </c>
      <c r="R60" s="1219" t="s">
        <v>5611</v>
      </c>
      <c r="S60" s="1219" t="s">
        <v>5610</v>
      </c>
      <c r="T60" s="1219" t="s">
        <v>5609</v>
      </c>
      <c r="U60" s="1219" t="s">
        <v>6085</v>
      </c>
      <c r="V60" s="1219" t="s">
        <v>5610</v>
      </c>
      <c r="W60" s="1219" t="s">
        <v>5609</v>
      </c>
      <c r="X60" s="1219" t="s">
        <v>6085</v>
      </c>
      <c r="Y60" s="1219" t="s">
        <v>5608</v>
      </c>
      <c r="Z60" s="1219" t="s">
        <v>5607</v>
      </c>
      <c r="AA60" s="1219" t="s">
        <v>5945</v>
      </c>
      <c r="AB60" s="1219" t="s">
        <v>3375</v>
      </c>
      <c r="AC60" s="1219" t="s">
        <v>5606</v>
      </c>
      <c r="AD60" s="1219" t="s">
        <v>5605</v>
      </c>
      <c r="AE60" s="1219" t="s">
        <v>5947</v>
      </c>
      <c r="AF60" s="1219" t="s">
        <v>3399</v>
      </c>
      <c r="AG60" s="1219">
        <v>0</v>
      </c>
      <c r="AH60" s="1219" t="str">
        <f>VLOOKUP($A60,'2018'!$A:$AT,20,FALSE)</f>
        <v>SCAL</v>
      </c>
      <c r="AI60" s="1219" t="str">
        <f>VLOOKUP($A60,'2018'!$A:$AT,21,FALSE)</f>
        <v xml:space="preserve">Group C (44-54) </v>
      </c>
      <c r="AJ60" s="1219" t="str">
        <f>VLOOKUP($A60,'2018'!$A:$AT,23,FALSE)</f>
        <v>Advantage</v>
      </c>
      <c r="AK60" s="1219" t="str">
        <f>VLOOKUP($A60,'2018'!$A:$AT,24,FALSE)</f>
        <v>No</v>
      </c>
      <c r="AL60" s="1219" t="str">
        <f>VLOOKUP($A60,'2018'!$A:$AT,41,FALSE)</f>
        <v xml:space="preserve">Region 2 </v>
      </c>
      <c r="AM60" s="1219" t="str">
        <f>VLOOKUP($A60,'2018'!$A:$AT,42,FALSE)</f>
        <v>(50-99)</v>
      </c>
      <c r="AN60" s="1219" t="str">
        <f>VLOOKUP($A60,'2018'!$A:$AT,45,FALSE)</f>
        <v xml:space="preserve"> (50-99)</v>
      </c>
      <c r="AO60" s="1263" t="s">
        <v>3905</v>
      </c>
      <c r="AP60" s="1264">
        <v>20</v>
      </c>
    </row>
    <row r="61" spans="1:42" ht="15.75" customHeight="1">
      <c r="A61" s="1219" t="s">
        <v>410</v>
      </c>
      <c r="B61" s="1219" t="s">
        <v>3907</v>
      </c>
      <c r="C61" s="1219" t="e">
        <v>#N/A</v>
      </c>
      <c r="D61" s="1219" t="s">
        <v>4103</v>
      </c>
      <c r="E61" s="1222" t="s">
        <v>5604</v>
      </c>
      <c r="F61" s="1222" t="s">
        <v>3653</v>
      </c>
      <c r="G61" s="1222" t="s">
        <v>5518</v>
      </c>
      <c r="H61" s="1221">
        <v>42370</v>
      </c>
      <c r="I61" s="1221"/>
      <c r="J61" s="1219" t="s">
        <v>5955</v>
      </c>
      <c r="K61" s="1219">
        <v>0</v>
      </c>
      <c r="L61" s="1219" t="s">
        <v>5892</v>
      </c>
      <c r="M61" s="1219" t="s">
        <v>476</v>
      </c>
      <c r="N61" s="1219">
        <v>92081</v>
      </c>
      <c r="O61" s="1220">
        <v>43101</v>
      </c>
      <c r="P61" s="1219" t="s">
        <v>2474</v>
      </c>
      <c r="Q61" s="1219" t="s">
        <v>2474</v>
      </c>
      <c r="R61" s="1219" t="s">
        <v>4835</v>
      </c>
      <c r="S61" s="1219" t="s">
        <v>5603</v>
      </c>
      <c r="T61" s="1219" t="s">
        <v>5602</v>
      </c>
      <c r="U61" s="1219" t="s">
        <v>6086</v>
      </c>
      <c r="V61" s="1219" t="s">
        <v>5601</v>
      </c>
      <c r="W61" s="1219" t="s">
        <v>5600</v>
      </c>
      <c r="X61" s="1219" t="s">
        <v>6087</v>
      </c>
      <c r="Y61" s="1219" t="s">
        <v>5599</v>
      </c>
      <c r="Z61" s="1219" t="s">
        <v>5598</v>
      </c>
      <c r="AA61" s="1219" t="s">
        <v>5880</v>
      </c>
      <c r="AB61" s="1219" t="s">
        <v>3202</v>
      </c>
      <c r="AC61" s="1219" t="s">
        <v>5533</v>
      </c>
      <c r="AD61" s="1219" t="s">
        <v>4835</v>
      </c>
      <c r="AE61" s="1219" t="s">
        <v>5851</v>
      </c>
      <c r="AF61" s="1219">
        <v>0</v>
      </c>
      <c r="AG61" s="1219">
        <v>0</v>
      </c>
      <c r="AH61" s="1219" t="str">
        <f>VLOOKUP($A61,'2018'!$A:$AT,20,FALSE)</f>
        <v>SCAL</v>
      </c>
      <c r="AI61" s="1219" t="str">
        <f>VLOOKUP($A61,'2018'!$A:$AT,21,FALSE)</f>
        <v>Group B (34-44)</v>
      </c>
      <c r="AJ61" s="1219" t="str">
        <f>VLOOKUP($A61,'2018'!$A:$AT,23,FALSE)</f>
        <v>Access</v>
      </c>
      <c r="AK61" s="1219" t="str">
        <f>VLOOKUP($A61,'2018'!$A:$AT,24,FALSE)</f>
        <v>Yes</v>
      </c>
      <c r="AL61" s="1219" t="str">
        <f>VLOOKUP($A61,'2018'!$A:$AT,41,FALSE)</f>
        <v>Region 1</v>
      </c>
      <c r="AM61" s="1219" t="str">
        <f>VLOOKUP($A61,'2018'!$A:$AT,42,FALSE)</f>
        <v>(50-99)</v>
      </c>
      <c r="AN61" s="1219" t="str">
        <f>VLOOKUP($A61,'2018'!$A:$AT,45,FALSE)</f>
        <v>N/A</v>
      </c>
      <c r="AO61" s="1263" t="s">
        <v>3908</v>
      </c>
      <c r="AP61" s="1264" t="e">
        <v>#N/A</v>
      </c>
    </row>
    <row r="62" spans="1:42">
      <c r="A62" s="1219" t="s">
        <v>1306</v>
      </c>
      <c r="B62" s="1219" t="s">
        <v>3911</v>
      </c>
      <c r="C62" s="1219" t="s">
        <v>1306</v>
      </c>
      <c r="D62" s="1219" t="s">
        <v>4113</v>
      </c>
      <c r="E62" s="1222">
        <v>0</v>
      </c>
      <c r="F62" s="1222" t="s">
        <v>3654</v>
      </c>
      <c r="G62" s="1222" t="s">
        <v>72</v>
      </c>
      <c r="H62" s="1221">
        <v>43101</v>
      </c>
      <c r="I62" s="1221"/>
      <c r="J62" s="1219" t="s">
        <v>5956</v>
      </c>
      <c r="K62" s="1219">
        <v>0</v>
      </c>
      <c r="L62" s="1219" t="s">
        <v>5957</v>
      </c>
      <c r="M62" s="1219" t="s">
        <v>476</v>
      </c>
      <c r="N62" s="1219">
        <v>94063</v>
      </c>
      <c r="O62" s="1220">
        <v>43101</v>
      </c>
      <c r="P62" s="1219" t="s">
        <v>2473</v>
      </c>
      <c r="Q62" s="1219" t="s">
        <v>2473</v>
      </c>
      <c r="R62" s="1219" t="s">
        <v>3654</v>
      </c>
      <c r="S62" s="1219" t="s">
        <v>5597</v>
      </c>
      <c r="T62" s="1219" t="s">
        <v>5516</v>
      </c>
      <c r="U62" s="1219" t="s">
        <v>6088</v>
      </c>
      <c r="V62" s="1219" t="s">
        <v>5597</v>
      </c>
      <c r="W62" s="1219" t="s">
        <v>5516</v>
      </c>
      <c r="X62" s="1219" t="s">
        <v>6088</v>
      </c>
      <c r="Y62" s="1219" t="s">
        <v>5596</v>
      </c>
      <c r="Z62" s="1219" t="s">
        <v>5520</v>
      </c>
      <c r="AA62" s="1219" t="s">
        <v>6089</v>
      </c>
      <c r="AB62" s="1219" t="s">
        <v>3472</v>
      </c>
      <c r="AC62" s="1219" t="s">
        <v>5595</v>
      </c>
      <c r="AD62" s="1219" t="s">
        <v>5594</v>
      </c>
      <c r="AE62" s="1219" t="s">
        <v>6090</v>
      </c>
      <c r="AF62" s="1219">
        <v>0</v>
      </c>
      <c r="AG62" s="1219">
        <v>0</v>
      </c>
      <c r="AH62" s="1219" t="str">
        <f>VLOOKUP($A62,'2018'!$A:$AT,20,FALSE)</f>
        <v>NCAL</v>
      </c>
      <c r="AI62" s="1219" t="str">
        <f>VLOOKUP($A62,'2018'!$A:$AT,21,FALSE)</f>
        <v>Group D (54+)</v>
      </c>
      <c r="AJ62" s="1219" t="str">
        <f>VLOOKUP($A62,'2018'!$A:$AT,23,FALSE)</f>
        <v>Advantage</v>
      </c>
      <c r="AK62" s="1219" t="str">
        <f>VLOOKUP($A62,'2018'!$A:$AT,24,FALSE)</f>
        <v>No</v>
      </c>
      <c r="AL62" s="1219" t="str">
        <f>VLOOKUP($A62,'2018'!$A:$AT,41,FALSE)</f>
        <v>N/A</v>
      </c>
      <c r="AM62" s="1219" t="str">
        <f>VLOOKUP($A62,'2018'!$A:$AT,42,FALSE)</f>
        <v>N/A</v>
      </c>
      <c r="AN62" s="1219" t="str">
        <f>VLOOKUP($A62,'2018'!$A:$AT,45,FALSE)</f>
        <v xml:space="preserve"> (2-49)</v>
      </c>
      <c r="AO62" s="1263" t="s">
        <v>3912</v>
      </c>
      <c r="AP62" s="1264">
        <v>28</v>
      </c>
    </row>
    <row r="63" spans="1:42">
      <c r="A63" s="1219" t="s">
        <v>3633</v>
      </c>
      <c r="B63" s="1219" t="s">
        <v>4220</v>
      </c>
      <c r="C63" s="1219" t="s">
        <v>3633</v>
      </c>
      <c r="D63" s="1219" t="s">
        <v>3633</v>
      </c>
      <c r="E63" s="1222" t="s">
        <v>3738</v>
      </c>
      <c r="F63" s="1222" t="s">
        <v>3653</v>
      </c>
      <c r="G63" s="1222" t="s">
        <v>5518</v>
      </c>
      <c r="H63" s="1221">
        <v>43132</v>
      </c>
      <c r="I63" s="1221"/>
      <c r="J63" s="1219" t="s">
        <v>5958</v>
      </c>
      <c r="K63" s="1219" t="s">
        <v>5959</v>
      </c>
      <c r="L63" s="1219" t="s">
        <v>5960</v>
      </c>
      <c r="M63" s="1219" t="s">
        <v>476</v>
      </c>
      <c r="N63" s="1219">
        <v>92075</v>
      </c>
      <c r="O63" s="1220">
        <v>43132</v>
      </c>
      <c r="P63" s="1219" t="s">
        <v>2473</v>
      </c>
      <c r="Q63" s="1219" t="s">
        <v>2473</v>
      </c>
      <c r="R63" s="1219" t="s">
        <v>4661</v>
      </c>
      <c r="S63" s="1219" t="s">
        <v>903</v>
      </c>
      <c r="T63" s="1219" t="s">
        <v>5593</v>
      </c>
      <c r="U63" s="1219" t="s">
        <v>6091</v>
      </c>
      <c r="V63" s="1219" t="s">
        <v>5592</v>
      </c>
      <c r="W63" s="1219" t="s">
        <v>5591</v>
      </c>
      <c r="X63" s="1219" t="s">
        <v>6092</v>
      </c>
      <c r="Y63" s="1219" t="s">
        <v>5551</v>
      </c>
      <c r="Z63" s="1219" t="s">
        <v>5564</v>
      </c>
      <c r="AA63" s="1219" t="s">
        <v>5876</v>
      </c>
      <c r="AB63" s="1219" t="s">
        <v>5563</v>
      </c>
      <c r="AC63" s="1219" t="s">
        <v>5555</v>
      </c>
      <c r="AD63" s="1219" t="s">
        <v>5554</v>
      </c>
      <c r="AE63" s="1219" t="s">
        <v>5902</v>
      </c>
      <c r="AF63" s="1219">
        <v>0</v>
      </c>
      <c r="AG63" s="1219">
        <v>0</v>
      </c>
      <c r="AH63" s="1219" t="str">
        <f>VLOOKUP($A63,'2018'!$A:$AT,20,FALSE)</f>
        <v>SCAL</v>
      </c>
      <c r="AI63" s="1219" t="str">
        <f>VLOOKUP($A63,'2018'!$A:$AT,21,FALSE)</f>
        <v>Group B (34-44)</v>
      </c>
      <c r="AJ63" s="1219" t="str">
        <f>VLOOKUP($A63,'2018'!$A:$AT,23,FALSE)</f>
        <v>Access</v>
      </c>
      <c r="AK63" s="1219" t="str">
        <f>VLOOKUP($A63,'2018'!$A:$AT,24,FALSE)</f>
        <v>No</v>
      </c>
      <c r="AL63" s="1219" t="str">
        <f>VLOOKUP($A63,'2018'!$A:$AT,41,FALSE)</f>
        <v>Region 1</v>
      </c>
      <c r="AM63" s="1219" t="str">
        <f>VLOOKUP($A63,'2018'!$A:$AT,42,FALSE)</f>
        <v>(50-99)</v>
      </c>
      <c r="AN63" s="1219" t="str">
        <f>VLOOKUP($A63,'2018'!$A:$AT,45,FALSE)</f>
        <v xml:space="preserve"> (50-99)</v>
      </c>
      <c r="AO63" s="1263" t="s">
        <v>4221</v>
      </c>
      <c r="AP63" s="1264">
        <v>51</v>
      </c>
    </row>
    <row r="64" spans="1:42">
      <c r="A64" s="1219" t="s">
        <v>170</v>
      </c>
      <c r="B64" s="1219" t="s">
        <v>4362</v>
      </c>
      <c r="C64" s="1219" t="s">
        <v>170</v>
      </c>
      <c r="D64" s="1219" t="s">
        <v>4117</v>
      </c>
      <c r="E64" s="1222">
        <v>0</v>
      </c>
      <c r="F64" s="1222" t="s">
        <v>3653</v>
      </c>
      <c r="G64" s="1222" t="s">
        <v>5590</v>
      </c>
      <c r="H64" s="1221">
        <v>42705</v>
      </c>
      <c r="I64" s="1221"/>
      <c r="J64" s="1219" t="s">
        <v>5961</v>
      </c>
      <c r="K64" s="1219" t="s">
        <v>5962</v>
      </c>
      <c r="L64" s="1219" t="s">
        <v>5963</v>
      </c>
      <c r="M64" s="1219" t="s">
        <v>476</v>
      </c>
      <c r="N64" s="1219">
        <v>94588</v>
      </c>
      <c r="O64" s="1220">
        <v>43101</v>
      </c>
      <c r="P64" s="1219" t="s">
        <v>2474</v>
      </c>
      <c r="Q64" s="1219" t="s">
        <v>2474</v>
      </c>
      <c r="R64" s="1219" t="s">
        <v>4835</v>
      </c>
      <c r="S64" s="1219" t="s">
        <v>5589</v>
      </c>
      <c r="T64" s="1219" t="s">
        <v>5588</v>
      </c>
      <c r="U64" s="1219" t="s">
        <v>6093</v>
      </c>
      <c r="V64" s="1219" t="s">
        <v>5589</v>
      </c>
      <c r="W64" s="1219" t="s">
        <v>5588</v>
      </c>
      <c r="X64" s="1219" t="s">
        <v>6093</v>
      </c>
      <c r="Y64" s="1219" t="s">
        <v>5587</v>
      </c>
      <c r="Z64" s="1219" t="s">
        <v>5586</v>
      </c>
      <c r="AA64" s="1219" t="s">
        <v>5887</v>
      </c>
      <c r="AB64" s="1219" t="s">
        <v>3352</v>
      </c>
      <c r="AC64" s="1219" t="s">
        <v>5533</v>
      </c>
      <c r="AD64" s="1219" t="s">
        <v>4835</v>
      </c>
      <c r="AE64" s="1219" t="s">
        <v>5851</v>
      </c>
      <c r="AF64" s="1219">
        <v>0</v>
      </c>
      <c r="AG64" s="1219">
        <v>0</v>
      </c>
      <c r="AH64" s="1219" t="str">
        <f>VLOOKUP($A64,'2018'!$A:$AT,20,FALSE)</f>
        <v>NCAL</v>
      </c>
      <c r="AI64" s="1219" t="str">
        <f>VLOOKUP($A64,'2018'!$A:$AT,21,FALSE)</f>
        <v>Group C (44-54)</v>
      </c>
      <c r="AJ64" s="1219" t="str">
        <f>VLOOKUP($A64,'2018'!$A:$AT,23,FALSE)</f>
        <v>Advantage</v>
      </c>
      <c r="AK64" s="1219" t="str">
        <f>VLOOKUP($A64,'2018'!$A:$AT,24,FALSE)</f>
        <v>No</v>
      </c>
      <c r="AL64" s="1219" t="str">
        <f>VLOOKUP($A64,'2018'!$A:$AT,41,FALSE)</f>
        <v xml:space="preserve">Region 4 </v>
      </c>
      <c r="AM64" s="1219" t="str">
        <f>VLOOKUP($A64,'2018'!$A:$AT,42,FALSE)</f>
        <v>(25-49)</v>
      </c>
      <c r="AN64" s="1219" t="str">
        <f>VLOOKUP($A64,'2018'!$A:$AT,45,FALSE)</f>
        <v xml:space="preserve"> (2-49)</v>
      </c>
      <c r="AO64" s="1263" t="s">
        <v>3915</v>
      </c>
      <c r="AP64" s="1264">
        <v>43</v>
      </c>
    </row>
    <row r="65" spans="1:42" ht="15.75" customHeight="1">
      <c r="A65" s="1219" t="s">
        <v>174</v>
      </c>
      <c r="B65" s="1260" t="s">
        <v>6158</v>
      </c>
      <c r="C65" s="1219" t="s">
        <v>174</v>
      </c>
      <c r="D65" s="1219" t="s">
        <v>174</v>
      </c>
      <c r="E65" s="1222">
        <v>0</v>
      </c>
      <c r="F65" s="1222" t="s">
        <v>3653</v>
      </c>
      <c r="G65" s="1222" t="s">
        <v>5518</v>
      </c>
      <c r="H65" s="1221">
        <v>42339</v>
      </c>
      <c r="I65" s="1221"/>
      <c r="J65" s="1219" t="s">
        <v>5964</v>
      </c>
      <c r="K65" s="1219" t="s">
        <v>5965</v>
      </c>
      <c r="L65" s="1219" t="s">
        <v>5868</v>
      </c>
      <c r="M65" s="1219" t="s">
        <v>476</v>
      </c>
      <c r="N65" s="1219">
        <v>92121</v>
      </c>
      <c r="O65" s="1220">
        <v>43101</v>
      </c>
      <c r="P65" s="1219" t="s">
        <v>2474</v>
      </c>
      <c r="Q65" s="1219" t="s">
        <v>2474</v>
      </c>
      <c r="R65" s="1219" t="s">
        <v>5585</v>
      </c>
      <c r="S65" s="1219" t="s">
        <v>5584</v>
      </c>
      <c r="T65" s="1219" t="s">
        <v>5533</v>
      </c>
      <c r="U65" s="1219" t="s">
        <v>6094</v>
      </c>
      <c r="V65" s="1219" t="s">
        <v>5584</v>
      </c>
      <c r="W65" s="1219" t="s">
        <v>5533</v>
      </c>
      <c r="X65" s="1219" t="s">
        <v>6094</v>
      </c>
      <c r="Y65" s="1219" t="s">
        <v>5584</v>
      </c>
      <c r="Z65" s="1219" t="s">
        <v>5583</v>
      </c>
      <c r="AA65" s="1219" t="s">
        <v>5873</v>
      </c>
      <c r="AB65" s="1219" t="s">
        <v>3243</v>
      </c>
      <c r="AC65" s="1219" t="s">
        <v>5582</v>
      </c>
      <c r="AD65" s="1219" t="s">
        <v>5581</v>
      </c>
      <c r="AE65" s="1219" t="s">
        <v>5874</v>
      </c>
      <c r="AF65" s="1219">
        <v>0</v>
      </c>
      <c r="AG65" s="1219">
        <v>0</v>
      </c>
      <c r="AH65" s="1219" t="str">
        <f>VLOOKUP($A65,'2018'!$A:$AT,20,FALSE)</f>
        <v>N/A</v>
      </c>
      <c r="AI65" s="1219" t="str">
        <f>VLOOKUP($A65,'2018'!$A:$AT,21,FALSE)</f>
        <v>N/A</v>
      </c>
      <c r="AJ65" s="1219">
        <f>VLOOKUP($A65,'2018'!$A:$AT,23,FALSE)</f>
        <v>0</v>
      </c>
      <c r="AK65" s="1219">
        <f>VLOOKUP($A65,'2018'!$A:$AT,24,FALSE)</f>
        <v>0</v>
      </c>
      <c r="AL65" s="1219" t="str">
        <f>VLOOKUP($A65,'2018'!$A:$AT,41,FALSE)</f>
        <v>Region 1</v>
      </c>
      <c r="AM65" s="1219" t="str">
        <f>VLOOKUP($A65,'2018'!$A:$AT,42,FALSE)</f>
        <v>(25-49)</v>
      </c>
      <c r="AN65" s="1219" t="str">
        <f>VLOOKUP($A65,'2018'!$A:$AT,45,FALSE)</f>
        <v xml:space="preserve"> (2-49)</v>
      </c>
      <c r="AO65" s="1263" t="e">
        <v>#N/A</v>
      </c>
      <c r="AP65" s="1264">
        <v>36</v>
      </c>
    </row>
    <row r="66" spans="1:42">
      <c r="A66" s="1219" t="s">
        <v>5511</v>
      </c>
      <c r="B66" s="1219" t="s">
        <v>4224</v>
      </c>
      <c r="C66" s="1219" t="e">
        <v>#N/A</v>
      </c>
      <c r="D66" s="1219" t="s">
        <v>5511</v>
      </c>
      <c r="E66" s="1222" t="s">
        <v>4141</v>
      </c>
      <c r="F66" s="1222" t="s">
        <v>3653</v>
      </c>
      <c r="G66" s="1222" t="s">
        <v>5518</v>
      </c>
      <c r="H66" s="1221">
        <v>43132</v>
      </c>
      <c r="I66" s="1221"/>
      <c r="J66" s="1219" t="s">
        <v>5966</v>
      </c>
      <c r="K66" s="1219">
        <v>0</v>
      </c>
      <c r="L66" s="1219" t="s">
        <v>5868</v>
      </c>
      <c r="M66" s="1219" t="s">
        <v>476</v>
      </c>
      <c r="N66" s="1219">
        <v>92117</v>
      </c>
      <c r="O66" s="1220">
        <v>43132</v>
      </c>
      <c r="P66" s="1219" t="s">
        <v>2473</v>
      </c>
      <c r="Q66" s="1219" t="s">
        <v>2473</v>
      </c>
      <c r="R66" s="1219" t="s">
        <v>4983</v>
      </c>
      <c r="S66" s="1219" t="s">
        <v>5521</v>
      </c>
      <c r="T66" s="1219" t="s">
        <v>5580</v>
      </c>
      <c r="U66" s="1219" t="s">
        <v>6095</v>
      </c>
      <c r="V66" s="1219" t="s">
        <v>5521</v>
      </c>
      <c r="W66" s="1219" t="s">
        <v>5580</v>
      </c>
      <c r="X66" s="1219" t="s">
        <v>6095</v>
      </c>
      <c r="Y66" s="1219" t="s">
        <v>5558</v>
      </c>
      <c r="Z66" s="1219" t="s">
        <v>5557</v>
      </c>
      <c r="AA66" s="1219" t="s">
        <v>5878</v>
      </c>
      <c r="AB66" s="1219" t="s">
        <v>5556</v>
      </c>
      <c r="AC66" s="1219" t="s">
        <v>5539</v>
      </c>
      <c r="AD66" s="1219" t="s">
        <v>5538</v>
      </c>
      <c r="AE66" s="1219" t="s">
        <v>5842</v>
      </c>
      <c r="AF66" s="1219">
        <v>0</v>
      </c>
      <c r="AG66" s="1219">
        <v>0</v>
      </c>
      <c r="AH66" s="1219" t="str">
        <f>VLOOKUP($A66,'2018'!$A:$AT,20,FALSE)</f>
        <v>SCAL</v>
      </c>
      <c r="AI66" s="1219" t="str">
        <f>VLOOKUP($A66,'2018'!$A:$AT,21,FALSE)</f>
        <v>Group D (54+)</v>
      </c>
      <c r="AJ66" s="1219" t="str">
        <f>VLOOKUP($A66,'2018'!$A:$AT,23,FALSE)</f>
        <v>Advantage</v>
      </c>
      <c r="AK66" s="1219" t="str">
        <f>VLOOKUP($A66,'2018'!$A:$AT,24,FALSE)</f>
        <v>No</v>
      </c>
      <c r="AL66" s="1219" t="str">
        <f>VLOOKUP($A66,'2018'!$A:$AT,41,FALSE)</f>
        <v>Region 2</v>
      </c>
      <c r="AM66" s="1219" t="str">
        <f>VLOOKUP($A66,'2018'!$A:$AT,42,FALSE)</f>
        <v>(2-9)</v>
      </c>
      <c r="AN66" s="1219" t="str">
        <f>VLOOKUP($A66,'2018'!$A:$AT,45,FALSE)</f>
        <v xml:space="preserve"> (2-49)</v>
      </c>
      <c r="AO66" s="1263" t="s">
        <v>4347</v>
      </c>
      <c r="AP66" s="1264" t="e">
        <v>#N/A</v>
      </c>
    </row>
    <row r="67" spans="1:42">
      <c r="A67" s="1219" t="s">
        <v>4201</v>
      </c>
      <c r="B67" s="1219" t="s">
        <v>4369</v>
      </c>
      <c r="C67" s="1219" t="s">
        <v>4201</v>
      </c>
      <c r="D67" s="1219" t="s">
        <v>4201</v>
      </c>
      <c r="E67" s="1222">
        <v>0</v>
      </c>
      <c r="F67" s="1222" t="s">
        <v>3653</v>
      </c>
      <c r="G67" s="1222" t="s">
        <v>5518</v>
      </c>
      <c r="H67" s="1221">
        <v>43191</v>
      </c>
      <c r="I67" s="1221"/>
      <c r="J67" s="1219" t="s">
        <v>5989</v>
      </c>
      <c r="K67" s="1219"/>
      <c r="L67" s="1219" t="s">
        <v>5990</v>
      </c>
      <c r="M67" s="1219" t="s">
        <v>476</v>
      </c>
      <c r="N67" s="1219">
        <v>92121</v>
      </c>
      <c r="O67" s="1220">
        <v>43191</v>
      </c>
      <c r="P67" s="1219" t="s">
        <v>2473</v>
      </c>
      <c r="Q67" s="1219" t="s">
        <v>2473</v>
      </c>
      <c r="R67" s="1219" t="s">
        <v>4661</v>
      </c>
      <c r="S67" s="1219" t="s">
        <v>5513</v>
      </c>
      <c r="T67" s="1219" t="s">
        <v>5579</v>
      </c>
      <c r="U67" s="1219" t="s">
        <v>6096</v>
      </c>
      <c r="V67" s="1219" t="s">
        <v>5513</v>
      </c>
      <c r="W67" s="1219" t="s">
        <v>5579</v>
      </c>
      <c r="X67" s="1219" t="s">
        <v>6096</v>
      </c>
      <c r="Y67" s="1219" t="s">
        <v>5578</v>
      </c>
      <c r="Z67" s="1219" t="s">
        <v>5577</v>
      </c>
      <c r="AA67" s="1219" t="s">
        <v>5967</v>
      </c>
      <c r="AB67" s="1219" t="s">
        <v>3181</v>
      </c>
      <c r="AC67" s="1219" t="s">
        <v>5513</v>
      </c>
      <c r="AD67" s="1219" t="s">
        <v>5512</v>
      </c>
      <c r="AE67" s="1219" t="s">
        <v>5860</v>
      </c>
      <c r="AF67" s="1219">
        <v>0</v>
      </c>
      <c r="AG67" s="1219">
        <v>0</v>
      </c>
      <c r="AH67" s="1219" t="str">
        <f>VLOOKUP($A67,'2018'!$A:$AT,20,FALSE)</f>
        <v>SCAL</v>
      </c>
      <c r="AI67" s="1219" t="str">
        <f>VLOOKUP($A67,'2018'!$A:$AT,21,FALSE)</f>
        <v>Group B (34-44)</v>
      </c>
      <c r="AJ67" s="1219" t="str">
        <f>VLOOKUP($A67,'2018'!$A:$AT,23,FALSE)</f>
        <v>Advantage</v>
      </c>
      <c r="AK67" s="1219" t="str">
        <f>VLOOKUP($A67,'2018'!$A:$AT,24,FALSE)</f>
        <v>No</v>
      </c>
      <c r="AL67" s="1219" t="str">
        <f>VLOOKUP($A67,'2018'!$A:$AT,41,FALSE)</f>
        <v xml:space="preserve">Region 2 </v>
      </c>
      <c r="AM67" s="1219" t="str">
        <f>VLOOKUP($A67,'2018'!$A:$AT,42,FALSE)</f>
        <v>(50-99)</v>
      </c>
      <c r="AN67" s="1219" t="str">
        <f>VLOOKUP($A67,'2018'!$A:$AT,45,FALSE)</f>
        <v>(50-99)</v>
      </c>
      <c r="AO67" s="1263" t="s">
        <v>4346</v>
      </c>
      <c r="AP67" s="1264">
        <v>53</v>
      </c>
    </row>
    <row r="68" spans="1:42">
      <c r="A68" s="1219" t="s">
        <v>178</v>
      </c>
      <c r="B68" s="1219" t="s">
        <v>3917</v>
      </c>
      <c r="C68" s="1219" t="s">
        <v>178</v>
      </c>
      <c r="D68" s="1219" t="s">
        <v>178</v>
      </c>
      <c r="E68" s="1222">
        <v>0</v>
      </c>
      <c r="F68" s="1222" t="s">
        <v>3653</v>
      </c>
      <c r="G68" s="1222" t="s">
        <v>5518</v>
      </c>
      <c r="H68" s="1221">
        <v>42795</v>
      </c>
      <c r="I68" s="1221"/>
      <c r="J68" s="1219" t="s">
        <v>5968</v>
      </c>
      <c r="K68" s="1219" t="s">
        <v>5969</v>
      </c>
      <c r="L68" s="1219" t="s">
        <v>5928</v>
      </c>
      <c r="M68" s="1219" t="s">
        <v>476</v>
      </c>
      <c r="N68" s="1219">
        <v>92618</v>
      </c>
      <c r="O68" s="1220">
        <v>43101</v>
      </c>
      <c r="P68" s="1219" t="s">
        <v>2474</v>
      </c>
      <c r="Q68" s="1219" t="s">
        <v>2474</v>
      </c>
      <c r="R68" s="1219" t="s">
        <v>4983</v>
      </c>
      <c r="S68" s="1219" t="s">
        <v>5576</v>
      </c>
      <c r="T68" s="1219" t="s">
        <v>5575</v>
      </c>
      <c r="U68" s="1219" t="s">
        <v>6097</v>
      </c>
      <c r="V68" s="1219" t="s">
        <v>5576</v>
      </c>
      <c r="W68" s="1219" t="s">
        <v>5575</v>
      </c>
      <c r="X68" s="1219" t="s">
        <v>6097</v>
      </c>
      <c r="Y68" s="1219" t="s">
        <v>5558</v>
      </c>
      <c r="Z68" s="1219" t="s">
        <v>5557</v>
      </c>
      <c r="AA68" s="1219" t="s">
        <v>5878</v>
      </c>
      <c r="AB68" s="1219" t="s">
        <v>5556</v>
      </c>
      <c r="AC68" s="1219" t="s">
        <v>5533</v>
      </c>
      <c r="AD68" s="1219" t="s">
        <v>4835</v>
      </c>
      <c r="AE68" s="1219" t="s">
        <v>5851</v>
      </c>
      <c r="AF68" s="1219">
        <v>0</v>
      </c>
      <c r="AG68" s="1219">
        <v>0</v>
      </c>
      <c r="AH68" s="1219" t="str">
        <f>VLOOKUP($A68,'2018'!$A:$AT,20,FALSE)</f>
        <v>SCAL</v>
      </c>
      <c r="AI68" s="1219" t="str">
        <f>VLOOKUP($A68,'2018'!$A:$AT,21,FALSE)</f>
        <v>Group C (44-54)</v>
      </c>
      <c r="AJ68" s="1219" t="str">
        <f>VLOOKUP($A68,'2018'!$A:$AT,23,FALSE)</f>
        <v>Access</v>
      </c>
      <c r="AK68" s="1219" t="str">
        <f>VLOOKUP($A68,'2018'!$A:$AT,24,FALSE)</f>
        <v>No</v>
      </c>
      <c r="AL68" s="1219" t="str">
        <f>VLOOKUP($A68,'2018'!$A:$AT,41,FALSE)</f>
        <v xml:space="preserve">Region 3 </v>
      </c>
      <c r="AM68" s="1219" t="str">
        <f>VLOOKUP($A68,'2018'!$A:$AT,42,FALSE)</f>
        <v>(2-9)</v>
      </c>
      <c r="AN68" s="1219" t="str">
        <f>VLOOKUP($A68,'2018'!$A:$AT,45,FALSE)</f>
        <v xml:space="preserve"> (2-49)</v>
      </c>
      <c r="AO68" s="1263" t="s">
        <v>3918</v>
      </c>
      <c r="AP68" s="1264">
        <v>2</v>
      </c>
    </row>
    <row r="69" spans="1:42" ht="15.75" customHeight="1">
      <c r="A69" s="1219" t="s">
        <v>1326</v>
      </c>
      <c r="B69" s="1219" t="s">
        <v>3920</v>
      </c>
      <c r="C69" s="1219" t="s">
        <v>1326</v>
      </c>
      <c r="D69" s="1219" t="s">
        <v>4123</v>
      </c>
      <c r="E69" s="1222">
        <v>0</v>
      </c>
      <c r="F69" s="1222" t="s">
        <v>3654</v>
      </c>
      <c r="G69" s="1222" t="s">
        <v>72</v>
      </c>
      <c r="H69" s="1221">
        <v>43101</v>
      </c>
      <c r="I69" s="1221"/>
      <c r="J69" s="1219" t="s">
        <v>5970</v>
      </c>
      <c r="K69" s="1219">
        <v>0</v>
      </c>
      <c r="L69" s="1219" t="s">
        <v>5971</v>
      </c>
      <c r="M69" s="1219" t="s">
        <v>476</v>
      </c>
      <c r="N69" s="1219">
        <v>94404</v>
      </c>
      <c r="O69" s="1220">
        <v>43101</v>
      </c>
      <c r="P69" s="1219" t="s">
        <v>2473</v>
      </c>
      <c r="Q69" s="1219" t="s">
        <v>2473</v>
      </c>
      <c r="R69" s="1219" t="s">
        <v>3654</v>
      </c>
      <c r="S69" s="1219" t="s">
        <v>5574</v>
      </c>
      <c r="T69" s="1219" t="s">
        <v>5573</v>
      </c>
      <c r="U69" s="1219" t="s">
        <v>6098</v>
      </c>
      <c r="V69" s="1219" t="s">
        <v>5572</v>
      </c>
      <c r="W69" s="1219" t="s">
        <v>5571</v>
      </c>
      <c r="X69" s="1219" t="s">
        <v>6099</v>
      </c>
      <c r="Y69" s="1219" t="s">
        <v>5523</v>
      </c>
      <c r="Z69" s="1219" t="s">
        <v>5522</v>
      </c>
      <c r="AA69" s="1219" t="s">
        <v>5995</v>
      </c>
      <c r="AB69" s="1219" t="s">
        <v>3464</v>
      </c>
      <c r="AC69" s="1219" t="s">
        <v>5521</v>
      </c>
      <c r="AD69" s="1219" t="s">
        <v>5520</v>
      </c>
      <c r="AE69" s="1219" t="s">
        <v>5996</v>
      </c>
      <c r="AF69" s="1219">
        <v>0</v>
      </c>
      <c r="AG69" s="1219">
        <v>0</v>
      </c>
      <c r="AH69" s="1219" t="str">
        <f>VLOOKUP($A69,'2018'!$A:$AT,20,FALSE)</f>
        <v>NCAL</v>
      </c>
      <c r="AI69" s="1219" t="str">
        <f>VLOOKUP($A69,'2018'!$A:$AT,21,FALSE)</f>
        <v>Group C (44-54)</v>
      </c>
      <c r="AJ69" s="1219" t="str">
        <f>VLOOKUP($A69,'2018'!$A:$AT,23,FALSE)</f>
        <v>Advantage</v>
      </c>
      <c r="AK69" s="1219" t="str">
        <f>VLOOKUP($A69,'2018'!$A:$AT,24,FALSE)</f>
        <v>No</v>
      </c>
      <c r="AL69" s="1219" t="str">
        <f>VLOOKUP($A69,'2018'!$A:$AT,41,FALSE)</f>
        <v>Region 4</v>
      </c>
      <c r="AM69" s="1219" t="str">
        <f>VLOOKUP($A69,'2018'!$A:$AT,42,FALSE)</f>
        <v>(10-24)</v>
      </c>
      <c r="AN69" s="1219" t="str">
        <f>VLOOKUP($A69,'2018'!$A:$AT,45,FALSE)</f>
        <v xml:space="preserve"> (2-49)</v>
      </c>
      <c r="AO69" s="1263" t="s">
        <v>3921</v>
      </c>
      <c r="AP69" s="1264">
        <v>24</v>
      </c>
    </row>
    <row r="70" spans="1:42">
      <c r="A70" s="1219" t="s">
        <v>180</v>
      </c>
      <c r="B70" s="1219" t="s">
        <v>4368</v>
      </c>
      <c r="C70" s="1219" t="e">
        <v>#N/A</v>
      </c>
      <c r="D70" s="1219" t="s">
        <v>180</v>
      </c>
      <c r="E70" s="1222">
        <v>0</v>
      </c>
      <c r="F70" s="1222" t="s">
        <v>3653</v>
      </c>
      <c r="G70" s="1222" t="s">
        <v>5518</v>
      </c>
      <c r="H70" s="1221">
        <v>42826</v>
      </c>
      <c r="I70" s="1221"/>
      <c r="J70" s="1219" t="s">
        <v>5972</v>
      </c>
      <c r="K70" s="1219">
        <v>0</v>
      </c>
      <c r="L70" s="1219" t="s">
        <v>5853</v>
      </c>
      <c r="M70" s="1219" t="s">
        <v>476</v>
      </c>
      <c r="N70" s="1219">
        <v>94103</v>
      </c>
      <c r="O70" s="1220">
        <v>43101</v>
      </c>
      <c r="P70" s="1219" t="s">
        <v>2474</v>
      </c>
      <c r="Q70" s="1219" t="s">
        <v>2474</v>
      </c>
      <c r="R70" s="1219" t="s">
        <v>4983</v>
      </c>
      <c r="S70" s="1219" t="s">
        <v>5570</v>
      </c>
      <c r="T70" s="1219" t="s">
        <v>5569</v>
      </c>
      <c r="U70" s="1219" t="s">
        <v>6100</v>
      </c>
      <c r="V70" s="1219" t="s">
        <v>5570</v>
      </c>
      <c r="W70" s="1219" t="s">
        <v>5569</v>
      </c>
      <c r="X70" s="1219" t="s">
        <v>6100</v>
      </c>
      <c r="Y70" s="1219" t="s">
        <v>5558</v>
      </c>
      <c r="Z70" s="1219" t="s">
        <v>5557</v>
      </c>
      <c r="AA70" s="1219" t="s">
        <v>5878</v>
      </c>
      <c r="AB70" s="1219" t="s">
        <v>5556</v>
      </c>
      <c r="AC70" s="1219" t="s">
        <v>5533</v>
      </c>
      <c r="AD70" s="1219" t="s">
        <v>4835</v>
      </c>
      <c r="AE70" s="1219" t="s">
        <v>5851</v>
      </c>
      <c r="AF70" s="1219">
        <v>0</v>
      </c>
      <c r="AG70" s="1219">
        <v>0</v>
      </c>
      <c r="AH70" s="1219" t="str">
        <f>VLOOKUP($A70,'2018'!$A:$AT,20,FALSE)</f>
        <v>NCAL</v>
      </c>
      <c r="AI70" s="1219" t="str">
        <f>VLOOKUP($A70,'2018'!$A:$AT,21,FALSE)</f>
        <v>Group A (&lt;34)</v>
      </c>
      <c r="AJ70" s="1219" t="str">
        <f>VLOOKUP($A70,'2018'!$A:$AT,23,FALSE)</f>
        <v>Advantage</v>
      </c>
      <c r="AK70" s="1219" t="str">
        <f>VLOOKUP($A70,'2018'!$A:$AT,24,FALSE)</f>
        <v>No</v>
      </c>
      <c r="AL70" s="1219" t="str">
        <f>VLOOKUP($A70,'2018'!$A:$AT,41,FALSE)</f>
        <v>N/A</v>
      </c>
      <c r="AM70" s="1219" t="str">
        <f>VLOOKUP($A70,'2018'!$A:$AT,42,FALSE)</f>
        <v>N/A</v>
      </c>
      <c r="AN70" s="1219" t="str">
        <f>VLOOKUP($A70,'2018'!$A:$AT,45,FALSE)</f>
        <v>N/A</v>
      </c>
      <c r="AO70" s="1263" t="s">
        <v>4139</v>
      </c>
      <c r="AP70" s="1264" t="e">
        <v>#N/A</v>
      </c>
    </row>
    <row r="71" spans="1:42">
      <c r="A71" s="1219" t="s">
        <v>3715</v>
      </c>
      <c r="B71" s="1219" t="s">
        <v>3925</v>
      </c>
      <c r="C71" s="1219" t="s">
        <v>3715</v>
      </c>
      <c r="D71" s="1219" t="s">
        <v>4126</v>
      </c>
      <c r="E71" s="1222">
        <v>0</v>
      </c>
      <c r="F71" s="1222" t="s">
        <v>3653</v>
      </c>
      <c r="G71" s="1222" t="s">
        <v>5518</v>
      </c>
      <c r="H71" s="1221">
        <v>43101</v>
      </c>
      <c r="I71" s="1221"/>
      <c r="J71" s="1219" t="s">
        <v>5973</v>
      </c>
      <c r="K71" s="1219" t="s">
        <v>5974</v>
      </c>
      <c r="L71" s="1219" t="s">
        <v>5868</v>
      </c>
      <c r="M71" s="1219" t="s">
        <v>476</v>
      </c>
      <c r="N71" s="1219">
        <v>92109</v>
      </c>
      <c r="O71" s="1220">
        <v>43101</v>
      </c>
      <c r="P71" s="1219" t="s">
        <v>2473</v>
      </c>
      <c r="Q71" s="1219" t="s">
        <v>2473</v>
      </c>
      <c r="R71" s="1219" t="s">
        <v>4661</v>
      </c>
      <c r="S71" s="1219" t="s">
        <v>5568</v>
      </c>
      <c r="T71" s="1219" t="s">
        <v>5567</v>
      </c>
      <c r="U71" s="1219" t="s">
        <v>6101</v>
      </c>
      <c r="V71" s="1219" t="s">
        <v>5566</v>
      </c>
      <c r="W71" s="1219" t="s">
        <v>5565</v>
      </c>
      <c r="X71" s="1219" t="s">
        <v>6102</v>
      </c>
      <c r="Y71" s="1219" t="s">
        <v>5551</v>
      </c>
      <c r="Z71" s="1219" t="s">
        <v>5564</v>
      </c>
      <c r="AA71" s="1219" t="s">
        <v>5876</v>
      </c>
      <c r="AB71" s="1219" t="s">
        <v>5563</v>
      </c>
      <c r="AC71" s="1219" t="s">
        <v>5539</v>
      </c>
      <c r="AD71" s="1219" t="s">
        <v>5538</v>
      </c>
      <c r="AE71" s="1219" t="s">
        <v>5842</v>
      </c>
      <c r="AF71" s="1219">
        <v>0</v>
      </c>
      <c r="AG71" s="1219">
        <v>0</v>
      </c>
      <c r="AH71" s="1219" t="str">
        <f>VLOOKUP($A71,'2018'!$A:$AT,20,FALSE)</f>
        <v>SCAL</v>
      </c>
      <c r="AI71" s="1219" t="str">
        <f>VLOOKUP($A71,'2018'!$A:$AT,21,FALSE)</f>
        <v>Group C (44-54)</v>
      </c>
      <c r="AJ71" s="1219" t="str">
        <f>VLOOKUP($A71,'2018'!$A:$AT,23,FALSE)</f>
        <v>Advantage</v>
      </c>
      <c r="AK71" s="1219" t="str">
        <f>VLOOKUP($A71,'2018'!$A:$AT,24,FALSE)</f>
        <v>No</v>
      </c>
      <c r="AL71" s="1219" t="str">
        <f>VLOOKUP($A71,'2018'!$A:$AT,41,FALSE)</f>
        <v xml:space="preserve">Region 2 </v>
      </c>
      <c r="AM71" s="1219" t="str">
        <f>VLOOKUP($A71,'2018'!$A:$AT,42,FALSE)</f>
        <v>(50-99)</v>
      </c>
      <c r="AN71" s="1219" t="str">
        <f>VLOOKUP($A71,'2018'!$A:$AT,45,FALSE)</f>
        <v xml:space="preserve"> (50-99)</v>
      </c>
      <c r="AO71" s="1263" t="s">
        <v>3926</v>
      </c>
      <c r="AP71" s="1264">
        <v>21</v>
      </c>
    </row>
    <row r="72" spans="1:42">
      <c r="A72" s="1219" t="s">
        <v>4314</v>
      </c>
      <c r="B72" s="1219" t="s">
        <v>4374</v>
      </c>
      <c r="C72" s="1219" t="s">
        <v>4314</v>
      </c>
      <c r="D72" s="1219" t="s">
        <v>4314</v>
      </c>
      <c r="E72" s="1222">
        <v>0</v>
      </c>
      <c r="F72" s="1222" t="s">
        <v>3653</v>
      </c>
      <c r="G72" s="1222" t="s">
        <v>5518</v>
      </c>
      <c r="H72" s="1221">
        <v>43221</v>
      </c>
      <c r="I72" s="1221"/>
      <c r="J72" s="1219" t="s">
        <v>5975</v>
      </c>
      <c r="K72" s="1219" t="s">
        <v>5976</v>
      </c>
      <c r="L72" s="1219" t="s">
        <v>5853</v>
      </c>
      <c r="M72" s="1219" t="s">
        <v>476</v>
      </c>
      <c r="N72" s="1219">
        <v>94111</v>
      </c>
      <c r="O72" s="1220">
        <v>43221</v>
      </c>
      <c r="P72" s="1219" t="s">
        <v>2473</v>
      </c>
      <c r="Q72" s="1219" t="s">
        <v>2473</v>
      </c>
      <c r="R72" s="1219" t="s">
        <v>4661</v>
      </c>
      <c r="S72" s="1219" t="s">
        <v>5562</v>
      </c>
      <c r="T72" s="1219" t="s">
        <v>5561</v>
      </c>
      <c r="U72" s="1219" t="s">
        <v>6103</v>
      </c>
      <c r="V72" s="1219" t="s">
        <v>5560</v>
      </c>
      <c r="W72" s="1219" t="s">
        <v>5559</v>
      </c>
      <c r="X72" s="1219" t="s">
        <v>6104</v>
      </c>
      <c r="Y72" s="1219" t="s">
        <v>5558</v>
      </c>
      <c r="Z72" s="1219" t="s">
        <v>5557</v>
      </c>
      <c r="AA72" s="1219" t="s">
        <v>5878</v>
      </c>
      <c r="AB72" s="1219" t="s">
        <v>5556</v>
      </c>
      <c r="AC72" s="1219" t="s">
        <v>5555</v>
      </c>
      <c r="AD72" s="1219" t="s">
        <v>5554</v>
      </c>
      <c r="AE72" s="1219" t="s">
        <v>5902</v>
      </c>
      <c r="AF72" s="1219">
        <v>0</v>
      </c>
      <c r="AG72" s="1219">
        <v>0</v>
      </c>
      <c r="AH72" s="1219" t="str">
        <f>VLOOKUP($A72,'2018'!$A:$AT,20,FALSE)</f>
        <v>NCAL</v>
      </c>
      <c r="AI72" s="1219" t="str">
        <f>VLOOKUP($A72,'2018'!$A:$AT,21,FALSE)</f>
        <v>Group B (34-44)</v>
      </c>
      <c r="AJ72" s="1219" t="str">
        <f>VLOOKUP($A72,'2018'!$A:$AT,23,FALSE)</f>
        <v>Advantage</v>
      </c>
      <c r="AK72" s="1219" t="str">
        <f>VLOOKUP($A72,'2018'!$A:$AT,24,FALSE)</f>
        <v>No</v>
      </c>
      <c r="AL72" s="1219" t="str">
        <f>VLOOKUP($A72,'2018'!$A:$AT,41,FALSE)</f>
        <v xml:space="preserve">Region 4 </v>
      </c>
      <c r="AM72" s="1219" t="str">
        <f>VLOOKUP($A72,'2018'!$A:$AT,42,FALSE)</f>
        <v>(2-9)</v>
      </c>
      <c r="AN72" s="1219" t="str">
        <f>VLOOKUP($A72,'2018'!$A:$AT,45,FALSE)</f>
        <v xml:space="preserve"> (2-49)</v>
      </c>
      <c r="AO72" s="1263" t="s">
        <v>4546</v>
      </c>
      <c r="AP72" s="1264">
        <v>55</v>
      </c>
    </row>
    <row r="73" spans="1:42" ht="15.75" customHeight="1">
      <c r="A73" s="1219" t="s">
        <v>1248</v>
      </c>
      <c r="B73" s="1219" t="s">
        <v>3929</v>
      </c>
      <c r="C73" s="1219" t="e">
        <v>#N/A</v>
      </c>
      <c r="D73" s="1219" t="s">
        <v>4127</v>
      </c>
      <c r="E73" s="1222">
        <v>0</v>
      </c>
      <c r="F73" s="1222" t="s">
        <v>3654</v>
      </c>
      <c r="G73" s="1222" t="s">
        <v>72</v>
      </c>
      <c r="H73" s="1221">
        <v>43070</v>
      </c>
      <c r="I73" s="1221"/>
      <c r="J73" s="1219" t="s">
        <v>5895</v>
      </c>
      <c r="K73" s="1219" t="s">
        <v>5844</v>
      </c>
      <c r="L73" s="1219" t="s">
        <v>5861</v>
      </c>
      <c r="M73" s="1219" t="s">
        <v>476</v>
      </c>
      <c r="N73" s="1219">
        <v>94403</v>
      </c>
      <c r="O73" s="1220">
        <v>43070</v>
      </c>
      <c r="P73" s="1219" t="s">
        <v>2473</v>
      </c>
      <c r="Q73" s="1219" t="s">
        <v>2473</v>
      </c>
      <c r="R73" s="1219" t="s">
        <v>3654</v>
      </c>
      <c r="S73" s="1219" t="s">
        <v>5553</v>
      </c>
      <c r="T73" s="1219" t="s">
        <v>5552</v>
      </c>
      <c r="U73" s="1219" t="s">
        <v>6105</v>
      </c>
      <c r="V73" s="1219" t="s">
        <v>5553</v>
      </c>
      <c r="W73" s="1219" t="s">
        <v>5552</v>
      </c>
      <c r="X73" s="1219" t="s">
        <v>6105</v>
      </c>
      <c r="Y73" s="1219" t="s">
        <v>5551</v>
      </c>
      <c r="Z73" s="1219" t="s">
        <v>5550</v>
      </c>
      <c r="AA73" s="1219" t="s">
        <v>6106</v>
      </c>
      <c r="AB73" s="1219" t="s">
        <v>3486</v>
      </c>
      <c r="AC73" s="1219" t="s">
        <v>5549</v>
      </c>
      <c r="AD73" s="1219" t="s">
        <v>5548</v>
      </c>
      <c r="AE73" s="1219" t="s">
        <v>6043</v>
      </c>
      <c r="AF73" s="1219">
        <v>0</v>
      </c>
      <c r="AG73" s="1219">
        <v>0</v>
      </c>
      <c r="AH73" s="1219" t="str">
        <f>VLOOKUP($A73,'2018'!$A:$AT,20,FALSE)</f>
        <v>NCAL</v>
      </c>
      <c r="AI73" s="1219" t="str">
        <f>VLOOKUP($A73,'2018'!$A:$AT,21,FALSE)</f>
        <v>Group C (44-54)</v>
      </c>
      <c r="AJ73" s="1219" t="str">
        <f>VLOOKUP($A73,'2018'!$A:$AT,23,FALSE)</f>
        <v>Advantage</v>
      </c>
      <c r="AK73" s="1219" t="str">
        <f>VLOOKUP($A73,'2018'!$A:$AT,24,FALSE)</f>
        <v>No</v>
      </c>
      <c r="AL73" s="1219" t="str">
        <f>VLOOKUP($A73,'2018'!$A:$AT,41,FALSE)</f>
        <v>N/A</v>
      </c>
      <c r="AM73" s="1219" t="str">
        <f>VLOOKUP($A73,'2018'!$A:$AT,42,FALSE)</f>
        <v>N/A</v>
      </c>
      <c r="AN73" s="1219" t="str">
        <f>VLOOKUP($A73,'2018'!$A:$AT,45,FALSE)</f>
        <v xml:space="preserve"> (50-99)</v>
      </c>
      <c r="AO73" s="1263" t="s">
        <v>3930</v>
      </c>
      <c r="AP73" s="1264" t="e">
        <v>#N/A</v>
      </c>
    </row>
    <row r="74" spans="1:42">
      <c r="A74" s="1219" t="s">
        <v>414</v>
      </c>
      <c r="B74" s="1219" t="s">
        <v>3932</v>
      </c>
      <c r="C74" s="1219" t="s">
        <v>3712</v>
      </c>
      <c r="D74" s="1219" t="s">
        <v>4130</v>
      </c>
      <c r="E74" s="1222">
        <v>0</v>
      </c>
      <c r="F74" s="1222" t="s">
        <v>3654</v>
      </c>
      <c r="G74" s="1222" t="s">
        <v>72</v>
      </c>
      <c r="H74" s="1221">
        <v>43070</v>
      </c>
      <c r="I74" s="1221"/>
      <c r="J74" s="1219" t="s">
        <v>5977</v>
      </c>
      <c r="K74" s="1219" t="s">
        <v>5916</v>
      </c>
      <c r="L74" s="1219" t="s">
        <v>5963</v>
      </c>
      <c r="M74" s="1219" t="s">
        <v>476</v>
      </c>
      <c r="N74" s="1219">
        <v>94566</v>
      </c>
      <c r="O74" s="1220">
        <v>43070</v>
      </c>
      <c r="P74" s="1219" t="s">
        <v>2473</v>
      </c>
      <c r="Q74" s="1219" t="s">
        <v>2473</v>
      </c>
      <c r="R74" s="1219" t="s">
        <v>3654</v>
      </c>
      <c r="S74" s="1219" t="s">
        <v>5547</v>
      </c>
      <c r="T74" s="1219" t="s">
        <v>5546</v>
      </c>
      <c r="U74" s="1219" t="s">
        <v>6107</v>
      </c>
      <c r="V74" s="1219" t="s">
        <v>5547</v>
      </c>
      <c r="W74" s="1219" t="s">
        <v>5546</v>
      </c>
      <c r="X74" s="1219" t="s">
        <v>6107</v>
      </c>
      <c r="Y74" s="1219" t="s">
        <v>5523</v>
      </c>
      <c r="Z74" s="1219" t="s">
        <v>5522</v>
      </c>
      <c r="AA74" s="1219" t="s">
        <v>5995</v>
      </c>
      <c r="AB74" s="1219" t="s">
        <v>3464</v>
      </c>
      <c r="AC74" s="1219" t="s">
        <v>5521</v>
      </c>
      <c r="AD74" s="1219" t="s">
        <v>5520</v>
      </c>
      <c r="AE74" s="1219" t="s">
        <v>5996</v>
      </c>
      <c r="AF74" s="1219">
        <v>0</v>
      </c>
      <c r="AG74" s="1219">
        <v>0</v>
      </c>
      <c r="AH74" s="1219" t="str">
        <f>VLOOKUP($A74,'2018'!$A:$AT,20,FALSE)</f>
        <v>NCAL</v>
      </c>
      <c r="AI74" s="1219" t="str">
        <f>VLOOKUP($A74,'2018'!$A:$AT,21,FALSE)</f>
        <v>Group C (44-54)</v>
      </c>
      <c r="AJ74" s="1219" t="str">
        <f>VLOOKUP($A74,'2018'!$A:$AT,23,FALSE)</f>
        <v>Advantage</v>
      </c>
      <c r="AK74" s="1219" t="str">
        <f>VLOOKUP($A74,'2018'!$A:$AT,24,FALSE)</f>
        <v>No</v>
      </c>
      <c r="AL74" s="1219" t="str">
        <f>VLOOKUP($A74,'2018'!$A:$AT,41,FALSE)</f>
        <v>Region 4</v>
      </c>
      <c r="AM74" s="1219" t="str">
        <f>VLOOKUP($A74,'2018'!$A:$AT,42,FALSE)</f>
        <v>(25-49)</v>
      </c>
      <c r="AN74" s="1219" t="str">
        <f>VLOOKUP($A74,'2018'!$A:$AT,45,FALSE)</f>
        <v xml:space="preserve"> (2-49)</v>
      </c>
      <c r="AO74" s="1263" t="s">
        <v>3933</v>
      </c>
      <c r="AP74" s="1264">
        <v>15</v>
      </c>
    </row>
    <row r="75" spans="1:42">
      <c r="A75" s="1219" t="s">
        <v>416</v>
      </c>
      <c r="B75" s="1219" t="s">
        <v>3934</v>
      </c>
      <c r="C75" s="1219" t="s">
        <v>3749</v>
      </c>
      <c r="D75" s="1219" t="s">
        <v>416</v>
      </c>
      <c r="E75" s="1222">
        <v>0</v>
      </c>
      <c r="F75" s="1222" t="s">
        <v>3653</v>
      </c>
      <c r="G75" s="1222" t="s">
        <v>5518</v>
      </c>
      <c r="H75" s="1221">
        <v>43101</v>
      </c>
      <c r="I75" s="1221"/>
      <c r="J75" s="1219" t="s">
        <v>5978</v>
      </c>
      <c r="K75" s="1219" t="s">
        <v>5979</v>
      </c>
      <c r="L75" s="1219" t="s">
        <v>5907</v>
      </c>
      <c r="M75" s="1219" t="s">
        <v>476</v>
      </c>
      <c r="N75" s="1219">
        <v>94080</v>
      </c>
      <c r="O75" s="1220">
        <v>43101</v>
      </c>
      <c r="P75" s="1219" t="s">
        <v>2473</v>
      </c>
      <c r="Q75" s="1219" t="s">
        <v>2473</v>
      </c>
      <c r="R75" s="1219" t="s">
        <v>4835</v>
      </c>
      <c r="S75" s="1219" t="s">
        <v>5545</v>
      </c>
      <c r="T75" s="1219" t="s">
        <v>5544</v>
      </c>
      <c r="U75" s="1219" t="s">
        <v>6108</v>
      </c>
      <c r="V75" s="1219" t="s">
        <v>5543</v>
      </c>
      <c r="W75" s="1219" t="s">
        <v>5542</v>
      </c>
      <c r="X75" s="1219" t="s">
        <v>6109</v>
      </c>
      <c r="Y75" s="1219" t="s">
        <v>5529</v>
      </c>
      <c r="Z75" s="1219" t="s">
        <v>5528</v>
      </c>
      <c r="AA75" s="1219" t="s">
        <v>5929</v>
      </c>
      <c r="AB75" s="1219" t="s">
        <v>3176</v>
      </c>
      <c r="AC75" s="1219" t="s">
        <v>5533</v>
      </c>
      <c r="AD75" s="1219" t="s">
        <v>4835</v>
      </c>
      <c r="AE75" s="1219" t="s">
        <v>5851</v>
      </c>
      <c r="AF75" s="1219">
        <v>0</v>
      </c>
      <c r="AG75" s="1219">
        <v>0</v>
      </c>
      <c r="AH75" s="1219" t="str">
        <f>VLOOKUP($A75,'2018'!$A:$AT,20,FALSE)</f>
        <v>NCAL</v>
      </c>
      <c r="AI75" s="1219" t="str">
        <f>VLOOKUP($A75,'2018'!$A:$AT,21,FALSE)</f>
        <v>Group C (44-54)</v>
      </c>
      <c r="AJ75" s="1219" t="str">
        <f>VLOOKUP($A75,'2018'!$A:$AT,23,FALSE)</f>
        <v>Advantage</v>
      </c>
      <c r="AK75" s="1219" t="str">
        <f>VLOOKUP($A75,'2018'!$A:$AT,24,FALSE)</f>
        <v>No</v>
      </c>
      <c r="AL75" s="1219" t="str">
        <f>VLOOKUP($A75,'2018'!$A:$AT,41,FALSE)</f>
        <v>Region 3</v>
      </c>
      <c r="AM75" s="1219" t="str">
        <f>VLOOKUP($A75,'2018'!$A:$AT,42,FALSE)</f>
        <v>(10-24)</v>
      </c>
      <c r="AN75" s="1219" t="str">
        <f>VLOOKUP($A75,'2018'!$A:$AT,45,FALSE)</f>
        <v xml:space="preserve"> (2-49)</v>
      </c>
      <c r="AO75" s="1263" t="s">
        <v>3935</v>
      </c>
      <c r="AP75" s="1264">
        <v>39</v>
      </c>
    </row>
    <row r="76" spans="1:42">
      <c r="A76" s="1219" t="s">
        <v>3590</v>
      </c>
      <c r="B76" s="1219" t="s">
        <v>3937</v>
      </c>
      <c r="C76" s="1219" t="s">
        <v>3590</v>
      </c>
      <c r="D76" s="1219" t="s">
        <v>3590</v>
      </c>
      <c r="E76" s="1222">
        <v>0</v>
      </c>
      <c r="F76" s="1222" t="s">
        <v>3653</v>
      </c>
      <c r="G76" s="1222" t="s">
        <v>5518</v>
      </c>
      <c r="H76" s="1221">
        <v>43101</v>
      </c>
      <c r="I76" s="1221"/>
      <c r="J76" s="1219" t="s">
        <v>5980</v>
      </c>
      <c r="K76" s="1219" t="s">
        <v>5981</v>
      </c>
      <c r="L76" s="1219" t="s">
        <v>5868</v>
      </c>
      <c r="M76" s="1219" t="s">
        <v>476</v>
      </c>
      <c r="N76" s="1219">
        <v>92121</v>
      </c>
      <c r="O76" s="1220">
        <v>43101</v>
      </c>
      <c r="P76" s="1219" t="s">
        <v>2473</v>
      </c>
      <c r="Q76" s="1219" t="s">
        <v>2473</v>
      </c>
      <c r="R76" s="1219" t="s">
        <v>4661</v>
      </c>
      <c r="S76" s="1219" t="s">
        <v>5541</v>
      </c>
      <c r="T76" s="1219" t="s">
        <v>5540</v>
      </c>
      <c r="U76" s="1219" t="s">
        <v>6110</v>
      </c>
      <c r="V76" s="1219" t="s">
        <v>5541</v>
      </c>
      <c r="W76" s="1219" t="s">
        <v>5540</v>
      </c>
      <c r="X76" s="1219" t="s">
        <v>6110</v>
      </c>
      <c r="Y76" s="1219" t="s">
        <v>5529</v>
      </c>
      <c r="Z76" s="1219" t="s">
        <v>5528</v>
      </c>
      <c r="AA76" s="1219" t="s">
        <v>5929</v>
      </c>
      <c r="AB76" s="1219" t="s">
        <v>3176</v>
      </c>
      <c r="AC76" s="1219" t="s">
        <v>5539</v>
      </c>
      <c r="AD76" s="1219" t="s">
        <v>5538</v>
      </c>
      <c r="AE76" s="1219" t="s">
        <v>5842</v>
      </c>
      <c r="AF76" s="1219">
        <v>0</v>
      </c>
      <c r="AG76" s="1219">
        <v>0</v>
      </c>
      <c r="AH76" s="1219" t="str">
        <f>VLOOKUP($A76,'2018'!$A:$AT,20,FALSE)</f>
        <v>SCAL</v>
      </c>
      <c r="AI76" s="1219" t="str">
        <f>VLOOKUP($A76,'2018'!$A:$AT,21,FALSE)</f>
        <v>Group B (34-44)</v>
      </c>
      <c r="AJ76" s="1219" t="str">
        <f>VLOOKUP($A76,'2018'!$A:$AT,23,FALSE)</f>
        <v>Advantage</v>
      </c>
      <c r="AK76" s="1219" t="str">
        <f>VLOOKUP($A76,'2018'!$A:$AT,24,FALSE)</f>
        <v>No</v>
      </c>
      <c r="AL76" s="1219" t="str">
        <f>VLOOKUP($A76,'2018'!$A:$AT,41,FALSE)</f>
        <v xml:space="preserve">Region 2 </v>
      </c>
      <c r="AM76" s="1219" t="str">
        <f>VLOOKUP($A76,'2018'!$A:$AT,42,FALSE)</f>
        <v>(10-24)</v>
      </c>
      <c r="AN76" s="1219" t="str">
        <f>VLOOKUP($A76,'2018'!$A:$AT,45,FALSE)</f>
        <v xml:space="preserve"> (2-49)</v>
      </c>
      <c r="AO76" s="1263" t="s">
        <v>4131</v>
      </c>
      <c r="AP76" s="1264">
        <v>40</v>
      </c>
    </row>
    <row r="77" spans="1:42" ht="15.75" customHeight="1">
      <c r="A77" s="1219" t="s">
        <v>3662</v>
      </c>
      <c r="B77" s="1219" t="s">
        <v>3938</v>
      </c>
      <c r="C77" s="1219" t="s">
        <v>3662</v>
      </c>
      <c r="D77" s="1219" t="s">
        <v>3662</v>
      </c>
      <c r="E77" s="1222">
        <v>0</v>
      </c>
      <c r="F77" s="1222" t="s">
        <v>3653</v>
      </c>
      <c r="G77" s="1222" t="s">
        <v>5518</v>
      </c>
      <c r="H77" s="1221">
        <v>43101</v>
      </c>
      <c r="I77" s="1221"/>
      <c r="J77" s="1219" t="s">
        <v>5982</v>
      </c>
      <c r="K77" s="1219" t="s">
        <v>5983</v>
      </c>
      <c r="L77" s="1219" t="s">
        <v>5853</v>
      </c>
      <c r="M77" s="1219" t="s">
        <v>476</v>
      </c>
      <c r="N77" s="1219">
        <v>94104</v>
      </c>
      <c r="O77" s="1220">
        <v>43101</v>
      </c>
      <c r="P77" s="1219" t="s">
        <v>2473</v>
      </c>
      <c r="Q77" s="1219" t="s">
        <v>2473</v>
      </c>
      <c r="R77" s="1219" t="s">
        <v>4835</v>
      </c>
      <c r="S77" s="1219" t="s">
        <v>5537</v>
      </c>
      <c r="T77" s="1219" t="s">
        <v>5536</v>
      </c>
      <c r="U77" s="1219" t="s">
        <v>6111</v>
      </c>
      <c r="V77" s="1219" t="s">
        <v>5535</v>
      </c>
      <c r="W77" s="1219" t="s">
        <v>5534</v>
      </c>
      <c r="X77" s="1219" t="s">
        <v>6112</v>
      </c>
      <c r="Y77" s="1219" t="s">
        <v>5529</v>
      </c>
      <c r="Z77" s="1219" t="s">
        <v>5528</v>
      </c>
      <c r="AA77" s="1219" t="s">
        <v>5929</v>
      </c>
      <c r="AB77" s="1219" t="s">
        <v>3176</v>
      </c>
      <c r="AC77" s="1219" t="s">
        <v>5533</v>
      </c>
      <c r="AD77" s="1219" t="s">
        <v>4835</v>
      </c>
      <c r="AE77" s="1219" t="s">
        <v>5851</v>
      </c>
      <c r="AF77" s="1219">
        <v>0</v>
      </c>
      <c r="AG77" s="1219">
        <v>0</v>
      </c>
      <c r="AH77" s="1219" t="str">
        <f>VLOOKUP($A77,'2018'!$A:$AT,20,FALSE)</f>
        <v>NCAL</v>
      </c>
      <c r="AI77" s="1219" t="str">
        <f>VLOOKUP($A77,'2018'!$A:$AT,21,FALSE)</f>
        <v>Group C (44-54)</v>
      </c>
      <c r="AJ77" s="1219" t="str">
        <f>VLOOKUP($A77,'2018'!$A:$AT,23,FALSE)</f>
        <v>Advantage</v>
      </c>
      <c r="AK77" s="1219" t="str">
        <f>VLOOKUP($A77,'2018'!$A:$AT,24,FALSE)</f>
        <v>No</v>
      </c>
      <c r="AL77" s="1219" t="str">
        <f>VLOOKUP($A77,'2018'!$A:$AT,41,FALSE)</f>
        <v>Region 4</v>
      </c>
      <c r="AM77" s="1219" t="str">
        <f>VLOOKUP($A77,'2018'!$A:$AT,42,FALSE)</f>
        <v>(25-49)</v>
      </c>
      <c r="AN77" s="1219" t="str">
        <f>VLOOKUP($A77,'2018'!$A:$AT,45,FALSE)</f>
        <v xml:space="preserve"> (2-49)</v>
      </c>
      <c r="AO77" s="1263" t="s">
        <v>3939</v>
      </c>
      <c r="AP77" s="1264">
        <v>47</v>
      </c>
    </row>
    <row r="78" spans="1:42">
      <c r="A78" s="1219" t="s">
        <v>1250</v>
      </c>
      <c r="B78" s="1260" t="s">
        <v>6158</v>
      </c>
      <c r="C78" s="1219" t="e">
        <v>#N/A</v>
      </c>
      <c r="D78" s="1219" t="s">
        <v>1250</v>
      </c>
      <c r="E78" s="1222">
        <v>0</v>
      </c>
      <c r="F78" s="1222" t="s">
        <v>3653</v>
      </c>
      <c r="G78" s="1222" t="s">
        <v>5518</v>
      </c>
      <c r="H78" s="1221">
        <v>42675</v>
      </c>
      <c r="I78" s="1221"/>
      <c r="J78" s="1219" t="s">
        <v>5984</v>
      </c>
      <c r="K78" s="1219" t="s">
        <v>5940</v>
      </c>
      <c r="L78" s="1219" t="s">
        <v>5868</v>
      </c>
      <c r="M78" s="1219" t="s">
        <v>476</v>
      </c>
      <c r="N78" s="1219">
        <v>92128</v>
      </c>
      <c r="O78" s="1220">
        <v>43101</v>
      </c>
      <c r="P78" s="1219" t="s">
        <v>2474</v>
      </c>
      <c r="Q78" s="1219" t="s">
        <v>2474</v>
      </c>
      <c r="R78" s="1219" t="s">
        <v>5532</v>
      </c>
      <c r="S78" s="1219" t="s">
        <v>5531</v>
      </c>
      <c r="T78" s="1219" t="s">
        <v>5530</v>
      </c>
      <c r="U78" s="1219" t="s">
        <v>6113</v>
      </c>
      <c r="V78" s="1219" t="s">
        <v>5531</v>
      </c>
      <c r="W78" s="1219" t="s">
        <v>5530</v>
      </c>
      <c r="X78" s="1219" t="s">
        <v>6113</v>
      </c>
      <c r="Y78" s="1219" t="s">
        <v>5529</v>
      </c>
      <c r="Z78" s="1219" t="s">
        <v>5528</v>
      </c>
      <c r="AA78" s="1219" t="s">
        <v>5929</v>
      </c>
      <c r="AB78" s="1219" t="s">
        <v>3176</v>
      </c>
      <c r="AC78" s="1219" t="s">
        <v>5527</v>
      </c>
      <c r="AD78" s="1219" t="s">
        <v>5526</v>
      </c>
      <c r="AE78" s="1219" t="s">
        <v>5904</v>
      </c>
      <c r="AF78" s="1219">
        <v>0</v>
      </c>
      <c r="AG78" s="1219">
        <v>0</v>
      </c>
      <c r="AH78" s="1219" t="str">
        <f>VLOOKUP($A78,'2018'!$A:$AT,20,FALSE)</f>
        <v>N/A</v>
      </c>
      <c r="AI78" s="1219" t="str">
        <f>VLOOKUP($A78,'2018'!$A:$AT,21,FALSE)</f>
        <v>N/A</v>
      </c>
      <c r="AJ78" s="1219" t="str">
        <f>VLOOKUP($A78,'2018'!$A:$AT,23,FALSE)</f>
        <v>N/A</v>
      </c>
      <c r="AK78" s="1219" t="str">
        <f>VLOOKUP($A78,'2018'!$A:$AT,24,FALSE)</f>
        <v>N/A</v>
      </c>
      <c r="AL78" s="1219" t="str">
        <f>VLOOKUP($A78,'2018'!$A:$AT,41,FALSE)</f>
        <v>N/A</v>
      </c>
      <c r="AM78" s="1219" t="str">
        <f>VLOOKUP($A78,'2018'!$A:$AT,42,FALSE)</f>
        <v>N/A</v>
      </c>
      <c r="AN78" s="1219" t="str">
        <f>VLOOKUP($A78,'2018'!$A:$AT,45,FALSE)</f>
        <v>N/A</v>
      </c>
      <c r="AO78" s="1263" t="e">
        <v>#N/A</v>
      </c>
      <c r="AP78" s="1264" t="e">
        <v>#N/A</v>
      </c>
    </row>
    <row r="79" spans="1:42">
      <c r="A79" s="1219" t="s">
        <v>4132</v>
      </c>
      <c r="B79" s="1219" t="s">
        <v>3940</v>
      </c>
      <c r="C79" s="1219" t="s">
        <v>3748</v>
      </c>
      <c r="D79" s="1219" t="s">
        <v>4132</v>
      </c>
      <c r="E79" s="1222">
        <v>0</v>
      </c>
      <c r="F79" s="1222" t="s">
        <v>3654</v>
      </c>
      <c r="G79" s="1222" t="s">
        <v>72</v>
      </c>
      <c r="H79" s="1221">
        <v>43101</v>
      </c>
      <c r="I79" s="1221"/>
      <c r="J79" s="1219" t="s">
        <v>5985</v>
      </c>
      <c r="K79" s="1219">
        <v>0</v>
      </c>
      <c r="L79" s="1219" t="s">
        <v>5943</v>
      </c>
      <c r="M79" s="1219" t="s">
        <v>476</v>
      </c>
      <c r="N79" s="1219">
        <v>94710</v>
      </c>
      <c r="O79" s="1220">
        <v>43101</v>
      </c>
      <c r="P79" s="1219" t="s">
        <v>2473</v>
      </c>
      <c r="Q79" s="1219" t="s">
        <v>2473</v>
      </c>
      <c r="R79" s="1219" t="s">
        <v>3654</v>
      </c>
      <c r="S79" s="1219" t="s">
        <v>5525</v>
      </c>
      <c r="T79" s="1219" t="s">
        <v>5524</v>
      </c>
      <c r="U79" s="1219" t="s">
        <v>6114</v>
      </c>
      <c r="V79" s="1219" t="s">
        <v>5525</v>
      </c>
      <c r="W79" s="1219" t="s">
        <v>5524</v>
      </c>
      <c r="X79" s="1219" t="s">
        <v>6114</v>
      </c>
      <c r="Y79" s="1219" t="s">
        <v>5523</v>
      </c>
      <c r="Z79" s="1219" t="s">
        <v>5522</v>
      </c>
      <c r="AA79" s="1219" t="s">
        <v>5995</v>
      </c>
      <c r="AB79" s="1219" t="s">
        <v>3464</v>
      </c>
      <c r="AC79" s="1219" t="s">
        <v>5521</v>
      </c>
      <c r="AD79" s="1219" t="s">
        <v>5520</v>
      </c>
      <c r="AE79" s="1219" t="s">
        <v>5996</v>
      </c>
      <c r="AF79" s="1219">
        <v>0</v>
      </c>
      <c r="AG79" s="1219">
        <v>0</v>
      </c>
      <c r="AH79" s="1219" t="str">
        <f>VLOOKUP($A79,'2018'!$A:$AT,20,FALSE)</f>
        <v>NCAL</v>
      </c>
      <c r="AI79" s="1219" t="str">
        <f>VLOOKUP($A79,'2018'!$A:$AT,21,FALSE)</f>
        <v>Group C (44-54)</v>
      </c>
      <c r="AJ79" s="1219" t="str">
        <f>VLOOKUP($A79,'2018'!$A:$AT,23,FALSE)</f>
        <v>Advantage</v>
      </c>
      <c r="AK79" s="1219" t="str">
        <f>VLOOKUP($A79,'2018'!$A:$AT,24,FALSE)</f>
        <v>No</v>
      </c>
      <c r="AL79" s="1219" t="str">
        <f>VLOOKUP($A79,'2018'!$A:$AT,41,FALSE)</f>
        <v>Region 3</v>
      </c>
      <c r="AM79" s="1219" t="str">
        <f>VLOOKUP($A79,'2018'!$A:$AT,42,FALSE)</f>
        <v>(10-24)</v>
      </c>
      <c r="AN79" s="1219" t="str">
        <f>VLOOKUP($A79,'2018'!$A:$AT,45,FALSE)</f>
        <v xml:space="preserve"> (2-49)</v>
      </c>
      <c r="AO79" s="1263" t="s">
        <v>3941</v>
      </c>
      <c r="AP79" s="1264">
        <v>37</v>
      </c>
    </row>
    <row r="80" spans="1:42" ht="15.75" customHeight="1"/>
    <row r="81" spans="1:42" ht="15.75" customHeight="1">
      <c r="A81" s="1223" t="s">
        <v>6160</v>
      </c>
    </row>
    <row r="82" spans="1:42">
      <c r="A82" s="1219" t="s">
        <v>6159</v>
      </c>
      <c r="B82" s="1219" t="s">
        <v>5497</v>
      </c>
      <c r="C82" s="1219"/>
      <c r="D82" s="1219"/>
      <c r="E82" s="1222"/>
      <c r="F82" s="1222"/>
      <c r="G82" s="1222"/>
      <c r="H82" s="1221"/>
      <c r="I82" s="1221"/>
      <c r="J82" s="1219"/>
      <c r="K82" s="1219"/>
      <c r="L82" s="1219"/>
      <c r="M82" s="1219"/>
      <c r="N82" s="1219"/>
      <c r="O82" s="1220"/>
      <c r="P82" s="1219"/>
      <c r="Q82" s="1219"/>
      <c r="R82" s="1219"/>
      <c r="S82" s="1219"/>
      <c r="T82" s="1219"/>
      <c r="U82" s="1219"/>
      <c r="V82" s="1219"/>
      <c r="W82" s="1219"/>
      <c r="X82" s="1219"/>
      <c r="Y82" s="1219"/>
      <c r="Z82" s="1219"/>
      <c r="AA82" s="1219"/>
      <c r="AB82" s="1219"/>
      <c r="AC82" s="1219"/>
      <c r="AD82" s="1219"/>
      <c r="AE82" s="1219"/>
      <c r="AF82" s="1219"/>
      <c r="AG82" s="1219"/>
      <c r="AH82" s="1219"/>
      <c r="AI82" s="1219"/>
      <c r="AJ82" s="1219"/>
      <c r="AK82" s="1219"/>
      <c r="AL82" s="1219"/>
      <c r="AM82" s="1219"/>
      <c r="AN82" s="1219"/>
      <c r="AO82" s="1261">
        <v>80</v>
      </c>
      <c r="AP82" s="1235"/>
    </row>
    <row r="84" spans="1:42">
      <c r="A84" s="1223" t="s">
        <v>5519</v>
      </c>
      <c r="C84" s="1223"/>
      <c r="D84" s="1223"/>
    </row>
    <row r="85" spans="1:42">
      <c r="A85" s="1219" t="s">
        <v>90</v>
      </c>
      <c r="B85" s="1219" t="s">
        <v>3774</v>
      </c>
      <c r="C85" s="1219"/>
      <c r="D85" s="1219"/>
      <c r="E85" s="1222">
        <v>0</v>
      </c>
      <c r="F85" s="1222" t="s">
        <v>3653</v>
      </c>
      <c r="G85" s="1222" t="s">
        <v>5518</v>
      </c>
      <c r="H85" s="1221">
        <v>42736</v>
      </c>
      <c r="I85" s="1221">
        <v>43131</v>
      </c>
      <c r="O85" s="1220">
        <v>43101</v>
      </c>
      <c r="P85" s="1219" t="s">
        <v>5838</v>
      </c>
      <c r="Q85" s="1219" t="s">
        <v>5838</v>
      </c>
      <c r="R85" s="1219" t="s">
        <v>4661</v>
      </c>
      <c r="S85" s="1219" t="s">
        <v>5517</v>
      </c>
      <c r="T85" s="1219" t="s">
        <v>5516</v>
      </c>
      <c r="U85" s="1219"/>
      <c r="V85" s="1219" t="s">
        <v>5517</v>
      </c>
      <c r="W85" s="1219" t="s">
        <v>5516</v>
      </c>
      <c r="X85" s="1219"/>
      <c r="Y85" s="1219" t="s">
        <v>5515</v>
      </c>
      <c r="Z85" s="1219" t="s">
        <v>5514</v>
      </c>
      <c r="AA85" s="1219" t="s">
        <v>6115</v>
      </c>
      <c r="AB85" s="1219" t="s">
        <v>3197</v>
      </c>
      <c r="AC85" s="1219" t="s">
        <v>5513</v>
      </c>
      <c r="AD85" s="1219" t="s">
        <v>5512</v>
      </c>
      <c r="AE85" s="1219" t="s">
        <v>5860</v>
      </c>
      <c r="AF85" s="1219"/>
      <c r="AG85" s="1219"/>
    </row>
    <row r="88" spans="1:42" ht="15.75" customHeight="1"/>
    <row r="92" spans="1:42" ht="15.75" customHeight="1"/>
    <row r="96" spans="1:42" ht="15.75" customHeight="1"/>
    <row r="100" ht="15.75" customHeight="1"/>
    <row r="104" ht="15.75" customHeight="1"/>
    <row r="108" ht="15.75" customHeight="1"/>
    <row r="112" ht="15.75" customHeight="1"/>
    <row r="116" ht="15.75" customHeight="1"/>
    <row r="120" ht="15.75" customHeight="1"/>
    <row r="124" ht="15.75" customHeight="1"/>
    <row r="128" ht="15.75" customHeight="1"/>
    <row r="132" ht="15.75" customHeight="1"/>
    <row r="136" ht="15.75" customHeight="1"/>
    <row r="140" ht="15.75" customHeight="1"/>
    <row r="144" ht="15.75" customHeight="1"/>
    <row r="148" ht="15.75" customHeight="1"/>
    <row r="152" ht="15.75" customHeight="1"/>
    <row r="156" ht="15.75" customHeight="1"/>
    <row r="160" ht="15.75" customHeight="1"/>
    <row r="164" ht="15.75" customHeight="1"/>
    <row r="168" ht="15.75" customHeight="1"/>
    <row r="172" ht="15.75" customHeight="1"/>
    <row r="176" ht="15.75" customHeight="1"/>
    <row r="180" ht="15.75" customHeight="1"/>
    <row r="184" ht="15.75" customHeight="1"/>
    <row r="188" ht="15.75" customHeight="1"/>
    <row r="192" ht="15.75" customHeight="1"/>
    <row r="196" ht="15.75" customHeight="1"/>
    <row r="200" ht="15.75" customHeight="1"/>
    <row r="204" ht="15.75" customHeight="1"/>
    <row r="208" ht="15.75" customHeight="1"/>
    <row r="212" ht="15.75" customHeight="1"/>
    <row r="216" ht="15.75" customHeight="1"/>
    <row r="220" ht="15.75" customHeight="1"/>
    <row r="224" ht="15.75" customHeight="1"/>
    <row r="228" ht="15.75" customHeight="1"/>
    <row r="232" ht="15.75" customHeight="1"/>
    <row r="236" ht="15.75" customHeight="1"/>
    <row r="240" ht="15.75" customHeight="1"/>
    <row r="244" ht="15.75" customHeight="1"/>
    <row r="248" ht="15.75" customHeight="1"/>
    <row r="252" ht="15.75" customHeight="1"/>
    <row r="256" ht="15.75" customHeight="1"/>
    <row r="260" ht="15.75" customHeight="1"/>
    <row r="264" ht="15.75" customHeight="1"/>
    <row r="268" ht="15.75" customHeight="1"/>
    <row r="272" ht="15.75" customHeight="1"/>
    <row r="276" ht="15.75" customHeight="1"/>
    <row r="280" ht="15.75" customHeight="1"/>
    <row r="284" ht="15.75" customHeight="1"/>
    <row r="288" ht="15.75" customHeight="1"/>
    <row r="292" ht="15.75" customHeight="1"/>
    <row r="296" ht="15.75" customHeight="1"/>
    <row r="300" ht="15.75" customHeight="1"/>
    <row r="304" ht="15.75" customHeight="1"/>
    <row r="308" ht="15.75" customHeight="1"/>
    <row r="312" ht="15.75" customHeight="1"/>
  </sheetData>
  <autoFilter ref="D1:AN79" xr:uid="{00000000-0009-0000-0000-000003000000}"/>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tabColor theme="6"/>
  </sheetPr>
  <dimension ref="A1:AH259"/>
  <sheetViews>
    <sheetView view="pageBreakPreview" zoomScaleNormal="80" zoomScaleSheetLayoutView="100" workbookViewId="0">
      <pane xSplit="7" ySplit="2" topLeftCell="H3" activePane="bottomRight" state="frozen"/>
      <selection activeCell="H14" sqref="H14"/>
      <selection pane="topRight" activeCell="H14" sqref="H14"/>
      <selection pane="bottomLeft" activeCell="H14" sqref="H14"/>
      <selection pane="bottomRight" activeCell="H14" sqref="H14"/>
    </sheetView>
  </sheetViews>
  <sheetFormatPr defaultColWidth="8.875" defaultRowHeight="15.75"/>
  <cols>
    <col min="1" max="1" width="5.625" customWidth="1"/>
    <col min="2" max="2" width="6.875" customWidth="1"/>
    <col min="3" max="3" width="9" customWidth="1"/>
    <col min="4" max="4" width="10.625" customWidth="1"/>
    <col min="5" max="5" width="9.125" customWidth="1"/>
    <col min="6" max="6" width="10.625" customWidth="1"/>
    <col min="7" max="7" width="6" customWidth="1"/>
    <col min="8" max="20" width="13" hidden="1" customWidth="1"/>
    <col min="21" max="21" width="6.625" hidden="1" customWidth="1"/>
    <col min="22" max="34" width="13" customWidth="1"/>
    <col min="35" max="35" width="0.875" customWidth="1"/>
    <col min="36" max="36" width="5.875" bestFit="1" customWidth="1"/>
    <col min="37" max="37" width="5.125" customWidth="1"/>
    <col min="38" max="38" width="1.625" customWidth="1"/>
  </cols>
  <sheetData>
    <row r="1" spans="1:34" ht="54" customHeight="1" thickBot="1">
      <c r="A1" s="143"/>
      <c r="B1" s="143"/>
      <c r="C1" s="143"/>
      <c r="D1" s="143"/>
      <c r="E1" s="143"/>
      <c r="F1" s="143"/>
      <c r="G1" s="143"/>
      <c r="H1" s="442" t="s">
        <v>322</v>
      </c>
      <c r="I1" s="442" t="s">
        <v>323</v>
      </c>
      <c r="J1" s="442" t="s">
        <v>324</v>
      </c>
      <c r="K1" s="442" t="s">
        <v>325</v>
      </c>
      <c r="L1" s="442" t="s">
        <v>326</v>
      </c>
      <c r="M1" s="442" t="s">
        <v>327</v>
      </c>
      <c r="N1" s="442" t="s">
        <v>328</v>
      </c>
      <c r="O1" s="442" t="s">
        <v>329</v>
      </c>
      <c r="P1" s="442" t="s">
        <v>330</v>
      </c>
      <c r="Q1" s="442" t="s">
        <v>331</v>
      </c>
      <c r="R1" s="442" t="s">
        <v>332</v>
      </c>
      <c r="S1" s="442" t="s">
        <v>333</v>
      </c>
      <c r="T1" s="442" t="s">
        <v>334</v>
      </c>
      <c r="U1" s="144"/>
      <c r="V1" s="442" t="s">
        <v>322</v>
      </c>
      <c r="W1" s="442" t="s">
        <v>323</v>
      </c>
      <c r="X1" s="442" t="s">
        <v>324</v>
      </c>
      <c r="Y1" s="442" t="s">
        <v>325</v>
      </c>
      <c r="Z1" s="442" t="s">
        <v>326</v>
      </c>
      <c r="AA1" s="442" t="s">
        <v>327</v>
      </c>
      <c r="AB1" s="442" t="s">
        <v>328</v>
      </c>
      <c r="AC1" s="442" t="s">
        <v>329</v>
      </c>
      <c r="AD1" s="442" t="s">
        <v>330</v>
      </c>
      <c r="AE1" s="442" t="s">
        <v>331</v>
      </c>
      <c r="AF1" s="442" t="s">
        <v>332</v>
      </c>
      <c r="AG1" s="442" t="s">
        <v>333</v>
      </c>
      <c r="AH1" s="442" t="s">
        <v>334</v>
      </c>
    </row>
    <row r="2" spans="1:34" ht="26.25" thickBot="1">
      <c r="A2" s="409" t="s">
        <v>287</v>
      </c>
      <c r="B2" s="410" t="s">
        <v>275</v>
      </c>
      <c r="C2" s="410" t="s">
        <v>288</v>
      </c>
      <c r="D2" s="410" t="s">
        <v>289</v>
      </c>
      <c r="E2" s="410" t="s">
        <v>290</v>
      </c>
      <c r="F2" s="410" t="s">
        <v>4320</v>
      </c>
      <c r="G2" s="411" t="s">
        <v>277</v>
      </c>
      <c r="H2" s="443" t="s">
        <v>291</v>
      </c>
      <c r="I2" s="443" t="s">
        <v>292</v>
      </c>
      <c r="J2" s="443" t="s">
        <v>293</v>
      </c>
      <c r="K2" s="443" t="s">
        <v>294</v>
      </c>
      <c r="L2" s="443" t="s">
        <v>295</v>
      </c>
      <c r="M2" s="443" t="s">
        <v>296</v>
      </c>
      <c r="N2" s="443" t="s">
        <v>299</v>
      </c>
      <c r="O2" s="443" t="s">
        <v>297</v>
      </c>
      <c r="P2" s="443" t="s">
        <v>298</v>
      </c>
      <c r="Q2" s="444" t="s">
        <v>335</v>
      </c>
      <c r="R2" s="443" t="s">
        <v>300</v>
      </c>
      <c r="S2" s="443" t="s">
        <v>301</v>
      </c>
      <c r="T2" s="443" t="s">
        <v>302</v>
      </c>
      <c r="U2" s="144"/>
      <c r="V2" s="443" t="s">
        <v>4575</v>
      </c>
      <c r="W2" s="443" t="s">
        <v>4576</v>
      </c>
      <c r="X2" s="443" t="s">
        <v>4577</v>
      </c>
      <c r="Y2" s="443" t="s">
        <v>4578</v>
      </c>
      <c r="Z2" s="443" t="s">
        <v>4579</v>
      </c>
      <c r="AA2" s="443" t="s">
        <v>4580</v>
      </c>
      <c r="AB2" s="443" t="s">
        <v>4581</v>
      </c>
      <c r="AC2" s="443" t="s">
        <v>4582</v>
      </c>
      <c r="AD2" s="443" t="s">
        <v>4583</v>
      </c>
      <c r="AE2" s="444" t="s">
        <v>4584</v>
      </c>
      <c r="AF2" s="443" t="s">
        <v>4585</v>
      </c>
      <c r="AG2" s="443" t="s">
        <v>4586</v>
      </c>
      <c r="AH2" s="443" t="s">
        <v>4587</v>
      </c>
    </row>
    <row r="3" spans="1:34" s="150" customFormat="1" ht="13.5" hidden="1" thickBot="1">
      <c r="A3" s="412">
        <v>2017</v>
      </c>
      <c r="B3" s="413" t="s">
        <v>303</v>
      </c>
      <c r="C3" s="414" t="s">
        <v>304</v>
      </c>
      <c r="D3" s="414" t="s">
        <v>305</v>
      </c>
      <c r="E3" s="415" t="s">
        <v>306</v>
      </c>
      <c r="F3" s="416" t="s">
        <v>307</v>
      </c>
      <c r="G3" s="417" t="s">
        <v>211</v>
      </c>
      <c r="H3" s="445">
        <v>568.11</v>
      </c>
      <c r="I3" s="445">
        <v>555.25</v>
      </c>
      <c r="J3" s="445">
        <v>540.72</v>
      </c>
      <c r="K3" s="445">
        <v>541.98</v>
      </c>
      <c r="L3" s="445">
        <v>529.72</v>
      </c>
      <c r="M3" s="445">
        <v>515.87</v>
      </c>
      <c r="N3" s="445">
        <v>279.89</v>
      </c>
      <c r="O3" s="445">
        <v>644.17999999999995</v>
      </c>
      <c r="P3" s="445">
        <v>608.63</v>
      </c>
      <c r="Q3" s="445">
        <v>539.87</v>
      </c>
      <c r="R3" s="445">
        <v>389.64</v>
      </c>
      <c r="S3" s="445">
        <v>358.8</v>
      </c>
      <c r="T3" s="446" t="s">
        <v>308</v>
      </c>
      <c r="U3" s="144"/>
      <c r="V3" s="445">
        <f>H3*1.02</f>
        <v>579.47220000000004</v>
      </c>
      <c r="W3" s="445">
        <f t="shared" ref="W3:AG6" si="0">I3*1.02</f>
        <v>566.35500000000002</v>
      </c>
      <c r="X3" s="445">
        <f t="shared" si="0"/>
        <v>551.53440000000001</v>
      </c>
      <c r="Y3" s="445">
        <f t="shared" si="0"/>
        <v>552.81960000000004</v>
      </c>
      <c r="Z3" s="445">
        <f t="shared" si="0"/>
        <v>540.31440000000009</v>
      </c>
      <c r="AA3" s="445">
        <f t="shared" si="0"/>
        <v>526.18740000000003</v>
      </c>
      <c r="AB3" s="445">
        <f t="shared" si="0"/>
        <v>285.48779999999999</v>
      </c>
      <c r="AC3" s="445">
        <f t="shared" si="0"/>
        <v>657.06359999999995</v>
      </c>
      <c r="AD3" s="445">
        <f t="shared" si="0"/>
        <v>620.80259999999998</v>
      </c>
      <c r="AE3" s="445">
        <f t="shared" si="0"/>
        <v>550.66740000000004</v>
      </c>
      <c r="AF3" s="445">
        <f t="shared" si="0"/>
        <v>397.43279999999999</v>
      </c>
      <c r="AG3" s="445">
        <f t="shared" si="0"/>
        <v>365.976</v>
      </c>
      <c r="AH3" s="446" t="s">
        <v>308</v>
      </c>
    </row>
    <row r="4" spans="1:34" s="150" customFormat="1" ht="13.5" hidden="1" thickBot="1">
      <c r="A4" s="418">
        <v>2017</v>
      </c>
      <c r="B4" s="145" t="s">
        <v>303</v>
      </c>
      <c r="C4" s="146" t="s">
        <v>304</v>
      </c>
      <c r="D4" s="146" t="s">
        <v>305</v>
      </c>
      <c r="E4" s="147" t="s">
        <v>306</v>
      </c>
      <c r="F4" s="148" t="s">
        <v>307</v>
      </c>
      <c r="G4" s="149" t="s">
        <v>212</v>
      </c>
      <c r="H4" s="447">
        <v>1244.17</v>
      </c>
      <c r="I4" s="447">
        <v>1216</v>
      </c>
      <c r="J4" s="447">
        <v>1184.17</v>
      </c>
      <c r="K4" s="447">
        <v>1186.94</v>
      </c>
      <c r="L4" s="447">
        <v>1160.0899999999999</v>
      </c>
      <c r="M4" s="447">
        <v>1129.76</v>
      </c>
      <c r="N4" s="447">
        <v>612.95000000000005</v>
      </c>
      <c r="O4" s="447">
        <v>1410.76</v>
      </c>
      <c r="P4" s="447">
        <v>1332.91</v>
      </c>
      <c r="Q4" s="447">
        <v>1182.32</v>
      </c>
      <c r="R4" s="447">
        <v>853.31</v>
      </c>
      <c r="S4" s="447">
        <v>785.78</v>
      </c>
      <c r="T4" s="448" t="s">
        <v>308</v>
      </c>
      <c r="U4" s="144"/>
      <c r="V4" s="447">
        <f t="shared" ref="V4:V7" si="1">H4*1.02</f>
        <v>1269.0534</v>
      </c>
      <c r="W4" s="447">
        <f t="shared" si="0"/>
        <v>1240.32</v>
      </c>
      <c r="X4" s="447">
        <f t="shared" si="0"/>
        <v>1207.8534000000002</v>
      </c>
      <c r="Y4" s="447">
        <f t="shared" si="0"/>
        <v>1210.6788000000001</v>
      </c>
      <c r="Z4" s="447">
        <f t="shared" si="0"/>
        <v>1183.2918</v>
      </c>
      <c r="AA4" s="447">
        <f t="shared" si="0"/>
        <v>1152.3552</v>
      </c>
      <c r="AB4" s="447">
        <f t="shared" si="0"/>
        <v>625.20900000000006</v>
      </c>
      <c r="AC4" s="447">
        <f t="shared" si="0"/>
        <v>1438.9752000000001</v>
      </c>
      <c r="AD4" s="447">
        <f t="shared" si="0"/>
        <v>1359.5682000000002</v>
      </c>
      <c r="AE4" s="447">
        <f t="shared" si="0"/>
        <v>1205.9664</v>
      </c>
      <c r="AF4" s="447">
        <f t="shared" si="0"/>
        <v>870.37619999999993</v>
      </c>
      <c r="AG4" s="447">
        <f t="shared" si="0"/>
        <v>801.49559999999997</v>
      </c>
      <c r="AH4" s="448" t="s">
        <v>308</v>
      </c>
    </row>
    <row r="5" spans="1:34" s="150" customFormat="1" ht="13.5" hidden="1" thickBot="1">
      <c r="A5" s="418">
        <v>2017</v>
      </c>
      <c r="B5" s="145" t="s">
        <v>303</v>
      </c>
      <c r="C5" s="146" t="s">
        <v>304</v>
      </c>
      <c r="D5" s="146" t="s">
        <v>305</v>
      </c>
      <c r="E5" s="147" t="s">
        <v>306</v>
      </c>
      <c r="F5" s="148" t="s">
        <v>307</v>
      </c>
      <c r="G5" s="149" t="s">
        <v>213</v>
      </c>
      <c r="H5" s="447">
        <v>1079.4100000000001</v>
      </c>
      <c r="I5" s="447">
        <v>1054.98</v>
      </c>
      <c r="J5" s="447">
        <v>1027.3599999999999</v>
      </c>
      <c r="K5" s="447">
        <v>1029.77</v>
      </c>
      <c r="L5" s="447">
        <v>1006.48</v>
      </c>
      <c r="M5" s="447">
        <v>980.16</v>
      </c>
      <c r="N5" s="447">
        <v>531.79</v>
      </c>
      <c r="O5" s="447">
        <v>1223.95</v>
      </c>
      <c r="P5" s="447">
        <v>1156.4100000000001</v>
      </c>
      <c r="Q5" s="447">
        <v>1025.76</v>
      </c>
      <c r="R5" s="447">
        <v>740.32</v>
      </c>
      <c r="S5" s="447">
        <v>681.72</v>
      </c>
      <c r="T5" s="448" t="s">
        <v>308</v>
      </c>
      <c r="U5" s="144"/>
      <c r="V5" s="447">
        <f t="shared" si="1"/>
        <v>1100.9982</v>
      </c>
      <c r="W5" s="447">
        <f t="shared" si="0"/>
        <v>1076.0796</v>
      </c>
      <c r="X5" s="447">
        <f t="shared" si="0"/>
        <v>1047.9071999999999</v>
      </c>
      <c r="Y5" s="447">
        <f t="shared" si="0"/>
        <v>1050.3653999999999</v>
      </c>
      <c r="Z5" s="447">
        <f t="shared" si="0"/>
        <v>1026.6096</v>
      </c>
      <c r="AA5" s="447">
        <f t="shared" si="0"/>
        <v>999.76319999999998</v>
      </c>
      <c r="AB5" s="447">
        <f t="shared" si="0"/>
        <v>542.42579999999998</v>
      </c>
      <c r="AC5" s="447">
        <f t="shared" si="0"/>
        <v>1248.4290000000001</v>
      </c>
      <c r="AD5" s="447">
        <f t="shared" si="0"/>
        <v>1179.5382000000002</v>
      </c>
      <c r="AE5" s="447">
        <f t="shared" si="0"/>
        <v>1046.2752</v>
      </c>
      <c r="AF5" s="447">
        <f t="shared" si="0"/>
        <v>755.1264000000001</v>
      </c>
      <c r="AG5" s="447">
        <f t="shared" si="0"/>
        <v>695.35440000000006</v>
      </c>
      <c r="AH5" s="448" t="s">
        <v>308</v>
      </c>
    </row>
    <row r="6" spans="1:34" s="150" customFormat="1" ht="13.5" hidden="1" thickBot="1">
      <c r="A6" s="419">
        <v>2017</v>
      </c>
      <c r="B6" s="420" t="s">
        <v>303</v>
      </c>
      <c r="C6" s="421" t="s">
        <v>304</v>
      </c>
      <c r="D6" s="421" t="s">
        <v>305</v>
      </c>
      <c r="E6" s="422" t="s">
        <v>306</v>
      </c>
      <c r="F6" s="423" t="s">
        <v>307</v>
      </c>
      <c r="G6" s="424" t="s">
        <v>214</v>
      </c>
      <c r="H6" s="449">
        <v>1727.07</v>
      </c>
      <c r="I6" s="449">
        <v>1687.96</v>
      </c>
      <c r="J6" s="449">
        <v>1643.79</v>
      </c>
      <c r="K6" s="449">
        <v>1647.62</v>
      </c>
      <c r="L6" s="449">
        <v>1610.36</v>
      </c>
      <c r="M6" s="449">
        <v>1568.25</v>
      </c>
      <c r="N6" s="449">
        <v>850.86</v>
      </c>
      <c r="O6" s="449">
        <v>1958.32</v>
      </c>
      <c r="P6" s="449">
        <v>1850.25</v>
      </c>
      <c r="Q6" s="449">
        <v>1641.21</v>
      </c>
      <c r="R6" s="449">
        <v>1184.51</v>
      </c>
      <c r="S6" s="449">
        <v>1090.76</v>
      </c>
      <c r="T6" s="450" t="s">
        <v>308</v>
      </c>
      <c r="U6" s="144"/>
      <c r="V6" s="449">
        <f t="shared" si="1"/>
        <v>1761.6114</v>
      </c>
      <c r="W6" s="449">
        <f t="shared" si="0"/>
        <v>1721.7192</v>
      </c>
      <c r="X6" s="449">
        <f t="shared" si="0"/>
        <v>1676.6658</v>
      </c>
      <c r="Y6" s="449">
        <f t="shared" si="0"/>
        <v>1680.5724</v>
      </c>
      <c r="Z6" s="449">
        <f t="shared" si="0"/>
        <v>1642.5672</v>
      </c>
      <c r="AA6" s="449">
        <f t="shared" si="0"/>
        <v>1599.615</v>
      </c>
      <c r="AB6" s="449">
        <f t="shared" si="0"/>
        <v>867.87720000000002</v>
      </c>
      <c r="AC6" s="449">
        <f t="shared" si="0"/>
        <v>1997.4864</v>
      </c>
      <c r="AD6" s="449">
        <f t="shared" si="0"/>
        <v>1887.2550000000001</v>
      </c>
      <c r="AE6" s="449">
        <f t="shared" si="0"/>
        <v>1674.0342000000001</v>
      </c>
      <c r="AF6" s="449">
        <f t="shared" si="0"/>
        <v>1208.2002</v>
      </c>
      <c r="AG6" s="449">
        <f t="shared" si="0"/>
        <v>1112.5752</v>
      </c>
      <c r="AH6" s="450" t="s">
        <v>308</v>
      </c>
    </row>
    <row r="7" spans="1:34" s="150" customFormat="1" ht="13.5" hidden="1" thickBot="1">
      <c r="A7" s="412">
        <v>2017</v>
      </c>
      <c r="B7" s="413" t="s">
        <v>303</v>
      </c>
      <c r="C7" s="414" t="s">
        <v>309</v>
      </c>
      <c r="D7" s="414" t="s">
        <v>310</v>
      </c>
      <c r="E7" s="415" t="s">
        <v>306</v>
      </c>
      <c r="F7" s="416" t="s">
        <v>307</v>
      </c>
      <c r="G7" s="417" t="s">
        <v>211</v>
      </c>
      <c r="H7" s="445">
        <v>624.29999999999995</v>
      </c>
      <c r="I7" s="445">
        <v>610.16999999999996</v>
      </c>
      <c r="J7" s="445">
        <v>594.20000000000005</v>
      </c>
      <c r="K7" s="445">
        <v>595.58000000000004</v>
      </c>
      <c r="L7" s="445">
        <v>582.11</v>
      </c>
      <c r="M7" s="445">
        <v>566.89</v>
      </c>
      <c r="N7" s="445">
        <v>307.57</v>
      </c>
      <c r="O7" s="445">
        <v>707.89</v>
      </c>
      <c r="P7" s="445">
        <v>668.83</v>
      </c>
      <c r="Q7" s="445">
        <v>593.27</v>
      </c>
      <c r="R7" s="445">
        <v>428.18</v>
      </c>
      <c r="S7" s="445">
        <v>394.29</v>
      </c>
      <c r="T7" s="446" t="s">
        <v>308</v>
      </c>
      <c r="U7" s="144"/>
      <c r="V7" s="445">
        <f t="shared" si="1"/>
        <v>636.78599999999994</v>
      </c>
      <c r="W7" s="445">
        <f t="shared" ref="W7:W70" si="2">I7*1.02</f>
        <v>622.37339999999995</v>
      </c>
      <c r="X7" s="445">
        <f t="shared" ref="X7:X70" si="3">J7*1.02</f>
        <v>606.08400000000006</v>
      </c>
      <c r="Y7" s="445">
        <f t="shared" ref="Y7:Y70" si="4">K7*1.02</f>
        <v>607.49160000000006</v>
      </c>
      <c r="Z7" s="445">
        <f t="shared" ref="Z7:Z70" si="5">L7*1.02</f>
        <v>593.75220000000002</v>
      </c>
      <c r="AA7" s="445">
        <f t="shared" ref="AA7:AA70" si="6">M7*1.02</f>
        <v>578.2278</v>
      </c>
      <c r="AB7" s="445">
        <f t="shared" ref="AB7:AB70" si="7">N7*1.02</f>
        <v>313.72140000000002</v>
      </c>
      <c r="AC7" s="445">
        <f t="shared" ref="AC7:AC70" si="8">O7*1.02</f>
        <v>722.04780000000005</v>
      </c>
      <c r="AD7" s="445">
        <f t="shared" ref="AD7:AD70" si="9">P7*1.02</f>
        <v>682.20660000000009</v>
      </c>
      <c r="AE7" s="445">
        <f t="shared" ref="AE7:AE70" si="10">Q7*1.02</f>
        <v>605.1354</v>
      </c>
      <c r="AF7" s="445">
        <f t="shared" ref="AF7:AF70" si="11">R7*1.02</f>
        <v>436.74360000000001</v>
      </c>
      <c r="AG7" s="445">
        <f t="shared" ref="AG7:AG70" si="12">S7*1.02</f>
        <v>402.17580000000004</v>
      </c>
      <c r="AH7" s="446" t="s">
        <v>308</v>
      </c>
    </row>
    <row r="8" spans="1:34" s="150" customFormat="1" ht="13.5" hidden="1" thickBot="1">
      <c r="A8" s="418">
        <v>2017</v>
      </c>
      <c r="B8" s="145" t="s">
        <v>303</v>
      </c>
      <c r="C8" s="146" t="s">
        <v>309</v>
      </c>
      <c r="D8" s="146" t="s">
        <v>310</v>
      </c>
      <c r="E8" s="147" t="s">
        <v>306</v>
      </c>
      <c r="F8" s="148" t="s">
        <v>307</v>
      </c>
      <c r="G8" s="149" t="s">
        <v>212</v>
      </c>
      <c r="H8" s="447">
        <v>1367.22</v>
      </c>
      <c r="I8" s="447">
        <v>1336.26</v>
      </c>
      <c r="J8" s="447">
        <v>1301.29</v>
      </c>
      <c r="K8" s="447">
        <v>1304.33</v>
      </c>
      <c r="L8" s="447">
        <v>1274.82</v>
      </c>
      <c r="M8" s="447">
        <v>1241.5</v>
      </c>
      <c r="N8" s="447">
        <v>673.57</v>
      </c>
      <c r="O8" s="447">
        <v>1550.29</v>
      </c>
      <c r="P8" s="447">
        <v>1464.74</v>
      </c>
      <c r="Q8" s="447">
        <v>1299.25</v>
      </c>
      <c r="R8" s="447">
        <v>937.71</v>
      </c>
      <c r="S8" s="447">
        <v>863.49</v>
      </c>
      <c r="T8" s="448" t="s">
        <v>308</v>
      </c>
      <c r="U8" s="144"/>
      <c r="V8" s="447">
        <f t="shared" ref="V8:V71" si="13">H8*1.02</f>
        <v>1394.5644</v>
      </c>
      <c r="W8" s="447">
        <f t="shared" si="2"/>
        <v>1362.9852000000001</v>
      </c>
      <c r="X8" s="447">
        <f t="shared" si="3"/>
        <v>1327.3158000000001</v>
      </c>
      <c r="Y8" s="447">
        <f t="shared" si="4"/>
        <v>1330.4166</v>
      </c>
      <c r="Z8" s="447">
        <f t="shared" si="5"/>
        <v>1300.3163999999999</v>
      </c>
      <c r="AA8" s="447">
        <f t="shared" si="6"/>
        <v>1266.33</v>
      </c>
      <c r="AB8" s="447">
        <f t="shared" si="7"/>
        <v>687.04140000000007</v>
      </c>
      <c r="AC8" s="447">
        <f t="shared" si="8"/>
        <v>1581.2958000000001</v>
      </c>
      <c r="AD8" s="447">
        <f t="shared" si="9"/>
        <v>1494.0348000000001</v>
      </c>
      <c r="AE8" s="447">
        <f t="shared" si="10"/>
        <v>1325.2350000000001</v>
      </c>
      <c r="AF8" s="447">
        <f t="shared" si="11"/>
        <v>956.46420000000001</v>
      </c>
      <c r="AG8" s="447">
        <f t="shared" si="12"/>
        <v>880.75980000000004</v>
      </c>
      <c r="AH8" s="448" t="s">
        <v>308</v>
      </c>
    </row>
    <row r="9" spans="1:34" s="150" customFormat="1" ht="13.5" hidden="1" thickBot="1">
      <c r="A9" s="418">
        <v>2017</v>
      </c>
      <c r="B9" s="145" t="s">
        <v>303</v>
      </c>
      <c r="C9" s="146" t="s">
        <v>309</v>
      </c>
      <c r="D9" s="146" t="s">
        <v>310</v>
      </c>
      <c r="E9" s="147" t="s">
        <v>306</v>
      </c>
      <c r="F9" s="148" t="s">
        <v>307</v>
      </c>
      <c r="G9" s="149" t="s">
        <v>213</v>
      </c>
      <c r="H9" s="447">
        <v>1186.17</v>
      </c>
      <c r="I9" s="447">
        <v>1159.31</v>
      </c>
      <c r="J9" s="447">
        <v>1128.97</v>
      </c>
      <c r="K9" s="447">
        <v>1131.6099999999999</v>
      </c>
      <c r="L9" s="447">
        <v>1106.02</v>
      </c>
      <c r="M9" s="447">
        <v>1077.0999999999999</v>
      </c>
      <c r="N9" s="447">
        <v>584.39</v>
      </c>
      <c r="O9" s="447">
        <v>1345</v>
      </c>
      <c r="P9" s="447">
        <v>1270.78</v>
      </c>
      <c r="Q9" s="447">
        <v>1127.2</v>
      </c>
      <c r="R9" s="447">
        <v>813.53</v>
      </c>
      <c r="S9" s="447">
        <v>749.15</v>
      </c>
      <c r="T9" s="448" t="s">
        <v>308</v>
      </c>
      <c r="U9" s="144"/>
      <c r="V9" s="447">
        <f t="shared" si="13"/>
        <v>1209.8934000000002</v>
      </c>
      <c r="W9" s="447">
        <f t="shared" si="2"/>
        <v>1182.4962</v>
      </c>
      <c r="X9" s="447">
        <f t="shared" si="3"/>
        <v>1151.5494000000001</v>
      </c>
      <c r="Y9" s="447">
        <f t="shared" si="4"/>
        <v>1154.2421999999999</v>
      </c>
      <c r="Z9" s="447">
        <f t="shared" si="5"/>
        <v>1128.1404</v>
      </c>
      <c r="AA9" s="447">
        <f t="shared" si="6"/>
        <v>1098.6419999999998</v>
      </c>
      <c r="AB9" s="447">
        <f t="shared" si="7"/>
        <v>596.07780000000002</v>
      </c>
      <c r="AC9" s="447">
        <f t="shared" si="8"/>
        <v>1371.9</v>
      </c>
      <c r="AD9" s="447">
        <f t="shared" si="9"/>
        <v>1296.1956</v>
      </c>
      <c r="AE9" s="447">
        <f t="shared" si="10"/>
        <v>1149.7440000000001</v>
      </c>
      <c r="AF9" s="447">
        <f t="shared" si="11"/>
        <v>829.80060000000003</v>
      </c>
      <c r="AG9" s="447">
        <f t="shared" si="12"/>
        <v>764.13300000000004</v>
      </c>
      <c r="AH9" s="448" t="s">
        <v>308</v>
      </c>
    </row>
    <row r="10" spans="1:34" s="150" customFormat="1" ht="13.5" hidden="1" thickBot="1">
      <c r="A10" s="419">
        <v>2017</v>
      </c>
      <c r="B10" s="420" t="s">
        <v>303</v>
      </c>
      <c r="C10" s="421" t="s">
        <v>309</v>
      </c>
      <c r="D10" s="421" t="s">
        <v>310</v>
      </c>
      <c r="E10" s="422" t="s">
        <v>306</v>
      </c>
      <c r="F10" s="423" t="s">
        <v>307</v>
      </c>
      <c r="G10" s="424" t="s">
        <v>214</v>
      </c>
      <c r="H10" s="449">
        <v>1897.88</v>
      </c>
      <c r="I10" s="449">
        <v>1854.9</v>
      </c>
      <c r="J10" s="449">
        <v>1806.36</v>
      </c>
      <c r="K10" s="449">
        <v>1810.58</v>
      </c>
      <c r="L10" s="449">
        <v>1769.62</v>
      </c>
      <c r="M10" s="449">
        <v>1723.36</v>
      </c>
      <c r="N10" s="449">
        <v>935.01</v>
      </c>
      <c r="O10" s="449">
        <v>2152</v>
      </c>
      <c r="P10" s="449">
        <v>2033.24</v>
      </c>
      <c r="Q10" s="449">
        <v>1803.53</v>
      </c>
      <c r="R10" s="449">
        <v>1301.6600000000001</v>
      </c>
      <c r="S10" s="449">
        <v>1198.6400000000001</v>
      </c>
      <c r="T10" s="450" t="s">
        <v>308</v>
      </c>
      <c r="U10" s="144"/>
      <c r="V10" s="449">
        <f t="shared" si="13"/>
        <v>1935.8376000000001</v>
      </c>
      <c r="W10" s="449">
        <f t="shared" si="2"/>
        <v>1891.998</v>
      </c>
      <c r="X10" s="449">
        <f t="shared" si="3"/>
        <v>1842.4872</v>
      </c>
      <c r="Y10" s="449">
        <f t="shared" si="4"/>
        <v>1846.7916</v>
      </c>
      <c r="Z10" s="449">
        <f t="shared" si="5"/>
        <v>1805.0123999999998</v>
      </c>
      <c r="AA10" s="449">
        <f t="shared" si="6"/>
        <v>1757.8271999999999</v>
      </c>
      <c r="AB10" s="449">
        <f t="shared" si="7"/>
        <v>953.71019999999999</v>
      </c>
      <c r="AC10" s="449">
        <f t="shared" si="8"/>
        <v>2195.04</v>
      </c>
      <c r="AD10" s="449">
        <f t="shared" si="9"/>
        <v>2073.9048000000003</v>
      </c>
      <c r="AE10" s="449">
        <f t="shared" si="10"/>
        <v>1839.6006</v>
      </c>
      <c r="AF10" s="449">
        <f t="shared" si="11"/>
        <v>1327.6932000000002</v>
      </c>
      <c r="AG10" s="449">
        <f t="shared" si="12"/>
        <v>1222.6128000000001</v>
      </c>
      <c r="AH10" s="450" t="s">
        <v>308</v>
      </c>
    </row>
    <row r="11" spans="1:34" s="150" customFormat="1" ht="13.5" hidden="1" thickBot="1">
      <c r="A11" s="412">
        <v>2017</v>
      </c>
      <c r="B11" s="413" t="s">
        <v>303</v>
      </c>
      <c r="C11" s="414" t="s">
        <v>311</v>
      </c>
      <c r="D11" s="414" t="s">
        <v>312</v>
      </c>
      <c r="E11" s="415" t="s">
        <v>306</v>
      </c>
      <c r="F11" s="416" t="s">
        <v>307</v>
      </c>
      <c r="G11" s="417" t="s">
        <v>211</v>
      </c>
      <c r="H11" s="445">
        <v>657.16</v>
      </c>
      <c r="I11" s="445">
        <v>642.28</v>
      </c>
      <c r="J11" s="445">
        <v>625.47</v>
      </c>
      <c r="K11" s="445">
        <v>626.92999999999995</v>
      </c>
      <c r="L11" s="445">
        <v>612.75</v>
      </c>
      <c r="M11" s="445">
        <v>596.73</v>
      </c>
      <c r="N11" s="445">
        <v>323.76</v>
      </c>
      <c r="O11" s="445">
        <v>745.15</v>
      </c>
      <c r="P11" s="445">
        <v>704.03</v>
      </c>
      <c r="Q11" s="445">
        <v>624.49</v>
      </c>
      <c r="R11" s="445">
        <v>450.71</v>
      </c>
      <c r="S11" s="445">
        <v>415.04</v>
      </c>
      <c r="T11" s="446" t="s">
        <v>308</v>
      </c>
      <c r="U11" s="144"/>
      <c r="V11" s="445">
        <f t="shared" si="13"/>
        <v>670.30319999999995</v>
      </c>
      <c r="W11" s="445">
        <f t="shared" si="2"/>
        <v>655.12559999999996</v>
      </c>
      <c r="X11" s="445">
        <f t="shared" si="3"/>
        <v>637.97940000000006</v>
      </c>
      <c r="Y11" s="445">
        <f t="shared" si="4"/>
        <v>639.46859999999992</v>
      </c>
      <c r="Z11" s="445">
        <f t="shared" si="5"/>
        <v>625.005</v>
      </c>
      <c r="AA11" s="445">
        <f t="shared" si="6"/>
        <v>608.66460000000006</v>
      </c>
      <c r="AB11" s="445">
        <f t="shared" si="7"/>
        <v>330.23520000000002</v>
      </c>
      <c r="AC11" s="445">
        <f t="shared" si="8"/>
        <v>760.053</v>
      </c>
      <c r="AD11" s="445">
        <f t="shared" si="9"/>
        <v>718.11059999999998</v>
      </c>
      <c r="AE11" s="445">
        <f t="shared" si="10"/>
        <v>636.97980000000007</v>
      </c>
      <c r="AF11" s="445">
        <f t="shared" si="11"/>
        <v>459.7242</v>
      </c>
      <c r="AG11" s="445">
        <f t="shared" si="12"/>
        <v>423.3408</v>
      </c>
      <c r="AH11" s="446" t="s">
        <v>308</v>
      </c>
    </row>
    <row r="12" spans="1:34" s="150" customFormat="1" ht="13.5" hidden="1" thickBot="1">
      <c r="A12" s="418">
        <v>2017</v>
      </c>
      <c r="B12" s="145" t="s">
        <v>303</v>
      </c>
      <c r="C12" s="146" t="s">
        <v>311</v>
      </c>
      <c r="D12" s="146" t="s">
        <v>312</v>
      </c>
      <c r="E12" s="147" t="s">
        <v>306</v>
      </c>
      <c r="F12" s="148" t="s">
        <v>307</v>
      </c>
      <c r="G12" s="149" t="s">
        <v>212</v>
      </c>
      <c r="H12" s="447">
        <v>1439.18</v>
      </c>
      <c r="I12" s="447">
        <v>1406.59</v>
      </c>
      <c r="J12" s="447">
        <v>1369.78</v>
      </c>
      <c r="K12" s="447">
        <v>1372.98</v>
      </c>
      <c r="L12" s="447">
        <v>1341.92</v>
      </c>
      <c r="M12" s="447">
        <v>1306.8399999999999</v>
      </c>
      <c r="N12" s="447">
        <v>709.02</v>
      </c>
      <c r="O12" s="447">
        <v>1631.88</v>
      </c>
      <c r="P12" s="447">
        <v>1541.83</v>
      </c>
      <c r="Q12" s="447">
        <v>1367.63</v>
      </c>
      <c r="R12" s="447">
        <v>987.06</v>
      </c>
      <c r="S12" s="447">
        <v>908.94</v>
      </c>
      <c r="T12" s="448" t="s">
        <v>308</v>
      </c>
      <c r="U12" s="144"/>
      <c r="V12" s="447">
        <f t="shared" si="13"/>
        <v>1467.9636</v>
      </c>
      <c r="W12" s="447">
        <f t="shared" si="2"/>
        <v>1434.7218</v>
      </c>
      <c r="X12" s="447">
        <f t="shared" si="3"/>
        <v>1397.1756</v>
      </c>
      <c r="Y12" s="447">
        <f t="shared" si="4"/>
        <v>1400.4396000000002</v>
      </c>
      <c r="Z12" s="447">
        <f t="shared" si="5"/>
        <v>1368.7584000000002</v>
      </c>
      <c r="AA12" s="447">
        <f t="shared" si="6"/>
        <v>1332.9767999999999</v>
      </c>
      <c r="AB12" s="447">
        <f t="shared" si="7"/>
        <v>723.20039999999995</v>
      </c>
      <c r="AC12" s="447">
        <f t="shared" si="8"/>
        <v>1664.5176000000001</v>
      </c>
      <c r="AD12" s="447">
        <f t="shared" si="9"/>
        <v>1572.6666</v>
      </c>
      <c r="AE12" s="447">
        <f t="shared" si="10"/>
        <v>1394.9826</v>
      </c>
      <c r="AF12" s="447">
        <f t="shared" si="11"/>
        <v>1006.8012</v>
      </c>
      <c r="AG12" s="447">
        <f t="shared" si="12"/>
        <v>927.11880000000008</v>
      </c>
      <c r="AH12" s="448" t="s">
        <v>308</v>
      </c>
    </row>
    <row r="13" spans="1:34" s="150" customFormat="1" ht="13.5" hidden="1" thickBot="1">
      <c r="A13" s="418">
        <v>2017</v>
      </c>
      <c r="B13" s="145" t="s">
        <v>303</v>
      </c>
      <c r="C13" s="146" t="s">
        <v>311</v>
      </c>
      <c r="D13" s="146" t="s">
        <v>312</v>
      </c>
      <c r="E13" s="147" t="s">
        <v>306</v>
      </c>
      <c r="F13" s="148" t="s">
        <v>307</v>
      </c>
      <c r="G13" s="149" t="s">
        <v>213</v>
      </c>
      <c r="H13" s="447">
        <v>1248.5999999999999</v>
      </c>
      <c r="I13" s="447">
        <v>1220.33</v>
      </c>
      <c r="J13" s="447">
        <v>1188.3900000000001</v>
      </c>
      <c r="K13" s="447">
        <v>1191.17</v>
      </c>
      <c r="L13" s="447">
        <v>1164.23</v>
      </c>
      <c r="M13" s="447">
        <v>1133.79</v>
      </c>
      <c r="N13" s="447">
        <v>615.14</v>
      </c>
      <c r="O13" s="447">
        <v>1415.79</v>
      </c>
      <c r="P13" s="447">
        <v>1337.66</v>
      </c>
      <c r="Q13" s="447">
        <v>1186.53</v>
      </c>
      <c r="R13" s="447">
        <v>856.35</v>
      </c>
      <c r="S13" s="447">
        <v>788.58</v>
      </c>
      <c r="T13" s="448" t="s">
        <v>308</v>
      </c>
      <c r="U13" s="144"/>
      <c r="V13" s="447">
        <f t="shared" si="13"/>
        <v>1273.5719999999999</v>
      </c>
      <c r="W13" s="447">
        <f t="shared" si="2"/>
        <v>1244.7366</v>
      </c>
      <c r="X13" s="447">
        <f t="shared" si="3"/>
        <v>1212.1578000000002</v>
      </c>
      <c r="Y13" s="447">
        <f t="shared" si="4"/>
        <v>1214.9934000000001</v>
      </c>
      <c r="Z13" s="447">
        <f t="shared" si="5"/>
        <v>1187.5146</v>
      </c>
      <c r="AA13" s="447">
        <f t="shared" si="6"/>
        <v>1156.4657999999999</v>
      </c>
      <c r="AB13" s="447">
        <f t="shared" si="7"/>
        <v>627.44280000000003</v>
      </c>
      <c r="AC13" s="447">
        <f t="shared" si="8"/>
        <v>1444.1058</v>
      </c>
      <c r="AD13" s="447">
        <f t="shared" si="9"/>
        <v>1364.4132000000002</v>
      </c>
      <c r="AE13" s="447">
        <f t="shared" si="10"/>
        <v>1210.2606000000001</v>
      </c>
      <c r="AF13" s="447">
        <f t="shared" si="11"/>
        <v>873.47700000000009</v>
      </c>
      <c r="AG13" s="447">
        <f t="shared" si="12"/>
        <v>804.35160000000008</v>
      </c>
      <c r="AH13" s="448" t="s">
        <v>308</v>
      </c>
    </row>
    <row r="14" spans="1:34" s="150" customFormat="1" ht="13.5" hidden="1" thickBot="1">
      <c r="A14" s="419">
        <v>2017</v>
      </c>
      <c r="B14" s="420" t="s">
        <v>303</v>
      </c>
      <c r="C14" s="421" t="s">
        <v>311</v>
      </c>
      <c r="D14" s="421" t="s">
        <v>312</v>
      </c>
      <c r="E14" s="422" t="s">
        <v>306</v>
      </c>
      <c r="F14" s="423" t="s">
        <v>307</v>
      </c>
      <c r="G14" s="424" t="s">
        <v>214</v>
      </c>
      <c r="H14" s="449">
        <v>1997.77</v>
      </c>
      <c r="I14" s="449">
        <v>1952.53</v>
      </c>
      <c r="J14" s="449">
        <v>1901.43</v>
      </c>
      <c r="K14" s="449">
        <v>1905.87</v>
      </c>
      <c r="L14" s="449">
        <v>1862.76</v>
      </c>
      <c r="M14" s="449">
        <v>1814.06</v>
      </c>
      <c r="N14" s="449">
        <v>984.22</v>
      </c>
      <c r="O14" s="449">
        <v>2265.2600000000002</v>
      </c>
      <c r="P14" s="449">
        <v>2140.25</v>
      </c>
      <c r="Q14" s="449">
        <v>1898.45</v>
      </c>
      <c r="R14" s="449">
        <v>1370.17</v>
      </c>
      <c r="S14" s="449">
        <v>1261.73</v>
      </c>
      <c r="T14" s="450" t="s">
        <v>308</v>
      </c>
      <c r="U14" s="144"/>
      <c r="V14" s="449">
        <f t="shared" si="13"/>
        <v>2037.7254</v>
      </c>
      <c r="W14" s="449">
        <f t="shared" si="2"/>
        <v>1991.5806</v>
      </c>
      <c r="X14" s="449">
        <f t="shared" si="3"/>
        <v>1939.4586000000002</v>
      </c>
      <c r="Y14" s="449">
        <f t="shared" si="4"/>
        <v>1943.9874</v>
      </c>
      <c r="Z14" s="449">
        <f t="shared" si="5"/>
        <v>1900.0152</v>
      </c>
      <c r="AA14" s="449">
        <f t="shared" si="6"/>
        <v>1850.3412000000001</v>
      </c>
      <c r="AB14" s="449">
        <f t="shared" si="7"/>
        <v>1003.9044</v>
      </c>
      <c r="AC14" s="449">
        <f t="shared" si="8"/>
        <v>2310.5652000000005</v>
      </c>
      <c r="AD14" s="449">
        <f t="shared" si="9"/>
        <v>2183.0549999999998</v>
      </c>
      <c r="AE14" s="449">
        <f t="shared" si="10"/>
        <v>1936.4190000000001</v>
      </c>
      <c r="AF14" s="449">
        <f t="shared" si="11"/>
        <v>1397.5734</v>
      </c>
      <c r="AG14" s="449">
        <f t="shared" si="12"/>
        <v>1286.9646</v>
      </c>
      <c r="AH14" s="450" t="s">
        <v>308</v>
      </c>
    </row>
    <row r="15" spans="1:34" s="150" customFormat="1" ht="13.5" hidden="1" thickBot="1">
      <c r="A15" s="412">
        <v>2017</v>
      </c>
      <c r="B15" s="413" t="s">
        <v>303</v>
      </c>
      <c r="C15" s="414" t="s">
        <v>313</v>
      </c>
      <c r="D15" s="414" t="s">
        <v>314</v>
      </c>
      <c r="E15" s="415" t="s">
        <v>306</v>
      </c>
      <c r="F15" s="416" t="s">
        <v>307</v>
      </c>
      <c r="G15" s="417" t="s">
        <v>211</v>
      </c>
      <c r="H15" s="445">
        <v>755.73</v>
      </c>
      <c r="I15" s="445">
        <v>738.62</v>
      </c>
      <c r="J15" s="445">
        <v>719.29</v>
      </c>
      <c r="K15" s="445">
        <v>720.97</v>
      </c>
      <c r="L15" s="445">
        <v>704.66</v>
      </c>
      <c r="M15" s="445">
        <v>686.24</v>
      </c>
      <c r="N15" s="445">
        <v>372.32</v>
      </c>
      <c r="O15" s="445">
        <v>856.92</v>
      </c>
      <c r="P15" s="445">
        <v>809.63</v>
      </c>
      <c r="Q15" s="445">
        <v>718.16</v>
      </c>
      <c r="R15" s="445">
        <v>518.32000000000005</v>
      </c>
      <c r="S15" s="445">
        <v>477.3</v>
      </c>
      <c r="T15" s="446" t="s">
        <v>308</v>
      </c>
      <c r="U15" s="144"/>
      <c r="V15" s="445">
        <f t="shared" si="13"/>
        <v>770.84460000000001</v>
      </c>
      <c r="W15" s="445">
        <f t="shared" si="2"/>
        <v>753.39240000000007</v>
      </c>
      <c r="X15" s="445">
        <f t="shared" si="3"/>
        <v>733.67579999999998</v>
      </c>
      <c r="Y15" s="445">
        <f t="shared" si="4"/>
        <v>735.38940000000002</v>
      </c>
      <c r="Z15" s="445">
        <f t="shared" si="5"/>
        <v>718.75319999999999</v>
      </c>
      <c r="AA15" s="445">
        <f t="shared" si="6"/>
        <v>699.96479999999997</v>
      </c>
      <c r="AB15" s="445">
        <f t="shared" si="7"/>
        <v>379.76639999999998</v>
      </c>
      <c r="AC15" s="445">
        <f t="shared" si="8"/>
        <v>874.05840000000001</v>
      </c>
      <c r="AD15" s="445">
        <f t="shared" si="9"/>
        <v>825.82259999999997</v>
      </c>
      <c r="AE15" s="445">
        <f t="shared" si="10"/>
        <v>732.52319999999997</v>
      </c>
      <c r="AF15" s="445">
        <f t="shared" si="11"/>
        <v>528.68640000000005</v>
      </c>
      <c r="AG15" s="445">
        <f t="shared" si="12"/>
        <v>486.846</v>
      </c>
      <c r="AH15" s="446" t="s">
        <v>308</v>
      </c>
    </row>
    <row r="16" spans="1:34" s="150" customFormat="1" ht="13.5" hidden="1" thickBot="1">
      <c r="A16" s="418">
        <v>2017</v>
      </c>
      <c r="B16" s="145" t="s">
        <v>303</v>
      </c>
      <c r="C16" s="146" t="s">
        <v>313</v>
      </c>
      <c r="D16" s="146" t="s">
        <v>314</v>
      </c>
      <c r="E16" s="147" t="s">
        <v>306</v>
      </c>
      <c r="F16" s="148" t="s">
        <v>307</v>
      </c>
      <c r="G16" s="149" t="s">
        <v>212</v>
      </c>
      <c r="H16" s="447">
        <v>1655.06</v>
      </c>
      <c r="I16" s="447">
        <v>1617.58</v>
      </c>
      <c r="J16" s="447">
        <v>1575.25</v>
      </c>
      <c r="K16" s="447">
        <v>1578.93</v>
      </c>
      <c r="L16" s="447">
        <v>1543.21</v>
      </c>
      <c r="M16" s="447">
        <v>1502.87</v>
      </c>
      <c r="N16" s="447">
        <v>815.38</v>
      </c>
      <c r="O16" s="447">
        <v>1876.66</v>
      </c>
      <c r="P16" s="447">
        <v>1773.1</v>
      </c>
      <c r="Q16" s="447">
        <v>1572.77</v>
      </c>
      <c r="R16" s="447">
        <v>1135.1199999999999</v>
      </c>
      <c r="S16" s="447">
        <v>1045.28</v>
      </c>
      <c r="T16" s="448" t="s">
        <v>308</v>
      </c>
      <c r="U16" s="144"/>
      <c r="V16" s="447">
        <f t="shared" si="13"/>
        <v>1688.1612</v>
      </c>
      <c r="W16" s="447">
        <f t="shared" si="2"/>
        <v>1649.9315999999999</v>
      </c>
      <c r="X16" s="447">
        <f t="shared" si="3"/>
        <v>1606.7550000000001</v>
      </c>
      <c r="Y16" s="447">
        <f t="shared" si="4"/>
        <v>1610.5086000000001</v>
      </c>
      <c r="Z16" s="447">
        <f t="shared" si="5"/>
        <v>1574.0742</v>
      </c>
      <c r="AA16" s="447">
        <f t="shared" si="6"/>
        <v>1532.9273999999998</v>
      </c>
      <c r="AB16" s="447">
        <f t="shared" si="7"/>
        <v>831.68759999999997</v>
      </c>
      <c r="AC16" s="447">
        <f t="shared" si="8"/>
        <v>1914.1932000000002</v>
      </c>
      <c r="AD16" s="447">
        <f t="shared" si="9"/>
        <v>1808.5619999999999</v>
      </c>
      <c r="AE16" s="447">
        <f t="shared" si="10"/>
        <v>1604.2254</v>
      </c>
      <c r="AF16" s="447">
        <f t="shared" si="11"/>
        <v>1157.8224</v>
      </c>
      <c r="AG16" s="447">
        <f t="shared" si="12"/>
        <v>1066.1856</v>
      </c>
      <c r="AH16" s="448" t="s">
        <v>308</v>
      </c>
    </row>
    <row r="17" spans="1:34" s="150" customFormat="1" ht="13.5" hidden="1" thickBot="1">
      <c r="A17" s="418">
        <v>2017</v>
      </c>
      <c r="B17" s="145" t="s">
        <v>303</v>
      </c>
      <c r="C17" s="146" t="s">
        <v>313</v>
      </c>
      <c r="D17" s="146" t="s">
        <v>314</v>
      </c>
      <c r="E17" s="147" t="s">
        <v>306</v>
      </c>
      <c r="F17" s="148" t="s">
        <v>307</v>
      </c>
      <c r="G17" s="149" t="s">
        <v>213</v>
      </c>
      <c r="H17" s="447">
        <v>1435.89</v>
      </c>
      <c r="I17" s="447">
        <v>1403.38</v>
      </c>
      <c r="J17" s="447">
        <v>1366.65</v>
      </c>
      <c r="K17" s="447">
        <v>1369.85</v>
      </c>
      <c r="L17" s="447">
        <v>1338.86</v>
      </c>
      <c r="M17" s="447">
        <v>1303.8599999999999</v>
      </c>
      <c r="N17" s="447">
        <v>707.41</v>
      </c>
      <c r="O17" s="447">
        <v>1628.16</v>
      </c>
      <c r="P17" s="447">
        <v>1538.31</v>
      </c>
      <c r="Q17" s="447">
        <v>1364.51</v>
      </c>
      <c r="R17" s="447">
        <v>984.81</v>
      </c>
      <c r="S17" s="447">
        <v>906.86</v>
      </c>
      <c r="T17" s="448" t="s">
        <v>308</v>
      </c>
      <c r="U17" s="144"/>
      <c r="V17" s="447">
        <f t="shared" si="13"/>
        <v>1464.6078000000002</v>
      </c>
      <c r="W17" s="447">
        <f t="shared" si="2"/>
        <v>1431.4476000000002</v>
      </c>
      <c r="X17" s="447">
        <f t="shared" si="3"/>
        <v>1393.9830000000002</v>
      </c>
      <c r="Y17" s="447">
        <f t="shared" si="4"/>
        <v>1397.2469999999998</v>
      </c>
      <c r="Z17" s="447">
        <f t="shared" si="5"/>
        <v>1365.6371999999999</v>
      </c>
      <c r="AA17" s="447">
        <f t="shared" si="6"/>
        <v>1329.9371999999998</v>
      </c>
      <c r="AB17" s="447">
        <f t="shared" si="7"/>
        <v>721.55819999999994</v>
      </c>
      <c r="AC17" s="447">
        <f t="shared" si="8"/>
        <v>1660.7232000000001</v>
      </c>
      <c r="AD17" s="447">
        <f t="shared" si="9"/>
        <v>1569.0762</v>
      </c>
      <c r="AE17" s="447">
        <f t="shared" si="10"/>
        <v>1391.8001999999999</v>
      </c>
      <c r="AF17" s="447">
        <f t="shared" si="11"/>
        <v>1004.5061999999999</v>
      </c>
      <c r="AG17" s="447">
        <f t="shared" si="12"/>
        <v>924.99720000000002</v>
      </c>
      <c r="AH17" s="448" t="s">
        <v>308</v>
      </c>
    </row>
    <row r="18" spans="1:34" s="150" customFormat="1" ht="13.5" hidden="1" thickBot="1">
      <c r="A18" s="419">
        <v>2017</v>
      </c>
      <c r="B18" s="420" t="s">
        <v>303</v>
      </c>
      <c r="C18" s="421" t="s">
        <v>313</v>
      </c>
      <c r="D18" s="421" t="s">
        <v>314</v>
      </c>
      <c r="E18" s="422" t="s">
        <v>306</v>
      </c>
      <c r="F18" s="423" t="s">
        <v>307</v>
      </c>
      <c r="G18" s="424" t="s">
        <v>214</v>
      </c>
      <c r="H18" s="449">
        <v>2297.44</v>
      </c>
      <c r="I18" s="449">
        <v>2245.41</v>
      </c>
      <c r="J18" s="449">
        <v>2186.64</v>
      </c>
      <c r="K18" s="449">
        <v>2191.75</v>
      </c>
      <c r="L18" s="449">
        <v>2142.17</v>
      </c>
      <c r="M18" s="449">
        <v>2086.17</v>
      </c>
      <c r="N18" s="449">
        <v>1131.8499999999999</v>
      </c>
      <c r="O18" s="449">
        <v>2605.0500000000002</v>
      </c>
      <c r="P18" s="449">
        <v>2461.29</v>
      </c>
      <c r="Q18" s="449">
        <v>2183.2199999999998</v>
      </c>
      <c r="R18" s="449">
        <v>1575.7</v>
      </c>
      <c r="S18" s="449">
        <v>1450.98</v>
      </c>
      <c r="T18" s="450" t="s">
        <v>308</v>
      </c>
      <c r="U18" s="144"/>
      <c r="V18" s="449">
        <f t="shared" si="13"/>
        <v>2343.3888000000002</v>
      </c>
      <c r="W18" s="449">
        <f t="shared" si="2"/>
        <v>2290.3181999999997</v>
      </c>
      <c r="X18" s="449">
        <f t="shared" si="3"/>
        <v>2230.3728000000001</v>
      </c>
      <c r="Y18" s="449">
        <f t="shared" si="4"/>
        <v>2235.585</v>
      </c>
      <c r="Z18" s="449">
        <f t="shared" si="5"/>
        <v>2185.0134000000003</v>
      </c>
      <c r="AA18" s="449">
        <f t="shared" si="6"/>
        <v>2127.8933999999999</v>
      </c>
      <c r="AB18" s="449">
        <f t="shared" si="7"/>
        <v>1154.4869999999999</v>
      </c>
      <c r="AC18" s="449">
        <f t="shared" si="8"/>
        <v>2657.1510000000003</v>
      </c>
      <c r="AD18" s="449">
        <f t="shared" si="9"/>
        <v>2510.5158000000001</v>
      </c>
      <c r="AE18" s="449">
        <f t="shared" si="10"/>
        <v>2226.8843999999999</v>
      </c>
      <c r="AF18" s="449">
        <f t="shared" si="11"/>
        <v>1607.2140000000002</v>
      </c>
      <c r="AG18" s="449">
        <f t="shared" si="12"/>
        <v>1479.9996000000001</v>
      </c>
      <c r="AH18" s="450" t="s">
        <v>308</v>
      </c>
    </row>
    <row r="19" spans="1:34" ht="16.5" hidden="1" thickBot="1">
      <c r="A19" s="412">
        <v>2017</v>
      </c>
      <c r="B19" s="413" t="s">
        <v>303</v>
      </c>
      <c r="C19" s="414" t="s">
        <v>304</v>
      </c>
      <c r="D19" s="414" t="s">
        <v>305</v>
      </c>
      <c r="E19" s="415" t="s">
        <v>306</v>
      </c>
      <c r="F19" s="432" t="s">
        <v>315</v>
      </c>
      <c r="G19" s="417" t="s">
        <v>211</v>
      </c>
      <c r="H19" s="445">
        <v>568.11</v>
      </c>
      <c r="I19" s="445">
        <v>555.25</v>
      </c>
      <c r="J19" s="445">
        <v>540.72</v>
      </c>
      <c r="K19" s="445">
        <v>541.98</v>
      </c>
      <c r="L19" s="445">
        <v>529.72</v>
      </c>
      <c r="M19" s="445">
        <v>515.87</v>
      </c>
      <c r="N19" s="445">
        <v>279.89</v>
      </c>
      <c r="O19" s="445">
        <v>644.17999999999995</v>
      </c>
      <c r="P19" s="445">
        <v>608.63</v>
      </c>
      <c r="Q19" s="445">
        <v>539.87</v>
      </c>
      <c r="R19" s="445">
        <v>389.64</v>
      </c>
      <c r="S19" s="445">
        <v>358.8</v>
      </c>
      <c r="T19" s="446" t="s">
        <v>308</v>
      </c>
      <c r="U19" s="144"/>
      <c r="V19" s="445">
        <f t="shared" si="13"/>
        <v>579.47220000000004</v>
      </c>
      <c r="W19" s="445">
        <f t="shared" si="2"/>
        <v>566.35500000000002</v>
      </c>
      <c r="X19" s="445">
        <f t="shared" si="3"/>
        <v>551.53440000000001</v>
      </c>
      <c r="Y19" s="445">
        <f t="shared" si="4"/>
        <v>552.81960000000004</v>
      </c>
      <c r="Z19" s="445">
        <f t="shared" si="5"/>
        <v>540.31440000000009</v>
      </c>
      <c r="AA19" s="445">
        <f t="shared" si="6"/>
        <v>526.18740000000003</v>
      </c>
      <c r="AB19" s="445">
        <f t="shared" si="7"/>
        <v>285.48779999999999</v>
      </c>
      <c r="AC19" s="445">
        <f t="shared" si="8"/>
        <v>657.06359999999995</v>
      </c>
      <c r="AD19" s="445">
        <f t="shared" si="9"/>
        <v>620.80259999999998</v>
      </c>
      <c r="AE19" s="445">
        <f t="shared" si="10"/>
        <v>550.66740000000004</v>
      </c>
      <c r="AF19" s="445">
        <f t="shared" si="11"/>
        <v>397.43279999999999</v>
      </c>
      <c r="AG19" s="445">
        <f t="shared" si="12"/>
        <v>365.976</v>
      </c>
      <c r="AH19" s="446" t="s">
        <v>308</v>
      </c>
    </row>
    <row r="20" spans="1:34" ht="16.5" hidden="1" thickBot="1">
      <c r="A20" s="418">
        <v>2017</v>
      </c>
      <c r="B20" s="145" t="s">
        <v>303</v>
      </c>
      <c r="C20" s="146" t="s">
        <v>304</v>
      </c>
      <c r="D20" s="146" t="s">
        <v>305</v>
      </c>
      <c r="E20" s="147" t="s">
        <v>306</v>
      </c>
      <c r="F20" s="433" t="s">
        <v>315</v>
      </c>
      <c r="G20" s="149" t="s">
        <v>212</v>
      </c>
      <c r="H20" s="447">
        <v>1244.17</v>
      </c>
      <c r="I20" s="447">
        <v>1216</v>
      </c>
      <c r="J20" s="447">
        <v>1184.17</v>
      </c>
      <c r="K20" s="447">
        <v>1186.94</v>
      </c>
      <c r="L20" s="447">
        <v>1160.0899999999999</v>
      </c>
      <c r="M20" s="447">
        <v>1129.76</v>
      </c>
      <c r="N20" s="447">
        <v>612.95000000000005</v>
      </c>
      <c r="O20" s="447">
        <v>1410.76</v>
      </c>
      <c r="P20" s="447">
        <v>1332.91</v>
      </c>
      <c r="Q20" s="447">
        <v>1182.32</v>
      </c>
      <c r="R20" s="447">
        <v>853.31</v>
      </c>
      <c r="S20" s="447">
        <v>785.78</v>
      </c>
      <c r="T20" s="448" t="s">
        <v>308</v>
      </c>
      <c r="U20" s="144"/>
      <c r="V20" s="447">
        <f t="shared" si="13"/>
        <v>1269.0534</v>
      </c>
      <c r="W20" s="447">
        <f t="shared" si="2"/>
        <v>1240.32</v>
      </c>
      <c r="X20" s="447">
        <f t="shared" si="3"/>
        <v>1207.8534000000002</v>
      </c>
      <c r="Y20" s="447">
        <f t="shared" si="4"/>
        <v>1210.6788000000001</v>
      </c>
      <c r="Z20" s="447">
        <f t="shared" si="5"/>
        <v>1183.2918</v>
      </c>
      <c r="AA20" s="447">
        <f t="shared" si="6"/>
        <v>1152.3552</v>
      </c>
      <c r="AB20" s="447">
        <f t="shared" si="7"/>
        <v>625.20900000000006</v>
      </c>
      <c r="AC20" s="447">
        <f t="shared" si="8"/>
        <v>1438.9752000000001</v>
      </c>
      <c r="AD20" s="447">
        <f t="shared" si="9"/>
        <v>1359.5682000000002</v>
      </c>
      <c r="AE20" s="447">
        <f t="shared" si="10"/>
        <v>1205.9664</v>
      </c>
      <c r="AF20" s="447">
        <f t="shared" si="11"/>
        <v>870.37619999999993</v>
      </c>
      <c r="AG20" s="447">
        <f t="shared" si="12"/>
        <v>801.49559999999997</v>
      </c>
      <c r="AH20" s="448" t="s">
        <v>308</v>
      </c>
    </row>
    <row r="21" spans="1:34" ht="16.5" hidden="1" thickBot="1">
      <c r="A21" s="418">
        <v>2017</v>
      </c>
      <c r="B21" s="145" t="s">
        <v>303</v>
      </c>
      <c r="C21" s="146" t="s">
        <v>304</v>
      </c>
      <c r="D21" s="146" t="s">
        <v>305</v>
      </c>
      <c r="E21" s="147" t="s">
        <v>306</v>
      </c>
      <c r="F21" s="433" t="s">
        <v>315</v>
      </c>
      <c r="G21" s="149" t="s">
        <v>213</v>
      </c>
      <c r="H21" s="447">
        <v>1079.4100000000001</v>
      </c>
      <c r="I21" s="447">
        <v>1054.98</v>
      </c>
      <c r="J21" s="447">
        <v>1027.3599999999999</v>
      </c>
      <c r="K21" s="447">
        <v>1029.77</v>
      </c>
      <c r="L21" s="447">
        <v>1006.48</v>
      </c>
      <c r="M21" s="447">
        <v>980.16</v>
      </c>
      <c r="N21" s="447">
        <v>531.79</v>
      </c>
      <c r="O21" s="447">
        <v>1223.95</v>
      </c>
      <c r="P21" s="447">
        <v>1156.4100000000001</v>
      </c>
      <c r="Q21" s="447">
        <v>1025.76</v>
      </c>
      <c r="R21" s="447">
        <v>740.32</v>
      </c>
      <c r="S21" s="447">
        <v>681.72</v>
      </c>
      <c r="T21" s="448" t="s">
        <v>308</v>
      </c>
      <c r="U21" s="144"/>
      <c r="V21" s="447">
        <f t="shared" si="13"/>
        <v>1100.9982</v>
      </c>
      <c r="W21" s="447">
        <f t="shared" si="2"/>
        <v>1076.0796</v>
      </c>
      <c r="X21" s="447">
        <f t="shared" si="3"/>
        <v>1047.9071999999999</v>
      </c>
      <c r="Y21" s="447">
        <f t="shared" si="4"/>
        <v>1050.3653999999999</v>
      </c>
      <c r="Z21" s="447">
        <f t="shared" si="5"/>
        <v>1026.6096</v>
      </c>
      <c r="AA21" s="447">
        <f t="shared" si="6"/>
        <v>999.76319999999998</v>
      </c>
      <c r="AB21" s="447">
        <f t="shared" si="7"/>
        <v>542.42579999999998</v>
      </c>
      <c r="AC21" s="447">
        <f t="shared" si="8"/>
        <v>1248.4290000000001</v>
      </c>
      <c r="AD21" s="447">
        <f t="shared" si="9"/>
        <v>1179.5382000000002</v>
      </c>
      <c r="AE21" s="447">
        <f t="shared" si="10"/>
        <v>1046.2752</v>
      </c>
      <c r="AF21" s="447">
        <f t="shared" si="11"/>
        <v>755.1264000000001</v>
      </c>
      <c r="AG21" s="447">
        <f t="shared" si="12"/>
        <v>695.35440000000006</v>
      </c>
      <c r="AH21" s="448" t="s">
        <v>308</v>
      </c>
    </row>
    <row r="22" spans="1:34" ht="16.5" hidden="1" thickBot="1">
      <c r="A22" s="419">
        <v>2017</v>
      </c>
      <c r="B22" s="420" t="s">
        <v>303</v>
      </c>
      <c r="C22" s="421" t="s">
        <v>304</v>
      </c>
      <c r="D22" s="421" t="s">
        <v>305</v>
      </c>
      <c r="E22" s="422" t="s">
        <v>306</v>
      </c>
      <c r="F22" s="434" t="s">
        <v>315</v>
      </c>
      <c r="G22" s="424" t="s">
        <v>214</v>
      </c>
      <c r="H22" s="449">
        <v>1727.07</v>
      </c>
      <c r="I22" s="449">
        <v>1687.96</v>
      </c>
      <c r="J22" s="449">
        <v>1643.79</v>
      </c>
      <c r="K22" s="449">
        <v>1647.62</v>
      </c>
      <c r="L22" s="449">
        <v>1610.36</v>
      </c>
      <c r="M22" s="449">
        <v>1568.25</v>
      </c>
      <c r="N22" s="449">
        <v>850.86</v>
      </c>
      <c r="O22" s="449">
        <v>1958.32</v>
      </c>
      <c r="P22" s="449">
        <v>1850.25</v>
      </c>
      <c r="Q22" s="449">
        <v>1641.21</v>
      </c>
      <c r="R22" s="449">
        <v>1184.51</v>
      </c>
      <c r="S22" s="449">
        <v>1090.76</v>
      </c>
      <c r="T22" s="450" t="s">
        <v>308</v>
      </c>
      <c r="U22" s="144"/>
      <c r="V22" s="449">
        <f t="shared" si="13"/>
        <v>1761.6114</v>
      </c>
      <c r="W22" s="449">
        <f t="shared" si="2"/>
        <v>1721.7192</v>
      </c>
      <c r="X22" s="449">
        <f t="shared" si="3"/>
        <v>1676.6658</v>
      </c>
      <c r="Y22" s="449">
        <f t="shared" si="4"/>
        <v>1680.5724</v>
      </c>
      <c r="Z22" s="449">
        <f t="shared" si="5"/>
        <v>1642.5672</v>
      </c>
      <c r="AA22" s="449">
        <f t="shared" si="6"/>
        <v>1599.615</v>
      </c>
      <c r="AB22" s="449">
        <f t="shared" si="7"/>
        <v>867.87720000000002</v>
      </c>
      <c r="AC22" s="449">
        <f t="shared" si="8"/>
        <v>1997.4864</v>
      </c>
      <c r="AD22" s="449">
        <f t="shared" si="9"/>
        <v>1887.2550000000001</v>
      </c>
      <c r="AE22" s="449">
        <f t="shared" si="10"/>
        <v>1674.0342000000001</v>
      </c>
      <c r="AF22" s="449">
        <f t="shared" si="11"/>
        <v>1208.2002</v>
      </c>
      <c r="AG22" s="449">
        <f t="shared" si="12"/>
        <v>1112.5752</v>
      </c>
      <c r="AH22" s="450" t="s">
        <v>308</v>
      </c>
    </row>
    <row r="23" spans="1:34" ht="16.5" hidden="1" thickBot="1">
      <c r="A23" s="412">
        <v>2017</v>
      </c>
      <c r="B23" s="413" t="s">
        <v>303</v>
      </c>
      <c r="C23" s="414" t="s">
        <v>309</v>
      </c>
      <c r="D23" s="414" t="s">
        <v>310</v>
      </c>
      <c r="E23" s="415" t="s">
        <v>306</v>
      </c>
      <c r="F23" s="432" t="s">
        <v>315</v>
      </c>
      <c r="G23" s="417" t="s">
        <v>211</v>
      </c>
      <c r="H23" s="445">
        <v>624.29999999999995</v>
      </c>
      <c r="I23" s="445">
        <v>610.16999999999996</v>
      </c>
      <c r="J23" s="445">
        <v>594.20000000000005</v>
      </c>
      <c r="K23" s="445">
        <v>595.58000000000004</v>
      </c>
      <c r="L23" s="445">
        <v>582.11</v>
      </c>
      <c r="M23" s="445">
        <v>566.89</v>
      </c>
      <c r="N23" s="445">
        <v>307.57</v>
      </c>
      <c r="O23" s="445">
        <v>707.89</v>
      </c>
      <c r="P23" s="445">
        <v>668.83</v>
      </c>
      <c r="Q23" s="445">
        <v>593.27</v>
      </c>
      <c r="R23" s="445">
        <v>428.18</v>
      </c>
      <c r="S23" s="445">
        <v>394.29</v>
      </c>
      <c r="T23" s="446" t="s">
        <v>308</v>
      </c>
      <c r="U23" s="144"/>
      <c r="V23" s="445">
        <f t="shared" si="13"/>
        <v>636.78599999999994</v>
      </c>
      <c r="W23" s="445">
        <f t="shared" si="2"/>
        <v>622.37339999999995</v>
      </c>
      <c r="X23" s="445">
        <f t="shared" si="3"/>
        <v>606.08400000000006</v>
      </c>
      <c r="Y23" s="445">
        <f t="shared" si="4"/>
        <v>607.49160000000006</v>
      </c>
      <c r="Z23" s="445">
        <f t="shared" si="5"/>
        <v>593.75220000000002</v>
      </c>
      <c r="AA23" s="445">
        <f t="shared" si="6"/>
        <v>578.2278</v>
      </c>
      <c r="AB23" s="445">
        <f t="shared" si="7"/>
        <v>313.72140000000002</v>
      </c>
      <c r="AC23" s="445">
        <f t="shared" si="8"/>
        <v>722.04780000000005</v>
      </c>
      <c r="AD23" s="445">
        <f t="shared" si="9"/>
        <v>682.20660000000009</v>
      </c>
      <c r="AE23" s="445">
        <f t="shared" si="10"/>
        <v>605.1354</v>
      </c>
      <c r="AF23" s="445">
        <f t="shared" si="11"/>
        <v>436.74360000000001</v>
      </c>
      <c r="AG23" s="445">
        <f t="shared" si="12"/>
        <v>402.17580000000004</v>
      </c>
      <c r="AH23" s="446" t="s">
        <v>308</v>
      </c>
    </row>
    <row r="24" spans="1:34" ht="16.5" hidden="1" thickBot="1">
      <c r="A24" s="418">
        <v>2017</v>
      </c>
      <c r="B24" s="145" t="s">
        <v>303</v>
      </c>
      <c r="C24" s="146" t="s">
        <v>309</v>
      </c>
      <c r="D24" s="146" t="s">
        <v>310</v>
      </c>
      <c r="E24" s="147" t="s">
        <v>306</v>
      </c>
      <c r="F24" s="433" t="s">
        <v>315</v>
      </c>
      <c r="G24" s="149" t="s">
        <v>212</v>
      </c>
      <c r="H24" s="447">
        <v>1367.22</v>
      </c>
      <c r="I24" s="447">
        <v>1336.26</v>
      </c>
      <c r="J24" s="447">
        <v>1301.29</v>
      </c>
      <c r="K24" s="447">
        <v>1304.33</v>
      </c>
      <c r="L24" s="447">
        <v>1274.82</v>
      </c>
      <c r="M24" s="447">
        <v>1241.5</v>
      </c>
      <c r="N24" s="447">
        <v>673.57</v>
      </c>
      <c r="O24" s="447">
        <v>1550.29</v>
      </c>
      <c r="P24" s="447">
        <v>1464.74</v>
      </c>
      <c r="Q24" s="447">
        <v>1299.25</v>
      </c>
      <c r="R24" s="447">
        <v>937.71</v>
      </c>
      <c r="S24" s="447">
        <v>863.49</v>
      </c>
      <c r="T24" s="448" t="s">
        <v>308</v>
      </c>
      <c r="U24" s="144"/>
      <c r="V24" s="447">
        <f t="shared" si="13"/>
        <v>1394.5644</v>
      </c>
      <c r="W24" s="447">
        <f t="shared" si="2"/>
        <v>1362.9852000000001</v>
      </c>
      <c r="X24" s="447">
        <f t="shared" si="3"/>
        <v>1327.3158000000001</v>
      </c>
      <c r="Y24" s="447">
        <f t="shared" si="4"/>
        <v>1330.4166</v>
      </c>
      <c r="Z24" s="447">
        <f t="shared" si="5"/>
        <v>1300.3163999999999</v>
      </c>
      <c r="AA24" s="447">
        <f t="shared" si="6"/>
        <v>1266.33</v>
      </c>
      <c r="AB24" s="447">
        <f t="shared" si="7"/>
        <v>687.04140000000007</v>
      </c>
      <c r="AC24" s="447">
        <f t="shared" si="8"/>
        <v>1581.2958000000001</v>
      </c>
      <c r="AD24" s="447">
        <f t="shared" si="9"/>
        <v>1494.0348000000001</v>
      </c>
      <c r="AE24" s="447">
        <f t="shared" si="10"/>
        <v>1325.2350000000001</v>
      </c>
      <c r="AF24" s="447">
        <f t="shared" si="11"/>
        <v>956.46420000000001</v>
      </c>
      <c r="AG24" s="447">
        <f t="shared" si="12"/>
        <v>880.75980000000004</v>
      </c>
      <c r="AH24" s="448" t="s">
        <v>308</v>
      </c>
    </row>
    <row r="25" spans="1:34" ht="16.5" hidden="1" thickBot="1">
      <c r="A25" s="418">
        <v>2017</v>
      </c>
      <c r="B25" s="145" t="s">
        <v>303</v>
      </c>
      <c r="C25" s="146" t="s">
        <v>309</v>
      </c>
      <c r="D25" s="146" t="s">
        <v>310</v>
      </c>
      <c r="E25" s="147" t="s">
        <v>306</v>
      </c>
      <c r="F25" s="433" t="s">
        <v>315</v>
      </c>
      <c r="G25" s="149" t="s">
        <v>213</v>
      </c>
      <c r="H25" s="447">
        <v>1186.17</v>
      </c>
      <c r="I25" s="447">
        <v>1159.31</v>
      </c>
      <c r="J25" s="447">
        <v>1128.97</v>
      </c>
      <c r="K25" s="447">
        <v>1131.6099999999999</v>
      </c>
      <c r="L25" s="447">
        <v>1106.02</v>
      </c>
      <c r="M25" s="447">
        <v>1077.0999999999999</v>
      </c>
      <c r="N25" s="447">
        <v>584.39</v>
      </c>
      <c r="O25" s="447">
        <v>1345</v>
      </c>
      <c r="P25" s="447">
        <v>1270.78</v>
      </c>
      <c r="Q25" s="447">
        <v>1127.2</v>
      </c>
      <c r="R25" s="447">
        <v>813.53</v>
      </c>
      <c r="S25" s="447">
        <v>749.15</v>
      </c>
      <c r="T25" s="448" t="s">
        <v>308</v>
      </c>
      <c r="U25" s="144"/>
      <c r="V25" s="447">
        <f t="shared" si="13"/>
        <v>1209.8934000000002</v>
      </c>
      <c r="W25" s="447">
        <f t="shared" si="2"/>
        <v>1182.4962</v>
      </c>
      <c r="X25" s="447">
        <f t="shared" si="3"/>
        <v>1151.5494000000001</v>
      </c>
      <c r="Y25" s="447">
        <f t="shared" si="4"/>
        <v>1154.2421999999999</v>
      </c>
      <c r="Z25" s="447">
        <f t="shared" si="5"/>
        <v>1128.1404</v>
      </c>
      <c r="AA25" s="447">
        <f t="shared" si="6"/>
        <v>1098.6419999999998</v>
      </c>
      <c r="AB25" s="447">
        <f t="shared" si="7"/>
        <v>596.07780000000002</v>
      </c>
      <c r="AC25" s="447">
        <f t="shared" si="8"/>
        <v>1371.9</v>
      </c>
      <c r="AD25" s="447">
        <f t="shared" si="9"/>
        <v>1296.1956</v>
      </c>
      <c r="AE25" s="447">
        <f t="shared" si="10"/>
        <v>1149.7440000000001</v>
      </c>
      <c r="AF25" s="447">
        <f t="shared" si="11"/>
        <v>829.80060000000003</v>
      </c>
      <c r="AG25" s="447">
        <f t="shared" si="12"/>
        <v>764.13300000000004</v>
      </c>
      <c r="AH25" s="448" t="s">
        <v>308</v>
      </c>
    </row>
    <row r="26" spans="1:34" ht="16.5" hidden="1" thickBot="1">
      <c r="A26" s="419">
        <v>2017</v>
      </c>
      <c r="B26" s="420" t="s">
        <v>303</v>
      </c>
      <c r="C26" s="421" t="s">
        <v>309</v>
      </c>
      <c r="D26" s="421" t="s">
        <v>310</v>
      </c>
      <c r="E26" s="422" t="s">
        <v>306</v>
      </c>
      <c r="F26" s="434" t="s">
        <v>315</v>
      </c>
      <c r="G26" s="424" t="s">
        <v>214</v>
      </c>
      <c r="H26" s="449">
        <v>1897.88</v>
      </c>
      <c r="I26" s="449">
        <v>1854.9</v>
      </c>
      <c r="J26" s="449">
        <v>1806.36</v>
      </c>
      <c r="K26" s="449">
        <v>1810.58</v>
      </c>
      <c r="L26" s="449">
        <v>1769.62</v>
      </c>
      <c r="M26" s="449">
        <v>1723.36</v>
      </c>
      <c r="N26" s="449">
        <v>935.01</v>
      </c>
      <c r="O26" s="449">
        <v>2152</v>
      </c>
      <c r="P26" s="449">
        <v>2033.24</v>
      </c>
      <c r="Q26" s="449">
        <v>1803.53</v>
      </c>
      <c r="R26" s="449">
        <v>1301.6600000000001</v>
      </c>
      <c r="S26" s="449">
        <v>1198.6400000000001</v>
      </c>
      <c r="T26" s="450" t="s">
        <v>308</v>
      </c>
      <c r="U26" s="144"/>
      <c r="V26" s="449">
        <f t="shared" si="13"/>
        <v>1935.8376000000001</v>
      </c>
      <c r="W26" s="449">
        <f t="shared" si="2"/>
        <v>1891.998</v>
      </c>
      <c r="X26" s="449">
        <f t="shared" si="3"/>
        <v>1842.4872</v>
      </c>
      <c r="Y26" s="449">
        <f t="shared" si="4"/>
        <v>1846.7916</v>
      </c>
      <c r="Z26" s="449">
        <f t="shared" si="5"/>
        <v>1805.0123999999998</v>
      </c>
      <c r="AA26" s="449">
        <f t="shared" si="6"/>
        <v>1757.8271999999999</v>
      </c>
      <c r="AB26" s="449">
        <f t="shared" si="7"/>
        <v>953.71019999999999</v>
      </c>
      <c r="AC26" s="449">
        <f t="shared" si="8"/>
        <v>2195.04</v>
      </c>
      <c r="AD26" s="449">
        <f t="shared" si="9"/>
        <v>2073.9048000000003</v>
      </c>
      <c r="AE26" s="449">
        <f t="shared" si="10"/>
        <v>1839.6006</v>
      </c>
      <c r="AF26" s="449">
        <f t="shared" si="11"/>
        <v>1327.6932000000002</v>
      </c>
      <c r="AG26" s="449">
        <f t="shared" si="12"/>
        <v>1222.6128000000001</v>
      </c>
      <c r="AH26" s="450" t="s">
        <v>308</v>
      </c>
    </row>
    <row r="27" spans="1:34" ht="16.5" hidden="1" thickBot="1">
      <c r="A27" s="412">
        <v>2017</v>
      </c>
      <c r="B27" s="413" t="s">
        <v>303</v>
      </c>
      <c r="C27" s="414" t="s">
        <v>311</v>
      </c>
      <c r="D27" s="414" t="s">
        <v>312</v>
      </c>
      <c r="E27" s="415" t="s">
        <v>306</v>
      </c>
      <c r="F27" s="432" t="s">
        <v>315</v>
      </c>
      <c r="G27" s="417" t="s">
        <v>211</v>
      </c>
      <c r="H27" s="445">
        <v>657.16</v>
      </c>
      <c r="I27" s="445">
        <v>642.28</v>
      </c>
      <c r="J27" s="445">
        <v>625.47</v>
      </c>
      <c r="K27" s="445">
        <v>626.92999999999995</v>
      </c>
      <c r="L27" s="445">
        <v>612.75</v>
      </c>
      <c r="M27" s="445">
        <v>596.73</v>
      </c>
      <c r="N27" s="445">
        <v>323.76</v>
      </c>
      <c r="O27" s="445">
        <v>745.15</v>
      </c>
      <c r="P27" s="445">
        <v>704.03</v>
      </c>
      <c r="Q27" s="445">
        <v>624.49</v>
      </c>
      <c r="R27" s="445">
        <v>450.71</v>
      </c>
      <c r="S27" s="445">
        <v>415.04</v>
      </c>
      <c r="T27" s="446" t="s">
        <v>308</v>
      </c>
      <c r="U27" s="144"/>
      <c r="V27" s="445">
        <f t="shared" si="13"/>
        <v>670.30319999999995</v>
      </c>
      <c r="W27" s="445">
        <f t="shared" si="2"/>
        <v>655.12559999999996</v>
      </c>
      <c r="X27" s="445">
        <f t="shared" si="3"/>
        <v>637.97940000000006</v>
      </c>
      <c r="Y27" s="445">
        <f t="shared" si="4"/>
        <v>639.46859999999992</v>
      </c>
      <c r="Z27" s="445">
        <f t="shared" si="5"/>
        <v>625.005</v>
      </c>
      <c r="AA27" s="445">
        <f t="shared" si="6"/>
        <v>608.66460000000006</v>
      </c>
      <c r="AB27" s="445">
        <f t="shared" si="7"/>
        <v>330.23520000000002</v>
      </c>
      <c r="AC27" s="445">
        <f t="shared" si="8"/>
        <v>760.053</v>
      </c>
      <c r="AD27" s="445">
        <f t="shared" si="9"/>
        <v>718.11059999999998</v>
      </c>
      <c r="AE27" s="445">
        <f t="shared" si="10"/>
        <v>636.97980000000007</v>
      </c>
      <c r="AF27" s="445">
        <f t="shared" si="11"/>
        <v>459.7242</v>
      </c>
      <c r="AG27" s="445">
        <f t="shared" si="12"/>
        <v>423.3408</v>
      </c>
      <c r="AH27" s="446" t="s">
        <v>308</v>
      </c>
    </row>
    <row r="28" spans="1:34" ht="16.5" hidden="1" thickBot="1">
      <c r="A28" s="418">
        <v>2017</v>
      </c>
      <c r="B28" s="145" t="s">
        <v>303</v>
      </c>
      <c r="C28" s="146" t="s">
        <v>311</v>
      </c>
      <c r="D28" s="146" t="s">
        <v>312</v>
      </c>
      <c r="E28" s="147" t="s">
        <v>306</v>
      </c>
      <c r="F28" s="433" t="s">
        <v>315</v>
      </c>
      <c r="G28" s="149" t="s">
        <v>212</v>
      </c>
      <c r="H28" s="447">
        <v>1439.18</v>
      </c>
      <c r="I28" s="447">
        <v>1406.59</v>
      </c>
      <c r="J28" s="447">
        <v>1369.78</v>
      </c>
      <c r="K28" s="447">
        <v>1372.98</v>
      </c>
      <c r="L28" s="447">
        <v>1341.92</v>
      </c>
      <c r="M28" s="447">
        <v>1306.8399999999999</v>
      </c>
      <c r="N28" s="447">
        <v>709.02</v>
      </c>
      <c r="O28" s="447">
        <v>1631.88</v>
      </c>
      <c r="P28" s="447">
        <v>1541.83</v>
      </c>
      <c r="Q28" s="447">
        <v>1367.63</v>
      </c>
      <c r="R28" s="447">
        <v>987.06</v>
      </c>
      <c r="S28" s="447">
        <v>908.94</v>
      </c>
      <c r="T28" s="448" t="s">
        <v>308</v>
      </c>
      <c r="U28" s="144"/>
      <c r="V28" s="447">
        <f t="shared" si="13"/>
        <v>1467.9636</v>
      </c>
      <c r="W28" s="447">
        <f t="shared" si="2"/>
        <v>1434.7218</v>
      </c>
      <c r="X28" s="447">
        <f t="shared" si="3"/>
        <v>1397.1756</v>
      </c>
      <c r="Y28" s="447">
        <f t="shared" si="4"/>
        <v>1400.4396000000002</v>
      </c>
      <c r="Z28" s="447">
        <f t="shared" si="5"/>
        <v>1368.7584000000002</v>
      </c>
      <c r="AA28" s="447">
        <f t="shared" si="6"/>
        <v>1332.9767999999999</v>
      </c>
      <c r="AB28" s="447">
        <f t="shared" si="7"/>
        <v>723.20039999999995</v>
      </c>
      <c r="AC28" s="447">
        <f t="shared" si="8"/>
        <v>1664.5176000000001</v>
      </c>
      <c r="AD28" s="447">
        <f t="shared" si="9"/>
        <v>1572.6666</v>
      </c>
      <c r="AE28" s="447">
        <f t="shared" si="10"/>
        <v>1394.9826</v>
      </c>
      <c r="AF28" s="447">
        <f t="shared" si="11"/>
        <v>1006.8012</v>
      </c>
      <c r="AG28" s="447">
        <f t="shared" si="12"/>
        <v>927.11880000000008</v>
      </c>
      <c r="AH28" s="448" t="s">
        <v>308</v>
      </c>
    </row>
    <row r="29" spans="1:34" ht="16.5" hidden="1" thickBot="1">
      <c r="A29" s="418">
        <v>2017</v>
      </c>
      <c r="B29" s="145" t="s">
        <v>303</v>
      </c>
      <c r="C29" s="146" t="s">
        <v>311</v>
      </c>
      <c r="D29" s="146" t="s">
        <v>312</v>
      </c>
      <c r="E29" s="147" t="s">
        <v>306</v>
      </c>
      <c r="F29" s="433" t="s">
        <v>315</v>
      </c>
      <c r="G29" s="149" t="s">
        <v>213</v>
      </c>
      <c r="H29" s="447">
        <v>1248.5999999999999</v>
      </c>
      <c r="I29" s="447">
        <v>1220.33</v>
      </c>
      <c r="J29" s="447">
        <v>1188.3900000000001</v>
      </c>
      <c r="K29" s="447">
        <v>1191.17</v>
      </c>
      <c r="L29" s="447">
        <v>1164.23</v>
      </c>
      <c r="M29" s="447">
        <v>1133.79</v>
      </c>
      <c r="N29" s="447">
        <v>615.14</v>
      </c>
      <c r="O29" s="447">
        <v>1415.79</v>
      </c>
      <c r="P29" s="447">
        <v>1337.66</v>
      </c>
      <c r="Q29" s="447">
        <v>1186.53</v>
      </c>
      <c r="R29" s="447">
        <v>856.35</v>
      </c>
      <c r="S29" s="447">
        <v>788.58</v>
      </c>
      <c r="T29" s="448" t="s">
        <v>308</v>
      </c>
      <c r="U29" s="144"/>
      <c r="V29" s="447">
        <f t="shared" si="13"/>
        <v>1273.5719999999999</v>
      </c>
      <c r="W29" s="447">
        <f t="shared" si="2"/>
        <v>1244.7366</v>
      </c>
      <c r="X29" s="447">
        <f t="shared" si="3"/>
        <v>1212.1578000000002</v>
      </c>
      <c r="Y29" s="447">
        <f t="shared" si="4"/>
        <v>1214.9934000000001</v>
      </c>
      <c r="Z29" s="447">
        <f t="shared" si="5"/>
        <v>1187.5146</v>
      </c>
      <c r="AA29" s="447">
        <f t="shared" si="6"/>
        <v>1156.4657999999999</v>
      </c>
      <c r="AB29" s="447">
        <f t="shared" si="7"/>
        <v>627.44280000000003</v>
      </c>
      <c r="AC29" s="447">
        <f t="shared" si="8"/>
        <v>1444.1058</v>
      </c>
      <c r="AD29" s="447">
        <f t="shared" si="9"/>
        <v>1364.4132000000002</v>
      </c>
      <c r="AE29" s="447">
        <f t="shared" si="10"/>
        <v>1210.2606000000001</v>
      </c>
      <c r="AF29" s="447">
        <f t="shared" si="11"/>
        <v>873.47700000000009</v>
      </c>
      <c r="AG29" s="447">
        <f t="shared" si="12"/>
        <v>804.35160000000008</v>
      </c>
      <c r="AH29" s="448" t="s">
        <v>308</v>
      </c>
    </row>
    <row r="30" spans="1:34" ht="16.5" hidden="1" thickBot="1">
      <c r="A30" s="419">
        <v>2017</v>
      </c>
      <c r="B30" s="420" t="s">
        <v>303</v>
      </c>
      <c r="C30" s="421" t="s">
        <v>311</v>
      </c>
      <c r="D30" s="421" t="s">
        <v>312</v>
      </c>
      <c r="E30" s="422" t="s">
        <v>306</v>
      </c>
      <c r="F30" s="434" t="s">
        <v>315</v>
      </c>
      <c r="G30" s="424" t="s">
        <v>214</v>
      </c>
      <c r="H30" s="449">
        <v>1997.77</v>
      </c>
      <c r="I30" s="449">
        <v>1952.53</v>
      </c>
      <c r="J30" s="449">
        <v>1901.43</v>
      </c>
      <c r="K30" s="449">
        <v>1905.87</v>
      </c>
      <c r="L30" s="449">
        <v>1862.76</v>
      </c>
      <c r="M30" s="449">
        <v>1814.06</v>
      </c>
      <c r="N30" s="449">
        <v>984.22</v>
      </c>
      <c r="O30" s="449">
        <v>2265.2600000000002</v>
      </c>
      <c r="P30" s="449">
        <v>2140.25</v>
      </c>
      <c r="Q30" s="449">
        <v>1898.45</v>
      </c>
      <c r="R30" s="449">
        <v>1370.17</v>
      </c>
      <c r="S30" s="449">
        <v>1261.73</v>
      </c>
      <c r="T30" s="450" t="s">
        <v>308</v>
      </c>
      <c r="U30" s="144"/>
      <c r="V30" s="449">
        <f t="shared" si="13"/>
        <v>2037.7254</v>
      </c>
      <c r="W30" s="449">
        <f t="shared" si="2"/>
        <v>1991.5806</v>
      </c>
      <c r="X30" s="449">
        <f t="shared" si="3"/>
        <v>1939.4586000000002</v>
      </c>
      <c r="Y30" s="449">
        <f t="shared" si="4"/>
        <v>1943.9874</v>
      </c>
      <c r="Z30" s="449">
        <f t="shared" si="5"/>
        <v>1900.0152</v>
      </c>
      <c r="AA30" s="449">
        <f t="shared" si="6"/>
        <v>1850.3412000000001</v>
      </c>
      <c r="AB30" s="449">
        <f t="shared" si="7"/>
        <v>1003.9044</v>
      </c>
      <c r="AC30" s="449">
        <f t="shared" si="8"/>
        <v>2310.5652000000005</v>
      </c>
      <c r="AD30" s="449">
        <f t="shared" si="9"/>
        <v>2183.0549999999998</v>
      </c>
      <c r="AE30" s="449">
        <f t="shared" si="10"/>
        <v>1936.4190000000001</v>
      </c>
      <c r="AF30" s="449">
        <f t="shared" si="11"/>
        <v>1397.5734</v>
      </c>
      <c r="AG30" s="449">
        <f t="shared" si="12"/>
        <v>1286.9646</v>
      </c>
      <c r="AH30" s="450" t="s">
        <v>308</v>
      </c>
    </row>
    <row r="31" spans="1:34" ht="16.5" hidden="1" thickBot="1">
      <c r="A31" s="412">
        <v>2017</v>
      </c>
      <c r="B31" s="413" t="s">
        <v>303</v>
      </c>
      <c r="C31" s="414" t="s">
        <v>313</v>
      </c>
      <c r="D31" s="414" t="s">
        <v>314</v>
      </c>
      <c r="E31" s="415" t="s">
        <v>306</v>
      </c>
      <c r="F31" s="432" t="s">
        <v>315</v>
      </c>
      <c r="G31" s="417" t="s">
        <v>211</v>
      </c>
      <c r="H31" s="445">
        <v>755.73</v>
      </c>
      <c r="I31" s="445">
        <v>738.62</v>
      </c>
      <c r="J31" s="445">
        <v>719.29</v>
      </c>
      <c r="K31" s="445">
        <v>720.97</v>
      </c>
      <c r="L31" s="445">
        <v>704.66</v>
      </c>
      <c r="M31" s="445">
        <v>686.24</v>
      </c>
      <c r="N31" s="445">
        <v>372.32</v>
      </c>
      <c r="O31" s="445">
        <v>856.92</v>
      </c>
      <c r="P31" s="445">
        <v>809.63</v>
      </c>
      <c r="Q31" s="445">
        <v>718.16</v>
      </c>
      <c r="R31" s="445">
        <v>518.32000000000005</v>
      </c>
      <c r="S31" s="445">
        <v>477.3</v>
      </c>
      <c r="T31" s="446" t="s">
        <v>308</v>
      </c>
      <c r="U31" s="144"/>
      <c r="V31" s="445">
        <f t="shared" si="13"/>
        <v>770.84460000000001</v>
      </c>
      <c r="W31" s="445">
        <f t="shared" si="2"/>
        <v>753.39240000000007</v>
      </c>
      <c r="X31" s="445">
        <f t="shared" si="3"/>
        <v>733.67579999999998</v>
      </c>
      <c r="Y31" s="445">
        <f t="shared" si="4"/>
        <v>735.38940000000002</v>
      </c>
      <c r="Z31" s="445">
        <f t="shared" si="5"/>
        <v>718.75319999999999</v>
      </c>
      <c r="AA31" s="445">
        <f t="shared" si="6"/>
        <v>699.96479999999997</v>
      </c>
      <c r="AB31" s="445">
        <f t="shared" si="7"/>
        <v>379.76639999999998</v>
      </c>
      <c r="AC31" s="445">
        <f t="shared" si="8"/>
        <v>874.05840000000001</v>
      </c>
      <c r="AD31" s="445">
        <f t="shared" si="9"/>
        <v>825.82259999999997</v>
      </c>
      <c r="AE31" s="445">
        <f t="shared" si="10"/>
        <v>732.52319999999997</v>
      </c>
      <c r="AF31" s="445">
        <f t="shared" si="11"/>
        <v>528.68640000000005</v>
      </c>
      <c r="AG31" s="445">
        <f t="shared" si="12"/>
        <v>486.846</v>
      </c>
      <c r="AH31" s="446" t="s">
        <v>308</v>
      </c>
    </row>
    <row r="32" spans="1:34" ht="16.5" hidden="1" thickBot="1">
      <c r="A32" s="418">
        <v>2017</v>
      </c>
      <c r="B32" s="145" t="s">
        <v>303</v>
      </c>
      <c r="C32" s="146" t="s">
        <v>313</v>
      </c>
      <c r="D32" s="146" t="s">
        <v>314</v>
      </c>
      <c r="E32" s="147" t="s">
        <v>306</v>
      </c>
      <c r="F32" s="433" t="s">
        <v>315</v>
      </c>
      <c r="G32" s="149" t="s">
        <v>212</v>
      </c>
      <c r="H32" s="447">
        <v>1655.06</v>
      </c>
      <c r="I32" s="447">
        <v>1617.58</v>
      </c>
      <c r="J32" s="447">
        <v>1575.25</v>
      </c>
      <c r="K32" s="447">
        <v>1578.93</v>
      </c>
      <c r="L32" s="447">
        <v>1543.21</v>
      </c>
      <c r="M32" s="447">
        <v>1502.87</v>
      </c>
      <c r="N32" s="447">
        <v>815.38</v>
      </c>
      <c r="O32" s="447">
        <v>1876.66</v>
      </c>
      <c r="P32" s="447">
        <v>1773.1</v>
      </c>
      <c r="Q32" s="447">
        <v>1572.77</v>
      </c>
      <c r="R32" s="447">
        <v>1135.1199999999999</v>
      </c>
      <c r="S32" s="447">
        <v>1045.28</v>
      </c>
      <c r="T32" s="448" t="s">
        <v>308</v>
      </c>
      <c r="U32" s="144"/>
      <c r="V32" s="447">
        <f t="shared" si="13"/>
        <v>1688.1612</v>
      </c>
      <c r="W32" s="447">
        <f t="shared" si="2"/>
        <v>1649.9315999999999</v>
      </c>
      <c r="X32" s="447">
        <f t="shared" si="3"/>
        <v>1606.7550000000001</v>
      </c>
      <c r="Y32" s="447">
        <f t="shared" si="4"/>
        <v>1610.5086000000001</v>
      </c>
      <c r="Z32" s="447">
        <f t="shared" si="5"/>
        <v>1574.0742</v>
      </c>
      <c r="AA32" s="447">
        <f t="shared" si="6"/>
        <v>1532.9273999999998</v>
      </c>
      <c r="AB32" s="447">
        <f t="shared" si="7"/>
        <v>831.68759999999997</v>
      </c>
      <c r="AC32" s="447">
        <f t="shared" si="8"/>
        <v>1914.1932000000002</v>
      </c>
      <c r="AD32" s="447">
        <f t="shared" si="9"/>
        <v>1808.5619999999999</v>
      </c>
      <c r="AE32" s="447">
        <f t="shared" si="10"/>
        <v>1604.2254</v>
      </c>
      <c r="AF32" s="447">
        <f t="shared" si="11"/>
        <v>1157.8224</v>
      </c>
      <c r="AG32" s="447">
        <f t="shared" si="12"/>
        <v>1066.1856</v>
      </c>
      <c r="AH32" s="448" t="s">
        <v>308</v>
      </c>
    </row>
    <row r="33" spans="1:34" ht="16.5" hidden="1" thickBot="1">
      <c r="A33" s="418">
        <v>2017</v>
      </c>
      <c r="B33" s="145" t="s">
        <v>303</v>
      </c>
      <c r="C33" s="146" t="s">
        <v>313</v>
      </c>
      <c r="D33" s="146" t="s">
        <v>314</v>
      </c>
      <c r="E33" s="147" t="s">
        <v>306</v>
      </c>
      <c r="F33" s="433" t="s">
        <v>315</v>
      </c>
      <c r="G33" s="149" t="s">
        <v>213</v>
      </c>
      <c r="H33" s="447">
        <v>1435.89</v>
      </c>
      <c r="I33" s="447">
        <v>1403.38</v>
      </c>
      <c r="J33" s="447">
        <v>1366.65</v>
      </c>
      <c r="K33" s="447">
        <v>1369.85</v>
      </c>
      <c r="L33" s="447">
        <v>1338.86</v>
      </c>
      <c r="M33" s="447">
        <v>1303.8599999999999</v>
      </c>
      <c r="N33" s="447">
        <v>707.41</v>
      </c>
      <c r="O33" s="447">
        <v>1628.16</v>
      </c>
      <c r="P33" s="447">
        <v>1538.31</v>
      </c>
      <c r="Q33" s="447">
        <v>1364.51</v>
      </c>
      <c r="R33" s="447">
        <v>984.81</v>
      </c>
      <c r="S33" s="447">
        <v>906.86</v>
      </c>
      <c r="T33" s="448" t="s">
        <v>308</v>
      </c>
      <c r="V33" s="447">
        <f t="shared" si="13"/>
        <v>1464.6078000000002</v>
      </c>
      <c r="W33" s="447">
        <f t="shared" si="2"/>
        <v>1431.4476000000002</v>
      </c>
      <c r="X33" s="447">
        <f t="shared" si="3"/>
        <v>1393.9830000000002</v>
      </c>
      <c r="Y33" s="447">
        <f t="shared" si="4"/>
        <v>1397.2469999999998</v>
      </c>
      <c r="Z33" s="447">
        <f t="shared" si="5"/>
        <v>1365.6371999999999</v>
      </c>
      <c r="AA33" s="447">
        <f t="shared" si="6"/>
        <v>1329.9371999999998</v>
      </c>
      <c r="AB33" s="447">
        <f t="shared" si="7"/>
        <v>721.55819999999994</v>
      </c>
      <c r="AC33" s="447">
        <f t="shared" si="8"/>
        <v>1660.7232000000001</v>
      </c>
      <c r="AD33" s="447">
        <f t="shared" si="9"/>
        <v>1569.0762</v>
      </c>
      <c r="AE33" s="447">
        <f t="shared" si="10"/>
        <v>1391.8001999999999</v>
      </c>
      <c r="AF33" s="447">
        <f t="shared" si="11"/>
        <v>1004.5061999999999</v>
      </c>
      <c r="AG33" s="447">
        <f t="shared" si="12"/>
        <v>924.99720000000002</v>
      </c>
      <c r="AH33" s="448" t="s">
        <v>308</v>
      </c>
    </row>
    <row r="34" spans="1:34" ht="16.5" hidden="1" thickBot="1">
      <c r="A34" s="419">
        <v>2017</v>
      </c>
      <c r="B34" s="420" t="s">
        <v>303</v>
      </c>
      <c r="C34" s="421" t="s">
        <v>313</v>
      </c>
      <c r="D34" s="421" t="s">
        <v>314</v>
      </c>
      <c r="E34" s="422" t="s">
        <v>306</v>
      </c>
      <c r="F34" s="434" t="s">
        <v>315</v>
      </c>
      <c r="G34" s="424" t="s">
        <v>214</v>
      </c>
      <c r="H34" s="449">
        <v>2297.44</v>
      </c>
      <c r="I34" s="449">
        <v>2245.41</v>
      </c>
      <c r="J34" s="449">
        <v>2186.64</v>
      </c>
      <c r="K34" s="449">
        <v>2191.75</v>
      </c>
      <c r="L34" s="449">
        <v>2142.17</v>
      </c>
      <c r="M34" s="449">
        <v>2086.17</v>
      </c>
      <c r="N34" s="449">
        <v>1131.8499999999999</v>
      </c>
      <c r="O34" s="449">
        <v>2605.0500000000002</v>
      </c>
      <c r="P34" s="449">
        <v>2461.29</v>
      </c>
      <c r="Q34" s="449">
        <v>2183.2199999999998</v>
      </c>
      <c r="R34" s="449">
        <v>1575.7</v>
      </c>
      <c r="S34" s="449">
        <v>1450.98</v>
      </c>
      <c r="T34" s="450" t="s">
        <v>308</v>
      </c>
      <c r="V34" s="449">
        <f t="shared" si="13"/>
        <v>2343.3888000000002</v>
      </c>
      <c r="W34" s="449">
        <f t="shared" si="2"/>
        <v>2290.3181999999997</v>
      </c>
      <c r="X34" s="449">
        <f t="shared" si="3"/>
        <v>2230.3728000000001</v>
      </c>
      <c r="Y34" s="449">
        <f t="shared" si="4"/>
        <v>2235.585</v>
      </c>
      <c r="Z34" s="449">
        <f t="shared" si="5"/>
        <v>2185.0134000000003</v>
      </c>
      <c r="AA34" s="449">
        <f t="shared" si="6"/>
        <v>2127.8933999999999</v>
      </c>
      <c r="AB34" s="449">
        <f t="shared" si="7"/>
        <v>1154.4869999999999</v>
      </c>
      <c r="AC34" s="449">
        <f t="shared" si="8"/>
        <v>2657.1510000000003</v>
      </c>
      <c r="AD34" s="449">
        <f t="shared" si="9"/>
        <v>2510.5158000000001</v>
      </c>
      <c r="AE34" s="449">
        <f t="shared" si="10"/>
        <v>2226.8843999999999</v>
      </c>
      <c r="AF34" s="449">
        <f t="shared" si="11"/>
        <v>1607.2140000000002</v>
      </c>
      <c r="AG34" s="449">
        <f t="shared" si="12"/>
        <v>1479.9996000000001</v>
      </c>
      <c r="AH34" s="450" t="s">
        <v>308</v>
      </c>
    </row>
    <row r="35" spans="1:34" ht="16.5" hidden="1" thickBot="1">
      <c r="A35" s="412">
        <v>2017</v>
      </c>
      <c r="B35" s="413" t="s">
        <v>303</v>
      </c>
      <c r="C35" s="414" t="s">
        <v>304</v>
      </c>
      <c r="D35" s="414" t="s">
        <v>305</v>
      </c>
      <c r="E35" s="430" t="s">
        <v>316</v>
      </c>
      <c r="F35" s="416" t="s">
        <v>307</v>
      </c>
      <c r="G35" s="417" t="s">
        <v>211</v>
      </c>
      <c r="H35" s="445">
        <v>568.11</v>
      </c>
      <c r="I35" s="445">
        <v>555.25</v>
      </c>
      <c r="J35" s="445">
        <v>540.72</v>
      </c>
      <c r="K35" s="445">
        <v>541.98</v>
      </c>
      <c r="L35" s="445">
        <v>529.72</v>
      </c>
      <c r="M35" s="445">
        <v>515.87</v>
      </c>
      <c r="N35" s="445">
        <v>279.89</v>
      </c>
      <c r="O35" s="445">
        <v>644.17999999999995</v>
      </c>
      <c r="P35" s="445">
        <v>608.63</v>
      </c>
      <c r="Q35" s="445">
        <v>539.87</v>
      </c>
      <c r="R35" s="445">
        <v>389.64</v>
      </c>
      <c r="S35" s="445">
        <v>358.8</v>
      </c>
      <c r="T35" s="446" t="s">
        <v>308</v>
      </c>
      <c r="V35" s="445">
        <f t="shared" si="13"/>
        <v>579.47220000000004</v>
      </c>
      <c r="W35" s="445">
        <f t="shared" si="2"/>
        <v>566.35500000000002</v>
      </c>
      <c r="X35" s="445">
        <f t="shared" si="3"/>
        <v>551.53440000000001</v>
      </c>
      <c r="Y35" s="445">
        <f t="shared" si="4"/>
        <v>552.81960000000004</v>
      </c>
      <c r="Z35" s="445">
        <f t="shared" si="5"/>
        <v>540.31440000000009</v>
      </c>
      <c r="AA35" s="445">
        <f t="shared" si="6"/>
        <v>526.18740000000003</v>
      </c>
      <c r="AB35" s="445">
        <f t="shared" si="7"/>
        <v>285.48779999999999</v>
      </c>
      <c r="AC35" s="445">
        <f t="shared" si="8"/>
        <v>657.06359999999995</v>
      </c>
      <c r="AD35" s="445">
        <f t="shared" si="9"/>
        <v>620.80259999999998</v>
      </c>
      <c r="AE35" s="445">
        <f t="shared" si="10"/>
        <v>550.66740000000004</v>
      </c>
      <c r="AF35" s="445">
        <f t="shared" si="11"/>
        <v>397.43279999999999</v>
      </c>
      <c r="AG35" s="445">
        <f t="shared" si="12"/>
        <v>365.976</v>
      </c>
      <c r="AH35" s="446" t="s">
        <v>308</v>
      </c>
    </row>
    <row r="36" spans="1:34" ht="16.5" hidden="1" thickBot="1">
      <c r="A36" s="418">
        <v>2017</v>
      </c>
      <c r="B36" s="145" t="s">
        <v>303</v>
      </c>
      <c r="C36" s="146" t="s">
        <v>304</v>
      </c>
      <c r="D36" s="146" t="s">
        <v>305</v>
      </c>
      <c r="E36" s="151" t="s">
        <v>316</v>
      </c>
      <c r="F36" s="148" t="s">
        <v>307</v>
      </c>
      <c r="G36" s="149" t="s">
        <v>212</v>
      </c>
      <c r="H36" s="447">
        <v>1244.17</v>
      </c>
      <c r="I36" s="447">
        <v>1216</v>
      </c>
      <c r="J36" s="447">
        <v>1184.17</v>
      </c>
      <c r="K36" s="447">
        <v>1186.94</v>
      </c>
      <c r="L36" s="447">
        <v>1160.0899999999999</v>
      </c>
      <c r="M36" s="447">
        <v>1129.76</v>
      </c>
      <c r="N36" s="447">
        <v>612.95000000000005</v>
      </c>
      <c r="O36" s="447">
        <v>1410.76</v>
      </c>
      <c r="P36" s="447">
        <v>1332.91</v>
      </c>
      <c r="Q36" s="447">
        <v>1182.32</v>
      </c>
      <c r="R36" s="447">
        <v>853.31</v>
      </c>
      <c r="S36" s="447">
        <v>785.78</v>
      </c>
      <c r="T36" s="448" t="s">
        <v>308</v>
      </c>
      <c r="V36" s="447">
        <f t="shared" si="13"/>
        <v>1269.0534</v>
      </c>
      <c r="W36" s="447">
        <f t="shared" si="2"/>
        <v>1240.32</v>
      </c>
      <c r="X36" s="447">
        <f t="shared" si="3"/>
        <v>1207.8534000000002</v>
      </c>
      <c r="Y36" s="447">
        <f t="shared" si="4"/>
        <v>1210.6788000000001</v>
      </c>
      <c r="Z36" s="447">
        <f t="shared" si="5"/>
        <v>1183.2918</v>
      </c>
      <c r="AA36" s="447">
        <f t="shared" si="6"/>
        <v>1152.3552</v>
      </c>
      <c r="AB36" s="447">
        <f t="shared" si="7"/>
        <v>625.20900000000006</v>
      </c>
      <c r="AC36" s="447">
        <f t="shared" si="8"/>
        <v>1438.9752000000001</v>
      </c>
      <c r="AD36" s="447">
        <f t="shared" si="9"/>
        <v>1359.5682000000002</v>
      </c>
      <c r="AE36" s="447">
        <f t="shared" si="10"/>
        <v>1205.9664</v>
      </c>
      <c r="AF36" s="447">
        <f t="shared" si="11"/>
        <v>870.37619999999993</v>
      </c>
      <c r="AG36" s="447">
        <f t="shared" si="12"/>
        <v>801.49559999999997</v>
      </c>
      <c r="AH36" s="448" t="s">
        <v>308</v>
      </c>
    </row>
    <row r="37" spans="1:34" ht="16.5" hidden="1" thickBot="1">
      <c r="A37" s="418">
        <v>2017</v>
      </c>
      <c r="B37" s="145" t="s">
        <v>303</v>
      </c>
      <c r="C37" s="146" t="s">
        <v>304</v>
      </c>
      <c r="D37" s="146" t="s">
        <v>305</v>
      </c>
      <c r="E37" s="151" t="s">
        <v>316</v>
      </c>
      <c r="F37" s="148" t="s">
        <v>307</v>
      </c>
      <c r="G37" s="149" t="s">
        <v>213</v>
      </c>
      <c r="H37" s="447">
        <v>1079.4100000000001</v>
      </c>
      <c r="I37" s="447">
        <v>1054.98</v>
      </c>
      <c r="J37" s="447">
        <v>1027.3599999999999</v>
      </c>
      <c r="K37" s="447">
        <v>1029.77</v>
      </c>
      <c r="L37" s="447">
        <v>1006.48</v>
      </c>
      <c r="M37" s="447">
        <v>980.16</v>
      </c>
      <c r="N37" s="447">
        <v>531.79</v>
      </c>
      <c r="O37" s="447">
        <v>1223.95</v>
      </c>
      <c r="P37" s="447">
        <v>1156.4100000000001</v>
      </c>
      <c r="Q37" s="447">
        <v>1025.76</v>
      </c>
      <c r="R37" s="447">
        <v>740.32</v>
      </c>
      <c r="S37" s="447">
        <v>681.72</v>
      </c>
      <c r="T37" s="448" t="s">
        <v>308</v>
      </c>
      <c r="V37" s="447">
        <f t="shared" si="13"/>
        <v>1100.9982</v>
      </c>
      <c r="W37" s="447">
        <f t="shared" si="2"/>
        <v>1076.0796</v>
      </c>
      <c r="X37" s="447">
        <f t="shared" si="3"/>
        <v>1047.9071999999999</v>
      </c>
      <c r="Y37" s="447">
        <f t="shared" si="4"/>
        <v>1050.3653999999999</v>
      </c>
      <c r="Z37" s="447">
        <f t="shared" si="5"/>
        <v>1026.6096</v>
      </c>
      <c r="AA37" s="447">
        <f t="shared" si="6"/>
        <v>999.76319999999998</v>
      </c>
      <c r="AB37" s="447">
        <f t="shared" si="7"/>
        <v>542.42579999999998</v>
      </c>
      <c r="AC37" s="447">
        <f t="shared" si="8"/>
        <v>1248.4290000000001</v>
      </c>
      <c r="AD37" s="447">
        <f t="shared" si="9"/>
        <v>1179.5382000000002</v>
      </c>
      <c r="AE37" s="447">
        <f t="shared" si="10"/>
        <v>1046.2752</v>
      </c>
      <c r="AF37" s="447">
        <f t="shared" si="11"/>
        <v>755.1264000000001</v>
      </c>
      <c r="AG37" s="447">
        <f t="shared" si="12"/>
        <v>695.35440000000006</v>
      </c>
      <c r="AH37" s="448" t="s">
        <v>308</v>
      </c>
    </row>
    <row r="38" spans="1:34" ht="16.5" hidden="1" thickBot="1">
      <c r="A38" s="419">
        <v>2017</v>
      </c>
      <c r="B38" s="420" t="s">
        <v>303</v>
      </c>
      <c r="C38" s="421" t="s">
        <v>304</v>
      </c>
      <c r="D38" s="421" t="s">
        <v>305</v>
      </c>
      <c r="E38" s="431" t="s">
        <v>316</v>
      </c>
      <c r="F38" s="423" t="s">
        <v>307</v>
      </c>
      <c r="G38" s="424" t="s">
        <v>214</v>
      </c>
      <c r="H38" s="449">
        <v>1727.07</v>
      </c>
      <c r="I38" s="449">
        <v>1687.96</v>
      </c>
      <c r="J38" s="449">
        <v>1643.79</v>
      </c>
      <c r="K38" s="449">
        <v>1647.62</v>
      </c>
      <c r="L38" s="449">
        <v>1610.36</v>
      </c>
      <c r="M38" s="449">
        <v>1568.25</v>
      </c>
      <c r="N38" s="449">
        <v>850.86</v>
      </c>
      <c r="O38" s="449">
        <v>1958.32</v>
      </c>
      <c r="P38" s="449">
        <v>1850.25</v>
      </c>
      <c r="Q38" s="449">
        <v>1641.21</v>
      </c>
      <c r="R38" s="449">
        <v>1184.51</v>
      </c>
      <c r="S38" s="449">
        <v>1090.76</v>
      </c>
      <c r="T38" s="450" t="s">
        <v>308</v>
      </c>
      <c r="V38" s="449">
        <f t="shared" si="13"/>
        <v>1761.6114</v>
      </c>
      <c r="W38" s="449">
        <f t="shared" si="2"/>
        <v>1721.7192</v>
      </c>
      <c r="X38" s="449">
        <f t="shared" si="3"/>
        <v>1676.6658</v>
      </c>
      <c r="Y38" s="449">
        <f t="shared" si="4"/>
        <v>1680.5724</v>
      </c>
      <c r="Z38" s="449">
        <f t="shared" si="5"/>
        <v>1642.5672</v>
      </c>
      <c r="AA38" s="449">
        <f t="shared" si="6"/>
        <v>1599.615</v>
      </c>
      <c r="AB38" s="449">
        <f t="shared" si="7"/>
        <v>867.87720000000002</v>
      </c>
      <c r="AC38" s="449">
        <f t="shared" si="8"/>
        <v>1997.4864</v>
      </c>
      <c r="AD38" s="449">
        <f t="shared" si="9"/>
        <v>1887.2550000000001</v>
      </c>
      <c r="AE38" s="449">
        <f t="shared" si="10"/>
        <v>1674.0342000000001</v>
      </c>
      <c r="AF38" s="449">
        <f t="shared" si="11"/>
        <v>1208.2002</v>
      </c>
      <c r="AG38" s="449">
        <f t="shared" si="12"/>
        <v>1112.5752</v>
      </c>
      <c r="AH38" s="450" t="s">
        <v>308</v>
      </c>
    </row>
    <row r="39" spans="1:34" ht="16.5" hidden="1" thickBot="1">
      <c r="A39" s="412">
        <v>2017</v>
      </c>
      <c r="B39" s="413" t="s">
        <v>303</v>
      </c>
      <c r="C39" s="414" t="s">
        <v>309</v>
      </c>
      <c r="D39" s="414" t="s">
        <v>310</v>
      </c>
      <c r="E39" s="430" t="s">
        <v>316</v>
      </c>
      <c r="F39" s="416" t="s">
        <v>307</v>
      </c>
      <c r="G39" s="417" t="s">
        <v>211</v>
      </c>
      <c r="H39" s="445">
        <v>624.29999999999995</v>
      </c>
      <c r="I39" s="445">
        <v>610.16999999999996</v>
      </c>
      <c r="J39" s="445">
        <v>594.20000000000005</v>
      </c>
      <c r="K39" s="445">
        <v>595.58000000000004</v>
      </c>
      <c r="L39" s="445">
        <v>582.11</v>
      </c>
      <c r="M39" s="445">
        <v>566.89</v>
      </c>
      <c r="N39" s="445">
        <v>307.57</v>
      </c>
      <c r="O39" s="445">
        <v>707.89</v>
      </c>
      <c r="P39" s="445">
        <v>668.83</v>
      </c>
      <c r="Q39" s="445">
        <v>593.27</v>
      </c>
      <c r="R39" s="445">
        <v>428.18</v>
      </c>
      <c r="S39" s="445">
        <v>394.29</v>
      </c>
      <c r="T39" s="446" t="s">
        <v>308</v>
      </c>
      <c r="V39" s="445">
        <f t="shared" si="13"/>
        <v>636.78599999999994</v>
      </c>
      <c r="W39" s="445">
        <f t="shared" si="2"/>
        <v>622.37339999999995</v>
      </c>
      <c r="X39" s="445">
        <f t="shared" si="3"/>
        <v>606.08400000000006</v>
      </c>
      <c r="Y39" s="445">
        <f t="shared" si="4"/>
        <v>607.49160000000006</v>
      </c>
      <c r="Z39" s="445">
        <f t="shared" si="5"/>
        <v>593.75220000000002</v>
      </c>
      <c r="AA39" s="445">
        <f t="shared" si="6"/>
        <v>578.2278</v>
      </c>
      <c r="AB39" s="445">
        <f t="shared" si="7"/>
        <v>313.72140000000002</v>
      </c>
      <c r="AC39" s="445">
        <f t="shared" si="8"/>
        <v>722.04780000000005</v>
      </c>
      <c r="AD39" s="445">
        <f t="shared" si="9"/>
        <v>682.20660000000009</v>
      </c>
      <c r="AE39" s="445">
        <f t="shared" si="10"/>
        <v>605.1354</v>
      </c>
      <c r="AF39" s="445">
        <f t="shared" si="11"/>
        <v>436.74360000000001</v>
      </c>
      <c r="AG39" s="445">
        <f t="shared" si="12"/>
        <v>402.17580000000004</v>
      </c>
      <c r="AH39" s="446" t="s">
        <v>308</v>
      </c>
    </row>
    <row r="40" spans="1:34" ht="16.5" hidden="1" thickBot="1">
      <c r="A40" s="418">
        <v>2017</v>
      </c>
      <c r="B40" s="145" t="s">
        <v>303</v>
      </c>
      <c r="C40" s="146" t="s">
        <v>309</v>
      </c>
      <c r="D40" s="146" t="s">
        <v>310</v>
      </c>
      <c r="E40" s="151" t="s">
        <v>316</v>
      </c>
      <c r="F40" s="148" t="s">
        <v>307</v>
      </c>
      <c r="G40" s="149" t="s">
        <v>212</v>
      </c>
      <c r="H40" s="447">
        <v>1367.22</v>
      </c>
      <c r="I40" s="447">
        <v>1336.26</v>
      </c>
      <c r="J40" s="447">
        <v>1301.29</v>
      </c>
      <c r="K40" s="447">
        <v>1304.33</v>
      </c>
      <c r="L40" s="447">
        <v>1274.82</v>
      </c>
      <c r="M40" s="447">
        <v>1241.5</v>
      </c>
      <c r="N40" s="447">
        <v>673.57</v>
      </c>
      <c r="O40" s="447">
        <v>1550.29</v>
      </c>
      <c r="P40" s="447">
        <v>1464.74</v>
      </c>
      <c r="Q40" s="447">
        <v>1299.25</v>
      </c>
      <c r="R40" s="447">
        <v>937.71</v>
      </c>
      <c r="S40" s="447">
        <v>863.49</v>
      </c>
      <c r="T40" s="448" t="s">
        <v>308</v>
      </c>
      <c r="V40" s="447">
        <f t="shared" si="13"/>
        <v>1394.5644</v>
      </c>
      <c r="W40" s="447">
        <f t="shared" si="2"/>
        <v>1362.9852000000001</v>
      </c>
      <c r="X40" s="447">
        <f t="shared" si="3"/>
        <v>1327.3158000000001</v>
      </c>
      <c r="Y40" s="447">
        <f t="shared" si="4"/>
        <v>1330.4166</v>
      </c>
      <c r="Z40" s="447">
        <f t="shared" si="5"/>
        <v>1300.3163999999999</v>
      </c>
      <c r="AA40" s="447">
        <f t="shared" si="6"/>
        <v>1266.33</v>
      </c>
      <c r="AB40" s="447">
        <f t="shared" si="7"/>
        <v>687.04140000000007</v>
      </c>
      <c r="AC40" s="447">
        <f t="shared" si="8"/>
        <v>1581.2958000000001</v>
      </c>
      <c r="AD40" s="447">
        <f t="shared" si="9"/>
        <v>1494.0348000000001</v>
      </c>
      <c r="AE40" s="447">
        <f t="shared" si="10"/>
        <v>1325.2350000000001</v>
      </c>
      <c r="AF40" s="447">
        <f t="shared" si="11"/>
        <v>956.46420000000001</v>
      </c>
      <c r="AG40" s="447">
        <f t="shared" si="12"/>
        <v>880.75980000000004</v>
      </c>
      <c r="AH40" s="448" t="s">
        <v>308</v>
      </c>
    </row>
    <row r="41" spans="1:34" ht="16.5" hidden="1" thickBot="1">
      <c r="A41" s="418">
        <v>2017</v>
      </c>
      <c r="B41" s="145" t="s">
        <v>303</v>
      </c>
      <c r="C41" s="146" t="s">
        <v>309</v>
      </c>
      <c r="D41" s="146" t="s">
        <v>310</v>
      </c>
      <c r="E41" s="151" t="s">
        <v>316</v>
      </c>
      <c r="F41" s="148" t="s">
        <v>307</v>
      </c>
      <c r="G41" s="149" t="s">
        <v>213</v>
      </c>
      <c r="H41" s="447">
        <v>1186.17</v>
      </c>
      <c r="I41" s="447">
        <v>1159.31</v>
      </c>
      <c r="J41" s="447">
        <v>1128.97</v>
      </c>
      <c r="K41" s="447">
        <v>1131.6099999999999</v>
      </c>
      <c r="L41" s="447">
        <v>1106.02</v>
      </c>
      <c r="M41" s="447">
        <v>1077.0999999999999</v>
      </c>
      <c r="N41" s="447">
        <v>584.39</v>
      </c>
      <c r="O41" s="447">
        <v>1345</v>
      </c>
      <c r="P41" s="447">
        <v>1270.78</v>
      </c>
      <c r="Q41" s="447">
        <v>1127.2</v>
      </c>
      <c r="R41" s="447">
        <v>813.53</v>
      </c>
      <c r="S41" s="447">
        <v>749.15</v>
      </c>
      <c r="T41" s="448" t="s">
        <v>308</v>
      </c>
      <c r="V41" s="447">
        <f t="shared" si="13"/>
        <v>1209.8934000000002</v>
      </c>
      <c r="W41" s="447">
        <f t="shared" si="2"/>
        <v>1182.4962</v>
      </c>
      <c r="X41" s="447">
        <f t="shared" si="3"/>
        <v>1151.5494000000001</v>
      </c>
      <c r="Y41" s="447">
        <f t="shared" si="4"/>
        <v>1154.2421999999999</v>
      </c>
      <c r="Z41" s="447">
        <f t="shared" si="5"/>
        <v>1128.1404</v>
      </c>
      <c r="AA41" s="447">
        <f t="shared" si="6"/>
        <v>1098.6419999999998</v>
      </c>
      <c r="AB41" s="447">
        <f t="shared" si="7"/>
        <v>596.07780000000002</v>
      </c>
      <c r="AC41" s="447">
        <f t="shared" si="8"/>
        <v>1371.9</v>
      </c>
      <c r="AD41" s="447">
        <f t="shared" si="9"/>
        <v>1296.1956</v>
      </c>
      <c r="AE41" s="447">
        <f t="shared" si="10"/>
        <v>1149.7440000000001</v>
      </c>
      <c r="AF41" s="447">
        <f t="shared" si="11"/>
        <v>829.80060000000003</v>
      </c>
      <c r="AG41" s="447">
        <f t="shared" si="12"/>
        <v>764.13300000000004</v>
      </c>
      <c r="AH41" s="448" t="s">
        <v>308</v>
      </c>
    </row>
    <row r="42" spans="1:34" ht="16.5" hidden="1" thickBot="1">
      <c r="A42" s="419">
        <v>2017</v>
      </c>
      <c r="B42" s="420" t="s">
        <v>303</v>
      </c>
      <c r="C42" s="421" t="s">
        <v>309</v>
      </c>
      <c r="D42" s="421" t="s">
        <v>310</v>
      </c>
      <c r="E42" s="431" t="s">
        <v>316</v>
      </c>
      <c r="F42" s="423" t="s">
        <v>307</v>
      </c>
      <c r="G42" s="424" t="s">
        <v>214</v>
      </c>
      <c r="H42" s="449">
        <v>1897.88</v>
      </c>
      <c r="I42" s="449">
        <v>1854.9</v>
      </c>
      <c r="J42" s="449">
        <v>1806.36</v>
      </c>
      <c r="K42" s="449">
        <v>1810.58</v>
      </c>
      <c r="L42" s="449">
        <v>1769.62</v>
      </c>
      <c r="M42" s="449">
        <v>1723.36</v>
      </c>
      <c r="N42" s="449">
        <v>935.01</v>
      </c>
      <c r="O42" s="449">
        <v>2152</v>
      </c>
      <c r="P42" s="449">
        <v>2033.24</v>
      </c>
      <c r="Q42" s="449">
        <v>1803.53</v>
      </c>
      <c r="R42" s="449">
        <v>1301.6600000000001</v>
      </c>
      <c r="S42" s="449">
        <v>1198.6400000000001</v>
      </c>
      <c r="T42" s="450" t="s">
        <v>308</v>
      </c>
      <c r="V42" s="449">
        <f t="shared" si="13"/>
        <v>1935.8376000000001</v>
      </c>
      <c r="W42" s="449">
        <f t="shared" si="2"/>
        <v>1891.998</v>
      </c>
      <c r="X42" s="449">
        <f t="shared" si="3"/>
        <v>1842.4872</v>
      </c>
      <c r="Y42" s="449">
        <f t="shared" si="4"/>
        <v>1846.7916</v>
      </c>
      <c r="Z42" s="449">
        <f t="shared" si="5"/>
        <v>1805.0123999999998</v>
      </c>
      <c r="AA42" s="449">
        <f t="shared" si="6"/>
        <v>1757.8271999999999</v>
      </c>
      <c r="AB42" s="449">
        <f t="shared" si="7"/>
        <v>953.71019999999999</v>
      </c>
      <c r="AC42" s="449">
        <f t="shared" si="8"/>
        <v>2195.04</v>
      </c>
      <c r="AD42" s="449">
        <f t="shared" si="9"/>
        <v>2073.9048000000003</v>
      </c>
      <c r="AE42" s="449">
        <f t="shared" si="10"/>
        <v>1839.6006</v>
      </c>
      <c r="AF42" s="449">
        <f t="shared" si="11"/>
        <v>1327.6932000000002</v>
      </c>
      <c r="AG42" s="449">
        <f t="shared" si="12"/>
        <v>1222.6128000000001</v>
      </c>
      <c r="AH42" s="450" t="s">
        <v>308</v>
      </c>
    </row>
    <row r="43" spans="1:34" ht="16.5" hidden="1" thickBot="1">
      <c r="A43" s="412">
        <v>2017</v>
      </c>
      <c r="B43" s="413" t="s">
        <v>303</v>
      </c>
      <c r="C43" s="414" t="s">
        <v>311</v>
      </c>
      <c r="D43" s="414" t="s">
        <v>312</v>
      </c>
      <c r="E43" s="430" t="s">
        <v>316</v>
      </c>
      <c r="F43" s="416" t="s">
        <v>307</v>
      </c>
      <c r="G43" s="417" t="s">
        <v>211</v>
      </c>
      <c r="H43" s="445">
        <v>657.16</v>
      </c>
      <c r="I43" s="445">
        <v>642.28</v>
      </c>
      <c r="J43" s="445">
        <v>625.47</v>
      </c>
      <c r="K43" s="445">
        <v>626.92999999999995</v>
      </c>
      <c r="L43" s="445">
        <v>612.75</v>
      </c>
      <c r="M43" s="445">
        <v>596.73</v>
      </c>
      <c r="N43" s="445">
        <v>323.76</v>
      </c>
      <c r="O43" s="445">
        <v>745.15</v>
      </c>
      <c r="P43" s="445">
        <v>704.03</v>
      </c>
      <c r="Q43" s="445">
        <v>624.49</v>
      </c>
      <c r="R43" s="445">
        <v>450.71</v>
      </c>
      <c r="S43" s="445">
        <v>415.04</v>
      </c>
      <c r="T43" s="446" t="s">
        <v>308</v>
      </c>
      <c r="V43" s="445">
        <f t="shared" si="13"/>
        <v>670.30319999999995</v>
      </c>
      <c r="W43" s="445">
        <f t="shared" si="2"/>
        <v>655.12559999999996</v>
      </c>
      <c r="X43" s="445">
        <f t="shared" si="3"/>
        <v>637.97940000000006</v>
      </c>
      <c r="Y43" s="445">
        <f t="shared" si="4"/>
        <v>639.46859999999992</v>
      </c>
      <c r="Z43" s="445">
        <f t="shared" si="5"/>
        <v>625.005</v>
      </c>
      <c r="AA43" s="445">
        <f t="shared" si="6"/>
        <v>608.66460000000006</v>
      </c>
      <c r="AB43" s="445">
        <f t="shared" si="7"/>
        <v>330.23520000000002</v>
      </c>
      <c r="AC43" s="445">
        <f t="shared" si="8"/>
        <v>760.053</v>
      </c>
      <c r="AD43" s="445">
        <f t="shared" si="9"/>
        <v>718.11059999999998</v>
      </c>
      <c r="AE43" s="445">
        <f t="shared" si="10"/>
        <v>636.97980000000007</v>
      </c>
      <c r="AF43" s="445">
        <f t="shared" si="11"/>
        <v>459.7242</v>
      </c>
      <c r="AG43" s="445">
        <f t="shared" si="12"/>
        <v>423.3408</v>
      </c>
      <c r="AH43" s="446" t="s">
        <v>308</v>
      </c>
    </row>
    <row r="44" spans="1:34" ht="16.5" hidden="1" thickBot="1">
      <c r="A44" s="418">
        <v>2017</v>
      </c>
      <c r="B44" s="145" t="s">
        <v>303</v>
      </c>
      <c r="C44" s="146" t="s">
        <v>311</v>
      </c>
      <c r="D44" s="146" t="s">
        <v>312</v>
      </c>
      <c r="E44" s="151" t="s">
        <v>316</v>
      </c>
      <c r="F44" s="148" t="s">
        <v>307</v>
      </c>
      <c r="G44" s="149" t="s">
        <v>212</v>
      </c>
      <c r="H44" s="447">
        <v>1439.18</v>
      </c>
      <c r="I44" s="447">
        <v>1406.59</v>
      </c>
      <c r="J44" s="447">
        <v>1369.78</v>
      </c>
      <c r="K44" s="447">
        <v>1372.98</v>
      </c>
      <c r="L44" s="447">
        <v>1341.92</v>
      </c>
      <c r="M44" s="447">
        <v>1306.8399999999999</v>
      </c>
      <c r="N44" s="447">
        <v>709.02</v>
      </c>
      <c r="O44" s="447">
        <v>1631.88</v>
      </c>
      <c r="P44" s="447">
        <v>1541.83</v>
      </c>
      <c r="Q44" s="447">
        <v>1367.63</v>
      </c>
      <c r="R44" s="447">
        <v>987.06</v>
      </c>
      <c r="S44" s="447">
        <v>908.94</v>
      </c>
      <c r="T44" s="448" t="s">
        <v>308</v>
      </c>
      <c r="V44" s="447">
        <f t="shared" si="13"/>
        <v>1467.9636</v>
      </c>
      <c r="W44" s="447">
        <f t="shared" si="2"/>
        <v>1434.7218</v>
      </c>
      <c r="X44" s="447">
        <f t="shared" si="3"/>
        <v>1397.1756</v>
      </c>
      <c r="Y44" s="447">
        <f t="shared" si="4"/>
        <v>1400.4396000000002</v>
      </c>
      <c r="Z44" s="447">
        <f t="shared" si="5"/>
        <v>1368.7584000000002</v>
      </c>
      <c r="AA44" s="447">
        <f t="shared" si="6"/>
        <v>1332.9767999999999</v>
      </c>
      <c r="AB44" s="447">
        <f t="shared" si="7"/>
        <v>723.20039999999995</v>
      </c>
      <c r="AC44" s="447">
        <f t="shared" si="8"/>
        <v>1664.5176000000001</v>
      </c>
      <c r="AD44" s="447">
        <f t="shared" si="9"/>
        <v>1572.6666</v>
      </c>
      <c r="AE44" s="447">
        <f t="shared" si="10"/>
        <v>1394.9826</v>
      </c>
      <c r="AF44" s="447">
        <f t="shared" si="11"/>
        <v>1006.8012</v>
      </c>
      <c r="AG44" s="447">
        <f t="shared" si="12"/>
        <v>927.11880000000008</v>
      </c>
      <c r="AH44" s="448" t="s">
        <v>308</v>
      </c>
    </row>
    <row r="45" spans="1:34" ht="16.5" hidden="1" thickBot="1">
      <c r="A45" s="418">
        <v>2017</v>
      </c>
      <c r="B45" s="145" t="s">
        <v>303</v>
      </c>
      <c r="C45" s="146" t="s">
        <v>311</v>
      </c>
      <c r="D45" s="146" t="s">
        <v>312</v>
      </c>
      <c r="E45" s="151" t="s">
        <v>316</v>
      </c>
      <c r="F45" s="148" t="s">
        <v>307</v>
      </c>
      <c r="G45" s="149" t="s">
        <v>213</v>
      </c>
      <c r="H45" s="447">
        <v>1248.5999999999999</v>
      </c>
      <c r="I45" s="447">
        <v>1220.33</v>
      </c>
      <c r="J45" s="447">
        <v>1188.3900000000001</v>
      </c>
      <c r="K45" s="447">
        <v>1191.17</v>
      </c>
      <c r="L45" s="447">
        <v>1164.23</v>
      </c>
      <c r="M45" s="447">
        <v>1133.79</v>
      </c>
      <c r="N45" s="447">
        <v>615.14</v>
      </c>
      <c r="O45" s="447">
        <v>1415.79</v>
      </c>
      <c r="P45" s="447">
        <v>1337.66</v>
      </c>
      <c r="Q45" s="447">
        <v>1186.53</v>
      </c>
      <c r="R45" s="447">
        <v>856.35</v>
      </c>
      <c r="S45" s="447">
        <v>788.58</v>
      </c>
      <c r="T45" s="448" t="s">
        <v>308</v>
      </c>
      <c r="V45" s="447">
        <f t="shared" si="13"/>
        <v>1273.5719999999999</v>
      </c>
      <c r="W45" s="447">
        <f t="shared" si="2"/>
        <v>1244.7366</v>
      </c>
      <c r="X45" s="447">
        <f t="shared" si="3"/>
        <v>1212.1578000000002</v>
      </c>
      <c r="Y45" s="447">
        <f t="shared" si="4"/>
        <v>1214.9934000000001</v>
      </c>
      <c r="Z45" s="447">
        <f t="shared" si="5"/>
        <v>1187.5146</v>
      </c>
      <c r="AA45" s="447">
        <f t="shared" si="6"/>
        <v>1156.4657999999999</v>
      </c>
      <c r="AB45" s="447">
        <f t="shared" si="7"/>
        <v>627.44280000000003</v>
      </c>
      <c r="AC45" s="447">
        <f t="shared" si="8"/>
        <v>1444.1058</v>
      </c>
      <c r="AD45" s="447">
        <f t="shared" si="9"/>
        <v>1364.4132000000002</v>
      </c>
      <c r="AE45" s="447">
        <f t="shared" si="10"/>
        <v>1210.2606000000001</v>
      </c>
      <c r="AF45" s="447">
        <f t="shared" si="11"/>
        <v>873.47700000000009</v>
      </c>
      <c r="AG45" s="447">
        <f t="shared" si="12"/>
        <v>804.35160000000008</v>
      </c>
      <c r="AH45" s="448" t="s">
        <v>308</v>
      </c>
    </row>
    <row r="46" spans="1:34" ht="16.5" hidden="1" thickBot="1">
      <c r="A46" s="419">
        <v>2017</v>
      </c>
      <c r="B46" s="420" t="s">
        <v>303</v>
      </c>
      <c r="C46" s="421" t="s">
        <v>311</v>
      </c>
      <c r="D46" s="421" t="s">
        <v>312</v>
      </c>
      <c r="E46" s="431" t="s">
        <v>316</v>
      </c>
      <c r="F46" s="423" t="s">
        <v>307</v>
      </c>
      <c r="G46" s="424" t="s">
        <v>214</v>
      </c>
      <c r="H46" s="449">
        <v>1997.77</v>
      </c>
      <c r="I46" s="449">
        <v>1952.53</v>
      </c>
      <c r="J46" s="449">
        <v>1901.43</v>
      </c>
      <c r="K46" s="449">
        <v>1905.87</v>
      </c>
      <c r="L46" s="449">
        <v>1862.76</v>
      </c>
      <c r="M46" s="449">
        <v>1814.06</v>
      </c>
      <c r="N46" s="449">
        <v>984.22</v>
      </c>
      <c r="O46" s="449">
        <v>2265.2600000000002</v>
      </c>
      <c r="P46" s="449">
        <v>2140.25</v>
      </c>
      <c r="Q46" s="449">
        <v>1898.45</v>
      </c>
      <c r="R46" s="449">
        <v>1370.17</v>
      </c>
      <c r="S46" s="449">
        <v>1261.73</v>
      </c>
      <c r="T46" s="450" t="s">
        <v>308</v>
      </c>
      <c r="V46" s="449">
        <f t="shared" si="13"/>
        <v>2037.7254</v>
      </c>
      <c r="W46" s="449">
        <f t="shared" si="2"/>
        <v>1991.5806</v>
      </c>
      <c r="X46" s="449">
        <f t="shared" si="3"/>
        <v>1939.4586000000002</v>
      </c>
      <c r="Y46" s="449">
        <f t="shared" si="4"/>
        <v>1943.9874</v>
      </c>
      <c r="Z46" s="449">
        <f t="shared" si="5"/>
        <v>1900.0152</v>
      </c>
      <c r="AA46" s="449">
        <f t="shared" si="6"/>
        <v>1850.3412000000001</v>
      </c>
      <c r="AB46" s="449">
        <f t="shared" si="7"/>
        <v>1003.9044</v>
      </c>
      <c r="AC46" s="449">
        <f t="shared" si="8"/>
        <v>2310.5652000000005</v>
      </c>
      <c r="AD46" s="449">
        <f t="shared" si="9"/>
        <v>2183.0549999999998</v>
      </c>
      <c r="AE46" s="449">
        <f t="shared" si="10"/>
        <v>1936.4190000000001</v>
      </c>
      <c r="AF46" s="449">
        <f t="shared" si="11"/>
        <v>1397.5734</v>
      </c>
      <c r="AG46" s="449">
        <f t="shared" si="12"/>
        <v>1286.9646</v>
      </c>
      <c r="AH46" s="450" t="s">
        <v>308</v>
      </c>
    </row>
    <row r="47" spans="1:34" ht="16.5" hidden="1" thickBot="1">
      <c r="A47" s="412">
        <v>2017</v>
      </c>
      <c r="B47" s="413" t="s">
        <v>303</v>
      </c>
      <c r="C47" s="414" t="s">
        <v>313</v>
      </c>
      <c r="D47" s="414" t="s">
        <v>314</v>
      </c>
      <c r="E47" s="430" t="s">
        <v>316</v>
      </c>
      <c r="F47" s="416" t="s">
        <v>307</v>
      </c>
      <c r="G47" s="417" t="s">
        <v>211</v>
      </c>
      <c r="H47" s="445">
        <v>755.73</v>
      </c>
      <c r="I47" s="445">
        <v>738.62</v>
      </c>
      <c r="J47" s="445">
        <v>719.29</v>
      </c>
      <c r="K47" s="445">
        <v>720.97</v>
      </c>
      <c r="L47" s="445">
        <v>704.66</v>
      </c>
      <c r="M47" s="445">
        <v>686.24</v>
      </c>
      <c r="N47" s="445">
        <v>372.32</v>
      </c>
      <c r="O47" s="445">
        <v>856.92</v>
      </c>
      <c r="P47" s="445">
        <v>809.63</v>
      </c>
      <c r="Q47" s="445">
        <v>718.16</v>
      </c>
      <c r="R47" s="445">
        <v>518.32000000000005</v>
      </c>
      <c r="S47" s="445">
        <v>477.3</v>
      </c>
      <c r="T47" s="446" t="s">
        <v>308</v>
      </c>
      <c r="V47" s="445">
        <f t="shared" si="13"/>
        <v>770.84460000000001</v>
      </c>
      <c r="W47" s="445">
        <f t="shared" si="2"/>
        <v>753.39240000000007</v>
      </c>
      <c r="X47" s="445">
        <f t="shared" si="3"/>
        <v>733.67579999999998</v>
      </c>
      <c r="Y47" s="445">
        <f t="shared" si="4"/>
        <v>735.38940000000002</v>
      </c>
      <c r="Z47" s="445">
        <f t="shared" si="5"/>
        <v>718.75319999999999</v>
      </c>
      <c r="AA47" s="445">
        <f t="shared" si="6"/>
        <v>699.96479999999997</v>
      </c>
      <c r="AB47" s="445">
        <f t="shared" si="7"/>
        <v>379.76639999999998</v>
      </c>
      <c r="AC47" s="445">
        <f t="shared" si="8"/>
        <v>874.05840000000001</v>
      </c>
      <c r="AD47" s="445">
        <f t="shared" si="9"/>
        <v>825.82259999999997</v>
      </c>
      <c r="AE47" s="445">
        <f t="shared" si="10"/>
        <v>732.52319999999997</v>
      </c>
      <c r="AF47" s="445">
        <f t="shared" si="11"/>
        <v>528.68640000000005</v>
      </c>
      <c r="AG47" s="445">
        <f t="shared" si="12"/>
        <v>486.846</v>
      </c>
      <c r="AH47" s="446" t="s">
        <v>308</v>
      </c>
    </row>
    <row r="48" spans="1:34" ht="16.5" hidden="1" thickBot="1">
      <c r="A48" s="418">
        <v>2017</v>
      </c>
      <c r="B48" s="145" t="s">
        <v>303</v>
      </c>
      <c r="C48" s="146" t="s">
        <v>313</v>
      </c>
      <c r="D48" s="146" t="s">
        <v>314</v>
      </c>
      <c r="E48" s="151" t="s">
        <v>316</v>
      </c>
      <c r="F48" s="148" t="s">
        <v>307</v>
      </c>
      <c r="G48" s="149" t="s">
        <v>212</v>
      </c>
      <c r="H48" s="447">
        <v>1655.06</v>
      </c>
      <c r="I48" s="447">
        <v>1617.58</v>
      </c>
      <c r="J48" s="447">
        <v>1575.25</v>
      </c>
      <c r="K48" s="447">
        <v>1578.93</v>
      </c>
      <c r="L48" s="447">
        <v>1543.21</v>
      </c>
      <c r="M48" s="447">
        <v>1502.87</v>
      </c>
      <c r="N48" s="447">
        <v>815.38</v>
      </c>
      <c r="O48" s="447">
        <v>1876.66</v>
      </c>
      <c r="P48" s="447">
        <v>1773.1</v>
      </c>
      <c r="Q48" s="447">
        <v>1572.77</v>
      </c>
      <c r="R48" s="447">
        <v>1135.1199999999999</v>
      </c>
      <c r="S48" s="447">
        <v>1045.28</v>
      </c>
      <c r="T48" s="448" t="s">
        <v>308</v>
      </c>
      <c r="V48" s="447">
        <f t="shared" si="13"/>
        <v>1688.1612</v>
      </c>
      <c r="W48" s="447">
        <f t="shared" si="2"/>
        <v>1649.9315999999999</v>
      </c>
      <c r="X48" s="447">
        <f t="shared" si="3"/>
        <v>1606.7550000000001</v>
      </c>
      <c r="Y48" s="447">
        <f t="shared" si="4"/>
        <v>1610.5086000000001</v>
      </c>
      <c r="Z48" s="447">
        <f t="shared" si="5"/>
        <v>1574.0742</v>
      </c>
      <c r="AA48" s="447">
        <f t="shared" si="6"/>
        <v>1532.9273999999998</v>
      </c>
      <c r="AB48" s="447">
        <f t="shared" si="7"/>
        <v>831.68759999999997</v>
      </c>
      <c r="AC48" s="447">
        <f t="shared" si="8"/>
        <v>1914.1932000000002</v>
      </c>
      <c r="AD48" s="447">
        <f t="shared" si="9"/>
        <v>1808.5619999999999</v>
      </c>
      <c r="AE48" s="447">
        <f t="shared" si="10"/>
        <v>1604.2254</v>
      </c>
      <c r="AF48" s="447">
        <f t="shared" si="11"/>
        <v>1157.8224</v>
      </c>
      <c r="AG48" s="447">
        <f t="shared" si="12"/>
        <v>1066.1856</v>
      </c>
      <c r="AH48" s="448" t="s">
        <v>308</v>
      </c>
    </row>
    <row r="49" spans="1:34" ht="16.5" hidden="1" thickBot="1">
      <c r="A49" s="418">
        <v>2017</v>
      </c>
      <c r="B49" s="145" t="s">
        <v>303</v>
      </c>
      <c r="C49" s="146" t="s">
        <v>313</v>
      </c>
      <c r="D49" s="146" t="s">
        <v>314</v>
      </c>
      <c r="E49" s="151" t="s">
        <v>316</v>
      </c>
      <c r="F49" s="148" t="s">
        <v>307</v>
      </c>
      <c r="G49" s="149" t="s">
        <v>213</v>
      </c>
      <c r="H49" s="447">
        <v>1435.89</v>
      </c>
      <c r="I49" s="447">
        <v>1403.38</v>
      </c>
      <c r="J49" s="447">
        <v>1366.65</v>
      </c>
      <c r="K49" s="447">
        <v>1369.85</v>
      </c>
      <c r="L49" s="447">
        <v>1338.86</v>
      </c>
      <c r="M49" s="447">
        <v>1303.8599999999999</v>
      </c>
      <c r="N49" s="447">
        <v>707.41</v>
      </c>
      <c r="O49" s="447">
        <v>1628.16</v>
      </c>
      <c r="P49" s="447">
        <v>1538.31</v>
      </c>
      <c r="Q49" s="447">
        <v>1364.51</v>
      </c>
      <c r="R49" s="447">
        <v>984.81</v>
      </c>
      <c r="S49" s="447">
        <v>906.86</v>
      </c>
      <c r="T49" s="448" t="s">
        <v>308</v>
      </c>
      <c r="V49" s="447">
        <f t="shared" si="13"/>
        <v>1464.6078000000002</v>
      </c>
      <c r="W49" s="447">
        <f t="shared" si="2"/>
        <v>1431.4476000000002</v>
      </c>
      <c r="X49" s="447">
        <f t="shared" si="3"/>
        <v>1393.9830000000002</v>
      </c>
      <c r="Y49" s="447">
        <f t="shared" si="4"/>
        <v>1397.2469999999998</v>
      </c>
      <c r="Z49" s="447">
        <f t="shared" si="5"/>
        <v>1365.6371999999999</v>
      </c>
      <c r="AA49" s="447">
        <f t="shared" si="6"/>
        <v>1329.9371999999998</v>
      </c>
      <c r="AB49" s="447">
        <f t="shared" si="7"/>
        <v>721.55819999999994</v>
      </c>
      <c r="AC49" s="447">
        <f t="shared" si="8"/>
        <v>1660.7232000000001</v>
      </c>
      <c r="AD49" s="447">
        <f t="shared" si="9"/>
        <v>1569.0762</v>
      </c>
      <c r="AE49" s="447">
        <f t="shared" si="10"/>
        <v>1391.8001999999999</v>
      </c>
      <c r="AF49" s="447">
        <f t="shared" si="11"/>
        <v>1004.5061999999999</v>
      </c>
      <c r="AG49" s="447">
        <f t="shared" si="12"/>
        <v>924.99720000000002</v>
      </c>
      <c r="AH49" s="448" t="s">
        <v>308</v>
      </c>
    </row>
    <row r="50" spans="1:34" ht="16.5" hidden="1" thickBot="1">
      <c r="A50" s="419">
        <v>2017</v>
      </c>
      <c r="B50" s="420" t="s">
        <v>303</v>
      </c>
      <c r="C50" s="421" t="s">
        <v>313</v>
      </c>
      <c r="D50" s="421" t="s">
        <v>314</v>
      </c>
      <c r="E50" s="431" t="s">
        <v>316</v>
      </c>
      <c r="F50" s="423" t="s">
        <v>307</v>
      </c>
      <c r="G50" s="424" t="s">
        <v>214</v>
      </c>
      <c r="H50" s="449">
        <v>2297.44</v>
      </c>
      <c r="I50" s="449">
        <v>2245.41</v>
      </c>
      <c r="J50" s="449">
        <v>2186.64</v>
      </c>
      <c r="K50" s="449">
        <v>2191.75</v>
      </c>
      <c r="L50" s="449">
        <v>2142.17</v>
      </c>
      <c r="M50" s="449">
        <v>2086.17</v>
      </c>
      <c r="N50" s="449">
        <v>1131.8499999999999</v>
      </c>
      <c r="O50" s="449">
        <v>2605.0500000000002</v>
      </c>
      <c r="P50" s="449">
        <v>2461.29</v>
      </c>
      <c r="Q50" s="449">
        <v>2183.2199999999998</v>
      </c>
      <c r="R50" s="449">
        <v>1575.7</v>
      </c>
      <c r="S50" s="449">
        <v>1450.98</v>
      </c>
      <c r="T50" s="450" t="s">
        <v>308</v>
      </c>
      <c r="V50" s="449">
        <f t="shared" si="13"/>
        <v>2343.3888000000002</v>
      </c>
      <c r="W50" s="449">
        <f t="shared" si="2"/>
        <v>2290.3181999999997</v>
      </c>
      <c r="X50" s="449">
        <f t="shared" si="3"/>
        <v>2230.3728000000001</v>
      </c>
      <c r="Y50" s="449">
        <f t="shared" si="4"/>
        <v>2235.585</v>
      </c>
      <c r="Z50" s="449">
        <f t="shared" si="5"/>
        <v>2185.0134000000003</v>
      </c>
      <c r="AA50" s="449">
        <f t="shared" si="6"/>
        <v>2127.8933999999999</v>
      </c>
      <c r="AB50" s="449">
        <f t="shared" si="7"/>
        <v>1154.4869999999999</v>
      </c>
      <c r="AC50" s="449">
        <f t="shared" si="8"/>
        <v>2657.1510000000003</v>
      </c>
      <c r="AD50" s="449">
        <f t="shared" si="9"/>
        <v>2510.5158000000001</v>
      </c>
      <c r="AE50" s="449">
        <f t="shared" si="10"/>
        <v>2226.8843999999999</v>
      </c>
      <c r="AF50" s="449">
        <f t="shared" si="11"/>
        <v>1607.2140000000002</v>
      </c>
      <c r="AG50" s="449">
        <f t="shared" si="12"/>
        <v>1479.9996000000001</v>
      </c>
      <c r="AH50" s="450" t="s">
        <v>308</v>
      </c>
    </row>
    <row r="51" spans="1:34" ht="16.5" hidden="1" thickBot="1">
      <c r="A51" s="412">
        <v>2017</v>
      </c>
      <c r="B51" s="413" t="s">
        <v>303</v>
      </c>
      <c r="C51" s="414" t="s">
        <v>304</v>
      </c>
      <c r="D51" s="414" t="s">
        <v>305</v>
      </c>
      <c r="E51" s="430" t="s">
        <v>316</v>
      </c>
      <c r="F51" s="432" t="s">
        <v>315</v>
      </c>
      <c r="G51" s="417" t="s">
        <v>211</v>
      </c>
      <c r="H51" s="445">
        <v>568.11</v>
      </c>
      <c r="I51" s="445">
        <v>555.25</v>
      </c>
      <c r="J51" s="445">
        <v>540.72</v>
      </c>
      <c r="K51" s="445">
        <v>541.98</v>
      </c>
      <c r="L51" s="445">
        <v>529.72</v>
      </c>
      <c r="M51" s="445">
        <v>515.87</v>
      </c>
      <c r="N51" s="445">
        <v>279.89</v>
      </c>
      <c r="O51" s="445">
        <v>644.17999999999995</v>
      </c>
      <c r="P51" s="445">
        <v>608.63</v>
      </c>
      <c r="Q51" s="445">
        <v>539.87</v>
      </c>
      <c r="R51" s="445">
        <v>389.64</v>
      </c>
      <c r="S51" s="445">
        <v>358.8</v>
      </c>
      <c r="T51" s="446" t="s">
        <v>308</v>
      </c>
      <c r="V51" s="445">
        <f t="shared" si="13"/>
        <v>579.47220000000004</v>
      </c>
      <c r="W51" s="445">
        <f t="shared" si="2"/>
        <v>566.35500000000002</v>
      </c>
      <c r="X51" s="445">
        <f t="shared" si="3"/>
        <v>551.53440000000001</v>
      </c>
      <c r="Y51" s="445">
        <f t="shared" si="4"/>
        <v>552.81960000000004</v>
      </c>
      <c r="Z51" s="445">
        <f t="shared" si="5"/>
        <v>540.31440000000009</v>
      </c>
      <c r="AA51" s="445">
        <f t="shared" si="6"/>
        <v>526.18740000000003</v>
      </c>
      <c r="AB51" s="445">
        <f t="shared" si="7"/>
        <v>285.48779999999999</v>
      </c>
      <c r="AC51" s="445">
        <f t="shared" si="8"/>
        <v>657.06359999999995</v>
      </c>
      <c r="AD51" s="445">
        <f t="shared" si="9"/>
        <v>620.80259999999998</v>
      </c>
      <c r="AE51" s="445">
        <f t="shared" si="10"/>
        <v>550.66740000000004</v>
      </c>
      <c r="AF51" s="445">
        <f t="shared" si="11"/>
        <v>397.43279999999999</v>
      </c>
      <c r="AG51" s="445">
        <f t="shared" si="12"/>
        <v>365.976</v>
      </c>
      <c r="AH51" s="446" t="s">
        <v>308</v>
      </c>
    </row>
    <row r="52" spans="1:34" ht="16.5" hidden="1" thickBot="1">
      <c r="A52" s="418">
        <v>2017</v>
      </c>
      <c r="B52" s="145" t="s">
        <v>303</v>
      </c>
      <c r="C52" s="146" t="s">
        <v>304</v>
      </c>
      <c r="D52" s="146" t="s">
        <v>305</v>
      </c>
      <c r="E52" s="151" t="s">
        <v>316</v>
      </c>
      <c r="F52" s="433" t="s">
        <v>315</v>
      </c>
      <c r="G52" s="149" t="s">
        <v>212</v>
      </c>
      <c r="H52" s="447">
        <v>1244.17</v>
      </c>
      <c r="I52" s="447">
        <v>1216</v>
      </c>
      <c r="J52" s="447">
        <v>1184.17</v>
      </c>
      <c r="K52" s="447">
        <v>1186.94</v>
      </c>
      <c r="L52" s="447">
        <v>1160.0899999999999</v>
      </c>
      <c r="M52" s="447">
        <v>1129.76</v>
      </c>
      <c r="N52" s="447">
        <v>612.95000000000005</v>
      </c>
      <c r="O52" s="447">
        <v>1410.76</v>
      </c>
      <c r="P52" s="447">
        <v>1332.91</v>
      </c>
      <c r="Q52" s="447">
        <v>1182.32</v>
      </c>
      <c r="R52" s="447">
        <v>853.31</v>
      </c>
      <c r="S52" s="447">
        <v>785.78</v>
      </c>
      <c r="T52" s="448" t="s">
        <v>308</v>
      </c>
      <c r="V52" s="447">
        <f t="shared" si="13"/>
        <v>1269.0534</v>
      </c>
      <c r="W52" s="447">
        <f t="shared" si="2"/>
        <v>1240.32</v>
      </c>
      <c r="X52" s="447">
        <f t="shared" si="3"/>
        <v>1207.8534000000002</v>
      </c>
      <c r="Y52" s="447">
        <f t="shared" si="4"/>
        <v>1210.6788000000001</v>
      </c>
      <c r="Z52" s="447">
        <f t="shared" si="5"/>
        <v>1183.2918</v>
      </c>
      <c r="AA52" s="447">
        <f t="shared" si="6"/>
        <v>1152.3552</v>
      </c>
      <c r="AB52" s="447">
        <f t="shared" si="7"/>
        <v>625.20900000000006</v>
      </c>
      <c r="AC52" s="447">
        <f t="shared" si="8"/>
        <v>1438.9752000000001</v>
      </c>
      <c r="AD52" s="447">
        <f t="shared" si="9"/>
        <v>1359.5682000000002</v>
      </c>
      <c r="AE52" s="447">
        <f t="shared" si="10"/>
        <v>1205.9664</v>
      </c>
      <c r="AF52" s="447">
        <f t="shared" si="11"/>
        <v>870.37619999999993</v>
      </c>
      <c r="AG52" s="447">
        <f t="shared" si="12"/>
        <v>801.49559999999997</v>
      </c>
      <c r="AH52" s="448" t="s">
        <v>308</v>
      </c>
    </row>
    <row r="53" spans="1:34" ht="16.5" hidden="1" thickBot="1">
      <c r="A53" s="418">
        <v>2017</v>
      </c>
      <c r="B53" s="145" t="s">
        <v>303</v>
      </c>
      <c r="C53" s="146" t="s">
        <v>304</v>
      </c>
      <c r="D53" s="146" t="s">
        <v>305</v>
      </c>
      <c r="E53" s="151" t="s">
        <v>316</v>
      </c>
      <c r="F53" s="433" t="s">
        <v>315</v>
      </c>
      <c r="G53" s="149" t="s">
        <v>213</v>
      </c>
      <c r="H53" s="447">
        <v>1079.4100000000001</v>
      </c>
      <c r="I53" s="447">
        <v>1054.98</v>
      </c>
      <c r="J53" s="447">
        <v>1027.3599999999999</v>
      </c>
      <c r="K53" s="447">
        <v>1029.77</v>
      </c>
      <c r="L53" s="447">
        <v>1006.48</v>
      </c>
      <c r="M53" s="447">
        <v>980.16</v>
      </c>
      <c r="N53" s="447">
        <v>531.79</v>
      </c>
      <c r="O53" s="447">
        <v>1223.95</v>
      </c>
      <c r="P53" s="447">
        <v>1156.4100000000001</v>
      </c>
      <c r="Q53" s="447">
        <v>1025.76</v>
      </c>
      <c r="R53" s="447">
        <v>740.32</v>
      </c>
      <c r="S53" s="447">
        <v>681.72</v>
      </c>
      <c r="T53" s="448" t="s">
        <v>308</v>
      </c>
      <c r="V53" s="447">
        <f t="shared" si="13"/>
        <v>1100.9982</v>
      </c>
      <c r="W53" s="447">
        <f t="shared" si="2"/>
        <v>1076.0796</v>
      </c>
      <c r="X53" s="447">
        <f t="shared" si="3"/>
        <v>1047.9071999999999</v>
      </c>
      <c r="Y53" s="447">
        <f t="shared" si="4"/>
        <v>1050.3653999999999</v>
      </c>
      <c r="Z53" s="447">
        <f t="shared" si="5"/>
        <v>1026.6096</v>
      </c>
      <c r="AA53" s="447">
        <f t="shared" si="6"/>
        <v>999.76319999999998</v>
      </c>
      <c r="AB53" s="447">
        <f t="shared" si="7"/>
        <v>542.42579999999998</v>
      </c>
      <c r="AC53" s="447">
        <f t="shared" si="8"/>
        <v>1248.4290000000001</v>
      </c>
      <c r="AD53" s="447">
        <f t="shared" si="9"/>
        <v>1179.5382000000002</v>
      </c>
      <c r="AE53" s="447">
        <f t="shared" si="10"/>
        <v>1046.2752</v>
      </c>
      <c r="AF53" s="447">
        <f t="shared" si="11"/>
        <v>755.1264000000001</v>
      </c>
      <c r="AG53" s="447">
        <f t="shared" si="12"/>
        <v>695.35440000000006</v>
      </c>
      <c r="AH53" s="448" t="s">
        <v>308</v>
      </c>
    </row>
    <row r="54" spans="1:34" ht="16.5" hidden="1" thickBot="1">
      <c r="A54" s="419">
        <v>2017</v>
      </c>
      <c r="B54" s="420" t="s">
        <v>303</v>
      </c>
      <c r="C54" s="421" t="s">
        <v>304</v>
      </c>
      <c r="D54" s="421" t="s">
        <v>305</v>
      </c>
      <c r="E54" s="431" t="s">
        <v>316</v>
      </c>
      <c r="F54" s="434" t="s">
        <v>315</v>
      </c>
      <c r="G54" s="424" t="s">
        <v>214</v>
      </c>
      <c r="H54" s="449">
        <v>1727.07</v>
      </c>
      <c r="I54" s="449">
        <v>1687.96</v>
      </c>
      <c r="J54" s="449">
        <v>1643.79</v>
      </c>
      <c r="K54" s="449">
        <v>1647.62</v>
      </c>
      <c r="L54" s="449">
        <v>1610.36</v>
      </c>
      <c r="M54" s="449">
        <v>1568.25</v>
      </c>
      <c r="N54" s="449">
        <v>850.86</v>
      </c>
      <c r="O54" s="449">
        <v>1958.32</v>
      </c>
      <c r="P54" s="449">
        <v>1850.25</v>
      </c>
      <c r="Q54" s="449">
        <v>1641.21</v>
      </c>
      <c r="R54" s="449">
        <v>1184.51</v>
      </c>
      <c r="S54" s="449">
        <v>1090.76</v>
      </c>
      <c r="T54" s="450" t="s">
        <v>308</v>
      </c>
      <c r="V54" s="449">
        <f t="shared" si="13"/>
        <v>1761.6114</v>
      </c>
      <c r="W54" s="449">
        <f t="shared" si="2"/>
        <v>1721.7192</v>
      </c>
      <c r="X54" s="449">
        <f t="shared" si="3"/>
        <v>1676.6658</v>
      </c>
      <c r="Y54" s="449">
        <f t="shared" si="4"/>
        <v>1680.5724</v>
      </c>
      <c r="Z54" s="449">
        <f t="shared" si="5"/>
        <v>1642.5672</v>
      </c>
      <c r="AA54" s="449">
        <f t="shared" si="6"/>
        <v>1599.615</v>
      </c>
      <c r="AB54" s="449">
        <f t="shared" si="7"/>
        <v>867.87720000000002</v>
      </c>
      <c r="AC54" s="449">
        <f t="shared" si="8"/>
        <v>1997.4864</v>
      </c>
      <c r="AD54" s="449">
        <f t="shared" si="9"/>
        <v>1887.2550000000001</v>
      </c>
      <c r="AE54" s="449">
        <f t="shared" si="10"/>
        <v>1674.0342000000001</v>
      </c>
      <c r="AF54" s="449">
        <f t="shared" si="11"/>
        <v>1208.2002</v>
      </c>
      <c r="AG54" s="449">
        <f t="shared" si="12"/>
        <v>1112.5752</v>
      </c>
      <c r="AH54" s="450" t="s">
        <v>308</v>
      </c>
    </row>
    <row r="55" spans="1:34" ht="16.5" hidden="1" thickBot="1">
      <c r="A55" s="412">
        <v>2017</v>
      </c>
      <c r="B55" s="413" t="s">
        <v>303</v>
      </c>
      <c r="C55" s="414" t="s">
        <v>309</v>
      </c>
      <c r="D55" s="414" t="s">
        <v>310</v>
      </c>
      <c r="E55" s="430" t="s">
        <v>316</v>
      </c>
      <c r="F55" s="432" t="s">
        <v>315</v>
      </c>
      <c r="G55" s="417" t="s">
        <v>211</v>
      </c>
      <c r="H55" s="445">
        <v>624.29999999999995</v>
      </c>
      <c r="I55" s="445">
        <v>610.16999999999996</v>
      </c>
      <c r="J55" s="445">
        <v>594.20000000000005</v>
      </c>
      <c r="K55" s="445">
        <v>595.58000000000004</v>
      </c>
      <c r="L55" s="445">
        <v>582.11</v>
      </c>
      <c r="M55" s="445">
        <v>566.89</v>
      </c>
      <c r="N55" s="445">
        <v>307.57</v>
      </c>
      <c r="O55" s="445">
        <v>707.89</v>
      </c>
      <c r="P55" s="445">
        <v>668.83</v>
      </c>
      <c r="Q55" s="445">
        <v>593.27</v>
      </c>
      <c r="R55" s="445">
        <v>428.18</v>
      </c>
      <c r="S55" s="445">
        <v>394.29</v>
      </c>
      <c r="T55" s="446" t="s">
        <v>308</v>
      </c>
      <c r="V55" s="445">
        <f t="shared" si="13"/>
        <v>636.78599999999994</v>
      </c>
      <c r="W55" s="445">
        <f t="shared" si="2"/>
        <v>622.37339999999995</v>
      </c>
      <c r="X55" s="445">
        <f t="shared" si="3"/>
        <v>606.08400000000006</v>
      </c>
      <c r="Y55" s="445">
        <f t="shared" si="4"/>
        <v>607.49160000000006</v>
      </c>
      <c r="Z55" s="445">
        <f t="shared" si="5"/>
        <v>593.75220000000002</v>
      </c>
      <c r="AA55" s="445">
        <f t="shared" si="6"/>
        <v>578.2278</v>
      </c>
      <c r="AB55" s="445">
        <f t="shared" si="7"/>
        <v>313.72140000000002</v>
      </c>
      <c r="AC55" s="445">
        <f t="shared" si="8"/>
        <v>722.04780000000005</v>
      </c>
      <c r="AD55" s="445">
        <f t="shared" si="9"/>
        <v>682.20660000000009</v>
      </c>
      <c r="AE55" s="445">
        <f t="shared" si="10"/>
        <v>605.1354</v>
      </c>
      <c r="AF55" s="445">
        <f t="shared" si="11"/>
        <v>436.74360000000001</v>
      </c>
      <c r="AG55" s="445">
        <f t="shared" si="12"/>
        <v>402.17580000000004</v>
      </c>
      <c r="AH55" s="446" t="s">
        <v>308</v>
      </c>
    </row>
    <row r="56" spans="1:34" ht="16.5" hidden="1" thickBot="1">
      <c r="A56" s="418">
        <v>2017</v>
      </c>
      <c r="B56" s="145" t="s">
        <v>303</v>
      </c>
      <c r="C56" s="146" t="s">
        <v>309</v>
      </c>
      <c r="D56" s="146" t="s">
        <v>310</v>
      </c>
      <c r="E56" s="151" t="s">
        <v>316</v>
      </c>
      <c r="F56" s="433" t="s">
        <v>315</v>
      </c>
      <c r="G56" s="149" t="s">
        <v>212</v>
      </c>
      <c r="H56" s="447">
        <v>1367.22</v>
      </c>
      <c r="I56" s="447">
        <v>1336.26</v>
      </c>
      <c r="J56" s="447">
        <v>1301.29</v>
      </c>
      <c r="K56" s="447">
        <v>1304.33</v>
      </c>
      <c r="L56" s="447">
        <v>1274.82</v>
      </c>
      <c r="M56" s="447">
        <v>1241.5</v>
      </c>
      <c r="N56" s="447">
        <v>673.57</v>
      </c>
      <c r="O56" s="447">
        <v>1550.29</v>
      </c>
      <c r="P56" s="447">
        <v>1464.74</v>
      </c>
      <c r="Q56" s="447">
        <v>1299.25</v>
      </c>
      <c r="R56" s="447">
        <v>937.71</v>
      </c>
      <c r="S56" s="447">
        <v>863.49</v>
      </c>
      <c r="T56" s="448" t="s">
        <v>308</v>
      </c>
      <c r="V56" s="447">
        <f t="shared" si="13"/>
        <v>1394.5644</v>
      </c>
      <c r="W56" s="447">
        <f t="shared" si="2"/>
        <v>1362.9852000000001</v>
      </c>
      <c r="X56" s="447">
        <f t="shared" si="3"/>
        <v>1327.3158000000001</v>
      </c>
      <c r="Y56" s="447">
        <f t="shared" si="4"/>
        <v>1330.4166</v>
      </c>
      <c r="Z56" s="447">
        <f t="shared" si="5"/>
        <v>1300.3163999999999</v>
      </c>
      <c r="AA56" s="447">
        <f t="shared" si="6"/>
        <v>1266.33</v>
      </c>
      <c r="AB56" s="447">
        <f t="shared" si="7"/>
        <v>687.04140000000007</v>
      </c>
      <c r="AC56" s="447">
        <f t="shared" si="8"/>
        <v>1581.2958000000001</v>
      </c>
      <c r="AD56" s="447">
        <f t="shared" si="9"/>
        <v>1494.0348000000001</v>
      </c>
      <c r="AE56" s="447">
        <f t="shared" si="10"/>
        <v>1325.2350000000001</v>
      </c>
      <c r="AF56" s="447">
        <f t="shared" si="11"/>
        <v>956.46420000000001</v>
      </c>
      <c r="AG56" s="447">
        <f t="shared" si="12"/>
        <v>880.75980000000004</v>
      </c>
      <c r="AH56" s="448" t="s">
        <v>308</v>
      </c>
    </row>
    <row r="57" spans="1:34" ht="16.5" hidden="1" thickBot="1">
      <c r="A57" s="418">
        <v>2017</v>
      </c>
      <c r="B57" s="145" t="s">
        <v>303</v>
      </c>
      <c r="C57" s="146" t="s">
        <v>309</v>
      </c>
      <c r="D57" s="146" t="s">
        <v>310</v>
      </c>
      <c r="E57" s="151" t="s">
        <v>316</v>
      </c>
      <c r="F57" s="433" t="s">
        <v>315</v>
      </c>
      <c r="G57" s="149" t="s">
        <v>213</v>
      </c>
      <c r="H57" s="447">
        <v>1186.17</v>
      </c>
      <c r="I57" s="447">
        <v>1159.31</v>
      </c>
      <c r="J57" s="447">
        <v>1128.97</v>
      </c>
      <c r="K57" s="447">
        <v>1131.6099999999999</v>
      </c>
      <c r="L57" s="447">
        <v>1106.02</v>
      </c>
      <c r="M57" s="447">
        <v>1077.0999999999999</v>
      </c>
      <c r="N57" s="447">
        <v>584.39</v>
      </c>
      <c r="O57" s="447">
        <v>1345</v>
      </c>
      <c r="P57" s="447">
        <v>1270.78</v>
      </c>
      <c r="Q57" s="447">
        <v>1127.2</v>
      </c>
      <c r="R57" s="447">
        <v>813.53</v>
      </c>
      <c r="S57" s="447">
        <v>749.15</v>
      </c>
      <c r="T57" s="448" t="s">
        <v>308</v>
      </c>
      <c r="V57" s="447">
        <f t="shared" si="13"/>
        <v>1209.8934000000002</v>
      </c>
      <c r="W57" s="447">
        <f t="shared" si="2"/>
        <v>1182.4962</v>
      </c>
      <c r="X57" s="447">
        <f t="shared" si="3"/>
        <v>1151.5494000000001</v>
      </c>
      <c r="Y57" s="447">
        <f t="shared" si="4"/>
        <v>1154.2421999999999</v>
      </c>
      <c r="Z57" s="447">
        <f t="shared" si="5"/>
        <v>1128.1404</v>
      </c>
      <c r="AA57" s="447">
        <f t="shared" si="6"/>
        <v>1098.6419999999998</v>
      </c>
      <c r="AB57" s="447">
        <f t="shared" si="7"/>
        <v>596.07780000000002</v>
      </c>
      <c r="AC57" s="447">
        <f t="shared" si="8"/>
        <v>1371.9</v>
      </c>
      <c r="AD57" s="447">
        <f t="shared" si="9"/>
        <v>1296.1956</v>
      </c>
      <c r="AE57" s="447">
        <f t="shared" si="10"/>
        <v>1149.7440000000001</v>
      </c>
      <c r="AF57" s="447">
        <f t="shared" si="11"/>
        <v>829.80060000000003</v>
      </c>
      <c r="AG57" s="447">
        <f t="shared" si="12"/>
        <v>764.13300000000004</v>
      </c>
      <c r="AH57" s="448" t="s">
        <v>308</v>
      </c>
    </row>
    <row r="58" spans="1:34" ht="16.5" hidden="1" thickBot="1">
      <c r="A58" s="419">
        <v>2017</v>
      </c>
      <c r="B58" s="420" t="s">
        <v>303</v>
      </c>
      <c r="C58" s="421" t="s">
        <v>309</v>
      </c>
      <c r="D58" s="421" t="s">
        <v>310</v>
      </c>
      <c r="E58" s="431" t="s">
        <v>316</v>
      </c>
      <c r="F58" s="434" t="s">
        <v>315</v>
      </c>
      <c r="G58" s="424" t="s">
        <v>214</v>
      </c>
      <c r="H58" s="449">
        <v>1897.88</v>
      </c>
      <c r="I58" s="449">
        <v>1854.9</v>
      </c>
      <c r="J58" s="449">
        <v>1806.36</v>
      </c>
      <c r="K58" s="449">
        <v>1810.58</v>
      </c>
      <c r="L58" s="449">
        <v>1769.62</v>
      </c>
      <c r="M58" s="449">
        <v>1723.36</v>
      </c>
      <c r="N58" s="449">
        <v>935.01</v>
      </c>
      <c r="O58" s="449">
        <v>2152</v>
      </c>
      <c r="P58" s="449">
        <v>2033.24</v>
      </c>
      <c r="Q58" s="449">
        <v>1803.53</v>
      </c>
      <c r="R58" s="449">
        <v>1301.6600000000001</v>
      </c>
      <c r="S58" s="449">
        <v>1198.6400000000001</v>
      </c>
      <c r="T58" s="450" t="s">
        <v>308</v>
      </c>
      <c r="V58" s="449">
        <f t="shared" si="13"/>
        <v>1935.8376000000001</v>
      </c>
      <c r="W58" s="449">
        <f t="shared" si="2"/>
        <v>1891.998</v>
      </c>
      <c r="X58" s="449">
        <f t="shared" si="3"/>
        <v>1842.4872</v>
      </c>
      <c r="Y58" s="449">
        <f t="shared" si="4"/>
        <v>1846.7916</v>
      </c>
      <c r="Z58" s="449">
        <f t="shared" si="5"/>
        <v>1805.0123999999998</v>
      </c>
      <c r="AA58" s="449">
        <f t="shared" si="6"/>
        <v>1757.8271999999999</v>
      </c>
      <c r="AB58" s="449">
        <f t="shared" si="7"/>
        <v>953.71019999999999</v>
      </c>
      <c r="AC58" s="449">
        <f t="shared" si="8"/>
        <v>2195.04</v>
      </c>
      <c r="AD58" s="449">
        <f t="shared" si="9"/>
        <v>2073.9048000000003</v>
      </c>
      <c r="AE58" s="449">
        <f t="shared" si="10"/>
        <v>1839.6006</v>
      </c>
      <c r="AF58" s="449">
        <f t="shared" si="11"/>
        <v>1327.6932000000002</v>
      </c>
      <c r="AG58" s="449">
        <f t="shared" si="12"/>
        <v>1222.6128000000001</v>
      </c>
      <c r="AH58" s="450" t="s">
        <v>308</v>
      </c>
    </row>
    <row r="59" spans="1:34" ht="16.5" hidden="1" thickBot="1">
      <c r="A59" s="412">
        <v>2017</v>
      </c>
      <c r="B59" s="413" t="s">
        <v>303</v>
      </c>
      <c r="C59" s="414" t="s">
        <v>311</v>
      </c>
      <c r="D59" s="414" t="s">
        <v>312</v>
      </c>
      <c r="E59" s="430" t="s">
        <v>316</v>
      </c>
      <c r="F59" s="432" t="s">
        <v>315</v>
      </c>
      <c r="G59" s="417" t="s">
        <v>211</v>
      </c>
      <c r="H59" s="445">
        <v>657.16</v>
      </c>
      <c r="I59" s="445">
        <v>642.28</v>
      </c>
      <c r="J59" s="445">
        <v>625.47</v>
      </c>
      <c r="K59" s="445">
        <v>626.92999999999995</v>
      </c>
      <c r="L59" s="445">
        <v>612.75</v>
      </c>
      <c r="M59" s="445">
        <v>596.73</v>
      </c>
      <c r="N59" s="445">
        <v>323.76</v>
      </c>
      <c r="O59" s="445">
        <v>745.15</v>
      </c>
      <c r="P59" s="445">
        <v>704.03</v>
      </c>
      <c r="Q59" s="445">
        <v>624.49</v>
      </c>
      <c r="R59" s="445">
        <v>450.71</v>
      </c>
      <c r="S59" s="445">
        <v>415.04</v>
      </c>
      <c r="T59" s="446" t="s">
        <v>308</v>
      </c>
      <c r="V59" s="445">
        <f t="shared" si="13"/>
        <v>670.30319999999995</v>
      </c>
      <c r="W59" s="445">
        <f t="shared" si="2"/>
        <v>655.12559999999996</v>
      </c>
      <c r="X59" s="445">
        <f t="shared" si="3"/>
        <v>637.97940000000006</v>
      </c>
      <c r="Y59" s="445">
        <f t="shared" si="4"/>
        <v>639.46859999999992</v>
      </c>
      <c r="Z59" s="445">
        <f t="shared" si="5"/>
        <v>625.005</v>
      </c>
      <c r="AA59" s="445">
        <f t="shared" si="6"/>
        <v>608.66460000000006</v>
      </c>
      <c r="AB59" s="445">
        <f t="shared" si="7"/>
        <v>330.23520000000002</v>
      </c>
      <c r="AC59" s="445">
        <f t="shared" si="8"/>
        <v>760.053</v>
      </c>
      <c r="AD59" s="445">
        <f t="shared" si="9"/>
        <v>718.11059999999998</v>
      </c>
      <c r="AE59" s="445">
        <f t="shared" si="10"/>
        <v>636.97980000000007</v>
      </c>
      <c r="AF59" s="445">
        <f t="shared" si="11"/>
        <v>459.7242</v>
      </c>
      <c r="AG59" s="445">
        <f t="shared" si="12"/>
        <v>423.3408</v>
      </c>
      <c r="AH59" s="446" t="s">
        <v>308</v>
      </c>
    </row>
    <row r="60" spans="1:34" ht="16.5" hidden="1" thickBot="1">
      <c r="A60" s="418">
        <v>2017</v>
      </c>
      <c r="B60" s="145" t="s">
        <v>303</v>
      </c>
      <c r="C60" s="146" t="s">
        <v>311</v>
      </c>
      <c r="D60" s="146" t="s">
        <v>312</v>
      </c>
      <c r="E60" s="151" t="s">
        <v>316</v>
      </c>
      <c r="F60" s="433" t="s">
        <v>315</v>
      </c>
      <c r="G60" s="149" t="s">
        <v>212</v>
      </c>
      <c r="H60" s="447">
        <v>1439.18</v>
      </c>
      <c r="I60" s="447">
        <v>1406.59</v>
      </c>
      <c r="J60" s="447">
        <v>1369.78</v>
      </c>
      <c r="K60" s="447">
        <v>1372.98</v>
      </c>
      <c r="L60" s="447">
        <v>1341.92</v>
      </c>
      <c r="M60" s="447">
        <v>1306.8399999999999</v>
      </c>
      <c r="N60" s="447">
        <v>709.02</v>
      </c>
      <c r="O60" s="447">
        <v>1631.88</v>
      </c>
      <c r="P60" s="447">
        <v>1541.83</v>
      </c>
      <c r="Q60" s="447">
        <v>1367.63</v>
      </c>
      <c r="R60" s="447">
        <v>987.06</v>
      </c>
      <c r="S60" s="447">
        <v>908.94</v>
      </c>
      <c r="T60" s="448" t="s">
        <v>308</v>
      </c>
      <c r="V60" s="447">
        <f t="shared" si="13"/>
        <v>1467.9636</v>
      </c>
      <c r="W60" s="447">
        <f t="shared" si="2"/>
        <v>1434.7218</v>
      </c>
      <c r="X60" s="447">
        <f t="shared" si="3"/>
        <v>1397.1756</v>
      </c>
      <c r="Y60" s="447">
        <f t="shared" si="4"/>
        <v>1400.4396000000002</v>
      </c>
      <c r="Z60" s="447">
        <f t="shared" si="5"/>
        <v>1368.7584000000002</v>
      </c>
      <c r="AA60" s="447">
        <f t="shared" si="6"/>
        <v>1332.9767999999999</v>
      </c>
      <c r="AB60" s="447">
        <f t="shared" si="7"/>
        <v>723.20039999999995</v>
      </c>
      <c r="AC60" s="447">
        <f t="shared" si="8"/>
        <v>1664.5176000000001</v>
      </c>
      <c r="AD60" s="447">
        <f t="shared" si="9"/>
        <v>1572.6666</v>
      </c>
      <c r="AE60" s="447">
        <f t="shared" si="10"/>
        <v>1394.9826</v>
      </c>
      <c r="AF60" s="447">
        <f t="shared" si="11"/>
        <v>1006.8012</v>
      </c>
      <c r="AG60" s="447">
        <f t="shared" si="12"/>
        <v>927.11880000000008</v>
      </c>
      <c r="AH60" s="448" t="s">
        <v>308</v>
      </c>
    </row>
    <row r="61" spans="1:34" ht="16.5" hidden="1" thickBot="1">
      <c r="A61" s="418">
        <v>2017</v>
      </c>
      <c r="B61" s="145" t="s">
        <v>303</v>
      </c>
      <c r="C61" s="146" t="s">
        <v>311</v>
      </c>
      <c r="D61" s="146" t="s">
        <v>312</v>
      </c>
      <c r="E61" s="151" t="s">
        <v>316</v>
      </c>
      <c r="F61" s="433" t="s">
        <v>315</v>
      </c>
      <c r="G61" s="149" t="s">
        <v>213</v>
      </c>
      <c r="H61" s="447">
        <v>1248.5999999999999</v>
      </c>
      <c r="I61" s="447">
        <v>1220.33</v>
      </c>
      <c r="J61" s="447">
        <v>1188.3900000000001</v>
      </c>
      <c r="K61" s="447">
        <v>1191.17</v>
      </c>
      <c r="L61" s="447">
        <v>1164.23</v>
      </c>
      <c r="M61" s="447">
        <v>1133.79</v>
      </c>
      <c r="N61" s="447">
        <v>615.14</v>
      </c>
      <c r="O61" s="447">
        <v>1415.79</v>
      </c>
      <c r="P61" s="447">
        <v>1337.66</v>
      </c>
      <c r="Q61" s="447">
        <v>1186.53</v>
      </c>
      <c r="R61" s="447">
        <v>856.35</v>
      </c>
      <c r="S61" s="447">
        <v>788.58</v>
      </c>
      <c r="T61" s="448" t="s">
        <v>308</v>
      </c>
      <c r="V61" s="447">
        <f t="shared" si="13"/>
        <v>1273.5719999999999</v>
      </c>
      <c r="W61" s="447">
        <f t="shared" si="2"/>
        <v>1244.7366</v>
      </c>
      <c r="X61" s="447">
        <f t="shared" si="3"/>
        <v>1212.1578000000002</v>
      </c>
      <c r="Y61" s="447">
        <f t="shared" si="4"/>
        <v>1214.9934000000001</v>
      </c>
      <c r="Z61" s="447">
        <f t="shared" si="5"/>
        <v>1187.5146</v>
      </c>
      <c r="AA61" s="447">
        <f t="shared" si="6"/>
        <v>1156.4657999999999</v>
      </c>
      <c r="AB61" s="447">
        <f t="shared" si="7"/>
        <v>627.44280000000003</v>
      </c>
      <c r="AC61" s="447">
        <f t="shared" si="8"/>
        <v>1444.1058</v>
      </c>
      <c r="AD61" s="447">
        <f t="shared" si="9"/>
        <v>1364.4132000000002</v>
      </c>
      <c r="AE61" s="447">
        <f t="shared" si="10"/>
        <v>1210.2606000000001</v>
      </c>
      <c r="AF61" s="447">
        <f t="shared" si="11"/>
        <v>873.47700000000009</v>
      </c>
      <c r="AG61" s="447">
        <f t="shared" si="12"/>
        <v>804.35160000000008</v>
      </c>
      <c r="AH61" s="448" t="s">
        <v>308</v>
      </c>
    </row>
    <row r="62" spans="1:34" ht="16.5" hidden="1" thickBot="1">
      <c r="A62" s="419">
        <v>2017</v>
      </c>
      <c r="B62" s="420" t="s">
        <v>303</v>
      </c>
      <c r="C62" s="421" t="s">
        <v>311</v>
      </c>
      <c r="D62" s="421" t="s">
        <v>312</v>
      </c>
      <c r="E62" s="431" t="s">
        <v>316</v>
      </c>
      <c r="F62" s="434" t="s">
        <v>315</v>
      </c>
      <c r="G62" s="424" t="s">
        <v>214</v>
      </c>
      <c r="H62" s="449">
        <v>1997.77</v>
      </c>
      <c r="I62" s="449">
        <v>1952.53</v>
      </c>
      <c r="J62" s="449">
        <v>1901.43</v>
      </c>
      <c r="K62" s="449">
        <v>1905.87</v>
      </c>
      <c r="L62" s="449">
        <v>1862.76</v>
      </c>
      <c r="M62" s="449">
        <v>1814.06</v>
      </c>
      <c r="N62" s="449">
        <v>984.22</v>
      </c>
      <c r="O62" s="449">
        <v>2265.2600000000002</v>
      </c>
      <c r="P62" s="449">
        <v>2140.25</v>
      </c>
      <c r="Q62" s="449">
        <v>1898.45</v>
      </c>
      <c r="R62" s="449">
        <v>1370.17</v>
      </c>
      <c r="S62" s="449">
        <v>1261.73</v>
      </c>
      <c r="T62" s="450" t="s">
        <v>308</v>
      </c>
      <c r="V62" s="449">
        <f t="shared" si="13"/>
        <v>2037.7254</v>
      </c>
      <c r="W62" s="449">
        <f t="shared" si="2"/>
        <v>1991.5806</v>
      </c>
      <c r="X62" s="449">
        <f t="shared" si="3"/>
        <v>1939.4586000000002</v>
      </c>
      <c r="Y62" s="449">
        <f t="shared" si="4"/>
        <v>1943.9874</v>
      </c>
      <c r="Z62" s="449">
        <f t="shared" si="5"/>
        <v>1900.0152</v>
      </c>
      <c r="AA62" s="449">
        <f t="shared" si="6"/>
        <v>1850.3412000000001</v>
      </c>
      <c r="AB62" s="449">
        <f t="shared" si="7"/>
        <v>1003.9044</v>
      </c>
      <c r="AC62" s="449">
        <f t="shared" si="8"/>
        <v>2310.5652000000005</v>
      </c>
      <c r="AD62" s="449">
        <f t="shared" si="9"/>
        <v>2183.0549999999998</v>
      </c>
      <c r="AE62" s="449">
        <f t="shared" si="10"/>
        <v>1936.4190000000001</v>
      </c>
      <c r="AF62" s="449">
        <f t="shared" si="11"/>
        <v>1397.5734</v>
      </c>
      <c r="AG62" s="449">
        <f t="shared" si="12"/>
        <v>1286.9646</v>
      </c>
      <c r="AH62" s="450" t="s">
        <v>308</v>
      </c>
    </row>
    <row r="63" spans="1:34" ht="16.5" hidden="1" thickBot="1">
      <c r="A63" s="412">
        <v>2017</v>
      </c>
      <c r="B63" s="413" t="s">
        <v>303</v>
      </c>
      <c r="C63" s="414" t="s">
        <v>313</v>
      </c>
      <c r="D63" s="414" t="s">
        <v>314</v>
      </c>
      <c r="E63" s="430" t="s">
        <v>316</v>
      </c>
      <c r="F63" s="432" t="s">
        <v>315</v>
      </c>
      <c r="G63" s="417" t="s">
        <v>211</v>
      </c>
      <c r="H63" s="445">
        <v>755.73</v>
      </c>
      <c r="I63" s="445">
        <v>738.62</v>
      </c>
      <c r="J63" s="445">
        <v>719.29</v>
      </c>
      <c r="K63" s="445">
        <v>720.97</v>
      </c>
      <c r="L63" s="445">
        <v>704.66</v>
      </c>
      <c r="M63" s="445">
        <v>686.24</v>
      </c>
      <c r="N63" s="445">
        <v>372.32</v>
      </c>
      <c r="O63" s="445">
        <v>856.92</v>
      </c>
      <c r="P63" s="445">
        <v>809.63</v>
      </c>
      <c r="Q63" s="445">
        <v>718.16</v>
      </c>
      <c r="R63" s="445">
        <v>518.32000000000005</v>
      </c>
      <c r="S63" s="445">
        <v>477.3</v>
      </c>
      <c r="T63" s="446" t="s">
        <v>308</v>
      </c>
      <c r="V63" s="445">
        <f t="shared" si="13"/>
        <v>770.84460000000001</v>
      </c>
      <c r="W63" s="445">
        <f t="shared" si="2"/>
        <v>753.39240000000007</v>
      </c>
      <c r="X63" s="445">
        <f t="shared" si="3"/>
        <v>733.67579999999998</v>
      </c>
      <c r="Y63" s="445">
        <f t="shared" si="4"/>
        <v>735.38940000000002</v>
      </c>
      <c r="Z63" s="445">
        <f t="shared" si="5"/>
        <v>718.75319999999999</v>
      </c>
      <c r="AA63" s="445">
        <f t="shared" si="6"/>
        <v>699.96479999999997</v>
      </c>
      <c r="AB63" s="445">
        <f t="shared" si="7"/>
        <v>379.76639999999998</v>
      </c>
      <c r="AC63" s="445">
        <f t="shared" si="8"/>
        <v>874.05840000000001</v>
      </c>
      <c r="AD63" s="445">
        <f t="shared" si="9"/>
        <v>825.82259999999997</v>
      </c>
      <c r="AE63" s="445">
        <f t="shared" si="10"/>
        <v>732.52319999999997</v>
      </c>
      <c r="AF63" s="445">
        <f t="shared" si="11"/>
        <v>528.68640000000005</v>
      </c>
      <c r="AG63" s="445">
        <f t="shared" si="12"/>
        <v>486.846</v>
      </c>
      <c r="AH63" s="446" t="s">
        <v>308</v>
      </c>
    </row>
    <row r="64" spans="1:34" ht="16.5" hidden="1" thickBot="1">
      <c r="A64" s="418">
        <v>2017</v>
      </c>
      <c r="B64" s="145" t="s">
        <v>303</v>
      </c>
      <c r="C64" s="146" t="s">
        <v>313</v>
      </c>
      <c r="D64" s="146" t="s">
        <v>314</v>
      </c>
      <c r="E64" s="151" t="s">
        <v>316</v>
      </c>
      <c r="F64" s="433" t="s">
        <v>315</v>
      </c>
      <c r="G64" s="149" t="s">
        <v>212</v>
      </c>
      <c r="H64" s="447">
        <v>1655.06</v>
      </c>
      <c r="I64" s="447">
        <v>1617.58</v>
      </c>
      <c r="J64" s="447">
        <v>1575.25</v>
      </c>
      <c r="K64" s="447">
        <v>1578.93</v>
      </c>
      <c r="L64" s="447">
        <v>1543.21</v>
      </c>
      <c r="M64" s="447">
        <v>1502.87</v>
      </c>
      <c r="N64" s="447">
        <v>815.38</v>
      </c>
      <c r="O64" s="447">
        <v>1876.66</v>
      </c>
      <c r="P64" s="447">
        <v>1773.1</v>
      </c>
      <c r="Q64" s="447">
        <v>1572.77</v>
      </c>
      <c r="R64" s="447">
        <v>1135.1199999999999</v>
      </c>
      <c r="S64" s="447">
        <v>1045.28</v>
      </c>
      <c r="T64" s="448" t="s">
        <v>308</v>
      </c>
      <c r="V64" s="447">
        <f t="shared" si="13"/>
        <v>1688.1612</v>
      </c>
      <c r="W64" s="447">
        <f t="shared" si="2"/>
        <v>1649.9315999999999</v>
      </c>
      <c r="X64" s="447">
        <f t="shared" si="3"/>
        <v>1606.7550000000001</v>
      </c>
      <c r="Y64" s="447">
        <f t="shared" si="4"/>
        <v>1610.5086000000001</v>
      </c>
      <c r="Z64" s="447">
        <f t="shared" si="5"/>
        <v>1574.0742</v>
      </c>
      <c r="AA64" s="447">
        <f t="shared" si="6"/>
        <v>1532.9273999999998</v>
      </c>
      <c r="AB64" s="447">
        <f t="shared" si="7"/>
        <v>831.68759999999997</v>
      </c>
      <c r="AC64" s="447">
        <f t="shared" si="8"/>
        <v>1914.1932000000002</v>
      </c>
      <c r="AD64" s="447">
        <f t="shared" si="9"/>
        <v>1808.5619999999999</v>
      </c>
      <c r="AE64" s="447">
        <f t="shared" si="10"/>
        <v>1604.2254</v>
      </c>
      <c r="AF64" s="447">
        <f t="shared" si="11"/>
        <v>1157.8224</v>
      </c>
      <c r="AG64" s="447">
        <f t="shared" si="12"/>
        <v>1066.1856</v>
      </c>
      <c r="AH64" s="448" t="s">
        <v>308</v>
      </c>
    </row>
    <row r="65" spans="1:34" ht="16.5" hidden="1" thickBot="1">
      <c r="A65" s="418">
        <v>2017</v>
      </c>
      <c r="B65" s="145" t="s">
        <v>303</v>
      </c>
      <c r="C65" s="146" t="s">
        <v>313</v>
      </c>
      <c r="D65" s="146" t="s">
        <v>314</v>
      </c>
      <c r="E65" s="151" t="s">
        <v>316</v>
      </c>
      <c r="F65" s="433" t="s">
        <v>315</v>
      </c>
      <c r="G65" s="149" t="s">
        <v>213</v>
      </c>
      <c r="H65" s="447">
        <v>1435.89</v>
      </c>
      <c r="I65" s="447">
        <v>1403.38</v>
      </c>
      <c r="J65" s="447">
        <v>1366.65</v>
      </c>
      <c r="K65" s="447">
        <v>1369.85</v>
      </c>
      <c r="L65" s="447">
        <v>1338.86</v>
      </c>
      <c r="M65" s="447">
        <v>1303.8599999999999</v>
      </c>
      <c r="N65" s="447">
        <v>707.41</v>
      </c>
      <c r="O65" s="447">
        <v>1628.16</v>
      </c>
      <c r="P65" s="447">
        <v>1538.31</v>
      </c>
      <c r="Q65" s="447">
        <v>1364.51</v>
      </c>
      <c r="R65" s="447">
        <v>984.81</v>
      </c>
      <c r="S65" s="447">
        <v>906.86</v>
      </c>
      <c r="T65" s="448" t="s">
        <v>308</v>
      </c>
      <c r="V65" s="447">
        <f t="shared" si="13"/>
        <v>1464.6078000000002</v>
      </c>
      <c r="W65" s="447">
        <f t="shared" si="2"/>
        <v>1431.4476000000002</v>
      </c>
      <c r="X65" s="447">
        <f t="shared" si="3"/>
        <v>1393.9830000000002</v>
      </c>
      <c r="Y65" s="447">
        <f t="shared" si="4"/>
        <v>1397.2469999999998</v>
      </c>
      <c r="Z65" s="447">
        <f t="shared" si="5"/>
        <v>1365.6371999999999</v>
      </c>
      <c r="AA65" s="447">
        <f t="shared" si="6"/>
        <v>1329.9371999999998</v>
      </c>
      <c r="AB65" s="447">
        <f t="shared" si="7"/>
        <v>721.55819999999994</v>
      </c>
      <c r="AC65" s="447">
        <f t="shared" si="8"/>
        <v>1660.7232000000001</v>
      </c>
      <c r="AD65" s="447">
        <f t="shared" si="9"/>
        <v>1569.0762</v>
      </c>
      <c r="AE65" s="447">
        <f t="shared" si="10"/>
        <v>1391.8001999999999</v>
      </c>
      <c r="AF65" s="447">
        <f t="shared" si="11"/>
        <v>1004.5061999999999</v>
      </c>
      <c r="AG65" s="447">
        <f t="shared" si="12"/>
        <v>924.99720000000002</v>
      </c>
      <c r="AH65" s="448" t="s">
        <v>308</v>
      </c>
    </row>
    <row r="66" spans="1:34" ht="16.5" hidden="1" thickBot="1">
      <c r="A66" s="419">
        <v>2017</v>
      </c>
      <c r="B66" s="420" t="s">
        <v>303</v>
      </c>
      <c r="C66" s="421" t="s">
        <v>313</v>
      </c>
      <c r="D66" s="421" t="s">
        <v>314</v>
      </c>
      <c r="E66" s="431" t="s">
        <v>316</v>
      </c>
      <c r="F66" s="434" t="s">
        <v>315</v>
      </c>
      <c r="G66" s="424" t="s">
        <v>214</v>
      </c>
      <c r="H66" s="449">
        <v>2297.44</v>
      </c>
      <c r="I66" s="449">
        <v>2245.41</v>
      </c>
      <c r="J66" s="449">
        <v>2186.64</v>
      </c>
      <c r="K66" s="449">
        <v>2191.75</v>
      </c>
      <c r="L66" s="449">
        <v>2142.17</v>
      </c>
      <c r="M66" s="449">
        <v>2086.17</v>
      </c>
      <c r="N66" s="449">
        <v>1131.8499999999999</v>
      </c>
      <c r="O66" s="449">
        <v>2605.0500000000002</v>
      </c>
      <c r="P66" s="449">
        <v>2461.29</v>
      </c>
      <c r="Q66" s="449">
        <v>2183.2199999999998</v>
      </c>
      <c r="R66" s="449">
        <v>1575.7</v>
      </c>
      <c r="S66" s="449">
        <v>1450.98</v>
      </c>
      <c r="T66" s="450" t="s">
        <v>308</v>
      </c>
      <c r="V66" s="449">
        <f t="shared" si="13"/>
        <v>2343.3888000000002</v>
      </c>
      <c r="W66" s="449">
        <f t="shared" si="2"/>
        <v>2290.3181999999997</v>
      </c>
      <c r="X66" s="449">
        <f t="shared" si="3"/>
        <v>2230.3728000000001</v>
      </c>
      <c r="Y66" s="449">
        <f t="shared" si="4"/>
        <v>2235.585</v>
      </c>
      <c r="Z66" s="449">
        <f t="shared" si="5"/>
        <v>2185.0134000000003</v>
      </c>
      <c r="AA66" s="449">
        <f t="shared" si="6"/>
        <v>2127.8933999999999</v>
      </c>
      <c r="AB66" s="449">
        <f t="shared" si="7"/>
        <v>1154.4869999999999</v>
      </c>
      <c r="AC66" s="449">
        <f t="shared" si="8"/>
        <v>2657.1510000000003</v>
      </c>
      <c r="AD66" s="449">
        <f t="shared" si="9"/>
        <v>2510.5158000000001</v>
      </c>
      <c r="AE66" s="449">
        <f t="shared" si="10"/>
        <v>2226.8843999999999</v>
      </c>
      <c r="AF66" s="449">
        <f t="shared" si="11"/>
        <v>1607.2140000000002</v>
      </c>
      <c r="AG66" s="449">
        <f t="shared" si="12"/>
        <v>1479.9996000000001</v>
      </c>
      <c r="AH66" s="450" t="s">
        <v>308</v>
      </c>
    </row>
    <row r="67" spans="1:34" ht="16.5" hidden="1" thickBot="1">
      <c r="A67" s="412">
        <v>2017</v>
      </c>
      <c r="B67" s="425" t="s">
        <v>317</v>
      </c>
      <c r="C67" s="414" t="s">
        <v>304</v>
      </c>
      <c r="D67" s="414" t="s">
        <v>305</v>
      </c>
      <c r="E67" s="415" t="s">
        <v>306</v>
      </c>
      <c r="F67" s="416" t="s">
        <v>307</v>
      </c>
      <c r="G67" s="417" t="s">
        <v>211</v>
      </c>
      <c r="H67" s="445">
        <v>473.69</v>
      </c>
      <c r="I67" s="445">
        <v>463.1</v>
      </c>
      <c r="J67" s="445">
        <v>451.16</v>
      </c>
      <c r="K67" s="445">
        <v>447.62</v>
      </c>
      <c r="L67" s="445">
        <v>437.64</v>
      </c>
      <c r="M67" s="445">
        <v>426.34</v>
      </c>
      <c r="N67" s="445">
        <v>251.46</v>
      </c>
      <c r="O67" s="445">
        <v>574.83000000000004</v>
      </c>
      <c r="P67" s="445">
        <v>543.12</v>
      </c>
      <c r="Q67" s="445">
        <v>481.77</v>
      </c>
      <c r="R67" s="445">
        <v>341.15</v>
      </c>
      <c r="S67" s="445">
        <v>314.16000000000003</v>
      </c>
      <c r="T67" s="446" t="s">
        <v>308</v>
      </c>
      <c r="V67" s="445">
        <f t="shared" si="13"/>
        <v>483.16379999999998</v>
      </c>
      <c r="W67" s="445">
        <f t="shared" si="2"/>
        <v>472.36200000000002</v>
      </c>
      <c r="X67" s="445">
        <f t="shared" si="3"/>
        <v>460.18320000000006</v>
      </c>
      <c r="Y67" s="445">
        <f t="shared" si="4"/>
        <v>456.57240000000002</v>
      </c>
      <c r="Z67" s="445">
        <f t="shared" si="5"/>
        <v>446.39279999999997</v>
      </c>
      <c r="AA67" s="445">
        <f t="shared" si="6"/>
        <v>434.86679999999996</v>
      </c>
      <c r="AB67" s="445">
        <f t="shared" si="7"/>
        <v>256.48920000000004</v>
      </c>
      <c r="AC67" s="445">
        <f t="shared" si="8"/>
        <v>586.3266000000001</v>
      </c>
      <c r="AD67" s="445">
        <f t="shared" si="9"/>
        <v>553.98239999999998</v>
      </c>
      <c r="AE67" s="445">
        <f t="shared" si="10"/>
        <v>491.40539999999999</v>
      </c>
      <c r="AF67" s="445">
        <f t="shared" si="11"/>
        <v>347.97299999999996</v>
      </c>
      <c r="AG67" s="445">
        <f t="shared" si="12"/>
        <v>320.44320000000005</v>
      </c>
      <c r="AH67" s="446" t="s">
        <v>308</v>
      </c>
    </row>
    <row r="68" spans="1:34" ht="16.5" hidden="1" thickBot="1">
      <c r="A68" s="418">
        <v>2017</v>
      </c>
      <c r="B68" s="152" t="s">
        <v>317</v>
      </c>
      <c r="C68" s="146" t="s">
        <v>304</v>
      </c>
      <c r="D68" s="146" t="s">
        <v>305</v>
      </c>
      <c r="E68" s="147" t="s">
        <v>306</v>
      </c>
      <c r="F68" s="148" t="s">
        <v>307</v>
      </c>
      <c r="G68" s="149" t="s">
        <v>212</v>
      </c>
      <c r="H68" s="447">
        <v>1037.3900000000001</v>
      </c>
      <c r="I68" s="447">
        <v>1014.2</v>
      </c>
      <c r="J68" s="447">
        <v>988.04</v>
      </c>
      <c r="K68" s="447">
        <v>980.29</v>
      </c>
      <c r="L68" s="447">
        <v>958.42</v>
      </c>
      <c r="M68" s="447">
        <v>933.68</v>
      </c>
      <c r="N68" s="447">
        <v>550.70000000000005</v>
      </c>
      <c r="O68" s="447">
        <v>1258.8800000000001</v>
      </c>
      <c r="P68" s="447">
        <v>1189.44</v>
      </c>
      <c r="Q68" s="447">
        <v>1055.07</v>
      </c>
      <c r="R68" s="447">
        <v>747.12</v>
      </c>
      <c r="S68" s="447">
        <v>688.02</v>
      </c>
      <c r="T68" s="448" t="s">
        <v>308</v>
      </c>
      <c r="V68" s="447">
        <f t="shared" si="13"/>
        <v>1058.1378000000002</v>
      </c>
      <c r="W68" s="447">
        <f t="shared" si="2"/>
        <v>1034.4840000000002</v>
      </c>
      <c r="X68" s="447">
        <f t="shared" si="3"/>
        <v>1007.8008</v>
      </c>
      <c r="Y68" s="447">
        <f t="shared" si="4"/>
        <v>999.89580000000001</v>
      </c>
      <c r="Z68" s="447">
        <f t="shared" si="5"/>
        <v>977.58839999999998</v>
      </c>
      <c r="AA68" s="447">
        <f t="shared" si="6"/>
        <v>952.35359999999991</v>
      </c>
      <c r="AB68" s="447">
        <f t="shared" si="7"/>
        <v>561.71400000000006</v>
      </c>
      <c r="AC68" s="447">
        <f t="shared" si="8"/>
        <v>1284.0576000000001</v>
      </c>
      <c r="AD68" s="447">
        <f t="shared" si="9"/>
        <v>1213.2288000000001</v>
      </c>
      <c r="AE68" s="447">
        <f t="shared" si="10"/>
        <v>1076.1713999999999</v>
      </c>
      <c r="AF68" s="447">
        <f t="shared" si="11"/>
        <v>762.06240000000003</v>
      </c>
      <c r="AG68" s="447">
        <f t="shared" si="12"/>
        <v>701.78039999999999</v>
      </c>
      <c r="AH68" s="448" t="s">
        <v>308</v>
      </c>
    </row>
    <row r="69" spans="1:34" ht="16.5" hidden="1" thickBot="1">
      <c r="A69" s="418">
        <v>2017</v>
      </c>
      <c r="B69" s="152" t="s">
        <v>317</v>
      </c>
      <c r="C69" s="146" t="s">
        <v>304</v>
      </c>
      <c r="D69" s="146" t="s">
        <v>305</v>
      </c>
      <c r="E69" s="147" t="s">
        <v>306</v>
      </c>
      <c r="F69" s="148" t="s">
        <v>307</v>
      </c>
      <c r="G69" s="149" t="s">
        <v>213</v>
      </c>
      <c r="H69" s="447">
        <v>900.02</v>
      </c>
      <c r="I69" s="447">
        <v>879.9</v>
      </c>
      <c r="J69" s="447">
        <v>857.19</v>
      </c>
      <c r="K69" s="447">
        <v>850.48</v>
      </c>
      <c r="L69" s="447">
        <v>831.51</v>
      </c>
      <c r="M69" s="447">
        <v>810.04</v>
      </c>
      <c r="N69" s="447">
        <v>477.77</v>
      </c>
      <c r="O69" s="447">
        <v>1092.18</v>
      </c>
      <c r="P69" s="447">
        <v>1031.94</v>
      </c>
      <c r="Q69" s="447">
        <v>915.36</v>
      </c>
      <c r="R69" s="447">
        <v>648.17999999999995</v>
      </c>
      <c r="S69" s="447">
        <v>596.91</v>
      </c>
      <c r="T69" s="448" t="s">
        <v>308</v>
      </c>
      <c r="V69" s="447">
        <f t="shared" si="13"/>
        <v>918.0204</v>
      </c>
      <c r="W69" s="447">
        <f t="shared" si="2"/>
        <v>897.49800000000005</v>
      </c>
      <c r="X69" s="447">
        <f t="shared" si="3"/>
        <v>874.33380000000011</v>
      </c>
      <c r="Y69" s="447">
        <f t="shared" si="4"/>
        <v>867.4896</v>
      </c>
      <c r="Z69" s="447">
        <f t="shared" si="5"/>
        <v>848.14020000000005</v>
      </c>
      <c r="AA69" s="447">
        <f t="shared" si="6"/>
        <v>826.24079999999992</v>
      </c>
      <c r="AB69" s="447">
        <f t="shared" si="7"/>
        <v>487.3254</v>
      </c>
      <c r="AC69" s="447">
        <f t="shared" si="8"/>
        <v>1114.0236</v>
      </c>
      <c r="AD69" s="447">
        <f t="shared" si="9"/>
        <v>1052.5788</v>
      </c>
      <c r="AE69" s="447">
        <f t="shared" si="10"/>
        <v>933.66719999999998</v>
      </c>
      <c r="AF69" s="447">
        <f t="shared" si="11"/>
        <v>661.14359999999999</v>
      </c>
      <c r="AG69" s="447">
        <f t="shared" si="12"/>
        <v>608.84820000000002</v>
      </c>
      <c r="AH69" s="448" t="s">
        <v>308</v>
      </c>
    </row>
    <row r="70" spans="1:34" ht="16.5" hidden="1" thickBot="1">
      <c r="A70" s="419">
        <v>2017</v>
      </c>
      <c r="B70" s="426" t="s">
        <v>317</v>
      </c>
      <c r="C70" s="421" t="s">
        <v>304</v>
      </c>
      <c r="D70" s="421" t="s">
        <v>305</v>
      </c>
      <c r="E70" s="422" t="s">
        <v>306</v>
      </c>
      <c r="F70" s="423" t="s">
        <v>307</v>
      </c>
      <c r="G70" s="424" t="s">
        <v>214</v>
      </c>
      <c r="H70" s="449">
        <v>1440.03</v>
      </c>
      <c r="I70" s="449">
        <v>1407.84</v>
      </c>
      <c r="J70" s="449">
        <v>1371.51</v>
      </c>
      <c r="K70" s="449">
        <v>1360.77</v>
      </c>
      <c r="L70" s="449">
        <v>1330.41</v>
      </c>
      <c r="M70" s="449">
        <v>1296.07</v>
      </c>
      <c r="N70" s="449">
        <v>764.44</v>
      </c>
      <c r="O70" s="449">
        <v>1747.49</v>
      </c>
      <c r="P70" s="449">
        <v>1651.09</v>
      </c>
      <c r="Q70" s="449">
        <v>1464.58</v>
      </c>
      <c r="R70" s="449">
        <v>1037.0899999999999</v>
      </c>
      <c r="S70" s="449">
        <v>955.05</v>
      </c>
      <c r="T70" s="450" t="s">
        <v>308</v>
      </c>
      <c r="V70" s="449">
        <f t="shared" si="13"/>
        <v>1468.8306</v>
      </c>
      <c r="W70" s="449">
        <f t="shared" si="2"/>
        <v>1435.9967999999999</v>
      </c>
      <c r="X70" s="449">
        <f t="shared" si="3"/>
        <v>1398.9402</v>
      </c>
      <c r="Y70" s="449">
        <f t="shared" si="4"/>
        <v>1387.9854</v>
      </c>
      <c r="Z70" s="449">
        <f t="shared" si="5"/>
        <v>1357.0182000000002</v>
      </c>
      <c r="AA70" s="449">
        <f t="shared" si="6"/>
        <v>1321.9913999999999</v>
      </c>
      <c r="AB70" s="449">
        <f t="shared" si="7"/>
        <v>779.72880000000009</v>
      </c>
      <c r="AC70" s="449">
        <f t="shared" si="8"/>
        <v>1782.4398000000001</v>
      </c>
      <c r="AD70" s="449">
        <f t="shared" si="9"/>
        <v>1684.1117999999999</v>
      </c>
      <c r="AE70" s="449">
        <f t="shared" si="10"/>
        <v>1493.8715999999999</v>
      </c>
      <c r="AF70" s="449">
        <f t="shared" si="11"/>
        <v>1057.8317999999999</v>
      </c>
      <c r="AG70" s="449">
        <f t="shared" si="12"/>
        <v>974.15099999999995</v>
      </c>
      <c r="AH70" s="450" t="s">
        <v>308</v>
      </c>
    </row>
    <row r="71" spans="1:34" ht="16.5" hidden="1" thickBot="1">
      <c r="A71" s="412">
        <v>2017</v>
      </c>
      <c r="B71" s="425" t="s">
        <v>317</v>
      </c>
      <c r="C71" s="414" t="s">
        <v>309</v>
      </c>
      <c r="D71" s="414" t="s">
        <v>310</v>
      </c>
      <c r="E71" s="415" t="s">
        <v>306</v>
      </c>
      <c r="F71" s="416" t="s">
        <v>307</v>
      </c>
      <c r="G71" s="417" t="s">
        <v>211</v>
      </c>
      <c r="H71" s="445">
        <v>520.54</v>
      </c>
      <c r="I71" s="445">
        <v>508.91</v>
      </c>
      <c r="J71" s="445">
        <v>495.78</v>
      </c>
      <c r="K71" s="445">
        <v>491.89</v>
      </c>
      <c r="L71" s="445">
        <v>480.92</v>
      </c>
      <c r="M71" s="445">
        <v>468.5</v>
      </c>
      <c r="N71" s="445">
        <v>276.33</v>
      </c>
      <c r="O71" s="445">
        <v>631.67999999999995</v>
      </c>
      <c r="P71" s="445">
        <v>596.84</v>
      </c>
      <c r="Q71" s="445">
        <v>529.41999999999996</v>
      </c>
      <c r="R71" s="445">
        <v>374.89</v>
      </c>
      <c r="S71" s="445">
        <v>345.23</v>
      </c>
      <c r="T71" s="446" t="s">
        <v>308</v>
      </c>
      <c r="V71" s="445">
        <f t="shared" si="13"/>
        <v>530.95079999999996</v>
      </c>
      <c r="W71" s="445">
        <f t="shared" ref="W71:W134" si="14">I71*1.02</f>
        <v>519.08820000000003</v>
      </c>
      <c r="X71" s="445">
        <f t="shared" ref="X71:X134" si="15">J71*1.02</f>
        <v>505.69559999999996</v>
      </c>
      <c r="Y71" s="445">
        <f t="shared" ref="Y71:Y134" si="16">K71*1.02</f>
        <v>501.7278</v>
      </c>
      <c r="Z71" s="445">
        <f t="shared" ref="Z71:Z134" si="17">L71*1.02</f>
        <v>490.53840000000002</v>
      </c>
      <c r="AA71" s="445">
        <f t="shared" ref="AA71:AA134" si="18">M71*1.02</f>
        <v>477.87</v>
      </c>
      <c r="AB71" s="445">
        <f t="shared" ref="AB71:AB134" si="19">N71*1.02</f>
        <v>281.85660000000001</v>
      </c>
      <c r="AC71" s="445">
        <f t="shared" ref="AC71:AC134" si="20">O71*1.02</f>
        <v>644.31359999999995</v>
      </c>
      <c r="AD71" s="445">
        <f t="shared" ref="AD71:AD134" si="21">P71*1.02</f>
        <v>608.77680000000009</v>
      </c>
      <c r="AE71" s="445">
        <f t="shared" ref="AE71:AE134" si="22">Q71*1.02</f>
        <v>540.00839999999994</v>
      </c>
      <c r="AF71" s="445">
        <f t="shared" ref="AF71:AF134" si="23">R71*1.02</f>
        <v>382.38779999999997</v>
      </c>
      <c r="AG71" s="445">
        <f t="shared" ref="AG71:AH134" si="24">S71*1.02</f>
        <v>352.13460000000003</v>
      </c>
      <c r="AH71" s="446" t="s">
        <v>308</v>
      </c>
    </row>
    <row r="72" spans="1:34" ht="16.5" hidden="1" thickBot="1">
      <c r="A72" s="418">
        <v>2017</v>
      </c>
      <c r="B72" s="152" t="s">
        <v>317</v>
      </c>
      <c r="C72" s="146" t="s">
        <v>309</v>
      </c>
      <c r="D72" s="146" t="s">
        <v>310</v>
      </c>
      <c r="E72" s="147" t="s">
        <v>306</v>
      </c>
      <c r="F72" s="148" t="s">
        <v>307</v>
      </c>
      <c r="G72" s="149" t="s">
        <v>212</v>
      </c>
      <c r="H72" s="447">
        <v>1139.99</v>
      </c>
      <c r="I72" s="447">
        <v>1114.5</v>
      </c>
      <c r="J72" s="447">
        <v>1085.76</v>
      </c>
      <c r="K72" s="447">
        <v>1077.24</v>
      </c>
      <c r="L72" s="447">
        <v>1053.21</v>
      </c>
      <c r="M72" s="447">
        <v>1026.02</v>
      </c>
      <c r="N72" s="447">
        <v>605.16999999999996</v>
      </c>
      <c r="O72" s="447">
        <v>1383.39</v>
      </c>
      <c r="P72" s="447">
        <v>1307.08</v>
      </c>
      <c r="Q72" s="447">
        <v>1159.42</v>
      </c>
      <c r="R72" s="447">
        <v>821.01</v>
      </c>
      <c r="S72" s="447">
        <v>756.06</v>
      </c>
      <c r="T72" s="448" t="s">
        <v>308</v>
      </c>
      <c r="V72" s="447">
        <f t="shared" ref="V72:V130" si="25">H72*1.02</f>
        <v>1162.7898</v>
      </c>
      <c r="W72" s="447">
        <f t="shared" si="14"/>
        <v>1136.79</v>
      </c>
      <c r="X72" s="447">
        <f t="shared" si="15"/>
        <v>1107.4752000000001</v>
      </c>
      <c r="Y72" s="447">
        <f t="shared" si="16"/>
        <v>1098.7848000000001</v>
      </c>
      <c r="Z72" s="447">
        <f t="shared" si="17"/>
        <v>1074.2742000000001</v>
      </c>
      <c r="AA72" s="447">
        <f t="shared" si="18"/>
        <v>1046.5404000000001</v>
      </c>
      <c r="AB72" s="447">
        <f t="shared" si="19"/>
        <v>617.27339999999992</v>
      </c>
      <c r="AC72" s="447">
        <f t="shared" si="20"/>
        <v>1411.0578</v>
      </c>
      <c r="AD72" s="447">
        <f t="shared" si="21"/>
        <v>1333.2215999999999</v>
      </c>
      <c r="AE72" s="447">
        <f t="shared" si="22"/>
        <v>1182.6084000000001</v>
      </c>
      <c r="AF72" s="447">
        <f t="shared" si="23"/>
        <v>837.43020000000001</v>
      </c>
      <c r="AG72" s="447">
        <f t="shared" si="24"/>
        <v>771.18119999999999</v>
      </c>
      <c r="AH72" s="448" t="s">
        <v>308</v>
      </c>
    </row>
    <row r="73" spans="1:34" ht="16.5" hidden="1" thickBot="1">
      <c r="A73" s="418">
        <v>2017</v>
      </c>
      <c r="B73" s="152" t="s">
        <v>317</v>
      </c>
      <c r="C73" s="146" t="s">
        <v>309</v>
      </c>
      <c r="D73" s="146" t="s">
        <v>310</v>
      </c>
      <c r="E73" s="147" t="s">
        <v>306</v>
      </c>
      <c r="F73" s="148" t="s">
        <v>307</v>
      </c>
      <c r="G73" s="149" t="s">
        <v>213</v>
      </c>
      <c r="H73" s="447">
        <v>989.04</v>
      </c>
      <c r="I73" s="447">
        <v>966.92</v>
      </c>
      <c r="J73" s="447">
        <v>941.97</v>
      </c>
      <c r="K73" s="447">
        <v>934.59</v>
      </c>
      <c r="L73" s="447">
        <v>913.75</v>
      </c>
      <c r="M73" s="447">
        <v>890.15</v>
      </c>
      <c r="N73" s="447">
        <v>525.03</v>
      </c>
      <c r="O73" s="447">
        <v>1200.2</v>
      </c>
      <c r="P73" s="447">
        <v>1134</v>
      </c>
      <c r="Q73" s="447">
        <v>1005.89</v>
      </c>
      <c r="R73" s="447">
        <v>712.29</v>
      </c>
      <c r="S73" s="447">
        <v>655.95</v>
      </c>
      <c r="T73" s="448" t="s">
        <v>308</v>
      </c>
      <c r="V73" s="447">
        <f t="shared" si="25"/>
        <v>1008.8208</v>
      </c>
      <c r="W73" s="447">
        <f t="shared" si="14"/>
        <v>986.25839999999994</v>
      </c>
      <c r="X73" s="447">
        <f t="shared" si="15"/>
        <v>960.8094000000001</v>
      </c>
      <c r="Y73" s="447">
        <f t="shared" si="16"/>
        <v>953.28180000000009</v>
      </c>
      <c r="Z73" s="447">
        <f t="shared" si="17"/>
        <v>932.02499999999998</v>
      </c>
      <c r="AA73" s="447">
        <f t="shared" si="18"/>
        <v>907.95299999999997</v>
      </c>
      <c r="AB73" s="447">
        <f t="shared" si="19"/>
        <v>535.53059999999994</v>
      </c>
      <c r="AC73" s="447">
        <f t="shared" si="20"/>
        <v>1224.2040000000002</v>
      </c>
      <c r="AD73" s="447">
        <f t="shared" si="21"/>
        <v>1156.68</v>
      </c>
      <c r="AE73" s="447">
        <f t="shared" si="22"/>
        <v>1026.0078000000001</v>
      </c>
      <c r="AF73" s="447">
        <f t="shared" si="23"/>
        <v>726.53579999999999</v>
      </c>
      <c r="AG73" s="447">
        <f t="shared" si="24"/>
        <v>669.06900000000007</v>
      </c>
      <c r="AH73" s="448" t="s">
        <v>308</v>
      </c>
    </row>
    <row r="74" spans="1:34" ht="16.5" hidden="1" thickBot="1">
      <c r="A74" s="419">
        <v>2017</v>
      </c>
      <c r="B74" s="426" t="s">
        <v>317</v>
      </c>
      <c r="C74" s="421" t="s">
        <v>309</v>
      </c>
      <c r="D74" s="421" t="s">
        <v>310</v>
      </c>
      <c r="E74" s="422" t="s">
        <v>306</v>
      </c>
      <c r="F74" s="423" t="s">
        <v>307</v>
      </c>
      <c r="G74" s="424" t="s">
        <v>214</v>
      </c>
      <c r="H74" s="449">
        <v>1582.45</v>
      </c>
      <c r="I74" s="449">
        <v>1547.08</v>
      </c>
      <c r="J74" s="449">
        <v>1507.16</v>
      </c>
      <c r="K74" s="449">
        <v>1495.35</v>
      </c>
      <c r="L74" s="449">
        <v>1461.99</v>
      </c>
      <c r="M74" s="449">
        <v>1424.25</v>
      </c>
      <c r="N74" s="449">
        <v>840.04</v>
      </c>
      <c r="O74" s="449">
        <v>1920.32</v>
      </c>
      <c r="P74" s="449">
        <v>1814.39</v>
      </c>
      <c r="Q74" s="449">
        <v>1609.42</v>
      </c>
      <c r="R74" s="449">
        <v>1139.6600000000001</v>
      </c>
      <c r="S74" s="449">
        <v>1049.51</v>
      </c>
      <c r="T74" s="450" t="s">
        <v>308</v>
      </c>
      <c r="V74" s="449">
        <f t="shared" si="25"/>
        <v>1614.0990000000002</v>
      </c>
      <c r="W74" s="449">
        <f t="shared" si="14"/>
        <v>1578.0216</v>
      </c>
      <c r="X74" s="449">
        <f t="shared" si="15"/>
        <v>1537.3032000000001</v>
      </c>
      <c r="Y74" s="449">
        <f t="shared" si="16"/>
        <v>1525.2569999999998</v>
      </c>
      <c r="Z74" s="449">
        <f t="shared" si="17"/>
        <v>1491.2298000000001</v>
      </c>
      <c r="AA74" s="449">
        <f t="shared" si="18"/>
        <v>1452.7350000000001</v>
      </c>
      <c r="AB74" s="449">
        <f t="shared" si="19"/>
        <v>856.84079999999994</v>
      </c>
      <c r="AC74" s="449">
        <f t="shared" si="20"/>
        <v>1958.7264</v>
      </c>
      <c r="AD74" s="449">
        <f t="shared" si="21"/>
        <v>1850.6778000000002</v>
      </c>
      <c r="AE74" s="449">
        <f t="shared" si="22"/>
        <v>1641.6084000000001</v>
      </c>
      <c r="AF74" s="449">
        <f t="shared" si="23"/>
        <v>1162.4532000000002</v>
      </c>
      <c r="AG74" s="449">
        <f t="shared" si="24"/>
        <v>1070.5001999999999</v>
      </c>
      <c r="AH74" s="450" t="s">
        <v>308</v>
      </c>
    </row>
    <row r="75" spans="1:34" ht="16.5" hidden="1" thickBot="1">
      <c r="A75" s="412">
        <v>2017</v>
      </c>
      <c r="B75" s="425" t="s">
        <v>317</v>
      </c>
      <c r="C75" s="414" t="s">
        <v>311</v>
      </c>
      <c r="D75" s="414" t="s">
        <v>312</v>
      </c>
      <c r="E75" s="415" t="s">
        <v>306</v>
      </c>
      <c r="F75" s="416" t="s">
        <v>307</v>
      </c>
      <c r="G75" s="417" t="s">
        <v>211</v>
      </c>
      <c r="H75" s="445">
        <v>547.94000000000005</v>
      </c>
      <c r="I75" s="445">
        <v>535.69000000000005</v>
      </c>
      <c r="J75" s="445">
        <v>521.87</v>
      </c>
      <c r="K75" s="445">
        <v>517.78</v>
      </c>
      <c r="L75" s="445">
        <v>506.23</v>
      </c>
      <c r="M75" s="445">
        <v>493.16</v>
      </c>
      <c r="N75" s="445">
        <v>290.87</v>
      </c>
      <c r="O75" s="445">
        <v>664.93</v>
      </c>
      <c r="P75" s="445">
        <v>628.25</v>
      </c>
      <c r="Q75" s="445">
        <v>557.28</v>
      </c>
      <c r="R75" s="445">
        <v>394.62</v>
      </c>
      <c r="S75" s="445">
        <v>363.4</v>
      </c>
      <c r="T75" s="446" t="s">
        <v>308</v>
      </c>
      <c r="V75" s="445">
        <f t="shared" si="25"/>
        <v>558.89880000000005</v>
      </c>
      <c r="W75" s="445">
        <f t="shared" si="14"/>
        <v>546.40380000000005</v>
      </c>
      <c r="X75" s="445">
        <f t="shared" si="15"/>
        <v>532.30740000000003</v>
      </c>
      <c r="Y75" s="445">
        <f t="shared" si="16"/>
        <v>528.13559999999995</v>
      </c>
      <c r="Z75" s="445">
        <f t="shared" si="17"/>
        <v>516.3546</v>
      </c>
      <c r="AA75" s="445">
        <f t="shared" si="18"/>
        <v>503.02320000000003</v>
      </c>
      <c r="AB75" s="445">
        <f t="shared" si="19"/>
        <v>296.68740000000003</v>
      </c>
      <c r="AC75" s="445">
        <f t="shared" si="20"/>
        <v>678.22859999999991</v>
      </c>
      <c r="AD75" s="445">
        <f t="shared" si="21"/>
        <v>640.81500000000005</v>
      </c>
      <c r="AE75" s="445">
        <f t="shared" si="22"/>
        <v>568.42560000000003</v>
      </c>
      <c r="AF75" s="445">
        <f t="shared" si="23"/>
        <v>402.51240000000001</v>
      </c>
      <c r="AG75" s="445">
        <f t="shared" si="24"/>
        <v>370.66800000000001</v>
      </c>
      <c r="AH75" s="446" t="s">
        <v>308</v>
      </c>
    </row>
    <row r="76" spans="1:34" ht="16.5" hidden="1" thickBot="1">
      <c r="A76" s="418">
        <v>2017</v>
      </c>
      <c r="B76" s="152" t="s">
        <v>317</v>
      </c>
      <c r="C76" s="146" t="s">
        <v>311</v>
      </c>
      <c r="D76" s="146" t="s">
        <v>312</v>
      </c>
      <c r="E76" s="147" t="s">
        <v>306</v>
      </c>
      <c r="F76" s="148" t="s">
        <v>307</v>
      </c>
      <c r="G76" s="149" t="s">
        <v>212</v>
      </c>
      <c r="H76" s="447">
        <v>1199.99</v>
      </c>
      <c r="I76" s="447">
        <v>1173.1600000000001</v>
      </c>
      <c r="J76" s="447">
        <v>1142.9000000000001</v>
      </c>
      <c r="K76" s="447">
        <v>1133.94</v>
      </c>
      <c r="L76" s="447">
        <v>1108.6400000000001</v>
      </c>
      <c r="M76" s="447">
        <v>1080.02</v>
      </c>
      <c r="N76" s="447">
        <v>637.02</v>
      </c>
      <c r="O76" s="447">
        <v>1456.2</v>
      </c>
      <c r="P76" s="447">
        <v>1375.87</v>
      </c>
      <c r="Q76" s="447">
        <v>1220.44</v>
      </c>
      <c r="R76" s="447">
        <v>864.22</v>
      </c>
      <c r="S76" s="447">
        <v>795.85</v>
      </c>
      <c r="T76" s="448" t="s">
        <v>308</v>
      </c>
      <c r="V76" s="447">
        <f t="shared" si="25"/>
        <v>1223.9898000000001</v>
      </c>
      <c r="W76" s="447">
        <f t="shared" si="14"/>
        <v>1196.6232</v>
      </c>
      <c r="X76" s="447">
        <f t="shared" si="15"/>
        <v>1165.758</v>
      </c>
      <c r="Y76" s="447">
        <f t="shared" si="16"/>
        <v>1156.6188</v>
      </c>
      <c r="Z76" s="447">
        <f t="shared" si="17"/>
        <v>1130.8128000000002</v>
      </c>
      <c r="AA76" s="447">
        <f t="shared" si="18"/>
        <v>1101.6204</v>
      </c>
      <c r="AB76" s="447">
        <f t="shared" si="19"/>
        <v>649.7604</v>
      </c>
      <c r="AC76" s="447">
        <f t="shared" si="20"/>
        <v>1485.3240000000001</v>
      </c>
      <c r="AD76" s="447">
        <f t="shared" si="21"/>
        <v>1403.3873999999998</v>
      </c>
      <c r="AE76" s="447">
        <f t="shared" si="22"/>
        <v>1244.8488</v>
      </c>
      <c r="AF76" s="447">
        <f t="shared" si="23"/>
        <v>881.50440000000003</v>
      </c>
      <c r="AG76" s="447">
        <f t="shared" si="24"/>
        <v>811.76700000000005</v>
      </c>
      <c r="AH76" s="448" t="s">
        <v>308</v>
      </c>
    </row>
    <row r="77" spans="1:34" ht="16.5" hidden="1" thickBot="1">
      <c r="A77" s="418">
        <v>2017</v>
      </c>
      <c r="B77" s="152" t="s">
        <v>317</v>
      </c>
      <c r="C77" s="146" t="s">
        <v>311</v>
      </c>
      <c r="D77" s="146" t="s">
        <v>312</v>
      </c>
      <c r="E77" s="147" t="s">
        <v>306</v>
      </c>
      <c r="F77" s="148" t="s">
        <v>307</v>
      </c>
      <c r="G77" s="149" t="s">
        <v>213</v>
      </c>
      <c r="H77" s="447">
        <v>1041.0899999999999</v>
      </c>
      <c r="I77" s="447">
        <v>1017.81</v>
      </c>
      <c r="J77" s="447">
        <v>991.55</v>
      </c>
      <c r="K77" s="447">
        <v>983.78</v>
      </c>
      <c r="L77" s="447">
        <v>961.84</v>
      </c>
      <c r="M77" s="447">
        <v>937</v>
      </c>
      <c r="N77" s="447">
        <v>552.66</v>
      </c>
      <c r="O77" s="447">
        <v>1263.3699999999999</v>
      </c>
      <c r="P77" s="447">
        <v>1193.68</v>
      </c>
      <c r="Q77" s="447">
        <v>1058.83</v>
      </c>
      <c r="R77" s="447">
        <v>749.78</v>
      </c>
      <c r="S77" s="447">
        <v>690.47</v>
      </c>
      <c r="T77" s="448" t="s">
        <v>308</v>
      </c>
      <c r="V77" s="447">
        <f t="shared" si="25"/>
        <v>1061.9117999999999</v>
      </c>
      <c r="W77" s="447">
        <f t="shared" si="14"/>
        <v>1038.1661999999999</v>
      </c>
      <c r="X77" s="447">
        <f t="shared" si="15"/>
        <v>1011.381</v>
      </c>
      <c r="Y77" s="447">
        <f t="shared" si="16"/>
        <v>1003.4556</v>
      </c>
      <c r="Z77" s="447">
        <f t="shared" si="17"/>
        <v>981.07680000000005</v>
      </c>
      <c r="AA77" s="447">
        <f t="shared" si="18"/>
        <v>955.74</v>
      </c>
      <c r="AB77" s="447">
        <f t="shared" si="19"/>
        <v>563.71320000000003</v>
      </c>
      <c r="AC77" s="447">
        <f t="shared" si="20"/>
        <v>1288.6373999999998</v>
      </c>
      <c r="AD77" s="447">
        <f t="shared" si="21"/>
        <v>1217.5536000000002</v>
      </c>
      <c r="AE77" s="447">
        <f t="shared" si="22"/>
        <v>1080.0065999999999</v>
      </c>
      <c r="AF77" s="447">
        <f t="shared" si="23"/>
        <v>764.77559999999994</v>
      </c>
      <c r="AG77" s="447">
        <f t="shared" si="24"/>
        <v>704.27940000000001</v>
      </c>
      <c r="AH77" s="448" t="s">
        <v>308</v>
      </c>
    </row>
    <row r="78" spans="1:34" ht="16.5" hidden="1" thickBot="1">
      <c r="A78" s="419">
        <v>2017</v>
      </c>
      <c r="B78" s="426" t="s">
        <v>317</v>
      </c>
      <c r="C78" s="421" t="s">
        <v>311</v>
      </c>
      <c r="D78" s="421" t="s">
        <v>312</v>
      </c>
      <c r="E78" s="422" t="s">
        <v>306</v>
      </c>
      <c r="F78" s="423" t="s">
        <v>307</v>
      </c>
      <c r="G78" s="424" t="s">
        <v>214</v>
      </c>
      <c r="H78" s="449">
        <v>1665.74</v>
      </c>
      <c r="I78" s="449">
        <v>1628.5</v>
      </c>
      <c r="J78" s="449">
        <v>1586.48</v>
      </c>
      <c r="K78" s="449">
        <v>1574.05</v>
      </c>
      <c r="L78" s="449">
        <v>1538.94</v>
      </c>
      <c r="M78" s="449">
        <v>1499.21</v>
      </c>
      <c r="N78" s="449">
        <v>884.26</v>
      </c>
      <c r="O78" s="449">
        <v>2021.39</v>
      </c>
      <c r="P78" s="449">
        <v>1909.88</v>
      </c>
      <c r="Q78" s="449">
        <v>1694.13</v>
      </c>
      <c r="R78" s="449">
        <v>1199.6400000000001</v>
      </c>
      <c r="S78" s="449">
        <v>1104.75</v>
      </c>
      <c r="T78" s="450" t="s">
        <v>308</v>
      </c>
      <c r="V78" s="449">
        <f t="shared" si="25"/>
        <v>1699.0548000000001</v>
      </c>
      <c r="W78" s="449">
        <f t="shared" si="14"/>
        <v>1661.07</v>
      </c>
      <c r="X78" s="449">
        <f t="shared" si="15"/>
        <v>1618.2096000000001</v>
      </c>
      <c r="Y78" s="449">
        <f t="shared" si="16"/>
        <v>1605.5309999999999</v>
      </c>
      <c r="Z78" s="449">
        <f t="shared" si="17"/>
        <v>1569.7188000000001</v>
      </c>
      <c r="AA78" s="449">
        <f t="shared" si="18"/>
        <v>1529.1942000000001</v>
      </c>
      <c r="AB78" s="449">
        <f t="shared" si="19"/>
        <v>901.9452</v>
      </c>
      <c r="AC78" s="449">
        <f t="shared" si="20"/>
        <v>2061.8178000000003</v>
      </c>
      <c r="AD78" s="449">
        <f t="shared" si="21"/>
        <v>1948.0776000000001</v>
      </c>
      <c r="AE78" s="449">
        <f t="shared" si="22"/>
        <v>1728.0126000000002</v>
      </c>
      <c r="AF78" s="449">
        <f t="shared" si="23"/>
        <v>1223.6328000000001</v>
      </c>
      <c r="AG78" s="449">
        <f t="shared" si="24"/>
        <v>1126.845</v>
      </c>
      <c r="AH78" s="450" t="s">
        <v>308</v>
      </c>
    </row>
    <row r="79" spans="1:34" ht="16.5" hidden="1" thickBot="1">
      <c r="A79" s="412">
        <v>2017</v>
      </c>
      <c r="B79" s="425" t="s">
        <v>317</v>
      </c>
      <c r="C79" s="414" t="s">
        <v>313</v>
      </c>
      <c r="D79" s="414" t="s">
        <v>314</v>
      </c>
      <c r="E79" s="415" t="s">
        <v>306</v>
      </c>
      <c r="F79" s="416" t="s">
        <v>307</v>
      </c>
      <c r="G79" s="417" t="s">
        <v>211</v>
      </c>
      <c r="H79" s="445">
        <v>630.13</v>
      </c>
      <c r="I79" s="445">
        <v>616.04</v>
      </c>
      <c r="J79" s="445">
        <v>600.15</v>
      </c>
      <c r="K79" s="445">
        <v>595.45000000000005</v>
      </c>
      <c r="L79" s="445">
        <v>582.16</v>
      </c>
      <c r="M79" s="445">
        <v>567.13</v>
      </c>
      <c r="N79" s="445">
        <v>334.51</v>
      </c>
      <c r="O79" s="445">
        <v>764.67</v>
      </c>
      <c r="P79" s="445">
        <v>722.49</v>
      </c>
      <c r="Q79" s="445">
        <v>640.87</v>
      </c>
      <c r="R79" s="445">
        <v>453.81</v>
      </c>
      <c r="S79" s="445">
        <v>417.92</v>
      </c>
      <c r="T79" s="446" t="s">
        <v>308</v>
      </c>
      <c r="V79" s="445">
        <f t="shared" si="25"/>
        <v>642.73260000000005</v>
      </c>
      <c r="W79" s="445">
        <f t="shared" si="14"/>
        <v>628.36079999999993</v>
      </c>
      <c r="X79" s="445">
        <f t="shared" si="15"/>
        <v>612.15300000000002</v>
      </c>
      <c r="Y79" s="445">
        <f t="shared" si="16"/>
        <v>607.35900000000004</v>
      </c>
      <c r="Z79" s="445">
        <f t="shared" si="17"/>
        <v>593.80319999999995</v>
      </c>
      <c r="AA79" s="445">
        <f t="shared" si="18"/>
        <v>578.47260000000006</v>
      </c>
      <c r="AB79" s="445">
        <f t="shared" si="19"/>
        <v>341.2002</v>
      </c>
      <c r="AC79" s="445">
        <f t="shared" si="20"/>
        <v>779.96339999999998</v>
      </c>
      <c r="AD79" s="445">
        <f t="shared" si="21"/>
        <v>736.93979999999999</v>
      </c>
      <c r="AE79" s="445">
        <f t="shared" si="22"/>
        <v>653.68740000000003</v>
      </c>
      <c r="AF79" s="445">
        <f t="shared" si="23"/>
        <v>462.88620000000003</v>
      </c>
      <c r="AG79" s="445">
        <f t="shared" si="24"/>
        <v>426.27840000000003</v>
      </c>
      <c r="AH79" s="446" t="s">
        <v>308</v>
      </c>
    </row>
    <row r="80" spans="1:34" ht="16.5" hidden="1" thickBot="1">
      <c r="A80" s="418">
        <v>2017</v>
      </c>
      <c r="B80" s="152" t="s">
        <v>317</v>
      </c>
      <c r="C80" s="146" t="s">
        <v>313</v>
      </c>
      <c r="D80" s="146" t="s">
        <v>314</v>
      </c>
      <c r="E80" s="147" t="s">
        <v>306</v>
      </c>
      <c r="F80" s="148" t="s">
        <v>307</v>
      </c>
      <c r="G80" s="149" t="s">
        <v>212</v>
      </c>
      <c r="H80" s="447">
        <v>1379.99</v>
      </c>
      <c r="I80" s="447">
        <v>1349.13</v>
      </c>
      <c r="J80" s="447">
        <v>1314.34</v>
      </c>
      <c r="K80" s="447">
        <v>1304.03</v>
      </c>
      <c r="L80" s="447">
        <v>1274.94</v>
      </c>
      <c r="M80" s="447">
        <v>1242.02</v>
      </c>
      <c r="N80" s="447">
        <v>732.57</v>
      </c>
      <c r="O80" s="447">
        <v>1674.63</v>
      </c>
      <c r="P80" s="447">
        <v>1582.25</v>
      </c>
      <c r="Q80" s="447">
        <v>1403.51</v>
      </c>
      <c r="R80" s="447">
        <v>993.86</v>
      </c>
      <c r="S80" s="447">
        <v>915.23</v>
      </c>
      <c r="T80" s="448" t="s">
        <v>308</v>
      </c>
      <c r="V80" s="447">
        <f t="shared" si="25"/>
        <v>1407.5898</v>
      </c>
      <c r="W80" s="447">
        <f t="shared" si="14"/>
        <v>1376.1126000000002</v>
      </c>
      <c r="X80" s="447">
        <f t="shared" si="15"/>
        <v>1340.6268</v>
      </c>
      <c r="Y80" s="447">
        <f t="shared" si="16"/>
        <v>1330.1106</v>
      </c>
      <c r="Z80" s="447">
        <f t="shared" si="17"/>
        <v>1300.4388000000001</v>
      </c>
      <c r="AA80" s="447">
        <f t="shared" si="18"/>
        <v>1266.8604</v>
      </c>
      <c r="AB80" s="447">
        <f t="shared" si="19"/>
        <v>747.22140000000002</v>
      </c>
      <c r="AC80" s="447">
        <f t="shared" si="20"/>
        <v>1708.1226000000001</v>
      </c>
      <c r="AD80" s="447">
        <f t="shared" si="21"/>
        <v>1613.895</v>
      </c>
      <c r="AE80" s="447">
        <f t="shared" si="22"/>
        <v>1431.5802000000001</v>
      </c>
      <c r="AF80" s="447">
        <f t="shared" si="23"/>
        <v>1013.7372</v>
      </c>
      <c r="AG80" s="447">
        <f t="shared" si="24"/>
        <v>933.53460000000007</v>
      </c>
      <c r="AH80" s="448" t="s">
        <v>308</v>
      </c>
    </row>
    <row r="81" spans="1:34" ht="16.5" hidden="1" thickBot="1">
      <c r="A81" s="418">
        <v>2017</v>
      </c>
      <c r="B81" s="152" t="s">
        <v>317</v>
      </c>
      <c r="C81" s="146" t="s">
        <v>313</v>
      </c>
      <c r="D81" s="146" t="s">
        <v>314</v>
      </c>
      <c r="E81" s="147" t="s">
        <v>306</v>
      </c>
      <c r="F81" s="148" t="s">
        <v>307</v>
      </c>
      <c r="G81" s="149" t="s">
        <v>213</v>
      </c>
      <c r="H81" s="447">
        <v>1197.25</v>
      </c>
      <c r="I81" s="447">
        <v>1170.48</v>
      </c>
      <c r="J81" s="447">
        <v>1140.28</v>
      </c>
      <c r="K81" s="447">
        <v>1131.3499999999999</v>
      </c>
      <c r="L81" s="447">
        <v>1106.1199999999999</v>
      </c>
      <c r="M81" s="447">
        <v>1077.55</v>
      </c>
      <c r="N81" s="447">
        <v>635.55999999999995</v>
      </c>
      <c r="O81" s="447">
        <v>1452.88</v>
      </c>
      <c r="P81" s="447">
        <v>1372.73</v>
      </c>
      <c r="Q81" s="447">
        <v>1217.6500000000001</v>
      </c>
      <c r="R81" s="447">
        <v>862.24</v>
      </c>
      <c r="S81" s="447">
        <v>794.04</v>
      </c>
      <c r="T81" s="448" t="s">
        <v>308</v>
      </c>
      <c r="V81" s="447">
        <f t="shared" si="25"/>
        <v>1221.1949999999999</v>
      </c>
      <c r="W81" s="447">
        <f t="shared" si="14"/>
        <v>1193.8896</v>
      </c>
      <c r="X81" s="447">
        <f t="shared" si="15"/>
        <v>1163.0855999999999</v>
      </c>
      <c r="Y81" s="447">
        <f t="shared" si="16"/>
        <v>1153.9769999999999</v>
      </c>
      <c r="Z81" s="447">
        <f t="shared" si="17"/>
        <v>1128.2423999999999</v>
      </c>
      <c r="AA81" s="447">
        <f t="shared" si="18"/>
        <v>1099.1009999999999</v>
      </c>
      <c r="AB81" s="447">
        <f t="shared" si="19"/>
        <v>648.27119999999991</v>
      </c>
      <c r="AC81" s="447">
        <f t="shared" si="20"/>
        <v>1481.9376000000002</v>
      </c>
      <c r="AD81" s="447">
        <f t="shared" si="21"/>
        <v>1400.1846</v>
      </c>
      <c r="AE81" s="447">
        <f t="shared" si="22"/>
        <v>1242.0030000000002</v>
      </c>
      <c r="AF81" s="447">
        <f t="shared" si="23"/>
        <v>879.48480000000006</v>
      </c>
      <c r="AG81" s="447">
        <f t="shared" si="24"/>
        <v>809.92079999999999</v>
      </c>
      <c r="AH81" s="448" t="s">
        <v>308</v>
      </c>
    </row>
    <row r="82" spans="1:34" ht="16.5" hidden="1" thickBot="1">
      <c r="A82" s="419">
        <v>2017</v>
      </c>
      <c r="B82" s="426" t="s">
        <v>317</v>
      </c>
      <c r="C82" s="421" t="s">
        <v>313</v>
      </c>
      <c r="D82" s="421" t="s">
        <v>314</v>
      </c>
      <c r="E82" s="422" t="s">
        <v>306</v>
      </c>
      <c r="F82" s="423" t="s">
        <v>307</v>
      </c>
      <c r="G82" s="424" t="s">
        <v>214</v>
      </c>
      <c r="H82" s="449">
        <v>1915.6</v>
      </c>
      <c r="I82" s="449">
        <v>1872.78</v>
      </c>
      <c r="J82" s="449">
        <v>1824.45</v>
      </c>
      <c r="K82" s="449">
        <v>1810.16</v>
      </c>
      <c r="L82" s="449">
        <v>1769.78</v>
      </c>
      <c r="M82" s="449">
        <v>1724.09</v>
      </c>
      <c r="N82" s="449">
        <v>1016.89</v>
      </c>
      <c r="O82" s="449">
        <v>2324.6</v>
      </c>
      <c r="P82" s="449">
        <v>2196.36</v>
      </c>
      <c r="Q82" s="449">
        <v>1948.25</v>
      </c>
      <c r="R82" s="449">
        <v>1379.59</v>
      </c>
      <c r="S82" s="449">
        <v>1270.46</v>
      </c>
      <c r="T82" s="450" t="s">
        <v>308</v>
      </c>
      <c r="V82" s="449">
        <f t="shared" si="25"/>
        <v>1953.912</v>
      </c>
      <c r="W82" s="449">
        <f t="shared" si="14"/>
        <v>1910.2356</v>
      </c>
      <c r="X82" s="449">
        <f t="shared" si="15"/>
        <v>1860.9390000000001</v>
      </c>
      <c r="Y82" s="449">
        <f t="shared" si="16"/>
        <v>1846.3632</v>
      </c>
      <c r="Z82" s="449">
        <f t="shared" si="17"/>
        <v>1805.1756</v>
      </c>
      <c r="AA82" s="449">
        <f t="shared" si="18"/>
        <v>1758.5717999999999</v>
      </c>
      <c r="AB82" s="449">
        <f t="shared" si="19"/>
        <v>1037.2278000000001</v>
      </c>
      <c r="AC82" s="449">
        <f t="shared" si="20"/>
        <v>2371.0920000000001</v>
      </c>
      <c r="AD82" s="449">
        <f t="shared" si="21"/>
        <v>2240.2872000000002</v>
      </c>
      <c r="AE82" s="449">
        <f t="shared" si="22"/>
        <v>1987.2150000000001</v>
      </c>
      <c r="AF82" s="449">
        <f t="shared" si="23"/>
        <v>1407.1817999999998</v>
      </c>
      <c r="AG82" s="449">
        <f t="shared" si="24"/>
        <v>1295.8692000000001</v>
      </c>
      <c r="AH82" s="450" t="s">
        <v>308</v>
      </c>
    </row>
    <row r="83" spans="1:34" ht="16.5" hidden="1" thickBot="1">
      <c r="A83" s="412">
        <v>2017</v>
      </c>
      <c r="B83" s="425" t="s">
        <v>317</v>
      </c>
      <c r="C83" s="414" t="s">
        <v>304</v>
      </c>
      <c r="D83" s="414" t="s">
        <v>305</v>
      </c>
      <c r="E83" s="415" t="s">
        <v>306</v>
      </c>
      <c r="F83" s="432" t="s">
        <v>315</v>
      </c>
      <c r="G83" s="417" t="s">
        <v>211</v>
      </c>
      <c r="H83" s="445">
        <v>473.69</v>
      </c>
      <c r="I83" s="445">
        <v>463.1</v>
      </c>
      <c r="J83" s="445">
        <v>451.16</v>
      </c>
      <c r="K83" s="445">
        <v>447.62</v>
      </c>
      <c r="L83" s="445">
        <v>437.64</v>
      </c>
      <c r="M83" s="445">
        <v>426.34</v>
      </c>
      <c r="N83" s="445">
        <v>251.46</v>
      </c>
      <c r="O83" s="445">
        <v>574.83000000000004</v>
      </c>
      <c r="P83" s="445">
        <v>543.12</v>
      </c>
      <c r="Q83" s="445">
        <v>481.77</v>
      </c>
      <c r="R83" s="445">
        <v>341.15</v>
      </c>
      <c r="S83" s="445">
        <v>314.16000000000003</v>
      </c>
      <c r="T83" s="446" t="s">
        <v>308</v>
      </c>
      <c r="V83" s="445">
        <f t="shared" si="25"/>
        <v>483.16379999999998</v>
      </c>
      <c r="W83" s="445">
        <f t="shared" si="14"/>
        <v>472.36200000000002</v>
      </c>
      <c r="X83" s="445">
        <f t="shared" si="15"/>
        <v>460.18320000000006</v>
      </c>
      <c r="Y83" s="445">
        <f t="shared" si="16"/>
        <v>456.57240000000002</v>
      </c>
      <c r="Z83" s="445">
        <f t="shared" si="17"/>
        <v>446.39279999999997</v>
      </c>
      <c r="AA83" s="445">
        <f t="shared" si="18"/>
        <v>434.86679999999996</v>
      </c>
      <c r="AB83" s="445">
        <f t="shared" si="19"/>
        <v>256.48920000000004</v>
      </c>
      <c r="AC83" s="445">
        <f t="shared" si="20"/>
        <v>586.3266000000001</v>
      </c>
      <c r="AD83" s="445">
        <f t="shared" si="21"/>
        <v>553.98239999999998</v>
      </c>
      <c r="AE83" s="445">
        <f t="shared" si="22"/>
        <v>491.40539999999999</v>
      </c>
      <c r="AF83" s="445">
        <f t="shared" si="23"/>
        <v>347.97299999999996</v>
      </c>
      <c r="AG83" s="445">
        <f t="shared" si="24"/>
        <v>320.44320000000005</v>
      </c>
      <c r="AH83" s="446" t="s">
        <v>308</v>
      </c>
    </row>
    <row r="84" spans="1:34" ht="16.5" hidden="1" thickBot="1">
      <c r="A84" s="418">
        <v>2017</v>
      </c>
      <c r="B84" s="152" t="s">
        <v>317</v>
      </c>
      <c r="C84" s="146" t="s">
        <v>304</v>
      </c>
      <c r="D84" s="146" t="s">
        <v>305</v>
      </c>
      <c r="E84" s="147" t="s">
        <v>306</v>
      </c>
      <c r="F84" s="433" t="s">
        <v>315</v>
      </c>
      <c r="G84" s="149" t="s">
        <v>212</v>
      </c>
      <c r="H84" s="447">
        <v>1037.3900000000001</v>
      </c>
      <c r="I84" s="447">
        <v>1014.2</v>
      </c>
      <c r="J84" s="447">
        <v>988.04</v>
      </c>
      <c r="K84" s="447">
        <v>980.29</v>
      </c>
      <c r="L84" s="447">
        <v>958.42</v>
      </c>
      <c r="M84" s="447">
        <v>933.68</v>
      </c>
      <c r="N84" s="447">
        <v>550.70000000000005</v>
      </c>
      <c r="O84" s="447">
        <v>1258.8800000000001</v>
      </c>
      <c r="P84" s="447">
        <v>1189.44</v>
      </c>
      <c r="Q84" s="447">
        <v>1055.07</v>
      </c>
      <c r="R84" s="447">
        <v>747.12</v>
      </c>
      <c r="S84" s="447">
        <v>688.02</v>
      </c>
      <c r="T84" s="448" t="s">
        <v>308</v>
      </c>
      <c r="V84" s="447">
        <f t="shared" si="25"/>
        <v>1058.1378000000002</v>
      </c>
      <c r="W84" s="447">
        <f t="shared" si="14"/>
        <v>1034.4840000000002</v>
      </c>
      <c r="X84" s="447">
        <f t="shared" si="15"/>
        <v>1007.8008</v>
      </c>
      <c r="Y84" s="447">
        <f t="shared" si="16"/>
        <v>999.89580000000001</v>
      </c>
      <c r="Z84" s="447">
        <f t="shared" si="17"/>
        <v>977.58839999999998</v>
      </c>
      <c r="AA84" s="447">
        <f t="shared" si="18"/>
        <v>952.35359999999991</v>
      </c>
      <c r="AB84" s="447">
        <f t="shared" si="19"/>
        <v>561.71400000000006</v>
      </c>
      <c r="AC84" s="447">
        <f t="shared" si="20"/>
        <v>1284.0576000000001</v>
      </c>
      <c r="AD84" s="447">
        <f t="shared" si="21"/>
        <v>1213.2288000000001</v>
      </c>
      <c r="AE84" s="447">
        <f t="shared" si="22"/>
        <v>1076.1713999999999</v>
      </c>
      <c r="AF84" s="447">
        <f t="shared" si="23"/>
        <v>762.06240000000003</v>
      </c>
      <c r="AG84" s="447">
        <f t="shared" si="24"/>
        <v>701.78039999999999</v>
      </c>
      <c r="AH84" s="448" t="s">
        <v>308</v>
      </c>
    </row>
    <row r="85" spans="1:34" ht="16.5" hidden="1" thickBot="1">
      <c r="A85" s="418">
        <v>2017</v>
      </c>
      <c r="B85" s="152" t="s">
        <v>317</v>
      </c>
      <c r="C85" s="146" t="s">
        <v>304</v>
      </c>
      <c r="D85" s="146" t="s">
        <v>305</v>
      </c>
      <c r="E85" s="147" t="s">
        <v>306</v>
      </c>
      <c r="F85" s="433" t="s">
        <v>315</v>
      </c>
      <c r="G85" s="149" t="s">
        <v>213</v>
      </c>
      <c r="H85" s="447">
        <v>900.02</v>
      </c>
      <c r="I85" s="447">
        <v>879.9</v>
      </c>
      <c r="J85" s="447">
        <v>857.19</v>
      </c>
      <c r="K85" s="447">
        <v>850.48</v>
      </c>
      <c r="L85" s="447">
        <v>831.51</v>
      </c>
      <c r="M85" s="447">
        <v>810.04</v>
      </c>
      <c r="N85" s="447">
        <v>477.77</v>
      </c>
      <c r="O85" s="447">
        <v>1092.18</v>
      </c>
      <c r="P85" s="447">
        <v>1031.94</v>
      </c>
      <c r="Q85" s="447">
        <v>915.36</v>
      </c>
      <c r="R85" s="447">
        <v>648.17999999999995</v>
      </c>
      <c r="S85" s="447">
        <v>596.91</v>
      </c>
      <c r="T85" s="448" t="s">
        <v>308</v>
      </c>
      <c r="V85" s="447">
        <f t="shared" si="25"/>
        <v>918.0204</v>
      </c>
      <c r="W85" s="447">
        <f t="shared" si="14"/>
        <v>897.49800000000005</v>
      </c>
      <c r="X85" s="447">
        <f t="shared" si="15"/>
        <v>874.33380000000011</v>
      </c>
      <c r="Y85" s="447">
        <f t="shared" si="16"/>
        <v>867.4896</v>
      </c>
      <c r="Z85" s="447">
        <f t="shared" si="17"/>
        <v>848.14020000000005</v>
      </c>
      <c r="AA85" s="447">
        <f t="shared" si="18"/>
        <v>826.24079999999992</v>
      </c>
      <c r="AB85" s="447">
        <f t="shared" si="19"/>
        <v>487.3254</v>
      </c>
      <c r="AC85" s="447">
        <f t="shared" si="20"/>
        <v>1114.0236</v>
      </c>
      <c r="AD85" s="447">
        <f t="shared" si="21"/>
        <v>1052.5788</v>
      </c>
      <c r="AE85" s="447">
        <f t="shared" si="22"/>
        <v>933.66719999999998</v>
      </c>
      <c r="AF85" s="447">
        <f t="shared" si="23"/>
        <v>661.14359999999999</v>
      </c>
      <c r="AG85" s="447">
        <f t="shared" si="24"/>
        <v>608.84820000000002</v>
      </c>
      <c r="AH85" s="448" t="s">
        <v>308</v>
      </c>
    </row>
    <row r="86" spans="1:34" ht="16.5" hidden="1" thickBot="1">
      <c r="A86" s="419">
        <v>2017</v>
      </c>
      <c r="B86" s="426" t="s">
        <v>317</v>
      </c>
      <c r="C86" s="421" t="s">
        <v>304</v>
      </c>
      <c r="D86" s="421" t="s">
        <v>305</v>
      </c>
      <c r="E86" s="422" t="s">
        <v>306</v>
      </c>
      <c r="F86" s="434" t="s">
        <v>315</v>
      </c>
      <c r="G86" s="424" t="s">
        <v>214</v>
      </c>
      <c r="H86" s="449">
        <v>1440.03</v>
      </c>
      <c r="I86" s="449">
        <v>1407.84</v>
      </c>
      <c r="J86" s="449">
        <v>1371.51</v>
      </c>
      <c r="K86" s="449">
        <v>1360.77</v>
      </c>
      <c r="L86" s="449">
        <v>1330.41</v>
      </c>
      <c r="M86" s="449">
        <v>1296.07</v>
      </c>
      <c r="N86" s="449">
        <v>764.44</v>
      </c>
      <c r="O86" s="449">
        <v>1747.49</v>
      </c>
      <c r="P86" s="449">
        <v>1651.09</v>
      </c>
      <c r="Q86" s="449">
        <v>1464.58</v>
      </c>
      <c r="R86" s="449">
        <v>1037.0899999999999</v>
      </c>
      <c r="S86" s="449">
        <v>955.05</v>
      </c>
      <c r="T86" s="450" t="s">
        <v>308</v>
      </c>
      <c r="V86" s="449">
        <f t="shared" si="25"/>
        <v>1468.8306</v>
      </c>
      <c r="W86" s="449">
        <f t="shared" si="14"/>
        <v>1435.9967999999999</v>
      </c>
      <c r="X86" s="449">
        <f t="shared" si="15"/>
        <v>1398.9402</v>
      </c>
      <c r="Y86" s="449">
        <f t="shared" si="16"/>
        <v>1387.9854</v>
      </c>
      <c r="Z86" s="449">
        <f t="shared" si="17"/>
        <v>1357.0182000000002</v>
      </c>
      <c r="AA86" s="449">
        <f t="shared" si="18"/>
        <v>1321.9913999999999</v>
      </c>
      <c r="AB86" s="449">
        <f t="shared" si="19"/>
        <v>779.72880000000009</v>
      </c>
      <c r="AC86" s="449">
        <f t="shared" si="20"/>
        <v>1782.4398000000001</v>
      </c>
      <c r="AD86" s="449">
        <f t="shared" si="21"/>
        <v>1684.1117999999999</v>
      </c>
      <c r="AE86" s="449">
        <f t="shared" si="22"/>
        <v>1493.8715999999999</v>
      </c>
      <c r="AF86" s="449">
        <f t="shared" si="23"/>
        <v>1057.8317999999999</v>
      </c>
      <c r="AG86" s="449">
        <f t="shared" si="24"/>
        <v>974.15099999999995</v>
      </c>
      <c r="AH86" s="450" t="s">
        <v>308</v>
      </c>
    </row>
    <row r="87" spans="1:34" ht="16.5" hidden="1" thickBot="1">
      <c r="A87" s="412">
        <v>2017</v>
      </c>
      <c r="B87" s="425" t="s">
        <v>317</v>
      </c>
      <c r="C87" s="414" t="s">
        <v>309</v>
      </c>
      <c r="D87" s="414" t="s">
        <v>310</v>
      </c>
      <c r="E87" s="415" t="s">
        <v>306</v>
      </c>
      <c r="F87" s="432" t="s">
        <v>315</v>
      </c>
      <c r="G87" s="417" t="s">
        <v>211</v>
      </c>
      <c r="H87" s="445">
        <v>520.54</v>
      </c>
      <c r="I87" s="445">
        <v>508.91</v>
      </c>
      <c r="J87" s="445">
        <v>495.78</v>
      </c>
      <c r="K87" s="445">
        <v>491.89</v>
      </c>
      <c r="L87" s="445">
        <v>480.92</v>
      </c>
      <c r="M87" s="445">
        <v>468.5</v>
      </c>
      <c r="N87" s="445">
        <v>276.33</v>
      </c>
      <c r="O87" s="445">
        <v>631.67999999999995</v>
      </c>
      <c r="P87" s="445">
        <v>596.84</v>
      </c>
      <c r="Q87" s="445">
        <v>529.41999999999996</v>
      </c>
      <c r="R87" s="445">
        <v>374.89</v>
      </c>
      <c r="S87" s="445">
        <v>345.23</v>
      </c>
      <c r="T87" s="446" t="s">
        <v>308</v>
      </c>
      <c r="V87" s="445">
        <f t="shared" si="25"/>
        <v>530.95079999999996</v>
      </c>
      <c r="W87" s="445">
        <f t="shared" si="14"/>
        <v>519.08820000000003</v>
      </c>
      <c r="X87" s="445">
        <f t="shared" si="15"/>
        <v>505.69559999999996</v>
      </c>
      <c r="Y87" s="445">
        <f t="shared" si="16"/>
        <v>501.7278</v>
      </c>
      <c r="Z87" s="445">
        <f t="shared" si="17"/>
        <v>490.53840000000002</v>
      </c>
      <c r="AA87" s="445">
        <f t="shared" si="18"/>
        <v>477.87</v>
      </c>
      <c r="AB87" s="445">
        <f t="shared" si="19"/>
        <v>281.85660000000001</v>
      </c>
      <c r="AC87" s="445">
        <f t="shared" si="20"/>
        <v>644.31359999999995</v>
      </c>
      <c r="AD87" s="445">
        <f t="shared" si="21"/>
        <v>608.77680000000009</v>
      </c>
      <c r="AE87" s="445">
        <f t="shared" si="22"/>
        <v>540.00839999999994</v>
      </c>
      <c r="AF87" s="445">
        <f t="shared" si="23"/>
        <v>382.38779999999997</v>
      </c>
      <c r="AG87" s="445">
        <f t="shared" si="24"/>
        <v>352.13460000000003</v>
      </c>
      <c r="AH87" s="446" t="s">
        <v>308</v>
      </c>
    </row>
    <row r="88" spans="1:34" ht="16.5" hidden="1" thickBot="1">
      <c r="A88" s="418">
        <v>2017</v>
      </c>
      <c r="B88" s="152" t="s">
        <v>317</v>
      </c>
      <c r="C88" s="146" t="s">
        <v>309</v>
      </c>
      <c r="D88" s="146" t="s">
        <v>310</v>
      </c>
      <c r="E88" s="147" t="s">
        <v>306</v>
      </c>
      <c r="F88" s="433" t="s">
        <v>315</v>
      </c>
      <c r="G88" s="149" t="s">
        <v>212</v>
      </c>
      <c r="H88" s="447">
        <v>1139.99</v>
      </c>
      <c r="I88" s="447">
        <v>1114.5</v>
      </c>
      <c r="J88" s="447">
        <v>1085.76</v>
      </c>
      <c r="K88" s="447">
        <v>1077.24</v>
      </c>
      <c r="L88" s="447">
        <v>1053.21</v>
      </c>
      <c r="M88" s="447">
        <v>1026.02</v>
      </c>
      <c r="N88" s="447">
        <v>605.16999999999996</v>
      </c>
      <c r="O88" s="447">
        <v>1383.39</v>
      </c>
      <c r="P88" s="447">
        <v>1307.08</v>
      </c>
      <c r="Q88" s="447">
        <v>1159.42</v>
      </c>
      <c r="R88" s="447">
        <v>821.01</v>
      </c>
      <c r="S88" s="447">
        <v>756.06</v>
      </c>
      <c r="T88" s="448" t="s">
        <v>308</v>
      </c>
      <c r="V88" s="447">
        <f t="shared" si="25"/>
        <v>1162.7898</v>
      </c>
      <c r="W88" s="447">
        <f t="shared" si="14"/>
        <v>1136.79</v>
      </c>
      <c r="X88" s="447">
        <f t="shared" si="15"/>
        <v>1107.4752000000001</v>
      </c>
      <c r="Y88" s="447">
        <f t="shared" si="16"/>
        <v>1098.7848000000001</v>
      </c>
      <c r="Z88" s="447">
        <f t="shared" si="17"/>
        <v>1074.2742000000001</v>
      </c>
      <c r="AA88" s="447">
        <f t="shared" si="18"/>
        <v>1046.5404000000001</v>
      </c>
      <c r="AB88" s="447">
        <f t="shared" si="19"/>
        <v>617.27339999999992</v>
      </c>
      <c r="AC88" s="447">
        <f t="shared" si="20"/>
        <v>1411.0578</v>
      </c>
      <c r="AD88" s="447">
        <f t="shared" si="21"/>
        <v>1333.2215999999999</v>
      </c>
      <c r="AE88" s="447">
        <f t="shared" si="22"/>
        <v>1182.6084000000001</v>
      </c>
      <c r="AF88" s="447">
        <f t="shared" si="23"/>
        <v>837.43020000000001</v>
      </c>
      <c r="AG88" s="447">
        <f t="shared" si="24"/>
        <v>771.18119999999999</v>
      </c>
      <c r="AH88" s="448" t="s">
        <v>308</v>
      </c>
    </row>
    <row r="89" spans="1:34" ht="16.5" hidden="1" thickBot="1">
      <c r="A89" s="418">
        <v>2017</v>
      </c>
      <c r="B89" s="152" t="s">
        <v>317</v>
      </c>
      <c r="C89" s="146" t="s">
        <v>309</v>
      </c>
      <c r="D89" s="146" t="s">
        <v>310</v>
      </c>
      <c r="E89" s="147" t="s">
        <v>306</v>
      </c>
      <c r="F89" s="433" t="s">
        <v>315</v>
      </c>
      <c r="G89" s="149" t="s">
        <v>213</v>
      </c>
      <c r="H89" s="447">
        <v>989.04</v>
      </c>
      <c r="I89" s="447">
        <v>966.92</v>
      </c>
      <c r="J89" s="447">
        <v>941.97</v>
      </c>
      <c r="K89" s="447">
        <v>934.59</v>
      </c>
      <c r="L89" s="447">
        <v>913.75</v>
      </c>
      <c r="M89" s="447">
        <v>890.15</v>
      </c>
      <c r="N89" s="447">
        <v>525.03</v>
      </c>
      <c r="O89" s="447">
        <v>1200.2</v>
      </c>
      <c r="P89" s="447">
        <v>1134</v>
      </c>
      <c r="Q89" s="447">
        <v>1005.89</v>
      </c>
      <c r="R89" s="447">
        <v>712.29</v>
      </c>
      <c r="S89" s="447">
        <v>655.95</v>
      </c>
      <c r="T89" s="448" t="s">
        <v>308</v>
      </c>
      <c r="V89" s="447">
        <f t="shared" si="25"/>
        <v>1008.8208</v>
      </c>
      <c r="W89" s="447">
        <f t="shared" si="14"/>
        <v>986.25839999999994</v>
      </c>
      <c r="X89" s="447">
        <f t="shared" si="15"/>
        <v>960.8094000000001</v>
      </c>
      <c r="Y89" s="447">
        <f t="shared" si="16"/>
        <v>953.28180000000009</v>
      </c>
      <c r="Z89" s="447">
        <f t="shared" si="17"/>
        <v>932.02499999999998</v>
      </c>
      <c r="AA89" s="447">
        <f t="shared" si="18"/>
        <v>907.95299999999997</v>
      </c>
      <c r="AB89" s="447">
        <f t="shared" si="19"/>
        <v>535.53059999999994</v>
      </c>
      <c r="AC89" s="447">
        <f t="shared" si="20"/>
        <v>1224.2040000000002</v>
      </c>
      <c r="AD89" s="447">
        <f t="shared" si="21"/>
        <v>1156.68</v>
      </c>
      <c r="AE89" s="447">
        <f t="shared" si="22"/>
        <v>1026.0078000000001</v>
      </c>
      <c r="AF89" s="447">
        <f t="shared" si="23"/>
        <v>726.53579999999999</v>
      </c>
      <c r="AG89" s="447">
        <f t="shared" si="24"/>
        <v>669.06900000000007</v>
      </c>
      <c r="AH89" s="448" t="s">
        <v>308</v>
      </c>
    </row>
    <row r="90" spans="1:34" ht="16.5" hidden="1" thickBot="1">
      <c r="A90" s="419">
        <v>2017</v>
      </c>
      <c r="B90" s="426" t="s">
        <v>317</v>
      </c>
      <c r="C90" s="421" t="s">
        <v>309</v>
      </c>
      <c r="D90" s="421" t="s">
        <v>310</v>
      </c>
      <c r="E90" s="422" t="s">
        <v>306</v>
      </c>
      <c r="F90" s="434" t="s">
        <v>315</v>
      </c>
      <c r="G90" s="424" t="s">
        <v>214</v>
      </c>
      <c r="H90" s="449">
        <v>1582.45</v>
      </c>
      <c r="I90" s="449">
        <v>1547.08</v>
      </c>
      <c r="J90" s="449">
        <v>1507.16</v>
      </c>
      <c r="K90" s="449">
        <v>1495.35</v>
      </c>
      <c r="L90" s="449">
        <v>1461.99</v>
      </c>
      <c r="M90" s="449">
        <v>1424.25</v>
      </c>
      <c r="N90" s="449">
        <v>840.04</v>
      </c>
      <c r="O90" s="449">
        <v>1920.32</v>
      </c>
      <c r="P90" s="449">
        <v>1814.39</v>
      </c>
      <c r="Q90" s="449">
        <v>1609.42</v>
      </c>
      <c r="R90" s="449">
        <v>1139.6600000000001</v>
      </c>
      <c r="S90" s="449">
        <v>1049.51</v>
      </c>
      <c r="T90" s="450" t="s">
        <v>308</v>
      </c>
      <c r="V90" s="449">
        <f t="shared" si="25"/>
        <v>1614.0990000000002</v>
      </c>
      <c r="W90" s="449">
        <f t="shared" si="14"/>
        <v>1578.0216</v>
      </c>
      <c r="X90" s="449">
        <f t="shared" si="15"/>
        <v>1537.3032000000001</v>
      </c>
      <c r="Y90" s="449">
        <f t="shared" si="16"/>
        <v>1525.2569999999998</v>
      </c>
      <c r="Z90" s="449">
        <f t="shared" si="17"/>
        <v>1491.2298000000001</v>
      </c>
      <c r="AA90" s="449">
        <f t="shared" si="18"/>
        <v>1452.7350000000001</v>
      </c>
      <c r="AB90" s="449">
        <f t="shared" si="19"/>
        <v>856.84079999999994</v>
      </c>
      <c r="AC90" s="449">
        <f t="shared" si="20"/>
        <v>1958.7264</v>
      </c>
      <c r="AD90" s="449">
        <f t="shared" si="21"/>
        <v>1850.6778000000002</v>
      </c>
      <c r="AE90" s="449">
        <f t="shared" si="22"/>
        <v>1641.6084000000001</v>
      </c>
      <c r="AF90" s="449">
        <f t="shared" si="23"/>
        <v>1162.4532000000002</v>
      </c>
      <c r="AG90" s="449">
        <f t="shared" si="24"/>
        <v>1070.5001999999999</v>
      </c>
      <c r="AH90" s="450" t="s">
        <v>308</v>
      </c>
    </row>
    <row r="91" spans="1:34" ht="16.5" hidden="1" thickBot="1">
      <c r="A91" s="412">
        <v>2017</v>
      </c>
      <c r="B91" s="425" t="s">
        <v>317</v>
      </c>
      <c r="C91" s="414" t="s">
        <v>311</v>
      </c>
      <c r="D91" s="414" t="s">
        <v>312</v>
      </c>
      <c r="E91" s="415" t="s">
        <v>306</v>
      </c>
      <c r="F91" s="432" t="s">
        <v>315</v>
      </c>
      <c r="G91" s="417" t="s">
        <v>211</v>
      </c>
      <c r="H91" s="445">
        <v>547.94000000000005</v>
      </c>
      <c r="I91" s="445">
        <v>535.69000000000005</v>
      </c>
      <c r="J91" s="445">
        <v>521.87</v>
      </c>
      <c r="K91" s="445">
        <v>517.78</v>
      </c>
      <c r="L91" s="445">
        <v>506.23</v>
      </c>
      <c r="M91" s="445">
        <v>493.16</v>
      </c>
      <c r="N91" s="445">
        <v>290.87</v>
      </c>
      <c r="O91" s="445">
        <v>664.93</v>
      </c>
      <c r="P91" s="445">
        <v>628.25</v>
      </c>
      <c r="Q91" s="445">
        <v>557.28</v>
      </c>
      <c r="R91" s="445">
        <v>394.62</v>
      </c>
      <c r="S91" s="445">
        <v>363.4</v>
      </c>
      <c r="T91" s="446" t="s">
        <v>308</v>
      </c>
      <c r="V91" s="445">
        <f t="shared" si="25"/>
        <v>558.89880000000005</v>
      </c>
      <c r="W91" s="445">
        <f t="shared" si="14"/>
        <v>546.40380000000005</v>
      </c>
      <c r="X91" s="445">
        <f t="shared" si="15"/>
        <v>532.30740000000003</v>
      </c>
      <c r="Y91" s="445">
        <f t="shared" si="16"/>
        <v>528.13559999999995</v>
      </c>
      <c r="Z91" s="445">
        <f t="shared" si="17"/>
        <v>516.3546</v>
      </c>
      <c r="AA91" s="445">
        <f t="shared" si="18"/>
        <v>503.02320000000003</v>
      </c>
      <c r="AB91" s="445">
        <f t="shared" si="19"/>
        <v>296.68740000000003</v>
      </c>
      <c r="AC91" s="445">
        <f t="shared" si="20"/>
        <v>678.22859999999991</v>
      </c>
      <c r="AD91" s="445">
        <f t="shared" si="21"/>
        <v>640.81500000000005</v>
      </c>
      <c r="AE91" s="445">
        <f t="shared" si="22"/>
        <v>568.42560000000003</v>
      </c>
      <c r="AF91" s="445">
        <f t="shared" si="23"/>
        <v>402.51240000000001</v>
      </c>
      <c r="AG91" s="445">
        <f t="shared" si="24"/>
        <v>370.66800000000001</v>
      </c>
      <c r="AH91" s="446" t="s">
        <v>308</v>
      </c>
    </row>
    <row r="92" spans="1:34" ht="16.5" hidden="1" thickBot="1">
      <c r="A92" s="418">
        <v>2017</v>
      </c>
      <c r="B92" s="152" t="s">
        <v>317</v>
      </c>
      <c r="C92" s="146" t="s">
        <v>311</v>
      </c>
      <c r="D92" s="146" t="s">
        <v>312</v>
      </c>
      <c r="E92" s="147" t="s">
        <v>306</v>
      </c>
      <c r="F92" s="433" t="s">
        <v>315</v>
      </c>
      <c r="G92" s="149" t="s">
        <v>212</v>
      </c>
      <c r="H92" s="447">
        <v>1199.99</v>
      </c>
      <c r="I92" s="447">
        <v>1173.1600000000001</v>
      </c>
      <c r="J92" s="447">
        <v>1142.9000000000001</v>
      </c>
      <c r="K92" s="447">
        <v>1133.94</v>
      </c>
      <c r="L92" s="447">
        <v>1108.6400000000001</v>
      </c>
      <c r="M92" s="447">
        <v>1080.02</v>
      </c>
      <c r="N92" s="447">
        <v>637.02</v>
      </c>
      <c r="O92" s="447">
        <v>1456.2</v>
      </c>
      <c r="P92" s="447">
        <v>1375.87</v>
      </c>
      <c r="Q92" s="447">
        <v>1220.44</v>
      </c>
      <c r="R92" s="447">
        <v>864.22</v>
      </c>
      <c r="S92" s="447">
        <v>795.85</v>
      </c>
      <c r="T92" s="448" t="s">
        <v>308</v>
      </c>
      <c r="V92" s="447">
        <f t="shared" si="25"/>
        <v>1223.9898000000001</v>
      </c>
      <c r="W92" s="447">
        <f t="shared" si="14"/>
        <v>1196.6232</v>
      </c>
      <c r="X92" s="447">
        <f t="shared" si="15"/>
        <v>1165.758</v>
      </c>
      <c r="Y92" s="447">
        <f t="shared" si="16"/>
        <v>1156.6188</v>
      </c>
      <c r="Z92" s="447">
        <f t="shared" si="17"/>
        <v>1130.8128000000002</v>
      </c>
      <c r="AA92" s="447">
        <f t="shared" si="18"/>
        <v>1101.6204</v>
      </c>
      <c r="AB92" s="447">
        <f t="shared" si="19"/>
        <v>649.7604</v>
      </c>
      <c r="AC92" s="447">
        <f t="shared" si="20"/>
        <v>1485.3240000000001</v>
      </c>
      <c r="AD92" s="447">
        <f t="shared" si="21"/>
        <v>1403.3873999999998</v>
      </c>
      <c r="AE92" s="447">
        <f t="shared" si="22"/>
        <v>1244.8488</v>
      </c>
      <c r="AF92" s="447">
        <f t="shared" si="23"/>
        <v>881.50440000000003</v>
      </c>
      <c r="AG92" s="447">
        <f t="shared" si="24"/>
        <v>811.76700000000005</v>
      </c>
      <c r="AH92" s="448" t="s">
        <v>308</v>
      </c>
    </row>
    <row r="93" spans="1:34" ht="16.5" hidden="1" thickBot="1">
      <c r="A93" s="418">
        <v>2017</v>
      </c>
      <c r="B93" s="152" t="s">
        <v>317</v>
      </c>
      <c r="C93" s="146" t="s">
        <v>311</v>
      </c>
      <c r="D93" s="146" t="s">
        <v>312</v>
      </c>
      <c r="E93" s="147" t="s">
        <v>306</v>
      </c>
      <c r="F93" s="433" t="s">
        <v>315</v>
      </c>
      <c r="G93" s="149" t="s">
        <v>213</v>
      </c>
      <c r="H93" s="447">
        <v>1041.0899999999999</v>
      </c>
      <c r="I93" s="447">
        <v>1017.81</v>
      </c>
      <c r="J93" s="447">
        <v>991.55</v>
      </c>
      <c r="K93" s="447">
        <v>983.78</v>
      </c>
      <c r="L93" s="447">
        <v>961.84</v>
      </c>
      <c r="M93" s="447">
        <v>937</v>
      </c>
      <c r="N93" s="447">
        <v>552.66</v>
      </c>
      <c r="O93" s="447">
        <v>1263.3699999999999</v>
      </c>
      <c r="P93" s="447">
        <v>1193.68</v>
      </c>
      <c r="Q93" s="447">
        <v>1058.83</v>
      </c>
      <c r="R93" s="447">
        <v>749.78</v>
      </c>
      <c r="S93" s="447">
        <v>690.47</v>
      </c>
      <c r="T93" s="448" t="s">
        <v>308</v>
      </c>
      <c r="V93" s="447">
        <f t="shared" si="25"/>
        <v>1061.9117999999999</v>
      </c>
      <c r="W93" s="447">
        <f t="shared" si="14"/>
        <v>1038.1661999999999</v>
      </c>
      <c r="X93" s="447">
        <f t="shared" si="15"/>
        <v>1011.381</v>
      </c>
      <c r="Y93" s="447">
        <f t="shared" si="16"/>
        <v>1003.4556</v>
      </c>
      <c r="Z93" s="447">
        <f t="shared" si="17"/>
        <v>981.07680000000005</v>
      </c>
      <c r="AA93" s="447">
        <f t="shared" si="18"/>
        <v>955.74</v>
      </c>
      <c r="AB93" s="447">
        <f t="shared" si="19"/>
        <v>563.71320000000003</v>
      </c>
      <c r="AC93" s="447">
        <f t="shared" si="20"/>
        <v>1288.6373999999998</v>
      </c>
      <c r="AD93" s="447">
        <f t="shared" si="21"/>
        <v>1217.5536000000002</v>
      </c>
      <c r="AE93" s="447">
        <f t="shared" si="22"/>
        <v>1080.0065999999999</v>
      </c>
      <c r="AF93" s="447">
        <f t="shared" si="23"/>
        <v>764.77559999999994</v>
      </c>
      <c r="AG93" s="447">
        <f t="shared" si="24"/>
        <v>704.27940000000001</v>
      </c>
      <c r="AH93" s="448" t="s">
        <v>308</v>
      </c>
    </row>
    <row r="94" spans="1:34" ht="16.5" hidden="1" thickBot="1">
      <c r="A94" s="419">
        <v>2017</v>
      </c>
      <c r="B94" s="426" t="s">
        <v>317</v>
      </c>
      <c r="C94" s="421" t="s">
        <v>311</v>
      </c>
      <c r="D94" s="421" t="s">
        <v>312</v>
      </c>
      <c r="E94" s="422" t="s">
        <v>306</v>
      </c>
      <c r="F94" s="434" t="s">
        <v>315</v>
      </c>
      <c r="G94" s="424" t="s">
        <v>214</v>
      </c>
      <c r="H94" s="449">
        <v>1665.74</v>
      </c>
      <c r="I94" s="449">
        <v>1628.5</v>
      </c>
      <c r="J94" s="449">
        <v>1586.48</v>
      </c>
      <c r="K94" s="449">
        <v>1574.05</v>
      </c>
      <c r="L94" s="449">
        <v>1538.94</v>
      </c>
      <c r="M94" s="449">
        <v>1499.21</v>
      </c>
      <c r="N94" s="449">
        <v>884.26</v>
      </c>
      <c r="O94" s="449">
        <v>2021.39</v>
      </c>
      <c r="P94" s="449">
        <v>1909.88</v>
      </c>
      <c r="Q94" s="449">
        <v>1694.13</v>
      </c>
      <c r="R94" s="449">
        <v>1199.6400000000001</v>
      </c>
      <c r="S94" s="449">
        <v>1104.75</v>
      </c>
      <c r="T94" s="450" t="s">
        <v>308</v>
      </c>
      <c r="V94" s="449">
        <f t="shared" si="25"/>
        <v>1699.0548000000001</v>
      </c>
      <c r="W94" s="449">
        <f t="shared" si="14"/>
        <v>1661.07</v>
      </c>
      <c r="X94" s="449">
        <f t="shared" si="15"/>
        <v>1618.2096000000001</v>
      </c>
      <c r="Y94" s="449">
        <f t="shared" si="16"/>
        <v>1605.5309999999999</v>
      </c>
      <c r="Z94" s="449">
        <f t="shared" si="17"/>
        <v>1569.7188000000001</v>
      </c>
      <c r="AA94" s="449">
        <f t="shared" si="18"/>
        <v>1529.1942000000001</v>
      </c>
      <c r="AB94" s="449">
        <f t="shared" si="19"/>
        <v>901.9452</v>
      </c>
      <c r="AC94" s="449">
        <f t="shared" si="20"/>
        <v>2061.8178000000003</v>
      </c>
      <c r="AD94" s="449">
        <f t="shared" si="21"/>
        <v>1948.0776000000001</v>
      </c>
      <c r="AE94" s="449">
        <f t="shared" si="22"/>
        <v>1728.0126000000002</v>
      </c>
      <c r="AF94" s="449">
        <f t="shared" si="23"/>
        <v>1223.6328000000001</v>
      </c>
      <c r="AG94" s="449">
        <f t="shared" si="24"/>
        <v>1126.845</v>
      </c>
      <c r="AH94" s="450" t="s">
        <v>308</v>
      </c>
    </row>
    <row r="95" spans="1:34" ht="16.5" hidden="1" thickBot="1">
      <c r="A95" s="412">
        <v>2017</v>
      </c>
      <c r="B95" s="425" t="s">
        <v>317</v>
      </c>
      <c r="C95" s="414" t="s">
        <v>313</v>
      </c>
      <c r="D95" s="414" t="s">
        <v>314</v>
      </c>
      <c r="E95" s="415" t="s">
        <v>306</v>
      </c>
      <c r="F95" s="432" t="s">
        <v>315</v>
      </c>
      <c r="G95" s="417" t="s">
        <v>211</v>
      </c>
      <c r="H95" s="445">
        <v>630.13</v>
      </c>
      <c r="I95" s="445">
        <v>616.04</v>
      </c>
      <c r="J95" s="445">
        <v>600.15</v>
      </c>
      <c r="K95" s="445">
        <v>595.45000000000005</v>
      </c>
      <c r="L95" s="445">
        <v>582.16</v>
      </c>
      <c r="M95" s="445">
        <v>567.13</v>
      </c>
      <c r="N95" s="445">
        <v>334.51</v>
      </c>
      <c r="O95" s="445">
        <v>764.67</v>
      </c>
      <c r="P95" s="445">
        <v>722.49</v>
      </c>
      <c r="Q95" s="445">
        <v>640.87</v>
      </c>
      <c r="R95" s="445">
        <v>453.81</v>
      </c>
      <c r="S95" s="445">
        <v>417.92</v>
      </c>
      <c r="T95" s="446" t="s">
        <v>308</v>
      </c>
      <c r="V95" s="445">
        <f t="shared" si="25"/>
        <v>642.73260000000005</v>
      </c>
      <c r="W95" s="445">
        <f t="shared" si="14"/>
        <v>628.36079999999993</v>
      </c>
      <c r="X95" s="445">
        <f t="shared" si="15"/>
        <v>612.15300000000002</v>
      </c>
      <c r="Y95" s="445">
        <f t="shared" si="16"/>
        <v>607.35900000000004</v>
      </c>
      <c r="Z95" s="445">
        <f t="shared" si="17"/>
        <v>593.80319999999995</v>
      </c>
      <c r="AA95" s="445">
        <f t="shared" si="18"/>
        <v>578.47260000000006</v>
      </c>
      <c r="AB95" s="445">
        <f t="shared" si="19"/>
        <v>341.2002</v>
      </c>
      <c r="AC95" s="445">
        <f t="shared" si="20"/>
        <v>779.96339999999998</v>
      </c>
      <c r="AD95" s="445">
        <f t="shared" si="21"/>
        <v>736.93979999999999</v>
      </c>
      <c r="AE95" s="445">
        <f t="shared" si="22"/>
        <v>653.68740000000003</v>
      </c>
      <c r="AF95" s="445">
        <f t="shared" si="23"/>
        <v>462.88620000000003</v>
      </c>
      <c r="AG95" s="445">
        <f t="shared" si="24"/>
        <v>426.27840000000003</v>
      </c>
      <c r="AH95" s="446" t="s">
        <v>308</v>
      </c>
    </row>
    <row r="96" spans="1:34" ht="16.5" hidden="1" thickBot="1">
      <c r="A96" s="418">
        <v>2017</v>
      </c>
      <c r="B96" s="152" t="s">
        <v>317</v>
      </c>
      <c r="C96" s="146" t="s">
        <v>313</v>
      </c>
      <c r="D96" s="146" t="s">
        <v>314</v>
      </c>
      <c r="E96" s="147" t="s">
        <v>306</v>
      </c>
      <c r="F96" s="433" t="s">
        <v>315</v>
      </c>
      <c r="G96" s="149" t="s">
        <v>212</v>
      </c>
      <c r="H96" s="447">
        <v>1379.99</v>
      </c>
      <c r="I96" s="447">
        <v>1349.13</v>
      </c>
      <c r="J96" s="447">
        <v>1314.34</v>
      </c>
      <c r="K96" s="447">
        <v>1304.03</v>
      </c>
      <c r="L96" s="447">
        <v>1274.94</v>
      </c>
      <c r="M96" s="447">
        <v>1242.02</v>
      </c>
      <c r="N96" s="447">
        <v>732.57</v>
      </c>
      <c r="O96" s="447">
        <v>1674.63</v>
      </c>
      <c r="P96" s="447">
        <v>1582.25</v>
      </c>
      <c r="Q96" s="447">
        <v>1403.51</v>
      </c>
      <c r="R96" s="447">
        <v>993.86</v>
      </c>
      <c r="S96" s="447">
        <v>915.23</v>
      </c>
      <c r="T96" s="448" t="s">
        <v>308</v>
      </c>
      <c r="V96" s="447">
        <f t="shared" si="25"/>
        <v>1407.5898</v>
      </c>
      <c r="W96" s="447">
        <f t="shared" si="14"/>
        <v>1376.1126000000002</v>
      </c>
      <c r="X96" s="447">
        <f t="shared" si="15"/>
        <v>1340.6268</v>
      </c>
      <c r="Y96" s="447">
        <f t="shared" si="16"/>
        <v>1330.1106</v>
      </c>
      <c r="Z96" s="447">
        <f t="shared" si="17"/>
        <v>1300.4388000000001</v>
      </c>
      <c r="AA96" s="447">
        <f t="shared" si="18"/>
        <v>1266.8604</v>
      </c>
      <c r="AB96" s="447">
        <f t="shared" si="19"/>
        <v>747.22140000000002</v>
      </c>
      <c r="AC96" s="447">
        <f t="shared" si="20"/>
        <v>1708.1226000000001</v>
      </c>
      <c r="AD96" s="447">
        <f t="shared" si="21"/>
        <v>1613.895</v>
      </c>
      <c r="AE96" s="447">
        <f t="shared" si="22"/>
        <v>1431.5802000000001</v>
      </c>
      <c r="AF96" s="447">
        <f t="shared" si="23"/>
        <v>1013.7372</v>
      </c>
      <c r="AG96" s="447">
        <f t="shared" si="24"/>
        <v>933.53460000000007</v>
      </c>
      <c r="AH96" s="448" t="s">
        <v>308</v>
      </c>
    </row>
    <row r="97" spans="1:34" ht="16.5" hidden="1" thickBot="1">
      <c r="A97" s="418">
        <v>2017</v>
      </c>
      <c r="B97" s="152" t="s">
        <v>317</v>
      </c>
      <c r="C97" s="146" t="s">
        <v>313</v>
      </c>
      <c r="D97" s="146" t="s">
        <v>314</v>
      </c>
      <c r="E97" s="147" t="s">
        <v>306</v>
      </c>
      <c r="F97" s="433" t="s">
        <v>315</v>
      </c>
      <c r="G97" s="149" t="s">
        <v>213</v>
      </c>
      <c r="H97" s="447">
        <v>1197.25</v>
      </c>
      <c r="I97" s="447">
        <v>1170.48</v>
      </c>
      <c r="J97" s="447">
        <v>1140.28</v>
      </c>
      <c r="K97" s="447">
        <v>1131.3499999999999</v>
      </c>
      <c r="L97" s="447">
        <v>1106.1199999999999</v>
      </c>
      <c r="M97" s="447">
        <v>1077.55</v>
      </c>
      <c r="N97" s="447">
        <v>635.55999999999995</v>
      </c>
      <c r="O97" s="447">
        <v>1452.88</v>
      </c>
      <c r="P97" s="447">
        <v>1372.73</v>
      </c>
      <c r="Q97" s="447">
        <v>1217.6500000000001</v>
      </c>
      <c r="R97" s="447">
        <v>862.24</v>
      </c>
      <c r="S97" s="447">
        <v>794.04</v>
      </c>
      <c r="T97" s="448" t="s">
        <v>308</v>
      </c>
      <c r="V97" s="447">
        <f t="shared" si="25"/>
        <v>1221.1949999999999</v>
      </c>
      <c r="W97" s="447">
        <f t="shared" si="14"/>
        <v>1193.8896</v>
      </c>
      <c r="X97" s="447">
        <f t="shared" si="15"/>
        <v>1163.0855999999999</v>
      </c>
      <c r="Y97" s="447">
        <f t="shared" si="16"/>
        <v>1153.9769999999999</v>
      </c>
      <c r="Z97" s="447">
        <f t="shared" si="17"/>
        <v>1128.2423999999999</v>
      </c>
      <c r="AA97" s="447">
        <f t="shared" si="18"/>
        <v>1099.1009999999999</v>
      </c>
      <c r="AB97" s="447">
        <f t="shared" si="19"/>
        <v>648.27119999999991</v>
      </c>
      <c r="AC97" s="447">
        <f t="shared" si="20"/>
        <v>1481.9376000000002</v>
      </c>
      <c r="AD97" s="447">
        <f t="shared" si="21"/>
        <v>1400.1846</v>
      </c>
      <c r="AE97" s="447">
        <f t="shared" si="22"/>
        <v>1242.0030000000002</v>
      </c>
      <c r="AF97" s="447">
        <f t="shared" si="23"/>
        <v>879.48480000000006</v>
      </c>
      <c r="AG97" s="447">
        <f t="shared" si="24"/>
        <v>809.92079999999999</v>
      </c>
      <c r="AH97" s="448" t="s">
        <v>308</v>
      </c>
    </row>
    <row r="98" spans="1:34" ht="16.5" hidden="1" thickBot="1">
      <c r="A98" s="419">
        <v>2017</v>
      </c>
      <c r="B98" s="426" t="s">
        <v>317</v>
      </c>
      <c r="C98" s="421" t="s">
        <v>313</v>
      </c>
      <c r="D98" s="421" t="s">
        <v>314</v>
      </c>
      <c r="E98" s="422" t="s">
        <v>306</v>
      </c>
      <c r="F98" s="434" t="s">
        <v>315</v>
      </c>
      <c r="G98" s="424" t="s">
        <v>214</v>
      </c>
      <c r="H98" s="449">
        <v>1915.6</v>
      </c>
      <c r="I98" s="449">
        <v>1872.78</v>
      </c>
      <c r="J98" s="449">
        <v>1824.45</v>
      </c>
      <c r="K98" s="449">
        <v>1810.16</v>
      </c>
      <c r="L98" s="449">
        <v>1769.78</v>
      </c>
      <c r="M98" s="449">
        <v>1724.09</v>
      </c>
      <c r="N98" s="449">
        <v>1016.89</v>
      </c>
      <c r="O98" s="449">
        <v>2324.6</v>
      </c>
      <c r="P98" s="449">
        <v>2196.36</v>
      </c>
      <c r="Q98" s="449">
        <v>1948.25</v>
      </c>
      <c r="R98" s="449">
        <v>1379.59</v>
      </c>
      <c r="S98" s="449">
        <v>1270.46</v>
      </c>
      <c r="T98" s="450" t="s">
        <v>308</v>
      </c>
      <c r="V98" s="449">
        <f t="shared" si="25"/>
        <v>1953.912</v>
      </c>
      <c r="W98" s="449">
        <f t="shared" si="14"/>
        <v>1910.2356</v>
      </c>
      <c r="X98" s="449">
        <f t="shared" si="15"/>
        <v>1860.9390000000001</v>
      </c>
      <c r="Y98" s="449">
        <f t="shared" si="16"/>
        <v>1846.3632</v>
      </c>
      <c r="Z98" s="449">
        <f t="shared" si="17"/>
        <v>1805.1756</v>
      </c>
      <c r="AA98" s="449">
        <f t="shared" si="18"/>
        <v>1758.5717999999999</v>
      </c>
      <c r="AB98" s="449">
        <f t="shared" si="19"/>
        <v>1037.2278000000001</v>
      </c>
      <c r="AC98" s="449">
        <f t="shared" si="20"/>
        <v>2371.0920000000001</v>
      </c>
      <c r="AD98" s="449">
        <f t="shared" si="21"/>
        <v>2240.2872000000002</v>
      </c>
      <c r="AE98" s="449">
        <f t="shared" si="22"/>
        <v>1987.2150000000001</v>
      </c>
      <c r="AF98" s="449">
        <f t="shared" si="23"/>
        <v>1407.1817999999998</v>
      </c>
      <c r="AG98" s="449">
        <f t="shared" si="24"/>
        <v>1295.8692000000001</v>
      </c>
      <c r="AH98" s="450" t="s">
        <v>308</v>
      </c>
    </row>
    <row r="99" spans="1:34" ht="16.5" hidden="1" thickBot="1">
      <c r="A99" s="412">
        <v>2017</v>
      </c>
      <c r="B99" s="425" t="s">
        <v>317</v>
      </c>
      <c r="C99" s="414" t="s">
        <v>304</v>
      </c>
      <c r="D99" s="414" t="s">
        <v>305</v>
      </c>
      <c r="E99" s="430" t="s">
        <v>316</v>
      </c>
      <c r="F99" s="416" t="s">
        <v>307</v>
      </c>
      <c r="G99" s="417" t="s">
        <v>211</v>
      </c>
      <c r="H99" s="445">
        <v>473.69</v>
      </c>
      <c r="I99" s="445">
        <v>463.1</v>
      </c>
      <c r="J99" s="445">
        <v>451.16</v>
      </c>
      <c r="K99" s="445">
        <v>447.62</v>
      </c>
      <c r="L99" s="445">
        <v>437.64</v>
      </c>
      <c r="M99" s="445">
        <v>426.34</v>
      </c>
      <c r="N99" s="445">
        <v>251.46</v>
      </c>
      <c r="O99" s="445">
        <v>574.83000000000004</v>
      </c>
      <c r="P99" s="445">
        <v>543.12</v>
      </c>
      <c r="Q99" s="445">
        <v>481.77</v>
      </c>
      <c r="R99" s="445">
        <v>341.15</v>
      </c>
      <c r="S99" s="445">
        <v>314.16000000000003</v>
      </c>
      <c r="T99" s="446" t="s">
        <v>308</v>
      </c>
      <c r="V99" s="445">
        <f t="shared" si="25"/>
        <v>483.16379999999998</v>
      </c>
      <c r="W99" s="445">
        <f t="shared" si="14"/>
        <v>472.36200000000002</v>
      </c>
      <c r="X99" s="445">
        <f t="shared" si="15"/>
        <v>460.18320000000006</v>
      </c>
      <c r="Y99" s="445">
        <f t="shared" si="16"/>
        <v>456.57240000000002</v>
      </c>
      <c r="Z99" s="445">
        <f t="shared" si="17"/>
        <v>446.39279999999997</v>
      </c>
      <c r="AA99" s="445">
        <f t="shared" si="18"/>
        <v>434.86679999999996</v>
      </c>
      <c r="AB99" s="445">
        <f t="shared" si="19"/>
        <v>256.48920000000004</v>
      </c>
      <c r="AC99" s="445">
        <f t="shared" si="20"/>
        <v>586.3266000000001</v>
      </c>
      <c r="AD99" s="445">
        <f t="shared" si="21"/>
        <v>553.98239999999998</v>
      </c>
      <c r="AE99" s="445">
        <f t="shared" si="22"/>
        <v>491.40539999999999</v>
      </c>
      <c r="AF99" s="445">
        <f t="shared" si="23"/>
        <v>347.97299999999996</v>
      </c>
      <c r="AG99" s="445">
        <f t="shared" si="24"/>
        <v>320.44320000000005</v>
      </c>
      <c r="AH99" s="446" t="s">
        <v>308</v>
      </c>
    </row>
    <row r="100" spans="1:34" ht="16.5" hidden="1" thickBot="1">
      <c r="A100" s="418">
        <v>2017</v>
      </c>
      <c r="B100" s="152" t="s">
        <v>317</v>
      </c>
      <c r="C100" s="146" t="s">
        <v>304</v>
      </c>
      <c r="D100" s="146" t="s">
        <v>305</v>
      </c>
      <c r="E100" s="151" t="s">
        <v>316</v>
      </c>
      <c r="F100" s="148" t="s">
        <v>307</v>
      </c>
      <c r="G100" s="149" t="s">
        <v>212</v>
      </c>
      <c r="H100" s="447">
        <v>1037.3900000000001</v>
      </c>
      <c r="I100" s="447">
        <v>1014.2</v>
      </c>
      <c r="J100" s="447">
        <v>988.04</v>
      </c>
      <c r="K100" s="447">
        <v>980.29</v>
      </c>
      <c r="L100" s="447">
        <v>958.42</v>
      </c>
      <c r="M100" s="447">
        <v>933.68</v>
      </c>
      <c r="N100" s="447">
        <v>550.70000000000005</v>
      </c>
      <c r="O100" s="447">
        <v>1258.8800000000001</v>
      </c>
      <c r="P100" s="447">
        <v>1189.44</v>
      </c>
      <c r="Q100" s="447">
        <v>1055.07</v>
      </c>
      <c r="R100" s="447">
        <v>747.12</v>
      </c>
      <c r="S100" s="447">
        <v>688.02</v>
      </c>
      <c r="T100" s="448" t="s">
        <v>308</v>
      </c>
      <c r="V100" s="447">
        <f t="shared" si="25"/>
        <v>1058.1378000000002</v>
      </c>
      <c r="W100" s="447">
        <f t="shared" si="14"/>
        <v>1034.4840000000002</v>
      </c>
      <c r="X100" s="447">
        <f t="shared" si="15"/>
        <v>1007.8008</v>
      </c>
      <c r="Y100" s="447">
        <f t="shared" si="16"/>
        <v>999.89580000000001</v>
      </c>
      <c r="Z100" s="447">
        <f t="shared" si="17"/>
        <v>977.58839999999998</v>
      </c>
      <c r="AA100" s="447">
        <f t="shared" si="18"/>
        <v>952.35359999999991</v>
      </c>
      <c r="AB100" s="447">
        <f t="shared" si="19"/>
        <v>561.71400000000006</v>
      </c>
      <c r="AC100" s="447">
        <f t="shared" si="20"/>
        <v>1284.0576000000001</v>
      </c>
      <c r="AD100" s="447">
        <f t="shared" si="21"/>
        <v>1213.2288000000001</v>
      </c>
      <c r="AE100" s="447">
        <f t="shared" si="22"/>
        <v>1076.1713999999999</v>
      </c>
      <c r="AF100" s="447">
        <f t="shared" si="23"/>
        <v>762.06240000000003</v>
      </c>
      <c r="AG100" s="447">
        <f t="shared" si="24"/>
        <v>701.78039999999999</v>
      </c>
      <c r="AH100" s="448" t="s">
        <v>308</v>
      </c>
    </row>
    <row r="101" spans="1:34" ht="16.5" hidden="1" thickBot="1">
      <c r="A101" s="418">
        <v>2017</v>
      </c>
      <c r="B101" s="152" t="s">
        <v>317</v>
      </c>
      <c r="C101" s="146" t="s">
        <v>304</v>
      </c>
      <c r="D101" s="146" t="s">
        <v>305</v>
      </c>
      <c r="E101" s="151" t="s">
        <v>316</v>
      </c>
      <c r="F101" s="148" t="s">
        <v>307</v>
      </c>
      <c r="G101" s="149" t="s">
        <v>213</v>
      </c>
      <c r="H101" s="447">
        <v>900.02</v>
      </c>
      <c r="I101" s="447">
        <v>879.9</v>
      </c>
      <c r="J101" s="447">
        <v>857.19</v>
      </c>
      <c r="K101" s="447">
        <v>850.48</v>
      </c>
      <c r="L101" s="447">
        <v>831.51</v>
      </c>
      <c r="M101" s="447">
        <v>810.04</v>
      </c>
      <c r="N101" s="447">
        <v>477.77</v>
      </c>
      <c r="O101" s="447">
        <v>1092.18</v>
      </c>
      <c r="P101" s="447">
        <v>1031.94</v>
      </c>
      <c r="Q101" s="447">
        <v>915.36</v>
      </c>
      <c r="R101" s="447">
        <v>648.17999999999995</v>
      </c>
      <c r="S101" s="447">
        <v>596.91</v>
      </c>
      <c r="T101" s="448" t="s">
        <v>308</v>
      </c>
      <c r="V101" s="447">
        <f t="shared" si="25"/>
        <v>918.0204</v>
      </c>
      <c r="W101" s="447">
        <f t="shared" si="14"/>
        <v>897.49800000000005</v>
      </c>
      <c r="X101" s="447">
        <f t="shared" si="15"/>
        <v>874.33380000000011</v>
      </c>
      <c r="Y101" s="447">
        <f t="shared" si="16"/>
        <v>867.4896</v>
      </c>
      <c r="Z101" s="447">
        <f t="shared" si="17"/>
        <v>848.14020000000005</v>
      </c>
      <c r="AA101" s="447">
        <f t="shared" si="18"/>
        <v>826.24079999999992</v>
      </c>
      <c r="AB101" s="447">
        <f t="shared" si="19"/>
        <v>487.3254</v>
      </c>
      <c r="AC101" s="447">
        <f t="shared" si="20"/>
        <v>1114.0236</v>
      </c>
      <c r="AD101" s="447">
        <f t="shared" si="21"/>
        <v>1052.5788</v>
      </c>
      <c r="AE101" s="447">
        <f t="shared" si="22"/>
        <v>933.66719999999998</v>
      </c>
      <c r="AF101" s="447">
        <f t="shared" si="23"/>
        <v>661.14359999999999</v>
      </c>
      <c r="AG101" s="447">
        <f t="shared" si="24"/>
        <v>608.84820000000002</v>
      </c>
      <c r="AH101" s="448" t="s">
        <v>308</v>
      </c>
    </row>
    <row r="102" spans="1:34" ht="16.5" hidden="1" thickBot="1">
      <c r="A102" s="419">
        <v>2017</v>
      </c>
      <c r="B102" s="426" t="s">
        <v>317</v>
      </c>
      <c r="C102" s="421" t="s">
        <v>304</v>
      </c>
      <c r="D102" s="421" t="s">
        <v>305</v>
      </c>
      <c r="E102" s="431" t="s">
        <v>316</v>
      </c>
      <c r="F102" s="423" t="s">
        <v>307</v>
      </c>
      <c r="G102" s="424" t="s">
        <v>214</v>
      </c>
      <c r="H102" s="449">
        <v>1440.03</v>
      </c>
      <c r="I102" s="449">
        <v>1407.84</v>
      </c>
      <c r="J102" s="449">
        <v>1371.51</v>
      </c>
      <c r="K102" s="449">
        <v>1360.77</v>
      </c>
      <c r="L102" s="449">
        <v>1330.41</v>
      </c>
      <c r="M102" s="449">
        <v>1296.07</v>
      </c>
      <c r="N102" s="449">
        <v>764.44</v>
      </c>
      <c r="O102" s="449">
        <v>1747.49</v>
      </c>
      <c r="P102" s="449">
        <v>1651.09</v>
      </c>
      <c r="Q102" s="449">
        <v>1464.58</v>
      </c>
      <c r="R102" s="449">
        <v>1037.0899999999999</v>
      </c>
      <c r="S102" s="449">
        <v>955.05</v>
      </c>
      <c r="T102" s="450" t="s">
        <v>308</v>
      </c>
      <c r="V102" s="449">
        <f t="shared" si="25"/>
        <v>1468.8306</v>
      </c>
      <c r="W102" s="449">
        <f t="shared" si="14"/>
        <v>1435.9967999999999</v>
      </c>
      <c r="X102" s="449">
        <f t="shared" si="15"/>
        <v>1398.9402</v>
      </c>
      <c r="Y102" s="449">
        <f t="shared" si="16"/>
        <v>1387.9854</v>
      </c>
      <c r="Z102" s="449">
        <f t="shared" si="17"/>
        <v>1357.0182000000002</v>
      </c>
      <c r="AA102" s="449">
        <f t="shared" si="18"/>
        <v>1321.9913999999999</v>
      </c>
      <c r="AB102" s="449">
        <f t="shared" si="19"/>
        <v>779.72880000000009</v>
      </c>
      <c r="AC102" s="449">
        <f t="shared" si="20"/>
        <v>1782.4398000000001</v>
      </c>
      <c r="AD102" s="449">
        <f t="shared" si="21"/>
        <v>1684.1117999999999</v>
      </c>
      <c r="AE102" s="449">
        <f t="shared" si="22"/>
        <v>1493.8715999999999</v>
      </c>
      <c r="AF102" s="449">
        <f t="shared" si="23"/>
        <v>1057.8317999999999</v>
      </c>
      <c r="AG102" s="449">
        <f t="shared" si="24"/>
        <v>974.15099999999995</v>
      </c>
      <c r="AH102" s="450" t="s">
        <v>308</v>
      </c>
    </row>
    <row r="103" spans="1:34" ht="16.5" hidden="1" thickBot="1">
      <c r="A103" s="412">
        <v>2017</v>
      </c>
      <c r="B103" s="425" t="s">
        <v>317</v>
      </c>
      <c r="C103" s="414" t="s">
        <v>309</v>
      </c>
      <c r="D103" s="414" t="s">
        <v>310</v>
      </c>
      <c r="E103" s="430" t="s">
        <v>316</v>
      </c>
      <c r="F103" s="416" t="s">
        <v>307</v>
      </c>
      <c r="G103" s="417" t="s">
        <v>211</v>
      </c>
      <c r="H103" s="445">
        <v>520.54</v>
      </c>
      <c r="I103" s="445">
        <v>508.91</v>
      </c>
      <c r="J103" s="445">
        <v>495.78</v>
      </c>
      <c r="K103" s="445">
        <v>491.89</v>
      </c>
      <c r="L103" s="445">
        <v>480.92</v>
      </c>
      <c r="M103" s="445">
        <v>468.5</v>
      </c>
      <c r="N103" s="445">
        <v>276.33</v>
      </c>
      <c r="O103" s="445">
        <v>631.67999999999995</v>
      </c>
      <c r="P103" s="445">
        <v>596.84</v>
      </c>
      <c r="Q103" s="445">
        <v>529.41999999999996</v>
      </c>
      <c r="R103" s="445">
        <v>374.89</v>
      </c>
      <c r="S103" s="445">
        <v>345.23</v>
      </c>
      <c r="T103" s="446" t="s">
        <v>308</v>
      </c>
      <c r="V103" s="445">
        <f t="shared" si="25"/>
        <v>530.95079999999996</v>
      </c>
      <c r="W103" s="445">
        <f t="shared" si="14"/>
        <v>519.08820000000003</v>
      </c>
      <c r="X103" s="445">
        <f t="shared" si="15"/>
        <v>505.69559999999996</v>
      </c>
      <c r="Y103" s="445">
        <f t="shared" si="16"/>
        <v>501.7278</v>
      </c>
      <c r="Z103" s="445">
        <f t="shared" si="17"/>
        <v>490.53840000000002</v>
      </c>
      <c r="AA103" s="445">
        <f t="shared" si="18"/>
        <v>477.87</v>
      </c>
      <c r="AB103" s="445">
        <f t="shared" si="19"/>
        <v>281.85660000000001</v>
      </c>
      <c r="AC103" s="445">
        <f t="shared" si="20"/>
        <v>644.31359999999995</v>
      </c>
      <c r="AD103" s="445">
        <f t="shared" si="21"/>
        <v>608.77680000000009</v>
      </c>
      <c r="AE103" s="445">
        <f t="shared" si="22"/>
        <v>540.00839999999994</v>
      </c>
      <c r="AF103" s="445">
        <f t="shared" si="23"/>
        <v>382.38779999999997</v>
      </c>
      <c r="AG103" s="445">
        <f t="shared" si="24"/>
        <v>352.13460000000003</v>
      </c>
      <c r="AH103" s="446" t="s">
        <v>308</v>
      </c>
    </row>
    <row r="104" spans="1:34" ht="16.5" hidden="1" thickBot="1">
      <c r="A104" s="418">
        <v>2017</v>
      </c>
      <c r="B104" s="152" t="s">
        <v>317</v>
      </c>
      <c r="C104" s="146" t="s">
        <v>309</v>
      </c>
      <c r="D104" s="146" t="s">
        <v>310</v>
      </c>
      <c r="E104" s="151" t="s">
        <v>316</v>
      </c>
      <c r="F104" s="148" t="s">
        <v>307</v>
      </c>
      <c r="G104" s="149" t="s">
        <v>212</v>
      </c>
      <c r="H104" s="447">
        <v>1139.99</v>
      </c>
      <c r="I104" s="447">
        <v>1114.5</v>
      </c>
      <c r="J104" s="447">
        <v>1085.76</v>
      </c>
      <c r="K104" s="447">
        <v>1077.24</v>
      </c>
      <c r="L104" s="447">
        <v>1053.21</v>
      </c>
      <c r="M104" s="447">
        <v>1026.02</v>
      </c>
      <c r="N104" s="447">
        <v>605.16999999999996</v>
      </c>
      <c r="O104" s="447">
        <v>1383.39</v>
      </c>
      <c r="P104" s="447">
        <v>1307.08</v>
      </c>
      <c r="Q104" s="447">
        <v>1159.42</v>
      </c>
      <c r="R104" s="447">
        <v>821.01</v>
      </c>
      <c r="S104" s="447">
        <v>756.06</v>
      </c>
      <c r="T104" s="448" t="s">
        <v>308</v>
      </c>
      <c r="V104" s="447">
        <f t="shared" si="25"/>
        <v>1162.7898</v>
      </c>
      <c r="W104" s="447">
        <f t="shared" si="14"/>
        <v>1136.79</v>
      </c>
      <c r="X104" s="447">
        <f t="shared" si="15"/>
        <v>1107.4752000000001</v>
      </c>
      <c r="Y104" s="447">
        <f t="shared" si="16"/>
        <v>1098.7848000000001</v>
      </c>
      <c r="Z104" s="447">
        <f t="shared" si="17"/>
        <v>1074.2742000000001</v>
      </c>
      <c r="AA104" s="447">
        <f t="shared" si="18"/>
        <v>1046.5404000000001</v>
      </c>
      <c r="AB104" s="447">
        <f t="shared" si="19"/>
        <v>617.27339999999992</v>
      </c>
      <c r="AC104" s="447">
        <f t="shared" si="20"/>
        <v>1411.0578</v>
      </c>
      <c r="AD104" s="447">
        <f t="shared" si="21"/>
        <v>1333.2215999999999</v>
      </c>
      <c r="AE104" s="447">
        <f t="shared" si="22"/>
        <v>1182.6084000000001</v>
      </c>
      <c r="AF104" s="447">
        <f t="shared" si="23"/>
        <v>837.43020000000001</v>
      </c>
      <c r="AG104" s="447">
        <f t="shared" si="24"/>
        <v>771.18119999999999</v>
      </c>
      <c r="AH104" s="448" t="s">
        <v>308</v>
      </c>
    </row>
    <row r="105" spans="1:34" ht="16.5" hidden="1" thickBot="1">
      <c r="A105" s="418">
        <v>2017</v>
      </c>
      <c r="B105" s="152" t="s">
        <v>317</v>
      </c>
      <c r="C105" s="146" t="s">
        <v>309</v>
      </c>
      <c r="D105" s="146" t="s">
        <v>310</v>
      </c>
      <c r="E105" s="151" t="s">
        <v>316</v>
      </c>
      <c r="F105" s="148" t="s">
        <v>307</v>
      </c>
      <c r="G105" s="149" t="s">
        <v>213</v>
      </c>
      <c r="H105" s="447">
        <v>989.04</v>
      </c>
      <c r="I105" s="447">
        <v>966.92</v>
      </c>
      <c r="J105" s="447">
        <v>941.97</v>
      </c>
      <c r="K105" s="447">
        <v>934.59</v>
      </c>
      <c r="L105" s="447">
        <v>913.75</v>
      </c>
      <c r="M105" s="447">
        <v>890.15</v>
      </c>
      <c r="N105" s="447">
        <v>525.03</v>
      </c>
      <c r="O105" s="447">
        <v>1200.2</v>
      </c>
      <c r="P105" s="447">
        <v>1134</v>
      </c>
      <c r="Q105" s="447">
        <v>1005.89</v>
      </c>
      <c r="R105" s="447">
        <v>712.29</v>
      </c>
      <c r="S105" s="447">
        <v>655.95</v>
      </c>
      <c r="T105" s="448" t="s">
        <v>308</v>
      </c>
      <c r="V105" s="447">
        <f t="shared" si="25"/>
        <v>1008.8208</v>
      </c>
      <c r="W105" s="447">
        <f t="shared" si="14"/>
        <v>986.25839999999994</v>
      </c>
      <c r="X105" s="447">
        <f t="shared" si="15"/>
        <v>960.8094000000001</v>
      </c>
      <c r="Y105" s="447">
        <f t="shared" si="16"/>
        <v>953.28180000000009</v>
      </c>
      <c r="Z105" s="447">
        <f t="shared" si="17"/>
        <v>932.02499999999998</v>
      </c>
      <c r="AA105" s="447">
        <f t="shared" si="18"/>
        <v>907.95299999999997</v>
      </c>
      <c r="AB105" s="447">
        <f t="shared" si="19"/>
        <v>535.53059999999994</v>
      </c>
      <c r="AC105" s="447">
        <f t="shared" si="20"/>
        <v>1224.2040000000002</v>
      </c>
      <c r="AD105" s="447">
        <f t="shared" si="21"/>
        <v>1156.68</v>
      </c>
      <c r="AE105" s="447">
        <f t="shared" si="22"/>
        <v>1026.0078000000001</v>
      </c>
      <c r="AF105" s="447">
        <f t="shared" si="23"/>
        <v>726.53579999999999</v>
      </c>
      <c r="AG105" s="447">
        <f t="shared" si="24"/>
        <v>669.06900000000007</v>
      </c>
      <c r="AH105" s="448" t="s">
        <v>308</v>
      </c>
    </row>
    <row r="106" spans="1:34" ht="16.5" hidden="1" thickBot="1">
      <c r="A106" s="419">
        <v>2017</v>
      </c>
      <c r="B106" s="426" t="s">
        <v>317</v>
      </c>
      <c r="C106" s="421" t="s">
        <v>309</v>
      </c>
      <c r="D106" s="421" t="s">
        <v>310</v>
      </c>
      <c r="E106" s="431" t="s">
        <v>316</v>
      </c>
      <c r="F106" s="423" t="s">
        <v>307</v>
      </c>
      <c r="G106" s="424" t="s">
        <v>214</v>
      </c>
      <c r="H106" s="449">
        <v>1582.45</v>
      </c>
      <c r="I106" s="449">
        <v>1547.08</v>
      </c>
      <c r="J106" s="449">
        <v>1507.16</v>
      </c>
      <c r="K106" s="449">
        <v>1495.35</v>
      </c>
      <c r="L106" s="449">
        <v>1461.99</v>
      </c>
      <c r="M106" s="449">
        <v>1424.25</v>
      </c>
      <c r="N106" s="449">
        <v>840.04</v>
      </c>
      <c r="O106" s="449">
        <v>1920.32</v>
      </c>
      <c r="P106" s="449">
        <v>1814.39</v>
      </c>
      <c r="Q106" s="449">
        <v>1609.42</v>
      </c>
      <c r="R106" s="449">
        <v>1139.6600000000001</v>
      </c>
      <c r="S106" s="449">
        <v>1049.51</v>
      </c>
      <c r="T106" s="450" t="s">
        <v>308</v>
      </c>
      <c r="V106" s="449">
        <f t="shared" si="25"/>
        <v>1614.0990000000002</v>
      </c>
      <c r="W106" s="449">
        <f t="shared" si="14"/>
        <v>1578.0216</v>
      </c>
      <c r="X106" s="449">
        <f t="shared" si="15"/>
        <v>1537.3032000000001</v>
      </c>
      <c r="Y106" s="449">
        <f t="shared" si="16"/>
        <v>1525.2569999999998</v>
      </c>
      <c r="Z106" s="449">
        <f t="shared" si="17"/>
        <v>1491.2298000000001</v>
      </c>
      <c r="AA106" s="449">
        <f t="shared" si="18"/>
        <v>1452.7350000000001</v>
      </c>
      <c r="AB106" s="449">
        <f t="shared" si="19"/>
        <v>856.84079999999994</v>
      </c>
      <c r="AC106" s="449">
        <f t="shared" si="20"/>
        <v>1958.7264</v>
      </c>
      <c r="AD106" s="449">
        <f t="shared" si="21"/>
        <v>1850.6778000000002</v>
      </c>
      <c r="AE106" s="449">
        <f t="shared" si="22"/>
        <v>1641.6084000000001</v>
      </c>
      <c r="AF106" s="449">
        <f t="shared" si="23"/>
        <v>1162.4532000000002</v>
      </c>
      <c r="AG106" s="449">
        <f t="shared" si="24"/>
        <v>1070.5001999999999</v>
      </c>
      <c r="AH106" s="450" t="s">
        <v>308</v>
      </c>
    </row>
    <row r="107" spans="1:34" ht="16.5" hidden="1" thickBot="1">
      <c r="A107" s="412">
        <v>2017</v>
      </c>
      <c r="B107" s="425" t="s">
        <v>317</v>
      </c>
      <c r="C107" s="414" t="s">
        <v>311</v>
      </c>
      <c r="D107" s="414" t="s">
        <v>312</v>
      </c>
      <c r="E107" s="430" t="s">
        <v>316</v>
      </c>
      <c r="F107" s="416" t="s">
        <v>307</v>
      </c>
      <c r="G107" s="417" t="s">
        <v>211</v>
      </c>
      <c r="H107" s="445">
        <v>547.94000000000005</v>
      </c>
      <c r="I107" s="445">
        <v>535.69000000000005</v>
      </c>
      <c r="J107" s="445">
        <v>521.87</v>
      </c>
      <c r="K107" s="445">
        <v>517.78</v>
      </c>
      <c r="L107" s="445">
        <v>506.23</v>
      </c>
      <c r="M107" s="445">
        <v>493.16</v>
      </c>
      <c r="N107" s="445">
        <v>290.87</v>
      </c>
      <c r="O107" s="445">
        <v>664.93</v>
      </c>
      <c r="P107" s="445">
        <v>628.25</v>
      </c>
      <c r="Q107" s="445">
        <v>557.28</v>
      </c>
      <c r="R107" s="445">
        <v>394.62</v>
      </c>
      <c r="S107" s="445">
        <v>363.4</v>
      </c>
      <c r="T107" s="446" t="s">
        <v>308</v>
      </c>
      <c r="V107" s="445">
        <f t="shared" si="25"/>
        <v>558.89880000000005</v>
      </c>
      <c r="W107" s="445">
        <f t="shared" si="14"/>
        <v>546.40380000000005</v>
      </c>
      <c r="X107" s="445">
        <f t="shared" si="15"/>
        <v>532.30740000000003</v>
      </c>
      <c r="Y107" s="445">
        <f t="shared" si="16"/>
        <v>528.13559999999995</v>
      </c>
      <c r="Z107" s="445">
        <f t="shared" si="17"/>
        <v>516.3546</v>
      </c>
      <c r="AA107" s="445">
        <f t="shared" si="18"/>
        <v>503.02320000000003</v>
      </c>
      <c r="AB107" s="445">
        <f t="shared" si="19"/>
        <v>296.68740000000003</v>
      </c>
      <c r="AC107" s="445">
        <f t="shared" si="20"/>
        <v>678.22859999999991</v>
      </c>
      <c r="AD107" s="445">
        <f t="shared" si="21"/>
        <v>640.81500000000005</v>
      </c>
      <c r="AE107" s="445">
        <f t="shared" si="22"/>
        <v>568.42560000000003</v>
      </c>
      <c r="AF107" s="445">
        <f t="shared" si="23"/>
        <v>402.51240000000001</v>
      </c>
      <c r="AG107" s="445">
        <f t="shared" si="24"/>
        <v>370.66800000000001</v>
      </c>
      <c r="AH107" s="446" t="s">
        <v>308</v>
      </c>
    </row>
    <row r="108" spans="1:34" ht="16.5" hidden="1" thickBot="1">
      <c r="A108" s="418">
        <v>2017</v>
      </c>
      <c r="B108" s="152" t="s">
        <v>317</v>
      </c>
      <c r="C108" s="146" t="s">
        <v>311</v>
      </c>
      <c r="D108" s="146" t="s">
        <v>312</v>
      </c>
      <c r="E108" s="151" t="s">
        <v>316</v>
      </c>
      <c r="F108" s="148" t="s">
        <v>307</v>
      </c>
      <c r="G108" s="149" t="s">
        <v>212</v>
      </c>
      <c r="H108" s="447">
        <v>1199.99</v>
      </c>
      <c r="I108" s="447">
        <v>1173.1600000000001</v>
      </c>
      <c r="J108" s="447">
        <v>1142.9000000000001</v>
      </c>
      <c r="K108" s="447">
        <v>1133.94</v>
      </c>
      <c r="L108" s="447">
        <v>1108.6400000000001</v>
      </c>
      <c r="M108" s="447">
        <v>1080.02</v>
      </c>
      <c r="N108" s="447">
        <v>637.02</v>
      </c>
      <c r="O108" s="447">
        <v>1456.2</v>
      </c>
      <c r="P108" s="447">
        <v>1375.87</v>
      </c>
      <c r="Q108" s="447">
        <v>1220.44</v>
      </c>
      <c r="R108" s="447">
        <v>864.22</v>
      </c>
      <c r="S108" s="447">
        <v>795.85</v>
      </c>
      <c r="T108" s="448" t="s">
        <v>308</v>
      </c>
      <c r="V108" s="447">
        <f t="shared" si="25"/>
        <v>1223.9898000000001</v>
      </c>
      <c r="W108" s="447">
        <f t="shared" si="14"/>
        <v>1196.6232</v>
      </c>
      <c r="X108" s="447">
        <f t="shared" si="15"/>
        <v>1165.758</v>
      </c>
      <c r="Y108" s="447">
        <f t="shared" si="16"/>
        <v>1156.6188</v>
      </c>
      <c r="Z108" s="447">
        <f t="shared" si="17"/>
        <v>1130.8128000000002</v>
      </c>
      <c r="AA108" s="447">
        <f t="shared" si="18"/>
        <v>1101.6204</v>
      </c>
      <c r="AB108" s="447">
        <f t="shared" si="19"/>
        <v>649.7604</v>
      </c>
      <c r="AC108" s="447">
        <f t="shared" si="20"/>
        <v>1485.3240000000001</v>
      </c>
      <c r="AD108" s="447">
        <f t="shared" si="21"/>
        <v>1403.3873999999998</v>
      </c>
      <c r="AE108" s="447">
        <f t="shared" si="22"/>
        <v>1244.8488</v>
      </c>
      <c r="AF108" s="447">
        <f t="shared" si="23"/>
        <v>881.50440000000003</v>
      </c>
      <c r="AG108" s="447">
        <f t="shared" si="24"/>
        <v>811.76700000000005</v>
      </c>
      <c r="AH108" s="448" t="s">
        <v>308</v>
      </c>
    </row>
    <row r="109" spans="1:34" ht="16.5" hidden="1" thickBot="1">
      <c r="A109" s="418">
        <v>2017</v>
      </c>
      <c r="B109" s="152" t="s">
        <v>317</v>
      </c>
      <c r="C109" s="146" t="s">
        <v>311</v>
      </c>
      <c r="D109" s="146" t="s">
        <v>312</v>
      </c>
      <c r="E109" s="151" t="s">
        <v>316</v>
      </c>
      <c r="F109" s="148" t="s">
        <v>307</v>
      </c>
      <c r="G109" s="149" t="s">
        <v>213</v>
      </c>
      <c r="H109" s="447">
        <v>1041.0899999999999</v>
      </c>
      <c r="I109" s="447">
        <v>1017.81</v>
      </c>
      <c r="J109" s="447">
        <v>991.55</v>
      </c>
      <c r="K109" s="447">
        <v>983.78</v>
      </c>
      <c r="L109" s="447">
        <v>961.84</v>
      </c>
      <c r="M109" s="447">
        <v>937</v>
      </c>
      <c r="N109" s="447">
        <v>552.66</v>
      </c>
      <c r="O109" s="447">
        <v>1263.3699999999999</v>
      </c>
      <c r="P109" s="447">
        <v>1193.68</v>
      </c>
      <c r="Q109" s="447">
        <v>1058.83</v>
      </c>
      <c r="R109" s="447">
        <v>749.78</v>
      </c>
      <c r="S109" s="447">
        <v>690.47</v>
      </c>
      <c r="T109" s="448" t="s">
        <v>308</v>
      </c>
      <c r="V109" s="447">
        <f t="shared" si="25"/>
        <v>1061.9117999999999</v>
      </c>
      <c r="W109" s="447">
        <f t="shared" si="14"/>
        <v>1038.1661999999999</v>
      </c>
      <c r="X109" s="447">
        <f t="shared" si="15"/>
        <v>1011.381</v>
      </c>
      <c r="Y109" s="447">
        <f t="shared" si="16"/>
        <v>1003.4556</v>
      </c>
      <c r="Z109" s="447">
        <f t="shared" si="17"/>
        <v>981.07680000000005</v>
      </c>
      <c r="AA109" s="447">
        <f t="shared" si="18"/>
        <v>955.74</v>
      </c>
      <c r="AB109" s="447">
        <f t="shared" si="19"/>
        <v>563.71320000000003</v>
      </c>
      <c r="AC109" s="447">
        <f t="shared" si="20"/>
        <v>1288.6373999999998</v>
      </c>
      <c r="AD109" s="447">
        <f t="shared" si="21"/>
        <v>1217.5536000000002</v>
      </c>
      <c r="AE109" s="447">
        <f t="shared" si="22"/>
        <v>1080.0065999999999</v>
      </c>
      <c r="AF109" s="447">
        <f t="shared" si="23"/>
        <v>764.77559999999994</v>
      </c>
      <c r="AG109" s="447">
        <f t="shared" si="24"/>
        <v>704.27940000000001</v>
      </c>
      <c r="AH109" s="448" t="s">
        <v>308</v>
      </c>
    </row>
    <row r="110" spans="1:34" ht="16.5" hidden="1" thickBot="1">
      <c r="A110" s="419">
        <v>2017</v>
      </c>
      <c r="B110" s="426" t="s">
        <v>317</v>
      </c>
      <c r="C110" s="421" t="s">
        <v>311</v>
      </c>
      <c r="D110" s="421" t="s">
        <v>312</v>
      </c>
      <c r="E110" s="431" t="s">
        <v>316</v>
      </c>
      <c r="F110" s="423" t="s">
        <v>307</v>
      </c>
      <c r="G110" s="424" t="s">
        <v>214</v>
      </c>
      <c r="H110" s="449">
        <v>1665.74</v>
      </c>
      <c r="I110" s="449">
        <v>1628.5</v>
      </c>
      <c r="J110" s="449">
        <v>1586.48</v>
      </c>
      <c r="K110" s="449">
        <v>1574.05</v>
      </c>
      <c r="L110" s="449">
        <v>1538.94</v>
      </c>
      <c r="M110" s="449">
        <v>1499.21</v>
      </c>
      <c r="N110" s="449">
        <v>884.26</v>
      </c>
      <c r="O110" s="449">
        <v>2021.39</v>
      </c>
      <c r="P110" s="449">
        <v>1909.88</v>
      </c>
      <c r="Q110" s="449">
        <v>1694.13</v>
      </c>
      <c r="R110" s="449">
        <v>1199.6400000000001</v>
      </c>
      <c r="S110" s="449">
        <v>1104.75</v>
      </c>
      <c r="T110" s="450" t="s">
        <v>308</v>
      </c>
      <c r="V110" s="449">
        <f t="shared" si="25"/>
        <v>1699.0548000000001</v>
      </c>
      <c r="W110" s="449">
        <f t="shared" si="14"/>
        <v>1661.07</v>
      </c>
      <c r="X110" s="449">
        <f t="shared" si="15"/>
        <v>1618.2096000000001</v>
      </c>
      <c r="Y110" s="449">
        <f t="shared" si="16"/>
        <v>1605.5309999999999</v>
      </c>
      <c r="Z110" s="449">
        <f t="shared" si="17"/>
        <v>1569.7188000000001</v>
      </c>
      <c r="AA110" s="449">
        <f t="shared" si="18"/>
        <v>1529.1942000000001</v>
      </c>
      <c r="AB110" s="449">
        <f t="shared" si="19"/>
        <v>901.9452</v>
      </c>
      <c r="AC110" s="449">
        <f t="shared" si="20"/>
        <v>2061.8178000000003</v>
      </c>
      <c r="AD110" s="449">
        <f t="shared" si="21"/>
        <v>1948.0776000000001</v>
      </c>
      <c r="AE110" s="449">
        <f t="shared" si="22"/>
        <v>1728.0126000000002</v>
      </c>
      <c r="AF110" s="449">
        <f t="shared" si="23"/>
        <v>1223.6328000000001</v>
      </c>
      <c r="AG110" s="449">
        <f t="shared" si="24"/>
        <v>1126.845</v>
      </c>
      <c r="AH110" s="450" t="s">
        <v>308</v>
      </c>
    </row>
    <row r="111" spans="1:34" ht="16.5" hidden="1" thickBot="1">
      <c r="A111" s="412">
        <v>2017</v>
      </c>
      <c r="B111" s="425" t="s">
        <v>317</v>
      </c>
      <c r="C111" s="414" t="s">
        <v>313</v>
      </c>
      <c r="D111" s="414" t="s">
        <v>314</v>
      </c>
      <c r="E111" s="430" t="s">
        <v>316</v>
      </c>
      <c r="F111" s="416" t="s">
        <v>307</v>
      </c>
      <c r="G111" s="417" t="s">
        <v>211</v>
      </c>
      <c r="H111" s="445">
        <v>630.13</v>
      </c>
      <c r="I111" s="445">
        <v>616.04</v>
      </c>
      <c r="J111" s="445">
        <v>600.15</v>
      </c>
      <c r="K111" s="445">
        <v>595.45000000000005</v>
      </c>
      <c r="L111" s="445">
        <v>582.16</v>
      </c>
      <c r="M111" s="445">
        <v>567.13</v>
      </c>
      <c r="N111" s="445">
        <v>334.51</v>
      </c>
      <c r="O111" s="445">
        <v>764.67</v>
      </c>
      <c r="P111" s="445">
        <v>722.49</v>
      </c>
      <c r="Q111" s="445">
        <v>640.87</v>
      </c>
      <c r="R111" s="445">
        <v>453.81</v>
      </c>
      <c r="S111" s="445">
        <v>417.92</v>
      </c>
      <c r="T111" s="446" t="s">
        <v>308</v>
      </c>
      <c r="V111" s="445">
        <f t="shared" si="25"/>
        <v>642.73260000000005</v>
      </c>
      <c r="W111" s="445">
        <f t="shared" si="14"/>
        <v>628.36079999999993</v>
      </c>
      <c r="X111" s="445">
        <f t="shared" si="15"/>
        <v>612.15300000000002</v>
      </c>
      <c r="Y111" s="445">
        <f t="shared" si="16"/>
        <v>607.35900000000004</v>
      </c>
      <c r="Z111" s="445">
        <f t="shared" si="17"/>
        <v>593.80319999999995</v>
      </c>
      <c r="AA111" s="445">
        <f t="shared" si="18"/>
        <v>578.47260000000006</v>
      </c>
      <c r="AB111" s="445">
        <f t="shared" si="19"/>
        <v>341.2002</v>
      </c>
      <c r="AC111" s="445">
        <f t="shared" si="20"/>
        <v>779.96339999999998</v>
      </c>
      <c r="AD111" s="445">
        <f t="shared" si="21"/>
        <v>736.93979999999999</v>
      </c>
      <c r="AE111" s="445">
        <f t="shared" si="22"/>
        <v>653.68740000000003</v>
      </c>
      <c r="AF111" s="445">
        <f t="shared" si="23"/>
        <v>462.88620000000003</v>
      </c>
      <c r="AG111" s="445">
        <f t="shared" si="24"/>
        <v>426.27840000000003</v>
      </c>
      <c r="AH111" s="446" t="s">
        <v>308</v>
      </c>
    </row>
    <row r="112" spans="1:34" ht="16.5" hidden="1" thickBot="1">
      <c r="A112" s="418">
        <v>2017</v>
      </c>
      <c r="B112" s="152" t="s">
        <v>317</v>
      </c>
      <c r="C112" s="146" t="s">
        <v>313</v>
      </c>
      <c r="D112" s="146" t="s">
        <v>314</v>
      </c>
      <c r="E112" s="151" t="s">
        <v>316</v>
      </c>
      <c r="F112" s="148" t="s">
        <v>307</v>
      </c>
      <c r="G112" s="149" t="s">
        <v>212</v>
      </c>
      <c r="H112" s="447">
        <v>1379.99</v>
      </c>
      <c r="I112" s="447">
        <v>1349.13</v>
      </c>
      <c r="J112" s="447">
        <v>1314.34</v>
      </c>
      <c r="K112" s="447">
        <v>1304.03</v>
      </c>
      <c r="L112" s="447">
        <v>1274.94</v>
      </c>
      <c r="M112" s="447">
        <v>1242.02</v>
      </c>
      <c r="N112" s="447">
        <v>732.57</v>
      </c>
      <c r="O112" s="447">
        <v>1674.63</v>
      </c>
      <c r="P112" s="447">
        <v>1582.25</v>
      </c>
      <c r="Q112" s="447">
        <v>1403.51</v>
      </c>
      <c r="R112" s="447">
        <v>993.86</v>
      </c>
      <c r="S112" s="447">
        <v>915.23</v>
      </c>
      <c r="T112" s="448" t="s">
        <v>308</v>
      </c>
      <c r="V112" s="447">
        <f t="shared" si="25"/>
        <v>1407.5898</v>
      </c>
      <c r="W112" s="447">
        <f t="shared" si="14"/>
        <v>1376.1126000000002</v>
      </c>
      <c r="X112" s="447">
        <f t="shared" si="15"/>
        <v>1340.6268</v>
      </c>
      <c r="Y112" s="447">
        <f t="shared" si="16"/>
        <v>1330.1106</v>
      </c>
      <c r="Z112" s="447">
        <f t="shared" si="17"/>
        <v>1300.4388000000001</v>
      </c>
      <c r="AA112" s="447">
        <f t="shared" si="18"/>
        <v>1266.8604</v>
      </c>
      <c r="AB112" s="447">
        <f t="shared" si="19"/>
        <v>747.22140000000002</v>
      </c>
      <c r="AC112" s="447">
        <f t="shared" si="20"/>
        <v>1708.1226000000001</v>
      </c>
      <c r="AD112" s="447">
        <f t="shared" si="21"/>
        <v>1613.895</v>
      </c>
      <c r="AE112" s="447">
        <f t="shared" si="22"/>
        <v>1431.5802000000001</v>
      </c>
      <c r="AF112" s="447">
        <f t="shared" si="23"/>
        <v>1013.7372</v>
      </c>
      <c r="AG112" s="447">
        <f t="shared" si="24"/>
        <v>933.53460000000007</v>
      </c>
      <c r="AH112" s="448" t="s">
        <v>308</v>
      </c>
    </row>
    <row r="113" spans="1:34" ht="16.5" hidden="1" thickBot="1">
      <c r="A113" s="418">
        <v>2017</v>
      </c>
      <c r="B113" s="152" t="s">
        <v>317</v>
      </c>
      <c r="C113" s="146" t="s">
        <v>313</v>
      </c>
      <c r="D113" s="146" t="s">
        <v>314</v>
      </c>
      <c r="E113" s="151" t="s">
        <v>316</v>
      </c>
      <c r="F113" s="148" t="s">
        <v>307</v>
      </c>
      <c r="G113" s="149" t="s">
        <v>213</v>
      </c>
      <c r="H113" s="447">
        <v>1197.25</v>
      </c>
      <c r="I113" s="447">
        <v>1170.48</v>
      </c>
      <c r="J113" s="447">
        <v>1140.28</v>
      </c>
      <c r="K113" s="447">
        <v>1131.3499999999999</v>
      </c>
      <c r="L113" s="447">
        <v>1106.1199999999999</v>
      </c>
      <c r="M113" s="447">
        <v>1077.55</v>
      </c>
      <c r="N113" s="447">
        <v>635.55999999999995</v>
      </c>
      <c r="O113" s="447">
        <v>1452.88</v>
      </c>
      <c r="P113" s="447">
        <v>1372.73</v>
      </c>
      <c r="Q113" s="447">
        <v>1217.6500000000001</v>
      </c>
      <c r="R113" s="447">
        <v>862.24</v>
      </c>
      <c r="S113" s="447">
        <v>794.04</v>
      </c>
      <c r="T113" s="448" t="s">
        <v>308</v>
      </c>
      <c r="V113" s="447">
        <f t="shared" si="25"/>
        <v>1221.1949999999999</v>
      </c>
      <c r="W113" s="447">
        <f t="shared" si="14"/>
        <v>1193.8896</v>
      </c>
      <c r="X113" s="447">
        <f t="shared" si="15"/>
        <v>1163.0855999999999</v>
      </c>
      <c r="Y113" s="447">
        <f t="shared" si="16"/>
        <v>1153.9769999999999</v>
      </c>
      <c r="Z113" s="447">
        <f t="shared" si="17"/>
        <v>1128.2423999999999</v>
      </c>
      <c r="AA113" s="447">
        <f t="shared" si="18"/>
        <v>1099.1009999999999</v>
      </c>
      <c r="AB113" s="447">
        <f t="shared" si="19"/>
        <v>648.27119999999991</v>
      </c>
      <c r="AC113" s="447">
        <f t="shared" si="20"/>
        <v>1481.9376000000002</v>
      </c>
      <c r="AD113" s="447">
        <f t="shared" si="21"/>
        <v>1400.1846</v>
      </c>
      <c r="AE113" s="447">
        <f t="shared" si="22"/>
        <v>1242.0030000000002</v>
      </c>
      <c r="AF113" s="447">
        <f t="shared" si="23"/>
        <v>879.48480000000006</v>
      </c>
      <c r="AG113" s="447">
        <f t="shared" si="24"/>
        <v>809.92079999999999</v>
      </c>
      <c r="AH113" s="448" t="s">
        <v>308</v>
      </c>
    </row>
    <row r="114" spans="1:34" ht="16.5" hidden="1" thickBot="1">
      <c r="A114" s="419">
        <v>2017</v>
      </c>
      <c r="B114" s="426" t="s">
        <v>317</v>
      </c>
      <c r="C114" s="421" t="s">
        <v>313</v>
      </c>
      <c r="D114" s="421" t="s">
        <v>314</v>
      </c>
      <c r="E114" s="431" t="s">
        <v>316</v>
      </c>
      <c r="F114" s="423" t="s">
        <v>307</v>
      </c>
      <c r="G114" s="424" t="s">
        <v>214</v>
      </c>
      <c r="H114" s="449">
        <v>1915.6</v>
      </c>
      <c r="I114" s="449">
        <v>1872.78</v>
      </c>
      <c r="J114" s="449">
        <v>1824.45</v>
      </c>
      <c r="K114" s="449">
        <v>1810.16</v>
      </c>
      <c r="L114" s="449">
        <v>1769.78</v>
      </c>
      <c r="M114" s="449">
        <v>1724.09</v>
      </c>
      <c r="N114" s="449">
        <v>1016.89</v>
      </c>
      <c r="O114" s="449">
        <v>2324.6</v>
      </c>
      <c r="P114" s="449">
        <v>2196.36</v>
      </c>
      <c r="Q114" s="449">
        <v>1948.25</v>
      </c>
      <c r="R114" s="449">
        <v>1379.59</v>
      </c>
      <c r="S114" s="449">
        <v>1270.46</v>
      </c>
      <c r="T114" s="450" t="s">
        <v>308</v>
      </c>
      <c r="V114" s="449">
        <f t="shared" si="25"/>
        <v>1953.912</v>
      </c>
      <c r="W114" s="449">
        <f t="shared" si="14"/>
        <v>1910.2356</v>
      </c>
      <c r="X114" s="449">
        <f t="shared" si="15"/>
        <v>1860.9390000000001</v>
      </c>
      <c r="Y114" s="449">
        <f t="shared" si="16"/>
        <v>1846.3632</v>
      </c>
      <c r="Z114" s="449">
        <f t="shared" si="17"/>
        <v>1805.1756</v>
      </c>
      <c r="AA114" s="449">
        <f t="shared" si="18"/>
        <v>1758.5717999999999</v>
      </c>
      <c r="AB114" s="449">
        <f t="shared" si="19"/>
        <v>1037.2278000000001</v>
      </c>
      <c r="AC114" s="449">
        <f t="shared" si="20"/>
        <v>2371.0920000000001</v>
      </c>
      <c r="AD114" s="449">
        <f t="shared" si="21"/>
        <v>2240.2872000000002</v>
      </c>
      <c r="AE114" s="449">
        <f t="shared" si="22"/>
        <v>1987.2150000000001</v>
      </c>
      <c r="AF114" s="449">
        <f t="shared" si="23"/>
        <v>1407.1817999999998</v>
      </c>
      <c r="AG114" s="449">
        <f t="shared" si="24"/>
        <v>1295.8692000000001</v>
      </c>
      <c r="AH114" s="450" t="s">
        <v>308</v>
      </c>
    </row>
    <row r="115" spans="1:34" ht="16.5" hidden="1" thickBot="1">
      <c r="A115" s="412">
        <v>2017</v>
      </c>
      <c r="B115" s="425" t="s">
        <v>317</v>
      </c>
      <c r="C115" s="414" t="s">
        <v>304</v>
      </c>
      <c r="D115" s="414" t="s">
        <v>305</v>
      </c>
      <c r="E115" s="430" t="s">
        <v>316</v>
      </c>
      <c r="F115" s="432" t="s">
        <v>315</v>
      </c>
      <c r="G115" s="417" t="s">
        <v>211</v>
      </c>
      <c r="H115" s="445">
        <v>473.69</v>
      </c>
      <c r="I115" s="445">
        <v>463.1</v>
      </c>
      <c r="J115" s="445">
        <v>451.16</v>
      </c>
      <c r="K115" s="445">
        <v>447.62</v>
      </c>
      <c r="L115" s="445">
        <v>437.64</v>
      </c>
      <c r="M115" s="445">
        <v>426.34</v>
      </c>
      <c r="N115" s="445">
        <v>251.46</v>
      </c>
      <c r="O115" s="445">
        <v>574.83000000000004</v>
      </c>
      <c r="P115" s="445">
        <v>543.12</v>
      </c>
      <c r="Q115" s="445">
        <v>481.77</v>
      </c>
      <c r="R115" s="445">
        <v>341.15</v>
      </c>
      <c r="S115" s="445">
        <v>314.16000000000003</v>
      </c>
      <c r="T115" s="446" t="s">
        <v>308</v>
      </c>
      <c r="V115" s="445">
        <f t="shared" si="25"/>
        <v>483.16379999999998</v>
      </c>
      <c r="W115" s="445">
        <f t="shared" si="14"/>
        <v>472.36200000000002</v>
      </c>
      <c r="X115" s="445">
        <f t="shared" si="15"/>
        <v>460.18320000000006</v>
      </c>
      <c r="Y115" s="445">
        <f t="shared" si="16"/>
        <v>456.57240000000002</v>
      </c>
      <c r="Z115" s="445">
        <f t="shared" si="17"/>
        <v>446.39279999999997</v>
      </c>
      <c r="AA115" s="445">
        <f t="shared" si="18"/>
        <v>434.86679999999996</v>
      </c>
      <c r="AB115" s="445">
        <f t="shared" si="19"/>
        <v>256.48920000000004</v>
      </c>
      <c r="AC115" s="445">
        <f t="shared" si="20"/>
        <v>586.3266000000001</v>
      </c>
      <c r="AD115" s="445">
        <f t="shared" si="21"/>
        <v>553.98239999999998</v>
      </c>
      <c r="AE115" s="445">
        <f t="shared" si="22"/>
        <v>491.40539999999999</v>
      </c>
      <c r="AF115" s="445">
        <f t="shared" si="23"/>
        <v>347.97299999999996</v>
      </c>
      <c r="AG115" s="445">
        <f t="shared" si="24"/>
        <v>320.44320000000005</v>
      </c>
      <c r="AH115" s="446" t="s">
        <v>308</v>
      </c>
    </row>
    <row r="116" spans="1:34" ht="16.5" hidden="1" thickBot="1">
      <c r="A116" s="418">
        <v>2017</v>
      </c>
      <c r="B116" s="152" t="s">
        <v>317</v>
      </c>
      <c r="C116" s="146" t="s">
        <v>304</v>
      </c>
      <c r="D116" s="146" t="s">
        <v>305</v>
      </c>
      <c r="E116" s="151" t="s">
        <v>316</v>
      </c>
      <c r="F116" s="433" t="s">
        <v>315</v>
      </c>
      <c r="G116" s="149" t="s">
        <v>212</v>
      </c>
      <c r="H116" s="447">
        <v>1037.3900000000001</v>
      </c>
      <c r="I116" s="447">
        <v>1014.2</v>
      </c>
      <c r="J116" s="447">
        <v>988.04</v>
      </c>
      <c r="K116" s="447">
        <v>980.29</v>
      </c>
      <c r="L116" s="447">
        <v>958.42</v>
      </c>
      <c r="M116" s="447">
        <v>933.68</v>
      </c>
      <c r="N116" s="447">
        <v>550.70000000000005</v>
      </c>
      <c r="O116" s="447">
        <v>1258.8800000000001</v>
      </c>
      <c r="P116" s="447">
        <v>1189.44</v>
      </c>
      <c r="Q116" s="447">
        <v>1055.07</v>
      </c>
      <c r="R116" s="447">
        <v>747.12</v>
      </c>
      <c r="S116" s="447">
        <v>688.02</v>
      </c>
      <c r="T116" s="448" t="s">
        <v>308</v>
      </c>
      <c r="V116" s="447">
        <f t="shared" si="25"/>
        <v>1058.1378000000002</v>
      </c>
      <c r="W116" s="447">
        <f t="shared" si="14"/>
        <v>1034.4840000000002</v>
      </c>
      <c r="X116" s="447">
        <f t="shared" si="15"/>
        <v>1007.8008</v>
      </c>
      <c r="Y116" s="447">
        <f t="shared" si="16"/>
        <v>999.89580000000001</v>
      </c>
      <c r="Z116" s="447">
        <f t="shared" si="17"/>
        <v>977.58839999999998</v>
      </c>
      <c r="AA116" s="447">
        <f t="shared" si="18"/>
        <v>952.35359999999991</v>
      </c>
      <c r="AB116" s="447">
        <f t="shared" si="19"/>
        <v>561.71400000000006</v>
      </c>
      <c r="AC116" s="447">
        <f t="shared" si="20"/>
        <v>1284.0576000000001</v>
      </c>
      <c r="AD116" s="447">
        <f t="shared" si="21"/>
        <v>1213.2288000000001</v>
      </c>
      <c r="AE116" s="447">
        <f t="shared" si="22"/>
        <v>1076.1713999999999</v>
      </c>
      <c r="AF116" s="447">
        <f t="shared" si="23"/>
        <v>762.06240000000003</v>
      </c>
      <c r="AG116" s="447">
        <f t="shared" si="24"/>
        <v>701.78039999999999</v>
      </c>
      <c r="AH116" s="448" t="s">
        <v>308</v>
      </c>
    </row>
    <row r="117" spans="1:34" ht="16.5" hidden="1" thickBot="1">
      <c r="A117" s="418">
        <v>2017</v>
      </c>
      <c r="B117" s="152" t="s">
        <v>317</v>
      </c>
      <c r="C117" s="146" t="s">
        <v>304</v>
      </c>
      <c r="D117" s="146" t="s">
        <v>305</v>
      </c>
      <c r="E117" s="151" t="s">
        <v>316</v>
      </c>
      <c r="F117" s="433" t="s">
        <v>315</v>
      </c>
      <c r="G117" s="149" t="s">
        <v>213</v>
      </c>
      <c r="H117" s="447">
        <v>900.02</v>
      </c>
      <c r="I117" s="447">
        <v>879.9</v>
      </c>
      <c r="J117" s="447">
        <v>857.19</v>
      </c>
      <c r="K117" s="447">
        <v>850.48</v>
      </c>
      <c r="L117" s="447">
        <v>831.51</v>
      </c>
      <c r="M117" s="447">
        <v>810.04</v>
      </c>
      <c r="N117" s="447">
        <v>477.77</v>
      </c>
      <c r="O117" s="447">
        <v>1092.18</v>
      </c>
      <c r="P117" s="447">
        <v>1031.94</v>
      </c>
      <c r="Q117" s="447">
        <v>915.36</v>
      </c>
      <c r="R117" s="447">
        <v>648.17999999999995</v>
      </c>
      <c r="S117" s="447">
        <v>596.91</v>
      </c>
      <c r="T117" s="448" t="s">
        <v>308</v>
      </c>
      <c r="V117" s="447">
        <f t="shared" si="25"/>
        <v>918.0204</v>
      </c>
      <c r="W117" s="447">
        <f t="shared" si="14"/>
        <v>897.49800000000005</v>
      </c>
      <c r="X117" s="447">
        <f t="shared" si="15"/>
        <v>874.33380000000011</v>
      </c>
      <c r="Y117" s="447">
        <f t="shared" si="16"/>
        <v>867.4896</v>
      </c>
      <c r="Z117" s="447">
        <f t="shared" si="17"/>
        <v>848.14020000000005</v>
      </c>
      <c r="AA117" s="447">
        <f t="shared" si="18"/>
        <v>826.24079999999992</v>
      </c>
      <c r="AB117" s="447">
        <f t="shared" si="19"/>
        <v>487.3254</v>
      </c>
      <c r="AC117" s="447">
        <f t="shared" si="20"/>
        <v>1114.0236</v>
      </c>
      <c r="AD117" s="447">
        <f t="shared" si="21"/>
        <v>1052.5788</v>
      </c>
      <c r="AE117" s="447">
        <f t="shared" si="22"/>
        <v>933.66719999999998</v>
      </c>
      <c r="AF117" s="447">
        <f t="shared" si="23"/>
        <v>661.14359999999999</v>
      </c>
      <c r="AG117" s="447">
        <f t="shared" si="24"/>
        <v>608.84820000000002</v>
      </c>
      <c r="AH117" s="448" t="s">
        <v>308</v>
      </c>
    </row>
    <row r="118" spans="1:34" ht="16.5" hidden="1" thickBot="1">
      <c r="A118" s="419">
        <v>2017</v>
      </c>
      <c r="B118" s="426" t="s">
        <v>317</v>
      </c>
      <c r="C118" s="421" t="s">
        <v>304</v>
      </c>
      <c r="D118" s="421" t="s">
        <v>305</v>
      </c>
      <c r="E118" s="431" t="s">
        <v>316</v>
      </c>
      <c r="F118" s="434" t="s">
        <v>315</v>
      </c>
      <c r="G118" s="424" t="s">
        <v>214</v>
      </c>
      <c r="H118" s="449">
        <v>1440.03</v>
      </c>
      <c r="I118" s="449">
        <v>1407.84</v>
      </c>
      <c r="J118" s="449">
        <v>1371.51</v>
      </c>
      <c r="K118" s="449">
        <v>1360.77</v>
      </c>
      <c r="L118" s="449">
        <v>1330.41</v>
      </c>
      <c r="M118" s="449">
        <v>1296.07</v>
      </c>
      <c r="N118" s="449">
        <v>764.44</v>
      </c>
      <c r="O118" s="449">
        <v>1747.49</v>
      </c>
      <c r="P118" s="449">
        <v>1651.09</v>
      </c>
      <c r="Q118" s="449">
        <v>1464.58</v>
      </c>
      <c r="R118" s="449">
        <v>1037.0899999999999</v>
      </c>
      <c r="S118" s="449">
        <v>955.05</v>
      </c>
      <c r="T118" s="450" t="s">
        <v>308</v>
      </c>
      <c r="V118" s="449">
        <f t="shared" si="25"/>
        <v>1468.8306</v>
      </c>
      <c r="W118" s="449">
        <f t="shared" si="14"/>
        <v>1435.9967999999999</v>
      </c>
      <c r="X118" s="449">
        <f t="shared" si="15"/>
        <v>1398.9402</v>
      </c>
      <c r="Y118" s="449">
        <f t="shared" si="16"/>
        <v>1387.9854</v>
      </c>
      <c r="Z118" s="449">
        <f t="shared" si="17"/>
        <v>1357.0182000000002</v>
      </c>
      <c r="AA118" s="449">
        <f t="shared" si="18"/>
        <v>1321.9913999999999</v>
      </c>
      <c r="AB118" s="449">
        <f t="shared" si="19"/>
        <v>779.72880000000009</v>
      </c>
      <c r="AC118" s="449">
        <f t="shared" si="20"/>
        <v>1782.4398000000001</v>
      </c>
      <c r="AD118" s="449">
        <f t="shared" si="21"/>
        <v>1684.1117999999999</v>
      </c>
      <c r="AE118" s="449">
        <f t="shared" si="22"/>
        <v>1493.8715999999999</v>
      </c>
      <c r="AF118" s="449">
        <f t="shared" si="23"/>
        <v>1057.8317999999999</v>
      </c>
      <c r="AG118" s="449">
        <f t="shared" si="24"/>
        <v>974.15099999999995</v>
      </c>
      <c r="AH118" s="450" t="s">
        <v>308</v>
      </c>
    </row>
    <row r="119" spans="1:34" ht="16.5" hidden="1" thickBot="1">
      <c r="A119" s="412">
        <v>2017</v>
      </c>
      <c r="B119" s="425" t="s">
        <v>317</v>
      </c>
      <c r="C119" s="414" t="s">
        <v>309</v>
      </c>
      <c r="D119" s="414" t="s">
        <v>310</v>
      </c>
      <c r="E119" s="430" t="s">
        <v>316</v>
      </c>
      <c r="F119" s="432" t="s">
        <v>315</v>
      </c>
      <c r="G119" s="417" t="s">
        <v>211</v>
      </c>
      <c r="H119" s="445">
        <v>520.54</v>
      </c>
      <c r="I119" s="445">
        <v>508.91</v>
      </c>
      <c r="J119" s="445">
        <v>495.78</v>
      </c>
      <c r="K119" s="445">
        <v>491.89</v>
      </c>
      <c r="L119" s="445">
        <v>480.92</v>
      </c>
      <c r="M119" s="445">
        <v>468.5</v>
      </c>
      <c r="N119" s="445">
        <v>276.33</v>
      </c>
      <c r="O119" s="445">
        <v>631.67999999999995</v>
      </c>
      <c r="P119" s="445">
        <v>596.84</v>
      </c>
      <c r="Q119" s="445">
        <v>529.41999999999996</v>
      </c>
      <c r="R119" s="445">
        <v>374.89</v>
      </c>
      <c r="S119" s="445">
        <v>345.23</v>
      </c>
      <c r="T119" s="446" t="s">
        <v>308</v>
      </c>
      <c r="V119" s="445">
        <f t="shared" si="25"/>
        <v>530.95079999999996</v>
      </c>
      <c r="W119" s="445">
        <f t="shared" si="14"/>
        <v>519.08820000000003</v>
      </c>
      <c r="X119" s="445">
        <f t="shared" si="15"/>
        <v>505.69559999999996</v>
      </c>
      <c r="Y119" s="445">
        <f t="shared" si="16"/>
        <v>501.7278</v>
      </c>
      <c r="Z119" s="445">
        <f t="shared" si="17"/>
        <v>490.53840000000002</v>
      </c>
      <c r="AA119" s="445">
        <f t="shared" si="18"/>
        <v>477.87</v>
      </c>
      <c r="AB119" s="445">
        <f t="shared" si="19"/>
        <v>281.85660000000001</v>
      </c>
      <c r="AC119" s="445">
        <f t="shared" si="20"/>
        <v>644.31359999999995</v>
      </c>
      <c r="AD119" s="445">
        <f t="shared" si="21"/>
        <v>608.77680000000009</v>
      </c>
      <c r="AE119" s="445">
        <f t="shared" si="22"/>
        <v>540.00839999999994</v>
      </c>
      <c r="AF119" s="445">
        <f t="shared" si="23"/>
        <v>382.38779999999997</v>
      </c>
      <c r="AG119" s="445">
        <f t="shared" si="24"/>
        <v>352.13460000000003</v>
      </c>
      <c r="AH119" s="446" t="s">
        <v>308</v>
      </c>
    </row>
    <row r="120" spans="1:34" ht="16.5" hidden="1" thickBot="1">
      <c r="A120" s="418">
        <v>2017</v>
      </c>
      <c r="B120" s="152" t="s">
        <v>317</v>
      </c>
      <c r="C120" s="146" t="s">
        <v>309</v>
      </c>
      <c r="D120" s="146" t="s">
        <v>310</v>
      </c>
      <c r="E120" s="151" t="s">
        <v>316</v>
      </c>
      <c r="F120" s="433" t="s">
        <v>315</v>
      </c>
      <c r="G120" s="149" t="s">
        <v>212</v>
      </c>
      <c r="H120" s="447">
        <v>1139.99</v>
      </c>
      <c r="I120" s="447">
        <v>1114.5</v>
      </c>
      <c r="J120" s="447">
        <v>1085.76</v>
      </c>
      <c r="K120" s="447">
        <v>1077.24</v>
      </c>
      <c r="L120" s="447">
        <v>1053.21</v>
      </c>
      <c r="M120" s="447">
        <v>1026.02</v>
      </c>
      <c r="N120" s="447">
        <v>605.16999999999996</v>
      </c>
      <c r="O120" s="447">
        <v>1383.39</v>
      </c>
      <c r="P120" s="447">
        <v>1307.08</v>
      </c>
      <c r="Q120" s="447">
        <v>1159.42</v>
      </c>
      <c r="R120" s="447">
        <v>821.01</v>
      </c>
      <c r="S120" s="447">
        <v>756.06</v>
      </c>
      <c r="T120" s="448" t="s">
        <v>308</v>
      </c>
      <c r="V120" s="447">
        <f t="shared" si="25"/>
        <v>1162.7898</v>
      </c>
      <c r="W120" s="447">
        <f t="shared" si="14"/>
        <v>1136.79</v>
      </c>
      <c r="X120" s="447">
        <f t="shared" si="15"/>
        <v>1107.4752000000001</v>
      </c>
      <c r="Y120" s="447">
        <f t="shared" si="16"/>
        <v>1098.7848000000001</v>
      </c>
      <c r="Z120" s="447">
        <f t="shared" si="17"/>
        <v>1074.2742000000001</v>
      </c>
      <c r="AA120" s="447">
        <f t="shared" si="18"/>
        <v>1046.5404000000001</v>
      </c>
      <c r="AB120" s="447">
        <f t="shared" si="19"/>
        <v>617.27339999999992</v>
      </c>
      <c r="AC120" s="447">
        <f t="shared" si="20"/>
        <v>1411.0578</v>
      </c>
      <c r="AD120" s="447">
        <f t="shared" si="21"/>
        <v>1333.2215999999999</v>
      </c>
      <c r="AE120" s="447">
        <f t="shared" si="22"/>
        <v>1182.6084000000001</v>
      </c>
      <c r="AF120" s="447">
        <f t="shared" si="23"/>
        <v>837.43020000000001</v>
      </c>
      <c r="AG120" s="447">
        <f t="shared" si="24"/>
        <v>771.18119999999999</v>
      </c>
      <c r="AH120" s="448" t="s">
        <v>308</v>
      </c>
    </row>
    <row r="121" spans="1:34" ht="16.5" hidden="1" thickBot="1">
      <c r="A121" s="418">
        <v>2017</v>
      </c>
      <c r="B121" s="152" t="s">
        <v>317</v>
      </c>
      <c r="C121" s="146" t="s">
        <v>309</v>
      </c>
      <c r="D121" s="146" t="s">
        <v>310</v>
      </c>
      <c r="E121" s="151" t="s">
        <v>316</v>
      </c>
      <c r="F121" s="433" t="s">
        <v>315</v>
      </c>
      <c r="G121" s="149" t="s">
        <v>213</v>
      </c>
      <c r="H121" s="447">
        <v>989.04</v>
      </c>
      <c r="I121" s="447">
        <v>966.92</v>
      </c>
      <c r="J121" s="447">
        <v>941.97</v>
      </c>
      <c r="K121" s="447">
        <v>934.59</v>
      </c>
      <c r="L121" s="447">
        <v>913.75</v>
      </c>
      <c r="M121" s="447">
        <v>890.15</v>
      </c>
      <c r="N121" s="447">
        <v>525.03</v>
      </c>
      <c r="O121" s="447">
        <v>1200.2</v>
      </c>
      <c r="P121" s="447">
        <v>1134</v>
      </c>
      <c r="Q121" s="447">
        <v>1005.89</v>
      </c>
      <c r="R121" s="447">
        <v>712.29</v>
      </c>
      <c r="S121" s="447">
        <v>655.95</v>
      </c>
      <c r="T121" s="448" t="s">
        <v>308</v>
      </c>
      <c r="V121" s="447">
        <f t="shared" si="25"/>
        <v>1008.8208</v>
      </c>
      <c r="W121" s="447">
        <f t="shared" si="14"/>
        <v>986.25839999999994</v>
      </c>
      <c r="X121" s="447">
        <f t="shared" si="15"/>
        <v>960.8094000000001</v>
      </c>
      <c r="Y121" s="447">
        <f t="shared" si="16"/>
        <v>953.28180000000009</v>
      </c>
      <c r="Z121" s="447">
        <f t="shared" si="17"/>
        <v>932.02499999999998</v>
      </c>
      <c r="AA121" s="447">
        <f t="shared" si="18"/>
        <v>907.95299999999997</v>
      </c>
      <c r="AB121" s="447">
        <f t="shared" si="19"/>
        <v>535.53059999999994</v>
      </c>
      <c r="AC121" s="447">
        <f t="shared" si="20"/>
        <v>1224.2040000000002</v>
      </c>
      <c r="AD121" s="447">
        <f t="shared" si="21"/>
        <v>1156.68</v>
      </c>
      <c r="AE121" s="447">
        <f t="shared" si="22"/>
        <v>1026.0078000000001</v>
      </c>
      <c r="AF121" s="447">
        <f t="shared" si="23"/>
        <v>726.53579999999999</v>
      </c>
      <c r="AG121" s="447">
        <f t="shared" si="24"/>
        <v>669.06900000000007</v>
      </c>
      <c r="AH121" s="448" t="s">
        <v>308</v>
      </c>
    </row>
    <row r="122" spans="1:34" ht="16.5" hidden="1" thickBot="1">
      <c r="A122" s="419">
        <v>2017</v>
      </c>
      <c r="B122" s="426" t="s">
        <v>317</v>
      </c>
      <c r="C122" s="421" t="s">
        <v>309</v>
      </c>
      <c r="D122" s="421" t="s">
        <v>310</v>
      </c>
      <c r="E122" s="431" t="s">
        <v>316</v>
      </c>
      <c r="F122" s="434" t="s">
        <v>315</v>
      </c>
      <c r="G122" s="424" t="s">
        <v>214</v>
      </c>
      <c r="H122" s="449">
        <v>1582.45</v>
      </c>
      <c r="I122" s="449">
        <v>1547.08</v>
      </c>
      <c r="J122" s="449">
        <v>1507.16</v>
      </c>
      <c r="K122" s="449">
        <v>1495.35</v>
      </c>
      <c r="L122" s="449">
        <v>1461.99</v>
      </c>
      <c r="M122" s="449">
        <v>1424.25</v>
      </c>
      <c r="N122" s="449">
        <v>840.04</v>
      </c>
      <c r="O122" s="449">
        <v>1920.32</v>
      </c>
      <c r="P122" s="449">
        <v>1814.39</v>
      </c>
      <c r="Q122" s="449">
        <v>1609.42</v>
      </c>
      <c r="R122" s="449">
        <v>1139.6600000000001</v>
      </c>
      <c r="S122" s="449">
        <v>1049.51</v>
      </c>
      <c r="T122" s="450" t="s">
        <v>308</v>
      </c>
      <c r="V122" s="449">
        <f t="shared" si="25"/>
        <v>1614.0990000000002</v>
      </c>
      <c r="W122" s="449">
        <f t="shared" si="14"/>
        <v>1578.0216</v>
      </c>
      <c r="X122" s="449">
        <f t="shared" si="15"/>
        <v>1537.3032000000001</v>
      </c>
      <c r="Y122" s="449">
        <f t="shared" si="16"/>
        <v>1525.2569999999998</v>
      </c>
      <c r="Z122" s="449">
        <f t="shared" si="17"/>
        <v>1491.2298000000001</v>
      </c>
      <c r="AA122" s="449">
        <f t="shared" si="18"/>
        <v>1452.7350000000001</v>
      </c>
      <c r="AB122" s="449">
        <f t="shared" si="19"/>
        <v>856.84079999999994</v>
      </c>
      <c r="AC122" s="449">
        <f t="shared" si="20"/>
        <v>1958.7264</v>
      </c>
      <c r="AD122" s="449">
        <f t="shared" si="21"/>
        <v>1850.6778000000002</v>
      </c>
      <c r="AE122" s="449">
        <f t="shared" si="22"/>
        <v>1641.6084000000001</v>
      </c>
      <c r="AF122" s="449">
        <f t="shared" si="23"/>
        <v>1162.4532000000002</v>
      </c>
      <c r="AG122" s="449">
        <f t="shared" si="24"/>
        <v>1070.5001999999999</v>
      </c>
      <c r="AH122" s="450" t="s">
        <v>308</v>
      </c>
    </row>
    <row r="123" spans="1:34" ht="16.5" hidden="1" thickBot="1">
      <c r="A123" s="412">
        <v>2017</v>
      </c>
      <c r="B123" s="425" t="s">
        <v>317</v>
      </c>
      <c r="C123" s="414" t="s">
        <v>311</v>
      </c>
      <c r="D123" s="414" t="s">
        <v>312</v>
      </c>
      <c r="E123" s="430" t="s">
        <v>316</v>
      </c>
      <c r="F123" s="432" t="s">
        <v>315</v>
      </c>
      <c r="G123" s="417" t="s">
        <v>211</v>
      </c>
      <c r="H123" s="445">
        <v>547.94000000000005</v>
      </c>
      <c r="I123" s="445">
        <v>535.69000000000005</v>
      </c>
      <c r="J123" s="445">
        <v>521.87</v>
      </c>
      <c r="K123" s="445">
        <v>517.78</v>
      </c>
      <c r="L123" s="445">
        <v>506.23</v>
      </c>
      <c r="M123" s="445">
        <v>493.16</v>
      </c>
      <c r="N123" s="445">
        <v>290.87</v>
      </c>
      <c r="O123" s="445">
        <v>664.93</v>
      </c>
      <c r="P123" s="445">
        <v>628.25</v>
      </c>
      <c r="Q123" s="445">
        <v>557.28</v>
      </c>
      <c r="R123" s="445">
        <v>394.62</v>
      </c>
      <c r="S123" s="445">
        <v>363.4</v>
      </c>
      <c r="T123" s="446" t="s">
        <v>308</v>
      </c>
      <c r="V123" s="445">
        <f t="shared" si="25"/>
        <v>558.89880000000005</v>
      </c>
      <c r="W123" s="445">
        <f t="shared" si="14"/>
        <v>546.40380000000005</v>
      </c>
      <c r="X123" s="445">
        <f t="shared" si="15"/>
        <v>532.30740000000003</v>
      </c>
      <c r="Y123" s="445">
        <f t="shared" si="16"/>
        <v>528.13559999999995</v>
      </c>
      <c r="Z123" s="445">
        <f t="shared" si="17"/>
        <v>516.3546</v>
      </c>
      <c r="AA123" s="445">
        <f t="shared" si="18"/>
        <v>503.02320000000003</v>
      </c>
      <c r="AB123" s="445">
        <f t="shared" si="19"/>
        <v>296.68740000000003</v>
      </c>
      <c r="AC123" s="445">
        <f t="shared" si="20"/>
        <v>678.22859999999991</v>
      </c>
      <c r="AD123" s="445">
        <f t="shared" si="21"/>
        <v>640.81500000000005</v>
      </c>
      <c r="AE123" s="445">
        <f t="shared" si="22"/>
        <v>568.42560000000003</v>
      </c>
      <c r="AF123" s="445">
        <f t="shared" si="23"/>
        <v>402.51240000000001</v>
      </c>
      <c r="AG123" s="445">
        <f t="shared" si="24"/>
        <v>370.66800000000001</v>
      </c>
      <c r="AH123" s="446" t="s">
        <v>308</v>
      </c>
    </row>
    <row r="124" spans="1:34" ht="16.5" hidden="1" thickBot="1">
      <c r="A124" s="418">
        <v>2017</v>
      </c>
      <c r="B124" s="152" t="s">
        <v>317</v>
      </c>
      <c r="C124" s="146" t="s">
        <v>311</v>
      </c>
      <c r="D124" s="146" t="s">
        <v>312</v>
      </c>
      <c r="E124" s="151" t="s">
        <v>316</v>
      </c>
      <c r="F124" s="433" t="s">
        <v>315</v>
      </c>
      <c r="G124" s="149" t="s">
        <v>212</v>
      </c>
      <c r="H124" s="447">
        <v>1199.99</v>
      </c>
      <c r="I124" s="447">
        <v>1173.1600000000001</v>
      </c>
      <c r="J124" s="447">
        <v>1142.9000000000001</v>
      </c>
      <c r="K124" s="447">
        <v>1133.94</v>
      </c>
      <c r="L124" s="447">
        <v>1108.6400000000001</v>
      </c>
      <c r="M124" s="447">
        <v>1080.02</v>
      </c>
      <c r="N124" s="447">
        <v>637.02</v>
      </c>
      <c r="O124" s="447">
        <v>1456.2</v>
      </c>
      <c r="P124" s="447">
        <v>1375.87</v>
      </c>
      <c r="Q124" s="447">
        <v>1220.44</v>
      </c>
      <c r="R124" s="447">
        <v>864.22</v>
      </c>
      <c r="S124" s="447">
        <v>795.85</v>
      </c>
      <c r="T124" s="448" t="s">
        <v>308</v>
      </c>
      <c r="V124" s="447">
        <f t="shared" si="25"/>
        <v>1223.9898000000001</v>
      </c>
      <c r="W124" s="447">
        <f t="shared" si="14"/>
        <v>1196.6232</v>
      </c>
      <c r="X124" s="447">
        <f t="shared" si="15"/>
        <v>1165.758</v>
      </c>
      <c r="Y124" s="447">
        <f t="shared" si="16"/>
        <v>1156.6188</v>
      </c>
      <c r="Z124" s="447">
        <f t="shared" si="17"/>
        <v>1130.8128000000002</v>
      </c>
      <c r="AA124" s="447">
        <f t="shared" si="18"/>
        <v>1101.6204</v>
      </c>
      <c r="AB124" s="447">
        <f t="shared" si="19"/>
        <v>649.7604</v>
      </c>
      <c r="AC124" s="447">
        <f t="shared" si="20"/>
        <v>1485.3240000000001</v>
      </c>
      <c r="AD124" s="447">
        <f t="shared" si="21"/>
        <v>1403.3873999999998</v>
      </c>
      <c r="AE124" s="447">
        <f t="shared" si="22"/>
        <v>1244.8488</v>
      </c>
      <c r="AF124" s="447">
        <f t="shared" si="23"/>
        <v>881.50440000000003</v>
      </c>
      <c r="AG124" s="447">
        <f t="shared" si="24"/>
        <v>811.76700000000005</v>
      </c>
      <c r="AH124" s="448" t="s">
        <v>308</v>
      </c>
    </row>
    <row r="125" spans="1:34" ht="16.5" hidden="1" thickBot="1">
      <c r="A125" s="418">
        <v>2017</v>
      </c>
      <c r="B125" s="152" t="s">
        <v>317</v>
      </c>
      <c r="C125" s="146" t="s">
        <v>311</v>
      </c>
      <c r="D125" s="146" t="s">
        <v>312</v>
      </c>
      <c r="E125" s="151" t="s">
        <v>316</v>
      </c>
      <c r="F125" s="433" t="s">
        <v>315</v>
      </c>
      <c r="G125" s="149" t="s">
        <v>213</v>
      </c>
      <c r="H125" s="447">
        <v>1041.0899999999999</v>
      </c>
      <c r="I125" s="447">
        <v>1017.81</v>
      </c>
      <c r="J125" s="447">
        <v>991.55</v>
      </c>
      <c r="K125" s="447">
        <v>983.78</v>
      </c>
      <c r="L125" s="447">
        <v>961.84</v>
      </c>
      <c r="M125" s="447">
        <v>937</v>
      </c>
      <c r="N125" s="447">
        <v>552.66</v>
      </c>
      <c r="O125" s="447">
        <v>1263.3699999999999</v>
      </c>
      <c r="P125" s="447">
        <v>1193.68</v>
      </c>
      <c r="Q125" s="447">
        <v>1058.83</v>
      </c>
      <c r="R125" s="447">
        <v>749.78</v>
      </c>
      <c r="S125" s="447">
        <v>690.47</v>
      </c>
      <c r="T125" s="448" t="s">
        <v>308</v>
      </c>
      <c r="V125" s="447">
        <f t="shared" si="25"/>
        <v>1061.9117999999999</v>
      </c>
      <c r="W125" s="447">
        <f t="shared" si="14"/>
        <v>1038.1661999999999</v>
      </c>
      <c r="X125" s="447">
        <f t="shared" si="15"/>
        <v>1011.381</v>
      </c>
      <c r="Y125" s="447">
        <f t="shared" si="16"/>
        <v>1003.4556</v>
      </c>
      <c r="Z125" s="447">
        <f t="shared" si="17"/>
        <v>981.07680000000005</v>
      </c>
      <c r="AA125" s="447">
        <f t="shared" si="18"/>
        <v>955.74</v>
      </c>
      <c r="AB125" s="447">
        <f t="shared" si="19"/>
        <v>563.71320000000003</v>
      </c>
      <c r="AC125" s="447">
        <f t="shared" si="20"/>
        <v>1288.6373999999998</v>
      </c>
      <c r="AD125" s="447">
        <f t="shared" si="21"/>
        <v>1217.5536000000002</v>
      </c>
      <c r="AE125" s="447">
        <f t="shared" si="22"/>
        <v>1080.0065999999999</v>
      </c>
      <c r="AF125" s="447">
        <f t="shared" si="23"/>
        <v>764.77559999999994</v>
      </c>
      <c r="AG125" s="447">
        <f t="shared" si="24"/>
        <v>704.27940000000001</v>
      </c>
      <c r="AH125" s="448" t="s">
        <v>308</v>
      </c>
    </row>
    <row r="126" spans="1:34" ht="16.5" hidden="1" thickBot="1">
      <c r="A126" s="419">
        <v>2017</v>
      </c>
      <c r="B126" s="426" t="s">
        <v>317</v>
      </c>
      <c r="C126" s="421" t="s">
        <v>311</v>
      </c>
      <c r="D126" s="421" t="s">
        <v>312</v>
      </c>
      <c r="E126" s="431" t="s">
        <v>316</v>
      </c>
      <c r="F126" s="434" t="s">
        <v>315</v>
      </c>
      <c r="G126" s="424" t="s">
        <v>214</v>
      </c>
      <c r="H126" s="449">
        <v>1665.74</v>
      </c>
      <c r="I126" s="449">
        <v>1628.5</v>
      </c>
      <c r="J126" s="449">
        <v>1586.48</v>
      </c>
      <c r="K126" s="449">
        <v>1574.05</v>
      </c>
      <c r="L126" s="449">
        <v>1538.94</v>
      </c>
      <c r="M126" s="449">
        <v>1499.21</v>
      </c>
      <c r="N126" s="449">
        <v>884.26</v>
      </c>
      <c r="O126" s="449">
        <v>2021.39</v>
      </c>
      <c r="P126" s="449">
        <v>1909.88</v>
      </c>
      <c r="Q126" s="449">
        <v>1694.13</v>
      </c>
      <c r="R126" s="449">
        <v>1199.6400000000001</v>
      </c>
      <c r="S126" s="449">
        <v>1104.75</v>
      </c>
      <c r="T126" s="450" t="s">
        <v>308</v>
      </c>
      <c r="V126" s="449">
        <f t="shared" si="25"/>
        <v>1699.0548000000001</v>
      </c>
      <c r="W126" s="449">
        <f t="shared" si="14"/>
        <v>1661.07</v>
      </c>
      <c r="X126" s="449">
        <f t="shared" si="15"/>
        <v>1618.2096000000001</v>
      </c>
      <c r="Y126" s="449">
        <f t="shared" si="16"/>
        <v>1605.5309999999999</v>
      </c>
      <c r="Z126" s="449">
        <f t="shared" si="17"/>
        <v>1569.7188000000001</v>
      </c>
      <c r="AA126" s="449">
        <f t="shared" si="18"/>
        <v>1529.1942000000001</v>
      </c>
      <c r="AB126" s="449">
        <f t="shared" si="19"/>
        <v>901.9452</v>
      </c>
      <c r="AC126" s="449">
        <f t="shared" si="20"/>
        <v>2061.8178000000003</v>
      </c>
      <c r="AD126" s="449">
        <f t="shared" si="21"/>
        <v>1948.0776000000001</v>
      </c>
      <c r="AE126" s="449">
        <f t="shared" si="22"/>
        <v>1728.0126000000002</v>
      </c>
      <c r="AF126" s="449">
        <f t="shared" si="23"/>
        <v>1223.6328000000001</v>
      </c>
      <c r="AG126" s="449">
        <f t="shared" si="24"/>
        <v>1126.845</v>
      </c>
      <c r="AH126" s="450" t="s">
        <v>308</v>
      </c>
    </row>
    <row r="127" spans="1:34" ht="16.5" hidden="1" thickBot="1">
      <c r="A127" s="412">
        <v>2017</v>
      </c>
      <c r="B127" s="425" t="s">
        <v>317</v>
      </c>
      <c r="C127" s="414" t="s">
        <v>313</v>
      </c>
      <c r="D127" s="414" t="s">
        <v>314</v>
      </c>
      <c r="E127" s="430" t="s">
        <v>316</v>
      </c>
      <c r="F127" s="432" t="s">
        <v>315</v>
      </c>
      <c r="G127" s="417" t="s">
        <v>211</v>
      </c>
      <c r="H127" s="445">
        <v>630.13</v>
      </c>
      <c r="I127" s="445">
        <v>616.04</v>
      </c>
      <c r="J127" s="445">
        <v>600.15</v>
      </c>
      <c r="K127" s="445">
        <v>595.45000000000005</v>
      </c>
      <c r="L127" s="445">
        <v>582.16</v>
      </c>
      <c r="M127" s="445">
        <v>567.13</v>
      </c>
      <c r="N127" s="445">
        <v>334.51</v>
      </c>
      <c r="O127" s="445">
        <v>764.67</v>
      </c>
      <c r="P127" s="445">
        <v>722.49</v>
      </c>
      <c r="Q127" s="445">
        <v>640.87</v>
      </c>
      <c r="R127" s="445">
        <v>453.81</v>
      </c>
      <c r="S127" s="445">
        <v>417.92</v>
      </c>
      <c r="T127" s="446" t="s">
        <v>308</v>
      </c>
      <c r="V127" s="445">
        <f t="shared" si="25"/>
        <v>642.73260000000005</v>
      </c>
      <c r="W127" s="445">
        <f t="shared" si="14"/>
        <v>628.36079999999993</v>
      </c>
      <c r="X127" s="445">
        <f t="shared" si="15"/>
        <v>612.15300000000002</v>
      </c>
      <c r="Y127" s="445">
        <f t="shared" si="16"/>
        <v>607.35900000000004</v>
      </c>
      <c r="Z127" s="445">
        <f t="shared" si="17"/>
        <v>593.80319999999995</v>
      </c>
      <c r="AA127" s="445">
        <f t="shared" si="18"/>
        <v>578.47260000000006</v>
      </c>
      <c r="AB127" s="445">
        <f t="shared" si="19"/>
        <v>341.2002</v>
      </c>
      <c r="AC127" s="445">
        <f t="shared" si="20"/>
        <v>779.96339999999998</v>
      </c>
      <c r="AD127" s="445">
        <f t="shared" si="21"/>
        <v>736.93979999999999</v>
      </c>
      <c r="AE127" s="445">
        <f t="shared" si="22"/>
        <v>653.68740000000003</v>
      </c>
      <c r="AF127" s="445">
        <f t="shared" si="23"/>
        <v>462.88620000000003</v>
      </c>
      <c r="AG127" s="445">
        <f t="shared" si="24"/>
        <v>426.27840000000003</v>
      </c>
      <c r="AH127" s="446" t="s">
        <v>308</v>
      </c>
    </row>
    <row r="128" spans="1:34" ht="16.5" hidden="1" thickBot="1">
      <c r="A128" s="418">
        <v>2017</v>
      </c>
      <c r="B128" s="152" t="s">
        <v>317</v>
      </c>
      <c r="C128" s="146" t="s">
        <v>313</v>
      </c>
      <c r="D128" s="146" t="s">
        <v>314</v>
      </c>
      <c r="E128" s="151" t="s">
        <v>316</v>
      </c>
      <c r="F128" s="433" t="s">
        <v>315</v>
      </c>
      <c r="G128" s="149" t="s">
        <v>212</v>
      </c>
      <c r="H128" s="447">
        <v>1379.99</v>
      </c>
      <c r="I128" s="447">
        <v>1349.13</v>
      </c>
      <c r="J128" s="447">
        <v>1314.34</v>
      </c>
      <c r="K128" s="447">
        <v>1304.03</v>
      </c>
      <c r="L128" s="447">
        <v>1274.94</v>
      </c>
      <c r="M128" s="447">
        <v>1242.02</v>
      </c>
      <c r="N128" s="447">
        <v>732.57</v>
      </c>
      <c r="O128" s="447">
        <v>1674.63</v>
      </c>
      <c r="P128" s="447">
        <v>1582.25</v>
      </c>
      <c r="Q128" s="447">
        <v>1403.51</v>
      </c>
      <c r="R128" s="447">
        <v>993.86</v>
      </c>
      <c r="S128" s="447">
        <v>915.23</v>
      </c>
      <c r="T128" s="448" t="s">
        <v>308</v>
      </c>
      <c r="V128" s="447">
        <f t="shared" si="25"/>
        <v>1407.5898</v>
      </c>
      <c r="W128" s="447">
        <f t="shared" si="14"/>
        <v>1376.1126000000002</v>
      </c>
      <c r="X128" s="447">
        <f t="shared" si="15"/>
        <v>1340.6268</v>
      </c>
      <c r="Y128" s="447">
        <f t="shared" si="16"/>
        <v>1330.1106</v>
      </c>
      <c r="Z128" s="447">
        <f t="shared" si="17"/>
        <v>1300.4388000000001</v>
      </c>
      <c r="AA128" s="447">
        <f t="shared" si="18"/>
        <v>1266.8604</v>
      </c>
      <c r="AB128" s="447">
        <f t="shared" si="19"/>
        <v>747.22140000000002</v>
      </c>
      <c r="AC128" s="447">
        <f t="shared" si="20"/>
        <v>1708.1226000000001</v>
      </c>
      <c r="AD128" s="447">
        <f t="shared" si="21"/>
        <v>1613.895</v>
      </c>
      <c r="AE128" s="447">
        <f t="shared" si="22"/>
        <v>1431.5802000000001</v>
      </c>
      <c r="AF128" s="447">
        <f t="shared" si="23"/>
        <v>1013.7372</v>
      </c>
      <c r="AG128" s="447">
        <f t="shared" si="24"/>
        <v>933.53460000000007</v>
      </c>
      <c r="AH128" s="448" t="s">
        <v>308</v>
      </c>
    </row>
    <row r="129" spans="1:34" ht="16.5" hidden="1" thickBot="1">
      <c r="A129" s="418">
        <v>2017</v>
      </c>
      <c r="B129" s="152" t="s">
        <v>317</v>
      </c>
      <c r="C129" s="146" t="s">
        <v>313</v>
      </c>
      <c r="D129" s="146" t="s">
        <v>314</v>
      </c>
      <c r="E129" s="151" t="s">
        <v>316</v>
      </c>
      <c r="F129" s="433" t="s">
        <v>315</v>
      </c>
      <c r="G129" s="149" t="s">
        <v>213</v>
      </c>
      <c r="H129" s="447">
        <v>1197.25</v>
      </c>
      <c r="I129" s="447">
        <v>1170.48</v>
      </c>
      <c r="J129" s="447">
        <v>1140.28</v>
      </c>
      <c r="K129" s="447">
        <v>1131.3499999999999</v>
      </c>
      <c r="L129" s="447">
        <v>1106.1199999999999</v>
      </c>
      <c r="M129" s="447">
        <v>1077.55</v>
      </c>
      <c r="N129" s="447">
        <v>635.55999999999995</v>
      </c>
      <c r="O129" s="447">
        <v>1452.88</v>
      </c>
      <c r="P129" s="447">
        <v>1372.73</v>
      </c>
      <c r="Q129" s="447">
        <v>1217.6500000000001</v>
      </c>
      <c r="R129" s="447">
        <v>862.24</v>
      </c>
      <c r="S129" s="447">
        <v>794.04</v>
      </c>
      <c r="T129" s="448" t="s">
        <v>308</v>
      </c>
      <c r="V129" s="447">
        <f t="shared" si="25"/>
        <v>1221.1949999999999</v>
      </c>
      <c r="W129" s="447">
        <f t="shared" si="14"/>
        <v>1193.8896</v>
      </c>
      <c r="X129" s="447">
        <f t="shared" si="15"/>
        <v>1163.0855999999999</v>
      </c>
      <c r="Y129" s="447">
        <f t="shared" si="16"/>
        <v>1153.9769999999999</v>
      </c>
      <c r="Z129" s="447">
        <f t="shared" si="17"/>
        <v>1128.2423999999999</v>
      </c>
      <c r="AA129" s="447">
        <f t="shared" si="18"/>
        <v>1099.1009999999999</v>
      </c>
      <c r="AB129" s="447">
        <f t="shared" si="19"/>
        <v>648.27119999999991</v>
      </c>
      <c r="AC129" s="447">
        <f t="shared" si="20"/>
        <v>1481.9376000000002</v>
      </c>
      <c r="AD129" s="447">
        <f t="shared" si="21"/>
        <v>1400.1846</v>
      </c>
      <c r="AE129" s="447">
        <f t="shared" si="22"/>
        <v>1242.0030000000002</v>
      </c>
      <c r="AF129" s="447">
        <f t="shared" si="23"/>
        <v>879.48480000000006</v>
      </c>
      <c r="AG129" s="447">
        <f t="shared" si="24"/>
        <v>809.92079999999999</v>
      </c>
      <c r="AH129" s="448" t="s">
        <v>308</v>
      </c>
    </row>
    <row r="130" spans="1:34" ht="16.5" hidden="1" thickBot="1">
      <c r="A130" s="419">
        <v>2017</v>
      </c>
      <c r="B130" s="426" t="s">
        <v>317</v>
      </c>
      <c r="C130" s="421" t="s">
        <v>313</v>
      </c>
      <c r="D130" s="421" t="s">
        <v>314</v>
      </c>
      <c r="E130" s="431" t="s">
        <v>316</v>
      </c>
      <c r="F130" s="434" t="s">
        <v>315</v>
      </c>
      <c r="G130" s="424" t="s">
        <v>214</v>
      </c>
      <c r="H130" s="449">
        <v>1915.6</v>
      </c>
      <c r="I130" s="449">
        <v>1872.78</v>
      </c>
      <c r="J130" s="449">
        <v>1824.45</v>
      </c>
      <c r="K130" s="449">
        <v>1810.16</v>
      </c>
      <c r="L130" s="449">
        <v>1769.78</v>
      </c>
      <c r="M130" s="449">
        <v>1724.09</v>
      </c>
      <c r="N130" s="449">
        <v>1016.89</v>
      </c>
      <c r="O130" s="449">
        <v>2324.6</v>
      </c>
      <c r="P130" s="449">
        <v>2196.36</v>
      </c>
      <c r="Q130" s="449">
        <v>1948.25</v>
      </c>
      <c r="R130" s="449">
        <v>1379.59</v>
      </c>
      <c r="S130" s="449">
        <v>1270.46</v>
      </c>
      <c r="T130" s="450" t="s">
        <v>308</v>
      </c>
      <c r="V130" s="449">
        <f t="shared" si="25"/>
        <v>1953.912</v>
      </c>
      <c r="W130" s="449">
        <f t="shared" si="14"/>
        <v>1910.2356</v>
      </c>
      <c r="X130" s="449">
        <f t="shared" si="15"/>
        <v>1860.9390000000001</v>
      </c>
      <c r="Y130" s="449">
        <f t="shared" si="16"/>
        <v>1846.3632</v>
      </c>
      <c r="Z130" s="449">
        <f t="shared" si="17"/>
        <v>1805.1756</v>
      </c>
      <c r="AA130" s="449">
        <f t="shared" si="18"/>
        <v>1758.5717999999999</v>
      </c>
      <c r="AB130" s="449">
        <f t="shared" si="19"/>
        <v>1037.2278000000001</v>
      </c>
      <c r="AC130" s="449">
        <f t="shared" si="20"/>
        <v>2371.0920000000001</v>
      </c>
      <c r="AD130" s="449">
        <f t="shared" si="21"/>
        <v>2240.2872000000002</v>
      </c>
      <c r="AE130" s="449">
        <f t="shared" si="22"/>
        <v>1987.2150000000001</v>
      </c>
      <c r="AF130" s="449">
        <f t="shared" si="23"/>
        <v>1407.1817999999998</v>
      </c>
      <c r="AG130" s="449">
        <f t="shared" si="24"/>
        <v>1295.8692000000001</v>
      </c>
      <c r="AH130" s="450" t="s">
        <v>308</v>
      </c>
    </row>
    <row r="131" spans="1:34">
      <c r="A131" s="427">
        <v>2018</v>
      </c>
      <c r="B131" s="413" t="s">
        <v>303</v>
      </c>
      <c r="C131" s="414" t="s">
        <v>304</v>
      </c>
      <c r="D131" s="414" t="s">
        <v>305</v>
      </c>
      <c r="E131" s="415" t="s">
        <v>306</v>
      </c>
      <c r="F131" s="416" t="s">
        <v>307</v>
      </c>
      <c r="G131" s="417" t="s">
        <v>211</v>
      </c>
      <c r="H131" s="445">
        <v>619.25</v>
      </c>
      <c r="I131" s="445">
        <v>605.22</v>
      </c>
      <c r="J131" s="445">
        <v>589.38</v>
      </c>
      <c r="K131" s="445">
        <v>558.24</v>
      </c>
      <c r="L131" s="445">
        <v>545.61</v>
      </c>
      <c r="M131" s="445">
        <v>531.35</v>
      </c>
      <c r="N131" s="445">
        <v>288.27999999999997</v>
      </c>
      <c r="O131" s="445">
        <v>679.61</v>
      </c>
      <c r="P131" s="445">
        <v>642.11</v>
      </c>
      <c r="Q131" s="445">
        <v>609.64</v>
      </c>
      <c r="R131" s="445">
        <v>411.07</v>
      </c>
      <c r="S131" s="445">
        <v>378.54</v>
      </c>
      <c r="T131" s="446">
        <v>399.4</v>
      </c>
      <c r="V131" s="445">
        <f>H131*1.02</f>
        <v>631.63499999999999</v>
      </c>
      <c r="W131" s="445">
        <f t="shared" si="14"/>
        <v>617.32440000000008</v>
      </c>
      <c r="X131" s="445">
        <f t="shared" si="15"/>
        <v>601.16759999999999</v>
      </c>
      <c r="Y131" s="445">
        <f t="shared" si="16"/>
        <v>569.40480000000002</v>
      </c>
      <c r="Z131" s="445">
        <f t="shared" si="17"/>
        <v>556.5222</v>
      </c>
      <c r="AA131" s="445">
        <f t="shared" si="18"/>
        <v>541.97700000000009</v>
      </c>
      <c r="AB131" s="445">
        <f t="shared" si="19"/>
        <v>294.04559999999998</v>
      </c>
      <c r="AC131" s="445">
        <f t="shared" si="20"/>
        <v>693.20220000000006</v>
      </c>
      <c r="AD131" s="445">
        <f t="shared" si="21"/>
        <v>654.95220000000006</v>
      </c>
      <c r="AE131" s="445">
        <f t="shared" si="22"/>
        <v>621.83280000000002</v>
      </c>
      <c r="AF131" s="445">
        <f t="shared" si="23"/>
        <v>419.29140000000001</v>
      </c>
      <c r="AG131" s="445">
        <f t="shared" si="24"/>
        <v>386.11080000000004</v>
      </c>
      <c r="AH131" s="446">
        <f t="shared" si="24"/>
        <v>407.38799999999998</v>
      </c>
    </row>
    <row r="132" spans="1:34">
      <c r="A132" s="428">
        <v>2018</v>
      </c>
      <c r="B132" s="145" t="s">
        <v>303</v>
      </c>
      <c r="C132" s="146" t="s">
        <v>304</v>
      </c>
      <c r="D132" s="146" t="s">
        <v>305</v>
      </c>
      <c r="E132" s="147" t="s">
        <v>306</v>
      </c>
      <c r="F132" s="148" t="s">
        <v>307</v>
      </c>
      <c r="G132" s="149" t="s">
        <v>212</v>
      </c>
      <c r="H132" s="447">
        <v>1356.15</v>
      </c>
      <c r="I132" s="447">
        <v>1325.44</v>
      </c>
      <c r="J132" s="447">
        <v>1290.75</v>
      </c>
      <c r="K132" s="447">
        <v>1222.55</v>
      </c>
      <c r="L132" s="447">
        <v>1194.8900000000001</v>
      </c>
      <c r="M132" s="447">
        <v>1163.6600000000001</v>
      </c>
      <c r="N132" s="447">
        <v>631.34</v>
      </c>
      <c r="O132" s="447">
        <v>1488.35</v>
      </c>
      <c r="P132" s="447">
        <v>1406.22</v>
      </c>
      <c r="Q132" s="447">
        <v>1335.11</v>
      </c>
      <c r="R132" s="447">
        <v>900.25</v>
      </c>
      <c r="S132" s="447">
        <v>829</v>
      </c>
      <c r="T132" s="448">
        <v>874.68</v>
      </c>
      <c r="V132" s="447">
        <f t="shared" ref="V132:V135" si="26">H132*1.02</f>
        <v>1383.2730000000001</v>
      </c>
      <c r="W132" s="447">
        <f t="shared" si="14"/>
        <v>1351.9488000000001</v>
      </c>
      <c r="X132" s="447">
        <f t="shared" si="15"/>
        <v>1316.5650000000001</v>
      </c>
      <c r="Y132" s="447">
        <f t="shared" si="16"/>
        <v>1247.001</v>
      </c>
      <c r="Z132" s="447">
        <f t="shared" si="17"/>
        <v>1218.7878000000001</v>
      </c>
      <c r="AA132" s="447">
        <f t="shared" si="18"/>
        <v>1186.9332000000002</v>
      </c>
      <c r="AB132" s="447">
        <f t="shared" si="19"/>
        <v>643.96680000000003</v>
      </c>
      <c r="AC132" s="447">
        <f t="shared" si="20"/>
        <v>1518.117</v>
      </c>
      <c r="AD132" s="447">
        <f t="shared" si="21"/>
        <v>1434.3444</v>
      </c>
      <c r="AE132" s="447">
        <f t="shared" si="22"/>
        <v>1361.8121999999998</v>
      </c>
      <c r="AF132" s="447">
        <f t="shared" si="23"/>
        <v>918.255</v>
      </c>
      <c r="AG132" s="447">
        <f t="shared" si="24"/>
        <v>845.58</v>
      </c>
      <c r="AH132" s="448">
        <f t="shared" si="24"/>
        <v>892.17359999999996</v>
      </c>
    </row>
    <row r="133" spans="1:34">
      <c r="A133" s="428">
        <v>2018</v>
      </c>
      <c r="B133" s="145" t="s">
        <v>303</v>
      </c>
      <c r="C133" s="146" t="s">
        <v>304</v>
      </c>
      <c r="D133" s="146" t="s">
        <v>305</v>
      </c>
      <c r="E133" s="147" t="s">
        <v>306</v>
      </c>
      <c r="F133" s="148" t="s">
        <v>307</v>
      </c>
      <c r="G133" s="149" t="s">
        <v>213</v>
      </c>
      <c r="H133" s="447">
        <v>1176.56</v>
      </c>
      <c r="I133" s="447">
        <v>1149.92</v>
      </c>
      <c r="J133" s="447">
        <v>1119.83</v>
      </c>
      <c r="K133" s="447">
        <v>1060.6600000000001</v>
      </c>
      <c r="L133" s="447">
        <v>1036.67</v>
      </c>
      <c r="M133" s="447">
        <v>1009.57</v>
      </c>
      <c r="N133" s="447">
        <v>547.74</v>
      </c>
      <c r="O133" s="447">
        <v>1291.27</v>
      </c>
      <c r="P133" s="447">
        <v>1220.01</v>
      </c>
      <c r="Q133" s="447">
        <v>1158.32</v>
      </c>
      <c r="R133" s="447">
        <v>781.03</v>
      </c>
      <c r="S133" s="447">
        <v>719.22</v>
      </c>
      <c r="T133" s="448">
        <v>758.85</v>
      </c>
      <c r="V133" s="447">
        <f t="shared" si="26"/>
        <v>1200.0912000000001</v>
      </c>
      <c r="W133" s="447">
        <f t="shared" si="14"/>
        <v>1172.9184</v>
      </c>
      <c r="X133" s="447">
        <f t="shared" si="15"/>
        <v>1142.2266</v>
      </c>
      <c r="Y133" s="447">
        <f t="shared" si="16"/>
        <v>1081.8732</v>
      </c>
      <c r="Z133" s="447">
        <f t="shared" si="17"/>
        <v>1057.4034000000001</v>
      </c>
      <c r="AA133" s="447">
        <f t="shared" si="18"/>
        <v>1029.7614000000001</v>
      </c>
      <c r="AB133" s="447">
        <f t="shared" si="19"/>
        <v>558.69479999999999</v>
      </c>
      <c r="AC133" s="447">
        <f t="shared" si="20"/>
        <v>1317.0953999999999</v>
      </c>
      <c r="AD133" s="447">
        <f t="shared" si="21"/>
        <v>1244.4102</v>
      </c>
      <c r="AE133" s="447">
        <f t="shared" si="22"/>
        <v>1181.4864</v>
      </c>
      <c r="AF133" s="447">
        <f t="shared" si="23"/>
        <v>796.65059999999994</v>
      </c>
      <c r="AG133" s="447">
        <f t="shared" si="24"/>
        <v>733.60440000000006</v>
      </c>
      <c r="AH133" s="448">
        <f t="shared" si="24"/>
        <v>774.02700000000004</v>
      </c>
    </row>
    <row r="134" spans="1:34" ht="16.5" thickBot="1">
      <c r="A134" s="429">
        <v>2018</v>
      </c>
      <c r="B134" s="420" t="s">
        <v>303</v>
      </c>
      <c r="C134" s="421" t="s">
        <v>304</v>
      </c>
      <c r="D134" s="421" t="s">
        <v>305</v>
      </c>
      <c r="E134" s="422" t="s">
        <v>306</v>
      </c>
      <c r="F134" s="423" t="s">
        <v>307</v>
      </c>
      <c r="G134" s="424" t="s">
        <v>214</v>
      </c>
      <c r="H134" s="449">
        <v>1882.51</v>
      </c>
      <c r="I134" s="449">
        <v>1839.88</v>
      </c>
      <c r="J134" s="449">
        <v>1791.73</v>
      </c>
      <c r="K134" s="449">
        <v>1697.05</v>
      </c>
      <c r="L134" s="449">
        <v>1658.67</v>
      </c>
      <c r="M134" s="449">
        <v>1615.3</v>
      </c>
      <c r="N134" s="449">
        <v>876.38</v>
      </c>
      <c r="O134" s="449">
        <v>2066.02</v>
      </c>
      <c r="P134" s="449">
        <v>1952.01</v>
      </c>
      <c r="Q134" s="449">
        <v>1853.31</v>
      </c>
      <c r="R134" s="449">
        <v>1249.6600000000001</v>
      </c>
      <c r="S134" s="449">
        <v>1150.75</v>
      </c>
      <c r="T134" s="450">
        <v>1214.17</v>
      </c>
      <c r="V134" s="449">
        <f t="shared" si="26"/>
        <v>1920.1602</v>
      </c>
      <c r="W134" s="449">
        <f t="shared" si="14"/>
        <v>1876.6776000000002</v>
      </c>
      <c r="X134" s="449">
        <f t="shared" si="15"/>
        <v>1827.5646000000002</v>
      </c>
      <c r="Y134" s="449">
        <f t="shared" si="16"/>
        <v>1730.991</v>
      </c>
      <c r="Z134" s="449">
        <f t="shared" si="17"/>
        <v>1691.8434000000002</v>
      </c>
      <c r="AA134" s="449">
        <f t="shared" si="18"/>
        <v>1647.606</v>
      </c>
      <c r="AB134" s="449">
        <f t="shared" si="19"/>
        <v>893.9076</v>
      </c>
      <c r="AC134" s="449">
        <f t="shared" si="20"/>
        <v>2107.3404</v>
      </c>
      <c r="AD134" s="449">
        <f t="shared" si="21"/>
        <v>1991.0502000000001</v>
      </c>
      <c r="AE134" s="449">
        <f t="shared" si="22"/>
        <v>1890.3761999999999</v>
      </c>
      <c r="AF134" s="449">
        <f t="shared" si="23"/>
        <v>1274.6532000000002</v>
      </c>
      <c r="AG134" s="449">
        <f t="shared" si="24"/>
        <v>1173.7650000000001</v>
      </c>
      <c r="AH134" s="450">
        <f t="shared" si="24"/>
        <v>1238.4534000000001</v>
      </c>
    </row>
    <row r="135" spans="1:34">
      <c r="A135" s="427">
        <v>2018</v>
      </c>
      <c r="B135" s="413" t="s">
        <v>303</v>
      </c>
      <c r="C135" s="414" t="s">
        <v>309</v>
      </c>
      <c r="D135" s="414" t="s">
        <v>310</v>
      </c>
      <c r="E135" s="415" t="s">
        <v>306</v>
      </c>
      <c r="F135" s="416" t="s">
        <v>307</v>
      </c>
      <c r="G135" s="417" t="s">
        <v>211</v>
      </c>
      <c r="H135" s="445">
        <v>680.49</v>
      </c>
      <c r="I135" s="445">
        <v>665.08</v>
      </c>
      <c r="J135" s="445">
        <v>647.66999999999996</v>
      </c>
      <c r="K135" s="445">
        <v>613.45000000000005</v>
      </c>
      <c r="L135" s="445">
        <v>599.58000000000004</v>
      </c>
      <c r="M135" s="445">
        <v>583.9</v>
      </c>
      <c r="N135" s="445">
        <v>316.8</v>
      </c>
      <c r="O135" s="445">
        <v>746.83</v>
      </c>
      <c r="P135" s="445">
        <v>705.61</v>
      </c>
      <c r="Q135" s="445">
        <v>669.93</v>
      </c>
      <c r="R135" s="445">
        <v>451.73</v>
      </c>
      <c r="S135" s="445">
        <v>415.98</v>
      </c>
      <c r="T135" s="446">
        <v>438.9</v>
      </c>
      <c r="V135" s="445">
        <f t="shared" si="26"/>
        <v>694.09980000000007</v>
      </c>
      <c r="W135" s="445">
        <f t="shared" ref="W135:W198" si="27">I135*1.02</f>
        <v>678.38160000000005</v>
      </c>
      <c r="X135" s="445">
        <f t="shared" ref="X135:X198" si="28">J135*1.02</f>
        <v>660.62339999999995</v>
      </c>
      <c r="Y135" s="445">
        <f t="shared" ref="Y135:Y198" si="29">K135*1.02</f>
        <v>625.71900000000005</v>
      </c>
      <c r="Z135" s="445">
        <f t="shared" ref="Z135:Z198" si="30">L135*1.02</f>
        <v>611.5716000000001</v>
      </c>
      <c r="AA135" s="445">
        <f t="shared" ref="AA135:AA198" si="31">M135*1.02</f>
        <v>595.57799999999997</v>
      </c>
      <c r="AB135" s="445">
        <f t="shared" ref="AB135:AB198" si="32">N135*1.02</f>
        <v>323.13600000000002</v>
      </c>
      <c r="AC135" s="445">
        <f t="shared" ref="AC135:AC198" si="33">O135*1.02</f>
        <v>761.76660000000004</v>
      </c>
      <c r="AD135" s="445">
        <f t="shared" ref="AD135:AD198" si="34">P135*1.02</f>
        <v>719.72220000000004</v>
      </c>
      <c r="AE135" s="445">
        <f t="shared" ref="AE135:AE198" si="35">Q135*1.02</f>
        <v>683.32859999999994</v>
      </c>
      <c r="AF135" s="445">
        <f t="shared" ref="AF135:AF198" si="36">R135*1.02</f>
        <v>460.76460000000003</v>
      </c>
      <c r="AG135" s="445">
        <f t="shared" ref="AG135:AG198" si="37">S135*1.02</f>
        <v>424.2996</v>
      </c>
      <c r="AH135" s="446">
        <f t="shared" ref="AH135:AH198" si="38">T135*1.02</f>
        <v>447.678</v>
      </c>
    </row>
    <row r="136" spans="1:34">
      <c r="A136" s="428">
        <v>2018</v>
      </c>
      <c r="B136" s="145" t="s">
        <v>303</v>
      </c>
      <c r="C136" s="146" t="s">
        <v>309</v>
      </c>
      <c r="D136" s="146" t="s">
        <v>310</v>
      </c>
      <c r="E136" s="147" t="s">
        <v>306</v>
      </c>
      <c r="F136" s="148" t="s">
        <v>307</v>
      </c>
      <c r="G136" s="149" t="s">
        <v>212</v>
      </c>
      <c r="H136" s="447">
        <v>1490.27</v>
      </c>
      <c r="I136" s="447">
        <v>1456.52</v>
      </c>
      <c r="J136" s="447">
        <v>1418.41</v>
      </c>
      <c r="K136" s="447">
        <v>1343.46</v>
      </c>
      <c r="L136" s="447">
        <v>1313.07</v>
      </c>
      <c r="M136" s="447">
        <v>1278.74</v>
      </c>
      <c r="N136" s="447">
        <v>693.78</v>
      </c>
      <c r="O136" s="447">
        <v>1635.55</v>
      </c>
      <c r="P136" s="447">
        <v>1545.3</v>
      </c>
      <c r="Q136" s="447">
        <v>1467.15</v>
      </c>
      <c r="R136" s="447">
        <v>989.28</v>
      </c>
      <c r="S136" s="447">
        <v>910.99</v>
      </c>
      <c r="T136" s="448">
        <v>961.19</v>
      </c>
      <c r="V136" s="447">
        <f t="shared" ref="V136:V199" si="39">H136*1.02</f>
        <v>1520.0753999999999</v>
      </c>
      <c r="W136" s="447">
        <f t="shared" si="27"/>
        <v>1485.6504</v>
      </c>
      <c r="X136" s="447">
        <f t="shared" si="28"/>
        <v>1446.7782000000002</v>
      </c>
      <c r="Y136" s="447">
        <f t="shared" si="29"/>
        <v>1370.3292000000001</v>
      </c>
      <c r="Z136" s="447">
        <f t="shared" si="30"/>
        <v>1339.3314</v>
      </c>
      <c r="AA136" s="447">
        <f t="shared" si="31"/>
        <v>1304.3148000000001</v>
      </c>
      <c r="AB136" s="447">
        <f t="shared" si="32"/>
        <v>707.65559999999994</v>
      </c>
      <c r="AC136" s="447">
        <f t="shared" si="33"/>
        <v>1668.261</v>
      </c>
      <c r="AD136" s="447">
        <f t="shared" si="34"/>
        <v>1576.2059999999999</v>
      </c>
      <c r="AE136" s="447">
        <f t="shared" si="35"/>
        <v>1496.4930000000002</v>
      </c>
      <c r="AF136" s="447">
        <f t="shared" si="36"/>
        <v>1009.0656</v>
      </c>
      <c r="AG136" s="447">
        <f t="shared" si="37"/>
        <v>929.20979999999997</v>
      </c>
      <c r="AH136" s="448">
        <f t="shared" si="38"/>
        <v>980.41380000000004</v>
      </c>
    </row>
    <row r="137" spans="1:34">
      <c r="A137" s="428">
        <v>2018</v>
      </c>
      <c r="B137" s="145" t="s">
        <v>303</v>
      </c>
      <c r="C137" s="146" t="s">
        <v>309</v>
      </c>
      <c r="D137" s="146" t="s">
        <v>310</v>
      </c>
      <c r="E137" s="147" t="s">
        <v>306</v>
      </c>
      <c r="F137" s="148" t="s">
        <v>307</v>
      </c>
      <c r="G137" s="149" t="s">
        <v>213</v>
      </c>
      <c r="H137" s="447">
        <v>1292.93</v>
      </c>
      <c r="I137" s="447">
        <v>1263.6500000000001</v>
      </c>
      <c r="J137" s="447">
        <v>1230.58</v>
      </c>
      <c r="K137" s="447">
        <v>1165.56</v>
      </c>
      <c r="L137" s="447">
        <v>1139.2</v>
      </c>
      <c r="M137" s="447">
        <v>1109.4100000000001</v>
      </c>
      <c r="N137" s="447">
        <v>601.91999999999996</v>
      </c>
      <c r="O137" s="447">
        <v>1418.98</v>
      </c>
      <c r="P137" s="447">
        <v>1340.67</v>
      </c>
      <c r="Q137" s="447">
        <v>1272.8699999999999</v>
      </c>
      <c r="R137" s="447">
        <v>858.28</v>
      </c>
      <c r="S137" s="447">
        <v>790.35</v>
      </c>
      <c r="T137" s="448">
        <v>833.91</v>
      </c>
      <c r="V137" s="447">
        <f t="shared" si="39"/>
        <v>1318.7886000000001</v>
      </c>
      <c r="W137" s="447">
        <f t="shared" si="27"/>
        <v>1288.923</v>
      </c>
      <c r="X137" s="447">
        <f t="shared" si="28"/>
        <v>1255.1915999999999</v>
      </c>
      <c r="Y137" s="447">
        <f t="shared" si="29"/>
        <v>1188.8712</v>
      </c>
      <c r="Z137" s="447">
        <f t="shared" si="30"/>
        <v>1161.9840000000002</v>
      </c>
      <c r="AA137" s="447">
        <f t="shared" si="31"/>
        <v>1131.5982000000001</v>
      </c>
      <c r="AB137" s="447">
        <f t="shared" si="32"/>
        <v>613.95839999999998</v>
      </c>
      <c r="AC137" s="447">
        <f t="shared" si="33"/>
        <v>1447.3596</v>
      </c>
      <c r="AD137" s="447">
        <f t="shared" si="34"/>
        <v>1367.4834000000001</v>
      </c>
      <c r="AE137" s="447">
        <f t="shared" si="35"/>
        <v>1298.3273999999999</v>
      </c>
      <c r="AF137" s="447">
        <f t="shared" si="36"/>
        <v>875.44560000000001</v>
      </c>
      <c r="AG137" s="447">
        <f t="shared" si="37"/>
        <v>806.15700000000004</v>
      </c>
      <c r="AH137" s="448">
        <f t="shared" si="38"/>
        <v>850.58820000000003</v>
      </c>
    </row>
    <row r="138" spans="1:34" ht="16.5" thickBot="1">
      <c r="A138" s="429">
        <v>2018</v>
      </c>
      <c r="B138" s="420" t="s">
        <v>303</v>
      </c>
      <c r="C138" s="421" t="s">
        <v>309</v>
      </c>
      <c r="D138" s="421" t="s">
        <v>310</v>
      </c>
      <c r="E138" s="422" t="s">
        <v>306</v>
      </c>
      <c r="F138" s="423" t="s">
        <v>307</v>
      </c>
      <c r="G138" s="424" t="s">
        <v>214</v>
      </c>
      <c r="H138" s="449">
        <v>2068.69</v>
      </c>
      <c r="I138" s="449">
        <v>2021.84</v>
      </c>
      <c r="J138" s="449">
        <v>1968.93</v>
      </c>
      <c r="K138" s="449">
        <v>1864.89</v>
      </c>
      <c r="L138" s="449">
        <v>1822.71</v>
      </c>
      <c r="M138" s="449">
        <v>1775.06</v>
      </c>
      <c r="N138" s="449">
        <v>963.06</v>
      </c>
      <c r="O138" s="449">
        <v>2270.36</v>
      </c>
      <c r="P138" s="449">
        <v>2145.0700000000002</v>
      </c>
      <c r="Q138" s="449">
        <v>2036.6</v>
      </c>
      <c r="R138" s="449">
        <v>1373.26</v>
      </c>
      <c r="S138" s="449">
        <v>1264.56</v>
      </c>
      <c r="T138" s="450">
        <v>1334.25</v>
      </c>
      <c r="V138" s="449">
        <f t="shared" si="39"/>
        <v>2110.0637999999999</v>
      </c>
      <c r="W138" s="449">
        <f t="shared" si="27"/>
        <v>2062.2768000000001</v>
      </c>
      <c r="X138" s="449">
        <f t="shared" si="28"/>
        <v>2008.3086000000001</v>
      </c>
      <c r="Y138" s="449">
        <f t="shared" si="29"/>
        <v>1902.1878000000002</v>
      </c>
      <c r="Z138" s="449">
        <f t="shared" si="30"/>
        <v>1859.1642000000002</v>
      </c>
      <c r="AA138" s="449">
        <f t="shared" si="31"/>
        <v>1810.5611999999999</v>
      </c>
      <c r="AB138" s="449">
        <f t="shared" si="32"/>
        <v>982.32119999999998</v>
      </c>
      <c r="AC138" s="449">
        <f t="shared" si="33"/>
        <v>2315.7672000000002</v>
      </c>
      <c r="AD138" s="449">
        <f t="shared" si="34"/>
        <v>2187.9714000000004</v>
      </c>
      <c r="AE138" s="449">
        <f t="shared" si="35"/>
        <v>2077.3319999999999</v>
      </c>
      <c r="AF138" s="449">
        <f t="shared" si="36"/>
        <v>1400.7252000000001</v>
      </c>
      <c r="AG138" s="449">
        <f t="shared" si="37"/>
        <v>1289.8512000000001</v>
      </c>
      <c r="AH138" s="450">
        <f t="shared" si="38"/>
        <v>1360.9349999999999</v>
      </c>
    </row>
    <row r="139" spans="1:34">
      <c r="A139" s="427">
        <v>2018</v>
      </c>
      <c r="B139" s="413" t="s">
        <v>303</v>
      </c>
      <c r="C139" s="414" t="s">
        <v>311</v>
      </c>
      <c r="D139" s="414" t="s">
        <v>312</v>
      </c>
      <c r="E139" s="415" t="s">
        <v>306</v>
      </c>
      <c r="F139" s="416" t="s">
        <v>307</v>
      </c>
      <c r="G139" s="417" t="s">
        <v>211</v>
      </c>
      <c r="H139" s="445">
        <v>716.3</v>
      </c>
      <c r="I139" s="445">
        <v>700.09</v>
      </c>
      <c r="J139" s="445">
        <v>681.76</v>
      </c>
      <c r="K139" s="445">
        <v>645.74</v>
      </c>
      <c r="L139" s="445">
        <v>631.13</v>
      </c>
      <c r="M139" s="445">
        <v>614.63</v>
      </c>
      <c r="N139" s="445">
        <v>333.47</v>
      </c>
      <c r="O139" s="445">
        <v>786.13</v>
      </c>
      <c r="P139" s="445">
        <v>742.75</v>
      </c>
      <c r="Q139" s="445">
        <v>705.19</v>
      </c>
      <c r="R139" s="445">
        <v>475.5</v>
      </c>
      <c r="S139" s="445">
        <v>437.87</v>
      </c>
      <c r="T139" s="446">
        <v>462</v>
      </c>
      <c r="V139" s="445">
        <f t="shared" si="39"/>
        <v>730.62599999999998</v>
      </c>
      <c r="W139" s="445">
        <f t="shared" si="27"/>
        <v>714.09180000000003</v>
      </c>
      <c r="X139" s="445">
        <f t="shared" si="28"/>
        <v>695.39520000000005</v>
      </c>
      <c r="Y139" s="445">
        <f t="shared" si="29"/>
        <v>658.65480000000002</v>
      </c>
      <c r="Z139" s="445">
        <f t="shared" si="30"/>
        <v>643.75260000000003</v>
      </c>
      <c r="AA139" s="445">
        <f t="shared" si="31"/>
        <v>626.92259999999999</v>
      </c>
      <c r="AB139" s="445">
        <f t="shared" si="32"/>
        <v>340.13940000000002</v>
      </c>
      <c r="AC139" s="445">
        <f t="shared" si="33"/>
        <v>801.85260000000005</v>
      </c>
      <c r="AD139" s="445">
        <f t="shared" si="34"/>
        <v>757.60500000000002</v>
      </c>
      <c r="AE139" s="445">
        <f t="shared" si="35"/>
        <v>719.29380000000003</v>
      </c>
      <c r="AF139" s="445">
        <f t="shared" si="36"/>
        <v>485.01</v>
      </c>
      <c r="AG139" s="445">
        <f t="shared" si="37"/>
        <v>446.62740000000002</v>
      </c>
      <c r="AH139" s="446">
        <f t="shared" si="38"/>
        <v>471.24</v>
      </c>
    </row>
    <row r="140" spans="1:34">
      <c r="A140" s="428">
        <v>2018</v>
      </c>
      <c r="B140" s="145" t="s">
        <v>303</v>
      </c>
      <c r="C140" s="146" t="s">
        <v>311</v>
      </c>
      <c r="D140" s="146" t="s">
        <v>312</v>
      </c>
      <c r="E140" s="147" t="s">
        <v>306</v>
      </c>
      <c r="F140" s="148" t="s">
        <v>307</v>
      </c>
      <c r="G140" s="149" t="s">
        <v>212</v>
      </c>
      <c r="H140" s="447">
        <v>1568.71</v>
      </c>
      <c r="I140" s="447">
        <v>1533.18</v>
      </c>
      <c r="J140" s="447">
        <v>1493.06</v>
      </c>
      <c r="K140" s="447">
        <v>1414.17</v>
      </c>
      <c r="L140" s="447">
        <v>1382.18</v>
      </c>
      <c r="M140" s="447">
        <v>1346.05</v>
      </c>
      <c r="N140" s="447">
        <v>730.29</v>
      </c>
      <c r="O140" s="447">
        <v>1721.63</v>
      </c>
      <c r="P140" s="447">
        <v>1626.63</v>
      </c>
      <c r="Q140" s="447">
        <v>1544.37</v>
      </c>
      <c r="R140" s="447">
        <v>1041.3499999999999</v>
      </c>
      <c r="S140" s="447">
        <v>958.93</v>
      </c>
      <c r="T140" s="448">
        <v>1011.78</v>
      </c>
      <c r="V140" s="447">
        <f t="shared" si="39"/>
        <v>1600.0842</v>
      </c>
      <c r="W140" s="447">
        <f t="shared" si="27"/>
        <v>1563.8436000000002</v>
      </c>
      <c r="X140" s="447">
        <f t="shared" si="28"/>
        <v>1522.9212</v>
      </c>
      <c r="Y140" s="447">
        <f t="shared" si="29"/>
        <v>1442.4534000000001</v>
      </c>
      <c r="Z140" s="447">
        <f t="shared" si="30"/>
        <v>1409.8236000000002</v>
      </c>
      <c r="AA140" s="447">
        <f t="shared" si="31"/>
        <v>1372.971</v>
      </c>
      <c r="AB140" s="447">
        <f t="shared" si="32"/>
        <v>744.89580000000001</v>
      </c>
      <c r="AC140" s="447">
        <f t="shared" si="33"/>
        <v>1756.0626000000002</v>
      </c>
      <c r="AD140" s="447">
        <f t="shared" si="34"/>
        <v>1659.1626000000001</v>
      </c>
      <c r="AE140" s="447">
        <f t="shared" si="35"/>
        <v>1575.2574</v>
      </c>
      <c r="AF140" s="447">
        <f t="shared" si="36"/>
        <v>1062.1769999999999</v>
      </c>
      <c r="AG140" s="447">
        <f t="shared" si="37"/>
        <v>978.10859999999991</v>
      </c>
      <c r="AH140" s="448">
        <f t="shared" si="38"/>
        <v>1032.0155999999999</v>
      </c>
    </row>
    <row r="141" spans="1:34">
      <c r="A141" s="428">
        <v>2018</v>
      </c>
      <c r="B141" s="145" t="s">
        <v>303</v>
      </c>
      <c r="C141" s="146" t="s">
        <v>311</v>
      </c>
      <c r="D141" s="146" t="s">
        <v>312</v>
      </c>
      <c r="E141" s="147" t="s">
        <v>306</v>
      </c>
      <c r="F141" s="148" t="s">
        <v>307</v>
      </c>
      <c r="G141" s="149" t="s">
        <v>213</v>
      </c>
      <c r="H141" s="447">
        <v>1360.97</v>
      </c>
      <c r="I141" s="447">
        <v>1330.16</v>
      </c>
      <c r="J141" s="447">
        <v>1295.3499999999999</v>
      </c>
      <c r="K141" s="447">
        <v>1226.9100000000001</v>
      </c>
      <c r="L141" s="447">
        <v>1199.1600000000001</v>
      </c>
      <c r="M141" s="447">
        <v>1167.8</v>
      </c>
      <c r="N141" s="447">
        <v>633.6</v>
      </c>
      <c r="O141" s="447">
        <v>1493.66</v>
      </c>
      <c r="P141" s="447">
        <v>1411.23</v>
      </c>
      <c r="Q141" s="447">
        <v>1339.87</v>
      </c>
      <c r="R141" s="447">
        <v>903.45</v>
      </c>
      <c r="S141" s="447">
        <v>831.95</v>
      </c>
      <c r="T141" s="448">
        <v>877.8</v>
      </c>
      <c r="V141" s="447">
        <f t="shared" si="39"/>
        <v>1388.1894</v>
      </c>
      <c r="W141" s="447">
        <f t="shared" si="27"/>
        <v>1356.7632000000001</v>
      </c>
      <c r="X141" s="447">
        <f t="shared" si="28"/>
        <v>1321.2569999999998</v>
      </c>
      <c r="Y141" s="447">
        <f t="shared" si="29"/>
        <v>1251.4482</v>
      </c>
      <c r="Z141" s="447">
        <f t="shared" si="30"/>
        <v>1223.1432000000002</v>
      </c>
      <c r="AA141" s="447">
        <f t="shared" si="31"/>
        <v>1191.1559999999999</v>
      </c>
      <c r="AB141" s="447">
        <f t="shared" si="32"/>
        <v>646.27200000000005</v>
      </c>
      <c r="AC141" s="447">
        <f t="shared" si="33"/>
        <v>1523.5332000000001</v>
      </c>
      <c r="AD141" s="447">
        <f t="shared" si="34"/>
        <v>1439.4546</v>
      </c>
      <c r="AE141" s="447">
        <f t="shared" si="35"/>
        <v>1366.6673999999998</v>
      </c>
      <c r="AF141" s="447">
        <f t="shared" si="36"/>
        <v>921.51900000000012</v>
      </c>
      <c r="AG141" s="447">
        <f t="shared" si="37"/>
        <v>848.58900000000006</v>
      </c>
      <c r="AH141" s="448">
        <f t="shared" si="38"/>
        <v>895.35599999999999</v>
      </c>
    </row>
    <row r="142" spans="1:34" ht="16.5" thickBot="1">
      <c r="A142" s="429">
        <v>2018</v>
      </c>
      <c r="B142" s="420" t="s">
        <v>303</v>
      </c>
      <c r="C142" s="421" t="s">
        <v>311</v>
      </c>
      <c r="D142" s="421" t="s">
        <v>312</v>
      </c>
      <c r="E142" s="422" t="s">
        <v>306</v>
      </c>
      <c r="F142" s="423" t="s">
        <v>307</v>
      </c>
      <c r="G142" s="424" t="s">
        <v>214</v>
      </c>
      <c r="H142" s="449">
        <v>2177.5700000000002</v>
      </c>
      <c r="I142" s="449">
        <v>2128.2600000000002</v>
      </c>
      <c r="J142" s="449">
        <v>2072.56</v>
      </c>
      <c r="K142" s="449">
        <v>1963.05</v>
      </c>
      <c r="L142" s="449">
        <v>1918.64</v>
      </c>
      <c r="M142" s="449">
        <v>1868.48</v>
      </c>
      <c r="N142" s="449">
        <v>1013.75</v>
      </c>
      <c r="O142" s="449">
        <v>2389.85</v>
      </c>
      <c r="P142" s="449">
        <v>2257.96</v>
      </c>
      <c r="Q142" s="449">
        <v>2143.79</v>
      </c>
      <c r="R142" s="449">
        <v>1445.53</v>
      </c>
      <c r="S142" s="449">
        <v>1331.12</v>
      </c>
      <c r="T142" s="450">
        <v>1404.48</v>
      </c>
      <c r="V142" s="449">
        <f t="shared" si="39"/>
        <v>2221.1214</v>
      </c>
      <c r="W142" s="449">
        <f t="shared" si="27"/>
        <v>2170.8252000000002</v>
      </c>
      <c r="X142" s="449">
        <f t="shared" si="28"/>
        <v>2114.0111999999999</v>
      </c>
      <c r="Y142" s="449">
        <f t="shared" si="29"/>
        <v>2002.3109999999999</v>
      </c>
      <c r="Z142" s="449">
        <f t="shared" si="30"/>
        <v>1957.0128000000002</v>
      </c>
      <c r="AA142" s="449">
        <f t="shared" si="31"/>
        <v>1905.8496</v>
      </c>
      <c r="AB142" s="449">
        <f t="shared" si="32"/>
        <v>1034.0250000000001</v>
      </c>
      <c r="AC142" s="449">
        <f t="shared" si="33"/>
        <v>2437.6469999999999</v>
      </c>
      <c r="AD142" s="449">
        <f t="shared" si="34"/>
        <v>2303.1192000000001</v>
      </c>
      <c r="AE142" s="449">
        <f t="shared" si="35"/>
        <v>2186.6658000000002</v>
      </c>
      <c r="AF142" s="449">
        <f t="shared" si="36"/>
        <v>1474.4405999999999</v>
      </c>
      <c r="AG142" s="449">
        <f t="shared" si="37"/>
        <v>1357.7423999999999</v>
      </c>
      <c r="AH142" s="450">
        <f t="shared" si="38"/>
        <v>1432.5696</v>
      </c>
    </row>
    <row r="143" spans="1:34">
      <c r="A143" s="427">
        <v>2018</v>
      </c>
      <c r="B143" s="413" t="s">
        <v>303</v>
      </c>
      <c r="C143" s="414" t="s">
        <v>313</v>
      </c>
      <c r="D143" s="414" t="s">
        <v>314</v>
      </c>
      <c r="E143" s="415" t="s">
        <v>306</v>
      </c>
      <c r="F143" s="416" t="s">
        <v>307</v>
      </c>
      <c r="G143" s="417" t="s">
        <v>211</v>
      </c>
      <c r="H143" s="445">
        <v>823.75</v>
      </c>
      <c r="I143" s="445">
        <v>805.1</v>
      </c>
      <c r="J143" s="445">
        <v>784.03</v>
      </c>
      <c r="K143" s="445">
        <v>742.6</v>
      </c>
      <c r="L143" s="445">
        <v>725.8</v>
      </c>
      <c r="M143" s="445">
        <v>706.83</v>
      </c>
      <c r="N143" s="445">
        <v>383.49</v>
      </c>
      <c r="O143" s="445">
        <v>904.05</v>
      </c>
      <c r="P143" s="445">
        <v>854.16</v>
      </c>
      <c r="Q143" s="445">
        <v>810.97</v>
      </c>
      <c r="R143" s="445">
        <v>546.83000000000004</v>
      </c>
      <c r="S143" s="445">
        <v>503.55</v>
      </c>
      <c r="T143" s="446">
        <v>531.29999999999995</v>
      </c>
      <c r="V143" s="445">
        <f t="shared" si="39"/>
        <v>840.22500000000002</v>
      </c>
      <c r="W143" s="445">
        <f t="shared" si="27"/>
        <v>821.202</v>
      </c>
      <c r="X143" s="445">
        <f t="shared" si="28"/>
        <v>799.7106</v>
      </c>
      <c r="Y143" s="445">
        <f t="shared" si="29"/>
        <v>757.452</v>
      </c>
      <c r="Z143" s="445">
        <f t="shared" si="30"/>
        <v>740.31599999999992</v>
      </c>
      <c r="AA143" s="445">
        <f t="shared" si="31"/>
        <v>720.96660000000008</v>
      </c>
      <c r="AB143" s="445">
        <f t="shared" si="32"/>
        <v>391.15980000000002</v>
      </c>
      <c r="AC143" s="445">
        <f t="shared" si="33"/>
        <v>922.13099999999997</v>
      </c>
      <c r="AD143" s="445">
        <f t="shared" si="34"/>
        <v>871.2432</v>
      </c>
      <c r="AE143" s="445">
        <f t="shared" si="35"/>
        <v>827.18940000000009</v>
      </c>
      <c r="AF143" s="445">
        <f t="shared" si="36"/>
        <v>557.76660000000004</v>
      </c>
      <c r="AG143" s="445">
        <f t="shared" si="37"/>
        <v>513.62099999999998</v>
      </c>
      <c r="AH143" s="446">
        <f t="shared" si="38"/>
        <v>541.92599999999993</v>
      </c>
    </row>
    <row r="144" spans="1:34">
      <c r="A144" s="428">
        <v>2018</v>
      </c>
      <c r="B144" s="145" t="s">
        <v>303</v>
      </c>
      <c r="C144" s="146" t="s">
        <v>313</v>
      </c>
      <c r="D144" s="146" t="s">
        <v>314</v>
      </c>
      <c r="E144" s="147" t="s">
        <v>306</v>
      </c>
      <c r="F144" s="148" t="s">
        <v>307</v>
      </c>
      <c r="G144" s="149" t="s">
        <v>212</v>
      </c>
      <c r="H144" s="447">
        <v>1804.01</v>
      </c>
      <c r="I144" s="447">
        <v>1763.16</v>
      </c>
      <c r="J144" s="447">
        <v>1717.02</v>
      </c>
      <c r="K144" s="447">
        <v>1626.29</v>
      </c>
      <c r="L144" s="447">
        <v>1589.5</v>
      </c>
      <c r="M144" s="447">
        <v>1547.95</v>
      </c>
      <c r="N144" s="447">
        <v>839.84</v>
      </c>
      <c r="O144" s="447">
        <v>1979.88</v>
      </c>
      <c r="P144" s="447">
        <v>1870.63</v>
      </c>
      <c r="Q144" s="447">
        <v>1776.03</v>
      </c>
      <c r="R144" s="447">
        <v>1197.55</v>
      </c>
      <c r="S144" s="447">
        <v>1102.77</v>
      </c>
      <c r="T144" s="448">
        <v>1163.55</v>
      </c>
      <c r="V144" s="447">
        <f t="shared" si="39"/>
        <v>1840.0902000000001</v>
      </c>
      <c r="W144" s="447">
        <f t="shared" si="27"/>
        <v>1798.4232000000002</v>
      </c>
      <c r="X144" s="447">
        <f t="shared" si="28"/>
        <v>1751.3604</v>
      </c>
      <c r="Y144" s="447">
        <f t="shared" si="29"/>
        <v>1658.8158000000001</v>
      </c>
      <c r="Z144" s="447">
        <f t="shared" si="30"/>
        <v>1621.29</v>
      </c>
      <c r="AA144" s="447">
        <f t="shared" si="31"/>
        <v>1578.9090000000001</v>
      </c>
      <c r="AB144" s="447">
        <f t="shared" si="32"/>
        <v>856.63679999999999</v>
      </c>
      <c r="AC144" s="447">
        <f t="shared" si="33"/>
        <v>2019.4776000000002</v>
      </c>
      <c r="AD144" s="447">
        <f t="shared" si="34"/>
        <v>1908.0426000000002</v>
      </c>
      <c r="AE144" s="447">
        <f t="shared" si="35"/>
        <v>1811.5506</v>
      </c>
      <c r="AF144" s="447">
        <f t="shared" si="36"/>
        <v>1221.501</v>
      </c>
      <c r="AG144" s="447">
        <f t="shared" si="37"/>
        <v>1124.8253999999999</v>
      </c>
      <c r="AH144" s="448">
        <f t="shared" si="38"/>
        <v>1186.8209999999999</v>
      </c>
    </row>
    <row r="145" spans="1:34">
      <c r="A145" s="428">
        <v>2018</v>
      </c>
      <c r="B145" s="145" t="s">
        <v>303</v>
      </c>
      <c r="C145" s="146" t="s">
        <v>313</v>
      </c>
      <c r="D145" s="146" t="s">
        <v>314</v>
      </c>
      <c r="E145" s="147" t="s">
        <v>306</v>
      </c>
      <c r="F145" s="148" t="s">
        <v>307</v>
      </c>
      <c r="G145" s="149" t="s">
        <v>213</v>
      </c>
      <c r="H145" s="447">
        <v>1565.12</v>
      </c>
      <c r="I145" s="447">
        <v>1529.68</v>
      </c>
      <c r="J145" s="447">
        <v>1489.65</v>
      </c>
      <c r="K145" s="447">
        <v>1410.94</v>
      </c>
      <c r="L145" s="447">
        <v>1379.03</v>
      </c>
      <c r="M145" s="447">
        <v>1342.97</v>
      </c>
      <c r="N145" s="447">
        <v>728.64</v>
      </c>
      <c r="O145" s="447">
        <v>1717.71</v>
      </c>
      <c r="P145" s="447">
        <v>1622.92</v>
      </c>
      <c r="Q145" s="447">
        <v>1540.85</v>
      </c>
      <c r="R145" s="447">
        <v>1038.97</v>
      </c>
      <c r="S145" s="447">
        <v>956.74</v>
      </c>
      <c r="T145" s="448">
        <v>1009.47</v>
      </c>
      <c r="V145" s="447">
        <f t="shared" si="39"/>
        <v>1596.4223999999999</v>
      </c>
      <c r="W145" s="447">
        <f t="shared" si="27"/>
        <v>1560.2736</v>
      </c>
      <c r="X145" s="447">
        <f t="shared" si="28"/>
        <v>1519.4430000000002</v>
      </c>
      <c r="Y145" s="447">
        <f t="shared" si="29"/>
        <v>1439.1588000000002</v>
      </c>
      <c r="Z145" s="447">
        <f t="shared" si="30"/>
        <v>1406.6106</v>
      </c>
      <c r="AA145" s="447">
        <f t="shared" si="31"/>
        <v>1369.8294000000001</v>
      </c>
      <c r="AB145" s="447">
        <f t="shared" si="32"/>
        <v>743.21280000000002</v>
      </c>
      <c r="AC145" s="447">
        <f t="shared" si="33"/>
        <v>1752.0642</v>
      </c>
      <c r="AD145" s="447">
        <f t="shared" si="34"/>
        <v>1655.3784000000001</v>
      </c>
      <c r="AE145" s="447">
        <f t="shared" si="35"/>
        <v>1571.6669999999999</v>
      </c>
      <c r="AF145" s="447">
        <f t="shared" si="36"/>
        <v>1059.7494000000002</v>
      </c>
      <c r="AG145" s="447">
        <f t="shared" si="37"/>
        <v>975.87480000000005</v>
      </c>
      <c r="AH145" s="448">
        <f t="shared" si="38"/>
        <v>1029.6594</v>
      </c>
    </row>
    <row r="146" spans="1:34" ht="16.5" thickBot="1">
      <c r="A146" s="429">
        <v>2018</v>
      </c>
      <c r="B146" s="420" t="s">
        <v>303</v>
      </c>
      <c r="C146" s="421" t="s">
        <v>313</v>
      </c>
      <c r="D146" s="421" t="s">
        <v>314</v>
      </c>
      <c r="E146" s="422" t="s">
        <v>306</v>
      </c>
      <c r="F146" s="423" t="s">
        <v>307</v>
      </c>
      <c r="G146" s="424" t="s">
        <v>214</v>
      </c>
      <c r="H146" s="449">
        <v>2504.1999999999998</v>
      </c>
      <c r="I146" s="449">
        <v>2447.5</v>
      </c>
      <c r="J146" s="449">
        <v>2383.44</v>
      </c>
      <c r="K146" s="449">
        <v>2257.5</v>
      </c>
      <c r="L146" s="449">
        <v>2206.44</v>
      </c>
      <c r="M146" s="449">
        <v>2148.75</v>
      </c>
      <c r="N146" s="449">
        <v>1165.81</v>
      </c>
      <c r="O146" s="449">
        <v>2748.33</v>
      </c>
      <c r="P146" s="449">
        <v>2596.66</v>
      </c>
      <c r="Q146" s="449">
        <v>2465.36</v>
      </c>
      <c r="R146" s="449">
        <v>1662.36</v>
      </c>
      <c r="S146" s="449">
        <v>1530.79</v>
      </c>
      <c r="T146" s="450">
        <v>1615.15</v>
      </c>
      <c r="V146" s="449">
        <f t="shared" si="39"/>
        <v>2554.2839999999997</v>
      </c>
      <c r="W146" s="449">
        <f t="shared" si="27"/>
        <v>2496.4499999999998</v>
      </c>
      <c r="X146" s="449">
        <f t="shared" si="28"/>
        <v>2431.1088</v>
      </c>
      <c r="Y146" s="449">
        <f t="shared" si="29"/>
        <v>2302.65</v>
      </c>
      <c r="Z146" s="449">
        <f t="shared" si="30"/>
        <v>2250.5688</v>
      </c>
      <c r="AA146" s="449">
        <f t="shared" si="31"/>
        <v>2191.7249999999999</v>
      </c>
      <c r="AB146" s="449">
        <f t="shared" si="32"/>
        <v>1189.1261999999999</v>
      </c>
      <c r="AC146" s="449">
        <f t="shared" si="33"/>
        <v>2803.2966000000001</v>
      </c>
      <c r="AD146" s="449">
        <f t="shared" si="34"/>
        <v>2648.5931999999998</v>
      </c>
      <c r="AE146" s="449">
        <f t="shared" si="35"/>
        <v>2514.6672000000003</v>
      </c>
      <c r="AF146" s="449">
        <f t="shared" si="36"/>
        <v>1695.6071999999999</v>
      </c>
      <c r="AG146" s="449">
        <f t="shared" si="37"/>
        <v>1561.4058</v>
      </c>
      <c r="AH146" s="450">
        <f t="shared" si="38"/>
        <v>1647.4530000000002</v>
      </c>
    </row>
    <row r="147" spans="1:34">
      <c r="A147" s="427">
        <v>2018</v>
      </c>
      <c r="B147" s="413" t="s">
        <v>303</v>
      </c>
      <c r="C147" s="414" t="s">
        <v>304</v>
      </c>
      <c r="D147" s="414" t="s">
        <v>305</v>
      </c>
      <c r="E147" s="415" t="s">
        <v>306</v>
      </c>
      <c r="F147" s="432" t="s">
        <v>315</v>
      </c>
      <c r="G147" s="417" t="s">
        <v>211</v>
      </c>
      <c r="H147" s="445">
        <v>619.25</v>
      </c>
      <c r="I147" s="445">
        <v>605.22</v>
      </c>
      <c r="J147" s="445">
        <v>589.38</v>
      </c>
      <c r="K147" s="445">
        <v>558.24</v>
      </c>
      <c r="L147" s="445">
        <v>545.61</v>
      </c>
      <c r="M147" s="445">
        <v>531.35</v>
      </c>
      <c r="N147" s="445">
        <v>288.27999999999997</v>
      </c>
      <c r="O147" s="445">
        <v>703.4</v>
      </c>
      <c r="P147" s="445">
        <v>664.58</v>
      </c>
      <c r="Q147" s="445">
        <v>630.98</v>
      </c>
      <c r="R147" s="445">
        <v>425.46</v>
      </c>
      <c r="S147" s="445">
        <v>391.79</v>
      </c>
      <c r="T147" s="446">
        <v>413.38</v>
      </c>
      <c r="V147" s="445">
        <f t="shared" si="39"/>
        <v>631.63499999999999</v>
      </c>
      <c r="W147" s="445">
        <f t="shared" si="27"/>
        <v>617.32440000000008</v>
      </c>
      <c r="X147" s="445">
        <f t="shared" si="28"/>
        <v>601.16759999999999</v>
      </c>
      <c r="Y147" s="445">
        <f t="shared" si="29"/>
        <v>569.40480000000002</v>
      </c>
      <c r="Z147" s="445">
        <f t="shared" si="30"/>
        <v>556.5222</v>
      </c>
      <c r="AA147" s="445">
        <f t="shared" si="31"/>
        <v>541.97700000000009</v>
      </c>
      <c r="AB147" s="445">
        <f t="shared" si="32"/>
        <v>294.04559999999998</v>
      </c>
      <c r="AC147" s="445">
        <f t="shared" si="33"/>
        <v>717.46799999999996</v>
      </c>
      <c r="AD147" s="445">
        <f t="shared" si="34"/>
        <v>677.87160000000006</v>
      </c>
      <c r="AE147" s="445">
        <f t="shared" si="35"/>
        <v>643.59960000000001</v>
      </c>
      <c r="AF147" s="445">
        <f t="shared" si="36"/>
        <v>433.9692</v>
      </c>
      <c r="AG147" s="445">
        <f t="shared" si="37"/>
        <v>399.62580000000003</v>
      </c>
      <c r="AH147" s="446">
        <f t="shared" si="38"/>
        <v>421.64760000000001</v>
      </c>
    </row>
    <row r="148" spans="1:34">
      <c r="A148" s="428">
        <v>2018</v>
      </c>
      <c r="B148" s="145" t="s">
        <v>303</v>
      </c>
      <c r="C148" s="146" t="s">
        <v>304</v>
      </c>
      <c r="D148" s="146" t="s">
        <v>305</v>
      </c>
      <c r="E148" s="147" t="s">
        <v>306</v>
      </c>
      <c r="F148" s="433" t="s">
        <v>315</v>
      </c>
      <c r="G148" s="149" t="s">
        <v>212</v>
      </c>
      <c r="H148" s="447">
        <v>1356.15</v>
      </c>
      <c r="I148" s="447">
        <v>1325.44</v>
      </c>
      <c r="J148" s="447">
        <v>1290.75</v>
      </c>
      <c r="K148" s="447">
        <v>1222.55</v>
      </c>
      <c r="L148" s="447">
        <v>1194.8900000000001</v>
      </c>
      <c r="M148" s="447">
        <v>1163.6600000000001</v>
      </c>
      <c r="N148" s="447">
        <v>631.34</v>
      </c>
      <c r="O148" s="447">
        <v>1540.44</v>
      </c>
      <c r="P148" s="447">
        <v>1455.44</v>
      </c>
      <c r="Q148" s="447">
        <v>1381.84</v>
      </c>
      <c r="R148" s="447">
        <v>931.76</v>
      </c>
      <c r="S148" s="447">
        <v>858.01</v>
      </c>
      <c r="T148" s="448">
        <v>905.3</v>
      </c>
      <c r="V148" s="447">
        <f t="shared" si="39"/>
        <v>1383.2730000000001</v>
      </c>
      <c r="W148" s="447">
        <f t="shared" si="27"/>
        <v>1351.9488000000001</v>
      </c>
      <c r="X148" s="447">
        <f t="shared" si="28"/>
        <v>1316.5650000000001</v>
      </c>
      <c r="Y148" s="447">
        <f t="shared" si="29"/>
        <v>1247.001</v>
      </c>
      <c r="Z148" s="447">
        <f t="shared" si="30"/>
        <v>1218.7878000000001</v>
      </c>
      <c r="AA148" s="447">
        <f t="shared" si="31"/>
        <v>1186.9332000000002</v>
      </c>
      <c r="AB148" s="447">
        <f t="shared" si="32"/>
        <v>643.96680000000003</v>
      </c>
      <c r="AC148" s="447">
        <f t="shared" si="33"/>
        <v>1571.2488000000001</v>
      </c>
      <c r="AD148" s="447">
        <f t="shared" si="34"/>
        <v>1484.5488</v>
      </c>
      <c r="AE148" s="447">
        <f t="shared" si="35"/>
        <v>1409.4767999999999</v>
      </c>
      <c r="AF148" s="447">
        <f t="shared" si="36"/>
        <v>950.39520000000005</v>
      </c>
      <c r="AG148" s="447">
        <f t="shared" si="37"/>
        <v>875.17020000000002</v>
      </c>
      <c r="AH148" s="448">
        <f t="shared" si="38"/>
        <v>923.40599999999995</v>
      </c>
    </row>
    <row r="149" spans="1:34">
      <c r="A149" s="428">
        <v>2018</v>
      </c>
      <c r="B149" s="145" t="s">
        <v>303</v>
      </c>
      <c r="C149" s="146" t="s">
        <v>304</v>
      </c>
      <c r="D149" s="146" t="s">
        <v>305</v>
      </c>
      <c r="E149" s="147" t="s">
        <v>306</v>
      </c>
      <c r="F149" s="433" t="s">
        <v>315</v>
      </c>
      <c r="G149" s="149" t="s">
        <v>213</v>
      </c>
      <c r="H149" s="447">
        <v>1176.56</v>
      </c>
      <c r="I149" s="447">
        <v>1149.92</v>
      </c>
      <c r="J149" s="447">
        <v>1119.83</v>
      </c>
      <c r="K149" s="447">
        <v>1060.6600000000001</v>
      </c>
      <c r="L149" s="447">
        <v>1036.67</v>
      </c>
      <c r="M149" s="447">
        <v>1009.57</v>
      </c>
      <c r="N149" s="447">
        <v>547.74</v>
      </c>
      <c r="O149" s="447">
        <v>1336.46</v>
      </c>
      <c r="P149" s="447">
        <v>1262.71</v>
      </c>
      <c r="Q149" s="447">
        <v>1198.8599999999999</v>
      </c>
      <c r="R149" s="447">
        <v>808.37</v>
      </c>
      <c r="S149" s="447">
        <v>744.39</v>
      </c>
      <c r="T149" s="448">
        <v>785.41</v>
      </c>
      <c r="V149" s="447">
        <f t="shared" si="39"/>
        <v>1200.0912000000001</v>
      </c>
      <c r="W149" s="447">
        <f t="shared" si="27"/>
        <v>1172.9184</v>
      </c>
      <c r="X149" s="447">
        <f t="shared" si="28"/>
        <v>1142.2266</v>
      </c>
      <c r="Y149" s="447">
        <f t="shared" si="29"/>
        <v>1081.8732</v>
      </c>
      <c r="Z149" s="447">
        <f t="shared" si="30"/>
        <v>1057.4034000000001</v>
      </c>
      <c r="AA149" s="447">
        <f t="shared" si="31"/>
        <v>1029.7614000000001</v>
      </c>
      <c r="AB149" s="447">
        <f t="shared" si="32"/>
        <v>558.69479999999999</v>
      </c>
      <c r="AC149" s="447">
        <f t="shared" si="33"/>
        <v>1363.1892</v>
      </c>
      <c r="AD149" s="447">
        <f t="shared" si="34"/>
        <v>1287.9642000000001</v>
      </c>
      <c r="AE149" s="447">
        <f t="shared" si="35"/>
        <v>1222.8371999999999</v>
      </c>
      <c r="AF149" s="447">
        <f t="shared" si="36"/>
        <v>824.53740000000005</v>
      </c>
      <c r="AG149" s="447">
        <f t="shared" si="37"/>
        <v>759.27779999999996</v>
      </c>
      <c r="AH149" s="448">
        <f t="shared" si="38"/>
        <v>801.1182</v>
      </c>
    </row>
    <row r="150" spans="1:34" ht="16.5" thickBot="1">
      <c r="A150" s="429">
        <v>2018</v>
      </c>
      <c r="B150" s="420" t="s">
        <v>303</v>
      </c>
      <c r="C150" s="421" t="s">
        <v>304</v>
      </c>
      <c r="D150" s="421" t="s">
        <v>305</v>
      </c>
      <c r="E150" s="422" t="s">
        <v>306</v>
      </c>
      <c r="F150" s="434" t="s">
        <v>315</v>
      </c>
      <c r="G150" s="424" t="s">
        <v>214</v>
      </c>
      <c r="H150" s="449">
        <v>1882.51</v>
      </c>
      <c r="I150" s="449">
        <v>1839.88</v>
      </c>
      <c r="J150" s="449">
        <v>1791.73</v>
      </c>
      <c r="K150" s="449">
        <v>1697.05</v>
      </c>
      <c r="L150" s="449">
        <v>1658.67</v>
      </c>
      <c r="M150" s="449">
        <v>1615.3</v>
      </c>
      <c r="N150" s="449">
        <v>876.38</v>
      </c>
      <c r="O150" s="449">
        <v>2138.34</v>
      </c>
      <c r="P150" s="449">
        <v>2020.33</v>
      </c>
      <c r="Q150" s="449">
        <v>1918.17</v>
      </c>
      <c r="R150" s="449">
        <v>1293.4000000000001</v>
      </c>
      <c r="S150" s="449">
        <v>1191.03</v>
      </c>
      <c r="T150" s="450">
        <v>1256.67</v>
      </c>
      <c r="V150" s="449">
        <f t="shared" si="39"/>
        <v>1920.1602</v>
      </c>
      <c r="W150" s="449">
        <f t="shared" si="27"/>
        <v>1876.6776000000002</v>
      </c>
      <c r="X150" s="449">
        <f t="shared" si="28"/>
        <v>1827.5646000000002</v>
      </c>
      <c r="Y150" s="449">
        <f t="shared" si="29"/>
        <v>1730.991</v>
      </c>
      <c r="Z150" s="449">
        <f t="shared" si="30"/>
        <v>1691.8434000000002</v>
      </c>
      <c r="AA150" s="449">
        <f t="shared" si="31"/>
        <v>1647.606</v>
      </c>
      <c r="AB150" s="449">
        <f t="shared" si="32"/>
        <v>893.9076</v>
      </c>
      <c r="AC150" s="449">
        <f t="shared" si="33"/>
        <v>2181.1068</v>
      </c>
      <c r="AD150" s="449">
        <f t="shared" si="34"/>
        <v>2060.7366000000002</v>
      </c>
      <c r="AE150" s="449">
        <f t="shared" si="35"/>
        <v>1956.5334</v>
      </c>
      <c r="AF150" s="449">
        <f t="shared" si="36"/>
        <v>1319.268</v>
      </c>
      <c r="AG150" s="449">
        <f t="shared" si="37"/>
        <v>1214.8506</v>
      </c>
      <c r="AH150" s="450">
        <f t="shared" si="38"/>
        <v>1281.8034</v>
      </c>
    </row>
    <row r="151" spans="1:34">
      <c r="A151" s="427">
        <v>2018</v>
      </c>
      <c r="B151" s="413" t="s">
        <v>303</v>
      </c>
      <c r="C151" s="414" t="s">
        <v>309</v>
      </c>
      <c r="D151" s="414" t="s">
        <v>310</v>
      </c>
      <c r="E151" s="415" t="s">
        <v>306</v>
      </c>
      <c r="F151" s="432" t="s">
        <v>315</v>
      </c>
      <c r="G151" s="417" t="s">
        <v>211</v>
      </c>
      <c r="H151" s="445">
        <v>680.49</v>
      </c>
      <c r="I151" s="445">
        <v>665.08</v>
      </c>
      <c r="J151" s="445">
        <v>647.66999999999996</v>
      </c>
      <c r="K151" s="445">
        <v>613.45000000000005</v>
      </c>
      <c r="L151" s="445">
        <v>599.58000000000004</v>
      </c>
      <c r="M151" s="445">
        <v>583.9</v>
      </c>
      <c r="N151" s="445">
        <v>316.8</v>
      </c>
      <c r="O151" s="445">
        <v>772.97</v>
      </c>
      <c r="P151" s="445">
        <v>730.31</v>
      </c>
      <c r="Q151" s="445">
        <v>693.38</v>
      </c>
      <c r="R151" s="445">
        <v>467.54</v>
      </c>
      <c r="S151" s="445">
        <v>430.54</v>
      </c>
      <c r="T151" s="446">
        <v>454.26</v>
      </c>
      <c r="V151" s="445">
        <f t="shared" si="39"/>
        <v>694.09980000000007</v>
      </c>
      <c r="W151" s="445">
        <f t="shared" si="27"/>
        <v>678.38160000000005</v>
      </c>
      <c r="X151" s="445">
        <f t="shared" si="28"/>
        <v>660.62339999999995</v>
      </c>
      <c r="Y151" s="445">
        <f t="shared" si="29"/>
        <v>625.71900000000005</v>
      </c>
      <c r="Z151" s="445">
        <f t="shared" si="30"/>
        <v>611.5716000000001</v>
      </c>
      <c r="AA151" s="445">
        <f t="shared" si="31"/>
        <v>595.57799999999997</v>
      </c>
      <c r="AB151" s="445">
        <f t="shared" si="32"/>
        <v>323.13600000000002</v>
      </c>
      <c r="AC151" s="445">
        <f t="shared" si="33"/>
        <v>788.42939999999999</v>
      </c>
      <c r="AD151" s="445">
        <f t="shared" si="34"/>
        <v>744.9162</v>
      </c>
      <c r="AE151" s="445">
        <f t="shared" si="35"/>
        <v>707.24760000000003</v>
      </c>
      <c r="AF151" s="445">
        <f t="shared" si="36"/>
        <v>476.89080000000001</v>
      </c>
      <c r="AG151" s="445">
        <f t="shared" si="37"/>
        <v>439.1508</v>
      </c>
      <c r="AH151" s="446">
        <f t="shared" si="38"/>
        <v>463.34519999999998</v>
      </c>
    </row>
    <row r="152" spans="1:34">
      <c r="A152" s="428">
        <v>2018</v>
      </c>
      <c r="B152" s="145" t="s">
        <v>303</v>
      </c>
      <c r="C152" s="146" t="s">
        <v>309</v>
      </c>
      <c r="D152" s="146" t="s">
        <v>310</v>
      </c>
      <c r="E152" s="147" t="s">
        <v>306</v>
      </c>
      <c r="F152" s="433" t="s">
        <v>315</v>
      </c>
      <c r="G152" s="149" t="s">
        <v>212</v>
      </c>
      <c r="H152" s="447">
        <v>1490.27</v>
      </c>
      <c r="I152" s="447">
        <v>1456.52</v>
      </c>
      <c r="J152" s="447">
        <v>1418.41</v>
      </c>
      <c r="K152" s="447">
        <v>1343.46</v>
      </c>
      <c r="L152" s="447">
        <v>1313.07</v>
      </c>
      <c r="M152" s="447">
        <v>1278.74</v>
      </c>
      <c r="N152" s="447">
        <v>693.78</v>
      </c>
      <c r="O152" s="447">
        <v>1692.8</v>
      </c>
      <c r="P152" s="447">
        <v>1599.38</v>
      </c>
      <c r="Q152" s="447">
        <v>1518.5</v>
      </c>
      <c r="R152" s="447">
        <v>1023.91</v>
      </c>
      <c r="S152" s="447">
        <v>942.87</v>
      </c>
      <c r="T152" s="448">
        <v>994.83</v>
      </c>
      <c r="V152" s="447">
        <f t="shared" si="39"/>
        <v>1520.0753999999999</v>
      </c>
      <c r="W152" s="447">
        <f t="shared" si="27"/>
        <v>1485.6504</v>
      </c>
      <c r="X152" s="447">
        <f t="shared" si="28"/>
        <v>1446.7782000000002</v>
      </c>
      <c r="Y152" s="447">
        <f t="shared" si="29"/>
        <v>1370.3292000000001</v>
      </c>
      <c r="Z152" s="447">
        <f t="shared" si="30"/>
        <v>1339.3314</v>
      </c>
      <c r="AA152" s="447">
        <f t="shared" si="31"/>
        <v>1304.3148000000001</v>
      </c>
      <c r="AB152" s="447">
        <f t="shared" si="32"/>
        <v>707.65559999999994</v>
      </c>
      <c r="AC152" s="447">
        <f t="shared" si="33"/>
        <v>1726.6559999999999</v>
      </c>
      <c r="AD152" s="447">
        <f t="shared" si="34"/>
        <v>1631.3676</v>
      </c>
      <c r="AE152" s="447">
        <f t="shared" si="35"/>
        <v>1548.8700000000001</v>
      </c>
      <c r="AF152" s="447">
        <f t="shared" si="36"/>
        <v>1044.3882000000001</v>
      </c>
      <c r="AG152" s="447">
        <f t="shared" si="37"/>
        <v>961.72739999999999</v>
      </c>
      <c r="AH152" s="448">
        <f t="shared" si="38"/>
        <v>1014.7266000000001</v>
      </c>
    </row>
    <row r="153" spans="1:34">
      <c r="A153" s="428">
        <v>2018</v>
      </c>
      <c r="B153" s="145" t="s">
        <v>303</v>
      </c>
      <c r="C153" s="146" t="s">
        <v>309</v>
      </c>
      <c r="D153" s="146" t="s">
        <v>310</v>
      </c>
      <c r="E153" s="147" t="s">
        <v>306</v>
      </c>
      <c r="F153" s="433" t="s">
        <v>315</v>
      </c>
      <c r="G153" s="149" t="s">
        <v>213</v>
      </c>
      <c r="H153" s="447">
        <v>1292.93</v>
      </c>
      <c r="I153" s="447">
        <v>1263.6500000000001</v>
      </c>
      <c r="J153" s="447">
        <v>1230.58</v>
      </c>
      <c r="K153" s="447">
        <v>1165.56</v>
      </c>
      <c r="L153" s="447">
        <v>1139.2</v>
      </c>
      <c r="M153" s="447">
        <v>1109.4100000000001</v>
      </c>
      <c r="N153" s="447">
        <v>601.91999999999996</v>
      </c>
      <c r="O153" s="447">
        <v>1468.64</v>
      </c>
      <c r="P153" s="447">
        <v>1387.59</v>
      </c>
      <c r="Q153" s="447">
        <v>1317.42</v>
      </c>
      <c r="R153" s="447">
        <v>888.32</v>
      </c>
      <c r="S153" s="447">
        <v>818.01</v>
      </c>
      <c r="T153" s="448">
        <v>863.09</v>
      </c>
      <c r="V153" s="447">
        <f t="shared" si="39"/>
        <v>1318.7886000000001</v>
      </c>
      <c r="W153" s="447">
        <f t="shared" si="27"/>
        <v>1288.923</v>
      </c>
      <c r="X153" s="447">
        <f t="shared" si="28"/>
        <v>1255.1915999999999</v>
      </c>
      <c r="Y153" s="447">
        <f t="shared" si="29"/>
        <v>1188.8712</v>
      </c>
      <c r="Z153" s="447">
        <f t="shared" si="30"/>
        <v>1161.9840000000002</v>
      </c>
      <c r="AA153" s="447">
        <f t="shared" si="31"/>
        <v>1131.5982000000001</v>
      </c>
      <c r="AB153" s="447">
        <f t="shared" si="32"/>
        <v>613.95839999999998</v>
      </c>
      <c r="AC153" s="447">
        <f t="shared" si="33"/>
        <v>1498.0128000000002</v>
      </c>
      <c r="AD153" s="447">
        <f t="shared" si="34"/>
        <v>1415.3417999999999</v>
      </c>
      <c r="AE153" s="447">
        <f t="shared" si="35"/>
        <v>1343.7684000000002</v>
      </c>
      <c r="AF153" s="447">
        <f t="shared" si="36"/>
        <v>906.08640000000003</v>
      </c>
      <c r="AG153" s="447">
        <f t="shared" si="37"/>
        <v>834.37019999999995</v>
      </c>
      <c r="AH153" s="448">
        <f t="shared" si="38"/>
        <v>880.35180000000003</v>
      </c>
    </row>
    <row r="154" spans="1:34" ht="16.5" thickBot="1">
      <c r="A154" s="429">
        <v>2018</v>
      </c>
      <c r="B154" s="420" t="s">
        <v>303</v>
      </c>
      <c r="C154" s="421" t="s">
        <v>309</v>
      </c>
      <c r="D154" s="421" t="s">
        <v>310</v>
      </c>
      <c r="E154" s="422" t="s">
        <v>306</v>
      </c>
      <c r="F154" s="434" t="s">
        <v>315</v>
      </c>
      <c r="G154" s="424" t="s">
        <v>214</v>
      </c>
      <c r="H154" s="449">
        <v>2068.69</v>
      </c>
      <c r="I154" s="449">
        <v>2021.84</v>
      </c>
      <c r="J154" s="449">
        <v>1968.93</v>
      </c>
      <c r="K154" s="449">
        <v>1864.89</v>
      </c>
      <c r="L154" s="449">
        <v>1822.71</v>
      </c>
      <c r="M154" s="449">
        <v>1775.06</v>
      </c>
      <c r="N154" s="449">
        <v>963.06</v>
      </c>
      <c r="O154" s="449">
        <v>2349.8200000000002</v>
      </c>
      <c r="P154" s="449">
        <v>2220.14</v>
      </c>
      <c r="Q154" s="449">
        <v>2107.88</v>
      </c>
      <c r="R154" s="449">
        <v>1421.32</v>
      </c>
      <c r="S154" s="449">
        <v>1308.82</v>
      </c>
      <c r="T154" s="450">
        <v>1380.95</v>
      </c>
      <c r="V154" s="449">
        <f t="shared" si="39"/>
        <v>2110.0637999999999</v>
      </c>
      <c r="W154" s="449">
        <f t="shared" si="27"/>
        <v>2062.2768000000001</v>
      </c>
      <c r="X154" s="449">
        <f t="shared" si="28"/>
        <v>2008.3086000000001</v>
      </c>
      <c r="Y154" s="449">
        <f t="shared" si="29"/>
        <v>1902.1878000000002</v>
      </c>
      <c r="Z154" s="449">
        <f t="shared" si="30"/>
        <v>1859.1642000000002</v>
      </c>
      <c r="AA154" s="449">
        <f t="shared" si="31"/>
        <v>1810.5611999999999</v>
      </c>
      <c r="AB154" s="449">
        <f t="shared" si="32"/>
        <v>982.32119999999998</v>
      </c>
      <c r="AC154" s="449">
        <f t="shared" si="33"/>
        <v>2396.8164000000002</v>
      </c>
      <c r="AD154" s="449">
        <f t="shared" si="34"/>
        <v>2264.5427999999997</v>
      </c>
      <c r="AE154" s="449">
        <f t="shared" si="35"/>
        <v>2150.0376000000001</v>
      </c>
      <c r="AF154" s="449">
        <f t="shared" si="36"/>
        <v>1449.7464</v>
      </c>
      <c r="AG154" s="449">
        <f t="shared" si="37"/>
        <v>1334.9964</v>
      </c>
      <c r="AH154" s="450">
        <f t="shared" si="38"/>
        <v>1408.569</v>
      </c>
    </row>
    <row r="155" spans="1:34">
      <c r="A155" s="427">
        <v>2018</v>
      </c>
      <c r="B155" s="413" t="s">
        <v>303</v>
      </c>
      <c r="C155" s="414" t="s">
        <v>311</v>
      </c>
      <c r="D155" s="414" t="s">
        <v>312</v>
      </c>
      <c r="E155" s="415" t="s">
        <v>306</v>
      </c>
      <c r="F155" s="432" t="s">
        <v>315</v>
      </c>
      <c r="G155" s="417" t="s">
        <v>211</v>
      </c>
      <c r="H155" s="445">
        <v>716.3</v>
      </c>
      <c r="I155" s="445">
        <v>700.09</v>
      </c>
      <c r="J155" s="445">
        <v>681.76</v>
      </c>
      <c r="K155" s="445">
        <v>645.74</v>
      </c>
      <c r="L155" s="445">
        <v>631.13</v>
      </c>
      <c r="M155" s="445">
        <v>614.63</v>
      </c>
      <c r="N155" s="445">
        <v>333.47</v>
      </c>
      <c r="O155" s="445">
        <v>813.65</v>
      </c>
      <c r="P155" s="445">
        <v>768.75</v>
      </c>
      <c r="Q155" s="445">
        <v>729.88</v>
      </c>
      <c r="R155" s="445">
        <v>492.15</v>
      </c>
      <c r="S155" s="445">
        <v>453.19</v>
      </c>
      <c r="T155" s="446">
        <v>478.17</v>
      </c>
      <c r="V155" s="445">
        <f t="shared" si="39"/>
        <v>730.62599999999998</v>
      </c>
      <c r="W155" s="445">
        <f t="shared" si="27"/>
        <v>714.09180000000003</v>
      </c>
      <c r="X155" s="445">
        <f t="shared" si="28"/>
        <v>695.39520000000005</v>
      </c>
      <c r="Y155" s="445">
        <f t="shared" si="29"/>
        <v>658.65480000000002</v>
      </c>
      <c r="Z155" s="445">
        <f t="shared" si="30"/>
        <v>643.75260000000003</v>
      </c>
      <c r="AA155" s="445">
        <f t="shared" si="31"/>
        <v>626.92259999999999</v>
      </c>
      <c r="AB155" s="445">
        <f t="shared" si="32"/>
        <v>340.13940000000002</v>
      </c>
      <c r="AC155" s="445">
        <f t="shared" si="33"/>
        <v>829.923</v>
      </c>
      <c r="AD155" s="445">
        <f t="shared" si="34"/>
        <v>784.125</v>
      </c>
      <c r="AE155" s="445">
        <f t="shared" si="35"/>
        <v>744.47760000000005</v>
      </c>
      <c r="AF155" s="445">
        <f t="shared" si="36"/>
        <v>501.99299999999999</v>
      </c>
      <c r="AG155" s="445">
        <f t="shared" si="37"/>
        <v>462.25380000000001</v>
      </c>
      <c r="AH155" s="446">
        <f t="shared" si="38"/>
        <v>487.73340000000002</v>
      </c>
    </row>
    <row r="156" spans="1:34">
      <c r="A156" s="428">
        <v>2018</v>
      </c>
      <c r="B156" s="145" t="s">
        <v>303</v>
      </c>
      <c r="C156" s="146" t="s">
        <v>311</v>
      </c>
      <c r="D156" s="146" t="s">
        <v>312</v>
      </c>
      <c r="E156" s="147" t="s">
        <v>306</v>
      </c>
      <c r="F156" s="433" t="s">
        <v>315</v>
      </c>
      <c r="G156" s="149" t="s">
        <v>212</v>
      </c>
      <c r="H156" s="447">
        <v>1568.71</v>
      </c>
      <c r="I156" s="447">
        <v>1533.18</v>
      </c>
      <c r="J156" s="447">
        <v>1493.06</v>
      </c>
      <c r="K156" s="447">
        <v>1414.17</v>
      </c>
      <c r="L156" s="447">
        <v>1382.18</v>
      </c>
      <c r="M156" s="447">
        <v>1346.05</v>
      </c>
      <c r="N156" s="447">
        <v>730.29</v>
      </c>
      <c r="O156" s="447">
        <v>1781.89</v>
      </c>
      <c r="P156" s="447">
        <v>1683.56</v>
      </c>
      <c r="Q156" s="447">
        <v>1598.42</v>
      </c>
      <c r="R156" s="447">
        <v>1077.8</v>
      </c>
      <c r="S156" s="447">
        <v>992.5</v>
      </c>
      <c r="T156" s="448">
        <v>1047.19</v>
      </c>
      <c r="V156" s="447">
        <f t="shared" si="39"/>
        <v>1600.0842</v>
      </c>
      <c r="W156" s="447">
        <f t="shared" si="27"/>
        <v>1563.8436000000002</v>
      </c>
      <c r="X156" s="447">
        <f t="shared" si="28"/>
        <v>1522.9212</v>
      </c>
      <c r="Y156" s="447">
        <f t="shared" si="29"/>
        <v>1442.4534000000001</v>
      </c>
      <c r="Z156" s="447">
        <f t="shared" si="30"/>
        <v>1409.8236000000002</v>
      </c>
      <c r="AA156" s="447">
        <f t="shared" si="31"/>
        <v>1372.971</v>
      </c>
      <c r="AB156" s="447">
        <f t="shared" si="32"/>
        <v>744.89580000000001</v>
      </c>
      <c r="AC156" s="447">
        <f t="shared" si="33"/>
        <v>1817.5278000000001</v>
      </c>
      <c r="AD156" s="447">
        <f t="shared" si="34"/>
        <v>1717.2311999999999</v>
      </c>
      <c r="AE156" s="447">
        <f t="shared" si="35"/>
        <v>1630.3884</v>
      </c>
      <c r="AF156" s="447">
        <f t="shared" si="36"/>
        <v>1099.356</v>
      </c>
      <c r="AG156" s="447">
        <f t="shared" si="37"/>
        <v>1012.35</v>
      </c>
      <c r="AH156" s="448">
        <f t="shared" si="38"/>
        <v>1068.1338000000001</v>
      </c>
    </row>
    <row r="157" spans="1:34">
      <c r="A157" s="428">
        <v>2018</v>
      </c>
      <c r="B157" s="145" t="s">
        <v>303</v>
      </c>
      <c r="C157" s="146" t="s">
        <v>311</v>
      </c>
      <c r="D157" s="146" t="s">
        <v>312</v>
      </c>
      <c r="E157" s="147" t="s">
        <v>306</v>
      </c>
      <c r="F157" s="433" t="s">
        <v>315</v>
      </c>
      <c r="G157" s="149" t="s">
        <v>213</v>
      </c>
      <c r="H157" s="447">
        <v>1360.97</v>
      </c>
      <c r="I157" s="447">
        <v>1330.16</v>
      </c>
      <c r="J157" s="447">
        <v>1295.3499999999999</v>
      </c>
      <c r="K157" s="447">
        <v>1226.9100000000001</v>
      </c>
      <c r="L157" s="447">
        <v>1199.1600000000001</v>
      </c>
      <c r="M157" s="447">
        <v>1167.8</v>
      </c>
      <c r="N157" s="447">
        <v>633.6</v>
      </c>
      <c r="O157" s="447">
        <v>1545.94</v>
      </c>
      <c r="P157" s="447">
        <v>1460.62</v>
      </c>
      <c r="Q157" s="447">
        <v>1386.76</v>
      </c>
      <c r="R157" s="447">
        <v>935.07</v>
      </c>
      <c r="S157" s="447">
        <v>861.07</v>
      </c>
      <c r="T157" s="448">
        <v>908.52</v>
      </c>
      <c r="V157" s="447">
        <f t="shared" si="39"/>
        <v>1388.1894</v>
      </c>
      <c r="W157" s="447">
        <f t="shared" si="27"/>
        <v>1356.7632000000001</v>
      </c>
      <c r="X157" s="447">
        <f t="shared" si="28"/>
        <v>1321.2569999999998</v>
      </c>
      <c r="Y157" s="447">
        <f t="shared" si="29"/>
        <v>1251.4482</v>
      </c>
      <c r="Z157" s="447">
        <f t="shared" si="30"/>
        <v>1223.1432000000002</v>
      </c>
      <c r="AA157" s="447">
        <f t="shared" si="31"/>
        <v>1191.1559999999999</v>
      </c>
      <c r="AB157" s="447">
        <f t="shared" si="32"/>
        <v>646.27200000000005</v>
      </c>
      <c r="AC157" s="447">
        <f t="shared" si="33"/>
        <v>1576.8588</v>
      </c>
      <c r="AD157" s="447">
        <f t="shared" si="34"/>
        <v>1489.8324</v>
      </c>
      <c r="AE157" s="447">
        <f t="shared" si="35"/>
        <v>1414.4952000000001</v>
      </c>
      <c r="AF157" s="447">
        <f t="shared" si="36"/>
        <v>953.77140000000009</v>
      </c>
      <c r="AG157" s="447">
        <f t="shared" si="37"/>
        <v>878.29140000000007</v>
      </c>
      <c r="AH157" s="448">
        <f t="shared" si="38"/>
        <v>926.69039999999995</v>
      </c>
    </row>
    <row r="158" spans="1:34" ht="16.5" thickBot="1">
      <c r="A158" s="429">
        <v>2018</v>
      </c>
      <c r="B158" s="420" t="s">
        <v>303</v>
      </c>
      <c r="C158" s="421" t="s">
        <v>311</v>
      </c>
      <c r="D158" s="421" t="s">
        <v>312</v>
      </c>
      <c r="E158" s="422" t="s">
        <v>306</v>
      </c>
      <c r="F158" s="434" t="s">
        <v>315</v>
      </c>
      <c r="G158" s="424" t="s">
        <v>214</v>
      </c>
      <c r="H158" s="449">
        <v>2177.5700000000002</v>
      </c>
      <c r="I158" s="449">
        <v>2128.2600000000002</v>
      </c>
      <c r="J158" s="449">
        <v>2072.56</v>
      </c>
      <c r="K158" s="449">
        <v>1963.05</v>
      </c>
      <c r="L158" s="449">
        <v>1918.64</v>
      </c>
      <c r="M158" s="449">
        <v>1868.48</v>
      </c>
      <c r="N158" s="449">
        <v>1013.75</v>
      </c>
      <c r="O158" s="449">
        <v>2473.4899999999998</v>
      </c>
      <c r="P158" s="449">
        <v>2336.9899999999998</v>
      </c>
      <c r="Q158" s="449">
        <v>2218.8200000000002</v>
      </c>
      <c r="R158" s="449">
        <v>1496.13</v>
      </c>
      <c r="S158" s="449">
        <v>1377.71</v>
      </c>
      <c r="T158" s="450">
        <v>1453.64</v>
      </c>
      <c r="V158" s="449">
        <f t="shared" si="39"/>
        <v>2221.1214</v>
      </c>
      <c r="W158" s="449">
        <f t="shared" si="27"/>
        <v>2170.8252000000002</v>
      </c>
      <c r="X158" s="449">
        <f t="shared" si="28"/>
        <v>2114.0111999999999</v>
      </c>
      <c r="Y158" s="449">
        <f t="shared" si="29"/>
        <v>2002.3109999999999</v>
      </c>
      <c r="Z158" s="449">
        <f t="shared" si="30"/>
        <v>1957.0128000000002</v>
      </c>
      <c r="AA158" s="449">
        <f t="shared" si="31"/>
        <v>1905.8496</v>
      </c>
      <c r="AB158" s="449">
        <f t="shared" si="32"/>
        <v>1034.0250000000001</v>
      </c>
      <c r="AC158" s="449">
        <f t="shared" si="33"/>
        <v>2522.9597999999996</v>
      </c>
      <c r="AD158" s="449">
        <f t="shared" si="34"/>
        <v>2383.7297999999996</v>
      </c>
      <c r="AE158" s="449">
        <f t="shared" si="35"/>
        <v>2263.1964000000003</v>
      </c>
      <c r="AF158" s="449">
        <f t="shared" si="36"/>
        <v>1526.0526000000002</v>
      </c>
      <c r="AG158" s="449">
        <f t="shared" si="37"/>
        <v>1405.2642000000001</v>
      </c>
      <c r="AH158" s="450">
        <f t="shared" si="38"/>
        <v>1482.7128</v>
      </c>
    </row>
    <row r="159" spans="1:34">
      <c r="A159" s="427">
        <v>2018</v>
      </c>
      <c r="B159" s="413" t="s">
        <v>303</v>
      </c>
      <c r="C159" s="414" t="s">
        <v>313</v>
      </c>
      <c r="D159" s="414" t="s">
        <v>314</v>
      </c>
      <c r="E159" s="415" t="s">
        <v>306</v>
      </c>
      <c r="F159" s="432" t="s">
        <v>315</v>
      </c>
      <c r="G159" s="417" t="s">
        <v>211</v>
      </c>
      <c r="H159" s="445">
        <v>823.75</v>
      </c>
      <c r="I159" s="445">
        <v>805.1</v>
      </c>
      <c r="J159" s="445">
        <v>784.03</v>
      </c>
      <c r="K159" s="445">
        <v>742.6</v>
      </c>
      <c r="L159" s="445">
        <v>725.8</v>
      </c>
      <c r="M159" s="445">
        <v>706.83</v>
      </c>
      <c r="N159" s="445">
        <v>383.49</v>
      </c>
      <c r="O159" s="445">
        <v>935.7</v>
      </c>
      <c r="P159" s="445">
        <v>884.06</v>
      </c>
      <c r="Q159" s="445">
        <v>839.36</v>
      </c>
      <c r="R159" s="445">
        <v>565.97</v>
      </c>
      <c r="S159" s="445">
        <v>521.16999999999996</v>
      </c>
      <c r="T159" s="446">
        <v>549.9</v>
      </c>
      <c r="V159" s="445">
        <f t="shared" si="39"/>
        <v>840.22500000000002</v>
      </c>
      <c r="W159" s="445">
        <f t="shared" si="27"/>
        <v>821.202</v>
      </c>
      <c r="X159" s="445">
        <f t="shared" si="28"/>
        <v>799.7106</v>
      </c>
      <c r="Y159" s="445">
        <f t="shared" si="29"/>
        <v>757.452</v>
      </c>
      <c r="Z159" s="445">
        <f t="shared" si="30"/>
        <v>740.31599999999992</v>
      </c>
      <c r="AA159" s="445">
        <f t="shared" si="31"/>
        <v>720.96660000000008</v>
      </c>
      <c r="AB159" s="445">
        <f t="shared" si="32"/>
        <v>391.15980000000002</v>
      </c>
      <c r="AC159" s="445">
        <f t="shared" si="33"/>
        <v>954.4140000000001</v>
      </c>
      <c r="AD159" s="445">
        <f t="shared" si="34"/>
        <v>901.74119999999994</v>
      </c>
      <c r="AE159" s="445">
        <f t="shared" si="35"/>
        <v>856.1472</v>
      </c>
      <c r="AF159" s="445">
        <f t="shared" si="36"/>
        <v>577.2894</v>
      </c>
      <c r="AG159" s="445">
        <f t="shared" si="37"/>
        <v>531.59339999999997</v>
      </c>
      <c r="AH159" s="446">
        <f t="shared" si="38"/>
        <v>560.89800000000002</v>
      </c>
    </row>
    <row r="160" spans="1:34">
      <c r="A160" s="428">
        <v>2018</v>
      </c>
      <c r="B160" s="145" t="s">
        <v>303</v>
      </c>
      <c r="C160" s="146" t="s">
        <v>313</v>
      </c>
      <c r="D160" s="146" t="s">
        <v>314</v>
      </c>
      <c r="E160" s="147" t="s">
        <v>306</v>
      </c>
      <c r="F160" s="433" t="s">
        <v>315</v>
      </c>
      <c r="G160" s="149" t="s">
        <v>212</v>
      </c>
      <c r="H160" s="447">
        <v>1804.01</v>
      </c>
      <c r="I160" s="447">
        <v>1763.16</v>
      </c>
      <c r="J160" s="447">
        <v>1717.02</v>
      </c>
      <c r="K160" s="447">
        <v>1626.29</v>
      </c>
      <c r="L160" s="447">
        <v>1589.5</v>
      </c>
      <c r="M160" s="447">
        <v>1547.95</v>
      </c>
      <c r="N160" s="447">
        <v>839.84</v>
      </c>
      <c r="O160" s="447">
        <v>2049.17</v>
      </c>
      <c r="P160" s="447">
        <v>1936.1</v>
      </c>
      <c r="Q160" s="447">
        <v>1838.19</v>
      </c>
      <c r="R160" s="447">
        <v>1239.47</v>
      </c>
      <c r="S160" s="447">
        <v>1141.3699999999999</v>
      </c>
      <c r="T160" s="448">
        <v>1204.27</v>
      </c>
      <c r="V160" s="447">
        <f t="shared" si="39"/>
        <v>1840.0902000000001</v>
      </c>
      <c r="W160" s="447">
        <f t="shared" si="27"/>
        <v>1798.4232000000002</v>
      </c>
      <c r="X160" s="447">
        <f t="shared" si="28"/>
        <v>1751.3604</v>
      </c>
      <c r="Y160" s="447">
        <f t="shared" si="29"/>
        <v>1658.8158000000001</v>
      </c>
      <c r="Z160" s="447">
        <f t="shared" si="30"/>
        <v>1621.29</v>
      </c>
      <c r="AA160" s="447">
        <f t="shared" si="31"/>
        <v>1578.9090000000001</v>
      </c>
      <c r="AB160" s="447">
        <f t="shared" si="32"/>
        <v>856.63679999999999</v>
      </c>
      <c r="AC160" s="447">
        <f t="shared" si="33"/>
        <v>2090.1534000000001</v>
      </c>
      <c r="AD160" s="447">
        <f t="shared" si="34"/>
        <v>1974.8219999999999</v>
      </c>
      <c r="AE160" s="447">
        <f t="shared" si="35"/>
        <v>1874.9538</v>
      </c>
      <c r="AF160" s="447">
        <f t="shared" si="36"/>
        <v>1264.2594000000001</v>
      </c>
      <c r="AG160" s="447">
        <f t="shared" si="37"/>
        <v>1164.1974</v>
      </c>
      <c r="AH160" s="448">
        <f t="shared" si="38"/>
        <v>1228.3553999999999</v>
      </c>
    </row>
    <row r="161" spans="1:34">
      <c r="A161" s="428">
        <v>2018</v>
      </c>
      <c r="B161" s="145" t="s">
        <v>303</v>
      </c>
      <c r="C161" s="146" t="s">
        <v>313</v>
      </c>
      <c r="D161" s="146" t="s">
        <v>314</v>
      </c>
      <c r="E161" s="147" t="s">
        <v>306</v>
      </c>
      <c r="F161" s="433" t="s">
        <v>315</v>
      </c>
      <c r="G161" s="149" t="s">
        <v>213</v>
      </c>
      <c r="H161" s="447">
        <v>1565.12</v>
      </c>
      <c r="I161" s="447">
        <v>1529.68</v>
      </c>
      <c r="J161" s="447">
        <v>1489.65</v>
      </c>
      <c r="K161" s="447">
        <v>1410.94</v>
      </c>
      <c r="L161" s="447">
        <v>1379.03</v>
      </c>
      <c r="M161" s="447">
        <v>1342.97</v>
      </c>
      <c r="N161" s="447">
        <v>728.64</v>
      </c>
      <c r="O161" s="447">
        <v>1777.83</v>
      </c>
      <c r="P161" s="447">
        <v>1679.72</v>
      </c>
      <c r="Q161" s="447">
        <v>1594.78</v>
      </c>
      <c r="R161" s="447">
        <v>1075.33</v>
      </c>
      <c r="S161" s="447">
        <v>990.23</v>
      </c>
      <c r="T161" s="448">
        <v>1044.8</v>
      </c>
      <c r="V161" s="447">
        <f t="shared" si="39"/>
        <v>1596.4223999999999</v>
      </c>
      <c r="W161" s="447">
        <f t="shared" si="27"/>
        <v>1560.2736</v>
      </c>
      <c r="X161" s="447">
        <f t="shared" si="28"/>
        <v>1519.4430000000002</v>
      </c>
      <c r="Y161" s="447">
        <f t="shared" si="29"/>
        <v>1439.1588000000002</v>
      </c>
      <c r="Z161" s="447">
        <f t="shared" si="30"/>
        <v>1406.6106</v>
      </c>
      <c r="AA161" s="447">
        <f t="shared" si="31"/>
        <v>1369.8294000000001</v>
      </c>
      <c r="AB161" s="447">
        <f t="shared" si="32"/>
        <v>743.21280000000002</v>
      </c>
      <c r="AC161" s="447">
        <f t="shared" si="33"/>
        <v>1813.3866</v>
      </c>
      <c r="AD161" s="447">
        <f t="shared" si="34"/>
        <v>1713.3144</v>
      </c>
      <c r="AE161" s="447">
        <f t="shared" si="35"/>
        <v>1626.6756</v>
      </c>
      <c r="AF161" s="447">
        <f t="shared" si="36"/>
        <v>1096.8365999999999</v>
      </c>
      <c r="AG161" s="447">
        <f t="shared" si="37"/>
        <v>1010.0346000000001</v>
      </c>
      <c r="AH161" s="448">
        <f t="shared" si="38"/>
        <v>1065.6959999999999</v>
      </c>
    </row>
    <row r="162" spans="1:34" ht="16.5" thickBot="1">
      <c r="A162" s="429">
        <v>2018</v>
      </c>
      <c r="B162" s="420" t="s">
        <v>303</v>
      </c>
      <c r="C162" s="421" t="s">
        <v>313</v>
      </c>
      <c r="D162" s="421" t="s">
        <v>314</v>
      </c>
      <c r="E162" s="422" t="s">
        <v>306</v>
      </c>
      <c r="F162" s="434" t="s">
        <v>315</v>
      </c>
      <c r="G162" s="424" t="s">
        <v>214</v>
      </c>
      <c r="H162" s="449">
        <v>2504.1999999999998</v>
      </c>
      <c r="I162" s="449">
        <v>2447.5</v>
      </c>
      <c r="J162" s="449">
        <v>2383.44</v>
      </c>
      <c r="K162" s="449">
        <v>2257.5</v>
      </c>
      <c r="L162" s="449">
        <v>2206.44</v>
      </c>
      <c r="M162" s="449">
        <v>2148.75</v>
      </c>
      <c r="N162" s="449">
        <v>1165.81</v>
      </c>
      <c r="O162" s="449">
        <v>2844.52</v>
      </c>
      <c r="P162" s="449">
        <v>2687.54</v>
      </c>
      <c r="Q162" s="449">
        <v>2551.65</v>
      </c>
      <c r="R162" s="449">
        <v>1720.54</v>
      </c>
      <c r="S162" s="449">
        <v>1584.37</v>
      </c>
      <c r="T162" s="450">
        <v>1671.68</v>
      </c>
      <c r="V162" s="449">
        <f t="shared" si="39"/>
        <v>2554.2839999999997</v>
      </c>
      <c r="W162" s="449">
        <f t="shared" si="27"/>
        <v>2496.4499999999998</v>
      </c>
      <c r="X162" s="449">
        <f t="shared" si="28"/>
        <v>2431.1088</v>
      </c>
      <c r="Y162" s="449">
        <f t="shared" si="29"/>
        <v>2302.65</v>
      </c>
      <c r="Z162" s="449">
        <f t="shared" si="30"/>
        <v>2250.5688</v>
      </c>
      <c r="AA162" s="449">
        <f t="shared" si="31"/>
        <v>2191.7249999999999</v>
      </c>
      <c r="AB162" s="449">
        <f t="shared" si="32"/>
        <v>1189.1261999999999</v>
      </c>
      <c r="AC162" s="449">
        <f t="shared" si="33"/>
        <v>2901.4104000000002</v>
      </c>
      <c r="AD162" s="449">
        <f t="shared" si="34"/>
        <v>2741.2908000000002</v>
      </c>
      <c r="AE162" s="449">
        <f t="shared" si="35"/>
        <v>2602.683</v>
      </c>
      <c r="AF162" s="449">
        <f t="shared" si="36"/>
        <v>1754.9508000000001</v>
      </c>
      <c r="AG162" s="449">
        <f t="shared" si="37"/>
        <v>1616.0573999999999</v>
      </c>
      <c r="AH162" s="450">
        <f t="shared" si="38"/>
        <v>1705.1136000000001</v>
      </c>
    </row>
    <row r="163" spans="1:34">
      <c r="A163" s="427">
        <v>2018</v>
      </c>
      <c r="B163" s="413" t="s">
        <v>303</v>
      </c>
      <c r="C163" s="414" t="s">
        <v>304</v>
      </c>
      <c r="D163" s="414" t="s">
        <v>305</v>
      </c>
      <c r="E163" s="430" t="s">
        <v>316</v>
      </c>
      <c r="F163" s="416" t="s">
        <v>307</v>
      </c>
      <c r="G163" s="417" t="s">
        <v>211</v>
      </c>
      <c r="H163" s="445">
        <v>619.25</v>
      </c>
      <c r="I163" s="445">
        <v>605.22</v>
      </c>
      <c r="J163" s="445">
        <v>589.38</v>
      </c>
      <c r="K163" s="445">
        <v>558.24</v>
      </c>
      <c r="L163" s="445">
        <v>545.61</v>
      </c>
      <c r="M163" s="445">
        <v>531.35</v>
      </c>
      <c r="N163" s="445">
        <v>288.27999999999997</v>
      </c>
      <c r="O163" s="445">
        <v>679.61</v>
      </c>
      <c r="P163" s="445">
        <v>642.11</v>
      </c>
      <c r="Q163" s="445">
        <v>609.64</v>
      </c>
      <c r="R163" s="445">
        <v>416.92</v>
      </c>
      <c r="S163" s="445">
        <v>383.92</v>
      </c>
      <c r="T163" s="446">
        <v>405.08</v>
      </c>
      <c r="V163" s="445">
        <f t="shared" si="39"/>
        <v>631.63499999999999</v>
      </c>
      <c r="W163" s="445">
        <f t="shared" si="27"/>
        <v>617.32440000000008</v>
      </c>
      <c r="X163" s="445">
        <f t="shared" si="28"/>
        <v>601.16759999999999</v>
      </c>
      <c r="Y163" s="445">
        <f t="shared" si="29"/>
        <v>569.40480000000002</v>
      </c>
      <c r="Z163" s="445">
        <f t="shared" si="30"/>
        <v>556.5222</v>
      </c>
      <c r="AA163" s="445">
        <f t="shared" si="31"/>
        <v>541.97700000000009</v>
      </c>
      <c r="AB163" s="445">
        <f t="shared" si="32"/>
        <v>294.04559999999998</v>
      </c>
      <c r="AC163" s="445">
        <f t="shared" si="33"/>
        <v>693.20220000000006</v>
      </c>
      <c r="AD163" s="445">
        <f t="shared" si="34"/>
        <v>654.95220000000006</v>
      </c>
      <c r="AE163" s="445">
        <f t="shared" si="35"/>
        <v>621.83280000000002</v>
      </c>
      <c r="AF163" s="445">
        <f t="shared" si="36"/>
        <v>425.25840000000005</v>
      </c>
      <c r="AG163" s="445">
        <f t="shared" si="37"/>
        <v>391.59840000000003</v>
      </c>
      <c r="AH163" s="446">
        <f t="shared" si="38"/>
        <v>413.1816</v>
      </c>
    </row>
    <row r="164" spans="1:34">
      <c r="A164" s="428">
        <v>2018</v>
      </c>
      <c r="B164" s="145" t="s">
        <v>303</v>
      </c>
      <c r="C164" s="146" t="s">
        <v>304</v>
      </c>
      <c r="D164" s="146" t="s">
        <v>305</v>
      </c>
      <c r="E164" s="151" t="s">
        <v>316</v>
      </c>
      <c r="F164" s="148" t="s">
        <v>307</v>
      </c>
      <c r="G164" s="149" t="s">
        <v>212</v>
      </c>
      <c r="H164" s="447">
        <v>1356.15</v>
      </c>
      <c r="I164" s="447">
        <v>1325.44</v>
      </c>
      <c r="J164" s="447">
        <v>1290.75</v>
      </c>
      <c r="K164" s="447">
        <v>1222.55</v>
      </c>
      <c r="L164" s="447">
        <v>1194.8900000000001</v>
      </c>
      <c r="M164" s="447">
        <v>1163.6600000000001</v>
      </c>
      <c r="N164" s="447">
        <v>631.34</v>
      </c>
      <c r="O164" s="447">
        <v>1488.35</v>
      </c>
      <c r="P164" s="447">
        <v>1406.22</v>
      </c>
      <c r="Q164" s="447">
        <v>1335.11</v>
      </c>
      <c r="R164" s="447">
        <v>913.05</v>
      </c>
      <c r="S164" s="447">
        <v>840.78</v>
      </c>
      <c r="T164" s="448">
        <v>887.12</v>
      </c>
      <c r="V164" s="447">
        <f t="shared" si="39"/>
        <v>1383.2730000000001</v>
      </c>
      <c r="W164" s="447">
        <f t="shared" si="27"/>
        <v>1351.9488000000001</v>
      </c>
      <c r="X164" s="447">
        <f t="shared" si="28"/>
        <v>1316.5650000000001</v>
      </c>
      <c r="Y164" s="447">
        <f t="shared" si="29"/>
        <v>1247.001</v>
      </c>
      <c r="Z164" s="447">
        <f t="shared" si="30"/>
        <v>1218.7878000000001</v>
      </c>
      <c r="AA164" s="447">
        <f t="shared" si="31"/>
        <v>1186.9332000000002</v>
      </c>
      <c r="AB164" s="447">
        <f t="shared" si="32"/>
        <v>643.96680000000003</v>
      </c>
      <c r="AC164" s="447">
        <f t="shared" si="33"/>
        <v>1518.117</v>
      </c>
      <c r="AD164" s="447">
        <f t="shared" si="34"/>
        <v>1434.3444</v>
      </c>
      <c r="AE164" s="447">
        <f t="shared" si="35"/>
        <v>1361.8121999999998</v>
      </c>
      <c r="AF164" s="447">
        <f t="shared" si="36"/>
        <v>931.31099999999992</v>
      </c>
      <c r="AG164" s="447">
        <f t="shared" si="37"/>
        <v>857.59559999999999</v>
      </c>
      <c r="AH164" s="448">
        <f t="shared" si="38"/>
        <v>904.86239999999998</v>
      </c>
    </row>
    <row r="165" spans="1:34">
      <c r="A165" s="428">
        <v>2018</v>
      </c>
      <c r="B165" s="145" t="s">
        <v>303</v>
      </c>
      <c r="C165" s="146" t="s">
        <v>304</v>
      </c>
      <c r="D165" s="146" t="s">
        <v>305</v>
      </c>
      <c r="E165" s="151" t="s">
        <v>316</v>
      </c>
      <c r="F165" s="148" t="s">
        <v>307</v>
      </c>
      <c r="G165" s="149" t="s">
        <v>213</v>
      </c>
      <c r="H165" s="447">
        <v>1176.56</v>
      </c>
      <c r="I165" s="447">
        <v>1149.92</v>
      </c>
      <c r="J165" s="447">
        <v>1119.83</v>
      </c>
      <c r="K165" s="447">
        <v>1060.6600000000001</v>
      </c>
      <c r="L165" s="447">
        <v>1036.67</v>
      </c>
      <c r="M165" s="447">
        <v>1009.57</v>
      </c>
      <c r="N165" s="447">
        <v>547.74</v>
      </c>
      <c r="O165" s="447">
        <v>1291.27</v>
      </c>
      <c r="P165" s="447">
        <v>1220.01</v>
      </c>
      <c r="Q165" s="447">
        <v>1158.32</v>
      </c>
      <c r="R165" s="447">
        <v>792.14</v>
      </c>
      <c r="S165" s="447">
        <v>729.44</v>
      </c>
      <c r="T165" s="448">
        <v>769.64</v>
      </c>
      <c r="V165" s="447">
        <f t="shared" si="39"/>
        <v>1200.0912000000001</v>
      </c>
      <c r="W165" s="447">
        <f t="shared" si="27"/>
        <v>1172.9184</v>
      </c>
      <c r="X165" s="447">
        <f t="shared" si="28"/>
        <v>1142.2266</v>
      </c>
      <c r="Y165" s="447">
        <f t="shared" si="29"/>
        <v>1081.8732</v>
      </c>
      <c r="Z165" s="447">
        <f t="shared" si="30"/>
        <v>1057.4034000000001</v>
      </c>
      <c r="AA165" s="447">
        <f t="shared" si="31"/>
        <v>1029.7614000000001</v>
      </c>
      <c r="AB165" s="447">
        <f t="shared" si="32"/>
        <v>558.69479999999999</v>
      </c>
      <c r="AC165" s="447">
        <f t="shared" si="33"/>
        <v>1317.0953999999999</v>
      </c>
      <c r="AD165" s="447">
        <f t="shared" si="34"/>
        <v>1244.4102</v>
      </c>
      <c r="AE165" s="447">
        <f t="shared" si="35"/>
        <v>1181.4864</v>
      </c>
      <c r="AF165" s="447">
        <f t="shared" si="36"/>
        <v>807.9828</v>
      </c>
      <c r="AG165" s="447">
        <f t="shared" si="37"/>
        <v>744.02880000000005</v>
      </c>
      <c r="AH165" s="448">
        <f t="shared" si="38"/>
        <v>785.03279999999995</v>
      </c>
    </row>
    <row r="166" spans="1:34" ht="16.5" thickBot="1">
      <c r="A166" s="429">
        <v>2018</v>
      </c>
      <c r="B166" s="420" t="s">
        <v>303</v>
      </c>
      <c r="C166" s="421" t="s">
        <v>304</v>
      </c>
      <c r="D166" s="421" t="s">
        <v>305</v>
      </c>
      <c r="E166" s="431" t="s">
        <v>316</v>
      </c>
      <c r="F166" s="423" t="s">
        <v>307</v>
      </c>
      <c r="G166" s="424" t="s">
        <v>214</v>
      </c>
      <c r="H166" s="449">
        <v>1882.51</v>
      </c>
      <c r="I166" s="449">
        <v>1839.88</v>
      </c>
      <c r="J166" s="449">
        <v>1791.73</v>
      </c>
      <c r="K166" s="449">
        <v>1697.05</v>
      </c>
      <c r="L166" s="449">
        <v>1658.67</v>
      </c>
      <c r="M166" s="449">
        <v>1615.3</v>
      </c>
      <c r="N166" s="449">
        <v>876.38</v>
      </c>
      <c r="O166" s="449">
        <v>2066.02</v>
      </c>
      <c r="P166" s="449">
        <v>1952.01</v>
      </c>
      <c r="Q166" s="449">
        <v>1853.31</v>
      </c>
      <c r="R166" s="449">
        <v>1267.43</v>
      </c>
      <c r="S166" s="449">
        <v>1167.1099999999999</v>
      </c>
      <c r="T166" s="450">
        <v>1231.44</v>
      </c>
      <c r="V166" s="449">
        <f t="shared" si="39"/>
        <v>1920.1602</v>
      </c>
      <c r="W166" s="449">
        <f t="shared" si="27"/>
        <v>1876.6776000000002</v>
      </c>
      <c r="X166" s="449">
        <f t="shared" si="28"/>
        <v>1827.5646000000002</v>
      </c>
      <c r="Y166" s="449">
        <f t="shared" si="29"/>
        <v>1730.991</v>
      </c>
      <c r="Z166" s="449">
        <f t="shared" si="30"/>
        <v>1691.8434000000002</v>
      </c>
      <c r="AA166" s="449">
        <f t="shared" si="31"/>
        <v>1647.606</v>
      </c>
      <c r="AB166" s="449">
        <f t="shared" si="32"/>
        <v>893.9076</v>
      </c>
      <c r="AC166" s="449">
        <f t="shared" si="33"/>
        <v>2107.3404</v>
      </c>
      <c r="AD166" s="449">
        <f t="shared" si="34"/>
        <v>1991.0502000000001</v>
      </c>
      <c r="AE166" s="449">
        <f t="shared" si="35"/>
        <v>1890.3761999999999</v>
      </c>
      <c r="AF166" s="449">
        <f t="shared" si="36"/>
        <v>1292.7786000000001</v>
      </c>
      <c r="AG166" s="449">
        <f t="shared" si="37"/>
        <v>1190.4521999999999</v>
      </c>
      <c r="AH166" s="450">
        <f t="shared" si="38"/>
        <v>1256.0688</v>
      </c>
    </row>
    <row r="167" spans="1:34">
      <c r="A167" s="427">
        <v>2018</v>
      </c>
      <c r="B167" s="413" t="s">
        <v>303</v>
      </c>
      <c r="C167" s="414" t="s">
        <v>309</v>
      </c>
      <c r="D167" s="414" t="s">
        <v>310</v>
      </c>
      <c r="E167" s="430" t="s">
        <v>316</v>
      </c>
      <c r="F167" s="416" t="s">
        <v>307</v>
      </c>
      <c r="G167" s="417" t="s">
        <v>211</v>
      </c>
      <c r="H167" s="445">
        <v>680.49</v>
      </c>
      <c r="I167" s="445">
        <v>665.08</v>
      </c>
      <c r="J167" s="445">
        <v>647.66999999999996</v>
      </c>
      <c r="K167" s="445">
        <v>613.45000000000005</v>
      </c>
      <c r="L167" s="445">
        <v>599.58000000000004</v>
      </c>
      <c r="M167" s="445">
        <v>583.9</v>
      </c>
      <c r="N167" s="445">
        <v>316.8</v>
      </c>
      <c r="O167" s="445">
        <v>746.83</v>
      </c>
      <c r="P167" s="445">
        <v>705.61</v>
      </c>
      <c r="Q167" s="445">
        <v>669.93</v>
      </c>
      <c r="R167" s="445">
        <v>458.15</v>
      </c>
      <c r="S167" s="445">
        <v>421.89</v>
      </c>
      <c r="T167" s="446">
        <v>445.14</v>
      </c>
      <c r="V167" s="445">
        <f t="shared" si="39"/>
        <v>694.09980000000007</v>
      </c>
      <c r="W167" s="445">
        <f t="shared" si="27"/>
        <v>678.38160000000005</v>
      </c>
      <c r="X167" s="445">
        <f t="shared" si="28"/>
        <v>660.62339999999995</v>
      </c>
      <c r="Y167" s="445">
        <f t="shared" si="29"/>
        <v>625.71900000000005</v>
      </c>
      <c r="Z167" s="445">
        <f t="shared" si="30"/>
        <v>611.5716000000001</v>
      </c>
      <c r="AA167" s="445">
        <f t="shared" si="31"/>
        <v>595.57799999999997</v>
      </c>
      <c r="AB167" s="445">
        <f t="shared" si="32"/>
        <v>323.13600000000002</v>
      </c>
      <c r="AC167" s="445">
        <f t="shared" si="33"/>
        <v>761.76660000000004</v>
      </c>
      <c r="AD167" s="445">
        <f t="shared" si="34"/>
        <v>719.72220000000004</v>
      </c>
      <c r="AE167" s="445">
        <f t="shared" si="35"/>
        <v>683.32859999999994</v>
      </c>
      <c r="AF167" s="445">
        <f t="shared" si="36"/>
        <v>467.31299999999999</v>
      </c>
      <c r="AG167" s="445">
        <f t="shared" si="37"/>
        <v>430.32779999999997</v>
      </c>
      <c r="AH167" s="446">
        <f t="shared" si="38"/>
        <v>454.0428</v>
      </c>
    </row>
    <row r="168" spans="1:34">
      <c r="A168" s="428">
        <v>2018</v>
      </c>
      <c r="B168" s="145" t="s">
        <v>303</v>
      </c>
      <c r="C168" s="146" t="s">
        <v>309</v>
      </c>
      <c r="D168" s="146" t="s">
        <v>310</v>
      </c>
      <c r="E168" s="151" t="s">
        <v>316</v>
      </c>
      <c r="F168" s="148" t="s">
        <v>307</v>
      </c>
      <c r="G168" s="149" t="s">
        <v>212</v>
      </c>
      <c r="H168" s="447">
        <v>1490.27</v>
      </c>
      <c r="I168" s="447">
        <v>1456.52</v>
      </c>
      <c r="J168" s="447">
        <v>1418.41</v>
      </c>
      <c r="K168" s="447">
        <v>1343.46</v>
      </c>
      <c r="L168" s="447">
        <v>1313.07</v>
      </c>
      <c r="M168" s="447">
        <v>1278.74</v>
      </c>
      <c r="N168" s="447">
        <v>693.78</v>
      </c>
      <c r="O168" s="447">
        <v>1635.55</v>
      </c>
      <c r="P168" s="447">
        <v>1545.3</v>
      </c>
      <c r="Q168" s="447">
        <v>1467.15</v>
      </c>
      <c r="R168" s="447">
        <v>1003.35</v>
      </c>
      <c r="S168" s="447">
        <v>923.94</v>
      </c>
      <c r="T168" s="448">
        <v>974.86</v>
      </c>
      <c r="V168" s="447">
        <f t="shared" si="39"/>
        <v>1520.0753999999999</v>
      </c>
      <c r="W168" s="447">
        <f t="shared" si="27"/>
        <v>1485.6504</v>
      </c>
      <c r="X168" s="447">
        <f t="shared" si="28"/>
        <v>1446.7782000000002</v>
      </c>
      <c r="Y168" s="447">
        <f t="shared" si="29"/>
        <v>1370.3292000000001</v>
      </c>
      <c r="Z168" s="447">
        <f t="shared" si="30"/>
        <v>1339.3314</v>
      </c>
      <c r="AA168" s="447">
        <f t="shared" si="31"/>
        <v>1304.3148000000001</v>
      </c>
      <c r="AB168" s="447">
        <f t="shared" si="32"/>
        <v>707.65559999999994</v>
      </c>
      <c r="AC168" s="447">
        <f t="shared" si="33"/>
        <v>1668.261</v>
      </c>
      <c r="AD168" s="447">
        <f t="shared" si="34"/>
        <v>1576.2059999999999</v>
      </c>
      <c r="AE168" s="447">
        <f t="shared" si="35"/>
        <v>1496.4930000000002</v>
      </c>
      <c r="AF168" s="447">
        <f t="shared" si="36"/>
        <v>1023.417</v>
      </c>
      <c r="AG168" s="447">
        <f t="shared" si="37"/>
        <v>942.41880000000003</v>
      </c>
      <c r="AH168" s="448">
        <f t="shared" si="38"/>
        <v>994.35720000000003</v>
      </c>
    </row>
    <row r="169" spans="1:34">
      <c r="A169" s="428">
        <v>2018</v>
      </c>
      <c r="B169" s="145" t="s">
        <v>303</v>
      </c>
      <c r="C169" s="146" t="s">
        <v>309</v>
      </c>
      <c r="D169" s="146" t="s">
        <v>310</v>
      </c>
      <c r="E169" s="151" t="s">
        <v>316</v>
      </c>
      <c r="F169" s="148" t="s">
        <v>307</v>
      </c>
      <c r="G169" s="149" t="s">
        <v>213</v>
      </c>
      <c r="H169" s="447">
        <v>1292.93</v>
      </c>
      <c r="I169" s="447">
        <v>1263.6500000000001</v>
      </c>
      <c r="J169" s="447">
        <v>1230.58</v>
      </c>
      <c r="K169" s="447">
        <v>1165.56</v>
      </c>
      <c r="L169" s="447">
        <v>1139.2</v>
      </c>
      <c r="M169" s="447">
        <v>1109.4100000000001</v>
      </c>
      <c r="N169" s="447">
        <v>601.91999999999996</v>
      </c>
      <c r="O169" s="447">
        <v>1418.98</v>
      </c>
      <c r="P169" s="447">
        <v>1340.67</v>
      </c>
      <c r="Q169" s="447">
        <v>1272.8699999999999</v>
      </c>
      <c r="R169" s="447">
        <v>870.48</v>
      </c>
      <c r="S169" s="447">
        <v>801.59</v>
      </c>
      <c r="T169" s="448">
        <v>845.76</v>
      </c>
      <c r="V169" s="447">
        <f t="shared" si="39"/>
        <v>1318.7886000000001</v>
      </c>
      <c r="W169" s="447">
        <f t="shared" si="27"/>
        <v>1288.923</v>
      </c>
      <c r="X169" s="447">
        <f t="shared" si="28"/>
        <v>1255.1915999999999</v>
      </c>
      <c r="Y169" s="447">
        <f t="shared" si="29"/>
        <v>1188.8712</v>
      </c>
      <c r="Z169" s="447">
        <f t="shared" si="30"/>
        <v>1161.9840000000002</v>
      </c>
      <c r="AA169" s="447">
        <f t="shared" si="31"/>
        <v>1131.5982000000001</v>
      </c>
      <c r="AB169" s="447">
        <f t="shared" si="32"/>
        <v>613.95839999999998</v>
      </c>
      <c r="AC169" s="447">
        <f t="shared" si="33"/>
        <v>1447.3596</v>
      </c>
      <c r="AD169" s="447">
        <f t="shared" si="34"/>
        <v>1367.4834000000001</v>
      </c>
      <c r="AE169" s="447">
        <f t="shared" si="35"/>
        <v>1298.3273999999999</v>
      </c>
      <c r="AF169" s="447">
        <f t="shared" si="36"/>
        <v>887.88960000000009</v>
      </c>
      <c r="AG169" s="447">
        <f t="shared" si="37"/>
        <v>817.62180000000001</v>
      </c>
      <c r="AH169" s="448">
        <f t="shared" si="38"/>
        <v>862.67520000000002</v>
      </c>
    </row>
    <row r="170" spans="1:34" ht="16.5" thickBot="1">
      <c r="A170" s="429">
        <v>2018</v>
      </c>
      <c r="B170" s="420" t="s">
        <v>303</v>
      </c>
      <c r="C170" s="421" t="s">
        <v>309</v>
      </c>
      <c r="D170" s="421" t="s">
        <v>310</v>
      </c>
      <c r="E170" s="431" t="s">
        <v>316</v>
      </c>
      <c r="F170" s="423" t="s">
        <v>307</v>
      </c>
      <c r="G170" s="424" t="s">
        <v>214</v>
      </c>
      <c r="H170" s="449">
        <v>2068.69</v>
      </c>
      <c r="I170" s="449">
        <v>2021.84</v>
      </c>
      <c r="J170" s="449">
        <v>1968.93</v>
      </c>
      <c r="K170" s="449">
        <v>1864.89</v>
      </c>
      <c r="L170" s="449">
        <v>1822.71</v>
      </c>
      <c r="M170" s="449">
        <v>1775.06</v>
      </c>
      <c r="N170" s="449">
        <v>963.06</v>
      </c>
      <c r="O170" s="449">
        <v>2270.36</v>
      </c>
      <c r="P170" s="449">
        <v>2145.0700000000002</v>
      </c>
      <c r="Q170" s="449">
        <v>2036.6</v>
      </c>
      <c r="R170" s="449">
        <v>1392.78</v>
      </c>
      <c r="S170" s="449">
        <v>1282.54</v>
      </c>
      <c r="T170" s="450">
        <v>1353.23</v>
      </c>
      <c r="V170" s="449">
        <f t="shared" si="39"/>
        <v>2110.0637999999999</v>
      </c>
      <c r="W170" s="449">
        <f t="shared" si="27"/>
        <v>2062.2768000000001</v>
      </c>
      <c r="X170" s="449">
        <f t="shared" si="28"/>
        <v>2008.3086000000001</v>
      </c>
      <c r="Y170" s="449">
        <f t="shared" si="29"/>
        <v>1902.1878000000002</v>
      </c>
      <c r="Z170" s="449">
        <f t="shared" si="30"/>
        <v>1859.1642000000002</v>
      </c>
      <c r="AA170" s="449">
        <f t="shared" si="31"/>
        <v>1810.5611999999999</v>
      </c>
      <c r="AB170" s="449">
        <f t="shared" si="32"/>
        <v>982.32119999999998</v>
      </c>
      <c r="AC170" s="449">
        <f t="shared" si="33"/>
        <v>2315.7672000000002</v>
      </c>
      <c r="AD170" s="449">
        <f t="shared" si="34"/>
        <v>2187.9714000000004</v>
      </c>
      <c r="AE170" s="449">
        <f t="shared" si="35"/>
        <v>2077.3319999999999</v>
      </c>
      <c r="AF170" s="449">
        <f t="shared" si="36"/>
        <v>1420.6356000000001</v>
      </c>
      <c r="AG170" s="449">
        <f t="shared" si="37"/>
        <v>1308.1908000000001</v>
      </c>
      <c r="AH170" s="450">
        <f t="shared" si="38"/>
        <v>1380.2945999999999</v>
      </c>
    </row>
    <row r="171" spans="1:34">
      <c r="A171" s="427">
        <v>2018</v>
      </c>
      <c r="B171" s="413" t="s">
        <v>303</v>
      </c>
      <c r="C171" s="414" t="s">
        <v>311</v>
      </c>
      <c r="D171" s="414" t="s">
        <v>312</v>
      </c>
      <c r="E171" s="430" t="s">
        <v>316</v>
      </c>
      <c r="F171" s="416" t="s">
        <v>307</v>
      </c>
      <c r="G171" s="417" t="s">
        <v>211</v>
      </c>
      <c r="H171" s="445">
        <v>716.3</v>
      </c>
      <c r="I171" s="445">
        <v>700.09</v>
      </c>
      <c r="J171" s="445">
        <v>681.76</v>
      </c>
      <c r="K171" s="445">
        <v>645.74</v>
      </c>
      <c r="L171" s="445">
        <v>631.13</v>
      </c>
      <c r="M171" s="445">
        <v>614.63</v>
      </c>
      <c r="N171" s="445">
        <v>333.47</v>
      </c>
      <c r="O171" s="445">
        <v>786.13</v>
      </c>
      <c r="P171" s="445">
        <v>742.75</v>
      </c>
      <c r="Q171" s="445">
        <v>705.19</v>
      </c>
      <c r="R171" s="445">
        <v>482.26</v>
      </c>
      <c r="S171" s="445">
        <v>444.09</v>
      </c>
      <c r="T171" s="446">
        <v>468.57</v>
      </c>
      <c r="V171" s="445">
        <f t="shared" si="39"/>
        <v>730.62599999999998</v>
      </c>
      <c r="W171" s="445">
        <f t="shared" si="27"/>
        <v>714.09180000000003</v>
      </c>
      <c r="X171" s="445">
        <f t="shared" si="28"/>
        <v>695.39520000000005</v>
      </c>
      <c r="Y171" s="445">
        <f t="shared" si="29"/>
        <v>658.65480000000002</v>
      </c>
      <c r="Z171" s="445">
        <f t="shared" si="30"/>
        <v>643.75260000000003</v>
      </c>
      <c r="AA171" s="445">
        <f t="shared" si="31"/>
        <v>626.92259999999999</v>
      </c>
      <c r="AB171" s="445">
        <f t="shared" si="32"/>
        <v>340.13940000000002</v>
      </c>
      <c r="AC171" s="445">
        <f t="shared" si="33"/>
        <v>801.85260000000005</v>
      </c>
      <c r="AD171" s="445">
        <f t="shared" si="34"/>
        <v>757.60500000000002</v>
      </c>
      <c r="AE171" s="445">
        <f t="shared" si="35"/>
        <v>719.29380000000003</v>
      </c>
      <c r="AF171" s="445">
        <f t="shared" si="36"/>
        <v>491.90519999999998</v>
      </c>
      <c r="AG171" s="445">
        <f t="shared" si="37"/>
        <v>452.97179999999997</v>
      </c>
      <c r="AH171" s="446">
        <f t="shared" si="38"/>
        <v>477.94139999999999</v>
      </c>
    </row>
    <row r="172" spans="1:34">
      <c r="A172" s="428">
        <v>2018</v>
      </c>
      <c r="B172" s="145" t="s">
        <v>303</v>
      </c>
      <c r="C172" s="146" t="s">
        <v>311</v>
      </c>
      <c r="D172" s="146" t="s">
        <v>312</v>
      </c>
      <c r="E172" s="151" t="s">
        <v>316</v>
      </c>
      <c r="F172" s="148" t="s">
        <v>307</v>
      </c>
      <c r="G172" s="149" t="s">
        <v>212</v>
      </c>
      <c r="H172" s="447">
        <v>1568.71</v>
      </c>
      <c r="I172" s="447">
        <v>1533.18</v>
      </c>
      <c r="J172" s="447">
        <v>1493.06</v>
      </c>
      <c r="K172" s="447">
        <v>1414.17</v>
      </c>
      <c r="L172" s="447">
        <v>1382.18</v>
      </c>
      <c r="M172" s="447">
        <v>1346.05</v>
      </c>
      <c r="N172" s="447">
        <v>730.29</v>
      </c>
      <c r="O172" s="447">
        <v>1721.63</v>
      </c>
      <c r="P172" s="447">
        <v>1626.63</v>
      </c>
      <c r="Q172" s="447">
        <v>1544.37</v>
      </c>
      <c r="R172" s="447">
        <v>1056.1600000000001</v>
      </c>
      <c r="S172" s="447">
        <v>972.57</v>
      </c>
      <c r="T172" s="448">
        <v>1026.1600000000001</v>
      </c>
      <c r="V172" s="447">
        <f t="shared" si="39"/>
        <v>1600.0842</v>
      </c>
      <c r="W172" s="447">
        <f t="shared" si="27"/>
        <v>1563.8436000000002</v>
      </c>
      <c r="X172" s="447">
        <f t="shared" si="28"/>
        <v>1522.9212</v>
      </c>
      <c r="Y172" s="447">
        <f t="shared" si="29"/>
        <v>1442.4534000000001</v>
      </c>
      <c r="Z172" s="447">
        <f t="shared" si="30"/>
        <v>1409.8236000000002</v>
      </c>
      <c r="AA172" s="447">
        <f t="shared" si="31"/>
        <v>1372.971</v>
      </c>
      <c r="AB172" s="447">
        <f t="shared" si="32"/>
        <v>744.89580000000001</v>
      </c>
      <c r="AC172" s="447">
        <f t="shared" si="33"/>
        <v>1756.0626000000002</v>
      </c>
      <c r="AD172" s="447">
        <f t="shared" si="34"/>
        <v>1659.1626000000001</v>
      </c>
      <c r="AE172" s="447">
        <f t="shared" si="35"/>
        <v>1575.2574</v>
      </c>
      <c r="AF172" s="447">
        <f t="shared" si="36"/>
        <v>1077.2832000000001</v>
      </c>
      <c r="AG172" s="447">
        <f t="shared" si="37"/>
        <v>992.02140000000009</v>
      </c>
      <c r="AH172" s="448">
        <f t="shared" si="38"/>
        <v>1046.6832000000002</v>
      </c>
    </row>
    <row r="173" spans="1:34">
      <c r="A173" s="428">
        <v>2018</v>
      </c>
      <c r="B173" s="145" t="s">
        <v>303</v>
      </c>
      <c r="C173" s="146" t="s">
        <v>311</v>
      </c>
      <c r="D173" s="146" t="s">
        <v>312</v>
      </c>
      <c r="E173" s="151" t="s">
        <v>316</v>
      </c>
      <c r="F173" s="148" t="s">
        <v>307</v>
      </c>
      <c r="G173" s="149" t="s">
        <v>213</v>
      </c>
      <c r="H173" s="447">
        <v>1360.97</v>
      </c>
      <c r="I173" s="447">
        <v>1330.16</v>
      </c>
      <c r="J173" s="447">
        <v>1295.3499999999999</v>
      </c>
      <c r="K173" s="447">
        <v>1226.9100000000001</v>
      </c>
      <c r="L173" s="447">
        <v>1199.1600000000001</v>
      </c>
      <c r="M173" s="447">
        <v>1167.8</v>
      </c>
      <c r="N173" s="447">
        <v>633.6</v>
      </c>
      <c r="O173" s="447">
        <v>1493.66</v>
      </c>
      <c r="P173" s="447">
        <v>1411.23</v>
      </c>
      <c r="Q173" s="447">
        <v>1339.87</v>
      </c>
      <c r="R173" s="447">
        <v>916.3</v>
      </c>
      <c r="S173" s="447">
        <v>843.78</v>
      </c>
      <c r="T173" s="448">
        <v>890.28</v>
      </c>
      <c r="V173" s="447">
        <f t="shared" si="39"/>
        <v>1388.1894</v>
      </c>
      <c r="W173" s="447">
        <f t="shared" si="27"/>
        <v>1356.7632000000001</v>
      </c>
      <c r="X173" s="447">
        <f t="shared" si="28"/>
        <v>1321.2569999999998</v>
      </c>
      <c r="Y173" s="447">
        <f t="shared" si="29"/>
        <v>1251.4482</v>
      </c>
      <c r="Z173" s="447">
        <f t="shared" si="30"/>
        <v>1223.1432000000002</v>
      </c>
      <c r="AA173" s="447">
        <f t="shared" si="31"/>
        <v>1191.1559999999999</v>
      </c>
      <c r="AB173" s="447">
        <f t="shared" si="32"/>
        <v>646.27200000000005</v>
      </c>
      <c r="AC173" s="447">
        <f t="shared" si="33"/>
        <v>1523.5332000000001</v>
      </c>
      <c r="AD173" s="447">
        <f t="shared" si="34"/>
        <v>1439.4546</v>
      </c>
      <c r="AE173" s="447">
        <f t="shared" si="35"/>
        <v>1366.6673999999998</v>
      </c>
      <c r="AF173" s="447">
        <f t="shared" si="36"/>
        <v>934.62599999999998</v>
      </c>
      <c r="AG173" s="447">
        <f t="shared" si="37"/>
        <v>860.65559999999994</v>
      </c>
      <c r="AH173" s="448">
        <f t="shared" si="38"/>
        <v>908.0856</v>
      </c>
    </row>
    <row r="174" spans="1:34" ht="16.5" thickBot="1">
      <c r="A174" s="429">
        <v>2018</v>
      </c>
      <c r="B174" s="420" t="s">
        <v>303</v>
      </c>
      <c r="C174" s="421" t="s">
        <v>311</v>
      </c>
      <c r="D174" s="421" t="s">
        <v>312</v>
      </c>
      <c r="E174" s="431" t="s">
        <v>316</v>
      </c>
      <c r="F174" s="423" t="s">
        <v>307</v>
      </c>
      <c r="G174" s="424" t="s">
        <v>214</v>
      </c>
      <c r="H174" s="449">
        <v>2177.5700000000002</v>
      </c>
      <c r="I174" s="449">
        <v>2128.2600000000002</v>
      </c>
      <c r="J174" s="449">
        <v>2072.56</v>
      </c>
      <c r="K174" s="449">
        <v>1963.05</v>
      </c>
      <c r="L174" s="449">
        <v>1918.64</v>
      </c>
      <c r="M174" s="449">
        <v>1868.48</v>
      </c>
      <c r="N174" s="449">
        <v>1013.75</v>
      </c>
      <c r="O174" s="449">
        <v>2389.85</v>
      </c>
      <c r="P174" s="449">
        <v>2257.96</v>
      </c>
      <c r="Q174" s="449">
        <v>2143.79</v>
      </c>
      <c r="R174" s="449">
        <v>1466.08</v>
      </c>
      <c r="S174" s="449">
        <v>1350.05</v>
      </c>
      <c r="T174" s="450">
        <v>1424.45</v>
      </c>
      <c r="V174" s="449">
        <f t="shared" si="39"/>
        <v>2221.1214</v>
      </c>
      <c r="W174" s="449">
        <f t="shared" si="27"/>
        <v>2170.8252000000002</v>
      </c>
      <c r="X174" s="449">
        <f t="shared" si="28"/>
        <v>2114.0111999999999</v>
      </c>
      <c r="Y174" s="449">
        <f t="shared" si="29"/>
        <v>2002.3109999999999</v>
      </c>
      <c r="Z174" s="449">
        <f t="shared" si="30"/>
        <v>1957.0128000000002</v>
      </c>
      <c r="AA174" s="449">
        <f t="shared" si="31"/>
        <v>1905.8496</v>
      </c>
      <c r="AB174" s="449">
        <f t="shared" si="32"/>
        <v>1034.0250000000001</v>
      </c>
      <c r="AC174" s="449">
        <f t="shared" si="33"/>
        <v>2437.6469999999999</v>
      </c>
      <c r="AD174" s="449">
        <f t="shared" si="34"/>
        <v>2303.1192000000001</v>
      </c>
      <c r="AE174" s="449">
        <f t="shared" si="35"/>
        <v>2186.6658000000002</v>
      </c>
      <c r="AF174" s="449">
        <f t="shared" si="36"/>
        <v>1495.4015999999999</v>
      </c>
      <c r="AG174" s="449">
        <f t="shared" si="37"/>
        <v>1377.0509999999999</v>
      </c>
      <c r="AH174" s="450">
        <f t="shared" si="38"/>
        <v>1452.9390000000001</v>
      </c>
    </row>
    <row r="175" spans="1:34">
      <c r="A175" s="427">
        <v>2018</v>
      </c>
      <c r="B175" s="413" t="s">
        <v>303</v>
      </c>
      <c r="C175" s="414" t="s">
        <v>313</v>
      </c>
      <c r="D175" s="414" t="s">
        <v>314</v>
      </c>
      <c r="E175" s="430" t="s">
        <v>316</v>
      </c>
      <c r="F175" s="416" t="s">
        <v>307</v>
      </c>
      <c r="G175" s="417" t="s">
        <v>211</v>
      </c>
      <c r="H175" s="445">
        <v>823.75</v>
      </c>
      <c r="I175" s="445">
        <v>805.1</v>
      </c>
      <c r="J175" s="445">
        <v>784.03</v>
      </c>
      <c r="K175" s="445">
        <v>742.6</v>
      </c>
      <c r="L175" s="445">
        <v>725.8</v>
      </c>
      <c r="M175" s="445">
        <v>706.83</v>
      </c>
      <c r="N175" s="445">
        <v>383.49</v>
      </c>
      <c r="O175" s="445">
        <v>904.05</v>
      </c>
      <c r="P175" s="445">
        <v>854.16</v>
      </c>
      <c r="Q175" s="445">
        <v>810.97</v>
      </c>
      <c r="R175" s="445">
        <v>554.6</v>
      </c>
      <c r="S175" s="445">
        <v>510.71</v>
      </c>
      <c r="T175" s="446">
        <v>538.85</v>
      </c>
      <c r="V175" s="445">
        <f t="shared" si="39"/>
        <v>840.22500000000002</v>
      </c>
      <c r="W175" s="445">
        <f t="shared" si="27"/>
        <v>821.202</v>
      </c>
      <c r="X175" s="445">
        <f t="shared" si="28"/>
        <v>799.7106</v>
      </c>
      <c r="Y175" s="445">
        <f t="shared" si="29"/>
        <v>757.452</v>
      </c>
      <c r="Z175" s="445">
        <f t="shared" si="30"/>
        <v>740.31599999999992</v>
      </c>
      <c r="AA175" s="445">
        <f t="shared" si="31"/>
        <v>720.96660000000008</v>
      </c>
      <c r="AB175" s="445">
        <f t="shared" si="32"/>
        <v>391.15980000000002</v>
      </c>
      <c r="AC175" s="445">
        <f t="shared" si="33"/>
        <v>922.13099999999997</v>
      </c>
      <c r="AD175" s="445">
        <f t="shared" si="34"/>
        <v>871.2432</v>
      </c>
      <c r="AE175" s="445">
        <f t="shared" si="35"/>
        <v>827.18940000000009</v>
      </c>
      <c r="AF175" s="445">
        <f t="shared" si="36"/>
        <v>565.69200000000001</v>
      </c>
      <c r="AG175" s="445">
        <f t="shared" si="37"/>
        <v>520.92420000000004</v>
      </c>
      <c r="AH175" s="446">
        <f t="shared" si="38"/>
        <v>549.62700000000007</v>
      </c>
    </row>
    <row r="176" spans="1:34">
      <c r="A176" s="428">
        <v>2018</v>
      </c>
      <c r="B176" s="145" t="s">
        <v>303</v>
      </c>
      <c r="C176" s="146" t="s">
        <v>313</v>
      </c>
      <c r="D176" s="146" t="s">
        <v>314</v>
      </c>
      <c r="E176" s="151" t="s">
        <v>316</v>
      </c>
      <c r="F176" s="148" t="s">
        <v>307</v>
      </c>
      <c r="G176" s="149" t="s">
        <v>212</v>
      </c>
      <c r="H176" s="447">
        <v>1804.01</v>
      </c>
      <c r="I176" s="447">
        <v>1763.16</v>
      </c>
      <c r="J176" s="447">
        <v>1717.02</v>
      </c>
      <c r="K176" s="447">
        <v>1626.29</v>
      </c>
      <c r="L176" s="447">
        <v>1589.5</v>
      </c>
      <c r="M176" s="447">
        <v>1547.95</v>
      </c>
      <c r="N176" s="447">
        <v>839.84</v>
      </c>
      <c r="O176" s="447">
        <v>1979.88</v>
      </c>
      <c r="P176" s="447">
        <v>1870.63</v>
      </c>
      <c r="Q176" s="447">
        <v>1776.03</v>
      </c>
      <c r="R176" s="447">
        <v>1214.58</v>
      </c>
      <c r="S176" s="447">
        <v>1118.45</v>
      </c>
      <c r="T176" s="448">
        <v>1180.0899999999999</v>
      </c>
      <c r="V176" s="447">
        <f t="shared" si="39"/>
        <v>1840.0902000000001</v>
      </c>
      <c r="W176" s="447">
        <f t="shared" si="27"/>
        <v>1798.4232000000002</v>
      </c>
      <c r="X176" s="447">
        <f t="shared" si="28"/>
        <v>1751.3604</v>
      </c>
      <c r="Y176" s="447">
        <f t="shared" si="29"/>
        <v>1658.8158000000001</v>
      </c>
      <c r="Z176" s="447">
        <f t="shared" si="30"/>
        <v>1621.29</v>
      </c>
      <c r="AA176" s="447">
        <f t="shared" si="31"/>
        <v>1578.9090000000001</v>
      </c>
      <c r="AB176" s="447">
        <f t="shared" si="32"/>
        <v>856.63679999999999</v>
      </c>
      <c r="AC176" s="447">
        <f t="shared" si="33"/>
        <v>2019.4776000000002</v>
      </c>
      <c r="AD176" s="447">
        <f t="shared" si="34"/>
        <v>1908.0426000000002</v>
      </c>
      <c r="AE176" s="447">
        <f t="shared" si="35"/>
        <v>1811.5506</v>
      </c>
      <c r="AF176" s="447">
        <f t="shared" si="36"/>
        <v>1238.8715999999999</v>
      </c>
      <c r="AG176" s="447">
        <f t="shared" si="37"/>
        <v>1140.819</v>
      </c>
      <c r="AH176" s="448">
        <f t="shared" si="38"/>
        <v>1203.6917999999998</v>
      </c>
    </row>
    <row r="177" spans="1:34">
      <c r="A177" s="428">
        <v>2018</v>
      </c>
      <c r="B177" s="145" t="s">
        <v>303</v>
      </c>
      <c r="C177" s="146" t="s">
        <v>313</v>
      </c>
      <c r="D177" s="146" t="s">
        <v>314</v>
      </c>
      <c r="E177" s="151" t="s">
        <v>316</v>
      </c>
      <c r="F177" s="148" t="s">
        <v>307</v>
      </c>
      <c r="G177" s="149" t="s">
        <v>213</v>
      </c>
      <c r="H177" s="447">
        <v>1565.12</v>
      </c>
      <c r="I177" s="447">
        <v>1529.68</v>
      </c>
      <c r="J177" s="447">
        <v>1489.65</v>
      </c>
      <c r="K177" s="447">
        <v>1410.94</v>
      </c>
      <c r="L177" s="447">
        <v>1379.03</v>
      </c>
      <c r="M177" s="447">
        <v>1342.97</v>
      </c>
      <c r="N177" s="447">
        <v>728.64</v>
      </c>
      <c r="O177" s="447">
        <v>1717.71</v>
      </c>
      <c r="P177" s="447">
        <v>1622.92</v>
      </c>
      <c r="Q177" s="447">
        <v>1540.85</v>
      </c>
      <c r="R177" s="447">
        <v>1053.74</v>
      </c>
      <c r="S177" s="447">
        <v>970.34</v>
      </c>
      <c r="T177" s="448">
        <v>1023.82</v>
      </c>
      <c r="V177" s="447">
        <f t="shared" si="39"/>
        <v>1596.4223999999999</v>
      </c>
      <c r="W177" s="447">
        <f t="shared" si="27"/>
        <v>1560.2736</v>
      </c>
      <c r="X177" s="447">
        <f t="shared" si="28"/>
        <v>1519.4430000000002</v>
      </c>
      <c r="Y177" s="447">
        <f t="shared" si="29"/>
        <v>1439.1588000000002</v>
      </c>
      <c r="Z177" s="447">
        <f t="shared" si="30"/>
        <v>1406.6106</v>
      </c>
      <c r="AA177" s="447">
        <f t="shared" si="31"/>
        <v>1369.8294000000001</v>
      </c>
      <c r="AB177" s="447">
        <f t="shared" si="32"/>
        <v>743.21280000000002</v>
      </c>
      <c r="AC177" s="447">
        <f t="shared" si="33"/>
        <v>1752.0642</v>
      </c>
      <c r="AD177" s="447">
        <f t="shared" si="34"/>
        <v>1655.3784000000001</v>
      </c>
      <c r="AE177" s="447">
        <f t="shared" si="35"/>
        <v>1571.6669999999999</v>
      </c>
      <c r="AF177" s="447">
        <f t="shared" si="36"/>
        <v>1074.8148000000001</v>
      </c>
      <c r="AG177" s="447">
        <f t="shared" si="37"/>
        <v>989.74680000000001</v>
      </c>
      <c r="AH177" s="448">
        <f t="shared" si="38"/>
        <v>1044.2964000000002</v>
      </c>
    </row>
    <row r="178" spans="1:34" ht="16.5" thickBot="1">
      <c r="A178" s="429">
        <v>2018</v>
      </c>
      <c r="B178" s="420" t="s">
        <v>303</v>
      </c>
      <c r="C178" s="421" t="s">
        <v>313</v>
      </c>
      <c r="D178" s="421" t="s">
        <v>314</v>
      </c>
      <c r="E178" s="431" t="s">
        <v>316</v>
      </c>
      <c r="F178" s="423" t="s">
        <v>307</v>
      </c>
      <c r="G178" s="424" t="s">
        <v>214</v>
      </c>
      <c r="H178" s="449">
        <v>2504.1999999999998</v>
      </c>
      <c r="I178" s="449">
        <v>2447.5</v>
      </c>
      <c r="J178" s="449">
        <v>2383.44</v>
      </c>
      <c r="K178" s="449">
        <v>2257.5</v>
      </c>
      <c r="L178" s="449">
        <v>2206.44</v>
      </c>
      <c r="M178" s="449">
        <v>2148.75</v>
      </c>
      <c r="N178" s="449">
        <v>1165.81</v>
      </c>
      <c r="O178" s="449">
        <v>2748.33</v>
      </c>
      <c r="P178" s="449">
        <v>2596.66</v>
      </c>
      <c r="Q178" s="449">
        <v>2465.36</v>
      </c>
      <c r="R178" s="449">
        <v>1686</v>
      </c>
      <c r="S178" s="449">
        <v>1552.55</v>
      </c>
      <c r="T178" s="450">
        <v>1638.11</v>
      </c>
      <c r="V178" s="449">
        <f t="shared" si="39"/>
        <v>2554.2839999999997</v>
      </c>
      <c r="W178" s="449">
        <f t="shared" si="27"/>
        <v>2496.4499999999998</v>
      </c>
      <c r="X178" s="449">
        <f t="shared" si="28"/>
        <v>2431.1088</v>
      </c>
      <c r="Y178" s="449">
        <f t="shared" si="29"/>
        <v>2302.65</v>
      </c>
      <c r="Z178" s="449">
        <f t="shared" si="30"/>
        <v>2250.5688</v>
      </c>
      <c r="AA178" s="449">
        <f t="shared" si="31"/>
        <v>2191.7249999999999</v>
      </c>
      <c r="AB178" s="449">
        <f t="shared" si="32"/>
        <v>1189.1261999999999</v>
      </c>
      <c r="AC178" s="449">
        <f t="shared" si="33"/>
        <v>2803.2966000000001</v>
      </c>
      <c r="AD178" s="449">
        <f t="shared" si="34"/>
        <v>2648.5931999999998</v>
      </c>
      <c r="AE178" s="449">
        <f t="shared" si="35"/>
        <v>2514.6672000000003</v>
      </c>
      <c r="AF178" s="449">
        <f t="shared" si="36"/>
        <v>1719.72</v>
      </c>
      <c r="AG178" s="449">
        <f t="shared" si="37"/>
        <v>1583.6009999999999</v>
      </c>
      <c r="AH178" s="450">
        <f t="shared" si="38"/>
        <v>1670.8722</v>
      </c>
    </row>
    <row r="179" spans="1:34">
      <c r="A179" s="427">
        <v>2018</v>
      </c>
      <c r="B179" s="413" t="s">
        <v>303</v>
      </c>
      <c r="C179" s="414" t="s">
        <v>304</v>
      </c>
      <c r="D179" s="414" t="s">
        <v>305</v>
      </c>
      <c r="E179" s="430" t="s">
        <v>316</v>
      </c>
      <c r="F179" s="432" t="s">
        <v>315</v>
      </c>
      <c r="G179" s="417" t="s">
        <v>211</v>
      </c>
      <c r="H179" s="445">
        <v>619.25</v>
      </c>
      <c r="I179" s="445">
        <v>605.22</v>
      </c>
      <c r="J179" s="445">
        <v>589.38</v>
      </c>
      <c r="K179" s="445">
        <v>558.24</v>
      </c>
      <c r="L179" s="445">
        <v>545.61</v>
      </c>
      <c r="M179" s="445">
        <v>531.35</v>
      </c>
      <c r="N179" s="445">
        <v>288.27999999999997</v>
      </c>
      <c r="O179" s="445">
        <v>703.4</v>
      </c>
      <c r="P179" s="445">
        <v>664.58</v>
      </c>
      <c r="Q179" s="445">
        <v>630.98</v>
      </c>
      <c r="R179" s="445">
        <v>431.51</v>
      </c>
      <c r="S179" s="445">
        <v>397.36</v>
      </c>
      <c r="T179" s="446">
        <v>419.26</v>
      </c>
      <c r="V179" s="445">
        <f t="shared" si="39"/>
        <v>631.63499999999999</v>
      </c>
      <c r="W179" s="445">
        <f t="shared" si="27"/>
        <v>617.32440000000008</v>
      </c>
      <c r="X179" s="445">
        <f t="shared" si="28"/>
        <v>601.16759999999999</v>
      </c>
      <c r="Y179" s="445">
        <f t="shared" si="29"/>
        <v>569.40480000000002</v>
      </c>
      <c r="Z179" s="445">
        <f t="shared" si="30"/>
        <v>556.5222</v>
      </c>
      <c r="AA179" s="445">
        <f t="shared" si="31"/>
        <v>541.97700000000009</v>
      </c>
      <c r="AB179" s="445">
        <f t="shared" si="32"/>
        <v>294.04559999999998</v>
      </c>
      <c r="AC179" s="445">
        <f t="shared" si="33"/>
        <v>717.46799999999996</v>
      </c>
      <c r="AD179" s="445">
        <f t="shared" si="34"/>
        <v>677.87160000000006</v>
      </c>
      <c r="AE179" s="445">
        <f t="shared" si="35"/>
        <v>643.59960000000001</v>
      </c>
      <c r="AF179" s="445">
        <f t="shared" si="36"/>
        <v>440.14019999999999</v>
      </c>
      <c r="AG179" s="445">
        <f t="shared" si="37"/>
        <v>405.30720000000002</v>
      </c>
      <c r="AH179" s="446">
        <f t="shared" si="38"/>
        <v>427.64519999999999</v>
      </c>
    </row>
    <row r="180" spans="1:34">
      <c r="A180" s="428">
        <v>2018</v>
      </c>
      <c r="B180" s="145" t="s">
        <v>303</v>
      </c>
      <c r="C180" s="146" t="s">
        <v>304</v>
      </c>
      <c r="D180" s="146" t="s">
        <v>305</v>
      </c>
      <c r="E180" s="151" t="s">
        <v>316</v>
      </c>
      <c r="F180" s="433" t="s">
        <v>315</v>
      </c>
      <c r="G180" s="149" t="s">
        <v>212</v>
      </c>
      <c r="H180" s="447">
        <v>1356.15</v>
      </c>
      <c r="I180" s="447">
        <v>1325.44</v>
      </c>
      <c r="J180" s="447">
        <v>1290.75</v>
      </c>
      <c r="K180" s="447">
        <v>1222.55</v>
      </c>
      <c r="L180" s="447">
        <v>1194.8900000000001</v>
      </c>
      <c r="M180" s="447">
        <v>1163.6600000000001</v>
      </c>
      <c r="N180" s="447">
        <v>631.34</v>
      </c>
      <c r="O180" s="447">
        <v>1540.44</v>
      </c>
      <c r="P180" s="447">
        <v>1455.44</v>
      </c>
      <c r="Q180" s="447">
        <v>1381.84</v>
      </c>
      <c r="R180" s="447">
        <v>945</v>
      </c>
      <c r="S180" s="447">
        <v>870.21</v>
      </c>
      <c r="T180" s="448">
        <v>918.17</v>
      </c>
      <c r="V180" s="447">
        <f t="shared" si="39"/>
        <v>1383.2730000000001</v>
      </c>
      <c r="W180" s="447">
        <f t="shared" si="27"/>
        <v>1351.9488000000001</v>
      </c>
      <c r="X180" s="447">
        <f t="shared" si="28"/>
        <v>1316.5650000000001</v>
      </c>
      <c r="Y180" s="447">
        <f t="shared" si="29"/>
        <v>1247.001</v>
      </c>
      <c r="Z180" s="447">
        <f t="shared" si="30"/>
        <v>1218.7878000000001</v>
      </c>
      <c r="AA180" s="447">
        <f t="shared" si="31"/>
        <v>1186.9332000000002</v>
      </c>
      <c r="AB180" s="447">
        <f t="shared" si="32"/>
        <v>643.96680000000003</v>
      </c>
      <c r="AC180" s="447">
        <f t="shared" si="33"/>
        <v>1571.2488000000001</v>
      </c>
      <c r="AD180" s="447">
        <f t="shared" si="34"/>
        <v>1484.5488</v>
      </c>
      <c r="AE180" s="447">
        <f t="shared" si="35"/>
        <v>1409.4767999999999</v>
      </c>
      <c r="AF180" s="447">
        <f t="shared" si="36"/>
        <v>963.9</v>
      </c>
      <c r="AG180" s="447">
        <f t="shared" si="37"/>
        <v>887.6142000000001</v>
      </c>
      <c r="AH180" s="448">
        <f t="shared" si="38"/>
        <v>936.53340000000003</v>
      </c>
    </row>
    <row r="181" spans="1:34">
      <c r="A181" s="428">
        <v>2018</v>
      </c>
      <c r="B181" s="145" t="s">
        <v>303</v>
      </c>
      <c r="C181" s="146" t="s">
        <v>304</v>
      </c>
      <c r="D181" s="146" t="s">
        <v>305</v>
      </c>
      <c r="E181" s="151" t="s">
        <v>316</v>
      </c>
      <c r="F181" s="433" t="s">
        <v>315</v>
      </c>
      <c r="G181" s="149" t="s">
        <v>213</v>
      </c>
      <c r="H181" s="447">
        <v>1176.56</v>
      </c>
      <c r="I181" s="447">
        <v>1149.92</v>
      </c>
      <c r="J181" s="447">
        <v>1119.83</v>
      </c>
      <c r="K181" s="447">
        <v>1060.6600000000001</v>
      </c>
      <c r="L181" s="447">
        <v>1036.67</v>
      </c>
      <c r="M181" s="447">
        <v>1009.57</v>
      </c>
      <c r="N181" s="447">
        <v>547.74</v>
      </c>
      <c r="O181" s="447">
        <v>1336.46</v>
      </c>
      <c r="P181" s="447">
        <v>1262.71</v>
      </c>
      <c r="Q181" s="447">
        <v>1198.8599999999999</v>
      </c>
      <c r="R181" s="447">
        <v>819.86</v>
      </c>
      <c r="S181" s="447">
        <v>754.98</v>
      </c>
      <c r="T181" s="448">
        <v>796.58</v>
      </c>
      <c r="V181" s="447">
        <f t="shared" si="39"/>
        <v>1200.0912000000001</v>
      </c>
      <c r="W181" s="447">
        <f t="shared" si="27"/>
        <v>1172.9184</v>
      </c>
      <c r="X181" s="447">
        <f t="shared" si="28"/>
        <v>1142.2266</v>
      </c>
      <c r="Y181" s="447">
        <f t="shared" si="29"/>
        <v>1081.8732</v>
      </c>
      <c r="Z181" s="447">
        <f t="shared" si="30"/>
        <v>1057.4034000000001</v>
      </c>
      <c r="AA181" s="447">
        <f t="shared" si="31"/>
        <v>1029.7614000000001</v>
      </c>
      <c r="AB181" s="447">
        <f t="shared" si="32"/>
        <v>558.69479999999999</v>
      </c>
      <c r="AC181" s="447">
        <f t="shared" si="33"/>
        <v>1363.1892</v>
      </c>
      <c r="AD181" s="447">
        <f t="shared" si="34"/>
        <v>1287.9642000000001</v>
      </c>
      <c r="AE181" s="447">
        <f t="shared" si="35"/>
        <v>1222.8371999999999</v>
      </c>
      <c r="AF181" s="447">
        <f t="shared" si="36"/>
        <v>836.25720000000001</v>
      </c>
      <c r="AG181" s="447">
        <f t="shared" si="37"/>
        <v>770.07960000000003</v>
      </c>
      <c r="AH181" s="448">
        <f t="shared" si="38"/>
        <v>812.51160000000004</v>
      </c>
    </row>
    <row r="182" spans="1:34" ht="16.5" thickBot="1">
      <c r="A182" s="429">
        <v>2018</v>
      </c>
      <c r="B182" s="420" t="s">
        <v>303</v>
      </c>
      <c r="C182" s="421" t="s">
        <v>304</v>
      </c>
      <c r="D182" s="421" t="s">
        <v>305</v>
      </c>
      <c r="E182" s="431" t="s">
        <v>316</v>
      </c>
      <c r="F182" s="434" t="s">
        <v>315</v>
      </c>
      <c r="G182" s="424" t="s">
        <v>214</v>
      </c>
      <c r="H182" s="449">
        <v>1882.51</v>
      </c>
      <c r="I182" s="449">
        <v>1839.88</v>
      </c>
      <c r="J182" s="449">
        <v>1791.73</v>
      </c>
      <c r="K182" s="449">
        <v>1697.05</v>
      </c>
      <c r="L182" s="449">
        <v>1658.67</v>
      </c>
      <c r="M182" s="449">
        <v>1615.3</v>
      </c>
      <c r="N182" s="449">
        <v>876.38</v>
      </c>
      <c r="O182" s="449">
        <v>2138.34</v>
      </c>
      <c r="P182" s="449">
        <v>2020.33</v>
      </c>
      <c r="Q182" s="449">
        <v>1918.17</v>
      </c>
      <c r="R182" s="449">
        <v>1311.79</v>
      </c>
      <c r="S182" s="449">
        <v>1207.96</v>
      </c>
      <c r="T182" s="450">
        <v>1274.54</v>
      </c>
      <c r="V182" s="449">
        <f t="shared" si="39"/>
        <v>1920.1602</v>
      </c>
      <c r="W182" s="449">
        <f t="shared" si="27"/>
        <v>1876.6776000000002</v>
      </c>
      <c r="X182" s="449">
        <f t="shared" si="28"/>
        <v>1827.5646000000002</v>
      </c>
      <c r="Y182" s="449">
        <f t="shared" si="29"/>
        <v>1730.991</v>
      </c>
      <c r="Z182" s="449">
        <f t="shared" si="30"/>
        <v>1691.8434000000002</v>
      </c>
      <c r="AA182" s="449">
        <f t="shared" si="31"/>
        <v>1647.606</v>
      </c>
      <c r="AB182" s="449">
        <f t="shared" si="32"/>
        <v>893.9076</v>
      </c>
      <c r="AC182" s="449">
        <f t="shared" si="33"/>
        <v>2181.1068</v>
      </c>
      <c r="AD182" s="449">
        <f t="shared" si="34"/>
        <v>2060.7366000000002</v>
      </c>
      <c r="AE182" s="449">
        <f t="shared" si="35"/>
        <v>1956.5334</v>
      </c>
      <c r="AF182" s="449">
        <f t="shared" si="36"/>
        <v>1338.0257999999999</v>
      </c>
      <c r="AG182" s="449">
        <f t="shared" si="37"/>
        <v>1232.1192000000001</v>
      </c>
      <c r="AH182" s="450">
        <f t="shared" si="38"/>
        <v>1300.0308</v>
      </c>
    </row>
    <row r="183" spans="1:34">
      <c r="A183" s="427">
        <v>2018</v>
      </c>
      <c r="B183" s="413" t="s">
        <v>303</v>
      </c>
      <c r="C183" s="414" t="s">
        <v>309</v>
      </c>
      <c r="D183" s="414" t="s">
        <v>310</v>
      </c>
      <c r="E183" s="430" t="s">
        <v>316</v>
      </c>
      <c r="F183" s="432" t="s">
        <v>315</v>
      </c>
      <c r="G183" s="417" t="s">
        <v>211</v>
      </c>
      <c r="H183" s="445">
        <v>680.49</v>
      </c>
      <c r="I183" s="445">
        <v>665.08</v>
      </c>
      <c r="J183" s="445">
        <v>647.66999999999996</v>
      </c>
      <c r="K183" s="445">
        <v>613.45000000000005</v>
      </c>
      <c r="L183" s="445">
        <v>599.58000000000004</v>
      </c>
      <c r="M183" s="445">
        <v>583.9</v>
      </c>
      <c r="N183" s="445">
        <v>316.8</v>
      </c>
      <c r="O183" s="445">
        <v>772.97</v>
      </c>
      <c r="P183" s="445">
        <v>730.31</v>
      </c>
      <c r="Q183" s="445">
        <v>693.38</v>
      </c>
      <c r="R183" s="445">
        <v>474.19</v>
      </c>
      <c r="S183" s="445">
        <v>436.66</v>
      </c>
      <c r="T183" s="446">
        <v>460.72</v>
      </c>
      <c r="V183" s="445">
        <f t="shared" si="39"/>
        <v>694.09980000000007</v>
      </c>
      <c r="W183" s="445">
        <f t="shared" si="27"/>
        <v>678.38160000000005</v>
      </c>
      <c r="X183" s="445">
        <f t="shared" si="28"/>
        <v>660.62339999999995</v>
      </c>
      <c r="Y183" s="445">
        <f t="shared" si="29"/>
        <v>625.71900000000005</v>
      </c>
      <c r="Z183" s="445">
        <f t="shared" si="30"/>
        <v>611.5716000000001</v>
      </c>
      <c r="AA183" s="445">
        <f t="shared" si="31"/>
        <v>595.57799999999997</v>
      </c>
      <c r="AB183" s="445">
        <f t="shared" si="32"/>
        <v>323.13600000000002</v>
      </c>
      <c r="AC183" s="445">
        <f t="shared" si="33"/>
        <v>788.42939999999999</v>
      </c>
      <c r="AD183" s="445">
        <f t="shared" si="34"/>
        <v>744.9162</v>
      </c>
      <c r="AE183" s="445">
        <f t="shared" si="35"/>
        <v>707.24760000000003</v>
      </c>
      <c r="AF183" s="445">
        <f t="shared" si="36"/>
        <v>483.67380000000003</v>
      </c>
      <c r="AG183" s="445">
        <f t="shared" si="37"/>
        <v>445.39320000000004</v>
      </c>
      <c r="AH183" s="446">
        <f t="shared" si="38"/>
        <v>469.93440000000004</v>
      </c>
    </row>
    <row r="184" spans="1:34">
      <c r="A184" s="428">
        <v>2018</v>
      </c>
      <c r="B184" s="145" t="s">
        <v>303</v>
      </c>
      <c r="C184" s="146" t="s">
        <v>309</v>
      </c>
      <c r="D184" s="146" t="s">
        <v>310</v>
      </c>
      <c r="E184" s="151" t="s">
        <v>316</v>
      </c>
      <c r="F184" s="433" t="s">
        <v>315</v>
      </c>
      <c r="G184" s="149" t="s">
        <v>212</v>
      </c>
      <c r="H184" s="447">
        <v>1490.27</v>
      </c>
      <c r="I184" s="447">
        <v>1456.52</v>
      </c>
      <c r="J184" s="447">
        <v>1418.41</v>
      </c>
      <c r="K184" s="447">
        <v>1343.46</v>
      </c>
      <c r="L184" s="447">
        <v>1313.07</v>
      </c>
      <c r="M184" s="447">
        <v>1278.74</v>
      </c>
      <c r="N184" s="447">
        <v>693.78</v>
      </c>
      <c r="O184" s="447">
        <v>1692.8</v>
      </c>
      <c r="P184" s="447">
        <v>1599.38</v>
      </c>
      <c r="Q184" s="447">
        <v>1518.5</v>
      </c>
      <c r="R184" s="447">
        <v>1038.46</v>
      </c>
      <c r="S184" s="447">
        <v>956.28</v>
      </c>
      <c r="T184" s="448">
        <v>1008.98</v>
      </c>
      <c r="V184" s="447">
        <f t="shared" si="39"/>
        <v>1520.0753999999999</v>
      </c>
      <c r="W184" s="447">
        <f t="shared" si="27"/>
        <v>1485.6504</v>
      </c>
      <c r="X184" s="447">
        <f t="shared" si="28"/>
        <v>1446.7782000000002</v>
      </c>
      <c r="Y184" s="447">
        <f t="shared" si="29"/>
        <v>1370.3292000000001</v>
      </c>
      <c r="Z184" s="447">
        <f t="shared" si="30"/>
        <v>1339.3314</v>
      </c>
      <c r="AA184" s="447">
        <f t="shared" si="31"/>
        <v>1304.3148000000001</v>
      </c>
      <c r="AB184" s="447">
        <f t="shared" si="32"/>
        <v>707.65559999999994</v>
      </c>
      <c r="AC184" s="447">
        <f t="shared" si="33"/>
        <v>1726.6559999999999</v>
      </c>
      <c r="AD184" s="447">
        <f t="shared" si="34"/>
        <v>1631.3676</v>
      </c>
      <c r="AE184" s="447">
        <f t="shared" si="35"/>
        <v>1548.8700000000001</v>
      </c>
      <c r="AF184" s="447">
        <f t="shared" si="36"/>
        <v>1059.2292</v>
      </c>
      <c r="AG184" s="447">
        <f t="shared" si="37"/>
        <v>975.40559999999994</v>
      </c>
      <c r="AH184" s="448">
        <f t="shared" si="38"/>
        <v>1029.1596</v>
      </c>
    </row>
    <row r="185" spans="1:34">
      <c r="A185" s="428">
        <v>2018</v>
      </c>
      <c r="B185" s="145" t="s">
        <v>303</v>
      </c>
      <c r="C185" s="146" t="s">
        <v>309</v>
      </c>
      <c r="D185" s="146" t="s">
        <v>310</v>
      </c>
      <c r="E185" s="151" t="s">
        <v>316</v>
      </c>
      <c r="F185" s="433" t="s">
        <v>315</v>
      </c>
      <c r="G185" s="149" t="s">
        <v>213</v>
      </c>
      <c r="H185" s="447">
        <v>1292.93</v>
      </c>
      <c r="I185" s="447">
        <v>1263.6500000000001</v>
      </c>
      <c r="J185" s="447">
        <v>1230.58</v>
      </c>
      <c r="K185" s="447">
        <v>1165.56</v>
      </c>
      <c r="L185" s="447">
        <v>1139.2</v>
      </c>
      <c r="M185" s="447">
        <v>1109.4100000000001</v>
      </c>
      <c r="N185" s="447">
        <v>601.91999999999996</v>
      </c>
      <c r="O185" s="447">
        <v>1468.64</v>
      </c>
      <c r="P185" s="447">
        <v>1387.59</v>
      </c>
      <c r="Q185" s="447">
        <v>1317.42</v>
      </c>
      <c r="R185" s="447">
        <v>900.95</v>
      </c>
      <c r="S185" s="447">
        <v>829.64</v>
      </c>
      <c r="T185" s="448">
        <v>875.36</v>
      </c>
      <c r="V185" s="447">
        <f t="shared" si="39"/>
        <v>1318.7886000000001</v>
      </c>
      <c r="W185" s="447">
        <f t="shared" si="27"/>
        <v>1288.923</v>
      </c>
      <c r="X185" s="447">
        <f t="shared" si="28"/>
        <v>1255.1915999999999</v>
      </c>
      <c r="Y185" s="447">
        <f t="shared" si="29"/>
        <v>1188.8712</v>
      </c>
      <c r="Z185" s="447">
        <f t="shared" si="30"/>
        <v>1161.9840000000002</v>
      </c>
      <c r="AA185" s="447">
        <f t="shared" si="31"/>
        <v>1131.5982000000001</v>
      </c>
      <c r="AB185" s="447">
        <f t="shared" si="32"/>
        <v>613.95839999999998</v>
      </c>
      <c r="AC185" s="447">
        <f t="shared" si="33"/>
        <v>1498.0128000000002</v>
      </c>
      <c r="AD185" s="447">
        <f t="shared" si="34"/>
        <v>1415.3417999999999</v>
      </c>
      <c r="AE185" s="447">
        <f t="shared" si="35"/>
        <v>1343.7684000000002</v>
      </c>
      <c r="AF185" s="447">
        <f t="shared" si="36"/>
        <v>918.96900000000005</v>
      </c>
      <c r="AG185" s="447">
        <f t="shared" si="37"/>
        <v>846.2328</v>
      </c>
      <c r="AH185" s="448">
        <f t="shared" si="38"/>
        <v>892.86720000000003</v>
      </c>
    </row>
    <row r="186" spans="1:34" ht="16.5" thickBot="1">
      <c r="A186" s="429">
        <v>2018</v>
      </c>
      <c r="B186" s="420" t="s">
        <v>303</v>
      </c>
      <c r="C186" s="421" t="s">
        <v>309</v>
      </c>
      <c r="D186" s="421" t="s">
        <v>310</v>
      </c>
      <c r="E186" s="431" t="s">
        <v>316</v>
      </c>
      <c r="F186" s="434" t="s">
        <v>315</v>
      </c>
      <c r="G186" s="424" t="s">
        <v>214</v>
      </c>
      <c r="H186" s="449">
        <v>2068.69</v>
      </c>
      <c r="I186" s="449">
        <v>2021.84</v>
      </c>
      <c r="J186" s="449">
        <v>1968.93</v>
      </c>
      <c r="K186" s="449">
        <v>1864.89</v>
      </c>
      <c r="L186" s="449">
        <v>1822.71</v>
      </c>
      <c r="M186" s="449">
        <v>1775.06</v>
      </c>
      <c r="N186" s="449">
        <v>963.06</v>
      </c>
      <c r="O186" s="449">
        <v>2349.8200000000002</v>
      </c>
      <c r="P186" s="449">
        <v>2220.14</v>
      </c>
      <c r="Q186" s="449">
        <v>2107.88</v>
      </c>
      <c r="R186" s="449">
        <v>1441.53</v>
      </c>
      <c r="S186" s="449">
        <v>1327.43</v>
      </c>
      <c r="T186" s="450">
        <v>1400.59</v>
      </c>
      <c r="V186" s="449">
        <f t="shared" si="39"/>
        <v>2110.0637999999999</v>
      </c>
      <c r="W186" s="449">
        <f t="shared" si="27"/>
        <v>2062.2768000000001</v>
      </c>
      <c r="X186" s="449">
        <f t="shared" si="28"/>
        <v>2008.3086000000001</v>
      </c>
      <c r="Y186" s="449">
        <f t="shared" si="29"/>
        <v>1902.1878000000002</v>
      </c>
      <c r="Z186" s="449">
        <f t="shared" si="30"/>
        <v>1859.1642000000002</v>
      </c>
      <c r="AA186" s="449">
        <f t="shared" si="31"/>
        <v>1810.5611999999999</v>
      </c>
      <c r="AB186" s="449">
        <f t="shared" si="32"/>
        <v>982.32119999999998</v>
      </c>
      <c r="AC186" s="449">
        <f t="shared" si="33"/>
        <v>2396.8164000000002</v>
      </c>
      <c r="AD186" s="449">
        <f t="shared" si="34"/>
        <v>2264.5427999999997</v>
      </c>
      <c r="AE186" s="449">
        <f t="shared" si="35"/>
        <v>2150.0376000000001</v>
      </c>
      <c r="AF186" s="449">
        <f t="shared" si="36"/>
        <v>1470.3606</v>
      </c>
      <c r="AG186" s="449">
        <f t="shared" si="37"/>
        <v>1353.9786000000001</v>
      </c>
      <c r="AH186" s="450">
        <f t="shared" si="38"/>
        <v>1428.6017999999999</v>
      </c>
    </row>
    <row r="187" spans="1:34">
      <c r="A187" s="427">
        <v>2018</v>
      </c>
      <c r="B187" s="413" t="s">
        <v>303</v>
      </c>
      <c r="C187" s="414" t="s">
        <v>311</v>
      </c>
      <c r="D187" s="414" t="s">
        <v>312</v>
      </c>
      <c r="E187" s="430" t="s">
        <v>316</v>
      </c>
      <c r="F187" s="432" t="s">
        <v>315</v>
      </c>
      <c r="G187" s="417" t="s">
        <v>211</v>
      </c>
      <c r="H187" s="445">
        <v>716.3</v>
      </c>
      <c r="I187" s="445">
        <v>700.09</v>
      </c>
      <c r="J187" s="445">
        <v>681.76</v>
      </c>
      <c r="K187" s="445">
        <v>645.74</v>
      </c>
      <c r="L187" s="445">
        <v>631.13</v>
      </c>
      <c r="M187" s="445">
        <v>614.63</v>
      </c>
      <c r="N187" s="445">
        <v>333.47</v>
      </c>
      <c r="O187" s="445">
        <v>813.65</v>
      </c>
      <c r="P187" s="445">
        <v>768.75</v>
      </c>
      <c r="Q187" s="445">
        <v>729.88</v>
      </c>
      <c r="R187" s="445">
        <v>499.14</v>
      </c>
      <c r="S187" s="445">
        <v>459.64</v>
      </c>
      <c r="T187" s="446">
        <v>484.97</v>
      </c>
      <c r="V187" s="445">
        <f t="shared" si="39"/>
        <v>730.62599999999998</v>
      </c>
      <c r="W187" s="445">
        <f t="shared" si="27"/>
        <v>714.09180000000003</v>
      </c>
      <c r="X187" s="445">
        <f t="shared" si="28"/>
        <v>695.39520000000005</v>
      </c>
      <c r="Y187" s="445">
        <f t="shared" si="29"/>
        <v>658.65480000000002</v>
      </c>
      <c r="Z187" s="445">
        <f t="shared" si="30"/>
        <v>643.75260000000003</v>
      </c>
      <c r="AA187" s="445">
        <f t="shared" si="31"/>
        <v>626.92259999999999</v>
      </c>
      <c r="AB187" s="445">
        <f t="shared" si="32"/>
        <v>340.13940000000002</v>
      </c>
      <c r="AC187" s="445">
        <f t="shared" si="33"/>
        <v>829.923</v>
      </c>
      <c r="AD187" s="445">
        <f t="shared" si="34"/>
        <v>784.125</v>
      </c>
      <c r="AE187" s="445">
        <f t="shared" si="35"/>
        <v>744.47760000000005</v>
      </c>
      <c r="AF187" s="445">
        <f t="shared" si="36"/>
        <v>509.12279999999998</v>
      </c>
      <c r="AG187" s="445">
        <f t="shared" si="37"/>
        <v>468.83280000000002</v>
      </c>
      <c r="AH187" s="446">
        <f t="shared" si="38"/>
        <v>494.66940000000005</v>
      </c>
    </row>
    <row r="188" spans="1:34">
      <c r="A188" s="428">
        <v>2018</v>
      </c>
      <c r="B188" s="145" t="s">
        <v>303</v>
      </c>
      <c r="C188" s="146" t="s">
        <v>311</v>
      </c>
      <c r="D188" s="146" t="s">
        <v>312</v>
      </c>
      <c r="E188" s="151" t="s">
        <v>316</v>
      </c>
      <c r="F188" s="433" t="s">
        <v>315</v>
      </c>
      <c r="G188" s="149" t="s">
        <v>212</v>
      </c>
      <c r="H188" s="447">
        <v>1568.71</v>
      </c>
      <c r="I188" s="447">
        <v>1533.18</v>
      </c>
      <c r="J188" s="447">
        <v>1493.06</v>
      </c>
      <c r="K188" s="447">
        <v>1414.17</v>
      </c>
      <c r="L188" s="447">
        <v>1382.18</v>
      </c>
      <c r="M188" s="447">
        <v>1346.05</v>
      </c>
      <c r="N188" s="447">
        <v>730.29</v>
      </c>
      <c r="O188" s="447">
        <v>1781.89</v>
      </c>
      <c r="P188" s="447">
        <v>1683.56</v>
      </c>
      <c r="Q188" s="447">
        <v>1598.42</v>
      </c>
      <c r="R188" s="447">
        <v>1093.1199999999999</v>
      </c>
      <c r="S188" s="447">
        <v>1006.61</v>
      </c>
      <c r="T188" s="448">
        <v>1062.08</v>
      </c>
      <c r="V188" s="447">
        <f t="shared" si="39"/>
        <v>1600.0842</v>
      </c>
      <c r="W188" s="447">
        <f t="shared" si="27"/>
        <v>1563.8436000000002</v>
      </c>
      <c r="X188" s="447">
        <f t="shared" si="28"/>
        <v>1522.9212</v>
      </c>
      <c r="Y188" s="447">
        <f t="shared" si="29"/>
        <v>1442.4534000000001</v>
      </c>
      <c r="Z188" s="447">
        <f t="shared" si="30"/>
        <v>1409.8236000000002</v>
      </c>
      <c r="AA188" s="447">
        <f t="shared" si="31"/>
        <v>1372.971</v>
      </c>
      <c r="AB188" s="447">
        <f t="shared" si="32"/>
        <v>744.89580000000001</v>
      </c>
      <c r="AC188" s="447">
        <f t="shared" si="33"/>
        <v>1817.5278000000001</v>
      </c>
      <c r="AD188" s="447">
        <f t="shared" si="34"/>
        <v>1717.2311999999999</v>
      </c>
      <c r="AE188" s="447">
        <f t="shared" si="35"/>
        <v>1630.3884</v>
      </c>
      <c r="AF188" s="447">
        <f t="shared" si="36"/>
        <v>1114.9823999999999</v>
      </c>
      <c r="AG188" s="447">
        <f t="shared" si="37"/>
        <v>1026.7422000000001</v>
      </c>
      <c r="AH188" s="448">
        <f t="shared" si="38"/>
        <v>1083.3216</v>
      </c>
    </row>
    <row r="189" spans="1:34">
      <c r="A189" s="428">
        <v>2018</v>
      </c>
      <c r="B189" s="145" t="s">
        <v>303</v>
      </c>
      <c r="C189" s="146" t="s">
        <v>311</v>
      </c>
      <c r="D189" s="146" t="s">
        <v>312</v>
      </c>
      <c r="E189" s="151" t="s">
        <v>316</v>
      </c>
      <c r="F189" s="433" t="s">
        <v>315</v>
      </c>
      <c r="G189" s="149" t="s">
        <v>213</v>
      </c>
      <c r="H189" s="447">
        <v>1360.97</v>
      </c>
      <c r="I189" s="447">
        <v>1330.16</v>
      </c>
      <c r="J189" s="447">
        <v>1295.3499999999999</v>
      </c>
      <c r="K189" s="447">
        <v>1226.9100000000001</v>
      </c>
      <c r="L189" s="447">
        <v>1199.1600000000001</v>
      </c>
      <c r="M189" s="447">
        <v>1167.8</v>
      </c>
      <c r="N189" s="447">
        <v>633.6</v>
      </c>
      <c r="O189" s="447">
        <v>1545.94</v>
      </c>
      <c r="P189" s="447">
        <v>1460.62</v>
      </c>
      <c r="Q189" s="447">
        <v>1386.76</v>
      </c>
      <c r="R189" s="447">
        <v>948.37</v>
      </c>
      <c r="S189" s="447">
        <v>873.31</v>
      </c>
      <c r="T189" s="448">
        <v>921.44</v>
      </c>
      <c r="V189" s="447">
        <f t="shared" si="39"/>
        <v>1388.1894</v>
      </c>
      <c r="W189" s="447">
        <f t="shared" si="27"/>
        <v>1356.7632000000001</v>
      </c>
      <c r="X189" s="447">
        <f t="shared" si="28"/>
        <v>1321.2569999999998</v>
      </c>
      <c r="Y189" s="447">
        <f t="shared" si="29"/>
        <v>1251.4482</v>
      </c>
      <c r="Z189" s="447">
        <f t="shared" si="30"/>
        <v>1223.1432000000002</v>
      </c>
      <c r="AA189" s="447">
        <f t="shared" si="31"/>
        <v>1191.1559999999999</v>
      </c>
      <c r="AB189" s="447">
        <f t="shared" si="32"/>
        <v>646.27200000000005</v>
      </c>
      <c r="AC189" s="447">
        <f t="shared" si="33"/>
        <v>1576.8588</v>
      </c>
      <c r="AD189" s="447">
        <f t="shared" si="34"/>
        <v>1489.8324</v>
      </c>
      <c r="AE189" s="447">
        <f t="shared" si="35"/>
        <v>1414.4952000000001</v>
      </c>
      <c r="AF189" s="447">
        <f t="shared" si="36"/>
        <v>967.3374</v>
      </c>
      <c r="AG189" s="447">
        <f t="shared" si="37"/>
        <v>890.7761999999999</v>
      </c>
      <c r="AH189" s="448">
        <f t="shared" si="38"/>
        <v>939.86880000000008</v>
      </c>
    </row>
    <row r="190" spans="1:34" ht="16.5" thickBot="1">
      <c r="A190" s="429">
        <v>2018</v>
      </c>
      <c r="B190" s="420" t="s">
        <v>303</v>
      </c>
      <c r="C190" s="421" t="s">
        <v>311</v>
      </c>
      <c r="D190" s="421" t="s">
        <v>312</v>
      </c>
      <c r="E190" s="431" t="s">
        <v>316</v>
      </c>
      <c r="F190" s="434" t="s">
        <v>315</v>
      </c>
      <c r="G190" s="424" t="s">
        <v>214</v>
      </c>
      <c r="H190" s="449">
        <v>2177.5700000000002</v>
      </c>
      <c r="I190" s="449">
        <v>2128.2600000000002</v>
      </c>
      <c r="J190" s="449">
        <v>2072.56</v>
      </c>
      <c r="K190" s="449">
        <v>1963.05</v>
      </c>
      <c r="L190" s="449">
        <v>1918.64</v>
      </c>
      <c r="M190" s="449">
        <v>1868.48</v>
      </c>
      <c r="N190" s="449">
        <v>1013.75</v>
      </c>
      <c r="O190" s="449">
        <v>2473.4899999999998</v>
      </c>
      <c r="P190" s="449">
        <v>2336.9899999999998</v>
      </c>
      <c r="Q190" s="449">
        <v>2218.8200000000002</v>
      </c>
      <c r="R190" s="449">
        <v>1517.4</v>
      </c>
      <c r="S190" s="449">
        <v>1397.3</v>
      </c>
      <c r="T190" s="450">
        <v>1474.3</v>
      </c>
      <c r="V190" s="449">
        <f t="shared" si="39"/>
        <v>2221.1214</v>
      </c>
      <c r="W190" s="449">
        <f t="shared" si="27"/>
        <v>2170.8252000000002</v>
      </c>
      <c r="X190" s="449">
        <f t="shared" si="28"/>
        <v>2114.0111999999999</v>
      </c>
      <c r="Y190" s="449">
        <f t="shared" si="29"/>
        <v>2002.3109999999999</v>
      </c>
      <c r="Z190" s="449">
        <f t="shared" si="30"/>
        <v>1957.0128000000002</v>
      </c>
      <c r="AA190" s="449">
        <f t="shared" si="31"/>
        <v>1905.8496</v>
      </c>
      <c r="AB190" s="449">
        <f t="shared" si="32"/>
        <v>1034.0250000000001</v>
      </c>
      <c r="AC190" s="449">
        <f t="shared" si="33"/>
        <v>2522.9597999999996</v>
      </c>
      <c r="AD190" s="449">
        <f t="shared" si="34"/>
        <v>2383.7297999999996</v>
      </c>
      <c r="AE190" s="449">
        <f t="shared" si="35"/>
        <v>2263.1964000000003</v>
      </c>
      <c r="AF190" s="449">
        <f t="shared" si="36"/>
        <v>1547.748</v>
      </c>
      <c r="AG190" s="449">
        <f t="shared" si="37"/>
        <v>1425.2459999999999</v>
      </c>
      <c r="AH190" s="450">
        <f t="shared" si="38"/>
        <v>1503.7860000000001</v>
      </c>
    </row>
    <row r="191" spans="1:34">
      <c r="A191" s="427">
        <v>2018</v>
      </c>
      <c r="B191" s="413" t="s">
        <v>303</v>
      </c>
      <c r="C191" s="414" t="s">
        <v>313</v>
      </c>
      <c r="D191" s="414" t="s">
        <v>314</v>
      </c>
      <c r="E191" s="430" t="s">
        <v>316</v>
      </c>
      <c r="F191" s="432" t="s">
        <v>315</v>
      </c>
      <c r="G191" s="417" t="s">
        <v>211</v>
      </c>
      <c r="H191" s="445">
        <v>823.75</v>
      </c>
      <c r="I191" s="445">
        <v>805.1</v>
      </c>
      <c r="J191" s="445">
        <v>784.03</v>
      </c>
      <c r="K191" s="445">
        <v>742.6</v>
      </c>
      <c r="L191" s="445">
        <v>725.8</v>
      </c>
      <c r="M191" s="445">
        <v>706.83</v>
      </c>
      <c r="N191" s="445">
        <v>383.49</v>
      </c>
      <c r="O191" s="445">
        <v>935.7</v>
      </c>
      <c r="P191" s="445">
        <v>884.06</v>
      </c>
      <c r="Q191" s="445">
        <v>839.36</v>
      </c>
      <c r="R191" s="445">
        <v>574.01</v>
      </c>
      <c r="S191" s="445">
        <v>528.58000000000004</v>
      </c>
      <c r="T191" s="446">
        <v>557.71</v>
      </c>
      <c r="V191" s="445">
        <f t="shared" si="39"/>
        <v>840.22500000000002</v>
      </c>
      <c r="W191" s="445">
        <f t="shared" si="27"/>
        <v>821.202</v>
      </c>
      <c r="X191" s="445">
        <f t="shared" si="28"/>
        <v>799.7106</v>
      </c>
      <c r="Y191" s="445">
        <f t="shared" si="29"/>
        <v>757.452</v>
      </c>
      <c r="Z191" s="445">
        <f t="shared" si="30"/>
        <v>740.31599999999992</v>
      </c>
      <c r="AA191" s="445">
        <f t="shared" si="31"/>
        <v>720.96660000000008</v>
      </c>
      <c r="AB191" s="445">
        <f t="shared" si="32"/>
        <v>391.15980000000002</v>
      </c>
      <c r="AC191" s="445">
        <f t="shared" si="33"/>
        <v>954.4140000000001</v>
      </c>
      <c r="AD191" s="445">
        <f t="shared" si="34"/>
        <v>901.74119999999994</v>
      </c>
      <c r="AE191" s="445">
        <f t="shared" si="35"/>
        <v>856.1472</v>
      </c>
      <c r="AF191" s="445">
        <f t="shared" si="36"/>
        <v>585.49019999999996</v>
      </c>
      <c r="AG191" s="445">
        <f t="shared" si="37"/>
        <v>539.15160000000003</v>
      </c>
      <c r="AH191" s="446">
        <f t="shared" si="38"/>
        <v>568.8642000000001</v>
      </c>
    </row>
    <row r="192" spans="1:34">
      <c r="A192" s="428">
        <v>2018</v>
      </c>
      <c r="B192" s="145" t="s">
        <v>303</v>
      </c>
      <c r="C192" s="146" t="s">
        <v>313</v>
      </c>
      <c r="D192" s="146" t="s">
        <v>314</v>
      </c>
      <c r="E192" s="151" t="s">
        <v>316</v>
      </c>
      <c r="F192" s="433" t="s">
        <v>315</v>
      </c>
      <c r="G192" s="149" t="s">
        <v>212</v>
      </c>
      <c r="H192" s="447">
        <v>1804.01</v>
      </c>
      <c r="I192" s="447">
        <v>1763.16</v>
      </c>
      <c r="J192" s="447">
        <v>1717.02</v>
      </c>
      <c r="K192" s="447">
        <v>1626.29</v>
      </c>
      <c r="L192" s="447">
        <v>1589.5</v>
      </c>
      <c r="M192" s="447">
        <v>1547.95</v>
      </c>
      <c r="N192" s="447">
        <v>839.84</v>
      </c>
      <c r="O192" s="447">
        <v>2049.17</v>
      </c>
      <c r="P192" s="447">
        <v>1936.1</v>
      </c>
      <c r="Q192" s="447">
        <v>1838.19</v>
      </c>
      <c r="R192" s="447">
        <v>1257.0899999999999</v>
      </c>
      <c r="S192" s="447">
        <v>1157.5999999999999</v>
      </c>
      <c r="T192" s="448">
        <v>1221.3900000000001</v>
      </c>
      <c r="V192" s="447">
        <f t="shared" si="39"/>
        <v>1840.0902000000001</v>
      </c>
      <c r="W192" s="447">
        <f t="shared" si="27"/>
        <v>1798.4232000000002</v>
      </c>
      <c r="X192" s="447">
        <f t="shared" si="28"/>
        <v>1751.3604</v>
      </c>
      <c r="Y192" s="447">
        <f t="shared" si="29"/>
        <v>1658.8158000000001</v>
      </c>
      <c r="Z192" s="447">
        <f t="shared" si="30"/>
        <v>1621.29</v>
      </c>
      <c r="AA192" s="447">
        <f t="shared" si="31"/>
        <v>1578.9090000000001</v>
      </c>
      <c r="AB192" s="447">
        <f t="shared" si="32"/>
        <v>856.63679999999999</v>
      </c>
      <c r="AC192" s="447">
        <f t="shared" si="33"/>
        <v>2090.1534000000001</v>
      </c>
      <c r="AD192" s="447">
        <f t="shared" si="34"/>
        <v>1974.8219999999999</v>
      </c>
      <c r="AE192" s="447">
        <f t="shared" si="35"/>
        <v>1874.9538</v>
      </c>
      <c r="AF192" s="447">
        <f t="shared" si="36"/>
        <v>1282.2318</v>
      </c>
      <c r="AG192" s="447">
        <f t="shared" si="37"/>
        <v>1180.752</v>
      </c>
      <c r="AH192" s="448">
        <f t="shared" si="38"/>
        <v>1245.8178</v>
      </c>
    </row>
    <row r="193" spans="1:34">
      <c r="A193" s="428">
        <v>2018</v>
      </c>
      <c r="B193" s="145" t="s">
        <v>303</v>
      </c>
      <c r="C193" s="146" t="s">
        <v>313</v>
      </c>
      <c r="D193" s="146" t="s">
        <v>314</v>
      </c>
      <c r="E193" s="151" t="s">
        <v>316</v>
      </c>
      <c r="F193" s="433" t="s">
        <v>315</v>
      </c>
      <c r="G193" s="149" t="s">
        <v>213</v>
      </c>
      <c r="H193" s="447">
        <v>1565.12</v>
      </c>
      <c r="I193" s="447">
        <v>1529.68</v>
      </c>
      <c r="J193" s="447">
        <v>1489.65</v>
      </c>
      <c r="K193" s="447">
        <v>1410.94</v>
      </c>
      <c r="L193" s="447">
        <v>1379.03</v>
      </c>
      <c r="M193" s="447">
        <v>1342.97</v>
      </c>
      <c r="N193" s="447">
        <v>728.64</v>
      </c>
      <c r="O193" s="447">
        <v>1777.83</v>
      </c>
      <c r="P193" s="447">
        <v>1679.72</v>
      </c>
      <c r="Q193" s="447">
        <v>1594.78</v>
      </c>
      <c r="R193" s="447">
        <v>1090.6199999999999</v>
      </c>
      <c r="S193" s="447">
        <v>1004.3</v>
      </c>
      <c r="T193" s="448">
        <v>1059.6500000000001</v>
      </c>
      <c r="V193" s="447">
        <f t="shared" si="39"/>
        <v>1596.4223999999999</v>
      </c>
      <c r="W193" s="447">
        <f t="shared" si="27"/>
        <v>1560.2736</v>
      </c>
      <c r="X193" s="447">
        <f t="shared" si="28"/>
        <v>1519.4430000000002</v>
      </c>
      <c r="Y193" s="447">
        <f t="shared" si="29"/>
        <v>1439.1588000000002</v>
      </c>
      <c r="Z193" s="447">
        <f t="shared" si="30"/>
        <v>1406.6106</v>
      </c>
      <c r="AA193" s="447">
        <f t="shared" si="31"/>
        <v>1369.8294000000001</v>
      </c>
      <c r="AB193" s="447">
        <f t="shared" si="32"/>
        <v>743.21280000000002</v>
      </c>
      <c r="AC193" s="447">
        <f t="shared" si="33"/>
        <v>1813.3866</v>
      </c>
      <c r="AD193" s="447">
        <f t="shared" si="34"/>
        <v>1713.3144</v>
      </c>
      <c r="AE193" s="447">
        <f t="shared" si="35"/>
        <v>1626.6756</v>
      </c>
      <c r="AF193" s="447">
        <f t="shared" si="36"/>
        <v>1112.4323999999999</v>
      </c>
      <c r="AG193" s="447">
        <f t="shared" si="37"/>
        <v>1024.386</v>
      </c>
      <c r="AH193" s="448">
        <f t="shared" si="38"/>
        <v>1080.8430000000001</v>
      </c>
    </row>
    <row r="194" spans="1:34" ht="16.5" thickBot="1">
      <c r="A194" s="429">
        <v>2018</v>
      </c>
      <c r="B194" s="420" t="s">
        <v>303</v>
      </c>
      <c r="C194" s="421" t="s">
        <v>313</v>
      </c>
      <c r="D194" s="421" t="s">
        <v>314</v>
      </c>
      <c r="E194" s="431" t="s">
        <v>316</v>
      </c>
      <c r="F194" s="434" t="s">
        <v>315</v>
      </c>
      <c r="G194" s="424" t="s">
        <v>214</v>
      </c>
      <c r="H194" s="449">
        <v>2504.1999999999998</v>
      </c>
      <c r="I194" s="449">
        <v>2447.5</v>
      </c>
      <c r="J194" s="449">
        <v>2383.44</v>
      </c>
      <c r="K194" s="449">
        <v>2257.5</v>
      </c>
      <c r="L194" s="449">
        <v>2206.44</v>
      </c>
      <c r="M194" s="449">
        <v>2148.75</v>
      </c>
      <c r="N194" s="449">
        <v>1165.81</v>
      </c>
      <c r="O194" s="449">
        <v>2844.52</v>
      </c>
      <c r="P194" s="449">
        <v>2687.54</v>
      </c>
      <c r="Q194" s="449">
        <v>2551.65</v>
      </c>
      <c r="R194" s="449">
        <v>1745.01</v>
      </c>
      <c r="S194" s="449">
        <v>1606.89</v>
      </c>
      <c r="T194" s="450">
        <v>1695.45</v>
      </c>
      <c r="V194" s="449">
        <f t="shared" si="39"/>
        <v>2554.2839999999997</v>
      </c>
      <c r="W194" s="449">
        <f t="shared" si="27"/>
        <v>2496.4499999999998</v>
      </c>
      <c r="X194" s="449">
        <f t="shared" si="28"/>
        <v>2431.1088</v>
      </c>
      <c r="Y194" s="449">
        <f t="shared" si="29"/>
        <v>2302.65</v>
      </c>
      <c r="Z194" s="449">
        <f t="shared" si="30"/>
        <v>2250.5688</v>
      </c>
      <c r="AA194" s="449">
        <f t="shared" si="31"/>
        <v>2191.7249999999999</v>
      </c>
      <c r="AB194" s="449">
        <f t="shared" si="32"/>
        <v>1189.1261999999999</v>
      </c>
      <c r="AC194" s="449">
        <f t="shared" si="33"/>
        <v>2901.4104000000002</v>
      </c>
      <c r="AD194" s="449">
        <f t="shared" si="34"/>
        <v>2741.2908000000002</v>
      </c>
      <c r="AE194" s="449">
        <f t="shared" si="35"/>
        <v>2602.683</v>
      </c>
      <c r="AF194" s="449">
        <f t="shared" si="36"/>
        <v>1779.9102</v>
      </c>
      <c r="AG194" s="449">
        <f t="shared" si="37"/>
        <v>1639.0278000000001</v>
      </c>
      <c r="AH194" s="450">
        <f t="shared" si="38"/>
        <v>1729.3590000000002</v>
      </c>
    </row>
    <row r="195" spans="1:34">
      <c r="A195" s="427">
        <v>2018</v>
      </c>
      <c r="B195" s="425" t="s">
        <v>317</v>
      </c>
      <c r="C195" s="414" t="s">
        <v>304</v>
      </c>
      <c r="D195" s="414" t="s">
        <v>305</v>
      </c>
      <c r="E195" s="415" t="s">
        <v>306</v>
      </c>
      <c r="F195" s="416" t="s">
        <v>307</v>
      </c>
      <c r="G195" s="417" t="s">
        <v>211</v>
      </c>
      <c r="H195" s="445">
        <v>516.33000000000004</v>
      </c>
      <c r="I195" s="445">
        <v>504.78</v>
      </c>
      <c r="J195" s="445">
        <v>491.76</v>
      </c>
      <c r="K195" s="445">
        <v>461.05</v>
      </c>
      <c r="L195" s="445">
        <v>450.76</v>
      </c>
      <c r="M195" s="445">
        <v>439.13</v>
      </c>
      <c r="N195" s="445">
        <v>259.01</v>
      </c>
      <c r="O195" s="445">
        <v>629.44000000000005</v>
      </c>
      <c r="P195" s="445">
        <v>594.72</v>
      </c>
      <c r="Q195" s="445">
        <v>564.66</v>
      </c>
      <c r="R195" s="445">
        <v>373.56</v>
      </c>
      <c r="S195" s="445">
        <v>344.01</v>
      </c>
      <c r="T195" s="446">
        <v>362.97</v>
      </c>
      <c r="V195" s="445">
        <f t="shared" si="39"/>
        <v>526.65660000000003</v>
      </c>
      <c r="W195" s="445">
        <f t="shared" si="27"/>
        <v>514.87559999999996</v>
      </c>
      <c r="X195" s="445">
        <f t="shared" si="28"/>
        <v>501.59519999999998</v>
      </c>
      <c r="Y195" s="445">
        <f t="shared" si="29"/>
        <v>470.27100000000002</v>
      </c>
      <c r="Z195" s="445">
        <f t="shared" si="30"/>
        <v>459.77519999999998</v>
      </c>
      <c r="AA195" s="445">
        <f t="shared" si="31"/>
        <v>447.9126</v>
      </c>
      <c r="AB195" s="445">
        <f t="shared" si="32"/>
        <v>264.1902</v>
      </c>
      <c r="AC195" s="445">
        <f t="shared" si="33"/>
        <v>642.02880000000005</v>
      </c>
      <c r="AD195" s="445">
        <f t="shared" si="34"/>
        <v>606.61440000000005</v>
      </c>
      <c r="AE195" s="445">
        <f t="shared" si="35"/>
        <v>575.95319999999992</v>
      </c>
      <c r="AF195" s="445">
        <f t="shared" si="36"/>
        <v>381.03120000000001</v>
      </c>
      <c r="AG195" s="445">
        <f t="shared" si="37"/>
        <v>350.89019999999999</v>
      </c>
      <c r="AH195" s="446">
        <f t="shared" si="38"/>
        <v>370.22940000000006</v>
      </c>
    </row>
    <row r="196" spans="1:34">
      <c r="A196" s="428">
        <v>2018</v>
      </c>
      <c r="B196" s="152" t="s">
        <v>317</v>
      </c>
      <c r="C196" s="146" t="s">
        <v>304</v>
      </c>
      <c r="D196" s="146" t="s">
        <v>305</v>
      </c>
      <c r="E196" s="147" t="s">
        <v>306</v>
      </c>
      <c r="F196" s="148" t="s">
        <v>307</v>
      </c>
      <c r="G196" s="149" t="s">
        <v>212</v>
      </c>
      <c r="H196" s="447">
        <v>1130.76</v>
      </c>
      <c r="I196" s="447">
        <v>1105.47</v>
      </c>
      <c r="J196" s="447">
        <v>1076.96</v>
      </c>
      <c r="K196" s="447">
        <v>1009.7</v>
      </c>
      <c r="L196" s="447">
        <v>987.17</v>
      </c>
      <c r="M196" s="447">
        <v>961.69</v>
      </c>
      <c r="N196" s="447">
        <v>567.22</v>
      </c>
      <c r="O196" s="447">
        <v>1378.48</v>
      </c>
      <c r="P196" s="447">
        <v>1302.44</v>
      </c>
      <c r="Q196" s="447">
        <v>1236.5899999999999</v>
      </c>
      <c r="R196" s="447">
        <v>818.1</v>
      </c>
      <c r="S196" s="447">
        <v>753.38</v>
      </c>
      <c r="T196" s="448">
        <v>794.9</v>
      </c>
      <c r="V196" s="447">
        <f t="shared" si="39"/>
        <v>1153.3751999999999</v>
      </c>
      <c r="W196" s="447">
        <f t="shared" si="27"/>
        <v>1127.5794000000001</v>
      </c>
      <c r="X196" s="447">
        <f t="shared" si="28"/>
        <v>1098.4992</v>
      </c>
      <c r="Y196" s="447">
        <f t="shared" si="29"/>
        <v>1029.894</v>
      </c>
      <c r="Z196" s="447">
        <f t="shared" si="30"/>
        <v>1006.9134</v>
      </c>
      <c r="AA196" s="447">
        <f t="shared" si="31"/>
        <v>980.92380000000003</v>
      </c>
      <c r="AB196" s="447">
        <f t="shared" si="32"/>
        <v>578.56440000000009</v>
      </c>
      <c r="AC196" s="447">
        <f t="shared" si="33"/>
        <v>1406.0496000000001</v>
      </c>
      <c r="AD196" s="447">
        <f t="shared" si="34"/>
        <v>1328.4888000000001</v>
      </c>
      <c r="AE196" s="447">
        <f t="shared" si="35"/>
        <v>1261.3217999999999</v>
      </c>
      <c r="AF196" s="447">
        <f t="shared" si="36"/>
        <v>834.46199999999999</v>
      </c>
      <c r="AG196" s="447">
        <f t="shared" si="37"/>
        <v>768.44759999999997</v>
      </c>
      <c r="AH196" s="448">
        <f t="shared" si="38"/>
        <v>810.798</v>
      </c>
    </row>
    <row r="197" spans="1:34">
      <c r="A197" s="428">
        <v>2018</v>
      </c>
      <c r="B197" s="152" t="s">
        <v>317</v>
      </c>
      <c r="C197" s="146" t="s">
        <v>304</v>
      </c>
      <c r="D197" s="146" t="s">
        <v>305</v>
      </c>
      <c r="E197" s="147" t="s">
        <v>306</v>
      </c>
      <c r="F197" s="148" t="s">
        <v>307</v>
      </c>
      <c r="G197" s="149" t="s">
        <v>213</v>
      </c>
      <c r="H197" s="447">
        <v>981.02</v>
      </c>
      <c r="I197" s="447">
        <v>959.09</v>
      </c>
      <c r="J197" s="447">
        <v>934.34</v>
      </c>
      <c r="K197" s="447">
        <v>875.99</v>
      </c>
      <c r="L197" s="447">
        <v>856.46</v>
      </c>
      <c r="M197" s="447">
        <v>834.34</v>
      </c>
      <c r="N197" s="447">
        <v>492.11</v>
      </c>
      <c r="O197" s="447">
        <v>1195.94</v>
      </c>
      <c r="P197" s="447">
        <v>1129.97</v>
      </c>
      <c r="Q197" s="447">
        <v>1072.8399999999999</v>
      </c>
      <c r="R197" s="447">
        <v>709.76</v>
      </c>
      <c r="S197" s="447">
        <v>653.62</v>
      </c>
      <c r="T197" s="448">
        <v>689.64</v>
      </c>
      <c r="V197" s="447">
        <f t="shared" si="39"/>
        <v>1000.6404</v>
      </c>
      <c r="W197" s="447">
        <f t="shared" si="27"/>
        <v>978.2718000000001</v>
      </c>
      <c r="X197" s="447">
        <f t="shared" si="28"/>
        <v>953.02680000000009</v>
      </c>
      <c r="Y197" s="447">
        <f t="shared" si="29"/>
        <v>893.50980000000004</v>
      </c>
      <c r="Z197" s="447">
        <f t="shared" si="30"/>
        <v>873.58920000000001</v>
      </c>
      <c r="AA197" s="447">
        <f t="shared" si="31"/>
        <v>851.02680000000009</v>
      </c>
      <c r="AB197" s="447">
        <f t="shared" si="32"/>
        <v>501.9522</v>
      </c>
      <c r="AC197" s="447">
        <f t="shared" si="33"/>
        <v>1219.8588</v>
      </c>
      <c r="AD197" s="447">
        <f t="shared" si="34"/>
        <v>1152.5694000000001</v>
      </c>
      <c r="AE197" s="447">
        <f t="shared" si="35"/>
        <v>1094.2967999999998</v>
      </c>
      <c r="AF197" s="447">
        <f t="shared" si="36"/>
        <v>723.95519999999999</v>
      </c>
      <c r="AG197" s="447">
        <f t="shared" si="37"/>
        <v>666.69240000000002</v>
      </c>
      <c r="AH197" s="448">
        <f t="shared" si="38"/>
        <v>703.43280000000004</v>
      </c>
    </row>
    <row r="198" spans="1:34" ht="16.5" thickBot="1">
      <c r="A198" s="429">
        <v>2018</v>
      </c>
      <c r="B198" s="426" t="s">
        <v>317</v>
      </c>
      <c r="C198" s="421" t="s">
        <v>304</v>
      </c>
      <c r="D198" s="421" t="s">
        <v>305</v>
      </c>
      <c r="E198" s="422" t="s">
        <v>306</v>
      </c>
      <c r="F198" s="423" t="s">
        <v>307</v>
      </c>
      <c r="G198" s="424" t="s">
        <v>214</v>
      </c>
      <c r="H198" s="449">
        <v>1569.64</v>
      </c>
      <c r="I198" s="449">
        <v>1534.54</v>
      </c>
      <c r="J198" s="449">
        <v>1494.95</v>
      </c>
      <c r="K198" s="449">
        <v>1401.59</v>
      </c>
      <c r="L198" s="449">
        <v>1370.33</v>
      </c>
      <c r="M198" s="449">
        <v>1334.95</v>
      </c>
      <c r="N198" s="449">
        <v>787.37</v>
      </c>
      <c r="O198" s="449">
        <v>1913.5</v>
      </c>
      <c r="P198" s="449">
        <v>1807.94</v>
      </c>
      <c r="Q198" s="449">
        <v>1716.55</v>
      </c>
      <c r="R198" s="449">
        <v>1135.6099999999999</v>
      </c>
      <c r="S198" s="449">
        <v>1045.79</v>
      </c>
      <c r="T198" s="450">
        <v>1103.42</v>
      </c>
      <c r="V198" s="449">
        <f t="shared" si="39"/>
        <v>1601.0328000000002</v>
      </c>
      <c r="W198" s="449">
        <f t="shared" si="27"/>
        <v>1565.2308</v>
      </c>
      <c r="X198" s="449">
        <f t="shared" si="28"/>
        <v>1524.8490000000002</v>
      </c>
      <c r="Y198" s="449">
        <f t="shared" si="29"/>
        <v>1429.6217999999999</v>
      </c>
      <c r="Z198" s="449">
        <f t="shared" si="30"/>
        <v>1397.7366</v>
      </c>
      <c r="AA198" s="449">
        <f t="shared" si="31"/>
        <v>1361.6490000000001</v>
      </c>
      <c r="AB198" s="449">
        <f t="shared" si="32"/>
        <v>803.11739999999998</v>
      </c>
      <c r="AC198" s="449">
        <f t="shared" si="33"/>
        <v>1951.77</v>
      </c>
      <c r="AD198" s="449">
        <f t="shared" si="34"/>
        <v>1844.0988</v>
      </c>
      <c r="AE198" s="449">
        <f t="shared" si="35"/>
        <v>1750.8810000000001</v>
      </c>
      <c r="AF198" s="449">
        <f t="shared" si="36"/>
        <v>1158.3221999999998</v>
      </c>
      <c r="AG198" s="449">
        <f t="shared" si="37"/>
        <v>1066.7058</v>
      </c>
      <c r="AH198" s="450">
        <f t="shared" si="38"/>
        <v>1125.4884000000002</v>
      </c>
    </row>
    <row r="199" spans="1:34">
      <c r="A199" s="427">
        <v>2018</v>
      </c>
      <c r="B199" s="425" t="s">
        <v>317</v>
      </c>
      <c r="C199" s="414" t="s">
        <v>309</v>
      </c>
      <c r="D199" s="414" t="s">
        <v>310</v>
      </c>
      <c r="E199" s="415" t="s">
        <v>306</v>
      </c>
      <c r="F199" s="416" t="s">
        <v>307</v>
      </c>
      <c r="G199" s="417" t="s">
        <v>211</v>
      </c>
      <c r="H199" s="445">
        <v>567.39</v>
      </c>
      <c r="I199" s="445">
        <v>554.71</v>
      </c>
      <c r="J199" s="445">
        <v>540.4</v>
      </c>
      <c r="K199" s="445">
        <v>506.65</v>
      </c>
      <c r="L199" s="445">
        <v>495.35</v>
      </c>
      <c r="M199" s="445">
        <v>482.56</v>
      </c>
      <c r="N199" s="445">
        <v>284.62</v>
      </c>
      <c r="O199" s="445">
        <v>691.69</v>
      </c>
      <c r="P199" s="445">
        <v>653.54</v>
      </c>
      <c r="Q199" s="445">
        <v>620.5</v>
      </c>
      <c r="R199" s="445">
        <v>410.5</v>
      </c>
      <c r="S199" s="445">
        <v>378.03</v>
      </c>
      <c r="T199" s="446">
        <v>398.87</v>
      </c>
      <c r="V199" s="445">
        <f t="shared" si="39"/>
        <v>578.73779999999999</v>
      </c>
      <c r="W199" s="445">
        <f t="shared" ref="W199:W258" si="40">I199*1.02</f>
        <v>565.80420000000004</v>
      </c>
      <c r="X199" s="445">
        <f t="shared" ref="X199:X258" si="41">J199*1.02</f>
        <v>551.20799999999997</v>
      </c>
      <c r="Y199" s="445">
        <f t="shared" ref="Y199:Y258" si="42">K199*1.02</f>
        <v>516.78300000000002</v>
      </c>
      <c r="Z199" s="445">
        <f t="shared" ref="Z199:Z258" si="43">L199*1.02</f>
        <v>505.25700000000001</v>
      </c>
      <c r="AA199" s="445">
        <f t="shared" ref="AA199:AA258" si="44">M199*1.02</f>
        <v>492.21120000000002</v>
      </c>
      <c r="AB199" s="445">
        <f t="shared" ref="AB199:AB258" si="45">N199*1.02</f>
        <v>290.31240000000003</v>
      </c>
      <c r="AC199" s="445">
        <f t="shared" ref="AC199:AC258" si="46">O199*1.02</f>
        <v>705.52380000000005</v>
      </c>
      <c r="AD199" s="445">
        <f t="shared" ref="AD199:AD258" si="47">P199*1.02</f>
        <v>666.61079999999993</v>
      </c>
      <c r="AE199" s="445">
        <f t="shared" ref="AE199:AE258" si="48">Q199*1.02</f>
        <v>632.91</v>
      </c>
      <c r="AF199" s="445">
        <f t="shared" ref="AF199:AF258" si="49">R199*1.02</f>
        <v>418.71</v>
      </c>
      <c r="AG199" s="445">
        <f t="shared" ref="AG199:AG258" si="50">S199*1.02</f>
        <v>385.59059999999999</v>
      </c>
      <c r="AH199" s="446">
        <f t="shared" ref="AH199:AH258" si="51">T199*1.02</f>
        <v>406.84739999999999</v>
      </c>
    </row>
    <row r="200" spans="1:34">
      <c r="A200" s="428">
        <v>2018</v>
      </c>
      <c r="B200" s="152" t="s">
        <v>317</v>
      </c>
      <c r="C200" s="146" t="s">
        <v>309</v>
      </c>
      <c r="D200" s="146" t="s">
        <v>310</v>
      </c>
      <c r="E200" s="147" t="s">
        <v>306</v>
      </c>
      <c r="F200" s="148" t="s">
        <v>307</v>
      </c>
      <c r="G200" s="149" t="s">
        <v>212</v>
      </c>
      <c r="H200" s="447">
        <v>1242.5899999999999</v>
      </c>
      <c r="I200" s="447">
        <v>1214.81</v>
      </c>
      <c r="J200" s="447">
        <v>1183.47</v>
      </c>
      <c r="K200" s="447">
        <v>1109.56</v>
      </c>
      <c r="L200" s="447">
        <v>1084.8</v>
      </c>
      <c r="M200" s="447">
        <v>1056.8</v>
      </c>
      <c r="N200" s="447">
        <v>623.32000000000005</v>
      </c>
      <c r="O200" s="447">
        <v>1514.81</v>
      </c>
      <c r="P200" s="447">
        <v>1431.25</v>
      </c>
      <c r="Q200" s="447">
        <v>1358.89</v>
      </c>
      <c r="R200" s="447">
        <v>899.01</v>
      </c>
      <c r="S200" s="447">
        <v>827.89</v>
      </c>
      <c r="T200" s="448">
        <v>873.51</v>
      </c>
      <c r="V200" s="447">
        <f t="shared" ref="V200:V258" si="52">H200*1.02</f>
        <v>1267.4417999999998</v>
      </c>
      <c r="W200" s="447">
        <f t="shared" si="40"/>
        <v>1239.1061999999999</v>
      </c>
      <c r="X200" s="447">
        <f t="shared" si="41"/>
        <v>1207.1394</v>
      </c>
      <c r="Y200" s="447">
        <f t="shared" si="42"/>
        <v>1131.7511999999999</v>
      </c>
      <c r="Z200" s="447">
        <f t="shared" si="43"/>
        <v>1106.4959999999999</v>
      </c>
      <c r="AA200" s="447">
        <f t="shared" si="44"/>
        <v>1077.9359999999999</v>
      </c>
      <c r="AB200" s="447">
        <f t="shared" si="45"/>
        <v>635.78640000000007</v>
      </c>
      <c r="AC200" s="447">
        <f t="shared" si="46"/>
        <v>1545.1061999999999</v>
      </c>
      <c r="AD200" s="447">
        <f t="shared" si="47"/>
        <v>1459.875</v>
      </c>
      <c r="AE200" s="447">
        <f t="shared" si="48"/>
        <v>1386.0678</v>
      </c>
      <c r="AF200" s="447">
        <f t="shared" si="49"/>
        <v>916.99019999999996</v>
      </c>
      <c r="AG200" s="447">
        <f t="shared" si="50"/>
        <v>844.44780000000003</v>
      </c>
      <c r="AH200" s="448">
        <f t="shared" si="51"/>
        <v>890.98019999999997</v>
      </c>
    </row>
    <row r="201" spans="1:34">
      <c r="A201" s="428">
        <v>2018</v>
      </c>
      <c r="B201" s="152" t="s">
        <v>317</v>
      </c>
      <c r="C201" s="146" t="s">
        <v>309</v>
      </c>
      <c r="D201" s="146" t="s">
        <v>310</v>
      </c>
      <c r="E201" s="147" t="s">
        <v>306</v>
      </c>
      <c r="F201" s="148" t="s">
        <v>307</v>
      </c>
      <c r="G201" s="149" t="s">
        <v>213</v>
      </c>
      <c r="H201" s="447">
        <v>1078.05</v>
      </c>
      <c r="I201" s="447">
        <v>1053.94</v>
      </c>
      <c r="J201" s="447">
        <v>1026.75</v>
      </c>
      <c r="K201" s="447">
        <v>962.63</v>
      </c>
      <c r="L201" s="447">
        <v>941.16</v>
      </c>
      <c r="M201" s="447">
        <v>916.85</v>
      </c>
      <c r="N201" s="447">
        <v>540.78</v>
      </c>
      <c r="O201" s="447">
        <v>1314.22</v>
      </c>
      <c r="P201" s="447">
        <v>1241.73</v>
      </c>
      <c r="Q201" s="447">
        <v>1178.95</v>
      </c>
      <c r="R201" s="447">
        <v>779.95</v>
      </c>
      <c r="S201" s="447">
        <v>718.26</v>
      </c>
      <c r="T201" s="448">
        <v>757.85</v>
      </c>
      <c r="V201" s="447">
        <f t="shared" si="52"/>
        <v>1099.6109999999999</v>
      </c>
      <c r="W201" s="447">
        <f t="shared" si="40"/>
        <v>1075.0188000000001</v>
      </c>
      <c r="X201" s="447">
        <f t="shared" si="41"/>
        <v>1047.2850000000001</v>
      </c>
      <c r="Y201" s="447">
        <f t="shared" si="42"/>
        <v>981.88260000000002</v>
      </c>
      <c r="Z201" s="447">
        <f t="shared" si="43"/>
        <v>959.98320000000001</v>
      </c>
      <c r="AA201" s="447">
        <f t="shared" si="44"/>
        <v>935.18700000000001</v>
      </c>
      <c r="AB201" s="447">
        <f t="shared" si="45"/>
        <v>551.59559999999999</v>
      </c>
      <c r="AC201" s="447">
        <f t="shared" si="46"/>
        <v>1340.5044</v>
      </c>
      <c r="AD201" s="447">
        <f t="shared" si="47"/>
        <v>1266.5645999999999</v>
      </c>
      <c r="AE201" s="447">
        <f t="shared" si="48"/>
        <v>1202.529</v>
      </c>
      <c r="AF201" s="447">
        <f t="shared" si="49"/>
        <v>795.54900000000009</v>
      </c>
      <c r="AG201" s="447">
        <f t="shared" si="50"/>
        <v>732.62519999999995</v>
      </c>
      <c r="AH201" s="448">
        <f t="shared" si="51"/>
        <v>773.00700000000006</v>
      </c>
    </row>
    <row r="202" spans="1:34" ht="16.5" thickBot="1">
      <c r="A202" s="429">
        <v>2018</v>
      </c>
      <c r="B202" s="426" t="s">
        <v>317</v>
      </c>
      <c r="C202" s="421" t="s">
        <v>309</v>
      </c>
      <c r="D202" s="421" t="s">
        <v>310</v>
      </c>
      <c r="E202" s="422" t="s">
        <v>306</v>
      </c>
      <c r="F202" s="423" t="s">
        <v>307</v>
      </c>
      <c r="G202" s="424" t="s">
        <v>214</v>
      </c>
      <c r="H202" s="449">
        <v>1724.87</v>
      </c>
      <c r="I202" s="449">
        <v>1686.31</v>
      </c>
      <c r="J202" s="449">
        <v>1642.8</v>
      </c>
      <c r="K202" s="449">
        <v>1540.21</v>
      </c>
      <c r="L202" s="449">
        <v>1505.85</v>
      </c>
      <c r="M202" s="449">
        <v>1466.98</v>
      </c>
      <c r="N202" s="449">
        <v>865.24</v>
      </c>
      <c r="O202" s="449">
        <v>2102.75</v>
      </c>
      <c r="P202" s="449">
        <v>1986.75</v>
      </c>
      <c r="Q202" s="449">
        <v>1886.32</v>
      </c>
      <c r="R202" s="449">
        <v>1247.93</v>
      </c>
      <c r="S202" s="449">
        <v>1149.21</v>
      </c>
      <c r="T202" s="450">
        <v>1212.55</v>
      </c>
      <c r="V202" s="449">
        <f t="shared" si="52"/>
        <v>1759.3673999999999</v>
      </c>
      <c r="W202" s="449">
        <f t="shared" si="40"/>
        <v>1720.0362</v>
      </c>
      <c r="X202" s="449">
        <f t="shared" si="41"/>
        <v>1675.6559999999999</v>
      </c>
      <c r="Y202" s="449">
        <f t="shared" si="42"/>
        <v>1571.0142000000001</v>
      </c>
      <c r="Z202" s="449">
        <f t="shared" si="43"/>
        <v>1535.9669999999999</v>
      </c>
      <c r="AA202" s="449">
        <f t="shared" si="44"/>
        <v>1496.3196</v>
      </c>
      <c r="AB202" s="449">
        <f t="shared" si="45"/>
        <v>882.54480000000001</v>
      </c>
      <c r="AC202" s="449">
        <f t="shared" si="46"/>
        <v>2144.8049999999998</v>
      </c>
      <c r="AD202" s="449">
        <f t="shared" si="47"/>
        <v>2026.4850000000001</v>
      </c>
      <c r="AE202" s="449">
        <f t="shared" si="48"/>
        <v>1924.0463999999999</v>
      </c>
      <c r="AF202" s="449">
        <f t="shared" si="49"/>
        <v>1272.8886</v>
      </c>
      <c r="AG202" s="449">
        <f t="shared" si="50"/>
        <v>1172.1942000000001</v>
      </c>
      <c r="AH202" s="450">
        <f t="shared" si="51"/>
        <v>1236.8009999999999</v>
      </c>
    </row>
    <row r="203" spans="1:34">
      <c r="A203" s="427">
        <v>2018</v>
      </c>
      <c r="B203" s="425" t="s">
        <v>317</v>
      </c>
      <c r="C203" s="414" t="s">
        <v>311</v>
      </c>
      <c r="D203" s="414" t="s">
        <v>312</v>
      </c>
      <c r="E203" s="415" t="s">
        <v>306</v>
      </c>
      <c r="F203" s="416" t="s">
        <v>307</v>
      </c>
      <c r="G203" s="417" t="s">
        <v>211</v>
      </c>
      <c r="H203" s="445">
        <v>597.25</v>
      </c>
      <c r="I203" s="445">
        <v>583.9</v>
      </c>
      <c r="J203" s="445">
        <v>568.84</v>
      </c>
      <c r="K203" s="445">
        <v>533.30999999999995</v>
      </c>
      <c r="L203" s="445">
        <v>521.41999999999996</v>
      </c>
      <c r="M203" s="445">
        <v>507.95</v>
      </c>
      <c r="N203" s="445">
        <v>299.60000000000002</v>
      </c>
      <c r="O203" s="445">
        <v>728.1</v>
      </c>
      <c r="P203" s="445">
        <v>687.93</v>
      </c>
      <c r="Q203" s="445">
        <v>653.16</v>
      </c>
      <c r="R203" s="445">
        <v>432.11</v>
      </c>
      <c r="S203" s="445">
        <v>397.93</v>
      </c>
      <c r="T203" s="446">
        <v>419.86</v>
      </c>
      <c r="V203" s="445">
        <f t="shared" si="52"/>
        <v>609.19500000000005</v>
      </c>
      <c r="W203" s="445">
        <f t="shared" si="40"/>
        <v>595.57799999999997</v>
      </c>
      <c r="X203" s="445">
        <f t="shared" si="41"/>
        <v>580.21680000000003</v>
      </c>
      <c r="Y203" s="445">
        <f t="shared" si="42"/>
        <v>543.97619999999995</v>
      </c>
      <c r="Z203" s="445">
        <f t="shared" si="43"/>
        <v>531.84839999999997</v>
      </c>
      <c r="AA203" s="445">
        <f t="shared" si="44"/>
        <v>518.10900000000004</v>
      </c>
      <c r="AB203" s="445">
        <f t="shared" si="45"/>
        <v>305.59200000000004</v>
      </c>
      <c r="AC203" s="445">
        <f t="shared" si="46"/>
        <v>742.66200000000003</v>
      </c>
      <c r="AD203" s="445">
        <f t="shared" si="47"/>
        <v>701.68859999999995</v>
      </c>
      <c r="AE203" s="445">
        <f t="shared" si="48"/>
        <v>666.22320000000002</v>
      </c>
      <c r="AF203" s="445">
        <f t="shared" si="49"/>
        <v>440.75220000000002</v>
      </c>
      <c r="AG203" s="445">
        <f t="shared" si="50"/>
        <v>405.8886</v>
      </c>
      <c r="AH203" s="446">
        <f t="shared" si="51"/>
        <v>428.25720000000001</v>
      </c>
    </row>
    <row r="204" spans="1:34">
      <c r="A204" s="428">
        <v>2018</v>
      </c>
      <c r="B204" s="152" t="s">
        <v>317</v>
      </c>
      <c r="C204" s="146" t="s">
        <v>311</v>
      </c>
      <c r="D204" s="146" t="s">
        <v>312</v>
      </c>
      <c r="E204" s="147" t="s">
        <v>306</v>
      </c>
      <c r="F204" s="148" t="s">
        <v>307</v>
      </c>
      <c r="G204" s="149" t="s">
        <v>212</v>
      </c>
      <c r="H204" s="447">
        <v>1307.99</v>
      </c>
      <c r="I204" s="447">
        <v>1278.74</v>
      </c>
      <c r="J204" s="447">
        <v>1245.76</v>
      </c>
      <c r="K204" s="447">
        <v>1167.96</v>
      </c>
      <c r="L204" s="447">
        <v>1141.9000000000001</v>
      </c>
      <c r="M204" s="447">
        <v>1112.42</v>
      </c>
      <c r="N204" s="447">
        <v>656.13</v>
      </c>
      <c r="O204" s="447">
        <v>1594.54</v>
      </c>
      <c r="P204" s="447">
        <v>1506.58</v>
      </c>
      <c r="Q204" s="447">
        <v>1430.41</v>
      </c>
      <c r="R204" s="447">
        <v>946.32</v>
      </c>
      <c r="S204" s="447">
        <v>871.46</v>
      </c>
      <c r="T204" s="448">
        <v>919.49</v>
      </c>
      <c r="V204" s="447">
        <f t="shared" si="52"/>
        <v>1334.1498000000001</v>
      </c>
      <c r="W204" s="447">
        <f t="shared" si="40"/>
        <v>1304.3148000000001</v>
      </c>
      <c r="X204" s="447">
        <f t="shared" si="41"/>
        <v>1270.6751999999999</v>
      </c>
      <c r="Y204" s="447">
        <f t="shared" si="42"/>
        <v>1191.3192000000001</v>
      </c>
      <c r="Z204" s="447">
        <f t="shared" si="43"/>
        <v>1164.7380000000001</v>
      </c>
      <c r="AA204" s="447">
        <f t="shared" si="44"/>
        <v>1134.6684</v>
      </c>
      <c r="AB204" s="447">
        <f t="shared" si="45"/>
        <v>669.25260000000003</v>
      </c>
      <c r="AC204" s="447">
        <f t="shared" si="46"/>
        <v>1626.4308000000001</v>
      </c>
      <c r="AD204" s="447">
        <f t="shared" si="47"/>
        <v>1536.7115999999999</v>
      </c>
      <c r="AE204" s="447">
        <f t="shared" si="48"/>
        <v>1459.0182000000002</v>
      </c>
      <c r="AF204" s="447">
        <f t="shared" si="49"/>
        <v>965.24640000000011</v>
      </c>
      <c r="AG204" s="447">
        <f t="shared" si="50"/>
        <v>888.88920000000007</v>
      </c>
      <c r="AH204" s="448">
        <f t="shared" si="51"/>
        <v>937.87980000000005</v>
      </c>
    </row>
    <row r="205" spans="1:34">
      <c r="A205" s="428">
        <v>2018</v>
      </c>
      <c r="B205" s="152" t="s">
        <v>317</v>
      </c>
      <c r="C205" s="146" t="s">
        <v>311</v>
      </c>
      <c r="D205" s="146" t="s">
        <v>312</v>
      </c>
      <c r="E205" s="147" t="s">
        <v>306</v>
      </c>
      <c r="F205" s="148" t="s">
        <v>307</v>
      </c>
      <c r="G205" s="149" t="s">
        <v>213</v>
      </c>
      <c r="H205" s="447">
        <v>1134.79</v>
      </c>
      <c r="I205" s="447">
        <v>1109.4100000000001</v>
      </c>
      <c r="J205" s="447">
        <v>1080.79</v>
      </c>
      <c r="K205" s="447">
        <v>1013.29</v>
      </c>
      <c r="L205" s="447">
        <v>990.7</v>
      </c>
      <c r="M205" s="447">
        <v>965.11</v>
      </c>
      <c r="N205" s="447">
        <v>569.24</v>
      </c>
      <c r="O205" s="447">
        <v>1383.39</v>
      </c>
      <c r="P205" s="447">
        <v>1307.08</v>
      </c>
      <c r="Q205" s="447">
        <v>1241</v>
      </c>
      <c r="R205" s="447">
        <v>821</v>
      </c>
      <c r="S205" s="447">
        <v>756.07</v>
      </c>
      <c r="T205" s="448">
        <v>797.73</v>
      </c>
      <c r="V205" s="447">
        <f t="shared" si="52"/>
        <v>1157.4857999999999</v>
      </c>
      <c r="W205" s="447">
        <f t="shared" si="40"/>
        <v>1131.5982000000001</v>
      </c>
      <c r="X205" s="447">
        <f t="shared" si="41"/>
        <v>1102.4058</v>
      </c>
      <c r="Y205" s="447">
        <f t="shared" si="42"/>
        <v>1033.5558000000001</v>
      </c>
      <c r="Z205" s="447">
        <f t="shared" si="43"/>
        <v>1010.514</v>
      </c>
      <c r="AA205" s="447">
        <f t="shared" si="44"/>
        <v>984.41219999999998</v>
      </c>
      <c r="AB205" s="447">
        <f t="shared" si="45"/>
        <v>580.62480000000005</v>
      </c>
      <c r="AC205" s="447">
        <f t="shared" si="46"/>
        <v>1411.0578</v>
      </c>
      <c r="AD205" s="447">
        <f t="shared" si="47"/>
        <v>1333.2215999999999</v>
      </c>
      <c r="AE205" s="447">
        <f t="shared" si="48"/>
        <v>1265.82</v>
      </c>
      <c r="AF205" s="447">
        <f t="shared" si="49"/>
        <v>837.42</v>
      </c>
      <c r="AG205" s="447">
        <f t="shared" si="50"/>
        <v>771.19140000000004</v>
      </c>
      <c r="AH205" s="448">
        <f t="shared" si="51"/>
        <v>813.68460000000005</v>
      </c>
    </row>
    <row r="206" spans="1:34" ht="16.5" thickBot="1">
      <c r="A206" s="429">
        <v>2018</v>
      </c>
      <c r="B206" s="426" t="s">
        <v>317</v>
      </c>
      <c r="C206" s="421" t="s">
        <v>311</v>
      </c>
      <c r="D206" s="421" t="s">
        <v>312</v>
      </c>
      <c r="E206" s="422" t="s">
        <v>306</v>
      </c>
      <c r="F206" s="423" t="s">
        <v>307</v>
      </c>
      <c r="G206" s="424" t="s">
        <v>214</v>
      </c>
      <c r="H206" s="449">
        <v>1815.66</v>
      </c>
      <c r="I206" s="449">
        <v>1775.07</v>
      </c>
      <c r="J206" s="449">
        <v>1729.26</v>
      </c>
      <c r="K206" s="449">
        <v>1621.27</v>
      </c>
      <c r="L206" s="449">
        <v>1585.11</v>
      </c>
      <c r="M206" s="449">
        <v>1544.19</v>
      </c>
      <c r="N206" s="449">
        <v>910.78</v>
      </c>
      <c r="O206" s="449">
        <v>2213.42</v>
      </c>
      <c r="P206" s="449">
        <v>2091.3200000000002</v>
      </c>
      <c r="Q206" s="449">
        <v>1985.6</v>
      </c>
      <c r="R206" s="449">
        <v>1313.61</v>
      </c>
      <c r="S206" s="449">
        <v>1209.7</v>
      </c>
      <c r="T206" s="450">
        <v>1276.3699999999999</v>
      </c>
      <c r="V206" s="449">
        <f t="shared" si="52"/>
        <v>1851.9732000000001</v>
      </c>
      <c r="W206" s="449">
        <f t="shared" si="40"/>
        <v>1810.5714</v>
      </c>
      <c r="X206" s="449">
        <f t="shared" si="41"/>
        <v>1763.8452</v>
      </c>
      <c r="Y206" s="449">
        <f t="shared" si="42"/>
        <v>1653.6954000000001</v>
      </c>
      <c r="Z206" s="449">
        <f t="shared" si="43"/>
        <v>1616.8121999999998</v>
      </c>
      <c r="AA206" s="449">
        <f t="shared" si="44"/>
        <v>1575.0738000000001</v>
      </c>
      <c r="AB206" s="449">
        <f t="shared" si="45"/>
        <v>928.99559999999997</v>
      </c>
      <c r="AC206" s="449">
        <f t="shared" si="46"/>
        <v>2257.6884</v>
      </c>
      <c r="AD206" s="449">
        <f t="shared" si="47"/>
        <v>2133.1464000000001</v>
      </c>
      <c r="AE206" s="449">
        <f t="shared" si="48"/>
        <v>2025.3119999999999</v>
      </c>
      <c r="AF206" s="449">
        <f t="shared" si="49"/>
        <v>1339.8822</v>
      </c>
      <c r="AG206" s="449">
        <f t="shared" si="50"/>
        <v>1233.894</v>
      </c>
      <c r="AH206" s="450">
        <f t="shared" si="51"/>
        <v>1301.8973999999998</v>
      </c>
    </row>
    <row r="207" spans="1:34">
      <c r="A207" s="427">
        <v>2018</v>
      </c>
      <c r="B207" s="425" t="s">
        <v>317</v>
      </c>
      <c r="C207" s="414" t="s">
        <v>313</v>
      </c>
      <c r="D207" s="414" t="s">
        <v>314</v>
      </c>
      <c r="E207" s="415" t="s">
        <v>306</v>
      </c>
      <c r="F207" s="416" t="s">
        <v>307</v>
      </c>
      <c r="G207" s="417" t="s">
        <v>211</v>
      </c>
      <c r="H207" s="445">
        <v>686.84</v>
      </c>
      <c r="I207" s="445">
        <v>671.49</v>
      </c>
      <c r="J207" s="445">
        <v>654.16</v>
      </c>
      <c r="K207" s="445">
        <v>613.30999999999995</v>
      </c>
      <c r="L207" s="445">
        <v>599.63</v>
      </c>
      <c r="M207" s="445">
        <v>584.15</v>
      </c>
      <c r="N207" s="445">
        <v>344.54</v>
      </c>
      <c r="O207" s="445">
        <v>837.31</v>
      </c>
      <c r="P207" s="445">
        <v>791.12</v>
      </c>
      <c r="Q207" s="445">
        <v>751.13</v>
      </c>
      <c r="R207" s="445">
        <v>496.93</v>
      </c>
      <c r="S207" s="445">
        <v>457.62</v>
      </c>
      <c r="T207" s="446">
        <v>482.84</v>
      </c>
      <c r="V207" s="445">
        <f t="shared" si="52"/>
        <v>700.57680000000005</v>
      </c>
      <c r="W207" s="445">
        <f t="shared" si="40"/>
        <v>684.91980000000001</v>
      </c>
      <c r="X207" s="445">
        <f t="shared" si="41"/>
        <v>667.2432</v>
      </c>
      <c r="Y207" s="445">
        <f t="shared" si="42"/>
        <v>625.57619999999997</v>
      </c>
      <c r="Z207" s="445">
        <f t="shared" si="43"/>
        <v>611.62260000000003</v>
      </c>
      <c r="AA207" s="445">
        <f t="shared" si="44"/>
        <v>595.83299999999997</v>
      </c>
      <c r="AB207" s="445">
        <f t="shared" si="45"/>
        <v>351.43080000000003</v>
      </c>
      <c r="AC207" s="445">
        <f t="shared" si="46"/>
        <v>854.05619999999999</v>
      </c>
      <c r="AD207" s="445">
        <f t="shared" si="47"/>
        <v>806.94240000000002</v>
      </c>
      <c r="AE207" s="445">
        <f t="shared" si="48"/>
        <v>766.15260000000001</v>
      </c>
      <c r="AF207" s="445">
        <f t="shared" si="49"/>
        <v>506.86860000000001</v>
      </c>
      <c r="AG207" s="445">
        <f t="shared" si="50"/>
        <v>466.7724</v>
      </c>
      <c r="AH207" s="446">
        <f t="shared" si="51"/>
        <v>492.49680000000001</v>
      </c>
    </row>
    <row r="208" spans="1:34">
      <c r="A208" s="428">
        <v>2018</v>
      </c>
      <c r="B208" s="152" t="s">
        <v>317</v>
      </c>
      <c r="C208" s="146" t="s">
        <v>313</v>
      </c>
      <c r="D208" s="146" t="s">
        <v>314</v>
      </c>
      <c r="E208" s="147" t="s">
        <v>306</v>
      </c>
      <c r="F208" s="148" t="s">
        <v>307</v>
      </c>
      <c r="G208" s="149" t="s">
        <v>212</v>
      </c>
      <c r="H208" s="447">
        <v>1504.19</v>
      </c>
      <c r="I208" s="447">
        <v>1470.56</v>
      </c>
      <c r="J208" s="447">
        <v>1432.63</v>
      </c>
      <c r="K208" s="447">
        <v>1343.15</v>
      </c>
      <c r="L208" s="447">
        <v>1313.18</v>
      </c>
      <c r="M208" s="447">
        <v>1279.28</v>
      </c>
      <c r="N208" s="447">
        <v>754.55</v>
      </c>
      <c r="O208" s="447">
        <v>1833.72</v>
      </c>
      <c r="P208" s="447">
        <v>1732.56</v>
      </c>
      <c r="Q208" s="447">
        <v>1644.97</v>
      </c>
      <c r="R208" s="447">
        <v>1088.27</v>
      </c>
      <c r="S208" s="447">
        <v>1002.18</v>
      </c>
      <c r="T208" s="448">
        <v>1057.4100000000001</v>
      </c>
      <c r="V208" s="447">
        <f t="shared" si="52"/>
        <v>1534.2738000000002</v>
      </c>
      <c r="W208" s="447">
        <f t="shared" si="40"/>
        <v>1499.9712</v>
      </c>
      <c r="X208" s="447">
        <f t="shared" si="41"/>
        <v>1461.2826000000002</v>
      </c>
      <c r="Y208" s="447">
        <f t="shared" si="42"/>
        <v>1370.0130000000001</v>
      </c>
      <c r="Z208" s="447">
        <f t="shared" si="43"/>
        <v>1339.4436000000001</v>
      </c>
      <c r="AA208" s="447">
        <f t="shared" si="44"/>
        <v>1304.8656000000001</v>
      </c>
      <c r="AB208" s="447">
        <f t="shared" si="45"/>
        <v>769.64099999999996</v>
      </c>
      <c r="AC208" s="447">
        <f t="shared" si="46"/>
        <v>1870.3944000000001</v>
      </c>
      <c r="AD208" s="447">
        <f t="shared" si="47"/>
        <v>1767.2112</v>
      </c>
      <c r="AE208" s="447">
        <f t="shared" si="48"/>
        <v>1677.8694</v>
      </c>
      <c r="AF208" s="447">
        <f t="shared" si="49"/>
        <v>1110.0354</v>
      </c>
      <c r="AG208" s="447">
        <f t="shared" si="50"/>
        <v>1022.2235999999999</v>
      </c>
      <c r="AH208" s="448">
        <f t="shared" si="51"/>
        <v>1078.5582000000002</v>
      </c>
    </row>
    <row r="209" spans="1:34">
      <c r="A209" s="428">
        <v>2018</v>
      </c>
      <c r="B209" s="152" t="s">
        <v>317</v>
      </c>
      <c r="C209" s="146" t="s">
        <v>313</v>
      </c>
      <c r="D209" s="146" t="s">
        <v>314</v>
      </c>
      <c r="E209" s="147" t="s">
        <v>306</v>
      </c>
      <c r="F209" s="148" t="s">
        <v>307</v>
      </c>
      <c r="G209" s="149" t="s">
        <v>213</v>
      </c>
      <c r="H209" s="447">
        <v>1305.01</v>
      </c>
      <c r="I209" s="447">
        <v>1275.82</v>
      </c>
      <c r="J209" s="447">
        <v>1242.9100000000001</v>
      </c>
      <c r="K209" s="447">
        <v>1165.29</v>
      </c>
      <c r="L209" s="447">
        <v>1139.3</v>
      </c>
      <c r="M209" s="447">
        <v>1109.8800000000001</v>
      </c>
      <c r="N209" s="447">
        <v>654.63</v>
      </c>
      <c r="O209" s="447">
        <v>1590.9</v>
      </c>
      <c r="P209" s="447">
        <v>1503.14</v>
      </c>
      <c r="Q209" s="447">
        <v>1427.15</v>
      </c>
      <c r="R209" s="447">
        <v>944.16</v>
      </c>
      <c r="S209" s="447">
        <v>869.48</v>
      </c>
      <c r="T209" s="448">
        <v>917.4</v>
      </c>
      <c r="V209" s="447">
        <f t="shared" si="52"/>
        <v>1331.1102000000001</v>
      </c>
      <c r="W209" s="447">
        <f t="shared" si="40"/>
        <v>1301.3363999999999</v>
      </c>
      <c r="X209" s="447">
        <f t="shared" si="41"/>
        <v>1267.7682000000002</v>
      </c>
      <c r="Y209" s="447">
        <f t="shared" si="42"/>
        <v>1188.5958000000001</v>
      </c>
      <c r="Z209" s="447">
        <f t="shared" si="43"/>
        <v>1162.086</v>
      </c>
      <c r="AA209" s="447">
        <f t="shared" si="44"/>
        <v>1132.0776000000001</v>
      </c>
      <c r="AB209" s="447">
        <f t="shared" si="45"/>
        <v>667.72260000000006</v>
      </c>
      <c r="AC209" s="447">
        <f t="shared" si="46"/>
        <v>1622.7180000000001</v>
      </c>
      <c r="AD209" s="447">
        <f t="shared" si="47"/>
        <v>1533.2028</v>
      </c>
      <c r="AE209" s="447">
        <f t="shared" si="48"/>
        <v>1455.6930000000002</v>
      </c>
      <c r="AF209" s="447">
        <f t="shared" si="49"/>
        <v>963.04319999999996</v>
      </c>
      <c r="AG209" s="447">
        <f t="shared" si="50"/>
        <v>886.86959999999999</v>
      </c>
      <c r="AH209" s="448">
        <f t="shared" si="51"/>
        <v>935.74800000000005</v>
      </c>
    </row>
    <row r="210" spans="1:34" ht="16.5" thickBot="1">
      <c r="A210" s="429">
        <v>2018</v>
      </c>
      <c r="B210" s="426" t="s">
        <v>317</v>
      </c>
      <c r="C210" s="421" t="s">
        <v>313</v>
      </c>
      <c r="D210" s="421" t="s">
        <v>314</v>
      </c>
      <c r="E210" s="422" t="s">
        <v>306</v>
      </c>
      <c r="F210" s="423" t="s">
        <v>307</v>
      </c>
      <c r="G210" s="424" t="s">
        <v>214</v>
      </c>
      <c r="H210" s="449">
        <v>2088.0100000000002</v>
      </c>
      <c r="I210" s="449">
        <v>2041.32</v>
      </c>
      <c r="J210" s="449">
        <v>1988.65</v>
      </c>
      <c r="K210" s="449">
        <v>1864.46</v>
      </c>
      <c r="L210" s="449">
        <v>1822.87</v>
      </c>
      <c r="M210" s="449">
        <v>1775.81</v>
      </c>
      <c r="N210" s="449">
        <v>1047.4000000000001</v>
      </c>
      <c r="O210" s="449">
        <v>2545.44</v>
      </c>
      <c r="P210" s="449">
        <v>2405.02</v>
      </c>
      <c r="Q210" s="449">
        <v>2283.44</v>
      </c>
      <c r="R210" s="449">
        <v>1510.65</v>
      </c>
      <c r="S210" s="449">
        <v>1391.15</v>
      </c>
      <c r="T210" s="450">
        <v>1467.82</v>
      </c>
      <c r="V210" s="449">
        <f t="shared" si="52"/>
        <v>2129.7702000000004</v>
      </c>
      <c r="W210" s="449">
        <f t="shared" si="40"/>
        <v>2082.1464000000001</v>
      </c>
      <c r="X210" s="449">
        <f t="shared" si="41"/>
        <v>2028.4230000000002</v>
      </c>
      <c r="Y210" s="449">
        <f t="shared" si="42"/>
        <v>1901.7492</v>
      </c>
      <c r="Z210" s="449">
        <f t="shared" si="43"/>
        <v>1859.3273999999999</v>
      </c>
      <c r="AA210" s="449">
        <f t="shared" si="44"/>
        <v>1811.3262</v>
      </c>
      <c r="AB210" s="449">
        <f t="shared" si="45"/>
        <v>1068.3480000000002</v>
      </c>
      <c r="AC210" s="449">
        <f t="shared" si="46"/>
        <v>2596.3488000000002</v>
      </c>
      <c r="AD210" s="449">
        <f t="shared" si="47"/>
        <v>2453.1204000000002</v>
      </c>
      <c r="AE210" s="449">
        <f t="shared" si="48"/>
        <v>2329.1088</v>
      </c>
      <c r="AF210" s="449">
        <f t="shared" si="49"/>
        <v>1540.8630000000001</v>
      </c>
      <c r="AG210" s="449">
        <f t="shared" si="50"/>
        <v>1418.9730000000002</v>
      </c>
      <c r="AH210" s="450">
        <f t="shared" si="51"/>
        <v>1497.1764000000001</v>
      </c>
    </row>
    <row r="211" spans="1:34">
      <c r="A211" s="427">
        <v>2018</v>
      </c>
      <c r="B211" s="425" t="s">
        <v>317</v>
      </c>
      <c r="C211" s="414" t="s">
        <v>304</v>
      </c>
      <c r="D211" s="414" t="s">
        <v>305</v>
      </c>
      <c r="E211" s="415" t="s">
        <v>306</v>
      </c>
      <c r="F211" s="432" t="s">
        <v>315</v>
      </c>
      <c r="G211" s="417" t="s">
        <v>211</v>
      </c>
      <c r="H211" s="445">
        <v>516.33000000000004</v>
      </c>
      <c r="I211" s="445">
        <v>504.78</v>
      </c>
      <c r="J211" s="445">
        <v>491.76</v>
      </c>
      <c r="K211" s="445">
        <v>461.05</v>
      </c>
      <c r="L211" s="445">
        <v>450.76</v>
      </c>
      <c r="M211" s="445">
        <v>439.13</v>
      </c>
      <c r="N211" s="445">
        <v>259.01</v>
      </c>
      <c r="O211" s="445">
        <v>651.47</v>
      </c>
      <c r="P211" s="445">
        <v>615.53</v>
      </c>
      <c r="Q211" s="445">
        <v>584.41999999999996</v>
      </c>
      <c r="R211" s="445">
        <v>386.63</v>
      </c>
      <c r="S211" s="445">
        <v>356.05</v>
      </c>
      <c r="T211" s="446">
        <v>375.67</v>
      </c>
      <c r="V211" s="445">
        <f t="shared" si="52"/>
        <v>526.65660000000003</v>
      </c>
      <c r="W211" s="445">
        <f t="shared" si="40"/>
        <v>514.87559999999996</v>
      </c>
      <c r="X211" s="445">
        <f t="shared" si="41"/>
        <v>501.59519999999998</v>
      </c>
      <c r="Y211" s="445">
        <f t="shared" si="42"/>
        <v>470.27100000000002</v>
      </c>
      <c r="Z211" s="445">
        <f t="shared" si="43"/>
        <v>459.77519999999998</v>
      </c>
      <c r="AA211" s="445">
        <f t="shared" si="44"/>
        <v>447.9126</v>
      </c>
      <c r="AB211" s="445">
        <f t="shared" si="45"/>
        <v>264.1902</v>
      </c>
      <c r="AC211" s="445">
        <f t="shared" si="46"/>
        <v>664.49940000000004</v>
      </c>
      <c r="AD211" s="445">
        <f t="shared" si="47"/>
        <v>627.84059999999999</v>
      </c>
      <c r="AE211" s="445">
        <f t="shared" si="48"/>
        <v>596.10839999999996</v>
      </c>
      <c r="AF211" s="445">
        <f t="shared" si="49"/>
        <v>394.36259999999999</v>
      </c>
      <c r="AG211" s="445">
        <f t="shared" si="50"/>
        <v>363.17099999999999</v>
      </c>
      <c r="AH211" s="446">
        <f t="shared" si="51"/>
        <v>383.18340000000001</v>
      </c>
    </row>
    <row r="212" spans="1:34">
      <c r="A212" s="428">
        <v>2018</v>
      </c>
      <c r="B212" s="152" t="s">
        <v>317</v>
      </c>
      <c r="C212" s="146" t="s">
        <v>304</v>
      </c>
      <c r="D212" s="146" t="s">
        <v>305</v>
      </c>
      <c r="E212" s="147" t="s">
        <v>306</v>
      </c>
      <c r="F212" s="433" t="s">
        <v>315</v>
      </c>
      <c r="G212" s="149" t="s">
        <v>212</v>
      </c>
      <c r="H212" s="447">
        <v>1130.76</v>
      </c>
      <c r="I212" s="447">
        <v>1105.47</v>
      </c>
      <c r="J212" s="447">
        <v>1076.96</v>
      </c>
      <c r="K212" s="447">
        <v>1009.7</v>
      </c>
      <c r="L212" s="447">
        <v>987.17</v>
      </c>
      <c r="M212" s="447">
        <v>961.69</v>
      </c>
      <c r="N212" s="447">
        <v>567.22</v>
      </c>
      <c r="O212" s="447">
        <v>1426.73</v>
      </c>
      <c r="P212" s="447">
        <v>1348.02</v>
      </c>
      <c r="Q212" s="447">
        <v>1279.8699999999999</v>
      </c>
      <c r="R212" s="447">
        <v>846.73</v>
      </c>
      <c r="S212" s="447">
        <v>779.74</v>
      </c>
      <c r="T212" s="448">
        <v>822.72</v>
      </c>
      <c r="V212" s="447">
        <f t="shared" si="52"/>
        <v>1153.3751999999999</v>
      </c>
      <c r="W212" s="447">
        <f t="shared" si="40"/>
        <v>1127.5794000000001</v>
      </c>
      <c r="X212" s="447">
        <f t="shared" si="41"/>
        <v>1098.4992</v>
      </c>
      <c r="Y212" s="447">
        <f t="shared" si="42"/>
        <v>1029.894</v>
      </c>
      <c r="Z212" s="447">
        <f t="shared" si="43"/>
        <v>1006.9134</v>
      </c>
      <c r="AA212" s="447">
        <f t="shared" si="44"/>
        <v>980.92380000000003</v>
      </c>
      <c r="AB212" s="447">
        <f t="shared" si="45"/>
        <v>578.56440000000009</v>
      </c>
      <c r="AC212" s="447">
        <f t="shared" si="46"/>
        <v>1455.2646</v>
      </c>
      <c r="AD212" s="447">
        <f t="shared" si="47"/>
        <v>1374.9803999999999</v>
      </c>
      <c r="AE212" s="447">
        <f t="shared" si="48"/>
        <v>1305.4674</v>
      </c>
      <c r="AF212" s="447">
        <f t="shared" si="49"/>
        <v>863.66460000000006</v>
      </c>
      <c r="AG212" s="447">
        <f t="shared" si="50"/>
        <v>795.33479999999997</v>
      </c>
      <c r="AH212" s="448">
        <f t="shared" si="51"/>
        <v>839.17439999999999</v>
      </c>
    </row>
    <row r="213" spans="1:34">
      <c r="A213" s="428">
        <v>2018</v>
      </c>
      <c r="B213" s="152" t="s">
        <v>317</v>
      </c>
      <c r="C213" s="146" t="s">
        <v>304</v>
      </c>
      <c r="D213" s="146" t="s">
        <v>305</v>
      </c>
      <c r="E213" s="147" t="s">
        <v>306</v>
      </c>
      <c r="F213" s="433" t="s">
        <v>315</v>
      </c>
      <c r="G213" s="149" t="s">
        <v>213</v>
      </c>
      <c r="H213" s="447">
        <v>981.02</v>
      </c>
      <c r="I213" s="447">
        <v>959.09</v>
      </c>
      <c r="J213" s="447">
        <v>934.34</v>
      </c>
      <c r="K213" s="447">
        <v>875.99</v>
      </c>
      <c r="L213" s="447">
        <v>856.46</v>
      </c>
      <c r="M213" s="447">
        <v>834.34</v>
      </c>
      <c r="N213" s="447">
        <v>492.11</v>
      </c>
      <c r="O213" s="447">
        <v>1237.8</v>
      </c>
      <c r="P213" s="447">
        <v>1169.52</v>
      </c>
      <c r="Q213" s="447">
        <v>1110.3900000000001</v>
      </c>
      <c r="R213" s="447">
        <v>734.6</v>
      </c>
      <c r="S213" s="447">
        <v>676.5</v>
      </c>
      <c r="T213" s="448">
        <v>713.78</v>
      </c>
      <c r="V213" s="447">
        <f t="shared" si="52"/>
        <v>1000.6404</v>
      </c>
      <c r="W213" s="447">
        <f t="shared" si="40"/>
        <v>978.2718000000001</v>
      </c>
      <c r="X213" s="447">
        <f t="shared" si="41"/>
        <v>953.02680000000009</v>
      </c>
      <c r="Y213" s="447">
        <f t="shared" si="42"/>
        <v>893.50980000000004</v>
      </c>
      <c r="Z213" s="447">
        <f t="shared" si="43"/>
        <v>873.58920000000001</v>
      </c>
      <c r="AA213" s="447">
        <f t="shared" si="44"/>
        <v>851.02680000000009</v>
      </c>
      <c r="AB213" s="447">
        <f t="shared" si="45"/>
        <v>501.9522</v>
      </c>
      <c r="AC213" s="447">
        <f t="shared" si="46"/>
        <v>1262.556</v>
      </c>
      <c r="AD213" s="447">
        <f t="shared" si="47"/>
        <v>1192.9104</v>
      </c>
      <c r="AE213" s="447">
        <f t="shared" si="48"/>
        <v>1132.5978000000002</v>
      </c>
      <c r="AF213" s="447">
        <f t="shared" si="49"/>
        <v>749.29200000000003</v>
      </c>
      <c r="AG213" s="447">
        <f t="shared" si="50"/>
        <v>690.03</v>
      </c>
      <c r="AH213" s="448">
        <f t="shared" si="51"/>
        <v>728.05560000000003</v>
      </c>
    </row>
    <row r="214" spans="1:34" ht="16.5" thickBot="1">
      <c r="A214" s="429">
        <v>2018</v>
      </c>
      <c r="B214" s="426" t="s">
        <v>317</v>
      </c>
      <c r="C214" s="421" t="s">
        <v>304</v>
      </c>
      <c r="D214" s="421" t="s">
        <v>305</v>
      </c>
      <c r="E214" s="422" t="s">
        <v>306</v>
      </c>
      <c r="F214" s="434" t="s">
        <v>315</v>
      </c>
      <c r="G214" s="424" t="s">
        <v>214</v>
      </c>
      <c r="H214" s="449">
        <v>1569.64</v>
      </c>
      <c r="I214" s="449">
        <v>1534.54</v>
      </c>
      <c r="J214" s="449">
        <v>1494.95</v>
      </c>
      <c r="K214" s="449">
        <v>1401.59</v>
      </c>
      <c r="L214" s="449">
        <v>1370.33</v>
      </c>
      <c r="M214" s="449">
        <v>1334.95</v>
      </c>
      <c r="N214" s="449">
        <v>787.37</v>
      </c>
      <c r="O214" s="449">
        <v>1980.48</v>
      </c>
      <c r="P214" s="449">
        <v>1871.22</v>
      </c>
      <c r="Q214" s="449">
        <v>1776.63</v>
      </c>
      <c r="R214" s="449">
        <v>1175.3599999999999</v>
      </c>
      <c r="S214" s="449">
        <v>1082.3900000000001</v>
      </c>
      <c r="T214" s="450">
        <v>1142.04</v>
      </c>
      <c r="V214" s="449">
        <f t="shared" si="52"/>
        <v>1601.0328000000002</v>
      </c>
      <c r="W214" s="449">
        <f t="shared" si="40"/>
        <v>1565.2308</v>
      </c>
      <c r="X214" s="449">
        <f t="shared" si="41"/>
        <v>1524.8490000000002</v>
      </c>
      <c r="Y214" s="449">
        <f t="shared" si="42"/>
        <v>1429.6217999999999</v>
      </c>
      <c r="Z214" s="449">
        <f t="shared" si="43"/>
        <v>1397.7366</v>
      </c>
      <c r="AA214" s="449">
        <f t="shared" si="44"/>
        <v>1361.6490000000001</v>
      </c>
      <c r="AB214" s="449">
        <f t="shared" si="45"/>
        <v>803.11739999999998</v>
      </c>
      <c r="AC214" s="449">
        <f t="shared" si="46"/>
        <v>2020.0896</v>
      </c>
      <c r="AD214" s="449">
        <f t="shared" si="47"/>
        <v>1908.6444000000001</v>
      </c>
      <c r="AE214" s="449">
        <f t="shared" si="48"/>
        <v>1812.1626000000001</v>
      </c>
      <c r="AF214" s="449">
        <f t="shared" si="49"/>
        <v>1198.8671999999999</v>
      </c>
      <c r="AG214" s="449">
        <f t="shared" si="50"/>
        <v>1104.0378000000001</v>
      </c>
      <c r="AH214" s="450">
        <f t="shared" si="51"/>
        <v>1164.8807999999999</v>
      </c>
    </row>
    <row r="215" spans="1:34">
      <c r="A215" s="427">
        <v>2018</v>
      </c>
      <c r="B215" s="425" t="s">
        <v>317</v>
      </c>
      <c r="C215" s="414" t="s">
        <v>309</v>
      </c>
      <c r="D215" s="414" t="s">
        <v>310</v>
      </c>
      <c r="E215" s="415" t="s">
        <v>306</v>
      </c>
      <c r="F215" s="432" t="s">
        <v>315</v>
      </c>
      <c r="G215" s="417" t="s">
        <v>211</v>
      </c>
      <c r="H215" s="445">
        <v>567.39</v>
      </c>
      <c r="I215" s="445">
        <v>554.71</v>
      </c>
      <c r="J215" s="445">
        <v>540.4</v>
      </c>
      <c r="K215" s="445">
        <v>506.65</v>
      </c>
      <c r="L215" s="445">
        <v>495.35</v>
      </c>
      <c r="M215" s="445">
        <v>482.56</v>
      </c>
      <c r="N215" s="445">
        <v>284.62</v>
      </c>
      <c r="O215" s="445">
        <v>715.9</v>
      </c>
      <c r="P215" s="445">
        <v>676.41</v>
      </c>
      <c r="Q215" s="445">
        <v>642.22</v>
      </c>
      <c r="R215" s="445">
        <v>424.87</v>
      </c>
      <c r="S215" s="445">
        <v>391.26</v>
      </c>
      <c r="T215" s="446">
        <v>412.83</v>
      </c>
      <c r="V215" s="445">
        <f t="shared" si="52"/>
        <v>578.73779999999999</v>
      </c>
      <c r="W215" s="445">
        <f t="shared" si="40"/>
        <v>565.80420000000004</v>
      </c>
      <c r="X215" s="445">
        <f t="shared" si="41"/>
        <v>551.20799999999997</v>
      </c>
      <c r="Y215" s="445">
        <f t="shared" si="42"/>
        <v>516.78300000000002</v>
      </c>
      <c r="Z215" s="445">
        <f t="shared" si="43"/>
        <v>505.25700000000001</v>
      </c>
      <c r="AA215" s="445">
        <f t="shared" si="44"/>
        <v>492.21120000000002</v>
      </c>
      <c r="AB215" s="445">
        <f t="shared" si="45"/>
        <v>290.31240000000003</v>
      </c>
      <c r="AC215" s="445">
        <f t="shared" si="46"/>
        <v>730.21799999999996</v>
      </c>
      <c r="AD215" s="445">
        <f t="shared" si="47"/>
        <v>689.93819999999994</v>
      </c>
      <c r="AE215" s="445">
        <f t="shared" si="48"/>
        <v>655.06440000000009</v>
      </c>
      <c r="AF215" s="445">
        <f t="shared" si="49"/>
        <v>433.36740000000003</v>
      </c>
      <c r="AG215" s="445">
        <f t="shared" si="50"/>
        <v>399.08519999999999</v>
      </c>
      <c r="AH215" s="446">
        <f t="shared" si="51"/>
        <v>421.08659999999998</v>
      </c>
    </row>
    <row r="216" spans="1:34">
      <c r="A216" s="428">
        <v>2018</v>
      </c>
      <c r="B216" s="152" t="s">
        <v>317</v>
      </c>
      <c r="C216" s="146" t="s">
        <v>309</v>
      </c>
      <c r="D216" s="146" t="s">
        <v>310</v>
      </c>
      <c r="E216" s="147" t="s">
        <v>306</v>
      </c>
      <c r="F216" s="433" t="s">
        <v>315</v>
      </c>
      <c r="G216" s="149" t="s">
        <v>212</v>
      </c>
      <c r="H216" s="447">
        <v>1242.5899999999999</v>
      </c>
      <c r="I216" s="447">
        <v>1214.81</v>
      </c>
      <c r="J216" s="447">
        <v>1183.47</v>
      </c>
      <c r="K216" s="447">
        <v>1109.56</v>
      </c>
      <c r="L216" s="447">
        <v>1084.8</v>
      </c>
      <c r="M216" s="447">
        <v>1056.8</v>
      </c>
      <c r="N216" s="447">
        <v>623.32000000000005</v>
      </c>
      <c r="O216" s="447">
        <v>1567.83</v>
      </c>
      <c r="P216" s="447">
        <v>1481.34</v>
      </c>
      <c r="Q216" s="447">
        <v>1406.45</v>
      </c>
      <c r="R216" s="447">
        <v>930.47</v>
      </c>
      <c r="S216" s="447">
        <v>856.86</v>
      </c>
      <c r="T216" s="448">
        <v>904.08</v>
      </c>
      <c r="V216" s="447">
        <f t="shared" si="52"/>
        <v>1267.4417999999998</v>
      </c>
      <c r="W216" s="447">
        <f t="shared" si="40"/>
        <v>1239.1061999999999</v>
      </c>
      <c r="X216" s="447">
        <f t="shared" si="41"/>
        <v>1207.1394</v>
      </c>
      <c r="Y216" s="447">
        <f t="shared" si="42"/>
        <v>1131.7511999999999</v>
      </c>
      <c r="Z216" s="447">
        <f t="shared" si="43"/>
        <v>1106.4959999999999</v>
      </c>
      <c r="AA216" s="447">
        <f t="shared" si="44"/>
        <v>1077.9359999999999</v>
      </c>
      <c r="AB216" s="447">
        <f t="shared" si="45"/>
        <v>635.78640000000007</v>
      </c>
      <c r="AC216" s="447">
        <f t="shared" si="46"/>
        <v>1599.1866</v>
      </c>
      <c r="AD216" s="447">
        <f t="shared" si="47"/>
        <v>1510.9667999999999</v>
      </c>
      <c r="AE216" s="447">
        <f t="shared" si="48"/>
        <v>1434.5790000000002</v>
      </c>
      <c r="AF216" s="447">
        <f t="shared" si="49"/>
        <v>949.07940000000008</v>
      </c>
      <c r="AG216" s="447">
        <f t="shared" si="50"/>
        <v>873.99720000000002</v>
      </c>
      <c r="AH216" s="448">
        <f t="shared" si="51"/>
        <v>922.16160000000002</v>
      </c>
    </row>
    <row r="217" spans="1:34">
      <c r="A217" s="428">
        <v>2018</v>
      </c>
      <c r="B217" s="152" t="s">
        <v>317</v>
      </c>
      <c r="C217" s="146" t="s">
        <v>309</v>
      </c>
      <c r="D217" s="146" t="s">
        <v>310</v>
      </c>
      <c r="E217" s="147" t="s">
        <v>306</v>
      </c>
      <c r="F217" s="433" t="s">
        <v>315</v>
      </c>
      <c r="G217" s="149" t="s">
        <v>213</v>
      </c>
      <c r="H217" s="447">
        <v>1078.05</v>
      </c>
      <c r="I217" s="447">
        <v>1053.94</v>
      </c>
      <c r="J217" s="447">
        <v>1026.75</v>
      </c>
      <c r="K217" s="447">
        <v>962.63</v>
      </c>
      <c r="L217" s="447">
        <v>941.16</v>
      </c>
      <c r="M217" s="447">
        <v>916.85</v>
      </c>
      <c r="N217" s="447">
        <v>540.78</v>
      </c>
      <c r="O217" s="447">
        <v>1360.22</v>
      </c>
      <c r="P217" s="447">
        <v>1285.19</v>
      </c>
      <c r="Q217" s="447">
        <v>1220.21</v>
      </c>
      <c r="R217" s="447">
        <v>807.25</v>
      </c>
      <c r="S217" s="447">
        <v>743.4</v>
      </c>
      <c r="T217" s="448">
        <v>784.37</v>
      </c>
      <c r="V217" s="447">
        <f t="shared" si="52"/>
        <v>1099.6109999999999</v>
      </c>
      <c r="W217" s="447">
        <f t="shared" si="40"/>
        <v>1075.0188000000001</v>
      </c>
      <c r="X217" s="447">
        <f t="shared" si="41"/>
        <v>1047.2850000000001</v>
      </c>
      <c r="Y217" s="447">
        <f t="shared" si="42"/>
        <v>981.88260000000002</v>
      </c>
      <c r="Z217" s="447">
        <f t="shared" si="43"/>
        <v>959.98320000000001</v>
      </c>
      <c r="AA217" s="447">
        <f t="shared" si="44"/>
        <v>935.18700000000001</v>
      </c>
      <c r="AB217" s="447">
        <f t="shared" si="45"/>
        <v>551.59559999999999</v>
      </c>
      <c r="AC217" s="447">
        <f t="shared" si="46"/>
        <v>1387.4244000000001</v>
      </c>
      <c r="AD217" s="447">
        <f t="shared" si="47"/>
        <v>1310.8938000000001</v>
      </c>
      <c r="AE217" s="447">
        <f t="shared" si="48"/>
        <v>1244.6142</v>
      </c>
      <c r="AF217" s="447">
        <f t="shared" si="49"/>
        <v>823.39499999999998</v>
      </c>
      <c r="AG217" s="447">
        <f t="shared" si="50"/>
        <v>758.26800000000003</v>
      </c>
      <c r="AH217" s="448">
        <f t="shared" si="51"/>
        <v>800.05740000000003</v>
      </c>
    </row>
    <row r="218" spans="1:34" ht="16.5" thickBot="1">
      <c r="A218" s="429">
        <v>2018</v>
      </c>
      <c r="B218" s="426" t="s">
        <v>317</v>
      </c>
      <c r="C218" s="421" t="s">
        <v>309</v>
      </c>
      <c r="D218" s="421" t="s">
        <v>310</v>
      </c>
      <c r="E218" s="422" t="s">
        <v>306</v>
      </c>
      <c r="F218" s="434" t="s">
        <v>315</v>
      </c>
      <c r="G218" s="424" t="s">
        <v>214</v>
      </c>
      <c r="H218" s="449">
        <v>1724.87</v>
      </c>
      <c r="I218" s="449">
        <v>1686.31</v>
      </c>
      <c r="J218" s="449">
        <v>1642.8</v>
      </c>
      <c r="K218" s="449">
        <v>1540.21</v>
      </c>
      <c r="L218" s="449">
        <v>1505.85</v>
      </c>
      <c r="M218" s="449">
        <v>1466.98</v>
      </c>
      <c r="N218" s="449">
        <v>865.24</v>
      </c>
      <c r="O218" s="449">
        <v>2176.35</v>
      </c>
      <c r="P218" s="449">
        <v>2056.29</v>
      </c>
      <c r="Q218" s="449">
        <v>1952.34</v>
      </c>
      <c r="R218" s="449">
        <v>1291.5999999999999</v>
      </c>
      <c r="S218" s="449">
        <v>1189.44</v>
      </c>
      <c r="T218" s="450">
        <v>1254.99</v>
      </c>
      <c r="V218" s="449">
        <f t="shared" si="52"/>
        <v>1759.3673999999999</v>
      </c>
      <c r="W218" s="449">
        <f t="shared" si="40"/>
        <v>1720.0362</v>
      </c>
      <c r="X218" s="449">
        <f t="shared" si="41"/>
        <v>1675.6559999999999</v>
      </c>
      <c r="Y218" s="449">
        <f t="shared" si="42"/>
        <v>1571.0142000000001</v>
      </c>
      <c r="Z218" s="449">
        <f t="shared" si="43"/>
        <v>1535.9669999999999</v>
      </c>
      <c r="AA218" s="449">
        <f t="shared" si="44"/>
        <v>1496.3196</v>
      </c>
      <c r="AB218" s="449">
        <f t="shared" si="45"/>
        <v>882.54480000000001</v>
      </c>
      <c r="AC218" s="449">
        <f t="shared" si="46"/>
        <v>2219.877</v>
      </c>
      <c r="AD218" s="449">
        <f t="shared" si="47"/>
        <v>2097.4158000000002</v>
      </c>
      <c r="AE218" s="449">
        <f t="shared" si="48"/>
        <v>1991.3868</v>
      </c>
      <c r="AF218" s="449">
        <f t="shared" si="49"/>
        <v>1317.432</v>
      </c>
      <c r="AG218" s="449">
        <f t="shared" si="50"/>
        <v>1213.2288000000001</v>
      </c>
      <c r="AH218" s="450">
        <f t="shared" si="51"/>
        <v>1280.0898</v>
      </c>
    </row>
    <row r="219" spans="1:34">
      <c r="A219" s="427">
        <v>2018</v>
      </c>
      <c r="B219" s="425" t="s">
        <v>317</v>
      </c>
      <c r="C219" s="414" t="s">
        <v>311</v>
      </c>
      <c r="D219" s="414" t="s">
        <v>312</v>
      </c>
      <c r="E219" s="415" t="s">
        <v>306</v>
      </c>
      <c r="F219" s="432" t="s">
        <v>315</v>
      </c>
      <c r="G219" s="417" t="s">
        <v>211</v>
      </c>
      <c r="H219" s="445">
        <v>597.25</v>
      </c>
      <c r="I219" s="445">
        <v>583.9</v>
      </c>
      <c r="J219" s="445">
        <v>568.84</v>
      </c>
      <c r="K219" s="445">
        <v>533.30999999999995</v>
      </c>
      <c r="L219" s="445">
        <v>521.41999999999996</v>
      </c>
      <c r="M219" s="445">
        <v>507.95</v>
      </c>
      <c r="N219" s="445">
        <v>299.60000000000002</v>
      </c>
      <c r="O219" s="445">
        <v>753.58</v>
      </c>
      <c r="P219" s="445">
        <v>712.01</v>
      </c>
      <c r="Q219" s="445">
        <v>676.02</v>
      </c>
      <c r="R219" s="445">
        <v>447.23</v>
      </c>
      <c r="S219" s="445">
        <v>411.86</v>
      </c>
      <c r="T219" s="446">
        <v>434.55</v>
      </c>
      <c r="V219" s="445">
        <f t="shared" si="52"/>
        <v>609.19500000000005</v>
      </c>
      <c r="W219" s="445">
        <f t="shared" si="40"/>
        <v>595.57799999999997</v>
      </c>
      <c r="X219" s="445">
        <f t="shared" si="41"/>
        <v>580.21680000000003</v>
      </c>
      <c r="Y219" s="445">
        <f t="shared" si="42"/>
        <v>543.97619999999995</v>
      </c>
      <c r="Z219" s="445">
        <f t="shared" si="43"/>
        <v>531.84839999999997</v>
      </c>
      <c r="AA219" s="445">
        <f t="shared" si="44"/>
        <v>518.10900000000004</v>
      </c>
      <c r="AB219" s="445">
        <f t="shared" si="45"/>
        <v>305.59200000000004</v>
      </c>
      <c r="AC219" s="445">
        <f t="shared" si="46"/>
        <v>768.65160000000003</v>
      </c>
      <c r="AD219" s="445">
        <f t="shared" si="47"/>
        <v>726.25019999999995</v>
      </c>
      <c r="AE219" s="445">
        <f t="shared" si="48"/>
        <v>689.54039999999998</v>
      </c>
      <c r="AF219" s="445">
        <f t="shared" si="49"/>
        <v>456.17460000000005</v>
      </c>
      <c r="AG219" s="445">
        <f t="shared" si="50"/>
        <v>420.09720000000004</v>
      </c>
      <c r="AH219" s="446">
        <f t="shared" si="51"/>
        <v>443.24100000000004</v>
      </c>
    </row>
    <row r="220" spans="1:34">
      <c r="A220" s="428">
        <v>2018</v>
      </c>
      <c r="B220" s="152" t="s">
        <v>317</v>
      </c>
      <c r="C220" s="146" t="s">
        <v>311</v>
      </c>
      <c r="D220" s="146" t="s">
        <v>312</v>
      </c>
      <c r="E220" s="147" t="s">
        <v>306</v>
      </c>
      <c r="F220" s="433" t="s">
        <v>315</v>
      </c>
      <c r="G220" s="149" t="s">
        <v>212</v>
      </c>
      <c r="H220" s="447">
        <v>1307.99</v>
      </c>
      <c r="I220" s="447">
        <v>1278.74</v>
      </c>
      <c r="J220" s="447">
        <v>1245.76</v>
      </c>
      <c r="K220" s="447">
        <v>1167.96</v>
      </c>
      <c r="L220" s="447">
        <v>1141.9000000000001</v>
      </c>
      <c r="M220" s="447">
        <v>1112.42</v>
      </c>
      <c r="N220" s="447">
        <v>656.13</v>
      </c>
      <c r="O220" s="447">
        <v>1650.35</v>
      </c>
      <c r="P220" s="447">
        <v>1559.31</v>
      </c>
      <c r="Q220" s="447">
        <v>1480.48</v>
      </c>
      <c r="R220" s="447">
        <v>979.45</v>
      </c>
      <c r="S220" s="447">
        <v>901.96</v>
      </c>
      <c r="T220" s="448">
        <v>951.67</v>
      </c>
      <c r="V220" s="447">
        <f t="shared" si="52"/>
        <v>1334.1498000000001</v>
      </c>
      <c r="W220" s="447">
        <f t="shared" si="40"/>
        <v>1304.3148000000001</v>
      </c>
      <c r="X220" s="447">
        <f t="shared" si="41"/>
        <v>1270.6751999999999</v>
      </c>
      <c r="Y220" s="447">
        <f t="shared" si="42"/>
        <v>1191.3192000000001</v>
      </c>
      <c r="Z220" s="447">
        <f t="shared" si="43"/>
        <v>1164.7380000000001</v>
      </c>
      <c r="AA220" s="447">
        <f t="shared" si="44"/>
        <v>1134.6684</v>
      </c>
      <c r="AB220" s="447">
        <f t="shared" si="45"/>
        <v>669.25260000000003</v>
      </c>
      <c r="AC220" s="447">
        <f t="shared" si="46"/>
        <v>1683.357</v>
      </c>
      <c r="AD220" s="447">
        <f t="shared" si="47"/>
        <v>1590.4962</v>
      </c>
      <c r="AE220" s="447">
        <f t="shared" si="48"/>
        <v>1510.0896</v>
      </c>
      <c r="AF220" s="447">
        <f t="shared" si="49"/>
        <v>999.0390000000001</v>
      </c>
      <c r="AG220" s="447">
        <f t="shared" si="50"/>
        <v>919.99920000000009</v>
      </c>
      <c r="AH220" s="448">
        <f t="shared" si="51"/>
        <v>970.70339999999999</v>
      </c>
    </row>
    <row r="221" spans="1:34">
      <c r="A221" s="428">
        <v>2018</v>
      </c>
      <c r="B221" s="152" t="s">
        <v>317</v>
      </c>
      <c r="C221" s="146" t="s">
        <v>311</v>
      </c>
      <c r="D221" s="146" t="s">
        <v>312</v>
      </c>
      <c r="E221" s="147" t="s">
        <v>306</v>
      </c>
      <c r="F221" s="433" t="s">
        <v>315</v>
      </c>
      <c r="G221" s="149" t="s">
        <v>213</v>
      </c>
      <c r="H221" s="447">
        <v>1134.79</v>
      </c>
      <c r="I221" s="447">
        <v>1109.4100000000001</v>
      </c>
      <c r="J221" s="447">
        <v>1080.79</v>
      </c>
      <c r="K221" s="447">
        <v>1013.29</v>
      </c>
      <c r="L221" s="447">
        <v>990.7</v>
      </c>
      <c r="M221" s="447">
        <v>965.11</v>
      </c>
      <c r="N221" s="447">
        <v>569.24</v>
      </c>
      <c r="O221" s="447">
        <v>1431.81</v>
      </c>
      <c r="P221" s="447">
        <v>1352.83</v>
      </c>
      <c r="Q221" s="447">
        <v>1284.43</v>
      </c>
      <c r="R221" s="447">
        <v>849.74</v>
      </c>
      <c r="S221" s="447">
        <v>782.53</v>
      </c>
      <c r="T221" s="448">
        <v>825.66</v>
      </c>
      <c r="V221" s="447">
        <f t="shared" si="52"/>
        <v>1157.4857999999999</v>
      </c>
      <c r="W221" s="447">
        <f t="shared" si="40"/>
        <v>1131.5982000000001</v>
      </c>
      <c r="X221" s="447">
        <f t="shared" si="41"/>
        <v>1102.4058</v>
      </c>
      <c r="Y221" s="447">
        <f t="shared" si="42"/>
        <v>1033.5558000000001</v>
      </c>
      <c r="Z221" s="447">
        <f t="shared" si="43"/>
        <v>1010.514</v>
      </c>
      <c r="AA221" s="447">
        <f t="shared" si="44"/>
        <v>984.41219999999998</v>
      </c>
      <c r="AB221" s="447">
        <f t="shared" si="45"/>
        <v>580.62480000000005</v>
      </c>
      <c r="AC221" s="447">
        <f t="shared" si="46"/>
        <v>1460.4461999999999</v>
      </c>
      <c r="AD221" s="447">
        <f t="shared" si="47"/>
        <v>1379.8866</v>
      </c>
      <c r="AE221" s="447">
        <f t="shared" si="48"/>
        <v>1310.1186</v>
      </c>
      <c r="AF221" s="447">
        <f t="shared" si="49"/>
        <v>866.73480000000006</v>
      </c>
      <c r="AG221" s="447">
        <f t="shared" si="50"/>
        <v>798.18060000000003</v>
      </c>
      <c r="AH221" s="448">
        <f t="shared" si="51"/>
        <v>842.17319999999995</v>
      </c>
    </row>
    <row r="222" spans="1:34" ht="16.5" thickBot="1">
      <c r="A222" s="429">
        <v>2018</v>
      </c>
      <c r="B222" s="426" t="s">
        <v>317</v>
      </c>
      <c r="C222" s="421" t="s">
        <v>311</v>
      </c>
      <c r="D222" s="421" t="s">
        <v>312</v>
      </c>
      <c r="E222" s="422" t="s">
        <v>306</v>
      </c>
      <c r="F222" s="434" t="s">
        <v>315</v>
      </c>
      <c r="G222" s="424" t="s">
        <v>214</v>
      </c>
      <c r="H222" s="449">
        <v>1815.66</v>
      </c>
      <c r="I222" s="449">
        <v>1775.07</v>
      </c>
      <c r="J222" s="449">
        <v>1729.26</v>
      </c>
      <c r="K222" s="449">
        <v>1621.27</v>
      </c>
      <c r="L222" s="449">
        <v>1585.11</v>
      </c>
      <c r="M222" s="449">
        <v>1544.19</v>
      </c>
      <c r="N222" s="449">
        <v>910.78</v>
      </c>
      <c r="O222" s="449">
        <v>2290.89</v>
      </c>
      <c r="P222" s="449">
        <v>2164.5100000000002</v>
      </c>
      <c r="Q222" s="449">
        <v>2055.09</v>
      </c>
      <c r="R222" s="449">
        <v>1359.58</v>
      </c>
      <c r="S222" s="449">
        <v>1252.04</v>
      </c>
      <c r="T222" s="450">
        <v>1321.04</v>
      </c>
      <c r="V222" s="449">
        <f t="shared" si="52"/>
        <v>1851.9732000000001</v>
      </c>
      <c r="W222" s="449">
        <f t="shared" si="40"/>
        <v>1810.5714</v>
      </c>
      <c r="X222" s="449">
        <f t="shared" si="41"/>
        <v>1763.8452</v>
      </c>
      <c r="Y222" s="449">
        <f t="shared" si="42"/>
        <v>1653.6954000000001</v>
      </c>
      <c r="Z222" s="449">
        <f t="shared" si="43"/>
        <v>1616.8121999999998</v>
      </c>
      <c r="AA222" s="449">
        <f t="shared" si="44"/>
        <v>1575.0738000000001</v>
      </c>
      <c r="AB222" s="449">
        <f t="shared" si="45"/>
        <v>928.99559999999997</v>
      </c>
      <c r="AC222" s="449">
        <f t="shared" si="46"/>
        <v>2336.7078000000001</v>
      </c>
      <c r="AD222" s="449">
        <f t="shared" si="47"/>
        <v>2207.8002000000001</v>
      </c>
      <c r="AE222" s="449">
        <f t="shared" si="48"/>
        <v>2096.1918000000001</v>
      </c>
      <c r="AF222" s="449">
        <f t="shared" si="49"/>
        <v>1386.7716</v>
      </c>
      <c r="AG222" s="449">
        <f t="shared" si="50"/>
        <v>1277.0808</v>
      </c>
      <c r="AH222" s="450">
        <f t="shared" si="51"/>
        <v>1347.4608000000001</v>
      </c>
    </row>
    <row r="223" spans="1:34">
      <c r="A223" s="427">
        <v>2018</v>
      </c>
      <c r="B223" s="425" t="s">
        <v>317</v>
      </c>
      <c r="C223" s="414" t="s">
        <v>313</v>
      </c>
      <c r="D223" s="414" t="s">
        <v>314</v>
      </c>
      <c r="E223" s="415" t="s">
        <v>306</v>
      </c>
      <c r="F223" s="432" t="s">
        <v>315</v>
      </c>
      <c r="G223" s="417" t="s">
        <v>211</v>
      </c>
      <c r="H223" s="445">
        <v>686.84</v>
      </c>
      <c r="I223" s="445">
        <v>671.49</v>
      </c>
      <c r="J223" s="445">
        <v>654.16</v>
      </c>
      <c r="K223" s="445">
        <v>613.30999999999995</v>
      </c>
      <c r="L223" s="445">
        <v>599.63</v>
      </c>
      <c r="M223" s="445">
        <v>584.15</v>
      </c>
      <c r="N223" s="445">
        <v>344.54</v>
      </c>
      <c r="O223" s="445">
        <v>866.62</v>
      </c>
      <c r="P223" s="445">
        <v>818.81</v>
      </c>
      <c r="Q223" s="445">
        <v>777.42</v>
      </c>
      <c r="R223" s="445">
        <v>514.32000000000005</v>
      </c>
      <c r="S223" s="445">
        <v>473.63</v>
      </c>
      <c r="T223" s="446">
        <v>499.74</v>
      </c>
      <c r="V223" s="445">
        <f t="shared" si="52"/>
        <v>700.57680000000005</v>
      </c>
      <c r="W223" s="445">
        <f t="shared" si="40"/>
        <v>684.91980000000001</v>
      </c>
      <c r="X223" s="445">
        <f t="shared" si="41"/>
        <v>667.2432</v>
      </c>
      <c r="Y223" s="445">
        <f t="shared" si="42"/>
        <v>625.57619999999997</v>
      </c>
      <c r="Z223" s="445">
        <f t="shared" si="43"/>
        <v>611.62260000000003</v>
      </c>
      <c r="AA223" s="445">
        <f t="shared" si="44"/>
        <v>595.83299999999997</v>
      </c>
      <c r="AB223" s="445">
        <f t="shared" si="45"/>
        <v>351.43080000000003</v>
      </c>
      <c r="AC223" s="445">
        <f t="shared" si="46"/>
        <v>883.95240000000001</v>
      </c>
      <c r="AD223" s="445">
        <f t="shared" si="47"/>
        <v>835.18619999999999</v>
      </c>
      <c r="AE223" s="445">
        <f t="shared" si="48"/>
        <v>792.96839999999997</v>
      </c>
      <c r="AF223" s="445">
        <f t="shared" si="49"/>
        <v>524.60640000000001</v>
      </c>
      <c r="AG223" s="445">
        <f t="shared" si="50"/>
        <v>483.1026</v>
      </c>
      <c r="AH223" s="446">
        <f t="shared" si="51"/>
        <v>509.73480000000001</v>
      </c>
    </row>
    <row r="224" spans="1:34">
      <c r="A224" s="428">
        <v>2018</v>
      </c>
      <c r="B224" s="152" t="s">
        <v>317</v>
      </c>
      <c r="C224" s="146" t="s">
        <v>313</v>
      </c>
      <c r="D224" s="146" t="s">
        <v>314</v>
      </c>
      <c r="E224" s="147" t="s">
        <v>306</v>
      </c>
      <c r="F224" s="433" t="s">
        <v>315</v>
      </c>
      <c r="G224" s="149" t="s">
        <v>212</v>
      </c>
      <c r="H224" s="447">
        <v>1504.19</v>
      </c>
      <c r="I224" s="447">
        <v>1470.56</v>
      </c>
      <c r="J224" s="447">
        <v>1432.63</v>
      </c>
      <c r="K224" s="447">
        <v>1343.15</v>
      </c>
      <c r="L224" s="447">
        <v>1313.18</v>
      </c>
      <c r="M224" s="447">
        <v>1279.28</v>
      </c>
      <c r="N224" s="447">
        <v>754.55</v>
      </c>
      <c r="O224" s="447">
        <v>1897.9</v>
      </c>
      <c r="P224" s="447">
        <v>1793.2</v>
      </c>
      <c r="Q224" s="447">
        <v>1702.55</v>
      </c>
      <c r="R224" s="447">
        <v>1126.3599999999999</v>
      </c>
      <c r="S224" s="447">
        <v>1037.25</v>
      </c>
      <c r="T224" s="448">
        <v>1094.42</v>
      </c>
      <c r="V224" s="447">
        <f t="shared" si="52"/>
        <v>1534.2738000000002</v>
      </c>
      <c r="W224" s="447">
        <f t="shared" si="40"/>
        <v>1499.9712</v>
      </c>
      <c r="X224" s="447">
        <f t="shared" si="41"/>
        <v>1461.2826000000002</v>
      </c>
      <c r="Y224" s="447">
        <f t="shared" si="42"/>
        <v>1370.0130000000001</v>
      </c>
      <c r="Z224" s="447">
        <f t="shared" si="43"/>
        <v>1339.4436000000001</v>
      </c>
      <c r="AA224" s="447">
        <f t="shared" si="44"/>
        <v>1304.8656000000001</v>
      </c>
      <c r="AB224" s="447">
        <f t="shared" si="45"/>
        <v>769.64099999999996</v>
      </c>
      <c r="AC224" s="447">
        <f t="shared" si="46"/>
        <v>1935.8580000000002</v>
      </c>
      <c r="AD224" s="447">
        <f t="shared" si="47"/>
        <v>1829.0640000000001</v>
      </c>
      <c r="AE224" s="447">
        <f t="shared" si="48"/>
        <v>1736.6009999999999</v>
      </c>
      <c r="AF224" s="447">
        <f t="shared" si="49"/>
        <v>1148.8871999999999</v>
      </c>
      <c r="AG224" s="447">
        <f t="shared" si="50"/>
        <v>1057.9950000000001</v>
      </c>
      <c r="AH224" s="448">
        <f t="shared" si="51"/>
        <v>1116.3084000000001</v>
      </c>
    </row>
    <row r="225" spans="1:34">
      <c r="A225" s="428">
        <v>2018</v>
      </c>
      <c r="B225" s="152" t="s">
        <v>317</v>
      </c>
      <c r="C225" s="146" t="s">
        <v>313</v>
      </c>
      <c r="D225" s="146" t="s">
        <v>314</v>
      </c>
      <c r="E225" s="147" t="s">
        <v>306</v>
      </c>
      <c r="F225" s="433" t="s">
        <v>315</v>
      </c>
      <c r="G225" s="149" t="s">
        <v>213</v>
      </c>
      <c r="H225" s="447">
        <v>1305.01</v>
      </c>
      <c r="I225" s="447">
        <v>1275.82</v>
      </c>
      <c r="J225" s="447">
        <v>1242.9100000000001</v>
      </c>
      <c r="K225" s="447">
        <v>1165.29</v>
      </c>
      <c r="L225" s="447">
        <v>1139.3</v>
      </c>
      <c r="M225" s="447">
        <v>1109.8800000000001</v>
      </c>
      <c r="N225" s="447">
        <v>654.63</v>
      </c>
      <c r="O225" s="447">
        <v>1646.58</v>
      </c>
      <c r="P225" s="447">
        <v>1555.75</v>
      </c>
      <c r="Q225" s="447">
        <v>1477.1</v>
      </c>
      <c r="R225" s="447">
        <v>977.2</v>
      </c>
      <c r="S225" s="447">
        <v>899.91</v>
      </c>
      <c r="T225" s="448">
        <v>949.5</v>
      </c>
      <c r="V225" s="447">
        <f t="shared" si="52"/>
        <v>1331.1102000000001</v>
      </c>
      <c r="W225" s="447">
        <f t="shared" si="40"/>
        <v>1301.3363999999999</v>
      </c>
      <c r="X225" s="447">
        <f t="shared" si="41"/>
        <v>1267.7682000000002</v>
      </c>
      <c r="Y225" s="447">
        <f t="shared" si="42"/>
        <v>1188.5958000000001</v>
      </c>
      <c r="Z225" s="447">
        <f t="shared" si="43"/>
        <v>1162.086</v>
      </c>
      <c r="AA225" s="447">
        <f t="shared" si="44"/>
        <v>1132.0776000000001</v>
      </c>
      <c r="AB225" s="447">
        <f t="shared" si="45"/>
        <v>667.72260000000006</v>
      </c>
      <c r="AC225" s="447">
        <f t="shared" si="46"/>
        <v>1679.5116</v>
      </c>
      <c r="AD225" s="447">
        <f t="shared" si="47"/>
        <v>1586.865</v>
      </c>
      <c r="AE225" s="447">
        <f t="shared" si="48"/>
        <v>1506.6419999999998</v>
      </c>
      <c r="AF225" s="447">
        <f t="shared" si="49"/>
        <v>996.74400000000003</v>
      </c>
      <c r="AG225" s="447">
        <f t="shared" si="50"/>
        <v>917.90819999999997</v>
      </c>
      <c r="AH225" s="448">
        <f t="shared" si="51"/>
        <v>968.49</v>
      </c>
    </row>
    <row r="226" spans="1:34" ht="16.5" thickBot="1">
      <c r="A226" s="429">
        <v>2018</v>
      </c>
      <c r="B226" s="426" t="s">
        <v>317</v>
      </c>
      <c r="C226" s="421" t="s">
        <v>313</v>
      </c>
      <c r="D226" s="421" t="s">
        <v>314</v>
      </c>
      <c r="E226" s="422" t="s">
        <v>306</v>
      </c>
      <c r="F226" s="434" t="s">
        <v>315</v>
      </c>
      <c r="G226" s="424" t="s">
        <v>214</v>
      </c>
      <c r="H226" s="449">
        <v>2088.0100000000002</v>
      </c>
      <c r="I226" s="449">
        <v>2041.32</v>
      </c>
      <c r="J226" s="449">
        <v>1988.65</v>
      </c>
      <c r="K226" s="449">
        <v>1864.46</v>
      </c>
      <c r="L226" s="449">
        <v>1822.87</v>
      </c>
      <c r="M226" s="449">
        <v>1775.81</v>
      </c>
      <c r="N226" s="449">
        <v>1047.4000000000001</v>
      </c>
      <c r="O226" s="449">
        <v>2634.53</v>
      </c>
      <c r="P226" s="449">
        <v>2489.19</v>
      </c>
      <c r="Q226" s="449">
        <v>2363.36</v>
      </c>
      <c r="R226" s="449">
        <v>1563.52</v>
      </c>
      <c r="S226" s="449">
        <v>1439.84</v>
      </c>
      <c r="T226" s="450">
        <v>1519.19</v>
      </c>
      <c r="V226" s="449">
        <f t="shared" si="52"/>
        <v>2129.7702000000004</v>
      </c>
      <c r="W226" s="449">
        <f t="shared" si="40"/>
        <v>2082.1464000000001</v>
      </c>
      <c r="X226" s="449">
        <f t="shared" si="41"/>
        <v>2028.4230000000002</v>
      </c>
      <c r="Y226" s="449">
        <f t="shared" si="42"/>
        <v>1901.7492</v>
      </c>
      <c r="Z226" s="449">
        <f t="shared" si="43"/>
        <v>1859.3273999999999</v>
      </c>
      <c r="AA226" s="449">
        <f t="shared" si="44"/>
        <v>1811.3262</v>
      </c>
      <c r="AB226" s="449">
        <f t="shared" si="45"/>
        <v>1068.3480000000002</v>
      </c>
      <c r="AC226" s="449">
        <f t="shared" si="46"/>
        <v>2687.2206000000001</v>
      </c>
      <c r="AD226" s="449">
        <f t="shared" si="47"/>
        <v>2538.9738000000002</v>
      </c>
      <c r="AE226" s="449">
        <f t="shared" si="48"/>
        <v>2410.6272000000004</v>
      </c>
      <c r="AF226" s="449">
        <f t="shared" si="49"/>
        <v>1594.7904000000001</v>
      </c>
      <c r="AG226" s="449">
        <f t="shared" si="50"/>
        <v>1468.6368</v>
      </c>
      <c r="AH226" s="450">
        <f t="shared" si="51"/>
        <v>1549.5738000000001</v>
      </c>
    </row>
    <row r="227" spans="1:34">
      <c r="A227" s="427">
        <v>2018</v>
      </c>
      <c r="B227" s="425" t="s">
        <v>317</v>
      </c>
      <c r="C227" s="414" t="s">
        <v>304</v>
      </c>
      <c r="D227" s="414" t="s">
        <v>305</v>
      </c>
      <c r="E227" s="430" t="s">
        <v>316</v>
      </c>
      <c r="F227" s="416" t="s">
        <v>307</v>
      </c>
      <c r="G227" s="417" t="s">
        <v>211</v>
      </c>
      <c r="H227" s="445">
        <v>516.33000000000004</v>
      </c>
      <c r="I227" s="445">
        <v>504.78</v>
      </c>
      <c r="J227" s="445">
        <v>491.76</v>
      </c>
      <c r="K227" s="445">
        <v>461.05</v>
      </c>
      <c r="L227" s="445">
        <v>450.76</v>
      </c>
      <c r="M227" s="445">
        <v>439.13</v>
      </c>
      <c r="N227" s="445">
        <v>259.01</v>
      </c>
      <c r="O227" s="445">
        <v>629.44000000000005</v>
      </c>
      <c r="P227" s="445">
        <v>594.72</v>
      </c>
      <c r="Q227" s="445">
        <v>564.66</v>
      </c>
      <c r="R227" s="445">
        <v>380.38</v>
      </c>
      <c r="S227" s="445">
        <v>350.29</v>
      </c>
      <c r="T227" s="446">
        <v>369.6</v>
      </c>
      <c r="V227" s="445">
        <f t="shared" si="52"/>
        <v>526.65660000000003</v>
      </c>
      <c r="W227" s="445">
        <f t="shared" si="40"/>
        <v>514.87559999999996</v>
      </c>
      <c r="X227" s="445">
        <f t="shared" si="41"/>
        <v>501.59519999999998</v>
      </c>
      <c r="Y227" s="445">
        <f t="shared" si="42"/>
        <v>470.27100000000002</v>
      </c>
      <c r="Z227" s="445">
        <f t="shared" si="43"/>
        <v>459.77519999999998</v>
      </c>
      <c r="AA227" s="445">
        <f t="shared" si="44"/>
        <v>447.9126</v>
      </c>
      <c r="AB227" s="445">
        <f t="shared" si="45"/>
        <v>264.1902</v>
      </c>
      <c r="AC227" s="445">
        <f t="shared" si="46"/>
        <v>642.02880000000005</v>
      </c>
      <c r="AD227" s="445">
        <f t="shared" si="47"/>
        <v>606.61440000000005</v>
      </c>
      <c r="AE227" s="445">
        <f t="shared" si="48"/>
        <v>575.95319999999992</v>
      </c>
      <c r="AF227" s="445">
        <f t="shared" si="49"/>
        <v>387.98759999999999</v>
      </c>
      <c r="AG227" s="445">
        <f t="shared" si="50"/>
        <v>357.29580000000004</v>
      </c>
      <c r="AH227" s="446">
        <f t="shared" si="51"/>
        <v>376.99200000000002</v>
      </c>
    </row>
    <row r="228" spans="1:34">
      <c r="A228" s="428">
        <v>2018</v>
      </c>
      <c r="B228" s="152" t="s">
        <v>317</v>
      </c>
      <c r="C228" s="146" t="s">
        <v>304</v>
      </c>
      <c r="D228" s="146" t="s">
        <v>305</v>
      </c>
      <c r="E228" s="151" t="s">
        <v>316</v>
      </c>
      <c r="F228" s="148" t="s">
        <v>307</v>
      </c>
      <c r="G228" s="149" t="s">
        <v>212</v>
      </c>
      <c r="H228" s="447">
        <v>1130.76</v>
      </c>
      <c r="I228" s="447">
        <v>1105.47</v>
      </c>
      <c r="J228" s="447">
        <v>1076.96</v>
      </c>
      <c r="K228" s="447">
        <v>1009.7</v>
      </c>
      <c r="L228" s="447">
        <v>987.17</v>
      </c>
      <c r="M228" s="447">
        <v>961.69</v>
      </c>
      <c r="N228" s="447">
        <v>567.22</v>
      </c>
      <c r="O228" s="447">
        <v>1378.48</v>
      </c>
      <c r="P228" s="447">
        <v>1302.44</v>
      </c>
      <c r="Q228" s="447">
        <v>1236.5899999999999</v>
      </c>
      <c r="R228" s="447">
        <v>833.04</v>
      </c>
      <c r="S228" s="447">
        <v>767.14</v>
      </c>
      <c r="T228" s="448">
        <v>809.41</v>
      </c>
      <c r="V228" s="447">
        <f t="shared" si="52"/>
        <v>1153.3751999999999</v>
      </c>
      <c r="W228" s="447">
        <f t="shared" si="40"/>
        <v>1127.5794000000001</v>
      </c>
      <c r="X228" s="447">
        <f t="shared" si="41"/>
        <v>1098.4992</v>
      </c>
      <c r="Y228" s="447">
        <f t="shared" si="42"/>
        <v>1029.894</v>
      </c>
      <c r="Z228" s="447">
        <f t="shared" si="43"/>
        <v>1006.9134</v>
      </c>
      <c r="AA228" s="447">
        <f t="shared" si="44"/>
        <v>980.92380000000003</v>
      </c>
      <c r="AB228" s="447">
        <f t="shared" si="45"/>
        <v>578.56440000000009</v>
      </c>
      <c r="AC228" s="447">
        <f t="shared" si="46"/>
        <v>1406.0496000000001</v>
      </c>
      <c r="AD228" s="447">
        <f t="shared" si="47"/>
        <v>1328.4888000000001</v>
      </c>
      <c r="AE228" s="447">
        <f t="shared" si="48"/>
        <v>1261.3217999999999</v>
      </c>
      <c r="AF228" s="447">
        <f t="shared" si="49"/>
        <v>849.70079999999996</v>
      </c>
      <c r="AG228" s="447">
        <f t="shared" si="50"/>
        <v>782.4828</v>
      </c>
      <c r="AH228" s="448">
        <f t="shared" si="51"/>
        <v>825.59820000000002</v>
      </c>
    </row>
    <row r="229" spans="1:34">
      <c r="A229" s="428">
        <v>2018</v>
      </c>
      <c r="B229" s="152" t="s">
        <v>317</v>
      </c>
      <c r="C229" s="146" t="s">
        <v>304</v>
      </c>
      <c r="D229" s="146" t="s">
        <v>305</v>
      </c>
      <c r="E229" s="151" t="s">
        <v>316</v>
      </c>
      <c r="F229" s="148" t="s">
        <v>307</v>
      </c>
      <c r="G229" s="149" t="s">
        <v>213</v>
      </c>
      <c r="H229" s="447">
        <v>981.02</v>
      </c>
      <c r="I229" s="447">
        <v>959.09</v>
      </c>
      <c r="J229" s="447">
        <v>934.34</v>
      </c>
      <c r="K229" s="447">
        <v>875.99</v>
      </c>
      <c r="L229" s="447">
        <v>856.46</v>
      </c>
      <c r="M229" s="447">
        <v>834.34</v>
      </c>
      <c r="N229" s="447">
        <v>492.11</v>
      </c>
      <c r="O229" s="447">
        <v>1195.94</v>
      </c>
      <c r="P229" s="447">
        <v>1129.97</v>
      </c>
      <c r="Q229" s="447">
        <v>1072.8399999999999</v>
      </c>
      <c r="R229" s="447">
        <v>722.72</v>
      </c>
      <c r="S229" s="447">
        <v>665.56</v>
      </c>
      <c r="T229" s="448">
        <v>702.24</v>
      </c>
      <c r="V229" s="447">
        <f t="shared" si="52"/>
        <v>1000.6404</v>
      </c>
      <c r="W229" s="447">
        <f t="shared" si="40"/>
        <v>978.2718000000001</v>
      </c>
      <c r="X229" s="447">
        <f t="shared" si="41"/>
        <v>953.02680000000009</v>
      </c>
      <c r="Y229" s="447">
        <f t="shared" si="42"/>
        <v>893.50980000000004</v>
      </c>
      <c r="Z229" s="447">
        <f t="shared" si="43"/>
        <v>873.58920000000001</v>
      </c>
      <c r="AA229" s="447">
        <f t="shared" si="44"/>
        <v>851.02680000000009</v>
      </c>
      <c r="AB229" s="447">
        <f t="shared" si="45"/>
        <v>501.9522</v>
      </c>
      <c r="AC229" s="447">
        <f t="shared" si="46"/>
        <v>1219.8588</v>
      </c>
      <c r="AD229" s="447">
        <f t="shared" si="47"/>
        <v>1152.5694000000001</v>
      </c>
      <c r="AE229" s="447">
        <f t="shared" si="48"/>
        <v>1094.2967999999998</v>
      </c>
      <c r="AF229" s="447">
        <f t="shared" si="49"/>
        <v>737.17439999999999</v>
      </c>
      <c r="AG229" s="447">
        <f t="shared" si="50"/>
        <v>678.87119999999993</v>
      </c>
      <c r="AH229" s="448">
        <f t="shared" si="51"/>
        <v>716.28480000000002</v>
      </c>
    </row>
    <row r="230" spans="1:34" ht="16.5" thickBot="1">
      <c r="A230" s="429">
        <v>2018</v>
      </c>
      <c r="B230" s="426" t="s">
        <v>317</v>
      </c>
      <c r="C230" s="421" t="s">
        <v>304</v>
      </c>
      <c r="D230" s="421" t="s">
        <v>305</v>
      </c>
      <c r="E230" s="431" t="s">
        <v>316</v>
      </c>
      <c r="F230" s="423" t="s">
        <v>307</v>
      </c>
      <c r="G230" s="424" t="s">
        <v>214</v>
      </c>
      <c r="H230" s="449">
        <v>1569.64</v>
      </c>
      <c r="I230" s="449">
        <v>1534.54</v>
      </c>
      <c r="J230" s="449">
        <v>1494.95</v>
      </c>
      <c r="K230" s="449">
        <v>1401.59</v>
      </c>
      <c r="L230" s="449">
        <v>1370.33</v>
      </c>
      <c r="M230" s="449">
        <v>1334.95</v>
      </c>
      <c r="N230" s="449">
        <v>787.37</v>
      </c>
      <c r="O230" s="449">
        <v>1913.5</v>
      </c>
      <c r="P230" s="449">
        <v>1807.94</v>
      </c>
      <c r="Q230" s="449">
        <v>1716.55</v>
      </c>
      <c r="R230" s="449">
        <v>1156.3599999999999</v>
      </c>
      <c r="S230" s="449">
        <v>1064.8900000000001</v>
      </c>
      <c r="T230" s="450">
        <v>1123.57</v>
      </c>
      <c r="V230" s="449">
        <f t="shared" si="52"/>
        <v>1601.0328000000002</v>
      </c>
      <c r="W230" s="449">
        <f t="shared" si="40"/>
        <v>1565.2308</v>
      </c>
      <c r="X230" s="449">
        <f t="shared" si="41"/>
        <v>1524.8490000000002</v>
      </c>
      <c r="Y230" s="449">
        <f t="shared" si="42"/>
        <v>1429.6217999999999</v>
      </c>
      <c r="Z230" s="449">
        <f t="shared" si="43"/>
        <v>1397.7366</v>
      </c>
      <c r="AA230" s="449">
        <f t="shared" si="44"/>
        <v>1361.6490000000001</v>
      </c>
      <c r="AB230" s="449">
        <f t="shared" si="45"/>
        <v>803.11739999999998</v>
      </c>
      <c r="AC230" s="449">
        <f t="shared" si="46"/>
        <v>1951.77</v>
      </c>
      <c r="AD230" s="449">
        <f t="shared" si="47"/>
        <v>1844.0988</v>
      </c>
      <c r="AE230" s="449">
        <f t="shared" si="48"/>
        <v>1750.8810000000001</v>
      </c>
      <c r="AF230" s="449">
        <f t="shared" si="49"/>
        <v>1179.4872</v>
      </c>
      <c r="AG230" s="449">
        <f t="shared" si="50"/>
        <v>1086.1878000000002</v>
      </c>
      <c r="AH230" s="450">
        <f t="shared" si="51"/>
        <v>1146.0414000000001</v>
      </c>
    </row>
    <row r="231" spans="1:34">
      <c r="A231" s="427">
        <v>2018</v>
      </c>
      <c r="B231" s="425" t="s">
        <v>317</v>
      </c>
      <c r="C231" s="414" t="s">
        <v>309</v>
      </c>
      <c r="D231" s="414" t="s">
        <v>310</v>
      </c>
      <c r="E231" s="430" t="s">
        <v>316</v>
      </c>
      <c r="F231" s="416" t="s">
        <v>307</v>
      </c>
      <c r="G231" s="417" t="s">
        <v>211</v>
      </c>
      <c r="H231" s="445">
        <v>567.39</v>
      </c>
      <c r="I231" s="445">
        <v>554.71</v>
      </c>
      <c r="J231" s="445">
        <v>540.4</v>
      </c>
      <c r="K231" s="445">
        <v>506.65</v>
      </c>
      <c r="L231" s="445">
        <v>495.35</v>
      </c>
      <c r="M231" s="445">
        <v>482.56</v>
      </c>
      <c r="N231" s="445">
        <v>284.62</v>
      </c>
      <c r="O231" s="445">
        <v>691.69</v>
      </c>
      <c r="P231" s="445">
        <v>653.54</v>
      </c>
      <c r="Q231" s="445">
        <v>620.5</v>
      </c>
      <c r="R231" s="445">
        <v>418</v>
      </c>
      <c r="S231" s="445">
        <v>384.94</v>
      </c>
      <c r="T231" s="446">
        <v>406.15</v>
      </c>
      <c r="V231" s="445">
        <f t="shared" si="52"/>
        <v>578.73779999999999</v>
      </c>
      <c r="W231" s="445">
        <f t="shared" si="40"/>
        <v>565.80420000000004</v>
      </c>
      <c r="X231" s="445">
        <f t="shared" si="41"/>
        <v>551.20799999999997</v>
      </c>
      <c r="Y231" s="445">
        <f t="shared" si="42"/>
        <v>516.78300000000002</v>
      </c>
      <c r="Z231" s="445">
        <f t="shared" si="43"/>
        <v>505.25700000000001</v>
      </c>
      <c r="AA231" s="445">
        <f t="shared" si="44"/>
        <v>492.21120000000002</v>
      </c>
      <c r="AB231" s="445">
        <f t="shared" si="45"/>
        <v>290.31240000000003</v>
      </c>
      <c r="AC231" s="445">
        <f t="shared" si="46"/>
        <v>705.52380000000005</v>
      </c>
      <c r="AD231" s="445">
        <f t="shared" si="47"/>
        <v>666.61079999999993</v>
      </c>
      <c r="AE231" s="445">
        <f t="shared" si="48"/>
        <v>632.91</v>
      </c>
      <c r="AF231" s="445">
        <f t="shared" si="49"/>
        <v>426.36</v>
      </c>
      <c r="AG231" s="445">
        <f t="shared" si="50"/>
        <v>392.6388</v>
      </c>
      <c r="AH231" s="446">
        <f t="shared" si="51"/>
        <v>414.27299999999997</v>
      </c>
    </row>
    <row r="232" spans="1:34">
      <c r="A232" s="428">
        <v>2018</v>
      </c>
      <c r="B232" s="152" t="s">
        <v>317</v>
      </c>
      <c r="C232" s="146" t="s">
        <v>309</v>
      </c>
      <c r="D232" s="146" t="s">
        <v>310</v>
      </c>
      <c r="E232" s="151" t="s">
        <v>316</v>
      </c>
      <c r="F232" s="148" t="s">
        <v>307</v>
      </c>
      <c r="G232" s="149" t="s">
        <v>212</v>
      </c>
      <c r="H232" s="447">
        <v>1242.5899999999999</v>
      </c>
      <c r="I232" s="447">
        <v>1214.81</v>
      </c>
      <c r="J232" s="447">
        <v>1183.47</v>
      </c>
      <c r="K232" s="447">
        <v>1109.56</v>
      </c>
      <c r="L232" s="447">
        <v>1084.8</v>
      </c>
      <c r="M232" s="447">
        <v>1056.8</v>
      </c>
      <c r="N232" s="447">
        <v>623.32000000000005</v>
      </c>
      <c r="O232" s="447">
        <v>1514.81</v>
      </c>
      <c r="P232" s="447">
        <v>1431.25</v>
      </c>
      <c r="Q232" s="447">
        <v>1358.89</v>
      </c>
      <c r="R232" s="447">
        <v>915.43</v>
      </c>
      <c r="S232" s="447">
        <v>843.01</v>
      </c>
      <c r="T232" s="448">
        <v>889.47</v>
      </c>
      <c r="V232" s="447">
        <f t="shared" si="52"/>
        <v>1267.4417999999998</v>
      </c>
      <c r="W232" s="447">
        <f t="shared" si="40"/>
        <v>1239.1061999999999</v>
      </c>
      <c r="X232" s="447">
        <f t="shared" si="41"/>
        <v>1207.1394</v>
      </c>
      <c r="Y232" s="447">
        <f t="shared" si="42"/>
        <v>1131.7511999999999</v>
      </c>
      <c r="Z232" s="447">
        <f t="shared" si="43"/>
        <v>1106.4959999999999</v>
      </c>
      <c r="AA232" s="447">
        <f t="shared" si="44"/>
        <v>1077.9359999999999</v>
      </c>
      <c r="AB232" s="447">
        <f t="shared" si="45"/>
        <v>635.78640000000007</v>
      </c>
      <c r="AC232" s="447">
        <f t="shared" si="46"/>
        <v>1545.1061999999999</v>
      </c>
      <c r="AD232" s="447">
        <f t="shared" si="47"/>
        <v>1459.875</v>
      </c>
      <c r="AE232" s="447">
        <f t="shared" si="48"/>
        <v>1386.0678</v>
      </c>
      <c r="AF232" s="447">
        <f t="shared" si="49"/>
        <v>933.73860000000002</v>
      </c>
      <c r="AG232" s="447">
        <f t="shared" si="50"/>
        <v>859.87019999999995</v>
      </c>
      <c r="AH232" s="448">
        <f t="shared" si="51"/>
        <v>907.25940000000003</v>
      </c>
    </row>
    <row r="233" spans="1:34">
      <c r="A233" s="428">
        <v>2018</v>
      </c>
      <c r="B233" s="152" t="s">
        <v>317</v>
      </c>
      <c r="C233" s="146" t="s">
        <v>309</v>
      </c>
      <c r="D233" s="146" t="s">
        <v>310</v>
      </c>
      <c r="E233" s="151" t="s">
        <v>316</v>
      </c>
      <c r="F233" s="148" t="s">
        <v>307</v>
      </c>
      <c r="G233" s="149" t="s">
        <v>213</v>
      </c>
      <c r="H233" s="447">
        <v>1078.05</v>
      </c>
      <c r="I233" s="447">
        <v>1053.94</v>
      </c>
      <c r="J233" s="447">
        <v>1026.75</v>
      </c>
      <c r="K233" s="447">
        <v>962.63</v>
      </c>
      <c r="L233" s="447">
        <v>941.16</v>
      </c>
      <c r="M233" s="447">
        <v>916.85</v>
      </c>
      <c r="N233" s="447">
        <v>540.78</v>
      </c>
      <c r="O233" s="447">
        <v>1314.22</v>
      </c>
      <c r="P233" s="447">
        <v>1241.73</v>
      </c>
      <c r="Q233" s="447">
        <v>1178.95</v>
      </c>
      <c r="R233" s="447">
        <v>794.2</v>
      </c>
      <c r="S233" s="447">
        <v>731.38</v>
      </c>
      <c r="T233" s="448">
        <v>771.69</v>
      </c>
      <c r="V233" s="447">
        <f t="shared" si="52"/>
        <v>1099.6109999999999</v>
      </c>
      <c r="W233" s="447">
        <f t="shared" si="40"/>
        <v>1075.0188000000001</v>
      </c>
      <c r="X233" s="447">
        <f t="shared" si="41"/>
        <v>1047.2850000000001</v>
      </c>
      <c r="Y233" s="447">
        <f t="shared" si="42"/>
        <v>981.88260000000002</v>
      </c>
      <c r="Z233" s="447">
        <f t="shared" si="43"/>
        <v>959.98320000000001</v>
      </c>
      <c r="AA233" s="447">
        <f t="shared" si="44"/>
        <v>935.18700000000001</v>
      </c>
      <c r="AB233" s="447">
        <f t="shared" si="45"/>
        <v>551.59559999999999</v>
      </c>
      <c r="AC233" s="447">
        <f t="shared" si="46"/>
        <v>1340.5044</v>
      </c>
      <c r="AD233" s="447">
        <f t="shared" si="47"/>
        <v>1266.5645999999999</v>
      </c>
      <c r="AE233" s="447">
        <f t="shared" si="48"/>
        <v>1202.529</v>
      </c>
      <c r="AF233" s="447">
        <f t="shared" si="49"/>
        <v>810.08400000000006</v>
      </c>
      <c r="AG233" s="447">
        <f t="shared" si="50"/>
        <v>746.00760000000002</v>
      </c>
      <c r="AH233" s="448">
        <f t="shared" si="51"/>
        <v>787.12380000000007</v>
      </c>
    </row>
    <row r="234" spans="1:34" ht="16.5" thickBot="1">
      <c r="A234" s="429">
        <v>2018</v>
      </c>
      <c r="B234" s="426" t="s">
        <v>317</v>
      </c>
      <c r="C234" s="421" t="s">
        <v>309</v>
      </c>
      <c r="D234" s="421" t="s">
        <v>310</v>
      </c>
      <c r="E234" s="431" t="s">
        <v>316</v>
      </c>
      <c r="F234" s="423" t="s">
        <v>307</v>
      </c>
      <c r="G234" s="424" t="s">
        <v>214</v>
      </c>
      <c r="H234" s="449">
        <v>1724.87</v>
      </c>
      <c r="I234" s="449">
        <v>1686.31</v>
      </c>
      <c r="J234" s="449">
        <v>1642.8</v>
      </c>
      <c r="K234" s="449">
        <v>1540.21</v>
      </c>
      <c r="L234" s="449">
        <v>1505.85</v>
      </c>
      <c r="M234" s="449">
        <v>1466.98</v>
      </c>
      <c r="N234" s="449">
        <v>865.24</v>
      </c>
      <c r="O234" s="449">
        <v>2102.75</v>
      </c>
      <c r="P234" s="449">
        <v>1986.75</v>
      </c>
      <c r="Q234" s="449">
        <v>1886.32</v>
      </c>
      <c r="R234" s="449">
        <v>1270.72</v>
      </c>
      <c r="S234" s="449">
        <v>1170.2</v>
      </c>
      <c r="T234" s="450">
        <v>1234.69</v>
      </c>
      <c r="V234" s="449">
        <f t="shared" si="52"/>
        <v>1759.3673999999999</v>
      </c>
      <c r="W234" s="449">
        <f t="shared" si="40"/>
        <v>1720.0362</v>
      </c>
      <c r="X234" s="449">
        <f t="shared" si="41"/>
        <v>1675.6559999999999</v>
      </c>
      <c r="Y234" s="449">
        <f t="shared" si="42"/>
        <v>1571.0142000000001</v>
      </c>
      <c r="Z234" s="449">
        <f t="shared" si="43"/>
        <v>1535.9669999999999</v>
      </c>
      <c r="AA234" s="449">
        <f t="shared" si="44"/>
        <v>1496.3196</v>
      </c>
      <c r="AB234" s="449">
        <f t="shared" si="45"/>
        <v>882.54480000000001</v>
      </c>
      <c r="AC234" s="449">
        <f t="shared" si="46"/>
        <v>2144.8049999999998</v>
      </c>
      <c r="AD234" s="449">
        <f t="shared" si="47"/>
        <v>2026.4850000000001</v>
      </c>
      <c r="AE234" s="449">
        <f t="shared" si="48"/>
        <v>1924.0463999999999</v>
      </c>
      <c r="AF234" s="449">
        <f t="shared" si="49"/>
        <v>1296.1344000000001</v>
      </c>
      <c r="AG234" s="449">
        <f t="shared" si="50"/>
        <v>1193.604</v>
      </c>
      <c r="AH234" s="450">
        <f t="shared" si="51"/>
        <v>1259.3838000000001</v>
      </c>
    </row>
    <row r="235" spans="1:34">
      <c r="A235" s="427">
        <v>2018</v>
      </c>
      <c r="B235" s="425" t="s">
        <v>317</v>
      </c>
      <c r="C235" s="414" t="s">
        <v>311</v>
      </c>
      <c r="D235" s="414" t="s">
        <v>312</v>
      </c>
      <c r="E235" s="430" t="s">
        <v>316</v>
      </c>
      <c r="F235" s="416" t="s">
        <v>307</v>
      </c>
      <c r="G235" s="417" t="s">
        <v>211</v>
      </c>
      <c r="H235" s="445">
        <v>597.25</v>
      </c>
      <c r="I235" s="445">
        <v>583.9</v>
      </c>
      <c r="J235" s="445">
        <v>568.84</v>
      </c>
      <c r="K235" s="445">
        <v>533.30999999999995</v>
      </c>
      <c r="L235" s="445">
        <v>521.41999999999996</v>
      </c>
      <c r="M235" s="445">
        <v>507.95</v>
      </c>
      <c r="N235" s="445">
        <v>299.60000000000002</v>
      </c>
      <c r="O235" s="445">
        <v>728.1</v>
      </c>
      <c r="P235" s="445">
        <v>687.93</v>
      </c>
      <c r="Q235" s="445">
        <v>653.16</v>
      </c>
      <c r="R235" s="445">
        <v>440</v>
      </c>
      <c r="S235" s="445">
        <v>405.2</v>
      </c>
      <c r="T235" s="446">
        <v>427.53</v>
      </c>
      <c r="V235" s="445">
        <f t="shared" si="52"/>
        <v>609.19500000000005</v>
      </c>
      <c r="W235" s="445">
        <f t="shared" si="40"/>
        <v>595.57799999999997</v>
      </c>
      <c r="X235" s="445">
        <f t="shared" si="41"/>
        <v>580.21680000000003</v>
      </c>
      <c r="Y235" s="445">
        <f t="shared" si="42"/>
        <v>543.97619999999995</v>
      </c>
      <c r="Z235" s="445">
        <f t="shared" si="43"/>
        <v>531.84839999999997</v>
      </c>
      <c r="AA235" s="445">
        <f t="shared" si="44"/>
        <v>518.10900000000004</v>
      </c>
      <c r="AB235" s="445">
        <f t="shared" si="45"/>
        <v>305.59200000000004</v>
      </c>
      <c r="AC235" s="445">
        <f t="shared" si="46"/>
        <v>742.66200000000003</v>
      </c>
      <c r="AD235" s="445">
        <f t="shared" si="47"/>
        <v>701.68859999999995</v>
      </c>
      <c r="AE235" s="445">
        <f t="shared" si="48"/>
        <v>666.22320000000002</v>
      </c>
      <c r="AF235" s="445">
        <f t="shared" si="49"/>
        <v>448.8</v>
      </c>
      <c r="AG235" s="445">
        <f t="shared" si="50"/>
        <v>413.30399999999997</v>
      </c>
      <c r="AH235" s="446">
        <f t="shared" si="51"/>
        <v>436.0806</v>
      </c>
    </row>
    <row r="236" spans="1:34">
      <c r="A236" s="428">
        <v>2018</v>
      </c>
      <c r="B236" s="152" t="s">
        <v>317</v>
      </c>
      <c r="C236" s="146" t="s">
        <v>311</v>
      </c>
      <c r="D236" s="146" t="s">
        <v>312</v>
      </c>
      <c r="E236" s="151" t="s">
        <v>316</v>
      </c>
      <c r="F236" s="148" t="s">
        <v>307</v>
      </c>
      <c r="G236" s="149" t="s">
        <v>212</v>
      </c>
      <c r="H236" s="447">
        <v>1307.99</v>
      </c>
      <c r="I236" s="447">
        <v>1278.74</v>
      </c>
      <c r="J236" s="447">
        <v>1245.76</v>
      </c>
      <c r="K236" s="447">
        <v>1167.96</v>
      </c>
      <c r="L236" s="447">
        <v>1141.9000000000001</v>
      </c>
      <c r="M236" s="447">
        <v>1112.42</v>
      </c>
      <c r="N236" s="447">
        <v>656.13</v>
      </c>
      <c r="O236" s="447">
        <v>1594.54</v>
      </c>
      <c r="P236" s="447">
        <v>1506.58</v>
      </c>
      <c r="Q236" s="447">
        <v>1430.41</v>
      </c>
      <c r="R236" s="447">
        <v>963.61</v>
      </c>
      <c r="S236" s="447">
        <v>887.38</v>
      </c>
      <c r="T236" s="448">
        <v>936.28</v>
      </c>
      <c r="V236" s="447">
        <f t="shared" si="52"/>
        <v>1334.1498000000001</v>
      </c>
      <c r="W236" s="447">
        <f t="shared" si="40"/>
        <v>1304.3148000000001</v>
      </c>
      <c r="X236" s="447">
        <f t="shared" si="41"/>
        <v>1270.6751999999999</v>
      </c>
      <c r="Y236" s="447">
        <f t="shared" si="42"/>
        <v>1191.3192000000001</v>
      </c>
      <c r="Z236" s="447">
        <f t="shared" si="43"/>
        <v>1164.7380000000001</v>
      </c>
      <c r="AA236" s="447">
        <f t="shared" si="44"/>
        <v>1134.6684</v>
      </c>
      <c r="AB236" s="447">
        <f t="shared" si="45"/>
        <v>669.25260000000003</v>
      </c>
      <c r="AC236" s="447">
        <f t="shared" si="46"/>
        <v>1626.4308000000001</v>
      </c>
      <c r="AD236" s="447">
        <f t="shared" si="47"/>
        <v>1536.7115999999999</v>
      </c>
      <c r="AE236" s="447">
        <f t="shared" si="48"/>
        <v>1459.0182000000002</v>
      </c>
      <c r="AF236" s="447">
        <f t="shared" si="49"/>
        <v>982.88220000000001</v>
      </c>
      <c r="AG236" s="447">
        <f t="shared" si="50"/>
        <v>905.12760000000003</v>
      </c>
      <c r="AH236" s="448">
        <f t="shared" si="51"/>
        <v>955.00559999999996</v>
      </c>
    </row>
    <row r="237" spans="1:34">
      <c r="A237" s="428">
        <v>2018</v>
      </c>
      <c r="B237" s="152" t="s">
        <v>317</v>
      </c>
      <c r="C237" s="146" t="s">
        <v>311</v>
      </c>
      <c r="D237" s="146" t="s">
        <v>312</v>
      </c>
      <c r="E237" s="151" t="s">
        <v>316</v>
      </c>
      <c r="F237" s="148" t="s">
        <v>307</v>
      </c>
      <c r="G237" s="149" t="s">
        <v>213</v>
      </c>
      <c r="H237" s="447">
        <v>1134.79</v>
      </c>
      <c r="I237" s="447">
        <v>1109.4100000000001</v>
      </c>
      <c r="J237" s="447">
        <v>1080.79</v>
      </c>
      <c r="K237" s="447">
        <v>1013.29</v>
      </c>
      <c r="L237" s="447">
        <v>990.7</v>
      </c>
      <c r="M237" s="447">
        <v>965.11</v>
      </c>
      <c r="N237" s="447">
        <v>569.24</v>
      </c>
      <c r="O237" s="447">
        <v>1383.39</v>
      </c>
      <c r="P237" s="447">
        <v>1307.08</v>
      </c>
      <c r="Q237" s="447">
        <v>1241</v>
      </c>
      <c r="R237" s="447">
        <v>836</v>
      </c>
      <c r="S237" s="447">
        <v>769.88</v>
      </c>
      <c r="T237" s="448">
        <v>812.31</v>
      </c>
      <c r="V237" s="447">
        <f t="shared" si="52"/>
        <v>1157.4857999999999</v>
      </c>
      <c r="W237" s="447">
        <f t="shared" si="40"/>
        <v>1131.5982000000001</v>
      </c>
      <c r="X237" s="447">
        <f t="shared" si="41"/>
        <v>1102.4058</v>
      </c>
      <c r="Y237" s="447">
        <f t="shared" si="42"/>
        <v>1033.5558000000001</v>
      </c>
      <c r="Z237" s="447">
        <f t="shared" si="43"/>
        <v>1010.514</v>
      </c>
      <c r="AA237" s="447">
        <f t="shared" si="44"/>
        <v>984.41219999999998</v>
      </c>
      <c r="AB237" s="447">
        <f t="shared" si="45"/>
        <v>580.62480000000005</v>
      </c>
      <c r="AC237" s="447">
        <f t="shared" si="46"/>
        <v>1411.0578</v>
      </c>
      <c r="AD237" s="447">
        <f t="shared" si="47"/>
        <v>1333.2215999999999</v>
      </c>
      <c r="AE237" s="447">
        <f t="shared" si="48"/>
        <v>1265.82</v>
      </c>
      <c r="AF237" s="447">
        <f t="shared" si="49"/>
        <v>852.72</v>
      </c>
      <c r="AG237" s="447">
        <f t="shared" si="50"/>
        <v>785.27760000000001</v>
      </c>
      <c r="AH237" s="448">
        <f t="shared" si="51"/>
        <v>828.55619999999999</v>
      </c>
    </row>
    <row r="238" spans="1:34" ht="16.5" thickBot="1">
      <c r="A238" s="429">
        <v>2018</v>
      </c>
      <c r="B238" s="426" t="s">
        <v>317</v>
      </c>
      <c r="C238" s="421" t="s">
        <v>311</v>
      </c>
      <c r="D238" s="421" t="s">
        <v>312</v>
      </c>
      <c r="E238" s="431" t="s">
        <v>316</v>
      </c>
      <c r="F238" s="423" t="s">
        <v>307</v>
      </c>
      <c r="G238" s="424" t="s">
        <v>214</v>
      </c>
      <c r="H238" s="449">
        <v>1815.66</v>
      </c>
      <c r="I238" s="449">
        <v>1775.07</v>
      </c>
      <c r="J238" s="449">
        <v>1729.26</v>
      </c>
      <c r="K238" s="449">
        <v>1621.27</v>
      </c>
      <c r="L238" s="449">
        <v>1585.11</v>
      </c>
      <c r="M238" s="449">
        <v>1544.19</v>
      </c>
      <c r="N238" s="449">
        <v>910.78</v>
      </c>
      <c r="O238" s="449">
        <v>2213.42</v>
      </c>
      <c r="P238" s="449">
        <v>2091.3200000000002</v>
      </c>
      <c r="Q238" s="449">
        <v>1985.6</v>
      </c>
      <c r="R238" s="449">
        <v>1337.6</v>
      </c>
      <c r="S238" s="449">
        <v>1231.79</v>
      </c>
      <c r="T238" s="450">
        <v>1299.68</v>
      </c>
      <c r="V238" s="449">
        <f t="shared" si="52"/>
        <v>1851.9732000000001</v>
      </c>
      <c r="W238" s="449">
        <f t="shared" si="40"/>
        <v>1810.5714</v>
      </c>
      <c r="X238" s="449">
        <f t="shared" si="41"/>
        <v>1763.8452</v>
      </c>
      <c r="Y238" s="449">
        <f t="shared" si="42"/>
        <v>1653.6954000000001</v>
      </c>
      <c r="Z238" s="449">
        <f t="shared" si="43"/>
        <v>1616.8121999999998</v>
      </c>
      <c r="AA238" s="449">
        <f t="shared" si="44"/>
        <v>1575.0738000000001</v>
      </c>
      <c r="AB238" s="449">
        <f t="shared" si="45"/>
        <v>928.99559999999997</v>
      </c>
      <c r="AC238" s="449">
        <f t="shared" si="46"/>
        <v>2257.6884</v>
      </c>
      <c r="AD238" s="449">
        <f t="shared" si="47"/>
        <v>2133.1464000000001</v>
      </c>
      <c r="AE238" s="449">
        <f t="shared" si="48"/>
        <v>2025.3119999999999</v>
      </c>
      <c r="AF238" s="449">
        <f t="shared" si="49"/>
        <v>1364.3519999999999</v>
      </c>
      <c r="AG238" s="449">
        <f t="shared" si="50"/>
        <v>1256.4258</v>
      </c>
      <c r="AH238" s="450">
        <f t="shared" si="51"/>
        <v>1325.6736000000001</v>
      </c>
    </row>
    <row r="239" spans="1:34">
      <c r="A239" s="427">
        <v>2018</v>
      </c>
      <c r="B239" s="425" t="s">
        <v>317</v>
      </c>
      <c r="C239" s="414" t="s">
        <v>313</v>
      </c>
      <c r="D239" s="414" t="s">
        <v>314</v>
      </c>
      <c r="E239" s="430" t="s">
        <v>316</v>
      </c>
      <c r="F239" s="416" t="s">
        <v>307</v>
      </c>
      <c r="G239" s="417" t="s">
        <v>211</v>
      </c>
      <c r="H239" s="445">
        <v>686.84</v>
      </c>
      <c r="I239" s="445">
        <v>671.49</v>
      </c>
      <c r="J239" s="445">
        <v>654.16</v>
      </c>
      <c r="K239" s="445">
        <v>613.30999999999995</v>
      </c>
      <c r="L239" s="445">
        <v>599.63</v>
      </c>
      <c r="M239" s="445">
        <v>584.15</v>
      </c>
      <c r="N239" s="445">
        <v>344.54</v>
      </c>
      <c r="O239" s="445">
        <v>837.31</v>
      </c>
      <c r="P239" s="445">
        <v>791.12</v>
      </c>
      <c r="Q239" s="445">
        <v>751.13</v>
      </c>
      <c r="R239" s="445">
        <v>506</v>
      </c>
      <c r="S239" s="445">
        <v>465.98</v>
      </c>
      <c r="T239" s="446">
        <v>491.66</v>
      </c>
      <c r="V239" s="445">
        <f t="shared" si="52"/>
        <v>700.57680000000005</v>
      </c>
      <c r="W239" s="445">
        <f t="shared" si="40"/>
        <v>684.91980000000001</v>
      </c>
      <c r="X239" s="445">
        <f t="shared" si="41"/>
        <v>667.2432</v>
      </c>
      <c r="Y239" s="445">
        <f t="shared" si="42"/>
        <v>625.57619999999997</v>
      </c>
      <c r="Z239" s="445">
        <f t="shared" si="43"/>
        <v>611.62260000000003</v>
      </c>
      <c r="AA239" s="445">
        <f t="shared" si="44"/>
        <v>595.83299999999997</v>
      </c>
      <c r="AB239" s="445">
        <f t="shared" si="45"/>
        <v>351.43080000000003</v>
      </c>
      <c r="AC239" s="445">
        <f t="shared" si="46"/>
        <v>854.05619999999999</v>
      </c>
      <c r="AD239" s="445">
        <f t="shared" si="47"/>
        <v>806.94240000000002</v>
      </c>
      <c r="AE239" s="445">
        <f t="shared" si="48"/>
        <v>766.15260000000001</v>
      </c>
      <c r="AF239" s="445">
        <f t="shared" si="49"/>
        <v>516.12</v>
      </c>
      <c r="AG239" s="445">
        <f t="shared" si="50"/>
        <v>475.29960000000005</v>
      </c>
      <c r="AH239" s="446">
        <f t="shared" si="51"/>
        <v>501.49320000000006</v>
      </c>
    </row>
    <row r="240" spans="1:34">
      <c r="A240" s="428">
        <v>2018</v>
      </c>
      <c r="B240" s="152" t="s">
        <v>317</v>
      </c>
      <c r="C240" s="146" t="s">
        <v>313</v>
      </c>
      <c r="D240" s="146" t="s">
        <v>314</v>
      </c>
      <c r="E240" s="151" t="s">
        <v>316</v>
      </c>
      <c r="F240" s="148" t="s">
        <v>307</v>
      </c>
      <c r="G240" s="149" t="s">
        <v>212</v>
      </c>
      <c r="H240" s="447">
        <v>1504.19</v>
      </c>
      <c r="I240" s="447">
        <v>1470.56</v>
      </c>
      <c r="J240" s="447">
        <v>1432.63</v>
      </c>
      <c r="K240" s="447">
        <v>1343.15</v>
      </c>
      <c r="L240" s="447">
        <v>1313.18</v>
      </c>
      <c r="M240" s="447">
        <v>1279.28</v>
      </c>
      <c r="N240" s="447">
        <v>754.55</v>
      </c>
      <c r="O240" s="447">
        <v>1833.72</v>
      </c>
      <c r="P240" s="447">
        <v>1732.56</v>
      </c>
      <c r="Q240" s="447">
        <v>1644.97</v>
      </c>
      <c r="R240" s="447">
        <v>1108.1500000000001</v>
      </c>
      <c r="S240" s="447">
        <v>1020.48</v>
      </c>
      <c r="T240" s="448">
        <v>1076.72</v>
      </c>
      <c r="V240" s="447">
        <f t="shared" si="52"/>
        <v>1534.2738000000002</v>
      </c>
      <c r="W240" s="447">
        <f t="shared" si="40"/>
        <v>1499.9712</v>
      </c>
      <c r="X240" s="447">
        <f t="shared" si="41"/>
        <v>1461.2826000000002</v>
      </c>
      <c r="Y240" s="447">
        <f t="shared" si="42"/>
        <v>1370.0130000000001</v>
      </c>
      <c r="Z240" s="447">
        <f t="shared" si="43"/>
        <v>1339.4436000000001</v>
      </c>
      <c r="AA240" s="447">
        <f t="shared" si="44"/>
        <v>1304.8656000000001</v>
      </c>
      <c r="AB240" s="447">
        <f t="shared" si="45"/>
        <v>769.64099999999996</v>
      </c>
      <c r="AC240" s="447">
        <f t="shared" si="46"/>
        <v>1870.3944000000001</v>
      </c>
      <c r="AD240" s="447">
        <f t="shared" si="47"/>
        <v>1767.2112</v>
      </c>
      <c r="AE240" s="447">
        <f t="shared" si="48"/>
        <v>1677.8694</v>
      </c>
      <c r="AF240" s="447">
        <f t="shared" si="49"/>
        <v>1130.3130000000001</v>
      </c>
      <c r="AG240" s="447">
        <f t="shared" si="50"/>
        <v>1040.8896</v>
      </c>
      <c r="AH240" s="448">
        <f t="shared" si="51"/>
        <v>1098.2544</v>
      </c>
    </row>
    <row r="241" spans="1:34">
      <c r="A241" s="428">
        <v>2018</v>
      </c>
      <c r="B241" s="152" t="s">
        <v>317</v>
      </c>
      <c r="C241" s="146" t="s">
        <v>313</v>
      </c>
      <c r="D241" s="146" t="s">
        <v>314</v>
      </c>
      <c r="E241" s="151" t="s">
        <v>316</v>
      </c>
      <c r="F241" s="148" t="s">
        <v>307</v>
      </c>
      <c r="G241" s="149" t="s">
        <v>213</v>
      </c>
      <c r="H241" s="447">
        <v>1305.01</v>
      </c>
      <c r="I241" s="447">
        <v>1275.82</v>
      </c>
      <c r="J241" s="447">
        <v>1242.9100000000001</v>
      </c>
      <c r="K241" s="447">
        <v>1165.29</v>
      </c>
      <c r="L241" s="447">
        <v>1139.3</v>
      </c>
      <c r="M241" s="447">
        <v>1109.8800000000001</v>
      </c>
      <c r="N241" s="447">
        <v>654.63</v>
      </c>
      <c r="O241" s="447">
        <v>1590.9</v>
      </c>
      <c r="P241" s="447">
        <v>1503.14</v>
      </c>
      <c r="Q241" s="447">
        <v>1427.15</v>
      </c>
      <c r="R241" s="447">
        <v>961.4</v>
      </c>
      <c r="S241" s="447">
        <v>885.36</v>
      </c>
      <c r="T241" s="448">
        <v>934.15</v>
      </c>
      <c r="V241" s="447">
        <f t="shared" si="52"/>
        <v>1331.1102000000001</v>
      </c>
      <c r="W241" s="447">
        <f t="shared" si="40"/>
        <v>1301.3363999999999</v>
      </c>
      <c r="X241" s="447">
        <f t="shared" si="41"/>
        <v>1267.7682000000002</v>
      </c>
      <c r="Y241" s="447">
        <f t="shared" si="42"/>
        <v>1188.5958000000001</v>
      </c>
      <c r="Z241" s="447">
        <f t="shared" si="43"/>
        <v>1162.086</v>
      </c>
      <c r="AA241" s="447">
        <f t="shared" si="44"/>
        <v>1132.0776000000001</v>
      </c>
      <c r="AB241" s="447">
        <f t="shared" si="45"/>
        <v>667.72260000000006</v>
      </c>
      <c r="AC241" s="447">
        <f t="shared" si="46"/>
        <v>1622.7180000000001</v>
      </c>
      <c r="AD241" s="447">
        <f t="shared" si="47"/>
        <v>1533.2028</v>
      </c>
      <c r="AE241" s="447">
        <f t="shared" si="48"/>
        <v>1455.6930000000002</v>
      </c>
      <c r="AF241" s="447">
        <f t="shared" si="49"/>
        <v>980.62800000000004</v>
      </c>
      <c r="AG241" s="447">
        <f t="shared" si="50"/>
        <v>903.06720000000007</v>
      </c>
      <c r="AH241" s="448">
        <f t="shared" si="51"/>
        <v>952.83299999999997</v>
      </c>
    </row>
    <row r="242" spans="1:34" ht="16.5" thickBot="1">
      <c r="A242" s="429">
        <v>2018</v>
      </c>
      <c r="B242" s="426" t="s">
        <v>317</v>
      </c>
      <c r="C242" s="421" t="s">
        <v>313</v>
      </c>
      <c r="D242" s="421" t="s">
        <v>314</v>
      </c>
      <c r="E242" s="431" t="s">
        <v>316</v>
      </c>
      <c r="F242" s="423" t="s">
        <v>307</v>
      </c>
      <c r="G242" s="424" t="s">
        <v>214</v>
      </c>
      <c r="H242" s="449">
        <v>2088.0100000000002</v>
      </c>
      <c r="I242" s="449">
        <v>2041.32</v>
      </c>
      <c r="J242" s="449">
        <v>1988.65</v>
      </c>
      <c r="K242" s="449">
        <v>1864.46</v>
      </c>
      <c r="L242" s="449">
        <v>1822.87</v>
      </c>
      <c r="M242" s="449">
        <v>1775.81</v>
      </c>
      <c r="N242" s="449">
        <v>1047.4000000000001</v>
      </c>
      <c r="O242" s="449">
        <v>2545.44</v>
      </c>
      <c r="P242" s="449">
        <v>2405.02</v>
      </c>
      <c r="Q242" s="449">
        <v>2283.44</v>
      </c>
      <c r="R242" s="449">
        <v>1538.24</v>
      </c>
      <c r="S242" s="449">
        <v>1416.56</v>
      </c>
      <c r="T242" s="450">
        <v>1494.63</v>
      </c>
      <c r="V242" s="449">
        <f t="shared" si="52"/>
        <v>2129.7702000000004</v>
      </c>
      <c r="W242" s="449">
        <f t="shared" si="40"/>
        <v>2082.1464000000001</v>
      </c>
      <c r="X242" s="449">
        <f t="shared" si="41"/>
        <v>2028.4230000000002</v>
      </c>
      <c r="Y242" s="449">
        <f t="shared" si="42"/>
        <v>1901.7492</v>
      </c>
      <c r="Z242" s="449">
        <f t="shared" si="43"/>
        <v>1859.3273999999999</v>
      </c>
      <c r="AA242" s="449">
        <f t="shared" si="44"/>
        <v>1811.3262</v>
      </c>
      <c r="AB242" s="449">
        <f t="shared" si="45"/>
        <v>1068.3480000000002</v>
      </c>
      <c r="AC242" s="449">
        <f t="shared" si="46"/>
        <v>2596.3488000000002</v>
      </c>
      <c r="AD242" s="449">
        <f t="shared" si="47"/>
        <v>2453.1204000000002</v>
      </c>
      <c r="AE242" s="449">
        <f t="shared" si="48"/>
        <v>2329.1088</v>
      </c>
      <c r="AF242" s="449">
        <f t="shared" si="49"/>
        <v>1569.0047999999999</v>
      </c>
      <c r="AG242" s="449">
        <f t="shared" si="50"/>
        <v>1444.8912</v>
      </c>
      <c r="AH242" s="450">
        <f t="shared" si="51"/>
        <v>1524.5226000000002</v>
      </c>
    </row>
    <row r="243" spans="1:34">
      <c r="A243" s="427">
        <v>2018</v>
      </c>
      <c r="B243" s="425" t="s">
        <v>317</v>
      </c>
      <c r="C243" s="414" t="s">
        <v>304</v>
      </c>
      <c r="D243" s="414" t="s">
        <v>305</v>
      </c>
      <c r="E243" s="430" t="s">
        <v>316</v>
      </c>
      <c r="F243" s="432" t="s">
        <v>315</v>
      </c>
      <c r="G243" s="417" t="s">
        <v>211</v>
      </c>
      <c r="H243" s="445">
        <v>516.33000000000004</v>
      </c>
      <c r="I243" s="445">
        <v>504.78</v>
      </c>
      <c r="J243" s="445">
        <v>491.76</v>
      </c>
      <c r="K243" s="445">
        <v>461.05</v>
      </c>
      <c r="L243" s="445">
        <v>450.76</v>
      </c>
      <c r="M243" s="445">
        <v>439.13</v>
      </c>
      <c r="N243" s="445">
        <v>259.01</v>
      </c>
      <c r="O243" s="445">
        <v>651.47</v>
      </c>
      <c r="P243" s="445">
        <v>615.53</v>
      </c>
      <c r="Q243" s="445">
        <v>584.41999999999996</v>
      </c>
      <c r="R243" s="445">
        <v>393.69</v>
      </c>
      <c r="S243" s="445">
        <v>362.55</v>
      </c>
      <c r="T243" s="446">
        <v>382.53</v>
      </c>
      <c r="V243" s="445">
        <f t="shared" si="52"/>
        <v>526.65660000000003</v>
      </c>
      <c r="W243" s="445">
        <f t="shared" si="40"/>
        <v>514.87559999999996</v>
      </c>
      <c r="X243" s="445">
        <f t="shared" si="41"/>
        <v>501.59519999999998</v>
      </c>
      <c r="Y243" s="445">
        <f t="shared" si="42"/>
        <v>470.27100000000002</v>
      </c>
      <c r="Z243" s="445">
        <f t="shared" si="43"/>
        <v>459.77519999999998</v>
      </c>
      <c r="AA243" s="445">
        <f t="shared" si="44"/>
        <v>447.9126</v>
      </c>
      <c r="AB243" s="445">
        <f t="shared" si="45"/>
        <v>264.1902</v>
      </c>
      <c r="AC243" s="445">
        <f t="shared" si="46"/>
        <v>664.49940000000004</v>
      </c>
      <c r="AD243" s="445">
        <f t="shared" si="47"/>
        <v>627.84059999999999</v>
      </c>
      <c r="AE243" s="445">
        <f t="shared" si="48"/>
        <v>596.10839999999996</v>
      </c>
      <c r="AF243" s="445">
        <f t="shared" si="49"/>
        <v>401.56380000000001</v>
      </c>
      <c r="AG243" s="445">
        <f t="shared" si="50"/>
        <v>369.80100000000004</v>
      </c>
      <c r="AH243" s="446">
        <f t="shared" si="51"/>
        <v>390.18059999999997</v>
      </c>
    </row>
    <row r="244" spans="1:34">
      <c r="A244" s="428">
        <v>2018</v>
      </c>
      <c r="B244" s="152" t="s">
        <v>317</v>
      </c>
      <c r="C244" s="146" t="s">
        <v>304</v>
      </c>
      <c r="D244" s="146" t="s">
        <v>305</v>
      </c>
      <c r="E244" s="151" t="s">
        <v>316</v>
      </c>
      <c r="F244" s="433" t="s">
        <v>315</v>
      </c>
      <c r="G244" s="149" t="s">
        <v>212</v>
      </c>
      <c r="H244" s="447">
        <v>1130.76</v>
      </c>
      <c r="I244" s="447">
        <v>1105.47</v>
      </c>
      <c r="J244" s="447">
        <v>1076.96</v>
      </c>
      <c r="K244" s="447">
        <v>1009.7</v>
      </c>
      <c r="L244" s="447">
        <v>987.17</v>
      </c>
      <c r="M244" s="447">
        <v>961.69</v>
      </c>
      <c r="N244" s="447">
        <v>567.22</v>
      </c>
      <c r="O244" s="447">
        <v>1426.73</v>
      </c>
      <c r="P244" s="447">
        <v>1348.02</v>
      </c>
      <c r="Q244" s="447">
        <v>1279.8699999999999</v>
      </c>
      <c r="R244" s="447">
        <v>862.2</v>
      </c>
      <c r="S244" s="447">
        <v>793.99</v>
      </c>
      <c r="T244" s="448">
        <v>837.74</v>
      </c>
      <c r="V244" s="447">
        <f t="shared" si="52"/>
        <v>1153.3751999999999</v>
      </c>
      <c r="W244" s="447">
        <f t="shared" si="40"/>
        <v>1127.5794000000001</v>
      </c>
      <c r="X244" s="447">
        <f t="shared" si="41"/>
        <v>1098.4992</v>
      </c>
      <c r="Y244" s="447">
        <f t="shared" si="42"/>
        <v>1029.894</v>
      </c>
      <c r="Z244" s="447">
        <f t="shared" si="43"/>
        <v>1006.9134</v>
      </c>
      <c r="AA244" s="447">
        <f t="shared" si="44"/>
        <v>980.92380000000003</v>
      </c>
      <c r="AB244" s="447">
        <f t="shared" si="45"/>
        <v>578.56440000000009</v>
      </c>
      <c r="AC244" s="447">
        <f t="shared" si="46"/>
        <v>1455.2646</v>
      </c>
      <c r="AD244" s="447">
        <f t="shared" si="47"/>
        <v>1374.9803999999999</v>
      </c>
      <c r="AE244" s="447">
        <f t="shared" si="48"/>
        <v>1305.4674</v>
      </c>
      <c r="AF244" s="447">
        <f t="shared" si="49"/>
        <v>879.44400000000007</v>
      </c>
      <c r="AG244" s="447">
        <f t="shared" si="50"/>
        <v>809.86980000000005</v>
      </c>
      <c r="AH244" s="448">
        <f t="shared" si="51"/>
        <v>854.49480000000005</v>
      </c>
    </row>
    <row r="245" spans="1:34">
      <c r="A245" s="428">
        <v>2018</v>
      </c>
      <c r="B245" s="152" t="s">
        <v>317</v>
      </c>
      <c r="C245" s="146" t="s">
        <v>304</v>
      </c>
      <c r="D245" s="146" t="s">
        <v>305</v>
      </c>
      <c r="E245" s="151" t="s">
        <v>316</v>
      </c>
      <c r="F245" s="433" t="s">
        <v>315</v>
      </c>
      <c r="G245" s="149" t="s">
        <v>213</v>
      </c>
      <c r="H245" s="447">
        <v>981.02</v>
      </c>
      <c r="I245" s="447">
        <v>959.09</v>
      </c>
      <c r="J245" s="447">
        <v>934.34</v>
      </c>
      <c r="K245" s="447">
        <v>875.99</v>
      </c>
      <c r="L245" s="447">
        <v>856.46</v>
      </c>
      <c r="M245" s="447">
        <v>834.34</v>
      </c>
      <c r="N245" s="447">
        <v>492.11</v>
      </c>
      <c r="O245" s="447">
        <v>1237.8</v>
      </c>
      <c r="P245" s="447">
        <v>1169.52</v>
      </c>
      <c r="Q245" s="447">
        <v>1110.3900000000001</v>
      </c>
      <c r="R245" s="447">
        <v>748.02</v>
      </c>
      <c r="S245" s="447">
        <v>688.85</v>
      </c>
      <c r="T245" s="448">
        <v>726.82</v>
      </c>
      <c r="V245" s="447">
        <f t="shared" si="52"/>
        <v>1000.6404</v>
      </c>
      <c r="W245" s="447">
        <f t="shared" si="40"/>
        <v>978.2718000000001</v>
      </c>
      <c r="X245" s="447">
        <f t="shared" si="41"/>
        <v>953.02680000000009</v>
      </c>
      <c r="Y245" s="447">
        <f t="shared" si="42"/>
        <v>893.50980000000004</v>
      </c>
      <c r="Z245" s="447">
        <f t="shared" si="43"/>
        <v>873.58920000000001</v>
      </c>
      <c r="AA245" s="447">
        <f t="shared" si="44"/>
        <v>851.02680000000009</v>
      </c>
      <c r="AB245" s="447">
        <f t="shared" si="45"/>
        <v>501.9522</v>
      </c>
      <c r="AC245" s="447">
        <f t="shared" si="46"/>
        <v>1262.556</v>
      </c>
      <c r="AD245" s="447">
        <f t="shared" si="47"/>
        <v>1192.9104</v>
      </c>
      <c r="AE245" s="447">
        <f t="shared" si="48"/>
        <v>1132.5978000000002</v>
      </c>
      <c r="AF245" s="447">
        <f t="shared" si="49"/>
        <v>762.98040000000003</v>
      </c>
      <c r="AG245" s="447">
        <f t="shared" si="50"/>
        <v>702.62700000000007</v>
      </c>
      <c r="AH245" s="448">
        <f t="shared" si="51"/>
        <v>741.35640000000001</v>
      </c>
    </row>
    <row r="246" spans="1:34" ht="16.5" thickBot="1">
      <c r="A246" s="429">
        <v>2018</v>
      </c>
      <c r="B246" s="426" t="s">
        <v>317</v>
      </c>
      <c r="C246" s="421" t="s">
        <v>304</v>
      </c>
      <c r="D246" s="421" t="s">
        <v>305</v>
      </c>
      <c r="E246" s="431" t="s">
        <v>316</v>
      </c>
      <c r="F246" s="434" t="s">
        <v>315</v>
      </c>
      <c r="G246" s="424" t="s">
        <v>214</v>
      </c>
      <c r="H246" s="449">
        <v>1569.64</v>
      </c>
      <c r="I246" s="449">
        <v>1534.54</v>
      </c>
      <c r="J246" s="449">
        <v>1494.95</v>
      </c>
      <c r="K246" s="449">
        <v>1401.59</v>
      </c>
      <c r="L246" s="449">
        <v>1370.33</v>
      </c>
      <c r="M246" s="449">
        <v>1334.95</v>
      </c>
      <c r="N246" s="449">
        <v>787.37</v>
      </c>
      <c r="O246" s="449">
        <v>1980.48</v>
      </c>
      <c r="P246" s="449">
        <v>1871.22</v>
      </c>
      <c r="Q246" s="449">
        <v>1776.63</v>
      </c>
      <c r="R246" s="449">
        <v>1196.83</v>
      </c>
      <c r="S246" s="449">
        <v>1102.1600000000001</v>
      </c>
      <c r="T246" s="450">
        <v>1162.9000000000001</v>
      </c>
      <c r="V246" s="449">
        <f t="shared" si="52"/>
        <v>1601.0328000000002</v>
      </c>
      <c r="W246" s="449">
        <f t="shared" si="40"/>
        <v>1565.2308</v>
      </c>
      <c r="X246" s="449">
        <f t="shared" si="41"/>
        <v>1524.8490000000002</v>
      </c>
      <c r="Y246" s="449">
        <f t="shared" si="42"/>
        <v>1429.6217999999999</v>
      </c>
      <c r="Z246" s="449">
        <f t="shared" si="43"/>
        <v>1397.7366</v>
      </c>
      <c r="AA246" s="449">
        <f t="shared" si="44"/>
        <v>1361.6490000000001</v>
      </c>
      <c r="AB246" s="449">
        <f t="shared" si="45"/>
        <v>803.11739999999998</v>
      </c>
      <c r="AC246" s="449">
        <f t="shared" si="46"/>
        <v>2020.0896</v>
      </c>
      <c r="AD246" s="449">
        <f t="shared" si="47"/>
        <v>1908.6444000000001</v>
      </c>
      <c r="AE246" s="449">
        <f t="shared" si="48"/>
        <v>1812.1626000000001</v>
      </c>
      <c r="AF246" s="449">
        <f t="shared" si="49"/>
        <v>1220.7665999999999</v>
      </c>
      <c r="AG246" s="449">
        <f t="shared" si="50"/>
        <v>1124.2032000000002</v>
      </c>
      <c r="AH246" s="450">
        <f t="shared" si="51"/>
        <v>1186.1580000000001</v>
      </c>
    </row>
    <row r="247" spans="1:34">
      <c r="A247" s="427">
        <v>2018</v>
      </c>
      <c r="B247" s="425" t="s">
        <v>317</v>
      </c>
      <c r="C247" s="414" t="s">
        <v>309</v>
      </c>
      <c r="D247" s="414" t="s">
        <v>310</v>
      </c>
      <c r="E247" s="430" t="s">
        <v>316</v>
      </c>
      <c r="F247" s="432" t="s">
        <v>315</v>
      </c>
      <c r="G247" s="417" t="s">
        <v>211</v>
      </c>
      <c r="H247" s="445">
        <v>567.39</v>
      </c>
      <c r="I247" s="445">
        <v>554.71</v>
      </c>
      <c r="J247" s="445">
        <v>540.4</v>
      </c>
      <c r="K247" s="445">
        <v>506.65</v>
      </c>
      <c r="L247" s="445">
        <v>495.35</v>
      </c>
      <c r="M247" s="445">
        <v>482.56</v>
      </c>
      <c r="N247" s="445">
        <v>284.62</v>
      </c>
      <c r="O247" s="445">
        <v>715.9</v>
      </c>
      <c r="P247" s="445">
        <v>676.41</v>
      </c>
      <c r="Q247" s="445">
        <v>642.22</v>
      </c>
      <c r="R247" s="445">
        <v>432.63</v>
      </c>
      <c r="S247" s="445">
        <v>398.41</v>
      </c>
      <c r="T247" s="446">
        <v>420.37</v>
      </c>
      <c r="V247" s="445">
        <f t="shared" si="52"/>
        <v>578.73779999999999</v>
      </c>
      <c r="W247" s="445">
        <f t="shared" si="40"/>
        <v>565.80420000000004</v>
      </c>
      <c r="X247" s="445">
        <f t="shared" si="41"/>
        <v>551.20799999999997</v>
      </c>
      <c r="Y247" s="445">
        <f t="shared" si="42"/>
        <v>516.78300000000002</v>
      </c>
      <c r="Z247" s="445">
        <f t="shared" si="43"/>
        <v>505.25700000000001</v>
      </c>
      <c r="AA247" s="445">
        <f t="shared" si="44"/>
        <v>492.21120000000002</v>
      </c>
      <c r="AB247" s="445">
        <f t="shared" si="45"/>
        <v>290.31240000000003</v>
      </c>
      <c r="AC247" s="445">
        <f t="shared" si="46"/>
        <v>730.21799999999996</v>
      </c>
      <c r="AD247" s="445">
        <f t="shared" si="47"/>
        <v>689.93819999999994</v>
      </c>
      <c r="AE247" s="445">
        <f t="shared" si="48"/>
        <v>655.06440000000009</v>
      </c>
      <c r="AF247" s="445">
        <f t="shared" si="49"/>
        <v>441.2826</v>
      </c>
      <c r="AG247" s="445">
        <f t="shared" si="50"/>
        <v>406.37820000000005</v>
      </c>
      <c r="AH247" s="446">
        <f t="shared" si="51"/>
        <v>428.7774</v>
      </c>
    </row>
    <row r="248" spans="1:34">
      <c r="A248" s="428">
        <v>2018</v>
      </c>
      <c r="B248" s="152" t="s">
        <v>317</v>
      </c>
      <c r="C248" s="146" t="s">
        <v>309</v>
      </c>
      <c r="D248" s="146" t="s">
        <v>310</v>
      </c>
      <c r="E248" s="151" t="s">
        <v>316</v>
      </c>
      <c r="F248" s="433" t="s">
        <v>315</v>
      </c>
      <c r="G248" s="149" t="s">
        <v>212</v>
      </c>
      <c r="H248" s="447">
        <v>1242.5899999999999</v>
      </c>
      <c r="I248" s="447">
        <v>1214.81</v>
      </c>
      <c r="J248" s="447">
        <v>1183.47</v>
      </c>
      <c r="K248" s="447">
        <v>1109.56</v>
      </c>
      <c r="L248" s="447">
        <v>1084.8</v>
      </c>
      <c r="M248" s="447">
        <v>1056.8</v>
      </c>
      <c r="N248" s="447">
        <v>623.32000000000005</v>
      </c>
      <c r="O248" s="447">
        <v>1567.83</v>
      </c>
      <c r="P248" s="447">
        <v>1481.34</v>
      </c>
      <c r="Q248" s="447">
        <v>1406.45</v>
      </c>
      <c r="R248" s="447">
        <v>947.47</v>
      </c>
      <c r="S248" s="447">
        <v>872.51</v>
      </c>
      <c r="T248" s="448">
        <v>920.6</v>
      </c>
      <c r="V248" s="447">
        <f t="shared" si="52"/>
        <v>1267.4417999999998</v>
      </c>
      <c r="W248" s="447">
        <f t="shared" si="40"/>
        <v>1239.1061999999999</v>
      </c>
      <c r="X248" s="447">
        <f t="shared" si="41"/>
        <v>1207.1394</v>
      </c>
      <c r="Y248" s="447">
        <f t="shared" si="42"/>
        <v>1131.7511999999999</v>
      </c>
      <c r="Z248" s="447">
        <f t="shared" si="43"/>
        <v>1106.4959999999999</v>
      </c>
      <c r="AA248" s="447">
        <f t="shared" si="44"/>
        <v>1077.9359999999999</v>
      </c>
      <c r="AB248" s="447">
        <f t="shared" si="45"/>
        <v>635.78640000000007</v>
      </c>
      <c r="AC248" s="447">
        <f t="shared" si="46"/>
        <v>1599.1866</v>
      </c>
      <c r="AD248" s="447">
        <f t="shared" si="47"/>
        <v>1510.9667999999999</v>
      </c>
      <c r="AE248" s="447">
        <f t="shared" si="48"/>
        <v>1434.5790000000002</v>
      </c>
      <c r="AF248" s="447">
        <f t="shared" si="49"/>
        <v>966.4194</v>
      </c>
      <c r="AG248" s="447">
        <f t="shared" si="50"/>
        <v>889.96019999999999</v>
      </c>
      <c r="AH248" s="448">
        <f t="shared" si="51"/>
        <v>939.01200000000006</v>
      </c>
    </row>
    <row r="249" spans="1:34">
      <c r="A249" s="428">
        <v>2018</v>
      </c>
      <c r="B249" s="152" t="s">
        <v>317</v>
      </c>
      <c r="C249" s="146" t="s">
        <v>309</v>
      </c>
      <c r="D249" s="146" t="s">
        <v>310</v>
      </c>
      <c r="E249" s="151" t="s">
        <v>316</v>
      </c>
      <c r="F249" s="433" t="s">
        <v>315</v>
      </c>
      <c r="G249" s="149" t="s">
        <v>213</v>
      </c>
      <c r="H249" s="447">
        <v>1078.05</v>
      </c>
      <c r="I249" s="447">
        <v>1053.94</v>
      </c>
      <c r="J249" s="447">
        <v>1026.75</v>
      </c>
      <c r="K249" s="447">
        <v>962.63</v>
      </c>
      <c r="L249" s="447">
        <v>941.16</v>
      </c>
      <c r="M249" s="447">
        <v>916.85</v>
      </c>
      <c r="N249" s="447">
        <v>540.78</v>
      </c>
      <c r="O249" s="447">
        <v>1360.22</v>
      </c>
      <c r="P249" s="447">
        <v>1285.19</v>
      </c>
      <c r="Q249" s="447">
        <v>1220.21</v>
      </c>
      <c r="R249" s="447">
        <v>822</v>
      </c>
      <c r="S249" s="447">
        <v>756.98</v>
      </c>
      <c r="T249" s="448">
        <v>798.7</v>
      </c>
      <c r="V249" s="447">
        <f t="shared" si="52"/>
        <v>1099.6109999999999</v>
      </c>
      <c r="W249" s="447">
        <f t="shared" si="40"/>
        <v>1075.0188000000001</v>
      </c>
      <c r="X249" s="447">
        <f t="shared" si="41"/>
        <v>1047.2850000000001</v>
      </c>
      <c r="Y249" s="447">
        <f t="shared" si="42"/>
        <v>981.88260000000002</v>
      </c>
      <c r="Z249" s="447">
        <f t="shared" si="43"/>
        <v>959.98320000000001</v>
      </c>
      <c r="AA249" s="447">
        <f t="shared" si="44"/>
        <v>935.18700000000001</v>
      </c>
      <c r="AB249" s="447">
        <f t="shared" si="45"/>
        <v>551.59559999999999</v>
      </c>
      <c r="AC249" s="447">
        <f t="shared" si="46"/>
        <v>1387.4244000000001</v>
      </c>
      <c r="AD249" s="447">
        <f t="shared" si="47"/>
        <v>1310.8938000000001</v>
      </c>
      <c r="AE249" s="447">
        <f t="shared" si="48"/>
        <v>1244.6142</v>
      </c>
      <c r="AF249" s="447">
        <f t="shared" si="49"/>
        <v>838.44</v>
      </c>
      <c r="AG249" s="447">
        <f t="shared" si="50"/>
        <v>772.11959999999999</v>
      </c>
      <c r="AH249" s="448">
        <f t="shared" si="51"/>
        <v>814.67400000000009</v>
      </c>
    </row>
    <row r="250" spans="1:34" ht="16.5" thickBot="1">
      <c r="A250" s="429">
        <v>2018</v>
      </c>
      <c r="B250" s="426" t="s">
        <v>317</v>
      </c>
      <c r="C250" s="421" t="s">
        <v>309</v>
      </c>
      <c r="D250" s="421" t="s">
        <v>310</v>
      </c>
      <c r="E250" s="431" t="s">
        <v>316</v>
      </c>
      <c r="F250" s="434" t="s">
        <v>315</v>
      </c>
      <c r="G250" s="424" t="s">
        <v>214</v>
      </c>
      <c r="H250" s="449">
        <v>1724.87</v>
      </c>
      <c r="I250" s="449">
        <v>1686.31</v>
      </c>
      <c r="J250" s="449">
        <v>1642.8</v>
      </c>
      <c r="K250" s="449">
        <v>1540.21</v>
      </c>
      <c r="L250" s="449">
        <v>1505.85</v>
      </c>
      <c r="M250" s="449">
        <v>1466.98</v>
      </c>
      <c r="N250" s="449">
        <v>865.24</v>
      </c>
      <c r="O250" s="449">
        <v>2176.35</v>
      </c>
      <c r="P250" s="449">
        <v>2056.29</v>
      </c>
      <c r="Q250" s="449">
        <v>1952.34</v>
      </c>
      <c r="R250" s="449">
        <v>1315.2</v>
      </c>
      <c r="S250" s="449">
        <v>1211.1600000000001</v>
      </c>
      <c r="T250" s="450">
        <v>1277.9100000000001</v>
      </c>
      <c r="V250" s="449">
        <f t="shared" si="52"/>
        <v>1759.3673999999999</v>
      </c>
      <c r="W250" s="449">
        <f t="shared" si="40"/>
        <v>1720.0362</v>
      </c>
      <c r="X250" s="449">
        <f t="shared" si="41"/>
        <v>1675.6559999999999</v>
      </c>
      <c r="Y250" s="449">
        <f t="shared" si="42"/>
        <v>1571.0142000000001</v>
      </c>
      <c r="Z250" s="449">
        <f t="shared" si="43"/>
        <v>1535.9669999999999</v>
      </c>
      <c r="AA250" s="449">
        <f t="shared" si="44"/>
        <v>1496.3196</v>
      </c>
      <c r="AB250" s="449">
        <f t="shared" si="45"/>
        <v>882.54480000000001</v>
      </c>
      <c r="AC250" s="449">
        <f t="shared" si="46"/>
        <v>2219.877</v>
      </c>
      <c r="AD250" s="449">
        <f t="shared" si="47"/>
        <v>2097.4158000000002</v>
      </c>
      <c r="AE250" s="449">
        <f t="shared" si="48"/>
        <v>1991.3868</v>
      </c>
      <c r="AF250" s="449">
        <f t="shared" si="49"/>
        <v>1341.5040000000001</v>
      </c>
      <c r="AG250" s="449">
        <f t="shared" si="50"/>
        <v>1235.3832000000002</v>
      </c>
      <c r="AH250" s="450">
        <f t="shared" si="51"/>
        <v>1303.4682</v>
      </c>
    </row>
    <row r="251" spans="1:34">
      <c r="A251" s="427">
        <v>2018</v>
      </c>
      <c r="B251" s="425" t="s">
        <v>317</v>
      </c>
      <c r="C251" s="414" t="s">
        <v>311</v>
      </c>
      <c r="D251" s="414" t="s">
        <v>312</v>
      </c>
      <c r="E251" s="430" t="s">
        <v>316</v>
      </c>
      <c r="F251" s="432" t="s">
        <v>315</v>
      </c>
      <c r="G251" s="417" t="s">
        <v>211</v>
      </c>
      <c r="H251" s="445">
        <v>597.25</v>
      </c>
      <c r="I251" s="445">
        <v>583.9</v>
      </c>
      <c r="J251" s="445">
        <v>568.84</v>
      </c>
      <c r="K251" s="445">
        <v>533.30999999999995</v>
      </c>
      <c r="L251" s="445">
        <v>521.41999999999996</v>
      </c>
      <c r="M251" s="445">
        <v>507.95</v>
      </c>
      <c r="N251" s="445">
        <v>299.60000000000002</v>
      </c>
      <c r="O251" s="445">
        <v>753.58</v>
      </c>
      <c r="P251" s="445">
        <v>712.01</v>
      </c>
      <c r="Q251" s="445">
        <v>676.02</v>
      </c>
      <c r="R251" s="445">
        <v>455.4</v>
      </c>
      <c r="S251" s="445">
        <v>419.38</v>
      </c>
      <c r="T251" s="446">
        <v>442.49</v>
      </c>
      <c r="V251" s="445">
        <f t="shared" si="52"/>
        <v>609.19500000000005</v>
      </c>
      <c r="W251" s="445">
        <f t="shared" si="40"/>
        <v>595.57799999999997</v>
      </c>
      <c r="X251" s="445">
        <f t="shared" si="41"/>
        <v>580.21680000000003</v>
      </c>
      <c r="Y251" s="445">
        <f t="shared" si="42"/>
        <v>543.97619999999995</v>
      </c>
      <c r="Z251" s="445">
        <f t="shared" si="43"/>
        <v>531.84839999999997</v>
      </c>
      <c r="AA251" s="445">
        <f t="shared" si="44"/>
        <v>518.10900000000004</v>
      </c>
      <c r="AB251" s="445">
        <f t="shared" si="45"/>
        <v>305.59200000000004</v>
      </c>
      <c r="AC251" s="445">
        <f t="shared" si="46"/>
        <v>768.65160000000003</v>
      </c>
      <c r="AD251" s="445">
        <f t="shared" si="47"/>
        <v>726.25019999999995</v>
      </c>
      <c r="AE251" s="445">
        <f t="shared" si="48"/>
        <v>689.54039999999998</v>
      </c>
      <c r="AF251" s="445">
        <f t="shared" si="49"/>
        <v>464.50799999999998</v>
      </c>
      <c r="AG251" s="445">
        <f t="shared" si="50"/>
        <v>427.76760000000002</v>
      </c>
      <c r="AH251" s="446">
        <f t="shared" si="51"/>
        <v>451.33980000000003</v>
      </c>
    </row>
    <row r="252" spans="1:34">
      <c r="A252" s="428">
        <v>2018</v>
      </c>
      <c r="B252" s="152" t="s">
        <v>317</v>
      </c>
      <c r="C252" s="146" t="s">
        <v>311</v>
      </c>
      <c r="D252" s="146" t="s">
        <v>312</v>
      </c>
      <c r="E252" s="151" t="s">
        <v>316</v>
      </c>
      <c r="F252" s="433" t="s">
        <v>315</v>
      </c>
      <c r="G252" s="149" t="s">
        <v>212</v>
      </c>
      <c r="H252" s="447">
        <v>1307.99</v>
      </c>
      <c r="I252" s="447">
        <v>1278.74</v>
      </c>
      <c r="J252" s="447">
        <v>1245.76</v>
      </c>
      <c r="K252" s="447">
        <v>1167.96</v>
      </c>
      <c r="L252" s="447">
        <v>1141.9000000000001</v>
      </c>
      <c r="M252" s="447">
        <v>1112.42</v>
      </c>
      <c r="N252" s="447">
        <v>656.13</v>
      </c>
      <c r="O252" s="447">
        <v>1650.35</v>
      </c>
      <c r="P252" s="447">
        <v>1559.31</v>
      </c>
      <c r="Q252" s="447">
        <v>1480.48</v>
      </c>
      <c r="R252" s="447">
        <v>997.33</v>
      </c>
      <c r="S252" s="447">
        <v>918.43</v>
      </c>
      <c r="T252" s="448">
        <v>969.05</v>
      </c>
      <c r="V252" s="447">
        <f t="shared" si="52"/>
        <v>1334.1498000000001</v>
      </c>
      <c r="W252" s="447">
        <f t="shared" si="40"/>
        <v>1304.3148000000001</v>
      </c>
      <c r="X252" s="447">
        <f t="shared" si="41"/>
        <v>1270.6751999999999</v>
      </c>
      <c r="Y252" s="447">
        <f t="shared" si="42"/>
        <v>1191.3192000000001</v>
      </c>
      <c r="Z252" s="447">
        <f t="shared" si="43"/>
        <v>1164.7380000000001</v>
      </c>
      <c r="AA252" s="447">
        <f t="shared" si="44"/>
        <v>1134.6684</v>
      </c>
      <c r="AB252" s="447">
        <f t="shared" si="45"/>
        <v>669.25260000000003</v>
      </c>
      <c r="AC252" s="447">
        <f t="shared" si="46"/>
        <v>1683.357</v>
      </c>
      <c r="AD252" s="447">
        <f t="shared" si="47"/>
        <v>1590.4962</v>
      </c>
      <c r="AE252" s="447">
        <f t="shared" si="48"/>
        <v>1510.0896</v>
      </c>
      <c r="AF252" s="447">
        <f t="shared" si="49"/>
        <v>1017.2766</v>
      </c>
      <c r="AG252" s="447">
        <f t="shared" si="50"/>
        <v>936.79859999999996</v>
      </c>
      <c r="AH252" s="448">
        <f t="shared" si="51"/>
        <v>988.43099999999993</v>
      </c>
    </row>
    <row r="253" spans="1:34">
      <c r="A253" s="428">
        <v>2018</v>
      </c>
      <c r="B253" s="152" t="s">
        <v>317</v>
      </c>
      <c r="C253" s="146" t="s">
        <v>311</v>
      </c>
      <c r="D253" s="146" t="s">
        <v>312</v>
      </c>
      <c r="E253" s="151" t="s">
        <v>316</v>
      </c>
      <c r="F253" s="433" t="s">
        <v>315</v>
      </c>
      <c r="G253" s="149" t="s">
        <v>213</v>
      </c>
      <c r="H253" s="447">
        <v>1134.79</v>
      </c>
      <c r="I253" s="447">
        <v>1109.4100000000001</v>
      </c>
      <c r="J253" s="447">
        <v>1080.79</v>
      </c>
      <c r="K253" s="447">
        <v>1013.29</v>
      </c>
      <c r="L253" s="447">
        <v>990.7</v>
      </c>
      <c r="M253" s="447">
        <v>965.11</v>
      </c>
      <c r="N253" s="447">
        <v>569.24</v>
      </c>
      <c r="O253" s="447">
        <v>1431.81</v>
      </c>
      <c r="P253" s="447">
        <v>1352.83</v>
      </c>
      <c r="Q253" s="447">
        <v>1284.43</v>
      </c>
      <c r="R253" s="447">
        <v>865.26</v>
      </c>
      <c r="S253" s="447">
        <v>796.82</v>
      </c>
      <c r="T253" s="448">
        <v>840.74</v>
      </c>
      <c r="V253" s="447">
        <f t="shared" si="52"/>
        <v>1157.4857999999999</v>
      </c>
      <c r="W253" s="447">
        <f t="shared" si="40"/>
        <v>1131.5982000000001</v>
      </c>
      <c r="X253" s="447">
        <f t="shared" si="41"/>
        <v>1102.4058</v>
      </c>
      <c r="Y253" s="447">
        <f t="shared" si="42"/>
        <v>1033.5558000000001</v>
      </c>
      <c r="Z253" s="447">
        <f t="shared" si="43"/>
        <v>1010.514</v>
      </c>
      <c r="AA253" s="447">
        <f t="shared" si="44"/>
        <v>984.41219999999998</v>
      </c>
      <c r="AB253" s="447">
        <f t="shared" si="45"/>
        <v>580.62480000000005</v>
      </c>
      <c r="AC253" s="447">
        <f t="shared" si="46"/>
        <v>1460.4461999999999</v>
      </c>
      <c r="AD253" s="447">
        <f t="shared" si="47"/>
        <v>1379.8866</v>
      </c>
      <c r="AE253" s="447">
        <f t="shared" si="48"/>
        <v>1310.1186</v>
      </c>
      <c r="AF253" s="447">
        <f t="shared" si="49"/>
        <v>882.5652</v>
      </c>
      <c r="AG253" s="447">
        <f t="shared" si="50"/>
        <v>812.7564000000001</v>
      </c>
      <c r="AH253" s="448">
        <f t="shared" si="51"/>
        <v>857.5548</v>
      </c>
    </row>
    <row r="254" spans="1:34" ht="16.5" thickBot="1">
      <c r="A254" s="429">
        <v>2018</v>
      </c>
      <c r="B254" s="426" t="s">
        <v>317</v>
      </c>
      <c r="C254" s="421" t="s">
        <v>311</v>
      </c>
      <c r="D254" s="421" t="s">
        <v>312</v>
      </c>
      <c r="E254" s="431" t="s">
        <v>316</v>
      </c>
      <c r="F254" s="434" t="s">
        <v>315</v>
      </c>
      <c r="G254" s="424" t="s">
        <v>214</v>
      </c>
      <c r="H254" s="449">
        <v>1815.66</v>
      </c>
      <c r="I254" s="449">
        <v>1775.07</v>
      </c>
      <c r="J254" s="449">
        <v>1729.26</v>
      </c>
      <c r="K254" s="449">
        <v>1621.27</v>
      </c>
      <c r="L254" s="449">
        <v>1585.11</v>
      </c>
      <c r="M254" s="449">
        <v>1544.19</v>
      </c>
      <c r="N254" s="449">
        <v>910.78</v>
      </c>
      <c r="O254" s="449">
        <v>2290.89</v>
      </c>
      <c r="P254" s="449">
        <v>2164.5100000000002</v>
      </c>
      <c r="Q254" s="449">
        <v>2055.09</v>
      </c>
      <c r="R254" s="449">
        <v>1384.42</v>
      </c>
      <c r="S254" s="449">
        <v>1274.9100000000001</v>
      </c>
      <c r="T254" s="450">
        <v>1345.17</v>
      </c>
      <c r="V254" s="449">
        <f t="shared" si="52"/>
        <v>1851.9732000000001</v>
      </c>
      <c r="W254" s="449">
        <f t="shared" si="40"/>
        <v>1810.5714</v>
      </c>
      <c r="X254" s="449">
        <f t="shared" si="41"/>
        <v>1763.8452</v>
      </c>
      <c r="Y254" s="449">
        <f t="shared" si="42"/>
        <v>1653.6954000000001</v>
      </c>
      <c r="Z254" s="449">
        <f t="shared" si="43"/>
        <v>1616.8121999999998</v>
      </c>
      <c r="AA254" s="449">
        <f t="shared" si="44"/>
        <v>1575.0738000000001</v>
      </c>
      <c r="AB254" s="449">
        <f t="shared" si="45"/>
        <v>928.99559999999997</v>
      </c>
      <c r="AC254" s="449">
        <f t="shared" si="46"/>
        <v>2336.7078000000001</v>
      </c>
      <c r="AD254" s="449">
        <f t="shared" si="47"/>
        <v>2207.8002000000001</v>
      </c>
      <c r="AE254" s="449">
        <f t="shared" si="48"/>
        <v>2096.1918000000001</v>
      </c>
      <c r="AF254" s="449">
        <f t="shared" si="49"/>
        <v>1412.1084000000001</v>
      </c>
      <c r="AG254" s="449">
        <f t="shared" si="50"/>
        <v>1300.4082000000001</v>
      </c>
      <c r="AH254" s="450">
        <f t="shared" si="51"/>
        <v>1372.0734</v>
      </c>
    </row>
    <row r="255" spans="1:34">
      <c r="A255" s="427">
        <v>2018</v>
      </c>
      <c r="B255" s="425" t="s">
        <v>317</v>
      </c>
      <c r="C255" s="414" t="s">
        <v>313</v>
      </c>
      <c r="D255" s="414" t="s">
        <v>314</v>
      </c>
      <c r="E255" s="430" t="s">
        <v>316</v>
      </c>
      <c r="F255" s="432" t="s">
        <v>315</v>
      </c>
      <c r="G255" s="417" t="s">
        <v>211</v>
      </c>
      <c r="H255" s="445">
        <v>686.84</v>
      </c>
      <c r="I255" s="445">
        <v>671.49</v>
      </c>
      <c r="J255" s="445">
        <v>654.16</v>
      </c>
      <c r="K255" s="445">
        <v>613.30999999999995</v>
      </c>
      <c r="L255" s="445">
        <v>599.63</v>
      </c>
      <c r="M255" s="445">
        <v>584.15</v>
      </c>
      <c r="N255" s="445">
        <v>344.54</v>
      </c>
      <c r="O255" s="445">
        <v>866.62</v>
      </c>
      <c r="P255" s="445">
        <v>818.81</v>
      </c>
      <c r="Q255" s="445">
        <v>777.42</v>
      </c>
      <c r="R255" s="445">
        <v>523.71</v>
      </c>
      <c r="S255" s="445">
        <v>482.28</v>
      </c>
      <c r="T255" s="446">
        <v>508.86</v>
      </c>
      <c r="V255" s="445">
        <f t="shared" si="52"/>
        <v>700.57680000000005</v>
      </c>
      <c r="W255" s="445">
        <f t="shared" si="40"/>
        <v>684.91980000000001</v>
      </c>
      <c r="X255" s="445">
        <f t="shared" si="41"/>
        <v>667.2432</v>
      </c>
      <c r="Y255" s="445">
        <f t="shared" si="42"/>
        <v>625.57619999999997</v>
      </c>
      <c r="Z255" s="445">
        <f t="shared" si="43"/>
        <v>611.62260000000003</v>
      </c>
      <c r="AA255" s="445">
        <f t="shared" si="44"/>
        <v>595.83299999999997</v>
      </c>
      <c r="AB255" s="445">
        <f t="shared" si="45"/>
        <v>351.43080000000003</v>
      </c>
      <c r="AC255" s="445">
        <f t="shared" si="46"/>
        <v>883.95240000000001</v>
      </c>
      <c r="AD255" s="445">
        <f t="shared" si="47"/>
        <v>835.18619999999999</v>
      </c>
      <c r="AE255" s="445">
        <f t="shared" si="48"/>
        <v>792.96839999999997</v>
      </c>
      <c r="AF255" s="445">
        <f t="shared" si="49"/>
        <v>534.18420000000003</v>
      </c>
      <c r="AG255" s="445">
        <f t="shared" si="50"/>
        <v>491.92559999999997</v>
      </c>
      <c r="AH255" s="446">
        <f t="shared" si="51"/>
        <v>519.03719999999998</v>
      </c>
    </row>
    <row r="256" spans="1:34">
      <c r="A256" s="428">
        <v>2018</v>
      </c>
      <c r="B256" s="152" t="s">
        <v>317</v>
      </c>
      <c r="C256" s="146" t="s">
        <v>313</v>
      </c>
      <c r="D256" s="146" t="s">
        <v>314</v>
      </c>
      <c r="E256" s="151" t="s">
        <v>316</v>
      </c>
      <c r="F256" s="433" t="s">
        <v>315</v>
      </c>
      <c r="G256" s="149" t="s">
        <v>212</v>
      </c>
      <c r="H256" s="447">
        <v>1504.19</v>
      </c>
      <c r="I256" s="447">
        <v>1470.56</v>
      </c>
      <c r="J256" s="447">
        <v>1432.63</v>
      </c>
      <c r="K256" s="447">
        <v>1343.15</v>
      </c>
      <c r="L256" s="447">
        <v>1313.18</v>
      </c>
      <c r="M256" s="447">
        <v>1279.28</v>
      </c>
      <c r="N256" s="447">
        <v>754.55</v>
      </c>
      <c r="O256" s="447">
        <v>1897.9</v>
      </c>
      <c r="P256" s="447">
        <v>1793.2</v>
      </c>
      <c r="Q256" s="447">
        <v>1702.55</v>
      </c>
      <c r="R256" s="447">
        <v>1146.94</v>
      </c>
      <c r="S256" s="447">
        <v>1056.2</v>
      </c>
      <c r="T256" s="448">
        <v>1114.4100000000001</v>
      </c>
      <c r="V256" s="447">
        <f t="shared" si="52"/>
        <v>1534.2738000000002</v>
      </c>
      <c r="W256" s="447">
        <f t="shared" si="40"/>
        <v>1499.9712</v>
      </c>
      <c r="X256" s="447">
        <f t="shared" si="41"/>
        <v>1461.2826000000002</v>
      </c>
      <c r="Y256" s="447">
        <f t="shared" si="42"/>
        <v>1370.0130000000001</v>
      </c>
      <c r="Z256" s="447">
        <f t="shared" si="43"/>
        <v>1339.4436000000001</v>
      </c>
      <c r="AA256" s="447">
        <f t="shared" si="44"/>
        <v>1304.8656000000001</v>
      </c>
      <c r="AB256" s="447">
        <f t="shared" si="45"/>
        <v>769.64099999999996</v>
      </c>
      <c r="AC256" s="447">
        <f t="shared" si="46"/>
        <v>1935.8580000000002</v>
      </c>
      <c r="AD256" s="447">
        <f t="shared" si="47"/>
        <v>1829.0640000000001</v>
      </c>
      <c r="AE256" s="447">
        <f t="shared" si="48"/>
        <v>1736.6009999999999</v>
      </c>
      <c r="AF256" s="447">
        <f t="shared" si="49"/>
        <v>1169.8788000000002</v>
      </c>
      <c r="AG256" s="447">
        <f t="shared" si="50"/>
        <v>1077.3240000000001</v>
      </c>
      <c r="AH256" s="448">
        <f t="shared" si="51"/>
        <v>1136.6982</v>
      </c>
    </row>
    <row r="257" spans="1:34">
      <c r="A257" s="428">
        <v>2018</v>
      </c>
      <c r="B257" s="152" t="s">
        <v>317</v>
      </c>
      <c r="C257" s="146" t="s">
        <v>313</v>
      </c>
      <c r="D257" s="146" t="s">
        <v>314</v>
      </c>
      <c r="E257" s="151" t="s">
        <v>316</v>
      </c>
      <c r="F257" s="433" t="s">
        <v>315</v>
      </c>
      <c r="G257" s="149" t="s">
        <v>213</v>
      </c>
      <c r="H257" s="447">
        <v>1305.01</v>
      </c>
      <c r="I257" s="447">
        <v>1275.82</v>
      </c>
      <c r="J257" s="447">
        <v>1242.9100000000001</v>
      </c>
      <c r="K257" s="447">
        <v>1165.29</v>
      </c>
      <c r="L257" s="447">
        <v>1139.3</v>
      </c>
      <c r="M257" s="447">
        <v>1109.8800000000001</v>
      </c>
      <c r="N257" s="447">
        <v>654.63</v>
      </c>
      <c r="O257" s="447">
        <v>1646.58</v>
      </c>
      <c r="P257" s="447">
        <v>1555.75</v>
      </c>
      <c r="Q257" s="447">
        <v>1477.1</v>
      </c>
      <c r="R257" s="447">
        <v>995.05</v>
      </c>
      <c r="S257" s="447">
        <v>916.35</v>
      </c>
      <c r="T257" s="448">
        <v>966.85</v>
      </c>
      <c r="V257" s="447">
        <f t="shared" si="52"/>
        <v>1331.1102000000001</v>
      </c>
      <c r="W257" s="447">
        <f t="shared" si="40"/>
        <v>1301.3363999999999</v>
      </c>
      <c r="X257" s="447">
        <f t="shared" si="41"/>
        <v>1267.7682000000002</v>
      </c>
      <c r="Y257" s="447">
        <f t="shared" si="42"/>
        <v>1188.5958000000001</v>
      </c>
      <c r="Z257" s="447">
        <f t="shared" si="43"/>
        <v>1162.086</v>
      </c>
      <c r="AA257" s="447">
        <f t="shared" si="44"/>
        <v>1132.0776000000001</v>
      </c>
      <c r="AB257" s="447">
        <f t="shared" si="45"/>
        <v>667.72260000000006</v>
      </c>
      <c r="AC257" s="447">
        <f t="shared" si="46"/>
        <v>1679.5116</v>
      </c>
      <c r="AD257" s="447">
        <f t="shared" si="47"/>
        <v>1586.865</v>
      </c>
      <c r="AE257" s="447">
        <f t="shared" si="48"/>
        <v>1506.6419999999998</v>
      </c>
      <c r="AF257" s="447">
        <f t="shared" si="49"/>
        <v>1014.951</v>
      </c>
      <c r="AG257" s="447">
        <f t="shared" si="50"/>
        <v>934.67700000000002</v>
      </c>
      <c r="AH257" s="448">
        <f t="shared" si="51"/>
        <v>986.18700000000001</v>
      </c>
    </row>
    <row r="258" spans="1:34" ht="16.5" thickBot="1">
      <c r="A258" s="429">
        <v>2018</v>
      </c>
      <c r="B258" s="426" t="s">
        <v>317</v>
      </c>
      <c r="C258" s="421" t="s">
        <v>313</v>
      </c>
      <c r="D258" s="421" t="s">
        <v>314</v>
      </c>
      <c r="E258" s="431" t="s">
        <v>316</v>
      </c>
      <c r="F258" s="434" t="s">
        <v>315</v>
      </c>
      <c r="G258" s="424" t="s">
        <v>214</v>
      </c>
      <c r="H258" s="449">
        <v>2088.0100000000002</v>
      </c>
      <c r="I258" s="449">
        <v>2041.32</v>
      </c>
      <c r="J258" s="449">
        <v>1988.65</v>
      </c>
      <c r="K258" s="449">
        <v>1864.46</v>
      </c>
      <c r="L258" s="449">
        <v>1822.87</v>
      </c>
      <c r="M258" s="449">
        <v>1775.81</v>
      </c>
      <c r="N258" s="449">
        <v>1047.4000000000001</v>
      </c>
      <c r="O258" s="449">
        <v>2634.53</v>
      </c>
      <c r="P258" s="449">
        <v>2489.19</v>
      </c>
      <c r="Q258" s="449">
        <v>2363.36</v>
      </c>
      <c r="R258" s="449">
        <v>1592.08</v>
      </c>
      <c r="S258" s="449">
        <v>1466.14</v>
      </c>
      <c r="T258" s="450">
        <v>1546.94</v>
      </c>
      <c r="V258" s="449">
        <f t="shared" si="52"/>
        <v>2129.7702000000004</v>
      </c>
      <c r="W258" s="449">
        <f t="shared" si="40"/>
        <v>2082.1464000000001</v>
      </c>
      <c r="X258" s="449">
        <f t="shared" si="41"/>
        <v>2028.4230000000002</v>
      </c>
      <c r="Y258" s="449">
        <f t="shared" si="42"/>
        <v>1901.7492</v>
      </c>
      <c r="Z258" s="449">
        <f t="shared" si="43"/>
        <v>1859.3273999999999</v>
      </c>
      <c r="AA258" s="449">
        <f t="shared" si="44"/>
        <v>1811.3262</v>
      </c>
      <c r="AB258" s="449">
        <f t="shared" si="45"/>
        <v>1068.3480000000002</v>
      </c>
      <c r="AC258" s="449">
        <f t="shared" si="46"/>
        <v>2687.2206000000001</v>
      </c>
      <c r="AD258" s="449">
        <f t="shared" si="47"/>
        <v>2538.9738000000002</v>
      </c>
      <c r="AE258" s="449">
        <f t="shared" si="48"/>
        <v>2410.6272000000004</v>
      </c>
      <c r="AF258" s="449">
        <f t="shared" si="49"/>
        <v>1623.9215999999999</v>
      </c>
      <c r="AG258" s="449">
        <f t="shared" si="50"/>
        <v>1495.4628</v>
      </c>
      <c r="AH258" s="450">
        <f t="shared" si="51"/>
        <v>1577.8788000000002</v>
      </c>
    </row>
    <row r="259" spans="1:34">
      <c r="A259" s="144"/>
      <c r="B259" s="144"/>
      <c r="C259" s="144"/>
      <c r="D259" s="144"/>
      <c r="E259" s="144"/>
      <c r="F259" s="144"/>
      <c r="G259" s="144"/>
      <c r="H259" s="153"/>
      <c r="I259" s="153"/>
      <c r="J259" s="153"/>
      <c r="K259" s="153"/>
      <c r="L259" s="153"/>
      <c r="M259" s="153"/>
      <c r="N259" s="153"/>
      <c r="O259" s="153"/>
      <c r="P259" s="153"/>
      <c r="Q259" s="153"/>
      <c r="R259" s="153"/>
      <c r="S259" s="153"/>
      <c r="T259" s="153"/>
      <c r="V259" s="153"/>
      <c r="W259" s="153"/>
      <c r="X259" s="153"/>
      <c r="Y259" s="153"/>
      <c r="Z259" s="153"/>
      <c r="AA259" s="153"/>
      <c r="AB259" s="153"/>
      <c r="AC259" s="153"/>
      <c r="AD259" s="153"/>
      <c r="AE259" s="153"/>
      <c r="AF259" s="153"/>
      <c r="AG259" s="153"/>
      <c r="AH259" s="153"/>
    </row>
  </sheetData>
  <autoFilter ref="A2:T258" xr:uid="{00000000-0009-0000-0000-000004000000}">
    <filterColumn colId="0">
      <filters>
        <filter val="2018"/>
      </filters>
    </filterColumn>
  </autoFilter>
  <phoneticPr fontId="88" type="noConversion"/>
  <pageMargins left="0.7" right="0.7" top="0.75" bottom="0.75" header="0.3" footer="0.3"/>
  <pageSetup orientation="portrait" r:id="rId1"/>
  <colBreaks count="2" manualBreakCount="2">
    <brk id="10" max="1048575" man="1"/>
    <brk id="17"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tabColor theme="6"/>
  </sheetPr>
  <dimension ref="A1:AH259"/>
  <sheetViews>
    <sheetView view="pageBreakPreview" zoomScaleNormal="80" zoomScaleSheetLayoutView="100" workbookViewId="0">
      <pane xSplit="7" ySplit="2" topLeftCell="V3" activePane="bottomRight" state="frozen"/>
      <selection activeCell="H14" sqref="H14"/>
      <selection pane="topRight" activeCell="H14" sqref="H14"/>
      <selection pane="bottomLeft" activeCell="H14" sqref="H14"/>
      <selection pane="bottomRight" activeCell="H14" sqref="H14"/>
    </sheetView>
  </sheetViews>
  <sheetFormatPr defaultColWidth="8.875" defaultRowHeight="15.75"/>
  <cols>
    <col min="1" max="1" width="5.625" customWidth="1"/>
    <col min="2" max="2" width="6.875" customWidth="1"/>
    <col min="3" max="3" width="9" customWidth="1"/>
    <col min="4" max="4" width="10.625" customWidth="1"/>
    <col min="5" max="5" width="9.125" customWidth="1"/>
    <col min="6" max="6" width="10.625" customWidth="1"/>
    <col min="7" max="7" width="6" customWidth="1"/>
    <col min="8" max="20" width="13" hidden="1" customWidth="1"/>
    <col min="21" max="21" width="6.625" hidden="1" customWidth="1"/>
    <col min="22" max="34" width="13" customWidth="1"/>
    <col min="35" max="35" width="0.875" customWidth="1"/>
    <col min="36" max="36" width="5.875" bestFit="1" customWidth="1"/>
    <col min="37" max="37" width="5.125" customWidth="1"/>
    <col min="38" max="38" width="1.625" customWidth="1"/>
  </cols>
  <sheetData>
    <row r="1" spans="1:34" ht="54" customHeight="1" thickBot="1">
      <c r="A1" s="143"/>
      <c r="B1" s="143"/>
      <c r="C1" s="143"/>
      <c r="D1" s="143"/>
      <c r="E1" s="143"/>
      <c r="F1" s="143"/>
      <c r="G1" s="143"/>
      <c r="H1" s="442" t="s">
        <v>322</v>
      </c>
      <c r="I1" s="442" t="s">
        <v>323</v>
      </c>
      <c r="J1" s="442" t="s">
        <v>324</v>
      </c>
      <c r="K1" s="442" t="s">
        <v>325</v>
      </c>
      <c r="L1" s="442" t="s">
        <v>326</v>
      </c>
      <c r="M1" s="442" t="s">
        <v>327</v>
      </c>
      <c r="N1" s="442" t="s">
        <v>328</v>
      </c>
      <c r="O1" s="442" t="s">
        <v>329</v>
      </c>
      <c r="P1" s="442" t="s">
        <v>330</v>
      </c>
      <c r="Q1" s="442" t="s">
        <v>331</v>
      </c>
      <c r="R1" s="442" t="s">
        <v>332</v>
      </c>
      <c r="S1" s="442" t="s">
        <v>333</v>
      </c>
      <c r="T1" s="442" t="s">
        <v>334</v>
      </c>
      <c r="U1" s="144"/>
      <c r="V1" s="442" t="s">
        <v>322</v>
      </c>
      <c r="W1" s="442" t="s">
        <v>323</v>
      </c>
      <c r="X1" s="442" t="s">
        <v>324</v>
      </c>
      <c r="Y1" s="442" t="s">
        <v>325</v>
      </c>
      <c r="Z1" s="442" t="s">
        <v>326</v>
      </c>
      <c r="AA1" s="442" t="s">
        <v>327</v>
      </c>
      <c r="AB1" s="442" t="s">
        <v>328</v>
      </c>
      <c r="AC1" s="442" t="s">
        <v>329</v>
      </c>
      <c r="AD1" s="442" t="s">
        <v>330</v>
      </c>
      <c r="AE1" s="442" t="s">
        <v>331</v>
      </c>
      <c r="AF1" s="442" t="s">
        <v>332</v>
      </c>
      <c r="AG1" s="442" t="s">
        <v>333</v>
      </c>
      <c r="AH1" s="442" t="s">
        <v>334</v>
      </c>
    </row>
    <row r="2" spans="1:34" ht="26.25" thickBot="1">
      <c r="A2" s="409" t="s">
        <v>287</v>
      </c>
      <c r="B2" s="410" t="s">
        <v>275</v>
      </c>
      <c r="C2" s="410" t="s">
        <v>288</v>
      </c>
      <c r="D2" s="410" t="s">
        <v>289</v>
      </c>
      <c r="E2" s="410" t="s">
        <v>290</v>
      </c>
      <c r="F2" s="410" t="s">
        <v>4320</v>
      </c>
      <c r="G2" s="411" t="s">
        <v>277</v>
      </c>
      <c r="H2" s="443" t="s">
        <v>291</v>
      </c>
      <c r="I2" s="443" t="s">
        <v>292</v>
      </c>
      <c r="J2" s="443" t="s">
        <v>293</v>
      </c>
      <c r="K2" s="443" t="s">
        <v>294</v>
      </c>
      <c r="L2" s="443" t="s">
        <v>295</v>
      </c>
      <c r="M2" s="443" t="s">
        <v>296</v>
      </c>
      <c r="N2" s="443" t="s">
        <v>299</v>
      </c>
      <c r="O2" s="443" t="s">
        <v>297</v>
      </c>
      <c r="P2" s="443" t="s">
        <v>298</v>
      </c>
      <c r="Q2" s="444" t="s">
        <v>335</v>
      </c>
      <c r="R2" s="443" t="s">
        <v>300</v>
      </c>
      <c r="S2" s="443" t="s">
        <v>301</v>
      </c>
      <c r="T2" s="443" t="s">
        <v>302</v>
      </c>
      <c r="U2" s="144"/>
      <c r="V2" s="443" t="s">
        <v>4588</v>
      </c>
      <c r="W2" s="443" t="s">
        <v>4589</v>
      </c>
      <c r="X2" s="443" t="s">
        <v>4590</v>
      </c>
      <c r="Y2" s="443" t="s">
        <v>4591</v>
      </c>
      <c r="Z2" s="443" t="s">
        <v>4592</v>
      </c>
      <c r="AA2" s="443" t="s">
        <v>4593</v>
      </c>
      <c r="AB2" s="443" t="s">
        <v>4594</v>
      </c>
      <c r="AC2" s="443" t="s">
        <v>4595</v>
      </c>
      <c r="AD2" s="443" t="s">
        <v>4596</v>
      </c>
      <c r="AE2" s="444" t="s">
        <v>4597</v>
      </c>
      <c r="AF2" s="443" t="s">
        <v>4598</v>
      </c>
      <c r="AG2" s="443" t="s">
        <v>4599</v>
      </c>
      <c r="AH2" s="443" t="s">
        <v>4600</v>
      </c>
    </row>
    <row r="3" spans="1:34" s="150" customFormat="1" ht="13.5" hidden="1" thickBot="1">
      <c r="A3" s="412">
        <v>2017</v>
      </c>
      <c r="B3" s="413" t="s">
        <v>303</v>
      </c>
      <c r="C3" s="414" t="s">
        <v>304</v>
      </c>
      <c r="D3" s="414" t="s">
        <v>305</v>
      </c>
      <c r="E3" s="415" t="s">
        <v>306</v>
      </c>
      <c r="F3" s="416" t="s">
        <v>307</v>
      </c>
      <c r="G3" s="417" t="s">
        <v>211</v>
      </c>
      <c r="H3" s="445">
        <v>568.11</v>
      </c>
      <c r="I3" s="445">
        <v>555.25</v>
      </c>
      <c r="J3" s="445">
        <v>540.72</v>
      </c>
      <c r="K3" s="445">
        <v>541.98</v>
      </c>
      <c r="L3" s="445">
        <v>529.72</v>
      </c>
      <c r="M3" s="445">
        <v>515.87</v>
      </c>
      <c r="N3" s="445">
        <v>279.89</v>
      </c>
      <c r="O3" s="445">
        <v>644.17999999999995</v>
      </c>
      <c r="P3" s="445">
        <v>608.63</v>
      </c>
      <c r="Q3" s="445">
        <v>539.87</v>
      </c>
      <c r="R3" s="445">
        <v>389.64</v>
      </c>
      <c r="S3" s="445">
        <v>358.8</v>
      </c>
      <c r="T3" s="446" t="s">
        <v>308</v>
      </c>
      <c r="U3" s="144"/>
      <c r="V3" s="445">
        <f>H3*1.1</f>
        <v>624.92100000000005</v>
      </c>
      <c r="W3" s="445">
        <f t="shared" ref="W3:AG6" si="0">I3*1.1</f>
        <v>610.77500000000009</v>
      </c>
      <c r="X3" s="445">
        <f t="shared" si="0"/>
        <v>594.79200000000003</v>
      </c>
      <c r="Y3" s="445">
        <f t="shared" si="0"/>
        <v>596.17800000000011</v>
      </c>
      <c r="Z3" s="445">
        <f t="shared" si="0"/>
        <v>582.69200000000012</v>
      </c>
      <c r="AA3" s="445">
        <f t="shared" si="0"/>
        <v>567.45700000000011</v>
      </c>
      <c r="AB3" s="445">
        <f t="shared" si="0"/>
        <v>307.87900000000002</v>
      </c>
      <c r="AC3" s="445">
        <f t="shared" si="0"/>
        <v>708.59799999999996</v>
      </c>
      <c r="AD3" s="445">
        <f t="shared" si="0"/>
        <v>669.49300000000005</v>
      </c>
      <c r="AE3" s="445">
        <f t="shared" si="0"/>
        <v>593.85700000000008</v>
      </c>
      <c r="AF3" s="445">
        <f t="shared" si="0"/>
        <v>428.60400000000004</v>
      </c>
      <c r="AG3" s="445">
        <f t="shared" si="0"/>
        <v>394.68000000000006</v>
      </c>
      <c r="AH3" s="446" t="s">
        <v>308</v>
      </c>
    </row>
    <row r="4" spans="1:34" s="150" customFormat="1" ht="13.5" hidden="1" thickBot="1">
      <c r="A4" s="418">
        <v>2017</v>
      </c>
      <c r="B4" s="145" t="s">
        <v>303</v>
      </c>
      <c r="C4" s="146" t="s">
        <v>304</v>
      </c>
      <c r="D4" s="146" t="s">
        <v>305</v>
      </c>
      <c r="E4" s="147" t="s">
        <v>306</v>
      </c>
      <c r="F4" s="148" t="s">
        <v>307</v>
      </c>
      <c r="G4" s="149" t="s">
        <v>212</v>
      </c>
      <c r="H4" s="447">
        <v>1244.17</v>
      </c>
      <c r="I4" s="447">
        <v>1216</v>
      </c>
      <c r="J4" s="447">
        <v>1184.17</v>
      </c>
      <c r="K4" s="447">
        <v>1186.94</v>
      </c>
      <c r="L4" s="447">
        <v>1160.0899999999999</v>
      </c>
      <c r="M4" s="447">
        <v>1129.76</v>
      </c>
      <c r="N4" s="447">
        <v>612.95000000000005</v>
      </c>
      <c r="O4" s="447">
        <v>1410.76</v>
      </c>
      <c r="P4" s="447">
        <v>1332.91</v>
      </c>
      <c r="Q4" s="447">
        <v>1182.32</v>
      </c>
      <c r="R4" s="447">
        <v>853.31</v>
      </c>
      <c r="S4" s="447">
        <v>785.78</v>
      </c>
      <c r="T4" s="448" t="s">
        <v>308</v>
      </c>
      <c r="U4" s="144"/>
      <c r="V4" s="447">
        <f t="shared" ref="V4:V7" si="1">H4*1.1</f>
        <v>1368.5870000000002</v>
      </c>
      <c r="W4" s="447">
        <f t="shared" si="0"/>
        <v>1337.6000000000001</v>
      </c>
      <c r="X4" s="447">
        <f t="shared" si="0"/>
        <v>1302.5870000000002</v>
      </c>
      <c r="Y4" s="447">
        <f t="shared" si="0"/>
        <v>1305.6340000000002</v>
      </c>
      <c r="Z4" s="447">
        <f t="shared" si="0"/>
        <v>1276.0989999999999</v>
      </c>
      <c r="AA4" s="447">
        <f t="shared" si="0"/>
        <v>1242.7360000000001</v>
      </c>
      <c r="AB4" s="447">
        <f t="shared" si="0"/>
        <v>674.24500000000012</v>
      </c>
      <c r="AC4" s="447">
        <f t="shared" si="0"/>
        <v>1551.836</v>
      </c>
      <c r="AD4" s="447">
        <f t="shared" si="0"/>
        <v>1466.2010000000002</v>
      </c>
      <c r="AE4" s="447">
        <f t="shared" si="0"/>
        <v>1300.5520000000001</v>
      </c>
      <c r="AF4" s="447">
        <f t="shared" si="0"/>
        <v>938.64099999999996</v>
      </c>
      <c r="AG4" s="447">
        <f t="shared" si="0"/>
        <v>864.35800000000006</v>
      </c>
      <c r="AH4" s="448" t="s">
        <v>308</v>
      </c>
    </row>
    <row r="5" spans="1:34" s="150" customFormat="1" ht="13.5" hidden="1" thickBot="1">
      <c r="A5" s="418">
        <v>2017</v>
      </c>
      <c r="B5" s="145" t="s">
        <v>303</v>
      </c>
      <c r="C5" s="146" t="s">
        <v>304</v>
      </c>
      <c r="D5" s="146" t="s">
        <v>305</v>
      </c>
      <c r="E5" s="147" t="s">
        <v>306</v>
      </c>
      <c r="F5" s="148" t="s">
        <v>307</v>
      </c>
      <c r="G5" s="149" t="s">
        <v>213</v>
      </c>
      <c r="H5" s="447">
        <v>1079.4100000000001</v>
      </c>
      <c r="I5" s="447">
        <v>1054.98</v>
      </c>
      <c r="J5" s="447">
        <v>1027.3599999999999</v>
      </c>
      <c r="K5" s="447">
        <v>1029.77</v>
      </c>
      <c r="L5" s="447">
        <v>1006.48</v>
      </c>
      <c r="M5" s="447">
        <v>980.16</v>
      </c>
      <c r="N5" s="447">
        <v>531.79</v>
      </c>
      <c r="O5" s="447">
        <v>1223.95</v>
      </c>
      <c r="P5" s="447">
        <v>1156.4100000000001</v>
      </c>
      <c r="Q5" s="447">
        <v>1025.76</v>
      </c>
      <c r="R5" s="447">
        <v>740.32</v>
      </c>
      <c r="S5" s="447">
        <v>681.72</v>
      </c>
      <c r="T5" s="448" t="s">
        <v>308</v>
      </c>
      <c r="U5" s="144"/>
      <c r="V5" s="447">
        <f t="shared" si="1"/>
        <v>1187.3510000000001</v>
      </c>
      <c r="W5" s="447">
        <f t="shared" si="0"/>
        <v>1160.4780000000001</v>
      </c>
      <c r="X5" s="447">
        <f t="shared" si="0"/>
        <v>1130.096</v>
      </c>
      <c r="Y5" s="447">
        <f t="shared" si="0"/>
        <v>1132.7470000000001</v>
      </c>
      <c r="Z5" s="447">
        <f t="shared" si="0"/>
        <v>1107.1280000000002</v>
      </c>
      <c r="AA5" s="447">
        <f t="shared" si="0"/>
        <v>1078.1760000000002</v>
      </c>
      <c r="AB5" s="447">
        <f t="shared" si="0"/>
        <v>584.96900000000005</v>
      </c>
      <c r="AC5" s="447">
        <f t="shared" si="0"/>
        <v>1346.3450000000003</v>
      </c>
      <c r="AD5" s="447">
        <f t="shared" si="0"/>
        <v>1272.0510000000002</v>
      </c>
      <c r="AE5" s="447">
        <f t="shared" si="0"/>
        <v>1128.336</v>
      </c>
      <c r="AF5" s="447">
        <f t="shared" si="0"/>
        <v>814.35200000000009</v>
      </c>
      <c r="AG5" s="447">
        <f t="shared" si="0"/>
        <v>749.89200000000005</v>
      </c>
      <c r="AH5" s="448" t="s">
        <v>308</v>
      </c>
    </row>
    <row r="6" spans="1:34" s="150" customFormat="1" ht="13.5" hidden="1" thickBot="1">
      <c r="A6" s="419">
        <v>2017</v>
      </c>
      <c r="B6" s="420" t="s">
        <v>303</v>
      </c>
      <c r="C6" s="421" t="s">
        <v>304</v>
      </c>
      <c r="D6" s="421" t="s">
        <v>305</v>
      </c>
      <c r="E6" s="422" t="s">
        <v>306</v>
      </c>
      <c r="F6" s="423" t="s">
        <v>307</v>
      </c>
      <c r="G6" s="424" t="s">
        <v>214</v>
      </c>
      <c r="H6" s="449">
        <v>1727.07</v>
      </c>
      <c r="I6" s="449">
        <v>1687.96</v>
      </c>
      <c r="J6" s="449">
        <v>1643.79</v>
      </c>
      <c r="K6" s="449">
        <v>1647.62</v>
      </c>
      <c r="L6" s="449">
        <v>1610.36</v>
      </c>
      <c r="M6" s="449">
        <v>1568.25</v>
      </c>
      <c r="N6" s="449">
        <v>850.86</v>
      </c>
      <c r="O6" s="449">
        <v>1958.32</v>
      </c>
      <c r="P6" s="449">
        <v>1850.25</v>
      </c>
      <c r="Q6" s="449">
        <v>1641.21</v>
      </c>
      <c r="R6" s="449">
        <v>1184.51</v>
      </c>
      <c r="S6" s="449">
        <v>1090.76</v>
      </c>
      <c r="T6" s="450" t="s">
        <v>308</v>
      </c>
      <c r="U6" s="144"/>
      <c r="V6" s="449">
        <f t="shared" si="1"/>
        <v>1899.777</v>
      </c>
      <c r="W6" s="449">
        <f t="shared" si="0"/>
        <v>1856.7560000000001</v>
      </c>
      <c r="X6" s="449">
        <f t="shared" si="0"/>
        <v>1808.1690000000001</v>
      </c>
      <c r="Y6" s="449">
        <f t="shared" si="0"/>
        <v>1812.3820000000001</v>
      </c>
      <c r="Z6" s="449">
        <f t="shared" si="0"/>
        <v>1771.396</v>
      </c>
      <c r="AA6" s="449">
        <f t="shared" si="0"/>
        <v>1725.075</v>
      </c>
      <c r="AB6" s="449">
        <f t="shared" si="0"/>
        <v>935.94600000000014</v>
      </c>
      <c r="AC6" s="449">
        <f t="shared" si="0"/>
        <v>2154.152</v>
      </c>
      <c r="AD6" s="449">
        <f t="shared" si="0"/>
        <v>2035.2750000000001</v>
      </c>
      <c r="AE6" s="449">
        <f t="shared" si="0"/>
        <v>1805.3310000000001</v>
      </c>
      <c r="AF6" s="449">
        <f t="shared" si="0"/>
        <v>1302.961</v>
      </c>
      <c r="AG6" s="449">
        <f t="shared" si="0"/>
        <v>1199.836</v>
      </c>
      <c r="AH6" s="450" t="s">
        <v>308</v>
      </c>
    </row>
    <row r="7" spans="1:34" s="150" customFormat="1" ht="13.5" hidden="1" thickBot="1">
      <c r="A7" s="412">
        <v>2017</v>
      </c>
      <c r="B7" s="413" t="s">
        <v>303</v>
      </c>
      <c r="C7" s="414" t="s">
        <v>309</v>
      </c>
      <c r="D7" s="414" t="s">
        <v>310</v>
      </c>
      <c r="E7" s="415" t="s">
        <v>306</v>
      </c>
      <c r="F7" s="416" t="s">
        <v>307</v>
      </c>
      <c r="G7" s="417" t="s">
        <v>211</v>
      </c>
      <c r="H7" s="445">
        <v>624.29999999999995</v>
      </c>
      <c r="I7" s="445">
        <v>610.16999999999996</v>
      </c>
      <c r="J7" s="445">
        <v>594.20000000000005</v>
      </c>
      <c r="K7" s="445">
        <v>595.58000000000004</v>
      </c>
      <c r="L7" s="445">
        <v>582.11</v>
      </c>
      <c r="M7" s="445">
        <v>566.89</v>
      </c>
      <c r="N7" s="445">
        <v>307.57</v>
      </c>
      <c r="O7" s="445">
        <v>707.89</v>
      </c>
      <c r="P7" s="445">
        <v>668.83</v>
      </c>
      <c r="Q7" s="445">
        <v>593.27</v>
      </c>
      <c r="R7" s="445">
        <v>428.18</v>
      </c>
      <c r="S7" s="445">
        <v>394.29</v>
      </c>
      <c r="T7" s="446" t="s">
        <v>308</v>
      </c>
      <c r="U7" s="144"/>
      <c r="V7" s="445">
        <f t="shared" si="1"/>
        <v>686.73</v>
      </c>
      <c r="W7" s="445">
        <f t="shared" ref="W7:W70" si="2">I7*1.1</f>
        <v>671.18700000000001</v>
      </c>
      <c r="X7" s="445">
        <f t="shared" ref="X7:X70" si="3">J7*1.1</f>
        <v>653.62000000000012</v>
      </c>
      <c r="Y7" s="445">
        <f t="shared" ref="Y7:Y70" si="4">K7*1.1</f>
        <v>655.13800000000015</v>
      </c>
      <c r="Z7" s="445">
        <f t="shared" ref="Z7:Z70" si="5">L7*1.1</f>
        <v>640.32100000000003</v>
      </c>
      <c r="AA7" s="445">
        <f t="shared" ref="AA7:AA70" si="6">M7*1.1</f>
        <v>623.57900000000006</v>
      </c>
      <c r="AB7" s="445">
        <f t="shared" ref="AB7:AB70" si="7">N7*1.1</f>
        <v>338.327</v>
      </c>
      <c r="AC7" s="445">
        <f t="shared" ref="AC7:AC70" si="8">O7*1.1</f>
        <v>778.67900000000009</v>
      </c>
      <c r="AD7" s="445">
        <f t="shared" ref="AD7:AD70" si="9">P7*1.1</f>
        <v>735.71300000000008</v>
      </c>
      <c r="AE7" s="445">
        <f t="shared" ref="AE7:AE70" si="10">Q7*1.1</f>
        <v>652.59699999999998</v>
      </c>
      <c r="AF7" s="445">
        <f t="shared" ref="AF7:AF70" si="11">R7*1.1</f>
        <v>470.99800000000005</v>
      </c>
      <c r="AG7" s="445">
        <f t="shared" ref="AG7:AG70" si="12">S7*1.1</f>
        <v>433.71900000000005</v>
      </c>
      <c r="AH7" s="446" t="s">
        <v>308</v>
      </c>
    </row>
    <row r="8" spans="1:34" s="150" customFormat="1" ht="13.5" hidden="1" thickBot="1">
      <c r="A8" s="418">
        <v>2017</v>
      </c>
      <c r="B8" s="145" t="s">
        <v>303</v>
      </c>
      <c r="C8" s="146" t="s">
        <v>309</v>
      </c>
      <c r="D8" s="146" t="s">
        <v>310</v>
      </c>
      <c r="E8" s="147" t="s">
        <v>306</v>
      </c>
      <c r="F8" s="148" t="s">
        <v>307</v>
      </c>
      <c r="G8" s="149" t="s">
        <v>212</v>
      </c>
      <c r="H8" s="447">
        <v>1367.22</v>
      </c>
      <c r="I8" s="447">
        <v>1336.26</v>
      </c>
      <c r="J8" s="447">
        <v>1301.29</v>
      </c>
      <c r="K8" s="447">
        <v>1304.33</v>
      </c>
      <c r="L8" s="447">
        <v>1274.82</v>
      </c>
      <c r="M8" s="447">
        <v>1241.5</v>
      </c>
      <c r="N8" s="447">
        <v>673.57</v>
      </c>
      <c r="O8" s="447">
        <v>1550.29</v>
      </c>
      <c r="P8" s="447">
        <v>1464.74</v>
      </c>
      <c r="Q8" s="447">
        <v>1299.25</v>
      </c>
      <c r="R8" s="447">
        <v>937.71</v>
      </c>
      <c r="S8" s="447">
        <v>863.49</v>
      </c>
      <c r="T8" s="448" t="s">
        <v>308</v>
      </c>
      <c r="U8" s="144"/>
      <c r="V8" s="447">
        <f t="shared" ref="V8:V71" si="13">H8*1.1</f>
        <v>1503.9420000000002</v>
      </c>
      <c r="W8" s="447">
        <f t="shared" si="2"/>
        <v>1469.8860000000002</v>
      </c>
      <c r="X8" s="447">
        <f t="shared" si="3"/>
        <v>1431.4190000000001</v>
      </c>
      <c r="Y8" s="447">
        <f t="shared" si="4"/>
        <v>1434.7630000000001</v>
      </c>
      <c r="Z8" s="447">
        <f t="shared" si="5"/>
        <v>1402.3020000000001</v>
      </c>
      <c r="AA8" s="447">
        <f t="shared" si="6"/>
        <v>1365.65</v>
      </c>
      <c r="AB8" s="447">
        <f t="shared" si="7"/>
        <v>740.92700000000013</v>
      </c>
      <c r="AC8" s="447">
        <f t="shared" si="8"/>
        <v>1705.3190000000002</v>
      </c>
      <c r="AD8" s="447">
        <f t="shared" si="9"/>
        <v>1611.2140000000002</v>
      </c>
      <c r="AE8" s="447">
        <f t="shared" si="10"/>
        <v>1429.1750000000002</v>
      </c>
      <c r="AF8" s="447">
        <f t="shared" si="11"/>
        <v>1031.4810000000002</v>
      </c>
      <c r="AG8" s="447">
        <f t="shared" si="12"/>
        <v>949.83900000000006</v>
      </c>
      <c r="AH8" s="448" t="s">
        <v>308</v>
      </c>
    </row>
    <row r="9" spans="1:34" s="150" customFormat="1" ht="13.5" hidden="1" thickBot="1">
      <c r="A9" s="418">
        <v>2017</v>
      </c>
      <c r="B9" s="145" t="s">
        <v>303</v>
      </c>
      <c r="C9" s="146" t="s">
        <v>309</v>
      </c>
      <c r="D9" s="146" t="s">
        <v>310</v>
      </c>
      <c r="E9" s="147" t="s">
        <v>306</v>
      </c>
      <c r="F9" s="148" t="s">
        <v>307</v>
      </c>
      <c r="G9" s="149" t="s">
        <v>213</v>
      </c>
      <c r="H9" s="447">
        <v>1186.17</v>
      </c>
      <c r="I9" s="447">
        <v>1159.31</v>
      </c>
      <c r="J9" s="447">
        <v>1128.97</v>
      </c>
      <c r="K9" s="447">
        <v>1131.6099999999999</v>
      </c>
      <c r="L9" s="447">
        <v>1106.02</v>
      </c>
      <c r="M9" s="447">
        <v>1077.0999999999999</v>
      </c>
      <c r="N9" s="447">
        <v>584.39</v>
      </c>
      <c r="O9" s="447">
        <v>1345</v>
      </c>
      <c r="P9" s="447">
        <v>1270.78</v>
      </c>
      <c r="Q9" s="447">
        <v>1127.2</v>
      </c>
      <c r="R9" s="447">
        <v>813.53</v>
      </c>
      <c r="S9" s="447">
        <v>749.15</v>
      </c>
      <c r="T9" s="448" t="s">
        <v>308</v>
      </c>
      <c r="U9" s="144"/>
      <c r="V9" s="447">
        <f t="shared" si="13"/>
        <v>1304.7870000000003</v>
      </c>
      <c r="W9" s="447">
        <f t="shared" si="2"/>
        <v>1275.241</v>
      </c>
      <c r="X9" s="447">
        <f t="shared" si="3"/>
        <v>1241.8670000000002</v>
      </c>
      <c r="Y9" s="447">
        <f t="shared" si="4"/>
        <v>1244.771</v>
      </c>
      <c r="Z9" s="447">
        <f t="shared" si="5"/>
        <v>1216.6220000000001</v>
      </c>
      <c r="AA9" s="447">
        <f t="shared" si="6"/>
        <v>1184.81</v>
      </c>
      <c r="AB9" s="447">
        <f t="shared" si="7"/>
        <v>642.82900000000006</v>
      </c>
      <c r="AC9" s="447">
        <f t="shared" si="8"/>
        <v>1479.5000000000002</v>
      </c>
      <c r="AD9" s="447">
        <f t="shared" si="9"/>
        <v>1397.8580000000002</v>
      </c>
      <c r="AE9" s="447">
        <f t="shared" si="10"/>
        <v>1239.92</v>
      </c>
      <c r="AF9" s="447">
        <f t="shared" si="11"/>
        <v>894.88300000000004</v>
      </c>
      <c r="AG9" s="447">
        <f t="shared" si="12"/>
        <v>824.06500000000005</v>
      </c>
      <c r="AH9" s="448" t="s">
        <v>308</v>
      </c>
    </row>
    <row r="10" spans="1:34" s="150" customFormat="1" ht="13.5" hidden="1" thickBot="1">
      <c r="A10" s="419">
        <v>2017</v>
      </c>
      <c r="B10" s="420" t="s">
        <v>303</v>
      </c>
      <c r="C10" s="421" t="s">
        <v>309</v>
      </c>
      <c r="D10" s="421" t="s">
        <v>310</v>
      </c>
      <c r="E10" s="422" t="s">
        <v>306</v>
      </c>
      <c r="F10" s="423" t="s">
        <v>307</v>
      </c>
      <c r="G10" s="424" t="s">
        <v>214</v>
      </c>
      <c r="H10" s="449">
        <v>1897.88</v>
      </c>
      <c r="I10" s="449">
        <v>1854.9</v>
      </c>
      <c r="J10" s="449">
        <v>1806.36</v>
      </c>
      <c r="K10" s="449">
        <v>1810.58</v>
      </c>
      <c r="L10" s="449">
        <v>1769.62</v>
      </c>
      <c r="M10" s="449">
        <v>1723.36</v>
      </c>
      <c r="N10" s="449">
        <v>935.01</v>
      </c>
      <c r="O10" s="449">
        <v>2152</v>
      </c>
      <c r="P10" s="449">
        <v>2033.24</v>
      </c>
      <c r="Q10" s="449">
        <v>1803.53</v>
      </c>
      <c r="R10" s="449">
        <v>1301.6600000000001</v>
      </c>
      <c r="S10" s="449">
        <v>1198.6400000000001</v>
      </c>
      <c r="T10" s="450" t="s">
        <v>308</v>
      </c>
      <c r="U10" s="144"/>
      <c r="V10" s="449">
        <f t="shared" si="13"/>
        <v>2087.6680000000001</v>
      </c>
      <c r="W10" s="449">
        <f t="shared" si="2"/>
        <v>2040.3900000000003</v>
      </c>
      <c r="X10" s="449">
        <f t="shared" si="3"/>
        <v>1986.9960000000001</v>
      </c>
      <c r="Y10" s="449">
        <f t="shared" si="4"/>
        <v>1991.6380000000001</v>
      </c>
      <c r="Z10" s="449">
        <f t="shared" si="5"/>
        <v>1946.5820000000001</v>
      </c>
      <c r="AA10" s="449">
        <f t="shared" si="6"/>
        <v>1895.6960000000001</v>
      </c>
      <c r="AB10" s="449">
        <f t="shared" si="7"/>
        <v>1028.511</v>
      </c>
      <c r="AC10" s="449">
        <f t="shared" si="8"/>
        <v>2367.2000000000003</v>
      </c>
      <c r="AD10" s="449">
        <f t="shared" si="9"/>
        <v>2236.5640000000003</v>
      </c>
      <c r="AE10" s="449">
        <f t="shared" si="10"/>
        <v>1983.883</v>
      </c>
      <c r="AF10" s="449">
        <f t="shared" si="11"/>
        <v>1431.8260000000002</v>
      </c>
      <c r="AG10" s="449">
        <f t="shared" si="12"/>
        <v>1318.5040000000001</v>
      </c>
      <c r="AH10" s="450" t="s">
        <v>308</v>
      </c>
    </row>
    <row r="11" spans="1:34" s="150" customFormat="1" ht="13.5" hidden="1" thickBot="1">
      <c r="A11" s="412">
        <v>2017</v>
      </c>
      <c r="B11" s="413" t="s">
        <v>303</v>
      </c>
      <c r="C11" s="414" t="s">
        <v>311</v>
      </c>
      <c r="D11" s="414" t="s">
        <v>312</v>
      </c>
      <c r="E11" s="415" t="s">
        <v>306</v>
      </c>
      <c r="F11" s="416" t="s">
        <v>307</v>
      </c>
      <c r="G11" s="417" t="s">
        <v>211</v>
      </c>
      <c r="H11" s="445">
        <v>657.16</v>
      </c>
      <c r="I11" s="445">
        <v>642.28</v>
      </c>
      <c r="J11" s="445">
        <v>625.47</v>
      </c>
      <c r="K11" s="445">
        <v>626.92999999999995</v>
      </c>
      <c r="L11" s="445">
        <v>612.75</v>
      </c>
      <c r="M11" s="445">
        <v>596.73</v>
      </c>
      <c r="N11" s="445">
        <v>323.76</v>
      </c>
      <c r="O11" s="445">
        <v>745.15</v>
      </c>
      <c r="P11" s="445">
        <v>704.03</v>
      </c>
      <c r="Q11" s="445">
        <v>624.49</v>
      </c>
      <c r="R11" s="445">
        <v>450.71</v>
      </c>
      <c r="S11" s="445">
        <v>415.04</v>
      </c>
      <c r="T11" s="446" t="s">
        <v>308</v>
      </c>
      <c r="U11" s="144"/>
      <c r="V11" s="445">
        <f t="shared" si="13"/>
        <v>722.87599999999998</v>
      </c>
      <c r="W11" s="445">
        <f t="shared" si="2"/>
        <v>706.50800000000004</v>
      </c>
      <c r="X11" s="445">
        <f t="shared" si="3"/>
        <v>688.01700000000005</v>
      </c>
      <c r="Y11" s="445">
        <f t="shared" si="4"/>
        <v>689.62300000000005</v>
      </c>
      <c r="Z11" s="445">
        <f t="shared" si="5"/>
        <v>674.02500000000009</v>
      </c>
      <c r="AA11" s="445">
        <f t="shared" si="6"/>
        <v>656.40300000000002</v>
      </c>
      <c r="AB11" s="445">
        <f t="shared" si="7"/>
        <v>356.13600000000002</v>
      </c>
      <c r="AC11" s="445">
        <f t="shared" si="8"/>
        <v>819.66500000000008</v>
      </c>
      <c r="AD11" s="445">
        <f t="shared" si="9"/>
        <v>774.43299999999999</v>
      </c>
      <c r="AE11" s="445">
        <f t="shared" si="10"/>
        <v>686.93900000000008</v>
      </c>
      <c r="AF11" s="445">
        <f t="shared" si="11"/>
        <v>495.78100000000001</v>
      </c>
      <c r="AG11" s="445">
        <f t="shared" si="12"/>
        <v>456.54400000000004</v>
      </c>
      <c r="AH11" s="446" t="s">
        <v>308</v>
      </c>
    </row>
    <row r="12" spans="1:34" s="150" customFormat="1" ht="13.5" hidden="1" thickBot="1">
      <c r="A12" s="418">
        <v>2017</v>
      </c>
      <c r="B12" s="145" t="s">
        <v>303</v>
      </c>
      <c r="C12" s="146" t="s">
        <v>311</v>
      </c>
      <c r="D12" s="146" t="s">
        <v>312</v>
      </c>
      <c r="E12" s="147" t="s">
        <v>306</v>
      </c>
      <c r="F12" s="148" t="s">
        <v>307</v>
      </c>
      <c r="G12" s="149" t="s">
        <v>212</v>
      </c>
      <c r="H12" s="447">
        <v>1439.18</v>
      </c>
      <c r="I12" s="447">
        <v>1406.59</v>
      </c>
      <c r="J12" s="447">
        <v>1369.78</v>
      </c>
      <c r="K12" s="447">
        <v>1372.98</v>
      </c>
      <c r="L12" s="447">
        <v>1341.92</v>
      </c>
      <c r="M12" s="447">
        <v>1306.8399999999999</v>
      </c>
      <c r="N12" s="447">
        <v>709.02</v>
      </c>
      <c r="O12" s="447">
        <v>1631.88</v>
      </c>
      <c r="P12" s="447">
        <v>1541.83</v>
      </c>
      <c r="Q12" s="447">
        <v>1367.63</v>
      </c>
      <c r="R12" s="447">
        <v>987.06</v>
      </c>
      <c r="S12" s="447">
        <v>908.94</v>
      </c>
      <c r="T12" s="448" t="s">
        <v>308</v>
      </c>
      <c r="U12" s="144"/>
      <c r="V12" s="447">
        <f t="shared" si="13"/>
        <v>1583.0980000000002</v>
      </c>
      <c r="W12" s="447">
        <f t="shared" si="2"/>
        <v>1547.249</v>
      </c>
      <c r="X12" s="447">
        <f t="shared" si="3"/>
        <v>1506.758</v>
      </c>
      <c r="Y12" s="447">
        <f t="shared" si="4"/>
        <v>1510.2780000000002</v>
      </c>
      <c r="Z12" s="447">
        <f t="shared" si="5"/>
        <v>1476.1120000000003</v>
      </c>
      <c r="AA12" s="447">
        <f t="shared" si="6"/>
        <v>1437.5240000000001</v>
      </c>
      <c r="AB12" s="447">
        <f t="shared" si="7"/>
        <v>779.92200000000003</v>
      </c>
      <c r="AC12" s="447">
        <f t="shared" si="8"/>
        <v>1795.0680000000002</v>
      </c>
      <c r="AD12" s="447">
        <f t="shared" si="9"/>
        <v>1696.0130000000001</v>
      </c>
      <c r="AE12" s="447">
        <f t="shared" si="10"/>
        <v>1504.3930000000003</v>
      </c>
      <c r="AF12" s="447">
        <f t="shared" si="11"/>
        <v>1085.7660000000001</v>
      </c>
      <c r="AG12" s="447">
        <f t="shared" si="12"/>
        <v>999.83400000000017</v>
      </c>
      <c r="AH12" s="448" t="s">
        <v>308</v>
      </c>
    </row>
    <row r="13" spans="1:34" s="150" customFormat="1" ht="13.5" hidden="1" thickBot="1">
      <c r="A13" s="418">
        <v>2017</v>
      </c>
      <c r="B13" s="145" t="s">
        <v>303</v>
      </c>
      <c r="C13" s="146" t="s">
        <v>311</v>
      </c>
      <c r="D13" s="146" t="s">
        <v>312</v>
      </c>
      <c r="E13" s="147" t="s">
        <v>306</v>
      </c>
      <c r="F13" s="148" t="s">
        <v>307</v>
      </c>
      <c r="G13" s="149" t="s">
        <v>213</v>
      </c>
      <c r="H13" s="447">
        <v>1248.5999999999999</v>
      </c>
      <c r="I13" s="447">
        <v>1220.33</v>
      </c>
      <c r="J13" s="447">
        <v>1188.3900000000001</v>
      </c>
      <c r="K13" s="447">
        <v>1191.17</v>
      </c>
      <c r="L13" s="447">
        <v>1164.23</v>
      </c>
      <c r="M13" s="447">
        <v>1133.79</v>
      </c>
      <c r="N13" s="447">
        <v>615.14</v>
      </c>
      <c r="O13" s="447">
        <v>1415.79</v>
      </c>
      <c r="P13" s="447">
        <v>1337.66</v>
      </c>
      <c r="Q13" s="447">
        <v>1186.53</v>
      </c>
      <c r="R13" s="447">
        <v>856.35</v>
      </c>
      <c r="S13" s="447">
        <v>788.58</v>
      </c>
      <c r="T13" s="448" t="s">
        <v>308</v>
      </c>
      <c r="U13" s="144"/>
      <c r="V13" s="447">
        <f t="shared" si="13"/>
        <v>1373.46</v>
      </c>
      <c r="W13" s="447">
        <f t="shared" si="2"/>
        <v>1342.3630000000001</v>
      </c>
      <c r="X13" s="447">
        <f t="shared" si="3"/>
        <v>1307.2290000000003</v>
      </c>
      <c r="Y13" s="447">
        <f t="shared" si="4"/>
        <v>1310.2870000000003</v>
      </c>
      <c r="Z13" s="447">
        <f t="shared" si="5"/>
        <v>1280.653</v>
      </c>
      <c r="AA13" s="447">
        <f t="shared" si="6"/>
        <v>1247.1690000000001</v>
      </c>
      <c r="AB13" s="447">
        <f t="shared" si="7"/>
        <v>676.654</v>
      </c>
      <c r="AC13" s="447">
        <f t="shared" si="8"/>
        <v>1557.3690000000001</v>
      </c>
      <c r="AD13" s="447">
        <f t="shared" si="9"/>
        <v>1471.4260000000002</v>
      </c>
      <c r="AE13" s="447">
        <f t="shared" si="10"/>
        <v>1305.183</v>
      </c>
      <c r="AF13" s="447">
        <f t="shared" si="11"/>
        <v>941.98500000000013</v>
      </c>
      <c r="AG13" s="447">
        <f t="shared" si="12"/>
        <v>867.4380000000001</v>
      </c>
      <c r="AH13" s="448" t="s">
        <v>308</v>
      </c>
    </row>
    <row r="14" spans="1:34" s="150" customFormat="1" ht="13.5" hidden="1" thickBot="1">
      <c r="A14" s="419">
        <v>2017</v>
      </c>
      <c r="B14" s="420" t="s">
        <v>303</v>
      </c>
      <c r="C14" s="421" t="s">
        <v>311</v>
      </c>
      <c r="D14" s="421" t="s">
        <v>312</v>
      </c>
      <c r="E14" s="422" t="s">
        <v>306</v>
      </c>
      <c r="F14" s="423" t="s">
        <v>307</v>
      </c>
      <c r="G14" s="424" t="s">
        <v>214</v>
      </c>
      <c r="H14" s="449">
        <v>1997.77</v>
      </c>
      <c r="I14" s="449">
        <v>1952.53</v>
      </c>
      <c r="J14" s="449">
        <v>1901.43</v>
      </c>
      <c r="K14" s="449">
        <v>1905.87</v>
      </c>
      <c r="L14" s="449">
        <v>1862.76</v>
      </c>
      <c r="M14" s="449">
        <v>1814.06</v>
      </c>
      <c r="N14" s="449">
        <v>984.22</v>
      </c>
      <c r="O14" s="449">
        <v>2265.2600000000002</v>
      </c>
      <c r="P14" s="449">
        <v>2140.25</v>
      </c>
      <c r="Q14" s="449">
        <v>1898.45</v>
      </c>
      <c r="R14" s="449">
        <v>1370.17</v>
      </c>
      <c r="S14" s="449">
        <v>1261.73</v>
      </c>
      <c r="T14" s="450" t="s">
        <v>308</v>
      </c>
      <c r="U14" s="144"/>
      <c r="V14" s="449">
        <f t="shared" si="13"/>
        <v>2197.547</v>
      </c>
      <c r="W14" s="449">
        <f t="shared" si="2"/>
        <v>2147.7830000000004</v>
      </c>
      <c r="X14" s="449">
        <f t="shared" si="3"/>
        <v>2091.5730000000003</v>
      </c>
      <c r="Y14" s="449">
        <f t="shared" si="4"/>
        <v>2096.4569999999999</v>
      </c>
      <c r="Z14" s="449">
        <f t="shared" si="5"/>
        <v>2049.0360000000001</v>
      </c>
      <c r="AA14" s="449">
        <f t="shared" si="6"/>
        <v>1995.4660000000001</v>
      </c>
      <c r="AB14" s="449">
        <f t="shared" si="7"/>
        <v>1082.6420000000001</v>
      </c>
      <c r="AC14" s="449">
        <f t="shared" si="8"/>
        <v>2491.7860000000005</v>
      </c>
      <c r="AD14" s="449">
        <f t="shared" si="9"/>
        <v>2354.2750000000001</v>
      </c>
      <c r="AE14" s="449">
        <f t="shared" si="10"/>
        <v>2088.2950000000001</v>
      </c>
      <c r="AF14" s="449">
        <f t="shared" si="11"/>
        <v>1507.1870000000001</v>
      </c>
      <c r="AG14" s="449">
        <f t="shared" si="12"/>
        <v>1387.903</v>
      </c>
      <c r="AH14" s="450" t="s">
        <v>308</v>
      </c>
    </row>
    <row r="15" spans="1:34" s="150" customFormat="1" ht="13.5" hidden="1" thickBot="1">
      <c r="A15" s="412">
        <v>2017</v>
      </c>
      <c r="B15" s="413" t="s">
        <v>303</v>
      </c>
      <c r="C15" s="414" t="s">
        <v>313</v>
      </c>
      <c r="D15" s="414" t="s">
        <v>314</v>
      </c>
      <c r="E15" s="415" t="s">
        <v>306</v>
      </c>
      <c r="F15" s="416" t="s">
        <v>307</v>
      </c>
      <c r="G15" s="417" t="s">
        <v>211</v>
      </c>
      <c r="H15" s="445">
        <v>755.73</v>
      </c>
      <c r="I15" s="445">
        <v>738.62</v>
      </c>
      <c r="J15" s="445">
        <v>719.29</v>
      </c>
      <c r="K15" s="445">
        <v>720.97</v>
      </c>
      <c r="L15" s="445">
        <v>704.66</v>
      </c>
      <c r="M15" s="445">
        <v>686.24</v>
      </c>
      <c r="N15" s="445">
        <v>372.32</v>
      </c>
      <c r="O15" s="445">
        <v>856.92</v>
      </c>
      <c r="P15" s="445">
        <v>809.63</v>
      </c>
      <c r="Q15" s="445">
        <v>718.16</v>
      </c>
      <c r="R15" s="445">
        <v>518.32000000000005</v>
      </c>
      <c r="S15" s="445">
        <v>477.3</v>
      </c>
      <c r="T15" s="446" t="s">
        <v>308</v>
      </c>
      <c r="U15" s="144"/>
      <c r="V15" s="445">
        <f t="shared" si="13"/>
        <v>831.30300000000011</v>
      </c>
      <c r="W15" s="445">
        <f t="shared" si="2"/>
        <v>812.48200000000008</v>
      </c>
      <c r="X15" s="445">
        <f t="shared" si="3"/>
        <v>791.21900000000005</v>
      </c>
      <c r="Y15" s="445">
        <f t="shared" si="4"/>
        <v>793.06700000000012</v>
      </c>
      <c r="Z15" s="445">
        <f t="shared" si="5"/>
        <v>775.12599999999998</v>
      </c>
      <c r="AA15" s="445">
        <f t="shared" si="6"/>
        <v>754.86400000000003</v>
      </c>
      <c r="AB15" s="445">
        <f t="shared" si="7"/>
        <v>409.55200000000002</v>
      </c>
      <c r="AC15" s="445">
        <f t="shared" si="8"/>
        <v>942.61200000000008</v>
      </c>
      <c r="AD15" s="445">
        <f t="shared" si="9"/>
        <v>890.59300000000007</v>
      </c>
      <c r="AE15" s="445">
        <f t="shared" si="10"/>
        <v>789.976</v>
      </c>
      <c r="AF15" s="445">
        <f t="shared" si="11"/>
        <v>570.15200000000016</v>
      </c>
      <c r="AG15" s="445">
        <f t="shared" si="12"/>
        <v>525.03000000000009</v>
      </c>
      <c r="AH15" s="446" t="s">
        <v>308</v>
      </c>
    </row>
    <row r="16" spans="1:34" s="150" customFormat="1" ht="13.5" hidden="1" thickBot="1">
      <c r="A16" s="418">
        <v>2017</v>
      </c>
      <c r="B16" s="145" t="s">
        <v>303</v>
      </c>
      <c r="C16" s="146" t="s">
        <v>313</v>
      </c>
      <c r="D16" s="146" t="s">
        <v>314</v>
      </c>
      <c r="E16" s="147" t="s">
        <v>306</v>
      </c>
      <c r="F16" s="148" t="s">
        <v>307</v>
      </c>
      <c r="G16" s="149" t="s">
        <v>212</v>
      </c>
      <c r="H16" s="447">
        <v>1655.06</v>
      </c>
      <c r="I16" s="447">
        <v>1617.58</v>
      </c>
      <c r="J16" s="447">
        <v>1575.25</v>
      </c>
      <c r="K16" s="447">
        <v>1578.93</v>
      </c>
      <c r="L16" s="447">
        <v>1543.21</v>
      </c>
      <c r="M16" s="447">
        <v>1502.87</v>
      </c>
      <c r="N16" s="447">
        <v>815.38</v>
      </c>
      <c r="O16" s="447">
        <v>1876.66</v>
      </c>
      <c r="P16" s="447">
        <v>1773.1</v>
      </c>
      <c r="Q16" s="447">
        <v>1572.77</v>
      </c>
      <c r="R16" s="447">
        <v>1135.1199999999999</v>
      </c>
      <c r="S16" s="447">
        <v>1045.28</v>
      </c>
      <c r="T16" s="448" t="s">
        <v>308</v>
      </c>
      <c r="U16" s="144"/>
      <c r="V16" s="447">
        <f t="shared" si="13"/>
        <v>1820.566</v>
      </c>
      <c r="W16" s="447">
        <f t="shared" si="2"/>
        <v>1779.338</v>
      </c>
      <c r="X16" s="447">
        <f t="shared" si="3"/>
        <v>1732.7750000000001</v>
      </c>
      <c r="Y16" s="447">
        <f t="shared" si="4"/>
        <v>1736.8230000000003</v>
      </c>
      <c r="Z16" s="447">
        <f t="shared" si="5"/>
        <v>1697.5310000000002</v>
      </c>
      <c r="AA16" s="447">
        <f t="shared" si="6"/>
        <v>1653.1569999999999</v>
      </c>
      <c r="AB16" s="447">
        <f t="shared" si="7"/>
        <v>896.91800000000012</v>
      </c>
      <c r="AC16" s="447">
        <f t="shared" si="8"/>
        <v>2064.3260000000005</v>
      </c>
      <c r="AD16" s="447">
        <f t="shared" si="9"/>
        <v>1950.41</v>
      </c>
      <c r="AE16" s="447">
        <f t="shared" si="10"/>
        <v>1730.047</v>
      </c>
      <c r="AF16" s="447">
        <f t="shared" si="11"/>
        <v>1248.6320000000001</v>
      </c>
      <c r="AG16" s="447">
        <f t="shared" si="12"/>
        <v>1149.808</v>
      </c>
      <c r="AH16" s="448" t="s">
        <v>308</v>
      </c>
    </row>
    <row r="17" spans="1:34" s="150" customFormat="1" ht="13.5" hidden="1" thickBot="1">
      <c r="A17" s="418">
        <v>2017</v>
      </c>
      <c r="B17" s="145" t="s">
        <v>303</v>
      </c>
      <c r="C17" s="146" t="s">
        <v>313</v>
      </c>
      <c r="D17" s="146" t="s">
        <v>314</v>
      </c>
      <c r="E17" s="147" t="s">
        <v>306</v>
      </c>
      <c r="F17" s="148" t="s">
        <v>307</v>
      </c>
      <c r="G17" s="149" t="s">
        <v>213</v>
      </c>
      <c r="H17" s="447">
        <v>1435.89</v>
      </c>
      <c r="I17" s="447">
        <v>1403.38</v>
      </c>
      <c r="J17" s="447">
        <v>1366.65</v>
      </c>
      <c r="K17" s="447">
        <v>1369.85</v>
      </c>
      <c r="L17" s="447">
        <v>1338.86</v>
      </c>
      <c r="M17" s="447">
        <v>1303.8599999999999</v>
      </c>
      <c r="N17" s="447">
        <v>707.41</v>
      </c>
      <c r="O17" s="447">
        <v>1628.16</v>
      </c>
      <c r="P17" s="447">
        <v>1538.31</v>
      </c>
      <c r="Q17" s="447">
        <v>1364.51</v>
      </c>
      <c r="R17" s="447">
        <v>984.81</v>
      </c>
      <c r="S17" s="447">
        <v>906.86</v>
      </c>
      <c r="T17" s="448" t="s">
        <v>308</v>
      </c>
      <c r="U17" s="144"/>
      <c r="V17" s="447">
        <f t="shared" si="13"/>
        <v>1579.4790000000003</v>
      </c>
      <c r="W17" s="447">
        <f t="shared" si="2"/>
        <v>1543.7180000000003</v>
      </c>
      <c r="X17" s="447">
        <f t="shared" si="3"/>
        <v>1503.3150000000003</v>
      </c>
      <c r="Y17" s="447">
        <f t="shared" si="4"/>
        <v>1506.835</v>
      </c>
      <c r="Z17" s="447">
        <f t="shared" si="5"/>
        <v>1472.7460000000001</v>
      </c>
      <c r="AA17" s="447">
        <f t="shared" si="6"/>
        <v>1434.2460000000001</v>
      </c>
      <c r="AB17" s="447">
        <f t="shared" si="7"/>
        <v>778.15100000000007</v>
      </c>
      <c r="AC17" s="447">
        <f t="shared" si="8"/>
        <v>1790.9760000000003</v>
      </c>
      <c r="AD17" s="447">
        <f t="shared" si="9"/>
        <v>1692.1410000000001</v>
      </c>
      <c r="AE17" s="447">
        <f t="shared" si="10"/>
        <v>1500.961</v>
      </c>
      <c r="AF17" s="447">
        <f t="shared" si="11"/>
        <v>1083.2909999999999</v>
      </c>
      <c r="AG17" s="447">
        <f t="shared" si="12"/>
        <v>997.54600000000005</v>
      </c>
      <c r="AH17" s="448" t="s">
        <v>308</v>
      </c>
    </row>
    <row r="18" spans="1:34" s="150" customFormat="1" ht="13.5" hidden="1" thickBot="1">
      <c r="A18" s="419">
        <v>2017</v>
      </c>
      <c r="B18" s="420" t="s">
        <v>303</v>
      </c>
      <c r="C18" s="421" t="s">
        <v>313</v>
      </c>
      <c r="D18" s="421" t="s">
        <v>314</v>
      </c>
      <c r="E18" s="422" t="s">
        <v>306</v>
      </c>
      <c r="F18" s="423" t="s">
        <v>307</v>
      </c>
      <c r="G18" s="424" t="s">
        <v>214</v>
      </c>
      <c r="H18" s="449">
        <v>2297.44</v>
      </c>
      <c r="I18" s="449">
        <v>2245.41</v>
      </c>
      <c r="J18" s="449">
        <v>2186.64</v>
      </c>
      <c r="K18" s="449">
        <v>2191.75</v>
      </c>
      <c r="L18" s="449">
        <v>2142.17</v>
      </c>
      <c r="M18" s="449">
        <v>2086.17</v>
      </c>
      <c r="N18" s="449">
        <v>1131.8499999999999</v>
      </c>
      <c r="O18" s="449">
        <v>2605.0500000000002</v>
      </c>
      <c r="P18" s="449">
        <v>2461.29</v>
      </c>
      <c r="Q18" s="449">
        <v>2183.2199999999998</v>
      </c>
      <c r="R18" s="449">
        <v>1575.7</v>
      </c>
      <c r="S18" s="449">
        <v>1450.98</v>
      </c>
      <c r="T18" s="450" t="s">
        <v>308</v>
      </c>
      <c r="U18" s="144"/>
      <c r="V18" s="449">
        <f t="shared" si="13"/>
        <v>2527.1840000000002</v>
      </c>
      <c r="W18" s="449">
        <f t="shared" si="2"/>
        <v>2469.951</v>
      </c>
      <c r="X18" s="449">
        <f t="shared" si="3"/>
        <v>2405.3040000000001</v>
      </c>
      <c r="Y18" s="449">
        <f t="shared" si="4"/>
        <v>2410.9250000000002</v>
      </c>
      <c r="Z18" s="449">
        <f t="shared" si="5"/>
        <v>2356.3870000000002</v>
      </c>
      <c r="AA18" s="449">
        <f t="shared" si="6"/>
        <v>2294.7870000000003</v>
      </c>
      <c r="AB18" s="449">
        <f t="shared" si="7"/>
        <v>1245.0350000000001</v>
      </c>
      <c r="AC18" s="449">
        <f t="shared" si="8"/>
        <v>2865.5550000000003</v>
      </c>
      <c r="AD18" s="449">
        <f t="shared" si="9"/>
        <v>2707.4190000000003</v>
      </c>
      <c r="AE18" s="449">
        <f t="shared" si="10"/>
        <v>2401.5419999999999</v>
      </c>
      <c r="AF18" s="449">
        <f t="shared" si="11"/>
        <v>1733.2700000000002</v>
      </c>
      <c r="AG18" s="449">
        <f t="shared" si="12"/>
        <v>1596.0780000000002</v>
      </c>
      <c r="AH18" s="450" t="s">
        <v>308</v>
      </c>
    </row>
    <row r="19" spans="1:34" ht="16.5" hidden="1" thickBot="1">
      <c r="A19" s="412">
        <v>2017</v>
      </c>
      <c r="B19" s="413" t="s">
        <v>303</v>
      </c>
      <c r="C19" s="414" t="s">
        <v>304</v>
      </c>
      <c r="D19" s="414" t="s">
        <v>305</v>
      </c>
      <c r="E19" s="415" t="s">
        <v>306</v>
      </c>
      <c r="F19" s="432" t="s">
        <v>315</v>
      </c>
      <c r="G19" s="417" t="s">
        <v>211</v>
      </c>
      <c r="H19" s="445">
        <v>568.11</v>
      </c>
      <c r="I19" s="445">
        <v>555.25</v>
      </c>
      <c r="J19" s="445">
        <v>540.72</v>
      </c>
      <c r="K19" s="445">
        <v>541.98</v>
      </c>
      <c r="L19" s="445">
        <v>529.72</v>
      </c>
      <c r="M19" s="445">
        <v>515.87</v>
      </c>
      <c r="N19" s="445">
        <v>279.89</v>
      </c>
      <c r="O19" s="445">
        <v>644.17999999999995</v>
      </c>
      <c r="P19" s="445">
        <v>608.63</v>
      </c>
      <c r="Q19" s="445">
        <v>539.87</v>
      </c>
      <c r="R19" s="445">
        <v>389.64</v>
      </c>
      <c r="S19" s="445">
        <v>358.8</v>
      </c>
      <c r="T19" s="446" t="s">
        <v>308</v>
      </c>
      <c r="U19" s="144"/>
      <c r="V19" s="445">
        <f t="shared" si="13"/>
        <v>624.92100000000005</v>
      </c>
      <c r="W19" s="445">
        <f t="shared" si="2"/>
        <v>610.77500000000009</v>
      </c>
      <c r="X19" s="445">
        <f t="shared" si="3"/>
        <v>594.79200000000003</v>
      </c>
      <c r="Y19" s="445">
        <f t="shared" si="4"/>
        <v>596.17800000000011</v>
      </c>
      <c r="Z19" s="445">
        <f t="shared" si="5"/>
        <v>582.69200000000012</v>
      </c>
      <c r="AA19" s="445">
        <f t="shared" si="6"/>
        <v>567.45700000000011</v>
      </c>
      <c r="AB19" s="445">
        <f t="shared" si="7"/>
        <v>307.87900000000002</v>
      </c>
      <c r="AC19" s="445">
        <f t="shared" si="8"/>
        <v>708.59799999999996</v>
      </c>
      <c r="AD19" s="445">
        <f t="shared" si="9"/>
        <v>669.49300000000005</v>
      </c>
      <c r="AE19" s="445">
        <f t="shared" si="10"/>
        <v>593.85700000000008</v>
      </c>
      <c r="AF19" s="445">
        <f t="shared" si="11"/>
        <v>428.60400000000004</v>
      </c>
      <c r="AG19" s="445">
        <f t="shared" si="12"/>
        <v>394.68000000000006</v>
      </c>
      <c r="AH19" s="446" t="s">
        <v>308</v>
      </c>
    </row>
    <row r="20" spans="1:34" ht="16.5" hidden="1" thickBot="1">
      <c r="A20" s="418">
        <v>2017</v>
      </c>
      <c r="B20" s="145" t="s">
        <v>303</v>
      </c>
      <c r="C20" s="146" t="s">
        <v>304</v>
      </c>
      <c r="D20" s="146" t="s">
        <v>305</v>
      </c>
      <c r="E20" s="147" t="s">
        <v>306</v>
      </c>
      <c r="F20" s="433" t="s">
        <v>315</v>
      </c>
      <c r="G20" s="149" t="s">
        <v>212</v>
      </c>
      <c r="H20" s="447">
        <v>1244.17</v>
      </c>
      <c r="I20" s="447">
        <v>1216</v>
      </c>
      <c r="J20" s="447">
        <v>1184.17</v>
      </c>
      <c r="K20" s="447">
        <v>1186.94</v>
      </c>
      <c r="L20" s="447">
        <v>1160.0899999999999</v>
      </c>
      <c r="M20" s="447">
        <v>1129.76</v>
      </c>
      <c r="N20" s="447">
        <v>612.95000000000005</v>
      </c>
      <c r="O20" s="447">
        <v>1410.76</v>
      </c>
      <c r="P20" s="447">
        <v>1332.91</v>
      </c>
      <c r="Q20" s="447">
        <v>1182.32</v>
      </c>
      <c r="R20" s="447">
        <v>853.31</v>
      </c>
      <c r="S20" s="447">
        <v>785.78</v>
      </c>
      <c r="T20" s="448" t="s">
        <v>308</v>
      </c>
      <c r="U20" s="144"/>
      <c r="V20" s="447">
        <f t="shared" si="13"/>
        <v>1368.5870000000002</v>
      </c>
      <c r="W20" s="447">
        <f t="shared" si="2"/>
        <v>1337.6000000000001</v>
      </c>
      <c r="X20" s="447">
        <f t="shared" si="3"/>
        <v>1302.5870000000002</v>
      </c>
      <c r="Y20" s="447">
        <f t="shared" si="4"/>
        <v>1305.6340000000002</v>
      </c>
      <c r="Z20" s="447">
        <f t="shared" si="5"/>
        <v>1276.0989999999999</v>
      </c>
      <c r="AA20" s="447">
        <f t="shared" si="6"/>
        <v>1242.7360000000001</v>
      </c>
      <c r="AB20" s="447">
        <f t="shared" si="7"/>
        <v>674.24500000000012</v>
      </c>
      <c r="AC20" s="447">
        <f t="shared" si="8"/>
        <v>1551.836</v>
      </c>
      <c r="AD20" s="447">
        <f t="shared" si="9"/>
        <v>1466.2010000000002</v>
      </c>
      <c r="AE20" s="447">
        <f t="shared" si="10"/>
        <v>1300.5520000000001</v>
      </c>
      <c r="AF20" s="447">
        <f t="shared" si="11"/>
        <v>938.64099999999996</v>
      </c>
      <c r="AG20" s="447">
        <f t="shared" si="12"/>
        <v>864.35800000000006</v>
      </c>
      <c r="AH20" s="448" t="s">
        <v>308</v>
      </c>
    </row>
    <row r="21" spans="1:34" ht="16.5" hidden="1" thickBot="1">
      <c r="A21" s="418">
        <v>2017</v>
      </c>
      <c r="B21" s="145" t="s">
        <v>303</v>
      </c>
      <c r="C21" s="146" t="s">
        <v>304</v>
      </c>
      <c r="D21" s="146" t="s">
        <v>305</v>
      </c>
      <c r="E21" s="147" t="s">
        <v>306</v>
      </c>
      <c r="F21" s="433" t="s">
        <v>315</v>
      </c>
      <c r="G21" s="149" t="s">
        <v>213</v>
      </c>
      <c r="H21" s="447">
        <v>1079.4100000000001</v>
      </c>
      <c r="I21" s="447">
        <v>1054.98</v>
      </c>
      <c r="J21" s="447">
        <v>1027.3599999999999</v>
      </c>
      <c r="K21" s="447">
        <v>1029.77</v>
      </c>
      <c r="L21" s="447">
        <v>1006.48</v>
      </c>
      <c r="M21" s="447">
        <v>980.16</v>
      </c>
      <c r="N21" s="447">
        <v>531.79</v>
      </c>
      <c r="O21" s="447">
        <v>1223.95</v>
      </c>
      <c r="P21" s="447">
        <v>1156.4100000000001</v>
      </c>
      <c r="Q21" s="447">
        <v>1025.76</v>
      </c>
      <c r="R21" s="447">
        <v>740.32</v>
      </c>
      <c r="S21" s="447">
        <v>681.72</v>
      </c>
      <c r="T21" s="448" t="s">
        <v>308</v>
      </c>
      <c r="U21" s="144"/>
      <c r="V21" s="447">
        <f t="shared" si="13"/>
        <v>1187.3510000000001</v>
      </c>
      <c r="W21" s="447">
        <f t="shared" si="2"/>
        <v>1160.4780000000001</v>
      </c>
      <c r="X21" s="447">
        <f t="shared" si="3"/>
        <v>1130.096</v>
      </c>
      <c r="Y21" s="447">
        <f t="shared" si="4"/>
        <v>1132.7470000000001</v>
      </c>
      <c r="Z21" s="447">
        <f t="shared" si="5"/>
        <v>1107.1280000000002</v>
      </c>
      <c r="AA21" s="447">
        <f t="shared" si="6"/>
        <v>1078.1760000000002</v>
      </c>
      <c r="AB21" s="447">
        <f t="shared" si="7"/>
        <v>584.96900000000005</v>
      </c>
      <c r="AC21" s="447">
        <f t="shared" si="8"/>
        <v>1346.3450000000003</v>
      </c>
      <c r="AD21" s="447">
        <f t="shared" si="9"/>
        <v>1272.0510000000002</v>
      </c>
      <c r="AE21" s="447">
        <f t="shared" si="10"/>
        <v>1128.336</v>
      </c>
      <c r="AF21" s="447">
        <f t="shared" si="11"/>
        <v>814.35200000000009</v>
      </c>
      <c r="AG21" s="447">
        <f t="shared" si="12"/>
        <v>749.89200000000005</v>
      </c>
      <c r="AH21" s="448" t="s">
        <v>308</v>
      </c>
    </row>
    <row r="22" spans="1:34" ht="16.5" hidden="1" thickBot="1">
      <c r="A22" s="419">
        <v>2017</v>
      </c>
      <c r="B22" s="420" t="s">
        <v>303</v>
      </c>
      <c r="C22" s="421" t="s">
        <v>304</v>
      </c>
      <c r="D22" s="421" t="s">
        <v>305</v>
      </c>
      <c r="E22" s="422" t="s">
        <v>306</v>
      </c>
      <c r="F22" s="434" t="s">
        <v>315</v>
      </c>
      <c r="G22" s="424" t="s">
        <v>214</v>
      </c>
      <c r="H22" s="449">
        <v>1727.07</v>
      </c>
      <c r="I22" s="449">
        <v>1687.96</v>
      </c>
      <c r="J22" s="449">
        <v>1643.79</v>
      </c>
      <c r="K22" s="449">
        <v>1647.62</v>
      </c>
      <c r="L22" s="449">
        <v>1610.36</v>
      </c>
      <c r="M22" s="449">
        <v>1568.25</v>
      </c>
      <c r="N22" s="449">
        <v>850.86</v>
      </c>
      <c r="O22" s="449">
        <v>1958.32</v>
      </c>
      <c r="P22" s="449">
        <v>1850.25</v>
      </c>
      <c r="Q22" s="449">
        <v>1641.21</v>
      </c>
      <c r="R22" s="449">
        <v>1184.51</v>
      </c>
      <c r="S22" s="449">
        <v>1090.76</v>
      </c>
      <c r="T22" s="450" t="s">
        <v>308</v>
      </c>
      <c r="U22" s="144"/>
      <c r="V22" s="449">
        <f t="shared" si="13"/>
        <v>1899.777</v>
      </c>
      <c r="W22" s="449">
        <f t="shared" si="2"/>
        <v>1856.7560000000001</v>
      </c>
      <c r="X22" s="449">
        <f t="shared" si="3"/>
        <v>1808.1690000000001</v>
      </c>
      <c r="Y22" s="449">
        <f t="shared" si="4"/>
        <v>1812.3820000000001</v>
      </c>
      <c r="Z22" s="449">
        <f t="shared" si="5"/>
        <v>1771.396</v>
      </c>
      <c r="AA22" s="449">
        <f t="shared" si="6"/>
        <v>1725.075</v>
      </c>
      <c r="AB22" s="449">
        <f t="shared" si="7"/>
        <v>935.94600000000014</v>
      </c>
      <c r="AC22" s="449">
        <f t="shared" si="8"/>
        <v>2154.152</v>
      </c>
      <c r="AD22" s="449">
        <f t="shared" si="9"/>
        <v>2035.2750000000001</v>
      </c>
      <c r="AE22" s="449">
        <f t="shared" si="10"/>
        <v>1805.3310000000001</v>
      </c>
      <c r="AF22" s="449">
        <f t="shared" si="11"/>
        <v>1302.961</v>
      </c>
      <c r="AG22" s="449">
        <f t="shared" si="12"/>
        <v>1199.836</v>
      </c>
      <c r="AH22" s="450" t="s">
        <v>308</v>
      </c>
    </row>
    <row r="23" spans="1:34" ht="16.5" hidden="1" thickBot="1">
      <c r="A23" s="412">
        <v>2017</v>
      </c>
      <c r="B23" s="413" t="s">
        <v>303</v>
      </c>
      <c r="C23" s="414" t="s">
        <v>309</v>
      </c>
      <c r="D23" s="414" t="s">
        <v>310</v>
      </c>
      <c r="E23" s="415" t="s">
        <v>306</v>
      </c>
      <c r="F23" s="432" t="s">
        <v>315</v>
      </c>
      <c r="G23" s="417" t="s">
        <v>211</v>
      </c>
      <c r="H23" s="445">
        <v>624.29999999999995</v>
      </c>
      <c r="I23" s="445">
        <v>610.16999999999996</v>
      </c>
      <c r="J23" s="445">
        <v>594.20000000000005</v>
      </c>
      <c r="K23" s="445">
        <v>595.58000000000004</v>
      </c>
      <c r="L23" s="445">
        <v>582.11</v>
      </c>
      <c r="M23" s="445">
        <v>566.89</v>
      </c>
      <c r="N23" s="445">
        <v>307.57</v>
      </c>
      <c r="O23" s="445">
        <v>707.89</v>
      </c>
      <c r="P23" s="445">
        <v>668.83</v>
      </c>
      <c r="Q23" s="445">
        <v>593.27</v>
      </c>
      <c r="R23" s="445">
        <v>428.18</v>
      </c>
      <c r="S23" s="445">
        <v>394.29</v>
      </c>
      <c r="T23" s="446" t="s">
        <v>308</v>
      </c>
      <c r="U23" s="144"/>
      <c r="V23" s="445">
        <f t="shared" si="13"/>
        <v>686.73</v>
      </c>
      <c r="W23" s="445">
        <f t="shared" si="2"/>
        <v>671.18700000000001</v>
      </c>
      <c r="X23" s="445">
        <f t="shared" si="3"/>
        <v>653.62000000000012</v>
      </c>
      <c r="Y23" s="445">
        <f t="shared" si="4"/>
        <v>655.13800000000015</v>
      </c>
      <c r="Z23" s="445">
        <f t="shared" si="5"/>
        <v>640.32100000000003</v>
      </c>
      <c r="AA23" s="445">
        <f t="shared" si="6"/>
        <v>623.57900000000006</v>
      </c>
      <c r="AB23" s="445">
        <f t="shared" si="7"/>
        <v>338.327</v>
      </c>
      <c r="AC23" s="445">
        <f t="shared" si="8"/>
        <v>778.67900000000009</v>
      </c>
      <c r="AD23" s="445">
        <f t="shared" si="9"/>
        <v>735.71300000000008</v>
      </c>
      <c r="AE23" s="445">
        <f t="shared" si="10"/>
        <v>652.59699999999998</v>
      </c>
      <c r="AF23" s="445">
        <f t="shared" si="11"/>
        <v>470.99800000000005</v>
      </c>
      <c r="AG23" s="445">
        <f t="shared" si="12"/>
        <v>433.71900000000005</v>
      </c>
      <c r="AH23" s="446" t="s">
        <v>308</v>
      </c>
    </row>
    <row r="24" spans="1:34" ht="16.5" hidden="1" thickBot="1">
      <c r="A24" s="418">
        <v>2017</v>
      </c>
      <c r="B24" s="145" t="s">
        <v>303</v>
      </c>
      <c r="C24" s="146" t="s">
        <v>309</v>
      </c>
      <c r="D24" s="146" t="s">
        <v>310</v>
      </c>
      <c r="E24" s="147" t="s">
        <v>306</v>
      </c>
      <c r="F24" s="433" t="s">
        <v>315</v>
      </c>
      <c r="G24" s="149" t="s">
        <v>212</v>
      </c>
      <c r="H24" s="447">
        <v>1367.22</v>
      </c>
      <c r="I24" s="447">
        <v>1336.26</v>
      </c>
      <c r="J24" s="447">
        <v>1301.29</v>
      </c>
      <c r="K24" s="447">
        <v>1304.33</v>
      </c>
      <c r="L24" s="447">
        <v>1274.82</v>
      </c>
      <c r="M24" s="447">
        <v>1241.5</v>
      </c>
      <c r="N24" s="447">
        <v>673.57</v>
      </c>
      <c r="O24" s="447">
        <v>1550.29</v>
      </c>
      <c r="P24" s="447">
        <v>1464.74</v>
      </c>
      <c r="Q24" s="447">
        <v>1299.25</v>
      </c>
      <c r="R24" s="447">
        <v>937.71</v>
      </c>
      <c r="S24" s="447">
        <v>863.49</v>
      </c>
      <c r="T24" s="448" t="s">
        <v>308</v>
      </c>
      <c r="U24" s="144"/>
      <c r="V24" s="447">
        <f t="shared" si="13"/>
        <v>1503.9420000000002</v>
      </c>
      <c r="W24" s="447">
        <f t="shared" si="2"/>
        <v>1469.8860000000002</v>
      </c>
      <c r="X24" s="447">
        <f t="shared" si="3"/>
        <v>1431.4190000000001</v>
      </c>
      <c r="Y24" s="447">
        <f t="shared" si="4"/>
        <v>1434.7630000000001</v>
      </c>
      <c r="Z24" s="447">
        <f t="shared" si="5"/>
        <v>1402.3020000000001</v>
      </c>
      <c r="AA24" s="447">
        <f t="shared" si="6"/>
        <v>1365.65</v>
      </c>
      <c r="AB24" s="447">
        <f t="shared" si="7"/>
        <v>740.92700000000013</v>
      </c>
      <c r="AC24" s="447">
        <f t="shared" si="8"/>
        <v>1705.3190000000002</v>
      </c>
      <c r="AD24" s="447">
        <f t="shared" si="9"/>
        <v>1611.2140000000002</v>
      </c>
      <c r="AE24" s="447">
        <f t="shared" si="10"/>
        <v>1429.1750000000002</v>
      </c>
      <c r="AF24" s="447">
        <f t="shared" si="11"/>
        <v>1031.4810000000002</v>
      </c>
      <c r="AG24" s="447">
        <f t="shared" si="12"/>
        <v>949.83900000000006</v>
      </c>
      <c r="AH24" s="448" t="s">
        <v>308</v>
      </c>
    </row>
    <row r="25" spans="1:34" ht="16.5" hidden="1" thickBot="1">
      <c r="A25" s="418">
        <v>2017</v>
      </c>
      <c r="B25" s="145" t="s">
        <v>303</v>
      </c>
      <c r="C25" s="146" t="s">
        <v>309</v>
      </c>
      <c r="D25" s="146" t="s">
        <v>310</v>
      </c>
      <c r="E25" s="147" t="s">
        <v>306</v>
      </c>
      <c r="F25" s="433" t="s">
        <v>315</v>
      </c>
      <c r="G25" s="149" t="s">
        <v>213</v>
      </c>
      <c r="H25" s="447">
        <v>1186.17</v>
      </c>
      <c r="I25" s="447">
        <v>1159.31</v>
      </c>
      <c r="J25" s="447">
        <v>1128.97</v>
      </c>
      <c r="K25" s="447">
        <v>1131.6099999999999</v>
      </c>
      <c r="L25" s="447">
        <v>1106.02</v>
      </c>
      <c r="M25" s="447">
        <v>1077.0999999999999</v>
      </c>
      <c r="N25" s="447">
        <v>584.39</v>
      </c>
      <c r="O25" s="447">
        <v>1345</v>
      </c>
      <c r="P25" s="447">
        <v>1270.78</v>
      </c>
      <c r="Q25" s="447">
        <v>1127.2</v>
      </c>
      <c r="R25" s="447">
        <v>813.53</v>
      </c>
      <c r="S25" s="447">
        <v>749.15</v>
      </c>
      <c r="T25" s="448" t="s">
        <v>308</v>
      </c>
      <c r="U25" s="144"/>
      <c r="V25" s="447">
        <f t="shared" si="13"/>
        <v>1304.7870000000003</v>
      </c>
      <c r="W25" s="447">
        <f t="shared" si="2"/>
        <v>1275.241</v>
      </c>
      <c r="X25" s="447">
        <f t="shared" si="3"/>
        <v>1241.8670000000002</v>
      </c>
      <c r="Y25" s="447">
        <f t="shared" si="4"/>
        <v>1244.771</v>
      </c>
      <c r="Z25" s="447">
        <f t="shared" si="5"/>
        <v>1216.6220000000001</v>
      </c>
      <c r="AA25" s="447">
        <f t="shared" si="6"/>
        <v>1184.81</v>
      </c>
      <c r="AB25" s="447">
        <f t="shared" si="7"/>
        <v>642.82900000000006</v>
      </c>
      <c r="AC25" s="447">
        <f t="shared" si="8"/>
        <v>1479.5000000000002</v>
      </c>
      <c r="AD25" s="447">
        <f t="shared" si="9"/>
        <v>1397.8580000000002</v>
      </c>
      <c r="AE25" s="447">
        <f t="shared" si="10"/>
        <v>1239.92</v>
      </c>
      <c r="AF25" s="447">
        <f t="shared" si="11"/>
        <v>894.88300000000004</v>
      </c>
      <c r="AG25" s="447">
        <f t="shared" si="12"/>
        <v>824.06500000000005</v>
      </c>
      <c r="AH25" s="448" t="s">
        <v>308</v>
      </c>
    </row>
    <row r="26" spans="1:34" ht="16.5" hidden="1" thickBot="1">
      <c r="A26" s="419">
        <v>2017</v>
      </c>
      <c r="B26" s="420" t="s">
        <v>303</v>
      </c>
      <c r="C26" s="421" t="s">
        <v>309</v>
      </c>
      <c r="D26" s="421" t="s">
        <v>310</v>
      </c>
      <c r="E26" s="422" t="s">
        <v>306</v>
      </c>
      <c r="F26" s="434" t="s">
        <v>315</v>
      </c>
      <c r="G26" s="424" t="s">
        <v>214</v>
      </c>
      <c r="H26" s="449">
        <v>1897.88</v>
      </c>
      <c r="I26" s="449">
        <v>1854.9</v>
      </c>
      <c r="J26" s="449">
        <v>1806.36</v>
      </c>
      <c r="K26" s="449">
        <v>1810.58</v>
      </c>
      <c r="L26" s="449">
        <v>1769.62</v>
      </c>
      <c r="M26" s="449">
        <v>1723.36</v>
      </c>
      <c r="N26" s="449">
        <v>935.01</v>
      </c>
      <c r="O26" s="449">
        <v>2152</v>
      </c>
      <c r="P26" s="449">
        <v>2033.24</v>
      </c>
      <c r="Q26" s="449">
        <v>1803.53</v>
      </c>
      <c r="R26" s="449">
        <v>1301.6600000000001</v>
      </c>
      <c r="S26" s="449">
        <v>1198.6400000000001</v>
      </c>
      <c r="T26" s="450" t="s">
        <v>308</v>
      </c>
      <c r="U26" s="144"/>
      <c r="V26" s="449">
        <f t="shared" si="13"/>
        <v>2087.6680000000001</v>
      </c>
      <c r="W26" s="449">
        <f t="shared" si="2"/>
        <v>2040.3900000000003</v>
      </c>
      <c r="X26" s="449">
        <f t="shared" si="3"/>
        <v>1986.9960000000001</v>
      </c>
      <c r="Y26" s="449">
        <f t="shared" si="4"/>
        <v>1991.6380000000001</v>
      </c>
      <c r="Z26" s="449">
        <f t="shared" si="5"/>
        <v>1946.5820000000001</v>
      </c>
      <c r="AA26" s="449">
        <f t="shared" si="6"/>
        <v>1895.6960000000001</v>
      </c>
      <c r="AB26" s="449">
        <f t="shared" si="7"/>
        <v>1028.511</v>
      </c>
      <c r="AC26" s="449">
        <f t="shared" si="8"/>
        <v>2367.2000000000003</v>
      </c>
      <c r="AD26" s="449">
        <f t="shared" si="9"/>
        <v>2236.5640000000003</v>
      </c>
      <c r="AE26" s="449">
        <f t="shared" si="10"/>
        <v>1983.883</v>
      </c>
      <c r="AF26" s="449">
        <f t="shared" si="11"/>
        <v>1431.8260000000002</v>
      </c>
      <c r="AG26" s="449">
        <f t="shared" si="12"/>
        <v>1318.5040000000001</v>
      </c>
      <c r="AH26" s="450" t="s">
        <v>308</v>
      </c>
    </row>
    <row r="27" spans="1:34" ht="16.5" hidden="1" thickBot="1">
      <c r="A27" s="412">
        <v>2017</v>
      </c>
      <c r="B27" s="413" t="s">
        <v>303</v>
      </c>
      <c r="C27" s="414" t="s">
        <v>311</v>
      </c>
      <c r="D27" s="414" t="s">
        <v>312</v>
      </c>
      <c r="E27" s="415" t="s">
        <v>306</v>
      </c>
      <c r="F27" s="432" t="s">
        <v>315</v>
      </c>
      <c r="G27" s="417" t="s">
        <v>211</v>
      </c>
      <c r="H27" s="445">
        <v>657.16</v>
      </c>
      <c r="I27" s="445">
        <v>642.28</v>
      </c>
      <c r="J27" s="445">
        <v>625.47</v>
      </c>
      <c r="K27" s="445">
        <v>626.92999999999995</v>
      </c>
      <c r="L27" s="445">
        <v>612.75</v>
      </c>
      <c r="M27" s="445">
        <v>596.73</v>
      </c>
      <c r="N27" s="445">
        <v>323.76</v>
      </c>
      <c r="O27" s="445">
        <v>745.15</v>
      </c>
      <c r="P27" s="445">
        <v>704.03</v>
      </c>
      <c r="Q27" s="445">
        <v>624.49</v>
      </c>
      <c r="R27" s="445">
        <v>450.71</v>
      </c>
      <c r="S27" s="445">
        <v>415.04</v>
      </c>
      <c r="T27" s="446" t="s">
        <v>308</v>
      </c>
      <c r="U27" s="144"/>
      <c r="V27" s="445">
        <f t="shared" si="13"/>
        <v>722.87599999999998</v>
      </c>
      <c r="W27" s="445">
        <f t="shared" si="2"/>
        <v>706.50800000000004</v>
      </c>
      <c r="X27" s="445">
        <f t="shared" si="3"/>
        <v>688.01700000000005</v>
      </c>
      <c r="Y27" s="445">
        <f t="shared" si="4"/>
        <v>689.62300000000005</v>
      </c>
      <c r="Z27" s="445">
        <f t="shared" si="5"/>
        <v>674.02500000000009</v>
      </c>
      <c r="AA27" s="445">
        <f t="shared" si="6"/>
        <v>656.40300000000002</v>
      </c>
      <c r="AB27" s="445">
        <f t="shared" si="7"/>
        <v>356.13600000000002</v>
      </c>
      <c r="AC27" s="445">
        <f t="shared" si="8"/>
        <v>819.66500000000008</v>
      </c>
      <c r="AD27" s="445">
        <f t="shared" si="9"/>
        <v>774.43299999999999</v>
      </c>
      <c r="AE27" s="445">
        <f t="shared" si="10"/>
        <v>686.93900000000008</v>
      </c>
      <c r="AF27" s="445">
        <f t="shared" si="11"/>
        <v>495.78100000000001</v>
      </c>
      <c r="AG27" s="445">
        <f t="shared" si="12"/>
        <v>456.54400000000004</v>
      </c>
      <c r="AH27" s="446" t="s">
        <v>308</v>
      </c>
    </row>
    <row r="28" spans="1:34" ht="16.5" hidden="1" thickBot="1">
      <c r="A28" s="418">
        <v>2017</v>
      </c>
      <c r="B28" s="145" t="s">
        <v>303</v>
      </c>
      <c r="C28" s="146" t="s">
        <v>311</v>
      </c>
      <c r="D28" s="146" t="s">
        <v>312</v>
      </c>
      <c r="E28" s="147" t="s">
        <v>306</v>
      </c>
      <c r="F28" s="433" t="s">
        <v>315</v>
      </c>
      <c r="G28" s="149" t="s">
        <v>212</v>
      </c>
      <c r="H28" s="447">
        <v>1439.18</v>
      </c>
      <c r="I28" s="447">
        <v>1406.59</v>
      </c>
      <c r="J28" s="447">
        <v>1369.78</v>
      </c>
      <c r="K28" s="447">
        <v>1372.98</v>
      </c>
      <c r="L28" s="447">
        <v>1341.92</v>
      </c>
      <c r="M28" s="447">
        <v>1306.8399999999999</v>
      </c>
      <c r="N28" s="447">
        <v>709.02</v>
      </c>
      <c r="O28" s="447">
        <v>1631.88</v>
      </c>
      <c r="P28" s="447">
        <v>1541.83</v>
      </c>
      <c r="Q28" s="447">
        <v>1367.63</v>
      </c>
      <c r="R28" s="447">
        <v>987.06</v>
      </c>
      <c r="S28" s="447">
        <v>908.94</v>
      </c>
      <c r="T28" s="448" t="s">
        <v>308</v>
      </c>
      <c r="U28" s="144"/>
      <c r="V28" s="447">
        <f t="shared" si="13"/>
        <v>1583.0980000000002</v>
      </c>
      <c r="W28" s="447">
        <f t="shared" si="2"/>
        <v>1547.249</v>
      </c>
      <c r="X28" s="447">
        <f t="shared" si="3"/>
        <v>1506.758</v>
      </c>
      <c r="Y28" s="447">
        <f t="shared" si="4"/>
        <v>1510.2780000000002</v>
      </c>
      <c r="Z28" s="447">
        <f t="shared" si="5"/>
        <v>1476.1120000000003</v>
      </c>
      <c r="AA28" s="447">
        <f t="shared" si="6"/>
        <v>1437.5240000000001</v>
      </c>
      <c r="AB28" s="447">
        <f t="shared" si="7"/>
        <v>779.92200000000003</v>
      </c>
      <c r="AC28" s="447">
        <f t="shared" si="8"/>
        <v>1795.0680000000002</v>
      </c>
      <c r="AD28" s="447">
        <f t="shared" si="9"/>
        <v>1696.0130000000001</v>
      </c>
      <c r="AE28" s="447">
        <f t="shared" si="10"/>
        <v>1504.3930000000003</v>
      </c>
      <c r="AF28" s="447">
        <f t="shared" si="11"/>
        <v>1085.7660000000001</v>
      </c>
      <c r="AG28" s="447">
        <f t="shared" si="12"/>
        <v>999.83400000000017</v>
      </c>
      <c r="AH28" s="448" t="s">
        <v>308</v>
      </c>
    </row>
    <row r="29" spans="1:34" ht="16.5" hidden="1" thickBot="1">
      <c r="A29" s="418">
        <v>2017</v>
      </c>
      <c r="B29" s="145" t="s">
        <v>303</v>
      </c>
      <c r="C29" s="146" t="s">
        <v>311</v>
      </c>
      <c r="D29" s="146" t="s">
        <v>312</v>
      </c>
      <c r="E29" s="147" t="s">
        <v>306</v>
      </c>
      <c r="F29" s="433" t="s">
        <v>315</v>
      </c>
      <c r="G29" s="149" t="s">
        <v>213</v>
      </c>
      <c r="H29" s="447">
        <v>1248.5999999999999</v>
      </c>
      <c r="I29" s="447">
        <v>1220.33</v>
      </c>
      <c r="J29" s="447">
        <v>1188.3900000000001</v>
      </c>
      <c r="K29" s="447">
        <v>1191.17</v>
      </c>
      <c r="L29" s="447">
        <v>1164.23</v>
      </c>
      <c r="M29" s="447">
        <v>1133.79</v>
      </c>
      <c r="N29" s="447">
        <v>615.14</v>
      </c>
      <c r="O29" s="447">
        <v>1415.79</v>
      </c>
      <c r="P29" s="447">
        <v>1337.66</v>
      </c>
      <c r="Q29" s="447">
        <v>1186.53</v>
      </c>
      <c r="R29" s="447">
        <v>856.35</v>
      </c>
      <c r="S29" s="447">
        <v>788.58</v>
      </c>
      <c r="T29" s="448" t="s">
        <v>308</v>
      </c>
      <c r="U29" s="144"/>
      <c r="V29" s="447">
        <f t="shared" si="13"/>
        <v>1373.46</v>
      </c>
      <c r="W29" s="447">
        <f t="shared" si="2"/>
        <v>1342.3630000000001</v>
      </c>
      <c r="X29" s="447">
        <f t="shared" si="3"/>
        <v>1307.2290000000003</v>
      </c>
      <c r="Y29" s="447">
        <f t="shared" si="4"/>
        <v>1310.2870000000003</v>
      </c>
      <c r="Z29" s="447">
        <f t="shared" si="5"/>
        <v>1280.653</v>
      </c>
      <c r="AA29" s="447">
        <f t="shared" si="6"/>
        <v>1247.1690000000001</v>
      </c>
      <c r="AB29" s="447">
        <f t="shared" si="7"/>
        <v>676.654</v>
      </c>
      <c r="AC29" s="447">
        <f t="shared" si="8"/>
        <v>1557.3690000000001</v>
      </c>
      <c r="AD29" s="447">
        <f t="shared" si="9"/>
        <v>1471.4260000000002</v>
      </c>
      <c r="AE29" s="447">
        <f t="shared" si="10"/>
        <v>1305.183</v>
      </c>
      <c r="AF29" s="447">
        <f t="shared" si="11"/>
        <v>941.98500000000013</v>
      </c>
      <c r="AG29" s="447">
        <f t="shared" si="12"/>
        <v>867.4380000000001</v>
      </c>
      <c r="AH29" s="448" t="s">
        <v>308</v>
      </c>
    </row>
    <row r="30" spans="1:34" ht="16.5" hidden="1" thickBot="1">
      <c r="A30" s="419">
        <v>2017</v>
      </c>
      <c r="B30" s="420" t="s">
        <v>303</v>
      </c>
      <c r="C30" s="421" t="s">
        <v>311</v>
      </c>
      <c r="D30" s="421" t="s">
        <v>312</v>
      </c>
      <c r="E30" s="422" t="s">
        <v>306</v>
      </c>
      <c r="F30" s="434" t="s">
        <v>315</v>
      </c>
      <c r="G30" s="424" t="s">
        <v>214</v>
      </c>
      <c r="H30" s="449">
        <v>1997.77</v>
      </c>
      <c r="I30" s="449">
        <v>1952.53</v>
      </c>
      <c r="J30" s="449">
        <v>1901.43</v>
      </c>
      <c r="K30" s="449">
        <v>1905.87</v>
      </c>
      <c r="L30" s="449">
        <v>1862.76</v>
      </c>
      <c r="M30" s="449">
        <v>1814.06</v>
      </c>
      <c r="N30" s="449">
        <v>984.22</v>
      </c>
      <c r="O30" s="449">
        <v>2265.2600000000002</v>
      </c>
      <c r="P30" s="449">
        <v>2140.25</v>
      </c>
      <c r="Q30" s="449">
        <v>1898.45</v>
      </c>
      <c r="R30" s="449">
        <v>1370.17</v>
      </c>
      <c r="S30" s="449">
        <v>1261.73</v>
      </c>
      <c r="T30" s="450" t="s">
        <v>308</v>
      </c>
      <c r="U30" s="144"/>
      <c r="V30" s="449">
        <f t="shared" si="13"/>
        <v>2197.547</v>
      </c>
      <c r="W30" s="449">
        <f t="shared" si="2"/>
        <v>2147.7830000000004</v>
      </c>
      <c r="X30" s="449">
        <f t="shared" si="3"/>
        <v>2091.5730000000003</v>
      </c>
      <c r="Y30" s="449">
        <f t="shared" si="4"/>
        <v>2096.4569999999999</v>
      </c>
      <c r="Z30" s="449">
        <f t="shared" si="5"/>
        <v>2049.0360000000001</v>
      </c>
      <c r="AA30" s="449">
        <f t="shared" si="6"/>
        <v>1995.4660000000001</v>
      </c>
      <c r="AB30" s="449">
        <f t="shared" si="7"/>
        <v>1082.6420000000001</v>
      </c>
      <c r="AC30" s="449">
        <f t="shared" si="8"/>
        <v>2491.7860000000005</v>
      </c>
      <c r="AD30" s="449">
        <f t="shared" si="9"/>
        <v>2354.2750000000001</v>
      </c>
      <c r="AE30" s="449">
        <f t="shared" si="10"/>
        <v>2088.2950000000001</v>
      </c>
      <c r="AF30" s="449">
        <f t="shared" si="11"/>
        <v>1507.1870000000001</v>
      </c>
      <c r="AG30" s="449">
        <f t="shared" si="12"/>
        <v>1387.903</v>
      </c>
      <c r="AH30" s="450" t="s">
        <v>308</v>
      </c>
    </row>
    <row r="31" spans="1:34" ht="16.5" hidden="1" thickBot="1">
      <c r="A31" s="412">
        <v>2017</v>
      </c>
      <c r="B31" s="413" t="s">
        <v>303</v>
      </c>
      <c r="C31" s="414" t="s">
        <v>313</v>
      </c>
      <c r="D31" s="414" t="s">
        <v>314</v>
      </c>
      <c r="E31" s="415" t="s">
        <v>306</v>
      </c>
      <c r="F31" s="432" t="s">
        <v>315</v>
      </c>
      <c r="G31" s="417" t="s">
        <v>211</v>
      </c>
      <c r="H31" s="445">
        <v>755.73</v>
      </c>
      <c r="I31" s="445">
        <v>738.62</v>
      </c>
      <c r="J31" s="445">
        <v>719.29</v>
      </c>
      <c r="K31" s="445">
        <v>720.97</v>
      </c>
      <c r="L31" s="445">
        <v>704.66</v>
      </c>
      <c r="M31" s="445">
        <v>686.24</v>
      </c>
      <c r="N31" s="445">
        <v>372.32</v>
      </c>
      <c r="O31" s="445">
        <v>856.92</v>
      </c>
      <c r="P31" s="445">
        <v>809.63</v>
      </c>
      <c r="Q31" s="445">
        <v>718.16</v>
      </c>
      <c r="R31" s="445">
        <v>518.32000000000005</v>
      </c>
      <c r="S31" s="445">
        <v>477.3</v>
      </c>
      <c r="T31" s="446" t="s">
        <v>308</v>
      </c>
      <c r="U31" s="144"/>
      <c r="V31" s="445">
        <f t="shared" si="13"/>
        <v>831.30300000000011</v>
      </c>
      <c r="W31" s="445">
        <f t="shared" si="2"/>
        <v>812.48200000000008</v>
      </c>
      <c r="X31" s="445">
        <f t="shared" si="3"/>
        <v>791.21900000000005</v>
      </c>
      <c r="Y31" s="445">
        <f t="shared" si="4"/>
        <v>793.06700000000012</v>
      </c>
      <c r="Z31" s="445">
        <f t="shared" si="5"/>
        <v>775.12599999999998</v>
      </c>
      <c r="AA31" s="445">
        <f t="shared" si="6"/>
        <v>754.86400000000003</v>
      </c>
      <c r="AB31" s="445">
        <f t="shared" si="7"/>
        <v>409.55200000000002</v>
      </c>
      <c r="AC31" s="445">
        <f t="shared" si="8"/>
        <v>942.61200000000008</v>
      </c>
      <c r="AD31" s="445">
        <f t="shared" si="9"/>
        <v>890.59300000000007</v>
      </c>
      <c r="AE31" s="445">
        <f t="shared" si="10"/>
        <v>789.976</v>
      </c>
      <c r="AF31" s="445">
        <f t="shared" si="11"/>
        <v>570.15200000000016</v>
      </c>
      <c r="AG31" s="445">
        <f t="shared" si="12"/>
        <v>525.03000000000009</v>
      </c>
      <c r="AH31" s="446" t="s">
        <v>308</v>
      </c>
    </row>
    <row r="32" spans="1:34" ht="16.5" hidden="1" thickBot="1">
      <c r="A32" s="418">
        <v>2017</v>
      </c>
      <c r="B32" s="145" t="s">
        <v>303</v>
      </c>
      <c r="C32" s="146" t="s">
        <v>313</v>
      </c>
      <c r="D32" s="146" t="s">
        <v>314</v>
      </c>
      <c r="E32" s="147" t="s">
        <v>306</v>
      </c>
      <c r="F32" s="433" t="s">
        <v>315</v>
      </c>
      <c r="G32" s="149" t="s">
        <v>212</v>
      </c>
      <c r="H32" s="447">
        <v>1655.06</v>
      </c>
      <c r="I32" s="447">
        <v>1617.58</v>
      </c>
      <c r="J32" s="447">
        <v>1575.25</v>
      </c>
      <c r="K32" s="447">
        <v>1578.93</v>
      </c>
      <c r="L32" s="447">
        <v>1543.21</v>
      </c>
      <c r="M32" s="447">
        <v>1502.87</v>
      </c>
      <c r="N32" s="447">
        <v>815.38</v>
      </c>
      <c r="O32" s="447">
        <v>1876.66</v>
      </c>
      <c r="P32" s="447">
        <v>1773.1</v>
      </c>
      <c r="Q32" s="447">
        <v>1572.77</v>
      </c>
      <c r="R32" s="447">
        <v>1135.1199999999999</v>
      </c>
      <c r="S32" s="447">
        <v>1045.28</v>
      </c>
      <c r="T32" s="448" t="s">
        <v>308</v>
      </c>
      <c r="U32" s="144"/>
      <c r="V32" s="447">
        <f t="shared" si="13"/>
        <v>1820.566</v>
      </c>
      <c r="W32" s="447">
        <f t="shared" si="2"/>
        <v>1779.338</v>
      </c>
      <c r="X32" s="447">
        <f t="shared" si="3"/>
        <v>1732.7750000000001</v>
      </c>
      <c r="Y32" s="447">
        <f t="shared" si="4"/>
        <v>1736.8230000000003</v>
      </c>
      <c r="Z32" s="447">
        <f t="shared" si="5"/>
        <v>1697.5310000000002</v>
      </c>
      <c r="AA32" s="447">
        <f t="shared" si="6"/>
        <v>1653.1569999999999</v>
      </c>
      <c r="AB32" s="447">
        <f t="shared" si="7"/>
        <v>896.91800000000012</v>
      </c>
      <c r="AC32" s="447">
        <f t="shared" si="8"/>
        <v>2064.3260000000005</v>
      </c>
      <c r="AD32" s="447">
        <f t="shared" si="9"/>
        <v>1950.41</v>
      </c>
      <c r="AE32" s="447">
        <f t="shared" si="10"/>
        <v>1730.047</v>
      </c>
      <c r="AF32" s="447">
        <f t="shared" si="11"/>
        <v>1248.6320000000001</v>
      </c>
      <c r="AG32" s="447">
        <f t="shared" si="12"/>
        <v>1149.808</v>
      </c>
      <c r="AH32" s="448" t="s">
        <v>308</v>
      </c>
    </row>
    <row r="33" spans="1:34" ht="16.5" hidden="1" thickBot="1">
      <c r="A33" s="418">
        <v>2017</v>
      </c>
      <c r="B33" s="145" t="s">
        <v>303</v>
      </c>
      <c r="C33" s="146" t="s">
        <v>313</v>
      </c>
      <c r="D33" s="146" t="s">
        <v>314</v>
      </c>
      <c r="E33" s="147" t="s">
        <v>306</v>
      </c>
      <c r="F33" s="433" t="s">
        <v>315</v>
      </c>
      <c r="G33" s="149" t="s">
        <v>213</v>
      </c>
      <c r="H33" s="447">
        <v>1435.89</v>
      </c>
      <c r="I33" s="447">
        <v>1403.38</v>
      </c>
      <c r="J33" s="447">
        <v>1366.65</v>
      </c>
      <c r="K33" s="447">
        <v>1369.85</v>
      </c>
      <c r="L33" s="447">
        <v>1338.86</v>
      </c>
      <c r="M33" s="447">
        <v>1303.8599999999999</v>
      </c>
      <c r="N33" s="447">
        <v>707.41</v>
      </c>
      <c r="O33" s="447">
        <v>1628.16</v>
      </c>
      <c r="P33" s="447">
        <v>1538.31</v>
      </c>
      <c r="Q33" s="447">
        <v>1364.51</v>
      </c>
      <c r="R33" s="447">
        <v>984.81</v>
      </c>
      <c r="S33" s="447">
        <v>906.86</v>
      </c>
      <c r="T33" s="448" t="s">
        <v>308</v>
      </c>
      <c r="V33" s="447">
        <f t="shared" si="13"/>
        <v>1579.4790000000003</v>
      </c>
      <c r="W33" s="447">
        <f t="shared" si="2"/>
        <v>1543.7180000000003</v>
      </c>
      <c r="X33" s="447">
        <f t="shared" si="3"/>
        <v>1503.3150000000003</v>
      </c>
      <c r="Y33" s="447">
        <f t="shared" si="4"/>
        <v>1506.835</v>
      </c>
      <c r="Z33" s="447">
        <f t="shared" si="5"/>
        <v>1472.7460000000001</v>
      </c>
      <c r="AA33" s="447">
        <f t="shared" si="6"/>
        <v>1434.2460000000001</v>
      </c>
      <c r="AB33" s="447">
        <f t="shared" si="7"/>
        <v>778.15100000000007</v>
      </c>
      <c r="AC33" s="447">
        <f t="shared" si="8"/>
        <v>1790.9760000000003</v>
      </c>
      <c r="AD33" s="447">
        <f t="shared" si="9"/>
        <v>1692.1410000000001</v>
      </c>
      <c r="AE33" s="447">
        <f t="shared" si="10"/>
        <v>1500.961</v>
      </c>
      <c r="AF33" s="447">
        <f t="shared" si="11"/>
        <v>1083.2909999999999</v>
      </c>
      <c r="AG33" s="447">
        <f t="shared" si="12"/>
        <v>997.54600000000005</v>
      </c>
      <c r="AH33" s="448" t="s">
        <v>308</v>
      </c>
    </row>
    <row r="34" spans="1:34" ht="16.5" hidden="1" thickBot="1">
      <c r="A34" s="419">
        <v>2017</v>
      </c>
      <c r="B34" s="420" t="s">
        <v>303</v>
      </c>
      <c r="C34" s="421" t="s">
        <v>313</v>
      </c>
      <c r="D34" s="421" t="s">
        <v>314</v>
      </c>
      <c r="E34" s="422" t="s">
        <v>306</v>
      </c>
      <c r="F34" s="434" t="s">
        <v>315</v>
      </c>
      <c r="G34" s="424" t="s">
        <v>214</v>
      </c>
      <c r="H34" s="449">
        <v>2297.44</v>
      </c>
      <c r="I34" s="449">
        <v>2245.41</v>
      </c>
      <c r="J34" s="449">
        <v>2186.64</v>
      </c>
      <c r="K34" s="449">
        <v>2191.75</v>
      </c>
      <c r="L34" s="449">
        <v>2142.17</v>
      </c>
      <c r="M34" s="449">
        <v>2086.17</v>
      </c>
      <c r="N34" s="449">
        <v>1131.8499999999999</v>
      </c>
      <c r="O34" s="449">
        <v>2605.0500000000002</v>
      </c>
      <c r="P34" s="449">
        <v>2461.29</v>
      </c>
      <c r="Q34" s="449">
        <v>2183.2199999999998</v>
      </c>
      <c r="R34" s="449">
        <v>1575.7</v>
      </c>
      <c r="S34" s="449">
        <v>1450.98</v>
      </c>
      <c r="T34" s="450" t="s">
        <v>308</v>
      </c>
      <c r="V34" s="449">
        <f t="shared" si="13"/>
        <v>2527.1840000000002</v>
      </c>
      <c r="W34" s="449">
        <f t="shared" si="2"/>
        <v>2469.951</v>
      </c>
      <c r="X34" s="449">
        <f t="shared" si="3"/>
        <v>2405.3040000000001</v>
      </c>
      <c r="Y34" s="449">
        <f t="shared" si="4"/>
        <v>2410.9250000000002</v>
      </c>
      <c r="Z34" s="449">
        <f t="shared" si="5"/>
        <v>2356.3870000000002</v>
      </c>
      <c r="AA34" s="449">
        <f t="shared" si="6"/>
        <v>2294.7870000000003</v>
      </c>
      <c r="AB34" s="449">
        <f t="shared" si="7"/>
        <v>1245.0350000000001</v>
      </c>
      <c r="AC34" s="449">
        <f t="shared" si="8"/>
        <v>2865.5550000000003</v>
      </c>
      <c r="AD34" s="449">
        <f t="shared" si="9"/>
        <v>2707.4190000000003</v>
      </c>
      <c r="AE34" s="449">
        <f t="shared" si="10"/>
        <v>2401.5419999999999</v>
      </c>
      <c r="AF34" s="449">
        <f t="shared" si="11"/>
        <v>1733.2700000000002</v>
      </c>
      <c r="AG34" s="449">
        <f t="shared" si="12"/>
        <v>1596.0780000000002</v>
      </c>
      <c r="AH34" s="450" t="s">
        <v>308</v>
      </c>
    </row>
    <row r="35" spans="1:34" ht="16.5" hidden="1" thickBot="1">
      <c r="A35" s="412">
        <v>2017</v>
      </c>
      <c r="B35" s="413" t="s">
        <v>303</v>
      </c>
      <c r="C35" s="414" t="s">
        <v>304</v>
      </c>
      <c r="D35" s="414" t="s">
        <v>305</v>
      </c>
      <c r="E35" s="430" t="s">
        <v>316</v>
      </c>
      <c r="F35" s="416" t="s">
        <v>307</v>
      </c>
      <c r="G35" s="417" t="s">
        <v>211</v>
      </c>
      <c r="H35" s="445">
        <v>568.11</v>
      </c>
      <c r="I35" s="445">
        <v>555.25</v>
      </c>
      <c r="J35" s="445">
        <v>540.72</v>
      </c>
      <c r="K35" s="445">
        <v>541.98</v>
      </c>
      <c r="L35" s="445">
        <v>529.72</v>
      </c>
      <c r="M35" s="445">
        <v>515.87</v>
      </c>
      <c r="N35" s="445">
        <v>279.89</v>
      </c>
      <c r="O35" s="445">
        <v>644.17999999999995</v>
      </c>
      <c r="P35" s="445">
        <v>608.63</v>
      </c>
      <c r="Q35" s="445">
        <v>539.87</v>
      </c>
      <c r="R35" s="445">
        <v>389.64</v>
      </c>
      <c r="S35" s="445">
        <v>358.8</v>
      </c>
      <c r="T35" s="446" t="s">
        <v>308</v>
      </c>
      <c r="V35" s="445">
        <f t="shared" si="13"/>
        <v>624.92100000000005</v>
      </c>
      <c r="W35" s="445">
        <f t="shared" si="2"/>
        <v>610.77500000000009</v>
      </c>
      <c r="X35" s="445">
        <f t="shared" si="3"/>
        <v>594.79200000000003</v>
      </c>
      <c r="Y35" s="445">
        <f t="shared" si="4"/>
        <v>596.17800000000011</v>
      </c>
      <c r="Z35" s="445">
        <f t="shared" si="5"/>
        <v>582.69200000000012</v>
      </c>
      <c r="AA35" s="445">
        <f t="shared" si="6"/>
        <v>567.45700000000011</v>
      </c>
      <c r="AB35" s="445">
        <f t="shared" si="7"/>
        <v>307.87900000000002</v>
      </c>
      <c r="AC35" s="445">
        <f t="shared" si="8"/>
        <v>708.59799999999996</v>
      </c>
      <c r="AD35" s="445">
        <f t="shared" si="9"/>
        <v>669.49300000000005</v>
      </c>
      <c r="AE35" s="445">
        <f t="shared" si="10"/>
        <v>593.85700000000008</v>
      </c>
      <c r="AF35" s="445">
        <f t="shared" si="11"/>
        <v>428.60400000000004</v>
      </c>
      <c r="AG35" s="445">
        <f t="shared" si="12"/>
        <v>394.68000000000006</v>
      </c>
      <c r="AH35" s="446" t="s">
        <v>308</v>
      </c>
    </row>
    <row r="36" spans="1:34" ht="16.5" hidden="1" thickBot="1">
      <c r="A36" s="418">
        <v>2017</v>
      </c>
      <c r="B36" s="145" t="s">
        <v>303</v>
      </c>
      <c r="C36" s="146" t="s">
        <v>304</v>
      </c>
      <c r="D36" s="146" t="s">
        <v>305</v>
      </c>
      <c r="E36" s="151" t="s">
        <v>316</v>
      </c>
      <c r="F36" s="148" t="s">
        <v>307</v>
      </c>
      <c r="G36" s="149" t="s">
        <v>212</v>
      </c>
      <c r="H36" s="447">
        <v>1244.17</v>
      </c>
      <c r="I36" s="447">
        <v>1216</v>
      </c>
      <c r="J36" s="447">
        <v>1184.17</v>
      </c>
      <c r="K36" s="447">
        <v>1186.94</v>
      </c>
      <c r="L36" s="447">
        <v>1160.0899999999999</v>
      </c>
      <c r="M36" s="447">
        <v>1129.76</v>
      </c>
      <c r="N36" s="447">
        <v>612.95000000000005</v>
      </c>
      <c r="O36" s="447">
        <v>1410.76</v>
      </c>
      <c r="P36" s="447">
        <v>1332.91</v>
      </c>
      <c r="Q36" s="447">
        <v>1182.32</v>
      </c>
      <c r="R36" s="447">
        <v>853.31</v>
      </c>
      <c r="S36" s="447">
        <v>785.78</v>
      </c>
      <c r="T36" s="448" t="s">
        <v>308</v>
      </c>
      <c r="V36" s="447">
        <f t="shared" si="13"/>
        <v>1368.5870000000002</v>
      </c>
      <c r="W36" s="447">
        <f t="shared" si="2"/>
        <v>1337.6000000000001</v>
      </c>
      <c r="X36" s="447">
        <f t="shared" si="3"/>
        <v>1302.5870000000002</v>
      </c>
      <c r="Y36" s="447">
        <f t="shared" si="4"/>
        <v>1305.6340000000002</v>
      </c>
      <c r="Z36" s="447">
        <f t="shared" si="5"/>
        <v>1276.0989999999999</v>
      </c>
      <c r="AA36" s="447">
        <f t="shared" si="6"/>
        <v>1242.7360000000001</v>
      </c>
      <c r="AB36" s="447">
        <f t="shared" si="7"/>
        <v>674.24500000000012</v>
      </c>
      <c r="AC36" s="447">
        <f t="shared" si="8"/>
        <v>1551.836</v>
      </c>
      <c r="AD36" s="447">
        <f t="shared" si="9"/>
        <v>1466.2010000000002</v>
      </c>
      <c r="AE36" s="447">
        <f t="shared" si="10"/>
        <v>1300.5520000000001</v>
      </c>
      <c r="AF36" s="447">
        <f t="shared" si="11"/>
        <v>938.64099999999996</v>
      </c>
      <c r="AG36" s="447">
        <f t="shared" si="12"/>
        <v>864.35800000000006</v>
      </c>
      <c r="AH36" s="448" t="s">
        <v>308</v>
      </c>
    </row>
    <row r="37" spans="1:34" ht="16.5" hidden="1" thickBot="1">
      <c r="A37" s="418">
        <v>2017</v>
      </c>
      <c r="B37" s="145" t="s">
        <v>303</v>
      </c>
      <c r="C37" s="146" t="s">
        <v>304</v>
      </c>
      <c r="D37" s="146" t="s">
        <v>305</v>
      </c>
      <c r="E37" s="151" t="s">
        <v>316</v>
      </c>
      <c r="F37" s="148" t="s">
        <v>307</v>
      </c>
      <c r="G37" s="149" t="s">
        <v>213</v>
      </c>
      <c r="H37" s="447">
        <v>1079.4100000000001</v>
      </c>
      <c r="I37" s="447">
        <v>1054.98</v>
      </c>
      <c r="J37" s="447">
        <v>1027.3599999999999</v>
      </c>
      <c r="K37" s="447">
        <v>1029.77</v>
      </c>
      <c r="L37" s="447">
        <v>1006.48</v>
      </c>
      <c r="M37" s="447">
        <v>980.16</v>
      </c>
      <c r="N37" s="447">
        <v>531.79</v>
      </c>
      <c r="O37" s="447">
        <v>1223.95</v>
      </c>
      <c r="P37" s="447">
        <v>1156.4100000000001</v>
      </c>
      <c r="Q37" s="447">
        <v>1025.76</v>
      </c>
      <c r="R37" s="447">
        <v>740.32</v>
      </c>
      <c r="S37" s="447">
        <v>681.72</v>
      </c>
      <c r="T37" s="448" t="s">
        <v>308</v>
      </c>
      <c r="V37" s="447">
        <f t="shared" si="13"/>
        <v>1187.3510000000001</v>
      </c>
      <c r="W37" s="447">
        <f t="shared" si="2"/>
        <v>1160.4780000000001</v>
      </c>
      <c r="X37" s="447">
        <f t="shared" si="3"/>
        <v>1130.096</v>
      </c>
      <c r="Y37" s="447">
        <f t="shared" si="4"/>
        <v>1132.7470000000001</v>
      </c>
      <c r="Z37" s="447">
        <f t="shared" si="5"/>
        <v>1107.1280000000002</v>
      </c>
      <c r="AA37" s="447">
        <f t="shared" si="6"/>
        <v>1078.1760000000002</v>
      </c>
      <c r="AB37" s="447">
        <f t="shared" si="7"/>
        <v>584.96900000000005</v>
      </c>
      <c r="AC37" s="447">
        <f t="shared" si="8"/>
        <v>1346.3450000000003</v>
      </c>
      <c r="AD37" s="447">
        <f t="shared" si="9"/>
        <v>1272.0510000000002</v>
      </c>
      <c r="AE37" s="447">
        <f t="shared" si="10"/>
        <v>1128.336</v>
      </c>
      <c r="AF37" s="447">
        <f t="shared" si="11"/>
        <v>814.35200000000009</v>
      </c>
      <c r="AG37" s="447">
        <f t="shared" si="12"/>
        <v>749.89200000000005</v>
      </c>
      <c r="AH37" s="448" t="s">
        <v>308</v>
      </c>
    </row>
    <row r="38" spans="1:34" ht="16.5" hidden="1" thickBot="1">
      <c r="A38" s="419">
        <v>2017</v>
      </c>
      <c r="B38" s="420" t="s">
        <v>303</v>
      </c>
      <c r="C38" s="421" t="s">
        <v>304</v>
      </c>
      <c r="D38" s="421" t="s">
        <v>305</v>
      </c>
      <c r="E38" s="431" t="s">
        <v>316</v>
      </c>
      <c r="F38" s="423" t="s">
        <v>307</v>
      </c>
      <c r="G38" s="424" t="s">
        <v>214</v>
      </c>
      <c r="H38" s="449">
        <v>1727.07</v>
      </c>
      <c r="I38" s="449">
        <v>1687.96</v>
      </c>
      <c r="J38" s="449">
        <v>1643.79</v>
      </c>
      <c r="K38" s="449">
        <v>1647.62</v>
      </c>
      <c r="L38" s="449">
        <v>1610.36</v>
      </c>
      <c r="M38" s="449">
        <v>1568.25</v>
      </c>
      <c r="N38" s="449">
        <v>850.86</v>
      </c>
      <c r="O38" s="449">
        <v>1958.32</v>
      </c>
      <c r="P38" s="449">
        <v>1850.25</v>
      </c>
      <c r="Q38" s="449">
        <v>1641.21</v>
      </c>
      <c r="R38" s="449">
        <v>1184.51</v>
      </c>
      <c r="S38" s="449">
        <v>1090.76</v>
      </c>
      <c r="T38" s="450" t="s">
        <v>308</v>
      </c>
      <c r="V38" s="449">
        <f t="shared" si="13"/>
        <v>1899.777</v>
      </c>
      <c r="W38" s="449">
        <f t="shared" si="2"/>
        <v>1856.7560000000001</v>
      </c>
      <c r="X38" s="449">
        <f t="shared" si="3"/>
        <v>1808.1690000000001</v>
      </c>
      <c r="Y38" s="449">
        <f t="shared" si="4"/>
        <v>1812.3820000000001</v>
      </c>
      <c r="Z38" s="449">
        <f t="shared" si="5"/>
        <v>1771.396</v>
      </c>
      <c r="AA38" s="449">
        <f t="shared" si="6"/>
        <v>1725.075</v>
      </c>
      <c r="AB38" s="449">
        <f t="shared" si="7"/>
        <v>935.94600000000014</v>
      </c>
      <c r="AC38" s="449">
        <f t="shared" si="8"/>
        <v>2154.152</v>
      </c>
      <c r="AD38" s="449">
        <f t="shared" si="9"/>
        <v>2035.2750000000001</v>
      </c>
      <c r="AE38" s="449">
        <f t="shared" si="10"/>
        <v>1805.3310000000001</v>
      </c>
      <c r="AF38" s="449">
        <f t="shared" si="11"/>
        <v>1302.961</v>
      </c>
      <c r="AG38" s="449">
        <f t="shared" si="12"/>
        <v>1199.836</v>
      </c>
      <c r="AH38" s="450" t="s">
        <v>308</v>
      </c>
    </row>
    <row r="39" spans="1:34" ht="16.5" hidden="1" thickBot="1">
      <c r="A39" s="412">
        <v>2017</v>
      </c>
      <c r="B39" s="413" t="s">
        <v>303</v>
      </c>
      <c r="C39" s="414" t="s">
        <v>309</v>
      </c>
      <c r="D39" s="414" t="s">
        <v>310</v>
      </c>
      <c r="E39" s="430" t="s">
        <v>316</v>
      </c>
      <c r="F39" s="416" t="s">
        <v>307</v>
      </c>
      <c r="G39" s="417" t="s">
        <v>211</v>
      </c>
      <c r="H39" s="445">
        <v>624.29999999999995</v>
      </c>
      <c r="I39" s="445">
        <v>610.16999999999996</v>
      </c>
      <c r="J39" s="445">
        <v>594.20000000000005</v>
      </c>
      <c r="K39" s="445">
        <v>595.58000000000004</v>
      </c>
      <c r="L39" s="445">
        <v>582.11</v>
      </c>
      <c r="M39" s="445">
        <v>566.89</v>
      </c>
      <c r="N39" s="445">
        <v>307.57</v>
      </c>
      <c r="O39" s="445">
        <v>707.89</v>
      </c>
      <c r="P39" s="445">
        <v>668.83</v>
      </c>
      <c r="Q39" s="445">
        <v>593.27</v>
      </c>
      <c r="R39" s="445">
        <v>428.18</v>
      </c>
      <c r="S39" s="445">
        <v>394.29</v>
      </c>
      <c r="T39" s="446" t="s">
        <v>308</v>
      </c>
      <c r="V39" s="445">
        <f t="shared" si="13"/>
        <v>686.73</v>
      </c>
      <c r="W39" s="445">
        <f t="shared" si="2"/>
        <v>671.18700000000001</v>
      </c>
      <c r="X39" s="445">
        <f t="shared" si="3"/>
        <v>653.62000000000012</v>
      </c>
      <c r="Y39" s="445">
        <f t="shared" si="4"/>
        <v>655.13800000000015</v>
      </c>
      <c r="Z39" s="445">
        <f t="shared" si="5"/>
        <v>640.32100000000003</v>
      </c>
      <c r="AA39" s="445">
        <f t="shared" si="6"/>
        <v>623.57900000000006</v>
      </c>
      <c r="AB39" s="445">
        <f t="shared" si="7"/>
        <v>338.327</v>
      </c>
      <c r="AC39" s="445">
        <f t="shared" si="8"/>
        <v>778.67900000000009</v>
      </c>
      <c r="AD39" s="445">
        <f t="shared" si="9"/>
        <v>735.71300000000008</v>
      </c>
      <c r="AE39" s="445">
        <f t="shared" si="10"/>
        <v>652.59699999999998</v>
      </c>
      <c r="AF39" s="445">
        <f t="shared" si="11"/>
        <v>470.99800000000005</v>
      </c>
      <c r="AG39" s="445">
        <f t="shared" si="12"/>
        <v>433.71900000000005</v>
      </c>
      <c r="AH39" s="446" t="s">
        <v>308</v>
      </c>
    </row>
    <row r="40" spans="1:34" ht="16.5" hidden="1" thickBot="1">
      <c r="A40" s="418">
        <v>2017</v>
      </c>
      <c r="B40" s="145" t="s">
        <v>303</v>
      </c>
      <c r="C40" s="146" t="s">
        <v>309</v>
      </c>
      <c r="D40" s="146" t="s">
        <v>310</v>
      </c>
      <c r="E40" s="151" t="s">
        <v>316</v>
      </c>
      <c r="F40" s="148" t="s">
        <v>307</v>
      </c>
      <c r="G40" s="149" t="s">
        <v>212</v>
      </c>
      <c r="H40" s="447">
        <v>1367.22</v>
      </c>
      <c r="I40" s="447">
        <v>1336.26</v>
      </c>
      <c r="J40" s="447">
        <v>1301.29</v>
      </c>
      <c r="K40" s="447">
        <v>1304.33</v>
      </c>
      <c r="L40" s="447">
        <v>1274.82</v>
      </c>
      <c r="M40" s="447">
        <v>1241.5</v>
      </c>
      <c r="N40" s="447">
        <v>673.57</v>
      </c>
      <c r="O40" s="447">
        <v>1550.29</v>
      </c>
      <c r="P40" s="447">
        <v>1464.74</v>
      </c>
      <c r="Q40" s="447">
        <v>1299.25</v>
      </c>
      <c r="R40" s="447">
        <v>937.71</v>
      </c>
      <c r="S40" s="447">
        <v>863.49</v>
      </c>
      <c r="T40" s="448" t="s">
        <v>308</v>
      </c>
      <c r="V40" s="447">
        <f t="shared" si="13"/>
        <v>1503.9420000000002</v>
      </c>
      <c r="W40" s="447">
        <f t="shared" si="2"/>
        <v>1469.8860000000002</v>
      </c>
      <c r="X40" s="447">
        <f t="shared" si="3"/>
        <v>1431.4190000000001</v>
      </c>
      <c r="Y40" s="447">
        <f t="shared" si="4"/>
        <v>1434.7630000000001</v>
      </c>
      <c r="Z40" s="447">
        <f t="shared" si="5"/>
        <v>1402.3020000000001</v>
      </c>
      <c r="AA40" s="447">
        <f t="shared" si="6"/>
        <v>1365.65</v>
      </c>
      <c r="AB40" s="447">
        <f t="shared" si="7"/>
        <v>740.92700000000013</v>
      </c>
      <c r="AC40" s="447">
        <f t="shared" si="8"/>
        <v>1705.3190000000002</v>
      </c>
      <c r="AD40" s="447">
        <f t="shared" si="9"/>
        <v>1611.2140000000002</v>
      </c>
      <c r="AE40" s="447">
        <f t="shared" si="10"/>
        <v>1429.1750000000002</v>
      </c>
      <c r="AF40" s="447">
        <f t="shared" si="11"/>
        <v>1031.4810000000002</v>
      </c>
      <c r="AG40" s="447">
        <f t="shared" si="12"/>
        <v>949.83900000000006</v>
      </c>
      <c r="AH40" s="448" t="s">
        <v>308</v>
      </c>
    </row>
    <row r="41" spans="1:34" ht="16.5" hidden="1" thickBot="1">
      <c r="A41" s="418">
        <v>2017</v>
      </c>
      <c r="B41" s="145" t="s">
        <v>303</v>
      </c>
      <c r="C41" s="146" t="s">
        <v>309</v>
      </c>
      <c r="D41" s="146" t="s">
        <v>310</v>
      </c>
      <c r="E41" s="151" t="s">
        <v>316</v>
      </c>
      <c r="F41" s="148" t="s">
        <v>307</v>
      </c>
      <c r="G41" s="149" t="s">
        <v>213</v>
      </c>
      <c r="H41" s="447">
        <v>1186.17</v>
      </c>
      <c r="I41" s="447">
        <v>1159.31</v>
      </c>
      <c r="J41" s="447">
        <v>1128.97</v>
      </c>
      <c r="K41" s="447">
        <v>1131.6099999999999</v>
      </c>
      <c r="L41" s="447">
        <v>1106.02</v>
      </c>
      <c r="M41" s="447">
        <v>1077.0999999999999</v>
      </c>
      <c r="N41" s="447">
        <v>584.39</v>
      </c>
      <c r="O41" s="447">
        <v>1345</v>
      </c>
      <c r="P41" s="447">
        <v>1270.78</v>
      </c>
      <c r="Q41" s="447">
        <v>1127.2</v>
      </c>
      <c r="R41" s="447">
        <v>813.53</v>
      </c>
      <c r="S41" s="447">
        <v>749.15</v>
      </c>
      <c r="T41" s="448" t="s">
        <v>308</v>
      </c>
      <c r="V41" s="447">
        <f t="shared" si="13"/>
        <v>1304.7870000000003</v>
      </c>
      <c r="W41" s="447">
        <f t="shared" si="2"/>
        <v>1275.241</v>
      </c>
      <c r="X41" s="447">
        <f t="shared" si="3"/>
        <v>1241.8670000000002</v>
      </c>
      <c r="Y41" s="447">
        <f t="shared" si="4"/>
        <v>1244.771</v>
      </c>
      <c r="Z41" s="447">
        <f t="shared" si="5"/>
        <v>1216.6220000000001</v>
      </c>
      <c r="AA41" s="447">
        <f t="shared" si="6"/>
        <v>1184.81</v>
      </c>
      <c r="AB41" s="447">
        <f t="shared" si="7"/>
        <v>642.82900000000006</v>
      </c>
      <c r="AC41" s="447">
        <f t="shared" si="8"/>
        <v>1479.5000000000002</v>
      </c>
      <c r="AD41" s="447">
        <f t="shared" si="9"/>
        <v>1397.8580000000002</v>
      </c>
      <c r="AE41" s="447">
        <f t="shared" si="10"/>
        <v>1239.92</v>
      </c>
      <c r="AF41" s="447">
        <f t="shared" si="11"/>
        <v>894.88300000000004</v>
      </c>
      <c r="AG41" s="447">
        <f t="shared" si="12"/>
        <v>824.06500000000005</v>
      </c>
      <c r="AH41" s="448" t="s">
        <v>308</v>
      </c>
    </row>
    <row r="42" spans="1:34" ht="16.5" hidden="1" thickBot="1">
      <c r="A42" s="419">
        <v>2017</v>
      </c>
      <c r="B42" s="420" t="s">
        <v>303</v>
      </c>
      <c r="C42" s="421" t="s">
        <v>309</v>
      </c>
      <c r="D42" s="421" t="s">
        <v>310</v>
      </c>
      <c r="E42" s="431" t="s">
        <v>316</v>
      </c>
      <c r="F42" s="423" t="s">
        <v>307</v>
      </c>
      <c r="G42" s="424" t="s">
        <v>214</v>
      </c>
      <c r="H42" s="449">
        <v>1897.88</v>
      </c>
      <c r="I42" s="449">
        <v>1854.9</v>
      </c>
      <c r="J42" s="449">
        <v>1806.36</v>
      </c>
      <c r="K42" s="449">
        <v>1810.58</v>
      </c>
      <c r="L42" s="449">
        <v>1769.62</v>
      </c>
      <c r="M42" s="449">
        <v>1723.36</v>
      </c>
      <c r="N42" s="449">
        <v>935.01</v>
      </c>
      <c r="O42" s="449">
        <v>2152</v>
      </c>
      <c r="P42" s="449">
        <v>2033.24</v>
      </c>
      <c r="Q42" s="449">
        <v>1803.53</v>
      </c>
      <c r="R42" s="449">
        <v>1301.6600000000001</v>
      </c>
      <c r="S42" s="449">
        <v>1198.6400000000001</v>
      </c>
      <c r="T42" s="450" t="s">
        <v>308</v>
      </c>
      <c r="V42" s="449">
        <f t="shared" si="13"/>
        <v>2087.6680000000001</v>
      </c>
      <c r="W42" s="449">
        <f t="shared" si="2"/>
        <v>2040.3900000000003</v>
      </c>
      <c r="X42" s="449">
        <f t="shared" si="3"/>
        <v>1986.9960000000001</v>
      </c>
      <c r="Y42" s="449">
        <f t="shared" si="4"/>
        <v>1991.6380000000001</v>
      </c>
      <c r="Z42" s="449">
        <f t="shared" si="5"/>
        <v>1946.5820000000001</v>
      </c>
      <c r="AA42" s="449">
        <f t="shared" si="6"/>
        <v>1895.6960000000001</v>
      </c>
      <c r="AB42" s="449">
        <f t="shared" si="7"/>
        <v>1028.511</v>
      </c>
      <c r="AC42" s="449">
        <f t="shared" si="8"/>
        <v>2367.2000000000003</v>
      </c>
      <c r="AD42" s="449">
        <f t="shared" si="9"/>
        <v>2236.5640000000003</v>
      </c>
      <c r="AE42" s="449">
        <f t="shared" si="10"/>
        <v>1983.883</v>
      </c>
      <c r="AF42" s="449">
        <f t="shared" si="11"/>
        <v>1431.8260000000002</v>
      </c>
      <c r="AG42" s="449">
        <f t="shared" si="12"/>
        <v>1318.5040000000001</v>
      </c>
      <c r="AH42" s="450" t="s">
        <v>308</v>
      </c>
    </row>
    <row r="43" spans="1:34" ht="16.5" hidden="1" thickBot="1">
      <c r="A43" s="412">
        <v>2017</v>
      </c>
      <c r="B43" s="413" t="s">
        <v>303</v>
      </c>
      <c r="C43" s="414" t="s">
        <v>311</v>
      </c>
      <c r="D43" s="414" t="s">
        <v>312</v>
      </c>
      <c r="E43" s="430" t="s">
        <v>316</v>
      </c>
      <c r="F43" s="416" t="s">
        <v>307</v>
      </c>
      <c r="G43" s="417" t="s">
        <v>211</v>
      </c>
      <c r="H43" s="445">
        <v>657.16</v>
      </c>
      <c r="I43" s="445">
        <v>642.28</v>
      </c>
      <c r="J43" s="445">
        <v>625.47</v>
      </c>
      <c r="K43" s="445">
        <v>626.92999999999995</v>
      </c>
      <c r="L43" s="445">
        <v>612.75</v>
      </c>
      <c r="M43" s="445">
        <v>596.73</v>
      </c>
      <c r="N43" s="445">
        <v>323.76</v>
      </c>
      <c r="O43" s="445">
        <v>745.15</v>
      </c>
      <c r="P43" s="445">
        <v>704.03</v>
      </c>
      <c r="Q43" s="445">
        <v>624.49</v>
      </c>
      <c r="R43" s="445">
        <v>450.71</v>
      </c>
      <c r="S43" s="445">
        <v>415.04</v>
      </c>
      <c r="T43" s="446" t="s">
        <v>308</v>
      </c>
      <c r="V43" s="445">
        <f t="shared" si="13"/>
        <v>722.87599999999998</v>
      </c>
      <c r="W43" s="445">
        <f t="shared" si="2"/>
        <v>706.50800000000004</v>
      </c>
      <c r="X43" s="445">
        <f t="shared" si="3"/>
        <v>688.01700000000005</v>
      </c>
      <c r="Y43" s="445">
        <f t="shared" si="4"/>
        <v>689.62300000000005</v>
      </c>
      <c r="Z43" s="445">
        <f t="shared" si="5"/>
        <v>674.02500000000009</v>
      </c>
      <c r="AA43" s="445">
        <f t="shared" si="6"/>
        <v>656.40300000000002</v>
      </c>
      <c r="AB43" s="445">
        <f t="shared" si="7"/>
        <v>356.13600000000002</v>
      </c>
      <c r="AC43" s="445">
        <f t="shared" si="8"/>
        <v>819.66500000000008</v>
      </c>
      <c r="AD43" s="445">
        <f t="shared" si="9"/>
        <v>774.43299999999999</v>
      </c>
      <c r="AE43" s="445">
        <f t="shared" si="10"/>
        <v>686.93900000000008</v>
      </c>
      <c r="AF43" s="445">
        <f t="shared" si="11"/>
        <v>495.78100000000001</v>
      </c>
      <c r="AG43" s="445">
        <f t="shared" si="12"/>
        <v>456.54400000000004</v>
      </c>
      <c r="AH43" s="446" t="s">
        <v>308</v>
      </c>
    </row>
    <row r="44" spans="1:34" ht="16.5" hidden="1" thickBot="1">
      <c r="A44" s="418">
        <v>2017</v>
      </c>
      <c r="B44" s="145" t="s">
        <v>303</v>
      </c>
      <c r="C44" s="146" t="s">
        <v>311</v>
      </c>
      <c r="D44" s="146" t="s">
        <v>312</v>
      </c>
      <c r="E44" s="151" t="s">
        <v>316</v>
      </c>
      <c r="F44" s="148" t="s">
        <v>307</v>
      </c>
      <c r="G44" s="149" t="s">
        <v>212</v>
      </c>
      <c r="H44" s="447">
        <v>1439.18</v>
      </c>
      <c r="I44" s="447">
        <v>1406.59</v>
      </c>
      <c r="J44" s="447">
        <v>1369.78</v>
      </c>
      <c r="K44" s="447">
        <v>1372.98</v>
      </c>
      <c r="L44" s="447">
        <v>1341.92</v>
      </c>
      <c r="M44" s="447">
        <v>1306.8399999999999</v>
      </c>
      <c r="N44" s="447">
        <v>709.02</v>
      </c>
      <c r="O44" s="447">
        <v>1631.88</v>
      </c>
      <c r="P44" s="447">
        <v>1541.83</v>
      </c>
      <c r="Q44" s="447">
        <v>1367.63</v>
      </c>
      <c r="R44" s="447">
        <v>987.06</v>
      </c>
      <c r="S44" s="447">
        <v>908.94</v>
      </c>
      <c r="T44" s="448" t="s">
        <v>308</v>
      </c>
      <c r="V44" s="447">
        <f t="shared" si="13"/>
        <v>1583.0980000000002</v>
      </c>
      <c r="W44" s="447">
        <f t="shared" si="2"/>
        <v>1547.249</v>
      </c>
      <c r="X44" s="447">
        <f t="shared" si="3"/>
        <v>1506.758</v>
      </c>
      <c r="Y44" s="447">
        <f t="shared" si="4"/>
        <v>1510.2780000000002</v>
      </c>
      <c r="Z44" s="447">
        <f t="shared" si="5"/>
        <v>1476.1120000000003</v>
      </c>
      <c r="AA44" s="447">
        <f t="shared" si="6"/>
        <v>1437.5240000000001</v>
      </c>
      <c r="AB44" s="447">
        <f t="shared" si="7"/>
        <v>779.92200000000003</v>
      </c>
      <c r="AC44" s="447">
        <f t="shared" si="8"/>
        <v>1795.0680000000002</v>
      </c>
      <c r="AD44" s="447">
        <f t="shared" si="9"/>
        <v>1696.0130000000001</v>
      </c>
      <c r="AE44" s="447">
        <f t="shared" si="10"/>
        <v>1504.3930000000003</v>
      </c>
      <c r="AF44" s="447">
        <f t="shared" si="11"/>
        <v>1085.7660000000001</v>
      </c>
      <c r="AG44" s="447">
        <f t="shared" si="12"/>
        <v>999.83400000000017</v>
      </c>
      <c r="AH44" s="448" t="s">
        <v>308</v>
      </c>
    </row>
    <row r="45" spans="1:34" ht="16.5" hidden="1" thickBot="1">
      <c r="A45" s="418">
        <v>2017</v>
      </c>
      <c r="B45" s="145" t="s">
        <v>303</v>
      </c>
      <c r="C45" s="146" t="s">
        <v>311</v>
      </c>
      <c r="D45" s="146" t="s">
        <v>312</v>
      </c>
      <c r="E45" s="151" t="s">
        <v>316</v>
      </c>
      <c r="F45" s="148" t="s">
        <v>307</v>
      </c>
      <c r="G45" s="149" t="s">
        <v>213</v>
      </c>
      <c r="H45" s="447">
        <v>1248.5999999999999</v>
      </c>
      <c r="I45" s="447">
        <v>1220.33</v>
      </c>
      <c r="J45" s="447">
        <v>1188.3900000000001</v>
      </c>
      <c r="K45" s="447">
        <v>1191.17</v>
      </c>
      <c r="L45" s="447">
        <v>1164.23</v>
      </c>
      <c r="M45" s="447">
        <v>1133.79</v>
      </c>
      <c r="N45" s="447">
        <v>615.14</v>
      </c>
      <c r="O45" s="447">
        <v>1415.79</v>
      </c>
      <c r="P45" s="447">
        <v>1337.66</v>
      </c>
      <c r="Q45" s="447">
        <v>1186.53</v>
      </c>
      <c r="R45" s="447">
        <v>856.35</v>
      </c>
      <c r="S45" s="447">
        <v>788.58</v>
      </c>
      <c r="T45" s="448" t="s">
        <v>308</v>
      </c>
      <c r="V45" s="447">
        <f t="shared" si="13"/>
        <v>1373.46</v>
      </c>
      <c r="W45" s="447">
        <f t="shared" si="2"/>
        <v>1342.3630000000001</v>
      </c>
      <c r="X45" s="447">
        <f t="shared" si="3"/>
        <v>1307.2290000000003</v>
      </c>
      <c r="Y45" s="447">
        <f t="shared" si="4"/>
        <v>1310.2870000000003</v>
      </c>
      <c r="Z45" s="447">
        <f t="shared" si="5"/>
        <v>1280.653</v>
      </c>
      <c r="AA45" s="447">
        <f t="shared" si="6"/>
        <v>1247.1690000000001</v>
      </c>
      <c r="AB45" s="447">
        <f t="shared" si="7"/>
        <v>676.654</v>
      </c>
      <c r="AC45" s="447">
        <f t="shared" si="8"/>
        <v>1557.3690000000001</v>
      </c>
      <c r="AD45" s="447">
        <f t="shared" si="9"/>
        <v>1471.4260000000002</v>
      </c>
      <c r="AE45" s="447">
        <f t="shared" si="10"/>
        <v>1305.183</v>
      </c>
      <c r="AF45" s="447">
        <f t="shared" si="11"/>
        <v>941.98500000000013</v>
      </c>
      <c r="AG45" s="447">
        <f t="shared" si="12"/>
        <v>867.4380000000001</v>
      </c>
      <c r="AH45" s="448" t="s">
        <v>308</v>
      </c>
    </row>
    <row r="46" spans="1:34" ht="16.5" hidden="1" thickBot="1">
      <c r="A46" s="419">
        <v>2017</v>
      </c>
      <c r="B46" s="420" t="s">
        <v>303</v>
      </c>
      <c r="C46" s="421" t="s">
        <v>311</v>
      </c>
      <c r="D46" s="421" t="s">
        <v>312</v>
      </c>
      <c r="E46" s="431" t="s">
        <v>316</v>
      </c>
      <c r="F46" s="423" t="s">
        <v>307</v>
      </c>
      <c r="G46" s="424" t="s">
        <v>214</v>
      </c>
      <c r="H46" s="449">
        <v>1997.77</v>
      </c>
      <c r="I46" s="449">
        <v>1952.53</v>
      </c>
      <c r="J46" s="449">
        <v>1901.43</v>
      </c>
      <c r="K46" s="449">
        <v>1905.87</v>
      </c>
      <c r="L46" s="449">
        <v>1862.76</v>
      </c>
      <c r="M46" s="449">
        <v>1814.06</v>
      </c>
      <c r="N46" s="449">
        <v>984.22</v>
      </c>
      <c r="O46" s="449">
        <v>2265.2600000000002</v>
      </c>
      <c r="P46" s="449">
        <v>2140.25</v>
      </c>
      <c r="Q46" s="449">
        <v>1898.45</v>
      </c>
      <c r="R46" s="449">
        <v>1370.17</v>
      </c>
      <c r="S46" s="449">
        <v>1261.73</v>
      </c>
      <c r="T46" s="450" t="s">
        <v>308</v>
      </c>
      <c r="V46" s="449">
        <f t="shared" si="13"/>
        <v>2197.547</v>
      </c>
      <c r="W46" s="449">
        <f t="shared" si="2"/>
        <v>2147.7830000000004</v>
      </c>
      <c r="X46" s="449">
        <f t="shared" si="3"/>
        <v>2091.5730000000003</v>
      </c>
      <c r="Y46" s="449">
        <f t="shared" si="4"/>
        <v>2096.4569999999999</v>
      </c>
      <c r="Z46" s="449">
        <f t="shared" si="5"/>
        <v>2049.0360000000001</v>
      </c>
      <c r="AA46" s="449">
        <f t="shared" si="6"/>
        <v>1995.4660000000001</v>
      </c>
      <c r="AB46" s="449">
        <f t="shared" si="7"/>
        <v>1082.6420000000001</v>
      </c>
      <c r="AC46" s="449">
        <f t="shared" si="8"/>
        <v>2491.7860000000005</v>
      </c>
      <c r="AD46" s="449">
        <f t="shared" si="9"/>
        <v>2354.2750000000001</v>
      </c>
      <c r="AE46" s="449">
        <f t="shared" si="10"/>
        <v>2088.2950000000001</v>
      </c>
      <c r="AF46" s="449">
        <f t="shared" si="11"/>
        <v>1507.1870000000001</v>
      </c>
      <c r="AG46" s="449">
        <f t="shared" si="12"/>
        <v>1387.903</v>
      </c>
      <c r="AH46" s="450" t="s">
        <v>308</v>
      </c>
    </row>
    <row r="47" spans="1:34" ht="16.5" hidden="1" thickBot="1">
      <c r="A47" s="412">
        <v>2017</v>
      </c>
      <c r="B47" s="413" t="s">
        <v>303</v>
      </c>
      <c r="C47" s="414" t="s">
        <v>313</v>
      </c>
      <c r="D47" s="414" t="s">
        <v>314</v>
      </c>
      <c r="E47" s="430" t="s">
        <v>316</v>
      </c>
      <c r="F47" s="416" t="s">
        <v>307</v>
      </c>
      <c r="G47" s="417" t="s">
        <v>211</v>
      </c>
      <c r="H47" s="445">
        <v>755.73</v>
      </c>
      <c r="I47" s="445">
        <v>738.62</v>
      </c>
      <c r="J47" s="445">
        <v>719.29</v>
      </c>
      <c r="K47" s="445">
        <v>720.97</v>
      </c>
      <c r="L47" s="445">
        <v>704.66</v>
      </c>
      <c r="M47" s="445">
        <v>686.24</v>
      </c>
      <c r="N47" s="445">
        <v>372.32</v>
      </c>
      <c r="O47" s="445">
        <v>856.92</v>
      </c>
      <c r="P47" s="445">
        <v>809.63</v>
      </c>
      <c r="Q47" s="445">
        <v>718.16</v>
      </c>
      <c r="R47" s="445">
        <v>518.32000000000005</v>
      </c>
      <c r="S47" s="445">
        <v>477.3</v>
      </c>
      <c r="T47" s="446" t="s">
        <v>308</v>
      </c>
      <c r="V47" s="445">
        <f t="shared" si="13"/>
        <v>831.30300000000011</v>
      </c>
      <c r="W47" s="445">
        <f t="shared" si="2"/>
        <v>812.48200000000008</v>
      </c>
      <c r="X47" s="445">
        <f t="shared" si="3"/>
        <v>791.21900000000005</v>
      </c>
      <c r="Y47" s="445">
        <f t="shared" si="4"/>
        <v>793.06700000000012</v>
      </c>
      <c r="Z47" s="445">
        <f t="shared" si="5"/>
        <v>775.12599999999998</v>
      </c>
      <c r="AA47" s="445">
        <f t="shared" si="6"/>
        <v>754.86400000000003</v>
      </c>
      <c r="AB47" s="445">
        <f t="shared" si="7"/>
        <v>409.55200000000002</v>
      </c>
      <c r="AC47" s="445">
        <f t="shared" si="8"/>
        <v>942.61200000000008</v>
      </c>
      <c r="AD47" s="445">
        <f t="shared" si="9"/>
        <v>890.59300000000007</v>
      </c>
      <c r="AE47" s="445">
        <f t="shared" si="10"/>
        <v>789.976</v>
      </c>
      <c r="AF47" s="445">
        <f t="shared" si="11"/>
        <v>570.15200000000016</v>
      </c>
      <c r="AG47" s="445">
        <f t="shared" si="12"/>
        <v>525.03000000000009</v>
      </c>
      <c r="AH47" s="446" t="s">
        <v>308</v>
      </c>
    </row>
    <row r="48" spans="1:34" ht="16.5" hidden="1" thickBot="1">
      <c r="A48" s="418">
        <v>2017</v>
      </c>
      <c r="B48" s="145" t="s">
        <v>303</v>
      </c>
      <c r="C48" s="146" t="s">
        <v>313</v>
      </c>
      <c r="D48" s="146" t="s">
        <v>314</v>
      </c>
      <c r="E48" s="151" t="s">
        <v>316</v>
      </c>
      <c r="F48" s="148" t="s">
        <v>307</v>
      </c>
      <c r="G48" s="149" t="s">
        <v>212</v>
      </c>
      <c r="H48" s="447">
        <v>1655.06</v>
      </c>
      <c r="I48" s="447">
        <v>1617.58</v>
      </c>
      <c r="J48" s="447">
        <v>1575.25</v>
      </c>
      <c r="K48" s="447">
        <v>1578.93</v>
      </c>
      <c r="L48" s="447">
        <v>1543.21</v>
      </c>
      <c r="M48" s="447">
        <v>1502.87</v>
      </c>
      <c r="N48" s="447">
        <v>815.38</v>
      </c>
      <c r="O48" s="447">
        <v>1876.66</v>
      </c>
      <c r="P48" s="447">
        <v>1773.1</v>
      </c>
      <c r="Q48" s="447">
        <v>1572.77</v>
      </c>
      <c r="R48" s="447">
        <v>1135.1199999999999</v>
      </c>
      <c r="S48" s="447">
        <v>1045.28</v>
      </c>
      <c r="T48" s="448" t="s">
        <v>308</v>
      </c>
      <c r="V48" s="447">
        <f t="shared" si="13"/>
        <v>1820.566</v>
      </c>
      <c r="W48" s="447">
        <f t="shared" si="2"/>
        <v>1779.338</v>
      </c>
      <c r="X48" s="447">
        <f t="shared" si="3"/>
        <v>1732.7750000000001</v>
      </c>
      <c r="Y48" s="447">
        <f t="shared" si="4"/>
        <v>1736.8230000000003</v>
      </c>
      <c r="Z48" s="447">
        <f t="shared" si="5"/>
        <v>1697.5310000000002</v>
      </c>
      <c r="AA48" s="447">
        <f t="shared" si="6"/>
        <v>1653.1569999999999</v>
      </c>
      <c r="AB48" s="447">
        <f t="shared" si="7"/>
        <v>896.91800000000012</v>
      </c>
      <c r="AC48" s="447">
        <f t="shared" si="8"/>
        <v>2064.3260000000005</v>
      </c>
      <c r="AD48" s="447">
        <f t="shared" si="9"/>
        <v>1950.41</v>
      </c>
      <c r="AE48" s="447">
        <f t="shared" si="10"/>
        <v>1730.047</v>
      </c>
      <c r="AF48" s="447">
        <f t="shared" si="11"/>
        <v>1248.6320000000001</v>
      </c>
      <c r="AG48" s="447">
        <f t="shared" si="12"/>
        <v>1149.808</v>
      </c>
      <c r="AH48" s="448" t="s">
        <v>308</v>
      </c>
    </row>
    <row r="49" spans="1:34" ht="16.5" hidden="1" thickBot="1">
      <c r="A49" s="418">
        <v>2017</v>
      </c>
      <c r="B49" s="145" t="s">
        <v>303</v>
      </c>
      <c r="C49" s="146" t="s">
        <v>313</v>
      </c>
      <c r="D49" s="146" t="s">
        <v>314</v>
      </c>
      <c r="E49" s="151" t="s">
        <v>316</v>
      </c>
      <c r="F49" s="148" t="s">
        <v>307</v>
      </c>
      <c r="G49" s="149" t="s">
        <v>213</v>
      </c>
      <c r="H49" s="447">
        <v>1435.89</v>
      </c>
      <c r="I49" s="447">
        <v>1403.38</v>
      </c>
      <c r="J49" s="447">
        <v>1366.65</v>
      </c>
      <c r="K49" s="447">
        <v>1369.85</v>
      </c>
      <c r="L49" s="447">
        <v>1338.86</v>
      </c>
      <c r="M49" s="447">
        <v>1303.8599999999999</v>
      </c>
      <c r="N49" s="447">
        <v>707.41</v>
      </c>
      <c r="O49" s="447">
        <v>1628.16</v>
      </c>
      <c r="P49" s="447">
        <v>1538.31</v>
      </c>
      <c r="Q49" s="447">
        <v>1364.51</v>
      </c>
      <c r="R49" s="447">
        <v>984.81</v>
      </c>
      <c r="S49" s="447">
        <v>906.86</v>
      </c>
      <c r="T49" s="448" t="s">
        <v>308</v>
      </c>
      <c r="V49" s="447">
        <f t="shared" si="13"/>
        <v>1579.4790000000003</v>
      </c>
      <c r="W49" s="447">
        <f t="shared" si="2"/>
        <v>1543.7180000000003</v>
      </c>
      <c r="X49" s="447">
        <f t="shared" si="3"/>
        <v>1503.3150000000003</v>
      </c>
      <c r="Y49" s="447">
        <f t="shared" si="4"/>
        <v>1506.835</v>
      </c>
      <c r="Z49" s="447">
        <f t="shared" si="5"/>
        <v>1472.7460000000001</v>
      </c>
      <c r="AA49" s="447">
        <f t="shared" si="6"/>
        <v>1434.2460000000001</v>
      </c>
      <c r="AB49" s="447">
        <f t="shared" si="7"/>
        <v>778.15100000000007</v>
      </c>
      <c r="AC49" s="447">
        <f t="shared" si="8"/>
        <v>1790.9760000000003</v>
      </c>
      <c r="AD49" s="447">
        <f t="shared" si="9"/>
        <v>1692.1410000000001</v>
      </c>
      <c r="AE49" s="447">
        <f t="shared" si="10"/>
        <v>1500.961</v>
      </c>
      <c r="AF49" s="447">
        <f t="shared" si="11"/>
        <v>1083.2909999999999</v>
      </c>
      <c r="AG49" s="447">
        <f t="shared" si="12"/>
        <v>997.54600000000005</v>
      </c>
      <c r="AH49" s="448" t="s">
        <v>308</v>
      </c>
    </row>
    <row r="50" spans="1:34" ht="16.5" hidden="1" thickBot="1">
      <c r="A50" s="419">
        <v>2017</v>
      </c>
      <c r="B50" s="420" t="s">
        <v>303</v>
      </c>
      <c r="C50" s="421" t="s">
        <v>313</v>
      </c>
      <c r="D50" s="421" t="s">
        <v>314</v>
      </c>
      <c r="E50" s="431" t="s">
        <v>316</v>
      </c>
      <c r="F50" s="423" t="s">
        <v>307</v>
      </c>
      <c r="G50" s="424" t="s">
        <v>214</v>
      </c>
      <c r="H50" s="449">
        <v>2297.44</v>
      </c>
      <c r="I50" s="449">
        <v>2245.41</v>
      </c>
      <c r="J50" s="449">
        <v>2186.64</v>
      </c>
      <c r="K50" s="449">
        <v>2191.75</v>
      </c>
      <c r="L50" s="449">
        <v>2142.17</v>
      </c>
      <c r="M50" s="449">
        <v>2086.17</v>
      </c>
      <c r="N50" s="449">
        <v>1131.8499999999999</v>
      </c>
      <c r="O50" s="449">
        <v>2605.0500000000002</v>
      </c>
      <c r="P50" s="449">
        <v>2461.29</v>
      </c>
      <c r="Q50" s="449">
        <v>2183.2199999999998</v>
      </c>
      <c r="R50" s="449">
        <v>1575.7</v>
      </c>
      <c r="S50" s="449">
        <v>1450.98</v>
      </c>
      <c r="T50" s="450" t="s">
        <v>308</v>
      </c>
      <c r="V50" s="449">
        <f t="shared" si="13"/>
        <v>2527.1840000000002</v>
      </c>
      <c r="W50" s="449">
        <f t="shared" si="2"/>
        <v>2469.951</v>
      </c>
      <c r="X50" s="449">
        <f t="shared" si="3"/>
        <v>2405.3040000000001</v>
      </c>
      <c r="Y50" s="449">
        <f t="shared" si="4"/>
        <v>2410.9250000000002</v>
      </c>
      <c r="Z50" s="449">
        <f t="shared" si="5"/>
        <v>2356.3870000000002</v>
      </c>
      <c r="AA50" s="449">
        <f t="shared" si="6"/>
        <v>2294.7870000000003</v>
      </c>
      <c r="AB50" s="449">
        <f t="shared" si="7"/>
        <v>1245.0350000000001</v>
      </c>
      <c r="AC50" s="449">
        <f t="shared" si="8"/>
        <v>2865.5550000000003</v>
      </c>
      <c r="AD50" s="449">
        <f t="shared" si="9"/>
        <v>2707.4190000000003</v>
      </c>
      <c r="AE50" s="449">
        <f t="shared" si="10"/>
        <v>2401.5419999999999</v>
      </c>
      <c r="AF50" s="449">
        <f t="shared" si="11"/>
        <v>1733.2700000000002</v>
      </c>
      <c r="AG50" s="449">
        <f t="shared" si="12"/>
        <v>1596.0780000000002</v>
      </c>
      <c r="AH50" s="450" t="s">
        <v>308</v>
      </c>
    </row>
    <row r="51" spans="1:34" ht="16.5" hidden="1" thickBot="1">
      <c r="A51" s="412">
        <v>2017</v>
      </c>
      <c r="B51" s="413" t="s">
        <v>303</v>
      </c>
      <c r="C51" s="414" t="s">
        <v>304</v>
      </c>
      <c r="D51" s="414" t="s">
        <v>305</v>
      </c>
      <c r="E51" s="430" t="s">
        <v>316</v>
      </c>
      <c r="F51" s="432" t="s">
        <v>315</v>
      </c>
      <c r="G51" s="417" t="s">
        <v>211</v>
      </c>
      <c r="H51" s="445">
        <v>568.11</v>
      </c>
      <c r="I51" s="445">
        <v>555.25</v>
      </c>
      <c r="J51" s="445">
        <v>540.72</v>
      </c>
      <c r="K51" s="445">
        <v>541.98</v>
      </c>
      <c r="L51" s="445">
        <v>529.72</v>
      </c>
      <c r="M51" s="445">
        <v>515.87</v>
      </c>
      <c r="N51" s="445">
        <v>279.89</v>
      </c>
      <c r="O51" s="445">
        <v>644.17999999999995</v>
      </c>
      <c r="P51" s="445">
        <v>608.63</v>
      </c>
      <c r="Q51" s="445">
        <v>539.87</v>
      </c>
      <c r="R51" s="445">
        <v>389.64</v>
      </c>
      <c r="S51" s="445">
        <v>358.8</v>
      </c>
      <c r="T51" s="446" t="s">
        <v>308</v>
      </c>
      <c r="V51" s="445">
        <f t="shared" si="13"/>
        <v>624.92100000000005</v>
      </c>
      <c r="W51" s="445">
        <f t="shared" si="2"/>
        <v>610.77500000000009</v>
      </c>
      <c r="X51" s="445">
        <f t="shared" si="3"/>
        <v>594.79200000000003</v>
      </c>
      <c r="Y51" s="445">
        <f t="shared" si="4"/>
        <v>596.17800000000011</v>
      </c>
      <c r="Z51" s="445">
        <f t="shared" si="5"/>
        <v>582.69200000000012</v>
      </c>
      <c r="AA51" s="445">
        <f t="shared" si="6"/>
        <v>567.45700000000011</v>
      </c>
      <c r="AB51" s="445">
        <f t="shared" si="7"/>
        <v>307.87900000000002</v>
      </c>
      <c r="AC51" s="445">
        <f t="shared" si="8"/>
        <v>708.59799999999996</v>
      </c>
      <c r="AD51" s="445">
        <f t="shared" si="9"/>
        <v>669.49300000000005</v>
      </c>
      <c r="AE51" s="445">
        <f t="shared" si="10"/>
        <v>593.85700000000008</v>
      </c>
      <c r="AF51" s="445">
        <f t="shared" si="11"/>
        <v>428.60400000000004</v>
      </c>
      <c r="AG51" s="445">
        <f t="shared" si="12"/>
        <v>394.68000000000006</v>
      </c>
      <c r="AH51" s="446" t="s">
        <v>308</v>
      </c>
    </row>
    <row r="52" spans="1:34" ht="16.5" hidden="1" thickBot="1">
      <c r="A52" s="418">
        <v>2017</v>
      </c>
      <c r="B52" s="145" t="s">
        <v>303</v>
      </c>
      <c r="C52" s="146" t="s">
        <v>304</v>
      </c>
      <c r="D52" s="146" t="s">
        <v>305</v>
      </c>
      <c r="E52" s="151" t="s">
        <v>316</v>
      </c>
      <c r="F52" s="433" t="s">
        <v>315</v>
      </c>
      <c r="G52" s="149" t="s">
        <v>212</v>
      </c>
      <c r="H52" s="447">
        <v>1244.17</v>
      </c>
      <c r="I52" s="447">
        <v>1216</v>
      </c>
      <c r="J52" s="447">
        <v>1184.17</v>
      </c>
      <c r="K52" s="447">
        <v>1186.94</v>
      </c>
      <c r="L52" s="447">
        <v>1160.0899999999999</v>
      </c>
      <c r="M52" s="447">
        <v>1129.76</v>
      </c>
      <c r="N52" s="447">
        <v>612.95000000000005</v>
      </c>
      <c r="O52" s="447">
        <v>1410.76</v>
      </c>
      <c r="P52" s="447">
        <v>1332.91</v>
      </c>
      <c r="Q52" s="447">
        <v>1182.32</v>
      </c>
      <c r="R52" s="447">
        <v>853.31</v>
      </c>
      <c r="S52" s="447">
        <v>785.78</v>
      </c>
      <c r="T52" s="448" t="s">
        <v>308</v>
      </c>
      <c r="V52" s="447">
        <f t="shared" si="13"/>
        <v>1368.5870000000002</v>
      </c>
      <c r="W52" s="447">
        <f t="shared" si="2"/>
        <v>1337.6000000000001</v>
      </c>
      <c r="X52" s="447">
        <f t="shared" si="3"/>
        <v>1302.5870000000002</v>
      </c>
      <c r="Y52" s="447">
        <f t="shared" si="4"/>
        <v>1305.6340000000002</v>
      </c>
      <c r="Z52" s="447">
        <f t="shared" si="5"/>
        <v>1276.0989999999999</v>
      </c>
      <c r="AA52" s="447">
        <f t="shared" si="6"/>
        <v>1242.7360000000001</v>
      </c>
      <c r="AB52" s="447">
        <f t="shared" si="7"/>
        <v>674.24500000000012</v>
      </c>
      <c r="AC52" s="447">
        <f t="shared" si="8"/>
        <v>1551.836</v>
      </c>
      <c r="AD52" s="447">
        <f t="shared" si="9"/>
        <v>1466.2010000000002</v>
      </c>
      <c r="AE52" s="447">
        <f t="shared" si="10"/>
        <v>1300.5520000000001</v>
      </c>
      <c r="AF52" s="447">
        <f t="shared" si="11"/>
        <v>938.64099999999996</v>
      </c>
      <c r="AG52" s="447">
        <f t="shared" si="12"/>
        <v>864.35800000000006</v>
      </c>
      <c r="AH52" s="448" t="s">
        <v>308</v>
      </c>
    </row>
    <row r="53" spans="1:34" ht="16.5" hidden="1" thickBot="1">
      <c r="A53" s="418">
        <v>2017</v>
      </c>
      <c r="B53" s="145" t="s">
        <v>303</v>
      </c>
      <c r="C53" s="146" t="s">
        <v>304</v>
      </c>
      <c r="D53" s="146" t="s">
        <v>305</v>
      </c>
      <c r="E53" s="151" t="s">
        <v>316</v>
      </c>
      <c r="F53" s="433" t="s">
        <v>315</v>
      </c>
      <c r="G53" s="149" t="s">
        <v>213</v>
      </c>
      <c r="H53" s="447">
        <v>1079.4100000000001</v>
      </c>
      <c r="I53" s="447">
        <v>1054.98</v>
      </c>
      <c r="J53" s="447">
        <v>1027.3599999999999</v>
      </c>
      <c r="K53" s="447">
        <v>1029.77</v>
      </c>
      <c r="L53" s="447">
        <v>1006.48</v>
      </c>
      <c r="M53" s="447">
        <v>980.16</v>
      </c>
      <c r="N53" s="447">
        <v>531.79</v>
      </c>
      <c r="O53" s="447">
        <v>1223.95</v>
      </c>
      <c r="P53" s="447">
        <v>1156.4100000000001</v>
      </c>
      <c r="Q53" s="447">
        <v>1025.76</v>
      </c>
      <c r="R53" s="447">
        <v>740.32</v>
      </c>
      <c r="S53" s="447">
        <v>681.72</v>
      </c>
      <c r="T53" s="448" t="s">
        <v>308</v>
      </c>
      <c r="V53" s="447">
        <f t="shared" si="13"/>
        <v>1187.3510000000001</v>
      </c>
      <c r="W53" s="447">
        <f t="shared" si="2"/>
        <v>1160.4780000000001</v>
      </c>
      <c r="X53" s="447">
        <f t="shared" si="3"/>
        <v>1130.096</v>
      </c>
      <c r="Y53" s="447">
        <f t="shared" si="4"/>
        <v>1132.7470000000001</v>
      </c>
      <c r="Z53" s="447">
        <f t="shared" si="5"/>
        <v>1107.1280000000002</v>
      </c>
      <c r="AA53" s="447">
        <f t="shared" si="6"/>
        <v>1078.1760000000002</v>
      </c>
      <c r="AB53" s="447">
        <f t="shared" si="7"/>
        <v>584.96900000000005</v>
      </c>
      <c r="AC53" s="447">
        <f t="shared" si="8"/>
        <v>1346.3450000000003</v>
      </c>
      <c r="AD53" s="447">
        <f t="shared" si="9"/>
        <v>1272.0510000000002</v>
      </c>
      <c r="AE53" s="447">
        <f t="shared" si="10"/>
        <v>1128.336</v>
      </c>
      <c r="AF53" s="447">
        <f t="shared" si="11"/>
        <v>814.35200000000009</v>
      </c>
      <c r="AG53" s="447">
        <f t="shared" si="12"/>
        <v>749.89200000000005</v>
      </c>
      <c r="AH53" s="448" t="s">
        <v>308</v>
      </c>
    </row>
    <row r="54" spans="1:34" ht="16.5" hidden="1" thickBot="1">
      <c r="A54" s="419">
        <v>2017</v>
      </c>
      <c r="B54" s="420" t="s">
        <v>303</v>
      </c>
      <c r="C54" s="421" t="s">
        <v>304</v>
      </c>
      <c r="D54" s="421" t="s">
        <v>305</v>
      </c>
      <c r="E54" s="431" t="s">
        <v>316</v>
      </c>
      <c r="F54" s="434" t="s">
        <v>315</v>
      </c>
      <c r="G54" s="424" t="s">
        <v>214</v>
      </c>
      <c r="H54" s="449">
        <v>1727.07</v>
      </c>
      <c r="I54" s="449">
        <v>1687.96</v>
      </c>
      <c r="J54" s="449">
        <v>1643.79</v>
      </c>
      <c r="K54" s="449">
        <v>1647.62</v>
      </c>
      <c r="L54" s="449">
        <v>1610.36</v>
      </c>
      <c r="M54" s="449">
        <v>1568.25</v>
      </c>
      <c r="N54" s="449">
        <v>850.86</v>
      </c>
      <c r="O54" s="449">
        <v>1958.32</v>
      </c>
      <c r="P54" s="449">
        <v>1850.25</v>
      </c>
      <c r="Q54" s="449">
        <v>1641.21</v>
      </c>
      <c r="R54" s="449">
        <v>1184.51</v>
      </c>
      <c r="S54" s="449">
        <v>1090.76</v>
      </c>
      <c r="T54" s="450" t="s">
        <v>308</v>
      </c>
      <c r="V54" s="449">
        <f t="shared" si="13"/>
        <v>1899.777</v>
      </c>
      <c r="W54" s="449">
        <f t="shared" si="2"/>
        <v>1856.7560000000001</v>
      </c>
      <c r="X54" s="449">
        <f t="shared" si="3"/>
        <v>1808.1690000000001</v>
      </c>
      <c r="Y54" s="449">
        <f t="shared" si="4"/>
        <v>1812.3820000000001</v>
      </c>
      <c r="Z54" s="449">
        <f t="shared" si="5"/>
        <v>1771.396</v>
      </c>
      <c r="AA54" s="449">
        <f t="shared" si="6"/>
        <v>1725.075</v>
      </c>
      <c r="AB54" s="449">
        <f t="shared" si="7"/>
        <v>935.94600000000014</v>
      </c>
      <c r="AC54" s="449">
        <f t="shared" si="8"/>
        <v>2154.152</v>
      </c>
      <c r="AD54" s="449">
        <f t="shared" si="9"/>
        <v>2035.2750000000001</v>
      </c>
      <c r="AE54" s="449">
        <f t="shared" si="10"/>
        <v>1805.3310000000001</v>
      </c>
      <c r="AF54" s="449">
        <f t="shared" si="11"/>
        <v>1302.961</v>
      </c>
      <c r="AG54" s="449">
        <f t="shared" si="12"/>
        <v>1199.836</v>
      </c>
      <c r="AH54" s="450" t="s">
        <v>308</v>
      </c>
    </row>
    <row r="55" spans="1:34" ht="16.5" hidden="1" thickBot="1">
      <c r="A55" s="412">
        <v>2017</v>
      </c>
      <c r="B55" s="413" t="s">
        <v>303</v>
      </c>
      <c r="C55" s="414" t="s">
        <v>309</v>
      </c>
      <c r="D55" s="414" t="s">
        <v>310</v>
      </c>
      <c r="E55" s="430" t="s">
        <v>316</v>
      </c>
      <c r="F55" s="432" t="s">
        <v>315</v>
      </c>
      <c r="G55" s="417" t="s">
        <v>211</v>
      </c>
      <c r="H55" s="445">
        <v>624.29999999999995</v>
      </c>
      <c r="I55" s="445">
        <v>610.16999999999996</v>
      </c>
      <c r="J55" s="445">
        <v>594.20000000000005</v>
      </c>
      <c r="K55" s="445">
        <v>595.58000000000004</v>
      </c>
      <c r="L55" s="445">
        <v>582.11</v>
      </c>
      <c r="M55" s="445">
        <v>566.89</v>
      </c>
      <c r="N55" s="445">
        <v>307.57</v>
      </c>
      <c r="O55" s="445">
        <v>707.89</v>
      </c>
      <c r="P55" s="445">
        <v>668.83</v>
      </c>
      <c r="Q55" s="445">
        <v>593.27</v>
      </c>
      <c r="R55" s="445">
        <v>428.18</v>
      </c>
      <c r="S55" s="445">
        <v>394.29</v>
      </c>
      <c r="T55" s="446" t="s">
        <v>308</v>
      </c>
      <c r="V55" s="445">
        <f t="shared" si="13"/>
        <v>686.73</v>
      </c>
      <c r="W55" s="445">
        <f t="shared" si="2"/>
        <v>671.18700000000001</v>
      </c>
      <c r="X55" s="445">
        <f t="shared" si="3"/>
        <v>653.62000000000012</v>
      </c>
      <c r="Y55" s="445">
        <f t="shared" si="4"/>
        <v>655.13800000000015</v>
      </c>
      <c r="Z55" s="445">
        <f t="shared" si="5"/>
        <v>640.32100000000003</v>
      </c>
      <c r="AA55" s="445">
        <f t="shared" si="6"/>
        <v>623.57900000000006</v>
      </c>
      <c r="AB55" s="445">
        <f t="shared" si="7"/>
        <v>338.327</v>
      </c>
      <c r="AC55" s="445">
        <f t="shared" si="8"/>
        <v>778.67900000000009</v>
      </c>
      <c r="AD55" s="445">
        <f t="shared" si="9"/>
        <v>735.71300000000008</v>
      </c>
      <c r="AE55" s="445">
        <f t="shared" si="10"/>
        <v>652.59699999999998</v>
      </c>
      <c r="AF55" s="445">
        <f t="shared" si="11"/>
        <v>470.99800000000005</v>
      </c>
      <c r="AG55" s="445">
        <f t="shared" si="12"/>
        <v>433.71900000000005</v>
      </c>
      <c r="AH55" s="446" t="s">
        <v>308</v>
      </c>
    </row>
    <row r="56" spans="1:34" ht="16.5" hidden="1" thickBot="1">
      <c r="A56" s="418">
        <v>2017</v>
      </c>
      <c r="B56" s="145" t="s">
        <v>303</v>
      </c>
      <c r="C56" s="146" t="s">
        <v>309</v>
      </c>
      <c r="D56" s="146" t="s">
        <v>310</v>
      </c>
      <c r="E56" s="151" t="s">
        <v>316</v>
      </c>
      <c r="F56" s="433" t="s">
        <v>315</v>
      </c>
      <c r="G56" s="149" t="s">
        <v>212</v>
      </c>
      <c r="H56" s="447">
        <v>1367.22</v>
      </c>
      <c r="I56" s="447">
        <v>1336.26</v>
      </c>
      <c r="J56" s="447">
        <v>1301.29</v>
      </c>
      <c r="K56" s="447">
        <v>1304.33</v>
      </c>
      <c r="L56" s="447">
        <v>1274.82</v>
      </c>
      <c r="M56" s="447">
        <v>1241.5</v>
      </c>
      <c r="N56" s="447">
        <v>673.57</v>
      </c>
      <c r="O56" s="447">
        <v>1550.29</v>
      </c>
      <c r="P56" s="447">
        <v>1464.74</v>
      </c>
      <c r="Q56" s="447">
        <v>1299.25</v>
      </c>
      <c r="R56" s="447">
        <v>937.71</v>
      </c>
      <c r="S56" s="447">
        <v>863.49</v>
      </c>
      <c r="T56" s="448" t="s">
        <v>308</v>
      </c>
      <c r="V56" s="447">
        <f t="shared" si="13"/>
        <v>1503.9420000000002</v>
      </c>
      <c r="W56" s="447">
        <f t="shared" si="2"/>
        <v>1469.8860000000002</v>
      </c>
      <c r="X56" s="447">
        <f t="shared" si="3"/>
        <v>1431.4190000000001</v>
      </c>
      <c r="Y56" s="447">
        <f t="shared" si="4"/>
        <v>1434.7630000000001</v>
      </c>
      <c r="Z56" s="447">
        <f t="shared" si="5"/>
        <v>1402.3020000000001</v>
      </c>
      <c r="AA56" s="447">
        <f t="shared" si="6"/>
        <v>1365.65</v>
      </c>
      <c r="AB56" s="447">
        <f t="shared" si="7"/>
        <v>740.92700000000013</v>
      </c>
      <c r="AC56" s="447">
        <f t="shared" si="8"/>
        <v>1705.3190000000002</v>
      </c>
      <c r="AD56" s="447">
        <f t="shared" si="9"/>
        <v>1611.2140000000002</v>
      </c>
      <c r="AE56" s="447">
        <f t="shared" si="10"/>
        <v>1429.1750000000002</v>
      </c>
      <c r="AF56" s="447">
        <f t="shared" si="11"/>
        <v>1031.4810000000002</v>
      </c>
      <c r="AG56" s="447">
        <f t="shared" si="12"/>
        <v>949.83900000000006</v>
      </c>
      <c r="AH56" s="448" t="s">
        <v>308</v>
      </c>
    </row>
    <row r="57" spans="1:34" ht="16.5" hidden="1" thickBot="1">
      <c r="A57" s="418">
        <v>2017</v>
      </c>
      <c r="B57" s="145" t="s">
        <v>303</v>
      </c>
      <c r="C57" s="146" t="s">
        <v>309</v>
      </c>
      <c r="D57" s="146" t="s">
        <v>310</v>
      </c>
      <c r="E57" s="151" t="s">
        <v>316</v>
      </c>
      <c r="F57" s="433" t="s">
        <v>315</v>
      </c>
      <c r="G57" s="149" t="s">
        <v>213</v>
      </c>
      <c r="H57" s="447">
        <v>1186.17</v>
      </c>
      <c r="I57" s="447">
        <v>1159.31</v>
      </c>
      <c r="J57" s="447">
        <v>1128.97</v>
      </c>
      <c r="K57" s="447">
        <v>1131.6099999999999</v>
      </c>
      <c r="L57" s="447">
        <v>1106.02</v>
      </c>
      <c r="M57" s="447">
        <v>1077.0999999999999</v>
      </c>
      <c r="N57" s="447">
        <v>584.39</v>
      </c>
      <c r="O57" s="447">
        <v>1345</v>
      </c>
      <c r="P57" s="447">
        <v>1270.78</v>
      </c>
      <c r="Q57" s="447">
        <v>1127.2</v>
      </c>
      <c r="R57" s="447">
        <v>813.53</v>
      </c>
      <c r="S57" s="447">
        <v>749.15</v>
      </c>
      <c r="T57" s="448" t="s">
        <v>308</v>
      </c>
      <c r="V57" s="447">
        <f t="shared" si="13"/>
        <v>1304.7870000000003</v>
      </c>
      <c r="W57" s="447">
        <f t="shared" si="2"/>
        <v>1275.241</v>
      </c>
      <c r="X57" s="447">
        <f t="shared" si="3"/>
        <v>1241.8670000000002</v>
      </c>
      <c r="Y57" s="447">
        <f t="shared" si="4"/>
        <v>1244.771</v>
      </c>
      <c r="Z57" s="447">
        <f t="shared" si="5"/>
        <v>1216.6220000000001</v>
      </c>
      <c r="AA57" s="447">
        <f t="shared" si="6"/>
        <v>1184.81</v>
      </c>
      <c r="AB57" s="447">
        <f t="shared" si="7"/>
        <v>642.82900000000006</v>
      </c>
      <c r="AC57" s="447">
        <f t="shared" si="8"/>
        <v>1479.5000000000002</v>
      </c>
      <c r="AD57" s="447">
        <f t="shared" si="9"/>
        <v>1397.8580000000002</v>
      </c>
      <c r="AE57" s="447">
        <f t="shared" si="10"/>
        <v>1239.92</v>
      </c>
      <c r="AF57" s="447">
        <f t="shared" si="11"/>
        <v>894.88300000000004</v>
      </c>
      <c r="AG57" s="447">
        <f t="shared" si="12"/>
        <v>824.06500000000005</v>
      </c>
      <c r="AH57" s="448" t="s">
        <v>308</v>
      </c>
    </row>
    <row r="58" spans="1:34" ht="16.5" hidden="1" thickBot="1">
      <c r="A58" s="419">
        <v>2017</v>
      </c>
      <c r="B58" s="420" t="s">
        <v>303</v>
      </c>
      <c r="C58" s="421" t="s">
        <v>309</v>
      </c>
      <c r="D58" s="421" t="s">
        <v>310</v>
      </c>
      <c r="E58" s="431" t="s">
        <v>316</v>
      </c>
      <c r="F58" s="434" t="s">
        <v>315</v>
      </c>
      <c r="G58" s="424" t="s">
        <v>214</v>
      </c>
      <c r="H58" s="449">
        <v>1897.88</v>
      </c>
      <c r="I58" s="449">
        <v>1854.9</v>
      </c>
      <c r="J58" s="449">
        <v>1806.36</v>
      </c>
      <c r="K58" s="449">
        <v>1810.58</v>
      </c>
      <c r="L58" s="449">
        <v>1769.62</v>
      </c>
      <c r="M58" s="449">
        <v>1723.36</v>
      </c>
      <c r="N58" s="449">
        <v>935.01</v>
      </c>
      <c r="O58" s="449">
        <v>2152</v>
      </c>
      <c r="P58" s="449">
        <v>2033.24</v>
      </c>
      <c r="Q58" s="449">
        <v>1803.53</v>
      </c>
      <c r="R58" s="449">
        <v>1301.6600000000001</v>
      </c>
      <c r="S58" s="449">
        <v>1198.6400000000001</v>
      </c>
      <c r="T58" s="450" t="s">
        <v>308</v>
      </c>
      <c r="V58" s="449">
        <f t="shared" si="13"/>
        <v>2087.6680000000001</v>
      </c>
      <c r="W58" s="449">
        <f t="shared" si="2"/>
        <v>2040.3900000000003</v>
      </c>
      <c r="X58" s="449">
        <f t="shared" si="3"/>
        <v>1986.9960000000001</v>
      </c>
      <c r="Y58" s="449">
        <f t="shared" si="4"/>
        <v>1991.6380000000001</v>
      </c>
      <c r="Z58" s="449">
        <f t="shared" si="5"/>
        <v>1946.5820000000001</v>
      </c>
      <c r="AA58" s="449">
        <f t="shared" si="6"/>
        <v>1895.6960000000001</v>
      </c>
      <c r="AB58" s="449">
        <f t="shared" si="7"/>
        <v>1028.511</v>
      </c>
      <c r="AC58" s="449">
        <f t="shared" si="8"/>
        <v>2367.2000000000003</v>
      </c>
      <c r="AD58" s="449">
        <f t="shared" si="9"/>
        <v>2236.5640000000003</v>
      </c>
      <c r="AE58" s="449">
        <f t="shared" si="10"/>
        <v>1983.883</v>
      </c>
      <c r="AF58" s="449">
        <f t="shared" si="11"/>
        <v>1431.8260000000002</v>
      </c>
      <c r="AG58" s="449">
        <f t="shared" si="12"/>
        <v>1318.5040000000001</v>
      </c>
      <c r="AH58" s="450" t="s">
        <v>308</v>
      </c>
    </row>
    <row r="59" spans="1:34" ht="16.5" hidden="1" thickBot="1">
      <c r="A59" s="412">
        <v>2017</v>
      </c>
      <c r="B59" s="413" t="s">
        <v>303</v>
      </c>
      <c r="C59" s="414" t="s">
        <v>311</v>
      </c>
      <c r="D59" s="414" t="s">
        <v>312</v>
      </c>
      <c r="E59" s="430" t="s">
        <v>316</v>
      </c>
      <c r="F59" s="432" t="s">
        <v>315</v>
      </c>
      <c r="G59" s="417" t="s">
        <v>211</v>
      </c>
      <c r="H59" s="445">
        <v>657.16</v>
      </c>
      <c r="I59" s="445">
        <v>642.28</v>
      </c>
      <c r="J59" s="445">
        <v>625.47</v>
      </c>
      <c r="K59" s="445">
        <v>626.92999999999995</v>
      </c>
      <c r="L59" s="445">
        <v>612.75</v>
      </c>
      <c r="M59" s="445">
        <v>596.73</v>
      </c>
      <c r="N59" s="445">
        <v>323.76</v>
      </c>
      <c r="O59" s="445">
        <v>745.15</v>
      </c>
      <c r="P59" s="445">
        <v>704.03</v>
      </c>
      <c r="Q59" s="445">
        <v>624.49</v>
      </c>
      <c r="R59" s="445">
        <v>450.71</v>
      </c>
      <c r="S59" s="445">
        <v>415.04</v>
      </c>
      <c r="T59" s="446" t="s">
        <v>308</v>
      </c>
      <c r="V59" s="445">
        <f t="shared" si="13"/>
        <v>722.87599999999998</v>
      </c>
      <c r="W59" s="445">
        <f t="shared" si="2"/>
        <v>706.50800000000004</v>
      </c>
      <c r="X59" s="445">
        <f t="shared" si="3"/>
        <v>688.01700000000005</v>
      </c>
      <c r="Y59" s="445">
        <f t="shared" si="4"/>
        <v>689.62300000000005</v>
      </c>
      <c r="Z59" s="445">
        <f t="shared" si="5"/>
        <v>674.02500000000009</v>
      </c>
      <c r="AA59" s="445">
        <f t="shared" si="6"/>
        <v>656.40300000000002</v>
      </c>
      <c r="AB59" s="445">
        <f t="shared" si="7"/>
        <v>356.13600000000002</v>
      </c>
      <c r="AC59" s="445">
        <f t="shared" si="8"/>
        <v>819.66500000000008</v>
      </c>
      <c r="AD59" s="445">
        <f t="shared" si="9"/>
        <v>774.43299999999999</v>
      </c>
      <c r="AE59" s="445">
        <f t="shared" si="10"/>
        <v>686.93900000000008</v>
      </c>
      <c r="AF59" s="445">
        <f t="shared" si="11"/>
        <v>495.78100000000001</v>
      </c>
      <c r="AG59" s="445">
        <f t="shared" si="12"/>
        <v>456.54400000000004</v>
      </c>
      <c r="AH59" s="446" t="s">
        <v>308</v>
      </c>
    </row>
    <row r="60" spans="1:34" ht="16.5" hidden="1" thickBot="1">
      <c r="A60" s="418">
        <v>2017</v>
      </c>
      <c r="B60" s="145" t="s">
        <v>303</v>
      </c>
      <c r="C60" s="146" t="s">
        <v>311</v>
      </c>
      <c r="D60" s="146" t="s">
        <v>312</v>
      </c>
      <c r="E60" s="151" t="s">
        <v>316</v>
      </c>
      <c r="F60" s="433" t="s">
        <v>315</v>
      </c>
      <c r="G60" s="149" t="s">
        <v>212</v>
      </c>
      <c r="H60" s="447">
        <v>1439.18</v>
      </c>
      <c r="I60" s="447">
        <v>1406.59</v>
      </c>
      <c r="J60" s="447">
        <v>1369.78</v>
      </c>
      <c r="K60" s="447">
        <v>1372.98</v>
      </c>
      <c r="L60" s="447">
        <v>1341.92</v>
      </c>
      <c r="M60" s="447">
        <v>1306.8399999999999</v>
      </c>
      <c r="N60" s="447">
        <v>709.02</v>
      </c>
      <c r="O60" s="447">
        <v>1631.88</v>
      </c>
      <c r="P60" s="447">
        <v>1541.83</v>
      </c>
      <c r="Q60" s="447">
        <v>1367.63</v>
      </c>
      <c r="R60" s="447">
        <v>987.06</v>
      </c>
      <c r="S60" s="447">
        <v>908.94</v>
      </c>
      <c r="T60" s="448" t="s">
        <v>308</v>
      </c>
      <c r="V60" s="447">
        <f t="shared" si="13"/>
        <v>1583.0980000000002</v>
      </c>
      <c r="W60" s="447">
        <f t="shared" si="2"/>
        <v>1547.249</v>
      </c>
      <c r="X60" s="447">
        <f t="shared" si="3"/>
        <v>1506.758</v>
      </c>
      <c r="Y60" s="447">
        <f t="shared" si="4"/>
        <v>1510.2780000000002</v>
      </c>
      <c r="Z60" s="447">
        <f t="shared" si="5"/>
        <v>1476.1120000000003</v>
      </c>
      <c r="AA60" s="447">
        <f t="shared" si="6"/>
        <v>1437.5240000000001</v>
      </c>
      <c r="AB60" s="447">
        <f t="shared" si="7"/>
        <v>779.92200000000003</v>
      </c>
      <c r="AC60" s="447">
        <f t="shared" si="8"/>
        <v>1795.0680000000002</v>
      </c>
      <c r="AD60" s="447">
        <f t="shared" si="9"/>
        <v>1696.0130000000001</v>
      </c>
      <c r="AE60" s="447">
        <f t="shared" si="10"/>
        <v>1504.3930000000003</v>
      </c>
      <c r="AF60" s="447">
        <f t="shared" si="11"/>
        <v>1085.7660000000001</v>
      </c>
      <c r="AG60" s="447">
        <f t="shared" si="12"/>
        <v>999.83400000000017</v>
      </c>
      <c r="AH60" s="448" t="s">
        <v>308</v>
      </c>
    </row>
    <row r="61" spans="1:34" ht="16.5" hidden="1" thickBot="1">
      <c r="A61" s="418">
        <v>2017</v>
      </c>
      <c r="B61" s="145" t="s">
        <v>303</v>
      </c>
      <c r="C61" s="146" t="s">
        <v>311</v>
      </c>
      <c r="D61" s="146" t="s">
        <v>312</v>
      </c>
      <c r="E61" s="151" t="s">
        <v>316</v>
      </c>
      <c r="F61" s="433" t="s">
        <v>315</v>
      </c>
      <c r="G61" s="149" t="s">
        <v>213</v>
      </c>
      <c r="H61" s="447">
        <v>1248.5999999999999</v>
      </c>
      <c r="I61" s="447">
        <v>1220.33</v>
      </c>
      <c r="J61" s="447">
        <v>1188.3900000000001</v>
      </c>
      <c r="K61" s="447">
        <v>1191.17</v>
      </c>
      <c r="L61" s="447">
        <v>1164.23</v>
      </c>
      <c r="M61" s="447">
        <v>1133.79</v>
      </c>
      <c r="N61" s="447">
        <v>615.14</v>
      </c>
      <c r="O61" s="447">
        <v>1415.79</v>
      </c>
      <c r="P61" s="447">
        <v>1337.66</v>
      </c>
      <c r="Q61" s="447">
        <v>1186.53</v>
      </c>
      <c r="R61" s="447">
        <v>856.35</v>
      </c>
      <c r="S61" s="447">
        <v>788.58</v>
      </c>
      <c r="T61" s="448" t="s">
        <v>308</v>
      </c>
      <c r="V61" s="447">
        <f t="shared" si="13"/>
        <v>1373.46</v>
      </c>
      <c r="W61" s="447">
        <f t="shared" si="2"/>
        <v>1342.3630000000001</v>
      </c>
      <c r="X61" s="447">
        <f t="shared" si="3"/>
        <v>1307.2290000000003</v>
      </c>
      <c r="Y61" s="447">
        <f t="shared" si="4"/>
        <v>1310.2870000000003</v>
      </c>
      <c r="Z61" s="447">
        <f t="shared" si="5"/>
        <v>1280.653</v>
      </c>
      <c r="AA61" s="447">
        <f t="shared" si="6"/>
        <v>1247.1690000000001</v>
      </c>
      <c r="AB61" s="447">
        <f t="shared" si="7"/>
        <v>676.654</v>
      </c>
      <c r="AC61" s="447">
        <f t="shared" si="8"/>
        <v>1557.3690000000001</v>
      </c>
      <c r="AD61" s="447">
        <f t="shared" si="9"/>
        <v>1471.4260000000002</v>
      </c>
      <c r="AE61" s="447">
        <f t="shared" si="10"/>
        <v>1305.183</v>
      </c>
      <c r="AF61" s="447">
        <f t="shared" si="11"/>
        <v>941.98500000000013</v>
      </c>
      <c r="AG61" s="447">
        <f t="shared" si="12"/>
        <v>867.4380000000001</v>
      </c>
      <c r="AH61" s="448" t="s">
        <v>308</v>
      </c>
    </row>
    <row r="62" spans="1:34" ht="16.5" hidden="1" thickBot="1">
      <c r="A62" s="419">
        <v>2017</v>
      </c>
      <c r="B62" s="420" t="s">
        <v>303</v>
      </c>
      <c r="C62" s="421" t="s">
        <v>311</v>
      </c>
      <c r="D62" s="421" t="s">
        <v>312</v>
      </c>
      <c r="E62" s="431" t="s">
        <v>316</v>
      </c>
      <c r="F62" s="434" t="s">
        <v>315</v>
      </c>
      <c r="G62" s="424" t="s">
        <v>214</v>
      </c>
      <c r="H62" s="449">
        <v>1997.77</v>
      </c>
      <c r="I62" s="449">
        <v>1952.53</v>
      </c>
      <c r="J62" s="449">
        <v>1901.43</v>
      </c>
      <c r="K62" s="449">
        <v>1905.87</v>
      </c>
      <c r="L62" s="449">
        <v>1862.76</v>
      </c>
      <c r="M62" s="449">
        <v>1814.06</v>
      </c>
      <c r="N62" s="449">
        <v>984.22</v>
      </c>
      <c r="O62" s="449">
        <v>2265.2600000000002</v>
      </c>
      <c r="P62" s="449">
        <v>2140.25</v>
      </c>
      <c r="Q62" s="449">
        <v>1898.45</v>
      </c>
      <c r="R62" s="449">
        <v>1370.17</v>
      </c>
      <c r="S62" s="449">
        <v>1261.73</v>
      </c>
      <c r="T62" s="450" t="s">
        <v>308</v>
      </c>
      <c r="V62" s="449">
        <f t="shared" si="13"/>
        <v>2197.547</v>
      </c>
      <c r="W62" s="449">
        <f t="shared" si="2"/>
        <v>2147.7830000000004</v>
      </c>
      <c r="X62" s="449">
        <f t="shared" si="3"/>
        <v>2091.5730000000003</v>
      </c>
      <c r="Y62" s="449">
        <f t="shared" si="4"/>
        <v>2096.4569999999999</v>
      </c>
      <c r="Z62" s="449">
        <f t="shared" si="5"/>
        <v>2049.0360000000001</v>
      </c>
      <c r="AA62" s="449">
        <f t="shared" si="6"/>
        <v>1995.4660000000001</v>
      </c>
      <c r="AB62" s="449">
        <f t="shared" si="7"/>
        <v>1082.6420000000001</v>
      </c>
      <c r="AC62" s="449">
        <f t="shared" si="8"/>
        <v>2491.7860000000005</v>
      </c>
      <c r="AD62" s="449">
        <f t="shared" si="9"/>
        <v>2354.2750000000001</v>
      </c>
      <c r="AE62" s="449">
        <f t="shared" si="10"/>
        <v>2088.2950000000001</v>
      </c>
      <c r="AF62" s="449">
        <f t="shared" si="11"/>
        <v>1507.1870000000001</v>
      </c>
      <c r="AG62" s="449">
        <f t="shared" si="12"/>
        <v>1387.903</v>
      </c>
      <c r="AH62" s="450" t="s">
        <v>308</v>
      </c>
    </row>
    <row r="63" spans="1:34" ht="16.5" hidden="1" thickBot="1">
      <c r="A63" s="412">
        <v>2017</v>
      </c>
      <c r="B63" s="413" t="s">
        <v>303</v>
      </c>
      <c r="C63" s="414" t="s">
        <v>313</v>
      </c>
      <c r="D63" s="414" t="s">
        <v>314</v>
      </c>
      <c r="E63" s="430" t="s">
        <v>316</v>
      </c>
      <c r="F63" s="432" t="s">
        <v>315</v>
      </c>
      <c r="G63" s="417" t="s">
        <v>211</v>
      </c>
      <c r="H63" s="445">
        <v>755.73</v>
      </c>
      <c r="I63" s="445">
        <v>738.62</v>
      </c>
      <c r="J63" s="445">
        <v>719.29</v>
      </c>
      <c r="K63" s="445">
        <v>720.97</v>
      </c>
      <c r="L63" s="445">
        <v>704.66</v>
      </c>
      <c r="M63" s="445">
        <v>686.24</v>
      </c>
      <c r="N63" s="445">
        <v>372.32</v>
      </c>
      <c r="O63" s="445">
        <v>856.92</v>
      </c>
      <c r="P63" s="445">
        <v>809.63</v>
      </c>
      <c r="Q63" s="445">
        <v>718.16</v>
      </c>
      <c r="R63" s="445">
        <v>518.32000000000005</v>
      </c>
      <c r="S63" s="445">
        <v>477.3</v>
      </c>
      <c r="T63" s="446" t="s">
        <v>308</v>
      </c>
      <c r="V63" s="445">
        <f t="shared" si="13"/>
        <v>831.30300000000011</v>
      </c>
      <c r="W63" s="445">
        <f t="shared" si="2"/>
        <v>812.48200000000008</v>
      </c>
      <c r="X63" s="445">
        <f t="shared" si="3"/>
        <v>791.21900000000005</v>
      </c>
      <c r="Y63" s="445">
        <f t="shared" si="4"/>
        <v>793.06700000000012</v>
      </c>
      <c r="Z63" s="445">
        <f t="shared" si="5"/>
        <v>775.12599999999998</v>
      </c>
      <c r="AA63" s="445">
        <f t="shared" si="6"/>
        <v>754.86400000000003</v>
      </c>
      <c r="AB63" s="445">
        <f t="shared" si="7"/>
        <v>409.55200000000002</v>
      </c>
      <c r="AC63" s="445">
        <f t="shared" si="8"/>
        <v>942.61200000000008</v>
      </c>
      <c r="AD63" s="445">
        <f t="shared" si="9"/>
        <v>890.59300000000007</v>
      </c>
      <c r="AE63" s="445">
        <f t="shared" si="10"/>
        <v>789.976</v>
      </c>
      <c r="AF63" s="445">
        <f t="shared" si="11"/>
        <v>570.15200000000016</v>
      </c>
      <c r="AG63" s="445">
        <f t="shared" si="12"/>
        <v>525.03000000000009</v>
      </c>
      <c r="AH63" s="446" t="s">
        <v>308</v>
      </c>
    </row>
    <row r="64" spans="1:34" ht="16.5" hidden="1" thickBot="1">
      <c r="A64" s="418">
        <v>2017</v>
      </c>
      <c r="B64" s="145" t="s">
        <v>303</v>
      </c>
      <c r="C64" s="146" t="s">
        <v>313</v>
      </c>
      <c r="D64" s="146" t="s">
        <v>314</v>
      </c>
      <c r="E64" s="151" t="s">
        <v>316</v>
      </c>
      <c r="F64" s="433" t="s">
        <v>315</v>
      </c>
      <c r="G64" s="149" t="s">
        <v>212</v>
      </c>
      <c r="H64" s="447">
        <v>1655.06</v>
      </c>
      <c r="I64" s="447">
        <v>1617.58</v>
      </c>
      <c r="J64" s="447">
        <v>1575.25</v>
      </c>
      <c r="K64" s="447">
        <v>1578.93</v>
      </c>
      <c r="L64" s="447">
        <v>1543.21</v>
      </c>
      <c r="M64" s="447">
        <v>1502.87</v>
      </c>
      <c r="N64" s="447">
        <v>815.38</v>
      </c>
      <c r="O64" s="447">
        <v>1876.66</v>
      </c>
      <c r="P64" s="447">
        <v>1773.1</v>
      </c>
      <c r="Q64" s="447">
        <v>1572.77</v>
      </c>
      <c r="R64" s="447">
        <v>1135.1199999999999</v>
      </c>
      <c r="S64" s="447">
        <v>1045.28</v>
      </c>
      <c r="T64" s="448" t="s">
        <v>308</v>
      </c>
      <c r="V64" s="447">
        <f t="shared" si="13"/>
        <v>1820.566</v>
      </c>
      <c r="W64" s="447">
        <f t="shared" si="2"/>
        <v>1779.338</v>
      </c>
      <c r="X64" s="447">
        <f t="shared" si="3"/>
        <v>1732.7750000000001</v>
      </c>
      <c r="Y64" s="447">
        <f t="shared" si="4"/>
        <v>1736.8230000000003</v>
      </c>
      <c r="Z64" s="447">
        <f t="shared" si="5"/>
        <v>1697.5310000000002</v>
      </c>
      <c r="AA64" s="447">
        <f t="shared" si="6"/>
        <v>1653.1569999999999</v>
      </c>
      <c r="AB64" s="447">
        <f t="shared" si="7"/>
        <v>896.91800000000012</v>
      </c>
      <c r="AC64" s="447">
        <f t="shared" si="8"/>
        <v>2064.3260000000005</v>
      </c>
      <c r="AD64" s="447">
        <f t="shared" si="9"/>
        <v>1950.41</v>
      </c>
      <c r="AE64" s="447">
        <f t="shared" si="10"/>
        <v>1730.047</v>
      </c>
      <c r="AF64" s="447">
        <f t="shared" si="11"/>
        <v>1248.6320000000001</v>
      </c>
      <c r="AG64" s="447">
        <f t="shared" si="12"/>
        <v>1149.808</v>
      </c>
      <c r="AH64" s="448" t="s">
        <v>308</v>
      </c>
    </row>
    <row r="65" spans="1:34" ht="16.5" hidden="1" thickBot="1">
      <c r="A65" s="418">
        <v>2017</v>
      </c>
      <c r="B65" s="145" t="s">
        <v>303</v>
      </c>
      <c r="C65" s="146" t="s">
        <v>313</v>
      </c>
      <c r="D65" s="146" t="s">
        <v>314</v>
      </c>
      <c r="E65" s="151" t="s">
        <v>316</v>
      </c>
      <c r="F65" s="433" t="s">
        <v>315</v>
      </c>
      <c r="G65" s="149" t="s">
        <v>213</v>
      </c>
      <c r="H65" s="447">
        <v>1435.89</v>
      </c>
      <c r="I65" s="447">
        <v>1403.38</v>
      </c>
      <c r="J65" s="447">
        <v>1366.65</v>
      </c>
      <c r="K65" s="447">
        <v>1369.85</v>
      </c>
      <c r="L65" s="447">
        <v>1338.86</v>
      </c>
      <c r="M65" s="447">
        <v>1303.8599999999999</v>
      </c>
      <c r="N65" s="447">
        <v>707.41</v>
      </c>
      <c r="O65" s="447">
        <v>1628.16</v>
      </c>
      <c r="P65" s="447">
        <v>1538.31</v>
      </c>
      <c r="Q65" s="447">
        <v>1364.51</v>
      </c>
      <c r="R65" s="447">
        <v>984.81</v>
      </c>
      <c r="S65" s="447">
        <v>906.86</v>
      </c>
      <c r="T65" s="448" t="s">
        <v>308</v>
      </c>
      <c r="V65" s="447">
        <f t="shared" si="13"/>
        <v>1579.4790000000003</v>
      </c>
      <c r="W65" s="447">
        <f t="shared" si="2"/>
        <v>1543.7180000000003</v>
      </c>
      <c r="X65" s="447">
        <f t="shared" si="3"/>
        <v>1503.3150000000003</v>
      </c>
      <c r="Y65" s="447">
        <f t="shared" si="4"/>
        <v>1506.835</v>
      </c>
      <c r="Z65" s="447">
        <f t="shared" si="5"/>
        <v>1472.7460000000001</v>
      </c>
      <c r="AA65" s="447">
        <f t="shared" si="6"/>
        <v>1434.2460000000001</v>
      </c>
      <c r="AB65" s="447">
        <f t="shared" si="7"/>
        <v>778.15100000000007</v>
      </c>
      <c r="AC65" s="447">
        <f t="shared" si="8"/>
        <v>1790.9760000000003</v>
      </c>
      <c r="AD65" s="447">
        <f t="shared" si="9"/>
        <v>1692.1410000000001</v>
      </c>
      <c r="AE65" s="447">
        <f t="shared" si="10"/>
        <v>1500.961</v>
      </c>
      <c r="AF65" s="447">
        <f t="shared" si="11"/>
        <v>1083.2909999999999</v>
      </c>
      <c r="AG65" s="447">
        <f t="shared" si="12"/>
        <v>997.54600000000005</v>
      </c>
      <c r="AH65" s="448" t="s">
        <v>308</v>
      </c>
    </row>
    <row r="66" spans="1:34" ht="16.5" hidden="1" thickBot="1">
      <c r="A66" s="419">
        <v>2017</v>
      </c>
      <c r="B66" s="420" t="s">
        <v>303</v>
      </c>
      <c r="C66" s="421" t="s">
        <v>313</v>
      </c>
      <c r="D66" s="421" t="s">
        <v>314</v>
      </c>
      <c r="E66" s="431" t="s">
        <v>316</v>
      </c>
      <c r="F66" s="434" t="s">
        <v>315</v>
      </c>
      <c r="G66" s="424" t="s">
        <v>214</v>
      </c>
      <c r="H66" s="449">
        <v>2297.44</v>
      </c>
      <c r="I66" s="449">
        <v>2245.41</v>
      </c>
      <c r="J66" s="449">
        <v>2186.64</v>
      </c>
      <c r="K66" s="449">
        <v>2191.75</v>
      </c>
      <c r="L66" s="449">
        <v>2142.17</v>
      </c>
      <c r="M66" s="449">
        <v>2086.17</v>
      </c>
      <c r="N66" s="449">
        <v>1131.8499999999999</v>
      </c>
      <c r="O66" s="449">
        <v>2605.0500000000002</v>
      </c>
      <c r="P66" s="449">
        <v>2461.29</v>
      </c>
      <c r="Q66" s="449">
        <v>2183.2199999999998</v>
      </c>
      <c r="R66" s="449">
        <v>1575.7</v>
      </c>
      <c r="S66" s="449">
        <v>1450.98</v>
      </c>
      <c r="T66" s="450" t="s">
        <v>308</v>
      </c>
      <c r="V66" s="449">
        <f t="shared" si="13"/>
        <v>2527.1840000000002</v>
      </c>
      <c r="W66" s="449">
        <f t="shared" si="2"/>
        <v>2469.951</v>
      </c>
      <c r="X66" s="449">
        <f t="shared" si="3"/>
        <v>2405.3040000000001</v>
      </c>
      <c r="Y66" s="449">
        <f t="shared" si="4"/>
        <v>2410.9250000000002</v>
      </c>
      <c r="Z66" s="449">
        <f t="shared" si="5"/>
        <v>2356.3870000000002</v>
      </c>
      <c r="AA66" s="449">
        <f t="shared" si="6"/>
        <v>2294.7870000000003</v>
      </c>
      <c r="AB66" s="449">
        <f t="shared" si="7"/>
        <v>1245.0350000000001</v>
      </c>
      <c r="AC66" s="449">
        <f t="shared" si="8"/>
        <v>2865.5550000000003</v>
      </c>
      <c r="AD66" s="449">
        <f t="shared" si="9"/>
        <v>2707.4190000000003</v>
      </c>
      <c r="AE66" s="449">
        <f t="shared" si="10"/>
        <v>2401.5419999999999</v>
      </c>
      <c r="AF66" s="449">
        <f t="shared" si="11"/>
        <v>1733.2700000000002</v>
      </c>
      <c r="AG66" s="449">
        <f t="shared" si="12"/>
        <v>1596.0780000000002</v>
      </c>
      <c r="AH66" s="450" t="s">
        <v>308</v>
      </c>
    </row>
    <row r="67" spans="1:34" ht="16.5" hidden="1" thickBot="1">
      <c r="A67" s="412">
        <v>2017</v>
      </c>
      <c r="B67" s="425" t="s">
        <v>317</v>
      </c>
      <c r="C67" s="414" t="s">
        <v>304</v>
      </c>
      <c r="D67" s="414" t="s">
        <v>305</v>
      </c>
      <c r="E67" s="415" t="s">
        <v>306</v>
      </c>
      <c r="F67" s="416" t="s">
        <v>307</v>
      </c>
      <c r="G67" s="417" t="s">
        <v>211</v>
      </c>
      <c r="H67" s="445">
        <v>473.69</v>
      </c>
      <c r="I67" s="445">
        <v>463.1</v>
      </c>
      <c r="J67" s="445">
        <v>451.16</v>
      </c>
      <c r="K67" s="445">
        <v>447.62</v>
      </c>
      <c r="L67" s="445">
        <v>437.64</v>
      </c>
      <c r="M67" s="445">
        <v>426.34</v>
      </c>
      <c r="N67" s="445">
        <v>251.46</v>
      </c>
      <c r="O67" s="445">
        <v>574.83000000000004</v>
      </c>
      <c r="P67" s="445">
        <v>543.12</v>
      </c>
      <c r="Q67" s="445">
        <v>481.77</v>
      </c>
      <c r="R67" s="445">
        <v>341.15</v>
      </c>
      <c r="S67" s="445">
        <v>314.16000000000003</v>
      </c>
      <c r="T67" s="446" t="s">
        <v>308</v>
      </c>
      <c r="V67" s="445">
        <f t="shared" si="13"/>
        <v>521.05900000000008</v>
      </c>
      <c r="W67" s="445">
        <f t="shared" si="2"/>
        <v>509.41000000000008</v>
      </c>
      <c r="X67" s="445">
        <f t="shared" si="3"/>
        <v>496.27600000000007</v>
      </c>
      <c r="Y67" s="445">
        <f t="shared" si="4"/>
        <v>492.38200000000006</v>
      </c>
      <c r="Z67" s="445">
        <f t="shared" si="5"/>
        <v>481.404</v>
      </c>
      <c r="AA67" s="445">
        <f t="shared" si="6"/>
        <v>468.97399999999999</v>
      </c>
      <c r="AB67" s="445">
        <f t="shared" si="7"/>
        <v>276.60600000000005</v>
      </c>
      <c r="AC67" s="445">
        <f t="shared" si="8"/>
        <v>632.3130000000001</v>
      </c>
      <c r="AD67" s="445">
        <f t="shared" si="9"/>
        <v>597.43200000000002</v>
      </c>
      <c r="AE67" s="445">
        <f t="shared" si="10"/>
        <v>529.947</v>
      </c>
      <c r="AF67" s="445">
        <f t="shared" si="11"/>
        <v>375.26499999999999</v>
      </c>
      <c r="AG67" s="445">
        <f t="shared" si="12"/>
        <v>345.57600000000008</v>
      </c>
      <c r="AH67" s="446" t="s">
        <v>308</v>
      </c>
    </row>
    <row r="68" spans="1:34" ht="16.5" hidden="1" thickBot="1">
      <c r="A68" s="418">
        <v>2017</v>
      </c>
      <c r="B68" s="152" t="s">
        <v>317</v>
      </c>
      <c r="C68" s="146" t="s">
        <v>304</v>
      </c>
      <c r="D68" s="146" t="s">
        <v>305</v>
      </c>
      <c r="E68" s="147" t="s">
        <v>306</v>
      </c>
      <c r="F68" s="148" t="s">
        <v>307</v>
      </c>
      <c r="G68" s="149" t="s">
        <v>212</v>
      </c>
      <c r="H68" s="447">
        <v>1037.3900000000001</v>
      </c>
      <c r="I68" s="447">
        <v>1014.2</v>
      </c>
      <c r="J68" s="447">
        <v>988.04</v>
      </c>
      <c r="K68" s="447">
        <v>980.29</v>
      </c>
      <c r="L68" s="447">
        <v>958.42</v>
      </c>
      <c r="M68" s="447">
        <v>933.68</v>
      </c>
      <c r="N68" s="447">
        <v>550.70000000000005</v>
      </c>
      <c r="O68" s="447">
        <v>1258.8800000000001</v>
      </c>
      <c r="P68" s="447">
        <v>1189.44</v>
      </c>
      <c r="Q68" s="447">
        <v>1055.07</v>
      </c>
      <c r="R68" s="447">
        <v>747.12</v>
      </c>
      <c r="S68" s="447">
        <v>688.02</v>
      </c>
      <c r="T68" s="448" t="s">
        <v>308</v>
      </c>
      <c r="V68" s="447">
        <f t="shared" si="13"/>
        <v>1141.1290000000001</v>
      </c>
      <c r="W68" s="447">
        <f t="shared" si="2"/>
        <v>1115.6200000000001</v>
      </c>
      <c r="X68" s="447">
        <f t="shared" si="3"/>
        <v>1086.8440000000001</v>
      </c>
      <c r="Y68" s="447">
        <f t="shared" si="4"/>
        <v>1078.319</v>
      </c>
      <c r="Z68" s="447">
        <f t="shared" si="5"/>
        <v>1054.2619999999999</v>
      </c>
      <c r="AA68" s="447">
        <f t="shared" si="6"/>
        <v>1027.048</v>
      </c>
      <c r="AB68" s="447">
        <f t="shared" si="7"/>
        <v>605.7700000000001</v>
      </c>
      <c r="AC68" s="447">
        <f t="shared" si="8"/>
        <v>1384.7680000000003</v>
      </c>
      <c r="AD68" s="447">
        <f t="shared" si="9"/>
        <v>1308.3840000000002</v>
      </c>
      <c r="AE68" s="447">
        <f t="shared" si="10"/>
        <v>1160.577</v>
      </c>
      <c r="AF68" s="447">
        <f t="shared" si="11"/>
        <v>821.83200000000011</v>
      </c>
      <c r="AG68" s="447">
        <f t="shared" si="12"/>
        <v>756.822</v>
      </c>
      <c r="AH68" s="448" t="s">
        <v>308</v>
      </c>
    </row>
    <row r="69" spans="1:34" ht="16.5" hidden="1" thickBot="1">
      <c r="A69" s="418">
        <v>2017</v>
      </c>
      <c r="B69" s="152" t="s">
        <v>317</v>
      </c>
      <c r="C69" s="146" t="s">
        <v>304</v>
      </c>
      <c r="D69" s="146" t="s">
        <v>305</v>
      </c>
      <c r="E69" s="147" t="s">
        <v>306</v>
      </c>
      <c r="F69" s="148" t="s">
        <v>307</v>
      </c>
      <c r="G69" s="149" t="s">
        <v>213</v>
      </c>
      <c r="H69" s="447">
        <v>900.02</v>
      </c>
      <c r="I69" s="447">
        <v>879.9</v>
      </c>
      <c r="J69" s="447">
        <v>857.19</v>
      </c>
      <c r="K69" s="447">
        <v>850.48</v>
      </c>
      <c r="L69" s="447">
        <v>831.51</v>
      </c>
      <c r="M69" s="447">
        <v>810.04</v>
      </c>
      <c r="N69" s="447">
        <v>477.77</v>
      </c>
      <c r="O69" s="447">
        <v>1092.18</v>
      </c>
      <c r="P69" s="447">
        <v>1031.94</v>
      </c>
      <c r="Q69" s="447">
        <v>915.36</v>
      </c>
      <c r="R69" s="447">
        <v>648.17999999999995</v>
      </c>
      <c r="S69" s="447">
        <v>596.91</v>
      </c>
      <c r="T69" s="448" t="s">
        <v>308</v>
      </c>
      <c r="V69" s="447">
        <f t="shared" si="13"/>
        <v>990.02200000000005</v>
      </c>
      <c r="W69" s="447">
        <f t="shared" si="2"/>
        <v>967.8900000000001</v>
      </c>
      <c r="X69" s="447">
        <f t="shared" si="3"/>
        <v>942.90900000000011</v>
      </c>
      <c r="Y69" s="447">
        <f t="shared" si="4"/>
        <v>935.52800000000013</v>
      </c>
      <c r="Z69" s="447">
        <f t="shared" si="5"/>
        <v>914.66100000000006</v>
      </c>
      <c r="AA69" s="447">
        <f t="shared" si="6"/>
        <v>891.04399999999998</v>
      </c>
      <c r="AB69" s="447">
        <f t="shared" si="7"/>
        <v>525.54700000000003</v>
      </c>
      <c r="AC69" s="447">
        <f t="shared" si="8"/>
        <v>1201.3980000000001</v>
      </c>
      <c r="AD69" s="447">
        <f t="shared" si="9"/>
        <v>1135.1340000000002</v>
      </c>
      <c r="AE69" s="447">
        <f t="shared" si="10"/>
        <v>1006.8960000000001</v>
      </c>
      <c r="AF69" s="447">
        <f t="shared" si="11"/>
        <v>712.99800000000005</v>
      </c>
      <c r="AG69" s="447">
        <f t="shared" si="12"/>
        <v>656.601</v>
      </c>
      <c r="AH69" s="448" t="s">
        <v>308</v>
      </c>
    </row>
    <row r="70" spans="1:34" ht="16.5" hidden="1" thickBot="1">
      <c r="A70" s="419">
        <v>2017</v>
      </c>
      <c r="B70" s="426" t="s">
        <v>317</v>
      </c>
      <c r="C70" s="421" t="s">
        <v>304</v>
      </c>
      <c r="D70" s="421" t="s">
        <v>305</v>
      </c>
      <c r="E70" s="422" t="s">
        <v>306</v>
      </c>
      <c r="F70" s="423" t="s">
        <v>307</v>
      </c>
      <c r="G70" s="424" t="s">
        <v>214</v>
      </c>
      <c r="H70" s="449">
        <v>1440.03</v>
      </c>
      <c r="I70" s="449">
        <v>1407.84</v>
      </c>
      <c r="J70" s="449">
        <v>1371.51</v>
      </c>
      <c r="K70" s="449">
        <v>1360.77</v>
      </c>
      <c r="L70" s="449">
        <v>1330.41</v>
      </c>
      <c r="M70" s="449">
        <v>1296.07</v>
      </c>
      <c r="N70" s="449">
        <v>764.44</v>
      </c>
      <c r="O70" s="449">
        <v>1747.49</v>
      </c>
      <c r="P70" s="449">
        <v>1651.09</v>
      </c>
      <c r="Q70" s="449">
        <v>1464.58</v>
      </c>
      <c r="R70" s="449">
        <v>1037.0899999999999</v>
      </c>
      <c r="S70" s="449">
        <v>955.05</v>
      </c>
      <c r="T70" s="450" t="s">
        <v>308</v>
      </c>
      <c r="V70" s="449">
        <f t="shared" si="13"/>
        <v>1584.0330000000001</v>
      </c>
      <c r="W70" s="449">
        <f t="shared" si="2"/>
        <v>1548.624</v>
      </c>
      <c r="X70" s="449">
        <f t="shared" si="3"/>
        <v>1508.6610000000001</v>
      </c>
      <c r="Y70" s="449">
        <f t="shared" si="4"/>
        <v>1496.8470000000002</v>
      </c>
      <c r="Z70" s="449">
        <f t="shared" si="5"/>
        <v>1463.4510000000002</v>
      </c>
      <c r="AA70" s="449">
        <f t="shared" si="6"/>
        <v>1425.6770000000001</v>
      </c>
      <c r="AB70" s="449">
        <f t="shared" si="7"/>
        <v>840.88400000000013</v>
      </c>
      <c r="AC70" s="449">
        <f t="shared" si="8"/>
        <v>1922.2390000000003</v>
      </c>
      <c r="AD70" s="449">
        <f t="shared" si="9"/>
        <v>1816.1990000000001</v>
      </c>
      <c r="AE70" s="449">
        <f t="shared" si="10"/>
        <v>1611.038</v>
      </c>
      <c r="AF70" s="449">
        <f t="shared" si="11"/>
        <v>1140.799</v>
      </c>
      <c r="AG70" s="449">
        <f t="shared" si="12"/>
        <v>1050.5550000000001</v>
      </c>
      <c r="AH70" s="450" t="s">
        <v>308</v>
      </c>
    </row>
    <row r="71" spans="1:34" ht="16.5" hidden="1" thickBot="1">
      <c r="A71" s="412">
        <v>2017</v>
      </c>
      <c r="B71" s="425" t="s">
        <v>317</v>
      </c>
      <c r="C71" s="414" t="s">
        <v>309</v>
      </c>
      <c r="D71" s="414" t="s">
        <v>310</v>
      </c>
      <c r="E71" s="415" t="s">
        <v>306</v>
      </c>
      <c r="F71" s="416" t="s">
        <v>307</v>
      </c>
      <c r="G71" s="417" t="s">
        <v>211</v>
      </c>
      <c r="H71" s="445">
        <v>520.54</v>
      </c>
      <c r="I71" s="445">
        <v>508.91</v>
      </c>
      <c r="J71" s="445">
        <v>495.78</v>
      </c>
      <c r="K71" s="445">
        <v>491.89</v>
      </c>
      <c r="L71" s="445">
        <v>480.92</v>
      </c>
      <c r="M71" s="445">
        <v>468.5</v>
      </c>
      <c r="N71" s="445">
        <v>276.33</v>
      </c>
      <c r="O71" s="445">
        <v>631.67999999999995</v>
      </c>
      <c r="P71" s="445">
        <v>596.84</v>
      </c>
      <c r="Q71" s="445">
        <v>529.41999999999996</v>
      </c>
      <c r="R71" s="445">
        <v>374.89</v>
      </c>
      <c r="S71" s="445">
        <v>345.23</v>
      </c>
      <c r="T71" s="446" t="s">
        <v>308</v>
      </c>
      <c r="V71" s="445">
        <f t="shared" si="13"/>
        <v>572.59400000000005</v>
      </c>
      <c r="W71" s="445">
        <f t="shared" ref="W71:W134" si="14">I71*1.1</f>
        <v>559.80100000000004</v>
      </c>
      <c r="X71" s="445">
        <f t="shared" ref="X71:X134" si="15">J71*1.1</f>
        <v>545.35800000000006</v>
      </c>
      <c r="Y71" s="445">
        <f t="shared" ref="Y71:Y134" si="16">K71*1.1</f>
        <v>541.07900000000006</v>
      </c>
      <c r="Z71" s="445">
        <f t="shared" ref="Z71:Z134" si="17">L71*1.1</f>
        <v>529.01200000000006</v>
      </c>
      <c r="AA71" s="445">
        <f t="shared" ref="AA71:AA134" si="18">M71*1.1</f>
        <v>515.35</v>
      </c>
      <c r="AB71" s="445">
        <f t="shared" ref="AB71:AB134" si="19">N71*1.1</f>
        <v>303.96300000000002</v>
      </c>
      <c r="AC71" s="445">
        <f t="shared" ref="AC71:AC134" si="20">O71*1.1</f>
        <v>694.84799999999996</v>
      </c>
      <c r="AD71" s="445">
        <f t="shared" ref="AD71:AD134" si="21">P71*1.1</f>
        <v>656.52400000000011</v>
      </c>
      <c r="AE71" s="445">
        <f t="shared" ref="AE71:AE134" si="22">Q71*1.1</f>
        <v>582.36199999999997</v>
      </c>
      <c r="AF71" s="445">
        <f t="shared" ref="AF71:AF134" si="23">R71*1.1</f>
        <v>412.37900000000002</v>
      </c>
      <c r="AG71" s="445">
        <f t="shared" ref="AG71:AH134" si="24">S71*1.1</f>
        <v>379.75300000000004</v>
      </c>
      <c r="AH71" s="446" t="s">
        <v>308</v>
      </c>
    </row>
    <row r="72" spans="1:34" ht="16.5" hidden="1" thickBot="1">
      <c r="A72" s="418">
        <v>2017</v>
      </c>
      <c r="B72" s="152" t="s">
        <v>317</v>
      </c>
      <c r="C72" s="146" t="s">
        <v>309</v>
      </c>
      <c r="D72" s="146" t="s">
        <v>310</v>
      </c>
      <c r="E72" s="147" t="s">
        <v>306</v>
      </c>
      <c r="F72" s="148" t="s">
        <v>307</v>
      </c>
      <c r="G72" s="149" t="s">
        <v>212</v>
      </c>
      <c r="H72" s="447">
        <v>1139.99</v>
      </c>
      <c r="I72" s="447">
        <v>1114.5</v>
      </c>
      <c r="J72" s="447">
        <v>1085.76</v>
      </c>
      <c r="K72" s="447">
        <v>1077.24</v>
      </c>
      <c r="L72" s="447">
        <v>1053.21</v>
      </c>
      <c r="M72" s="447">
        <v>1026.02</v>
      </c>
      <c r="N72" s="447">
        <v>605.16999999999996</v>
      </c>
      <c r="O72" s="447">
        <v>1383.39</v>
      </c>
      <c r="P72" s="447">
        <v>1307.08</v>
      </c>
      <c r="Q72" s="447">
        <v>1159.42</v>
      </c>
      <c r="R72" s="447">
        <v>821.01</v>
      </c>
      <c r="S72" s="447">
        <v>756.06</v>
      </c>
      <c r="T72" s="448" t="s">
        <v>308</v>
      </c>
      <c r="V72" s="447">
        <f t="shared" ref="V72:V134" si="25">H72*1.1</f>
        <v>1253.989</v>
      </c>
      <c r="W72" s="447">
        <f t="shared" si="14"/>
        <v>1225.95</v>
      </c>
      <c r="X72" s="447">
        <f t="shared" si="15"/>
        <v>1194.336</v>
      </c>
      <c r="Y72" s="447">
        <f t="shared" si="16"/>
        <v>1184.9640000000002</v>
      </c>
      <c r="Z72" s="447">
        <f t="shared" si="17"/>
        <v>1158.5310000000002</v>
      </c>
      <c r="AA72" s="447">
        <f t="shared" si="18"/>
        <v>1128.6220000000001</v>
      </c>
      <c r="AB72" s="447">
        <f t="shared" si="19"/>
        <v>665.68700000000001</v>
      </c>
      <c r="AC72" s="447">
        <f t="shared" si="20"/>
        <v>1521.7290000000003</v>
      </c>
      <c r="AD72" s="447">
        <f t="shared" si="21"/>
        <v>1437.788</v>
      </c>
      <c r="AE72" s="447">
        <f t="shared" si="22"/>
        <v>1275.3620000000001</v>
      </c>
      <c r="AF72" s="447">
        <f t="shared" si="23"/>
        <v>903.1110000000001</v>
      </c>
      <c r="AG72" s="447">
        <f t="shared" si="24"/>
        <v>831.66600000000005</v>
      </c>
      <c r="AH72" s="448" t="s">
        <v>308</v>
      </c>
    </row>
    <row r="73" spans="1:34" ht="16.5" hidden="1" thickBot="1">
      <c r="A73" s="418">
        <v>2017</v>
      </c>
      <c r="B73" s="152" t="s">
        <v>317</v>
      </c>
      <c r="C73" s="146" t="s">
        <v>309</v>
      </c>
      <c r="D73" s="146" t="s">
        <v>310</v>
      </c>
      <c r="E73" s="147" t="s">
        <v>306</v>
      </c>
      <c r="F73" s="148" t="s">
        <v>307</v>
      </c>
      <c r="G73" s="149" t="s">
        <v>213</v>
      </c>
      <c r="H73" s="447">
        <v>989.04</v>
      </c>
      <c r="I73" s="447">
        <v>966.92</v>
      </c>
      <c r="J73" s="447">
        <v>941.97</v>
      </c>
      <c r="K73" s="447">
        <v>934.59</v>
      </c>
      <c r="L73" s="447">
        <v>913.75</v>
      </c>
      <c r="M73" s="447">
        <v>890.15</v>
      </c>
      <c r="N73" s="447">
        <v>525.03</v>
      </c>
      <c r="O73" s="447">
        <v>1200.2</v>
      </c>
      <c r="P73" s="447">
        <v>1134</v>
      </c>
      <c r="Q73" s="447">
        <v>1005.89</v>
      </c>
      <c r="R73" s="447">
        <v>712.29</v>
      </c>
      <c r="S73" s="447">
        <v>655.95</v>
      </c>
      <c r="T73" s="448" t="s">
        <v>308</v>
      </c>
      <c r="V73" s="447">
        <f t="shared" si="25"/>
        <v>1087.944</v>
      </c>
      <c r="W73" s="447">
        <f t="shared" si="14"/>
        <v>1063.6120000000001</v>
      </c>
      <c r="X73" s="447">
        <f t="shared" si="15"/>
        <v>1036.1670000000001</v>
      </c>
      <c r="Y73" s="447">
        <f t="shared" si="16"/>
        <v>1028.0490000000002</v>
      </c>
      <c r="Z73" s="447">
        <f t="shared" si="17"/>
        <v>1005.1250000000001</v>
      </c>
      <c r="AA73" s="447">
        <f t="shared" si="18"/>
        <v>979.16500000000008</v>
      </c>
      <c r="AB73" s="447">
        <f t="shared" si="19"/>
        <v>577.53300000000002</v>
      </c>
      <c r="AC73" s="447">
        <f t="shared" si="20"/>
        <v>1320.2200000000003</v>
      </c>
      <c r="AD73" s="447">
        <f t="shared" si="21"/>
        <v>1247.4000000000001</v>
      </c>
      <c r="AE73" s="447">
        <f t="shared" si="22"/>
        <v>1106.479</v>
      </c>
      <c r="AF73" s="447">
        <f t="shared" si="23"/>
        <v>783.51900000000001</v>
      </c>
      <c r="AG73" s="447">
        <f t="shared" si="24"/>
        <v>721.54500000000007</v>
      </c>
      <c r="AH73" s="448" t="s">
        <v>308</v>
      </c>
    </row>
    <row r="74" spans="1:34" ht="16.5" hidden="1" thickBot="1">
      <c r="A74" s="419">
        <v>2017</v>
      </c>
      <c r="B74" s="426" t="s">
        <v>317</v>
      </c>
      <c r="C74" s="421" t="s">
        <v>309</v>
      </c>
      <c r="D74" s="421" t="s">
        <v>310</v>
      </c>
      <c r="E74" s="422" t="s">
        <v>306</v>
      </c>
      <c r="F74" s="423" t="s">
        <v>307</v>
      </c>
      <c r="G74" s="424" t="s">
        <v>214</v>
      </c>
      <c r="H74" s="449">
        <v>1582.45</v>
      </c>
      <c r="I74" s="449">
        <v>1547.08</v>
      </c>
      <c r="J74" s="449">
        <v>1507.16</v>
      </c>
      <c r="K74" s="449">
        <v>1495.35</v>
      </c>
      <c r="L74" s="449">
        <v>1461.99</v>
      </c>
      <c r="M74" s="449">
        <v>1424.25</v>
      </c>
      <c r="N74" s="449">
        <v>840.04</v>
      </c>
      <c r="O74" s="449">
        <v>1920.32</v>
      </c>
      <c r="P74" s="449">
        <v>1814.39</v>
      </c>
      <c r="Q74" s="449">
        <v>1609.42</v>
      </c>
      <c r="R74" s="449">
        <v>1139.6600000000001</v>
      </c>
      <c r="S74" s="449">
        <v>1049.51</v>
      </c>
      <c r="T74" s="450" t="s">
        <v>308</v>
      </c>
      <c r="V74" s="449">
        <f t="shared" si="25"/>
        <v>1740.6950000000002</v>
      </c>
      <c r="W74" s="449">
        <f t="shared" si="14"/>
        <v>1701.788</v>
      </c>
      <c r="X74" s="449">
        <f t="shared" si="15"/>
        <v>1657.8760000000002</v>
      </c>
      <c r="Y74" s="449">
        <f t="shared" si="16"/>
        <v>1644.885</v>
      </c>
      <c r="Z74" s="449">
        <f t="shared" si="17"/>
        <v>1608.1890000000001</v>
      </c>
      <c r="AA74" s="449">
        <f t="shared" si="18"/>
        <v>1566.6750000000002</v>
      </c>
      <c r="AB74" s="449">
        <f t="shared" si="19"/>
        <v>924.04399999999998</v>
      </c>
      <c r="AC74" s="449">
        <f t="shared" si="20"/>
        <v>2112.3520000000003</v>
      </c>
      <c r="AD74" s="449">
        <f t="shared" si="21"/>
        <v>1995.8290000000002</v>
      </c>
      <c r="AE74" s="449">
        <f t="shared" si="22"/>
        <v>1770.3620000000003</v>
      </c>
      <c r="AF74" s="449">
        <f t="shared" si="23"/>
        <v>1253.6260000000002</v>
      </c>
      <c r="AG74" s="449">
        <f t="shared" si="24"/>
        <v>1154.461</v>
      </c>
      <c r="AH74" s="450" t="s">
        <v>308</v>
      </c>
    </row>
    <row r="75" spans="1:34" ht="16.5" hidden="1" thickBot="1">
      <c r="A75" s="412">
        <v>2017</v>
      </c>
      <c r="B75" s="425" t="s">
        <v>317</v>
      </c>
      <c r="C75" s="414" t="s">
        <v>311</v>
      </c>
      <c r="D75" s="414" t="s">
        <v>312</v>
      </c>
      <c r="E75" s="415" t="s">
        <v>306</v>
      </c>
      <c r="F75" s="416" t="s">
        <v>307</v>
      </c>
      <c r="G75" s="417" t="s">
        <v>211</v>
      </c>
      <c r="H75" s="445">
        <v>547.94000000000005</v>
      </c>
      <c r="I75" s="445">
        <v>535.69000000000005</v>
      </c>
      <c r="J75" s="445">
        <v>521.87</v>
      </c>
      <c r="K75" s="445">
        <v>517.78</v>
      </c>
      <c r="L75" s="445">
        <v>506.23</v>
      </c>
      <c r="M75" s="445">
        <v>493.16</v>
      </c>
      <c r="N75" s="445">
        <v>290.87</v>
      </c>
      <c r="O75" s="445">
        <v>664.93</v>
      </c>
      <c r="P75" s="445">
        <v>628.25</v>
      </c>
      <c r="Q75" s="445">
        <v>557.28</v>
      </c>
      <c r="R75" s="445">
        <v>394.62</v>
      </c>
      <c r="S75" s="445">
        <v>363.4</v>
      </c>
      <c r="T75" s="446" t="s">
        <v>308</v>
      </c>
      <c r="V75" s="445">
        <f t="shared" si="25"/>
        <v>602.73400000000015</v>
      </c>
      <c r="W75" s="445">
        <f t="shared" si="14"/>
        <v>589.25900000000013</v>
      </c>
      <c r="X75" s="445">
        <f t="shared" si="15"/>
        <v>574.05700000000002</v>
      </c>
      <c r="Y75" s="445">
        <f t="shared" si="16"/>
        <v>569.55799999999999</v>
      </c>
      <c r="Z75" s="445">
        <f t="shared" si="17"/>
        <v>556.85300000000007</v>
      </c>
      <c r="AA75" s="445">
        <f t="shared" si="18"/>
        <v>542.47600000000011</v>
      </c>
      <c r="AB75" s="445">
        <f t="shared" si="19"/>
        <v>319.95700000000005</v>
      </c>
      <c r="AC75" s="445">
        <f t="shared" si="20"/>
        <v>731.423</v>
      </c>
      <c r="AD75" s="445">
        <f t="shared" si="21"/>
        <v>691.07500000000005</v>
      </c>
      <c r="AE75" s="445">
        <f t="shared" si="22"/>
        <v>613.00800000000004</v>
      </c>
      <c r="AF75" s="445">
        <f t="shared" si="23"/>
        <v>434.08200000000005</v>
      </c>
      <c r="AG75" s="445">
        <f t="shared" si="24"/>
        <v>399.74</v>
      </c>
      <c r="AH75" s="446" t="s">
        <v>308</v>
      </c>
    </row>
    <row r="76" spans="1:34" ht="16.5" hidden="1" thickBot="1">
      <c r="A76" s="418">
        <v>2017</v>
      </c>
      <c r="B76" s="152" t="s">
        <v>317</v>
      </c>
      <c r="C76" s="146" t="s">
        <v>311</v>
      </c>
      <c r="D76" s="146" t="s">
        <v>312</v>
      </c>
      <c r="E76" s="147" t="s">
        <v>306</v>
      </c>
      <c r="F76" s="148" t="s">
        <v>307</v>
      </c>
      <c r="G76" s="149" t="s">
        <v>212</v>
      </c>
      <c r="H76" s="447">
        <v>1199.99</v>
      </c>
      <c r="I76" s="447">
        <v>1173.1600000000001</v>
      </c>
      <c r="J76" s="447">
        <v>1142.9000000000001</v>
      </c>
      <c r="K76" s="447">
        <v>1133.94</v>
      </c>
      <c r="L76" s="447">
        <v>1108.6400000000001</v>
      </c>
      <c r="M76" s="447">
        <v>1080.02</v>
      </c>
      <c r="N76" s="447">
        <v>637.02</v>
      </c>
      <c r="O76" s="447">
        <v>1456.2</v>
      </c>
      <c r="P76" s="447">
        <v>1375.87</v>
      </c>
      <c r="Q76" s="447">
        <v>1220.44</v>
      </c>
      <c r="R76" s="447">
        <v>864.22</v>
      </c>
      <c r="S76" s="447">
        <v>795.85</v>
      </c>
      <c r="T76" s="448" t="s">
        <v>308</v>
      </c>
      <c r="V76" s="447">
        <f t="shared" si="25"/>
        <v>1319.989</v>
      </c>
      <c r="W76" s="447">
        <f t="shared" si="14"/>
        <v>1290.4760000000001</v>
      </c>
      <c r="X76" s="447">
        <f t="shared" si="15"/>
        <v>1257.1900000000003</v>
      </c>
      <c r="Y76" s="447">
        <f t="shared" si="16"/>
        <v>1247.3340000000001</v>
      </c>
      <c r="Z76" s="447">
        <f t="shared" si="17"/>
        <v>1219.5040000000001</v>
      </c>
      <c r="AA76" s="447">
        <f t="shared" si="18"/>
        <v>1188.0220000000002</v>
      </c>
      <c r="AB76" s="447">
        <f t="shared" si="19"/>
        <v>700.72199999999998</v>
      </c>
      <c r="AC76" s="447">
        <f t="shared" si="20"/>
        <v>1601.8200000000002</v>
      </c>
      <c r="AD76" s="447">
        <f t="shared" si="21"/>
        <v>1513.4570000000001</v>
      </c>
      <c r="AE76" s="447">
        <f t="shared" si="22"/>
        <v>1342.4840000000002</v>
      </c>
      <c r="AF76" s="447">
        <f t="shared" si="23"/>
        <v>950.64200000000005</v>
      </c>
      <c r="AG76" s="447">
        <f t="shared" si="24"/>
        <v>875.43500000000006</v>
      </c>
      <c r="AH76" s="448" t="s">
        <v>308</v>
      </c>
    </row>
    <row r="77" spans="1:34" ht="16.5" hidden="1" thickBot="1">
      <c r="A77" s="418">
        <v>2017</v>
      </c>
      <c r="B77" s="152" t="s">
        <v>317</v>
      </c>
      <c r="C77" s="146" t="s">
        <v>311</v>
      </c>
      <c r="D77" s="146" t="s">
        <v>312</v>
      </c>
      <c r="E77" s="147" t="s">
        <v>306</v>
      </c>
      <c r="F77" s="148" t="s">
        <v>307</v>
      </c>
      <c r="G77" s="149" t="s">
        <v>213</v>
      </c>
      <c r="H77" s="447">
        <v>1041.0899999999999</v>
      </c>
      <c r="I77" s="447">
        <v>1017.81</v>
      </c>
      <c r="J77" s="447">
        <v>991.55</v>
      </c>
      <c r="K77" s="447">
        <v>983.78</v>
      </c>
      <c r="L77" s="447">
        <v>961.84</v>
      </c>
      <c r="M77" s="447">
        <v>937</v>
      </c>
      <c r="N77" s="447">
        <v>552.66</v>
      </c>
      <c r="O77" s="447">
        <v>1263.3699999999999</v>
      </c>
      <c r="P77" s="447">
        <v>1193.68</v>
      </c>
      <c r="Q77" s="447">
        <v>1058.83</v>
      </c>
      <c r="R77" s="447">
        <v>749.78</v>
      </c>
      <c r="S77" s="447">
        <v>690.47</v>
      </c>
      <c r="T77" s="448" t="s">
        <v>308</v>
      </c>
      <c r="V77" s="447">
        <f t="shared" si="25"/>
        <v>1145.1990000000001</v>
      </c>
      <c r="W77" s="447">
        <f t="shared" si="14"/>
        <v>1119.5910000000001</v>
      </c>
      <c r="X77" s="447">
        <f t="shared" si="15"/>
        <v>1090.7049999999999</v>
      </c>
      <c r="Y77" s="447">
        <f t="shared" si="16"/>
        <v>1082.1580000000001</v>
      </c>
      <c r="Z77" s="447">
        <f t="shared" si="17"/>
        <v>1058.0240000000001</v>
      </c>
      <c r="AA77" s="447">
        <f t="shared" si="18"/>
        <v>1030.7</v>
      </c>
      <c r="AB77" s="447">
        <f t="shared" si="19"/>
        <v>607.92600000000004</v>
      </c>
      <c r="AC77" s="447">
        <f t="shared" si="20"/>
        <v>1389.7069999999999</v>
      </c>
      <c r="AD77" s="447">
        <f t="shared" si="21"/>
        <v>1313.0480000000002</v>
      </c>
      <c r="AE77" s="447">
        <f t="shared" si="22"/>
        <v>1164.713</v>
      </c>
      <c r="AF77" s="447">
        <f t="shared" si="23"/>
        <v>824.75800000000004</v>
      </c>
      <c r="AG77" s="447">
        <f t="shared" si="24"/>
        <v>759.51700000000005</v>
      </c>
      <c r="AH77" s="448" t="s">
        <v>308</v>
      </c>
    </row>
    <row r="78" spans="1:34" ht="16.5" hidden="1" thickBot="1">
      <c r="A78" s="419">
        <v>2017</v>
      </c>
      <c r="B78" s="426" t="s">
        <v>317</v>
      </c>
      <c r="C78" s="421" t="s">
        <v>311</v>
      </c>
      <c r="D78" s="421" t="s">
        <v>312</v>
      </c>
      <c r="E78" s="422" t="s">
        <v>306</v>
      </c>
      <c r="F78" s="423" t="s">
        <v>307</v>
      </c>
      <c r="G78" s="424" t="s">
        <v>214</v>
      </c>
      <c r="H78" s="449">
        <v>1665.74</v>
      </c>
      <c r="I78" s="449">
        <v>1628.5</v>
      </c>
      <c r="J78" s="449">
        <v>1586.48</v>
      </c>
      <c r="K78" s="449">
        <v>1574.05</v>
      </c>
      <c r="L78" s="449">
        <v>1538.94</v>
      </c>
      <c r="M78" s="449">
        <v>1499.21</v>
      </c>
      <c r="N78" s="449">
        <v>884.26</v>
      </c>
      <c r="O78" s="449">
        <v>2021.39</v>
      </c>
      <c r="P78" s="449">
        <v>1909.88</v>
      </c>
      <c r="Q78" s="449">
        <v>1694.13</v>
      </c>
      <c r="R78" s="449">
        <v>1199.6400000000001</v>
      </c>
      <c r="S78" s="449">
        <v>1104.75</v>
      </c>
      <c r="T78" s="450" t="s">
        <v>308</v>
      </c>
      <c r="V78" s="449">
        <f t="shared" si="25"/>
        <v>1832.3140000000001</v>
      </c>
      <c r="W78" s="449">
        <f t="shared" si="14"/>
        <v>1791.3500000000001</v>
      </c>
      <c r="X78" s="449">
        <f t="shared" si="15"/>
        <v>1745.1280000000002</v>
      </c>
      <c r="Y78" s="449">
        <f t="shared" si="16"/>
        <v>1731.4550000000002</v>
      </c>
      <c r="Z78" s="449">
        <f t="shared" si="17"/>
        <v>1692.8340000000003</v>
      </c>
      <c r="AA78" s="449">
        <f t="shared" si="18"/>
        <v>1649.1310000000001</v>
      </c>
      <c r="AB78" s="449">
        <f t="shared" si="19"/>
        <v>972.68600000000004</v>
      </c>
      <c r="AC78" s="449">
        <f t="shared" si="20"/>
        <v>2223.5290000000005</v>
      </c>
      <c r="AD78" s="449">
        <f t="shared" si="21"/>
        <v>2100.8680000000004</v>
      </c>
      <c r="AE78" s="449">
        <f t="shared" si="22"/>
        <v>1863.5430000000003</v>
      </c>
      <c r="AF78" s="449">
        <f t="shared" si="23"/>
        <v>1319.6040000000003</v>
      </c>
      <c r="AG78" s="449">
        <f t="shared" si="24"/>
        <v>1215.2250000000001</v>
      </c>
      <c r="AH78" s="450" t="s">
        <v>308</v>
      </c>
    </row>
    <row r="79" spans="1:34" ht="16.5" hidden="1" thickBot="1">
      <c r="A79" s="412">
        <v>2017</v>
      </c>
      <c r="B79" s="425" t="s">
        <v>317</v>
      </c>
      <c r="C79" s="414" t="s">
        <v>313</v>
      </c>
      <c r="D79" s="414" t="s">
        <v>314</v>
      </c>
      <c r="E79" s="415" t="s">
        <v>306</v>
      </c>
      <c r="F79" s="416" t="s">
        <v>307</v>
      </c>
      <c r="G79" s="417" t="s">
        <v>211</v>
      </c>
      <c r="H79" s="445">
        <v>630.13</v>
      </c>
      <c r="I79" s="445">
        <v>616.04</v>
      </c>
      <c r="J79" s="445">
        <v>600.15</v>
      </c>
      <c r="K79" s="445">
        <v>595.45000000000005</v>
      </c>
      <c r="L79" s="445">
        <v>582.16</v>
      </c>
      <c r="M79" s="445">
        <v>567.13</v>
      </c>
      <c r="N79" s="445">
        <v>334.51</v>
      </c>
      <c r="O79" s="445">
        <v>764.67</v>
      </c>
      <c r="P79" s="445">
        <v>722.49</v>
      </c>
      <c r="Q79" s="445">
        <v>640.87</v>
      </c>
      <c r="R79" s="445">
        <v>453.81</v>
      </c>
      <c r="S79" s="445">
        <v>417.92</v>
      </c>
      <c r="T79" s="446" t="s">
        <v>308</v>
      </c>
      <c r="V79" s="445">
        <f t="shared" si="25"/>
        <v>693.14300000000003</v>
      </c>
      <c r="W79" s="445">
        <f t="shared" si="14"/>
        <v>677.64400000000001</v>
      </c>
      <c r="X79" s="445">
        <f t="shared" si="15"/>
        <v>660.16500000000008</v>
      </c>
      <c r="Y79" s="445">
        <f t="shared" si="16"/>
        <v>654.99500000000012</v>
      </c>
      <c r="Z79" s="445">
        <f t="shared" si="17"/>
        <v>640.37599999999998</v>
      </c>
      <c r="AA79" s="445">
        <f t="shared" si="18"/>
        <v>623.84300000000007</v>
      </c>
      <c r="AB79" s="445">
        <f t="shared" si="19"/>
        <v>367.96100000000001</v>
      </c>
      <c r="AC79" s="445">
        <f t="shared" si="20"/>
        <v>841.13700000000006</v>
      </c>
      <c r="AD79" s="445">
        <f t="shared" si="21"/>
        <v>794.73900000000003</v>
      </c>
      <c r="AE79" s="445">
        <f t="shared" si="22"/>
        <v>704.95700000000011</v>
      </c>
      <c r="AF79" s="445">
        <f t="shared" si="23"/>
        <v>499.19100000000003</v>
      </c>
      <c r="AG79" s="445">
        <f t="shared" si="24"/>
        <v>459.71200000000005</v>
      </c>
      <c r="AH79" s="446" t="s">
        <v>308</v>
      </c>
    </row>
    <row r="80" spans="1:34" ht="16.5" hidden="1" thickBot="1">
      <c r="A80" s="418">
        <v>2017</v>
      </c>
      <c r="B80" s="152" t="s">
        <v>317</v>
      </c>
      <c r="C80" s="146" t="s">
        <v>313</v>
      </c>
      <c r="D80" s="146" t="s">
        <v>314</v>
      </c>
      <c r="E80" s="147" t="s">
        <v>306</v>
      </c>
      <c r="F80" s="148" t="s">
        <v>307</v>
      </c>
      <c r="G80" s="149" t="s">
        <v>212</v>
      </c>
      <c r="H80" s="447">
        <v>1379.99</v>
      </c>
      <c r="I80" s="447">
        <v>1349.13</v>
      </c>
      <c r="J80" s="447">
        <v>1314.34</v>
      </c>
      <c r="K80" s="447">
        <v>1304.03</v>
      </c>
      <c r="L80" s="447">
        <v>1274.94</v>
      </c>
      <c r="M80" s="447">
        <v>1242.02</v>
      </c>
      <c r="N80" s="447">
        <v>732.57</v>
      </c>
      <c r="O80" s="447">
        <v>1674.63</v>
      </c>
      <c r="P80" s="447">
        <v>1582.25</v>
      </c>
      <c r="Q80" s="447">
        <v>1403.51</v>
      </c>
      <c r="R80" s="447">
        <v>993.86</v>
      </c>
      <c r="S80" s="447">
        <v>915.23</v>
      </c>
      <c r="T80" s="448" t="s">
        <v>308</v>
      </c>
      <c r="V80" s="447">
        <f t="shared" si="25"/>
        <v>1517.989</v>
      </c>
      <c r="W80" s="447">
        <f t="shared" si="14"/>
        <v>1484.0430000000003</v>
      </c>
      <c r="X80" s="447">
        <f t="shared" si="15"/>
        <v>1445.7740000000001</v>
      </c>
      <c r="Y80" s="447">
        <f t="shared" si="16"/>
        <v>1434.433</v>
      </c>
      <c r="Z80" s="447">
        <f t="shared" si="17"/>
        <v>1402.4340000000002</v>
      </c>
      <c r="AA80" s="447">
        <f t="shared" si="18"/>
        <v>1366.222</v>
      </c>
      <c r="AB80" s="447">
        <f t="shared" si="19"/>
        <v>805.82700000000011</v>
      </c>
      <c r="AC80" s="447">
        <f t="shared" si="20"/>
        <v>1842.0930000000003</v>
      </c>
      <c r="AD80" s="447">
        <f t="shared" si="21"/>
        <v>1740.4750000000001</v>
      </c>
      <c r="AE80" s="447">
        <f t="shared" si="22"/>
        <v>1543.8610000000001</v>
      </c>
      <c r="AF80" s="447">
        <f t="shared" si="23"/>
        <v>1093.2460000000001</v>
      </c>
      <c r="AG80" s="447">
        <f t="shared" si="24"/>
        <v>1006.7530000000002</v>
      </c>
      <c r="AH80" s="448" t="s">
        <v>308</v>
      </c>
    </row>
    <row r="81" spans="1:34" ht="16.5" hidden="1" thickBot="1">
      <c r="A81" s="418">
        <v>2017</v>
      </c>
      <c r="B81" s="152" t="s">
        <v>317</v>
      </c>
      <c r="C81" s="146" t="s">
        <v>313</v>
      </c>
      <c r="D81" s="146" t="s">
        <v>314</v>
      </c>
      <c r="E81" s="147" t="s">
        <v>306</v>
      </c>
      <c r="F81" s="148" t="s">
        <v>307</v>
      </c>
      <c r="G81" s="149" t="s">
        <v>213</v>
      </c>
      <c r="H81" s="447">
        <v>1197.25</v>
      </c>
      <c r="I81" s="447">
        <v>1170.48</v>
      </c>
      <c r="J81" s="447">
        <v>1140.28</v>
      </c>
      <c r="K81" s="447">
        <v>1131.3499999999999</v>
      </c>
      <c r="L81" s="447">
        <v>1106.1199999999999</v>
      </c>
      <c r="M81" s="447">
        <v>1077.55</v>
      </c>
      <c r="N81" s="447">
        <v>635.55999999999995</v>
      </c>
      <c r="O81" s="447">
        <v>1452.88</v>
      </c>
      <c r="P81" s="447">
        <v>1372.73</v>
      </c>
      <c r="Q81" s="447">
        <v>1217.6500000000001</v>
      </c>
      <c r="R81" s="447">
        <v>862.24</v>
      </c>
      <c r="S81" s="447">
        <v>794.04</v>
      </c>
      <c r="T81" s="448" t="s">
        <v>308</v>
      </c>
      <c r="V81" s="447">
        <f t="shared" si="25"/>
        <v>1316.9750000000001</v>
      </c>
      <c r="W81" s="447">
        <f t="shared" si="14"/>
        <v>1287.528</v>
      </c>
      <c r="X81" s="447">
        <f t="shared" si="15"/>
        <v>1254.308</v>
      </c>
      <c r="Y81" s="447">
        <f t="shared" si="16"/>
        <v>1244.4849999999999</v>
      </c>
      <c r="Z81" s="447">
        <f t="shared" si="17"/>
        <v>1216.732</v>
      </c>
      <c r="AA81" s="447">
        <f t="shared" si="18"/>
        <v>1185.3050000000001</v>
      </c>
      <c r="AB81" s="447">
        <f t="shared" si="19"/>
        <v>699.11599999999999</v>
      </c>
      <c r="AC81" s="447">
        <f t="shared" si="20"/>
        <v>1598.1680000000003</v>
      </c>
      <c r="AD81" s="447">
        <f t="shared" si="21"/>
        <v>1510.0030000000002</v>
      </c>
      <c r="AE81" s="447">
        <f t="shared" si="22"/>
        <v>1339.4150000000002</v>
      </c>
      <c r="AF81" s="447">
        <f t="shared" si="23"/>
        <v>948.46400000000006</v>
      </c>
      <c r="AG81" s="447">
        <f t="shared" si="24"/>
        <v>873.44400000000007</v>
      </c>
      <c r="AH81" s="448" t="s">
        <v>308</v>
      </c>
    </row>
    <row r="82" spans="1:34" ht="16.5" hidden="1" thickBot="1">
      <c r="A82" s="419">
        <v>2017</v>
      </c>
      <c r="B82" s="426" t="s">
        <v>317</v>
      </c>
      <c r="C82" s="421" t="s">
        <v>313</v>
      </c>
      <c r="D82" s="421" t="s">
        <v>314</v>
      </c>
      <c r="E82" s="422" t="s">
        <v>306</v>
      </c>
      <c r="F82" s="423" t="s">
        <v>307</v>
      </c>
      <c r="G82" s="424" t="s">
        <v>214</v>
      </c>
      <c r="H82" s="449">
        <v>1915.6</v>
      </c>
      <c r="I82" s="449">
        <v>1872.78</v>
      </c>
      <c r="J82" s="449">
        <v>1824.45</v>
      </c>
      <c r="K82" s="449">
        <v>1810.16</v>
      </c>
      <c r="L82" s="449">
        <v>1769.78</v>
      </c>
      <c r="M82" s="449">
        <v>1724.09</v>
      </c>
      <c r="N82" s="449">
        <v>1016.89</v>
      </c>
      <c r="O82" s="449">
        <v>2324.6</v>
      </c>
      <c r="P82" s="449">
        <v>2196.36</v>
      </c>
      <c r="Q82" s="449">
        <v>1948.25</v>
      </c>
      <c r="R82" s="449">
        <v>1379.59</v>
      </c>
      <c r="S82" s="449">
        <v>1270.46</v>
      </c>
      <c r="T82" s="450" t="s">
        <v>308</v>
      </c>
      <c r="V82" s="449">
        <f t="shared" si="25"/>
        <v>2107.16</v>
      </c>
      <c r="W82" s="449">
        <f t="shared" si="14"/>
        <v>2060.058</v>
      </c>
      <c r="X82" s="449">
        <f t="shared" si="15"/>
        <v>2006.8950000000002</v>
      </c>
      <c r="Y82" s="449">
        <f t="shared" si="16"/>
        <v>1991.1760000000002</v>
      </c>
      <c r="Z82" s="449">
        <f t="shared" si="17"/>
        <v>1946.758</v>
      </c>
      <c r="AA82" s="449">
        <f t="shared" si="18"/>
        <v>1896.499</v>
      </c>
      <c r="AB82" s="449">
        <f t="shared" si="19"/>
        <v>1118.5790000000002</v>
      </c>
      <c r="AC82" s="449">
        <f t="shared" si="20"/>
        <v>2557.06</v>
      </c>
      <c r="AD82" s="449">
        <f t="shared" si="21"/>
        <v>2415.9960000000005</v>
      </c>
      <c r="AE82" s="449">
        <f t="shared" si="22"/>
        <v>2143.0750000000003</v>
      </c>
      <c r="AF82" s="449">
        <f t="shared" si="23"/>
        <v>1517.549</v>
      </c>
      <c r="AG82" s="449">
        <f t="shared" si="24"/>
        <v>1397.5060000000001</v>
      </c>
      <c r="AH82" s="450" t="s">
        <v>308</v>
      </c>
    </row>
    <row r="83" spans="1:34" ht="16.5" hidden="1" thickBot="1">
      <c r="A83" s="412">
        <v>2017</v>
      </c>
      <c r="B83" s="425" t="s">
        <v>317</v>
      </c>
      <c r="C83" s="414" t="s">
        <v>304</v>
      </c>
      <c r="D83" s="414" t="s">
        <v>305</v>
      </c>
      <c r="E83" s="415" t="s">
        <v>306</v>
      </c>
      <c r="F83" s="432" t="s">
        <v>315</v>
      </c>
      <c r="G83" s="417" t="s">
        <v>211</v>
      </c>
      <c r="H83" s="445">
        <v>473.69</v>
      </c>
      <c r="I83" s="445">
        <v>463.1</v>
      </c>
      <c r="J83" s="445">
        <v>451.16</v>
      </c>
      <c r="K83" s="445">
        <v>447.62</v>
      </c>
      <c r="L83" s="445">
        <v>437.64</v>
      </c>
      <c r="M83" s="445">
        <v>426.34</v>
      </c>
      <c r="N83" s="445">
        <v>251.46</v>
      </c>
      <c r="O83" s="445">
        <v>574.83000000000004</v>
      </c>
      <c r="P83" s="445">
        <v>543.12</v>
      </c>
      <c r="Q83" s="445">
        <v>481.77</v>
      </c>
      <c r="R83" s="445">
        <v>341.15</v>
      </c>
      <c r="S83" s="445">
        <v>314.16000000000003</v>
      </c>
      <c r="T83" s="446" t="s">
        <v>308</v>
      </c>
      <c r="V83" s="445">
        <f t="shared" si="25"/>
        <v>521.05900000000008</v>
      </c>
      <c r="W83" s="445">
        <f t="shared" si="14"/>
        <v>509.41000000000008</v>
      </c>
      <c r="X83" s="445">
        <f t="shared" si="15"/>
        <v>496.27600000000007</v>
      </c>
      <c r="Y83" s="445">
        <f t="shared" si="16"/>
        <v>492.38200000000006</v>
      </c>
      <c r="Z83" s="445">
        <f t="shared" si="17"/>
        <v>481.404</v>
      </c>
      <c r="AA83" s="445">
        <f t="shared" si="18"/>
        <v>468.97399999999999</v>
      </c>
      <c r="AB83" s="445">
        <f t="shared" si="19"/>
        <v>276.60600000000005</v>
      </c>
      <c r="AC83" s="445">
        <f t="shared" si="20"/>
        <v>632.3130000000001</v>
      </c>
      <c r="AD83" s="445">
        <f t="shared" si="21"/>
        <v>597.43200000000002</v>
      </c>
      <c r="AE83" s="445">
        <f t="shared" si="22"/>
        <v>529.947</v>
      </c>
      <c r="AF83" s="445">
        <f t="shared" si="23"/>
        <v>375.26499999999999</v>
      </c>
      <c r="AG83" s="445">
        <f t="shared" si="24"/>
        <v>345.57600000000008</v>
      </c>
      <c r="AH83" s="446" t="s">
        <v>308</v>
      </c>
    </row>
    <row r="84" spans="1:34" ht="16.5" hidden="1" thickBot="1">
      <c r="A84" s="418">
        <v>2017</v>
      </c>
      <c r="B84" s="152" t="s">
        <v>317</v>
      </c>
      <c r="C84" s="146" t="s">
        <v>304</v>
      </c>
      <c r="D84" s="146" t="s">
        <v>305</v>
      </c>
      <c r="E84" s="147" t="s">
        <v>306</v>
      </c>
      <c r="F84" s="433" t="s">
        <v>315</v>
      </c>
      <c r="G84" s="149" t="s">
        <v>212</v>
      </c>
      <c r="H84" s="447">
        <v>1037.3900000000001</v>
      </c>
      <c r="I84" s="447">
        <v>1014.2</v>
      </c>
      <c r="J84" s="447">
        <v>988.04</v>
      </c>
      <c r="K84" s="447">
        <v>980.29</v>
      </c>
      <c r="L84" s="447">
        <v>958.42</v>
      </c>
      <c r="M84" s="447">
        <v>933.68</v>
      </c>
      <c r="N84" s="447">
        <v>550.70000000000005</v>
      </c>
      <c r="O84" s="447">
        <v>1258.8800000000001</v>
      </c>
      <c r="P84" s="447">
        <v>1189.44</v>
      </c>
      <c r="Q84" s="447">
        <v>1055.07</v>
      </c>
      <c r="R84" s="447">
        <v>747.12</v>
      </c>
      <c r="S84" s="447">
        <v>688.02</v>
      </c>
      <c r="T84" s="448" t="s">
        <v>308</v>
      </c>
      <c r="V84" s="447">
        <f t="shared" si="25"/>
        <v>1141.1290000000001</v>
      </c>
      <c r="W84" s="447">
        <f t="shared" si="14"/>
        <v>1115.6200000000001</v>
      </c>
      <c r="X84" s="447">
        <f t="shared" si="15"/>
        <v>1086.8440000000001</v>
      </c>
      <c r="Y84" s="447">
        <f t="shared" si="16"/>
        <v>1078.319</v>
      </c>
      <c r="Z84" s="447">
        <f t="shared" si="17"/>
        <v>1054.2619999999999</v>
      </c>
      <c r="AA84" s="447">
        <f t="shared" si="18"/>
        <v>1027.048</v>
      </c>
      <c r="AB84" s="447">
        <f t="shared" si="19"/>
        <v>605.7700000000001</v>
      </c>
      <c r="AC84" s="447">
        <f t="shared" si="20"/>
        <v>1384.7680000000003</v>
      </c>
      <c r="AD84" s="447">
        <f t="shared" si="21"/>
        <v>1308.3840000000002</v>
      </c>
      <c r="AE84" s="447">
        <f t="shared" si="22"/>
        <v>1160.577</v>
      </c>
      <c r="AF84" s="447">
        <f t="shared" si="23"/>
        <v>821.83200000000011</v>
      </c>
      <c r="AG84" s="447">
        <f t="shared" si="24"/>
        <v>756.822</v>
      </c>
      <c r="AH84" s="448" t="s">
        <v>308</v>
      </c>
    </row>
    <row r="85" spans="1:34" ht="16.5" hidden="1" thickBot="1">
      <c r="A85" s="418">
        <v>2017</v>
      </c>
      <c r="B85" s="152" t="s">
        <v>317</v>
      </c>
      <c r="C85" s="146" t="s">
        <v>304</v>
      </c>
      <c r="D85" s="146" t="s">
        <v>305</v>
      </c>
      <c r="E85" s="147" t="s">
        <v>306</v>
      </c>
      <c r="F85" s="433" t="s">
        <v>315</v>
      </c>
      <c r="G85" s="149" t="s">
        <v>213</v>
      </c>
      <c r="H85" s="447">
        <v>900.02</v>
      </c>
      <c r="I85" s="447">
        <v>879.9</v>
      </c>
      <c r="J85" s="447">
        <v>857.19</v>
      </c>
      <c r="K85" s="447">
        <v>850.48</v>
      </c>
      <c r="L85" s="447">
        <v>831.51</v>
      </c>
      <c r="M85" s="447">
        <v>810.04</v>
      </c>
      <c r="N85" s="447">
        <v>477.77</v>
      </c>
      <c r="O85" s="447">
        <v>1092.18</v>
      </c>
      <c r="P85" s="447">
        <v>1031.94</v>
      </c>
      <c r="Q85" s="447">
        <v>915.36</v>
      </c>
      <c r="R85" s="447">
        <v>648.17999999999995</v>
      </c>
      <c r="S85" s="447">
        <v>596.91</v>
      </c>
      <c r="T85" s="448" t="s">
        <v>308</v>
      </c>
      <c r="V85" s="447">
        <f t="shared" si="25"/>
        <v>990.02200000000005</v>
      </c>
      <c r="W85" s="447">
        <f t="shared" si="14"/>
        <v>967.8900000000001</v>
      </c>
      <c r="X85" s="447">
        <f t="shared" si="15"/>
        <v>942.90900000000011</v>
      </c>
      <c r="Y85" s="447">
        <f t="shared" si="16"/>
        <v>935.52800000000013</v>
      </c>
      <c r="Z85" s="447">
        <f t="shared" si="17"/>
        <v>914.66100000000006</v>
      </c>
      <c r="AA85" s="447">
        <f t="shared" si="18"/>
        <v>891.04399999999998</v>
      </c>
      <c r="AB85" s="447">
        <f t="shared" si="19"/>
        <v>525.54700000000003</v>
      </c>
      <c r="AC85" s="447">
        <f t="shared" si="20"/>
        <v>1201.3980000000001</v>
      </c>
      <c r="AD85" s="447">
        <f t="shared" si="21"/>
        <v>1135.1340000000002</v>
      </c>
      <c r="AE85" s="447">
        <f t="shared" si="22"/>
        <v>1006.8960000000001</v>
      </c>
      <c r="AF85" s="447">
        <f t="shared" si="23"/>
        <v>712.99800000000005</v>
      </c>
      <c r="AG85" s="447">
        <f t="shared" si="24"/>
        <v>656.601</v>
      </c>
      <c r="AH85" s="448" t="s">
        <v>308</v>
      </c>
    </row>
    <row r="86" spans="1:34" ht="16.5" hidden="1" thickBot="1">
      <c r="A86" s="419">
        <v>2017</v>
      </c>
      <c r="B86" s="426" t="s">
        <v>317</v>
      </c>
      <c r="C86" s="421" t="s">
        <v>304</v>
      </c>
      <c r="D86" s="421" t="s">
        <v>305</v>
      </c>
      <c r="E86" s="422" t="s">
        <v>306</v>
      </c>
      <c r="F86" s="434" t="s">
        <v>315</v>
      </c>
      <c r="G86" s="424" t="s">
        <v>214</v>
      </c>
      <c r="H86" s="449">
        <v>1440.03</v>
      </c>
      <c r="I86" s="449">
        <v>1407.84</v>
      </c>
      <c r="J86" s="449">
        <v>1371.51</v>
      </c>
      <c r="K86" s="449">
        <v>1360.77</v>
      </c>
      <c r="L86" s="449">
        <v>1330.41</v>
      </c>
      <c r="M86" s="449">
        <v>1296.07</v>
      </c>
      <c r="N86" s="449">
        <v>764.44</v>
      </c>
      <c r="O86" s="449">
        <v>1747.49</v>
      </c>
      <c r="P86" s="449">
        <v>1651.09</v>
      </c>
      <c r="Q86" s="449">
        <v>1464.58</v>
      </c>
      <c r="R86" s="449">
        <v>1037.0899999999999</v>
      </c>
      <c r="S86" s="449">
        <v>955.05</v>
      </c>
      <c r="T86" s="450" t="s">
        <v>308</v>
      </c>
      <c r="V86" s="449">
        <f t="shared" si="25"/>
        <v>1584.0330000000001</v>
      </c>
      <c r="W86" s="449">
        <f t="shared" si="14"/>
        <v>1548.624</v>
      </c>
      <c r="X86" s="449">
        <f t="shared" si="15"/>
        <v>1508.6610000000001</v>
      </c>
      <c r="Y86" s="449">
        <f t="shared" si="16"/>
        <v>1496.8470000000002</v>
      </c>
      <c r="Z86" s="449">
        <f t="shared" si="17"/>
        <v>1463.4510000000002</v>
      </c>
      <c r="AA86" s="449">
        <f t="shared" si="18"/>
        <v>1425.6770000000001</v>
      </c>
      <c r="AB86" s="449">
        <f t="shared" si="19"/>
        <v>840.88400000000013</v>
      </c>
      <c r="AC86" s="449">
        <f t="shared" si="20"/>
        <v>1922.2390000000003</v>
      </c>
      <c r="AD86" s="449">
        <f t="shared" si="21"/>
        <v>1816.1990000000001</v>
      </c>
      <c r="AE86" s="449">
        <f t="shared" si="22"/>
        <v>1611.038</v>
      </c>
      <c r="AF86" s="449">
        <f t="shared" si="23"/>
        <v>1140.799</v>
      </c>
      <c r="AG86" s="449">
        <f t="shared" si="24"/>
        <v>1050.5550000000001</v>
      </c>
      <c r="AH86" s="450" t="s">
        <v>308</v>
      </c>
    </row>
    <row r="87" spans="1:34" ht="16.5" hidden="1" thickBot="1">
      <c r="A87" s="412">
        <v>2017</v>
      </c>
      <c r="B87" s="425" t="s">
        <v>317</v>
      </c>
      <c r="C87" s="414" t="s">
        <v>309</v>
      </c>
      <c r="D87" s="414" t="s">
        <v>310</v>
      </c>
      <c r="E87" s="415" t="s">
        <v>306</v>
      </c>
      <c r="F87" s="432" t="s">
        <v>315</v>
      </c>
      <c r="G87" s="417" t="s">
        <v>211</v>
      </c>
      <c r="H87" s="445">
        <v>520.54</v>
      </c>
      <c r="I87" s="445">
        <v>508.91</v>
      </c>
      <c r="J87" s="445">
        <v>495.78</v>
      </c>
      <c r="K87" s="445">
        <v>491.89</v>
      </c>
      <c r="L87" s="445">
        <v>480.92</v>
      </c>
      <c r="M87" s="445">
        <v>468.5</v>
      </c>
      <c r="N87" s="445">
        <v>276.33</v>
      </c>
      <c r="O87" s="445">
        <v>631.67999999999995</v>
      </c>
      <c r="P87" s="445">
        <v>596.84</v>
      </c>
      <c r="Q87" s="445">
        <v>529.41999999999996</v>
      </c>
      <c r="R87" s="445">
        <v>374.89</v>
      </c>
      <c r="S87" s="445">
        <v>345.23</v>
      </c>
      <c r="T87" s="446" t="s">
        <v>308</v>
      </c>
      <c r="V87" s="445">
        <f t="shared" si="25"/>
        <v>572.59400000000005</v>
      </c>
      <c r="W87" s="445">
        <f t="shared" si="14"/>
        <v>559.80100000000004</v>
      </c>
      <c r="X87" s="445">
        <f t="shared" si="15"/>
        <v>545.35800000000006</v>
      </c>
      <c r="Y87" s="445">
        <f t="shared" si="16"/>
        <v>541.07900000000006</v>
      </c>
      <c r="Z87" s="445">
        <f t="shared" si="17"/>
        <v>529.01200000000006</v>
      </c>
      <c r="AA87" s="445">
        <f t="shared" si="18"/>
        <v>515.35</v>
      </c>
      <c r="AB87" s="445">
        <f t="shared" si="19"/>
        <v>303.96300000000002</v>
      </c>
      <c r="AC87" s="445">
        <f t="shared" si="20"/>
        <v>694.84799999999996</v>
      </c>
      <c r="AD87" s="445">
        <f t="shared" si="21"/>
        <v>656.52400000000011</v>
      </c>
      <c r="AE87" s="445">
        <f t="shared" si="22"/>
        <v>582.36199999999997</v>
      </c>
      <c r="AF87" s="445">
        <f t="shared" si="23"/>
        <v>412.37900000000002</v>
      </c>
      <c r="AG87" s="445">
        <f t="shared" si="24"/>
        <v>379.75300000000004</v>
      </c>
      <c r="AH87" s="446" t="s">
        <v>308</v>
      </c>
    </row>
    <row r="88" spans="1:34" ht="16.5" hidden="1" thickBot="1">
      <c r="A88" s="418">
        <v>2017</v>
      </c>
      <c r="B88" s="152" t="s">
        <v>317</v>
      </c>
      <c r="C88" s="146" t="s">
        <v>309</v>
      </c>
      <c r="D88" s="146" t="s">
        <v>310</v>
      </c>
      <c r="E88" s="147" t="s">
        <v>306</v>
      </c>
      <c r="F88" s="433" t="s">
        <v>315</v>
      </c>
      <c r="G88" s="149" t="s">
        <v>212</v>
      </c>
      <c r="H88" s="447">
        <v>1139.99</v>
      </c>
      <c r="I88" s="447">
        <v>1114.5</v>
      </c>
      <c r="J88" s="447">
        <v>1085.76</v>
      </c>
      <c r="K88" s="447">
        <v>1077.24</v>
      </c>
      <c r="L88" s="447">
        <v>1053.21</v>
      </c>
      <c r="M88" s="447">
        <v>1026.02</v>
      </c>
      <c r="N88" s="447">
        <v>605.16999999999996</v>
      </c>
      <c r="O88" s="447">
        <v>1383.39</v>
      </c>
      <c r="P88" s="447">
        <v>1307.08</v>
      </c>
      <c r="Q88" s="447">
        <v>1159.42</v>
      </c>
      <c r="R88" s="447">
        <v>821.01</v>
      </c>
      <c r="S88" s="447">
        <v>756.06</v>
      </c>
      <c r="T88" s="448" t="s">
        <v>308</v>
      </c>
      <c r="V88" s="447">
        <f t="shared" si="25"/>
        <v>1253.989</v>
      </c>
      <c r="W88" s="447">
        <f t="shared" si="14"/>
        <v>1225.95</v>
      </c>
      <c r="X88" s="447">
        <f t="shared" si="15"/>
        <v>1194.336</v>
      </c>
      <c r="Y88" s="447">
        <f t="shared" si="16"/>
        <v>1184.9640000000002</v>
      </c>
      <c r="Z88" s="447">
        <f t="shared" si="17"/>
        <v>1158.5310000000002</v>
      </c>
      <c r="AA88" s="447">
        <f t="shared" si="18"/>
        <v>1128.6220000000001</v>
      </c>
      <c r="AB88" s="447">
        <f t="shared" si="19"/>
        <v>665.68700000000001</v>
      </c>
      <c r="AC88" s="447">
        <f t="shared" si="20"/>
        <v>1521.7290000000003</v>
      </c>
      <c r="AD88" s="447">
        <f t="shared" si="21"/>
        <v>1437.788</v>
      </c>
      <c r="AE88" s="447">
        <f t="shared" si="22"/>
        <v>1275.3620000000001</v>
      </c>
      <c r="AF88" s="447">
        <f t="shared" si="23"/>
        <v>903.1110000000001</v>
      </c>
      <c r="AG88" s="447">
        <f t="shared" si="24"/>
        <v>831.66600000000005</v>
      </c>
      <c r="AH88" s="448" t="s">
        <v>308</v>
      </c>
    </row>
    <row r="89" spans="1:34" ht="16.5" hidden="1" thickBot="1">
      <c r="A89" s="418">
        <v>2017</v>
      </c>
      <c r="B89" s="152" t="s">
        <v>317</v>
      </c>
      <c r="C89" s="146" t="s">
        <v>309</v>
      </c>
      <c r="D89" s="146" t="s">
        <v>310</v>
      </c>
      <c r="E89" s="147" t="s">
        <v>306</v>
      </c>
      <c r="F89" s="433" t="s">
        <v>315</v>
      </c>
      <c r="G89" s="149" t="s">
        <v>213</v>
      </c>
      <c r="H89" s="447">
        <v>989.04</v>
      </c>
      <c r="I89" s="447">
        <v>966.92</v>
      </c>
      <c r="J89" s="447">
        <v>941.97</v>
      </c>
      <c r="K89" s="447">
        <v>934.59</v>
      </c>
      <c r="L89" s="447">
        <v>913.75</v>
      </c>
      <c r="M89" s="447">
        <v>890.15</v>
      </c>
      <c r="N89" s="447">
        <v>525.03</v>
      </c>
      <c r="O89" s="447">
        <v>1200.2</v>
      </c>
      <c r="P89" s="447">
        <v>1134</v>
      </c>
      <c r="Q89" s="447">
        <v>1005.89</v>
      </c>
      <c r="R89" s="447">
        <v>712.29</v>
      </c>
      <c r="S89" s="447">
        <v>655.95</v>
      </c>
      <c r="T89" s="448" t="s">
        <v>308</v>
      </c>
      <c r="V89" s="447">
        <f t="shared" si="25"/>
        <v>1087.944</v>
      </c>
      <c r="W89" s="447">
        <f t="shared" si="14"/>
        <v>1063.6120000000001</v>
      </c>
      <c r="X89" s="447">
        <f t="shared" si="15"/>
        <v>1036.1670000000001</v>
      </c>
      <c r="Y89" s="447">
        <f t="shared" si="16"/>
        <v>1028.0490000000002</v>
      </c>
      <c r="Z89" s="447">
        <f t="shared" si="17"/>
        <v>1005.1250000000001</v>
      </c>
      <c r="AA89" s="447">
        <f t="shared" si="18"/>
        <v>979.16500000000008</v>
      </c>
      <c r="AB89" s="447">
        <f t="shared" si="19"/>
        <v>577.53300000000002</v>
      </c>
      <c r="AC89" s="447">
        <f t="shared" si="20"/>
        <v>1320.2200000000003</v>
      </c>
      <c r="AD89" s="447">
        <f t="shared" si="21"/>
        <v>1247.4000000000001</v>
      </c>
      <c r="AE89" s="447">
        <f t="shared" si="22"/>
        <v>1106.479</v>
      </c>
      <c r="AF89" s="447">
        <f t="shared" si="23"/>
        <v>783.51900000000001</v>
      </c>
      <c r="AG89" s="447">
        <f t="shared" si="24"/>
        <v>721.54500000000007</v>
      </c>
      <c r="AH89" s="448" t="s">
        <v>308</v>
      </c>
    </row>
    <row r="90" spans="1:34" ht="16.5" hidden="1" thickBot="1">
      <c r="A90" s="419">
        <v>2017</v>
      </c>
      <c r="B90" s="426" t="s">
        <v>317</v>
      </c>
      <c r="C90" s="421" t="s">
        <v>309</v>
      </c>
      <c r="D90" s="421" t="s">
        <v>310</v>
      </c>
      <c r="E90" s="422" t="s">
        <v>306</v>
      </c>
      <c r="F90" s="434" t="s">
        <v>315</v>
      </c>
      <c r="G90" s="424" t="s">
        <v>214</v>
      </c>
      <c r="H90" s="449">
        <v>1582.45</v>
      </c>
      <c r="I90" s="449">
        <v>1547.08</v>
      </c>
      <c r="J90" s="449">
        <v>1507.16</v>
      </c>
      <c r="K90" s="449">
        <v>1495.35</v>
      </c>
      <c r="L90" s="449">
        <v>1461.99</v>
      </c>
      <c r="M90" s="449">
        <v>1424.25</v>
      </c>
      <c r="N90" s="449">
        <v>840.04</v>
      </c>
      <c r="O90" s="449">
        <v>1920.32</v>
      </c>
      <c r="P90" s="449">
        <v>1814.39</v>
      </c>
      <c r="Q90" s="449">
        <v>1609.42</v>
      </c>
      <c r="R90" s="449">
        <v>1139.6600000000001</v>
      </c>
      <c r="S90" s="449">
        <v>1049.51</v>
      </c>
      <c r="T90" s="450" t="s">
        <v>308</v>
      </c>
      <c r="V90" s="449">
        <f t="shared" si="25"/>
        <v>1740.6950000000002</v>
      </c>
      <c r="W90" s="449">
        <f t="shared" si="14"/>
        <v>1701.788</v>
      </c>
      <c r="X90" s="449">
        <f t="shared" si="15"/>
        <v>1657.8760000000002</v>
      </c>
      <c r="Y90" s="449">
        <f t="shared" si="16"/>
        <v>1644.885</v>
      </c>
      <c r="Z90" s="449">
        <f t="shared" si="17"/>
        <v>1608.1890000000001</v>
      </c>
      <c r="AA90" s="449">
        <f t="shared" si="18"/>
        <v>1566.6750000000002</v>
      </c>
      <c r="AB90" s="449">
        <f t="shared" si="19"/>
        <v>924.04399999999998</v>
      </c>
      <c r="AC90" s="449">
        <f t="shared" si="20"/>
        <v>2112.3520000000003</v>
      </c>
      <c r="AD90" s="449">
        <f t="shared" si="21"/>
        <v>1995.8290000000002</v>
      </c>
      <c r="AE90" s="449">
        <f t="shared" si="22"/>
        <v>1770.3620000000003</v>
      </c>
      <c r="AF90" s="449">
        <f t="shared" si="23"/>
        <v>1253.6260000000002</v>
      </c>
      <c r="AG90" s="449">
        <f t="shared" si="24"/>
        <v>1154.461</v>
      </c>
      <c r="AH90" s="450" t="s">
        <v>308</v>
      </c>
    </row>
    <row r="91" spans="1:34" ht="16.5" hidden="1" thickBot="1">
      <c r="A91" s="412">
        <v>2017</v>
      </c>
      <c r="B91" s="425" t="s">
        <v>317</v>
      </c>
      <c r="C91" s="414" t="s">
        <v>311</v>
      </c>
      <c r="D91" s="414" t="s">
        <v>312</v>
      </c>
      <c r="E91" s="415" t="s">
        <v>306</v>
      </c>
      <c r="F91" s="432" t="s">
        <v>315</v>
      </c>
      <c r="G91" s="417" t="s">
        <v>211</v>
      </c>
      <c r="H91" s="445">
        <v>547.94000000000005</v>
      </c>
      <c r="I91" s="445">
        <v>535.69000000000005</v>
      </c>
      <c r="J91" s="445">
        <v>521.87</v>
      </c>
      <c r="K91" s="445">
        <v>517.78</v>
      </c>
      <c r="L91" s="445">
        <v>506.23</v>
      </c>
      <c r="M91" s="445">
        <v>493.16</v>
      </c>
      <c r="N91" s="445">
        <v>290.87</v>
      </c>
      <c r="O91" s="445">
        <v>664.93</v>
      </c>
      <c r="P91" s="445">
        <v>628.25</v>
      </c>
      <c r="Q91" s="445">
        <v>557.28</v>
      </c>
      <c r="R91" s="445">
        <v>394.62</v>
      </c>
      <c r="S91" s="445">
        <v>363.4</v>
      </c>
      <c r="T91" s="446" t="s">
        <v>308</v>
      </c>
      <c r="V91" s="445">
        <f t="shared" si="25"/>
        <v>602.73400000000015</v>
      </c>
      <c r="W91" s="445">
        <f t="shared" si="14"/>
        <v>589.25900000000013</v>
      </c>
      <c r="X91" s="445">
        <f t="shared" si="15"/>
        <v>574.05700000000002</v>
      </c>
      <c r="Y91" s="445">
        <f t="shared" si="16"/>
        <v>569.55799999999999</v>
      </c>
      <c r="Z91" s="445">
        <f t="shared" si="17"/>
        <v>556.85300000000007</v>
      </c>
      <c r="AA91" s="445">
        <f t="shared" si="18"/>
        <v>542.47600000000011</v>
      </c>
      <c r="AB91" s="445">
        <f t="shared" si="19"/>
        <v>319.95700000000005</v>
      </c>
      <c r="AC91" s="445">
        <f t="shared" si="20"/>
        <v>731.423</v>
      </c>
      <c r="AD91" s="445">
        <f t="shared" si="21"/>
        <v>691.07500000000005</v>
      </c>
      <c r="AE91" s="445">
        <f t="shared" si="22"/>
        <v>613.00800000000004</v>
      </c>
      <c r="AF91" s="445">
        <f t="shared" si="23"/>
        <v>434.08200000000005</v>
      </c>
      <c r="AG91" s="445">
        <f t="shared" si="24"/>
        <v>399.74</v>
      </c>
      <c r="AH91" s="446" t="s">
        <v>308</v>
      </c>
    </row>
    <row r="92" spans="1:34" ht="16.5" hidden="1" thickBot="1">
      <c r="A92" s="418">
        <v>2017</v>
      </c>
      <c r="B92" s="152" t="s">
        <v>317</v>
      </c>
      <c r="C92" s="146" t="s">
        <v>311</v>
      </c>
      <c r="D92" s="146" t="s">
        <v>312</v>
      </c>
      <c r="E92" s="147" t="s">
        <v>306</v>
      </c>
      <c r="F92" s="433" t="s">
        <v>315</v>
      </c>
      <c r="G92" s="149" t="s">
        <v>212</v>
      </c>
      <c r="H92" s="447">
        <v>1199.99</v>
      </c>
      <c r="I92" s="447">
        <v>1173.1600000000001</v>
      </c>
      <c r="J92" s="447">
        <v>1142.9000000000001</v>
      </c>
      <c r="K92" s="447">
        <v>1133.94</v>
      </c>
      <c r="L92" s="447">
        <v>1108.6400000000001</v>
      </c>
      <c r="M92" s="447">
        <v>1080.02</v>
      </c>
      <c r="N92" s="447">
        <v>637.02</v>
      </c>
      <c r="O92" s="447">
        <v>1456.2</v>
      </c>
      <c r="P92" s="447">
        <v>1375.87</v>
      </c>
      <c r="Q92" s="447">
        <v>1220.44</v>
      </c>
      <c r="R92" s="447">
        <v>864.22</v>
      </c>
      <c r="S92" s="447">
        <v>795.85</v>
      </c>
      <c r="T92" s="448" t="s">
        <v>308</v>
      </c>
      <c r="V92" s="447">
        <f t="shared" si="25"/>
        <v>1319.989</v>
      </c>
      <c r="W92" s="447">
        <f t="shared" si="14"/>
        <v>1290.4760000000001</v>
      </c>
      <c r="X92" s="447">
        <f t="shared" si="15"/>
        <v>1257.1900000000003</v>
      </c>
      <c r="Y92" s="447">
        <f t="shared" si="16"/>
        <v>1247.3340000000001</v>
      </c>
      <c r="Z92" s="447">
        <f t="shared" si="17"/>
        <v>1219.5040000000001</v>
      </c>
      <c r="AA92" s="447">
        <f t="shared" si="18"/>
        <v>1188.0220000000002</v>
      </c>
      <c r="AB92" s="447">
        <f t="shared" si="19"/>
        <v>700.72199999999998</v>
      </c>
      <c r="AC92" s="447">
        <f t="shared" si="20"/>
        <v>1601.8200000000002</v>
      </c>
      <c r="AD92" s="447">
        <f t="shared" si="21"/>
        <v>1513.4570000000001</v>
      </c>
      <c r="AE92" s="447">
        <f t="shared" si="22"/>
        <v>1342.4840000000002</v>
      </c>
      <c r="AF92" s="447">
        <f t="shared" si="23"/>
        <v>950.64200000000005</v>
      </c>
      <c r="AG92" s="447">
        <f t="shared" si="24"/>
        <v>875.43500000000006</v>
      </c>
      <c r="AH92" s="448" t="s">
        <v>308</v>
      </c>
    </row>
    <row r="93" spans="1:34" ht="16.5" hidden="1" thickBot="1">
      <c r="A93" s="418">
        <v>2017</v>
      </c>
      <c r="B93" s="152" t="s">
        <v>317</v>
      </c>
      <c r="C93" s="146" t="s">
        <v>311</v>
      </c>
      <c r="D93" s="146" t="s">
        <v>312</v>
      </c>
      <c r="E93" s="147" t="s">
        <v>306</v>
      </c>
      <c r="F93" s="433" t="s">
        <v>315</v>
      </c>
      <c r="G93" s="149" t="s">
        <v>213</v>
      </c>
      <c r="H93" s="447">
        <v>1041.0899999999999</v>
      </c>
      <c r="I93" s="447">
        <v>1017.81</v>
      </c>
      <c r="J93" s="447">
        <v>991.55</v>
      </c>
      <c r="K93" s="447">
        <v>983.78</v>
      </c>
      <c r="L93" s="447">
        <v>961.84</v>
      </c>
      <c r="M93" s="447">
        <v>937</v>
      </c>
      <c r="N93" s="447">
        <v>552.66</v>
      </c>
      <c r="O93" s="447">
        <v>1263.3699999999999</v>
      </c>
      <c r="P93" s="447">
        <v>1193.68</v>
      </c>
      <c r="Q93" s="447">
        <v>1058.83</v>
      </c>
      <c r="R93" s="447">
        <v>749.78</v>
      </c>
      <c r="S93" s="447">
        <v>690.47</v>
      </c>
      <c r="T93" s="448" t="s">
        <v>308</v>
      </c>
      <c r="V93" s="447">
        <f t="shared" si="25"/>
        <v>1145.1990000000001</v>
      </c>
      <c r="W93" s="447">
        <f t="shared" si="14"/>
        <v>1119.5910000000001</v>
      </c>
      <c r="X93" s="447">
        <f t="shared" si="15"/>
        <v>1090.7049999999999</v>
      </c>
      <c r="Y93" s="447">
        <f t="shared" si="16"/>
        <v>1082.1580000000001</v>
      </c>
      <c r="Z93" s="447">
        <f t="shared" si="17"/>
        <v>1058.0240000000001</v>
      </c>
      <c r="AA93" s="447">
        <f t="shared" si="18"/>
        <v>1030.7</v>
      </c>
      <c r="AB93" s="447">
        <f t="shared" si="19"/>
        <v>607.92600000000004</v>
      </c>
      <c r="AC93" s="447">
        <f t="shared" si="20"/>
        <v>1389.7069999999999</v>
      </c>
      <c r="AD93" s="447">
        <f t="shared" si="21"/>
        <v>1313.0480000000002</v>
      </c>
      <c r="AE93" s="447">
        <f t="shared" si="22"/>
        <v>1164.713</v>
      </c>
      <c r="AF93" s="447">
        <f t="shared" si="23"/>
        <v>824.75800000000004</v>
      </c>
      <c r="AG93" s="447">
        <f t="shared" si="24"/>
        <v>759.51700000000005</v>
      </c>
      <c r="AH93" s="448" t="s">
        <v>308</v>
      </c>
    </row>
    <row r="94" spans="1:34" ht="16.5" hidden="1" thickBot="1">
      <c r="A94" s="419">
        <v>2017</v>
      </c>
      <c r="B94" s="426" t="s">
        <v>317</v>
      </c>
      <c r="C94" s="421" t="s">
        <v>311</v>
      </c>
      <c r="D94" s="421" t="s">
        <v>312</v>
      </c>
      <c r="E94" s="422" t="s">
        <v>306</v>
      </c>
      <c r="F94" s="434" t="s">
        <v>315</v>
      </c>
      <c r="G94" s="424" t="s">
        <v>214</v>
      </c>
      <c r="H94" s="449">
        <v>1665.74</v>
      </c>
      <c r="I94" s="449">
        <v>1628.5</v>
      </c>
      <c r="J94" s="449">
        <v>1586.48</v>
      </c>
      <c r="K94" s="449">
        <v>1574.05</v>
      </c>
      <c r="L94" s="449">
        <v>1538.94</v>
      </c>
      <c r="M94" s="449">
        <v>1499.21</v>
      </c>
      <c r="N94" s="449">
        <v>884.26</v>
      </c>
      <c r="O94" s="449">
        <v>2021.39</v>
      </c>
      <c r="P94" s="449">
        <v>1909.88</v>
      </c>
      <c r="Q94" s="449">
        <v>1694.13</v>
      </c>
      <c r="R94" s="449">
        <v>1199.6400000000001</v>
      </c>
      <c r="S94" s="449">
        <v>1104.75</v>
      </c>
      <c r="T94" s="450" t="s">
        <v>308</v>
      </c>
      <c r="V94" s="449">
        <f t="shared" si="25"/>
        <v>1832.3140000000001</v>
      </c>
      <c r="W94" s="449">
        <f t="shared" si="14"/>
        <v>1791.3500000000001</v>
      </c>
      <c r="X94" s="449">
        <f t="shared" si="15"/>
        <v>1745.1280000000002</v>
      </c>
      <c r="Y94" s="449">
        <f t="shared" si="16"/>
        <v>1731.4550000000002</v>
      </c>
      <c r="Z94" s="449">
        <f t="shared" si="17"/>
        <v>1692.8340000000003</v>
      </c>
      <c r="AA94" s="449">
        <f t="shared" si="18"/>
        <v>1649.1310000000001</v>
      </c>
      <c r="AB94" s="449">
        <f t="shared" si="19"/>
        <v>972.68600000000004</v>
      </c>
      <c r="AC94" s="449">
        <f t="shared" si="20"/>
        <v>2223.5290000000005</v>
      </c>
      <c r="AD94" s="449">
        <f t="shared" si="21"/>
        <v>2100.8680000000004</v>
      </c>
      <c r="AE94" s="449">
        <f t="shared" si="22"/>
        <v>1863.5430000000003</v>
      </c>
      <c r="AF94" s="449">
        <f t="shared" si="23"/>
        <v>1319.6040000000003</v>
      </c>
      <c r="AG94" s="449">
        <f t="shared" si="24"/>
        <v>1215.2250000000001</v>
      </c>
      <c r="AH94" s="450" t="s">
        <v>308</v>
      </c>
    </row>
    <row r="95" spans="1:34" ht="16.5" hidden="1" thickBot="1">
      <c r="A95" s="412">
        <v>2017</v>
      </c>
      <c r="B95" s="425" t="s">
        <v>317</v>
      </c>
      <c r="C95" s="414" t="s">
        <v>313</v>
      </c>
      <c r="D95" s="414" t="s">
        <v>314</v>
      </c>
      <c r="E95" s="415" t="s">
        <v>306</v>
      </c>
      <c r="F95" s="432" t="s">
        <v>315</v>
      </c>
      <c r="G95" s="417" t="s">
        <v>211</v>
      </c>
      <c r="H95" s="445">
        <v>630.13</v>
      </c>
      <c r="I95" s="445">
        <v>616.04</v>
      </c>
      <c r="J95" s="445">
        <v>600.15</v>
      </c>
      <c r="K95" s="445">
        <v>595.45000000000005</v>
      </c>
      <c r="L95" s="445">
        <v>582.16</v>
      </c>
      <c r="M95" s="445">
        <v>567.13</v>
      </c>
      <c r="N95" s="445">
        <v>334.51</v>
      </c>
      <c r="O95" s="445">
        <v>764.67</v>
      </c>
      <c r="P95" s="445">
        <v>722.49</v>
      </c>
      <c r="Q95" s="445">
        <v>640.87</v>
      </c>
      <c r="R95" s="445">
        <v>453.81</v>
      </c>
      <c r="S95" s="445">
        <v>417.92</v>
      </c>
      <c r="T95" s="446" t="s">
        <v>308</v>
      </c>
      <c r="V95" s="445">
        <f t="shared" si="25"/>
        <v>693.14300000000003</v>
      </c>
      <c r="W95" s="445">
        <f t="shared" si="14"/>
        <v>677.64400000000001</v>
      </c>
      <c r="X95" s="445">
        <f t="shared" si="15"/>
        <v>660.16500000000008</v>
      </c>
      <c r="Y95" s="445">
        <f t="shared" si="16"/>
        <v>654.99500000000012</v>
      </c>
      <c r="Z95" s="445">
        <f t="shared" si="17"/>
        <v>640.37599999999998</v>
      </c>
      <c r="AA95" s="445">
        <f t="shared" si="18"/>
        <v>623.84300000000007</v>
      </c>
      <c r="AB95" s="445">
        <f t="shared" si="19"/>
        <v>367.96100000000001</v>
      </c>
      <c r="AC95" s="445">
        <f t="shared" si="20"/>
        <v>841.13700000000006</v>
      </c>
      <c r="AD95" s="445">
        <f t="shared" si="21"/>
        <v>794.73900000000003</v>
      </c>
      <c r="AE95" s="445">
        <f t="shared" si="22"/>
        <v>704.95700000000011</v>
      </c>
      <c r="AF95" s="445">
        <f t="shared" si="23"/>
        <v>499.19100000000003</v>
      </c>
      <c r="AG95" s="445">
        <f t="shared" si="24"/>
        <v>459.71200000000005</v>
      </c>
      <c r="AH95" s="446" t="s">
        <v>308</v>
      </c>
    </row>
    <row r="96" spans="1:34" ht="16.5" hidden="1" thickBot="1">
      <c r="A96" s="418">
        <v>2017</v>
      </c>
      <c r="B96" s="152" t="s">
        <v>317</v>
      </c>
      <c r="C96" s="146" t="s">
        <v>313</v>
      </c>
      <c r="D96" s="146" t="s">
        <v>314</v>
      </c>
      <c r="E96" s="147" t="s">
        <v>306</v>
      </c>
      <c r="F96" s="433" t="s">
        <v>315</v>
      </c>
      <c r="G96" s="149" t="s">
        <v>212</v>
      </c>
      <c r="H96" s="447">
        <v>1379.99</v>
      </c>
      <c r="I96" s="447">
        <v>1349.13</v>
      </c>
      <c r="J96" s="447">
        <v>1314.34</v>
      </c>
      <c r="K96" s="447">
        <v>1304.03</v>
      </c>
      <c r="L96" s="447">
        <v>1274.94</v>
      </c>
      <c r="M96" s="447">
        <v>1242.02</v>
      </c>
      <c r="N96" s="447">
        <v>732.57</v>
      </c>
      <c r="O96" s="447">
        <v>1674.63</v>
      </c>
      <c r="P96" s="447">
        <v>1582.25</v>
      </c>
      <c r="Q96" s="447">
        <v>1403.51</v>
      </c>
      <c r="R96" s="447">
        <v>993.86</v>
      </c>
      <c r="S96" s="447">
        <v>915.23</v>
      </c>
      <c r="T96" s="448" t="s">
        <v>308</v>
      </c>
      <c r="V96" s="447">
        <f t="shared" si="25"/>
        <v>1517.989</v>
      </c>
      <c r="W96" s="447">
        <f t="shared" si="14"/>
        <v>1484.0430000000003</v>
      </c>
      <c r="X96" s="447">
        <f t="shared" si="15"/>
        <v>1445.7740000000001</v>
      </c>
      <c r="Y96" s="447">
        <f t="shared" si="16"/>
        <v>1434.433</v>
      </c>
      <c r="Z96" s="447">
        <f t="shared" si="17"/>
        <v>1402.4340000000002</v>
      </c>
      <c r="AA96" s="447">
        <f t="shared" si="18"/>
        <v>1366.222</v>
      </c>
      <c r="AB96" s="447">
        <f t="shared" si="19"/>
        <v>805.82700000000011</v>
      </c>
      <c r="AC96" s="447">
        <f t="shared" si="20"/>
        <v>1842.0930000000003</v>
      </c>
      <c r="AD96" s="447">
        <f t="shared" si="21"/>
        <v>1740.4750000000001</v>
      </c>
      <c r="AE96" s="447">
        <f t="shared" si="22"/>
        <v>1543.8610000000001</v>
      </c>
      <c r="AF96" s="447">
        <f t="shared" si="23"/>
        <v>1093.2460000000001</v>
      </c>
      <c r="AG96" s="447">
        <f t="shared" si="24"/>
        <v>1006.7530000000002</v>
      </c>
      <c r="AH96" s="448" t="s">
        <v>308</v>
      </c>
    </row>
    <row r="97" spans="1:34" ht="16.5" hidden="1" thickBot="1">
      <c r="A97" s="418">
        <v>2017</v>
      </c>
      <c r="B97" s="152" t="s">
        <v>317</v>
      </c>
      <c r="C97" s="146" t="s">
        <v>313</v>
      </c>
      <c r="D97" s="146" t="s">
        <v>314</v>
      </c>
      <c r="E97" s="147" t="s">
        <v>306</v>
      </c>
      <c r="F97" s="433" t="s">
        <v>315</v>
      </c>
      <c r="G97" s="149" t="s">
        <v>213</v>
      </c>
      <c r="H97" s="447">
        <v>1197.25</v>
      </c>
      <c r="I97" s="447">
        <v>1170.48</v>
      </c>
      <c r="J97" s="447">
        <v>1140.28</v>
      </c>
      <c r="K97" s="447">
        <v>1131.3499999999999</v>
      </c>
      <c r="L97" s="447">
        <v>1106.1199999999999</v>
      </c>
      <c r="M97" s="447">
        <v>1077.55</v>
      </c>
      <c r="N97" s="447">
        <v>635.55999999999995</v>
      </c>
      <c r="O97" s="447">
        <v>1452.88</v>
      </c>
      <c r="P97" s="447">
        <v>1372.73</v>
      </c>
      <c r="Q97" s="447">
        <v>1217.6500000000001</v>
      </c>
      <c r="R97" s="447">
        <v>862.24</v>
      </c>
      <c r="S97" s="447">
        <v>794.04</v>
      </c>
      <c r="T97" s="448" t="s">
        <v>308</v>
      </c>
      <c r="V97" s="447">
        <f t="shared" si="25"/>
        <v>1316.9750000000001</v>
      </c>
      <c r="W97" s="447">
        <f t="shared" si="14"/>
        <v>1287.528</v>
      </c>
      <c r="X97" s="447">
        <f t="shared" si="15"/>
        <v>1254.308</v>
      </c>
      <c r="Y97" s="447">
        <f t="shared" si="16"/>
        <v>1244.4849999999999</v>
      </c>
      <c r="Z97" s="447">
        <f t="shared" si="17"/>
        <v>1216.732</v>
      </c>
      <c r="AA97" s="447">
        <f t="shared" si="18"/>
        <v>1185.3050000000001</v>
      </c>
      <c r="AB97" s="447">
        <f t="shared" si="19"/>
        <v>699.11599999999999</v>
      </c>
      <c r="AC97" s="447">
        <f t="shared" si="20"/>
        <v>1598.1680000000003</v>
      </c>
      <c r="AD97" s="447">
        <f t="shared" si="21"/>
        <v>1510.0030000000002</v>
      </c>
      <c r="AE97" s="447">
        <f t="shared" si="22"/>
        <v>1339.4150000000002</v>
      </c>
      <c r="AF97" s="447">
        <f t="shared" si="23"/>
        <v>948.46400000000006</v>
      </c>
      <c r="AG97" s="447">
        <f t="shared" si="24"/>
        <v>873.44400000000007</v>
      </c>
      <c r="AH97" s="448" t="s">
        <v>308</v>
      </c>
    </row>
    <row r="98" spans="1:34" ht="16.5" hidden="1" thickBot="1">
      <c r="A98" s="419">
        <v>2017</v>
      </c>
      <c r="B98" s="426" t="s">
        <v>317</v>
      </c>
      <c r="C98" s="421" t="s">
        <v>313</v>
      </c>
      <c r="D98" s="421" t="s">
        <v>314</v>
      </c>
      <c r="E98" s="422" t="s">
        <v>306</v>
      </c>
      <c r="F98" s="434" t="s">
        <v>315</v>
      </c>
      <c r="G98" s="424" t="s">
        <v>214</v>
      </c>
      <c r="H98" s="449">
        <v>1915.6</v>
      </c>
      <c r="I98" s="449">
        <v>1872.78</v>
      </c>
      <c r="J98" s="449">
        <v>1824.45</v>
      </c>
      <c r="K98" s="449">
        <v>1810.16</v>
      </c>
      <c r="L98" s="449">
        <v>1769.78</v>
      </c>
      <c r="M98" s="449">
        <v>1724.09</v>
      </c>
      <c r="N98" s="449">
        <v>1016.89</v>
      </c>
      <c r="O98" s="449">
        <v>2324.6</v>
      </c>
      <c r="P98" s="449">
        <v>2196.36</v>
      </c>
      <c r="Q98" s="449">
        <v>1948.25</v>
      </c>
      <c r="R98" s="449">
        <v>1379.59</v>
      </c>
      <c r="S98" s="449">
        <v>1270.46</v>
      </c>
      <c r="T98" s="450" t="s">
        <v>308</v>
      </c>
      <c r="V98" s="449">
        <f t="shared" si="25"/>
        <v>2107.16</v>
      </c>
      <c r="W98" s="449">
        <f t="shared" si="14"/>
        <v>2060.058</v>
      </c>
      <c r="X98" s="449">
        <f t="shared" si="15"/>
        <v>2006.8950000000002</v>
      </c>
      <c r="Y98" s="449">
        <f t="shared" si="16"/>
        <v>1991.1760000000002</v>
      </c>
      <c r="Z98" s="449">
        <f t="shared" si="17"/>
        <v>1946.758</v>
      </c>
      <c r="AA98" s="449">
        <f t="shared" si="18"/>
        <v>1896.499</v>
      </c>
      <c r="AB98" s="449">
        <f t="shared" si="19"/>
        <v>1118.5790000000002</v>
      </c>
      <c r="AC98" s="449">
        <f t="shared" si="20"/>
        <v>2557.06</v>
      </c>
      <c r="AD98" s="449">
        <f t="shared" si="21"/>
        <v>2415.9960000000005</v>
      </c>
      <c r="AE98" s="449">
        <f t="shared" si="22"/>
        <v>2143.0750000000003</v>
      </c>
      <c r="AF98" s="449">
        <f t="shared" si="23"/>
        <v>1517.549</v>
      </c>
      <c r="AG98" s="449">
        <f t="shared" si="24"/>
        <v>1397.5060000000001</v>
      </c>
      <c r="AH98" s="450" t="s">
        <v>308</v>
      </c>
    </row>
    <row r="99" spans="1:34" ht="16.5" hidden="1" thickBot="1">
      <c r="A99" s="412">
        <v>2017</v>
      </c>
      <c r="B99" s="425" t="s">
        <v>317</v>
      </c>
      <c r="C99" s="414" t="s">
        <v>304</v>
      </c>
      <c r="D99" s="414" t="s">
        <v>305</v>
      </c>
      <c r="E99" s="430" t="s">
        <v>316</v>
      </c>
      <c r="F99" s="416" t="s">
        <v>307</v>
      </c>
      <c r="G99" s="417" t="s">
        <v>211</v>
      </c>
      <c r="H99" s="445">
        <v>473.69</v>
      </c>
      <c r="I99" s="445">
        <v>463.1</v>
      </c>
      <c r="J99" s="445">
        <v>451.16</v>
      </c>
      <c r="K99" s="445">
        <v>447.62</v>
      </c>
      <c r="L99" s="445">
        <v>437.64</v>
      </c>
      <c r="M99" s="445">
        <v>426.34</v>
      </c>
      <c r="N99" s="445">
        <v>251.46</v>
      </c>
      <c r="O99" s="445">
        <v>574.83000000000004</v>
      </c>
      <c r="P99" s="445">
        <v>543.12</v>
      </c>
      <c r="Q99" s="445">
        <v>481.77</v>
      </c>
      <c r="R99" s="445">
        <v>341.15</v>
      </c>
      <c r="S99" s="445">
        <v>314.16000000000003</v>
      </c>
      <c r="T99" s="446" t="s">
        <v>308</v>
      </c>
      <c r="V99" s="445">
        <f t="shared" si="25"/>
        <v>521.05900000000008</v>
      </c>
      <c r="W99" s="445">
        <f t="shared" si="14"/>
        <v>509.41000000000008</v>
      </c>
      <c r="X99" s="445">
        <f t="shared" si="15"/>
        <v>496.27600000000007</v>
      </c>
      <c r="Y99" s="445">
        <f t="shared" si="16"/>
        <v>492.38200000000006</v>
      </c>
      <c r="Z99" s="445">
        <f t="shared" si="17"/>
        <v>481.404</v>
      </c>
      <c r="AA99" s="445">
        <f t="shared" si="18"/>
        <v>468.97399999999999</v>
      </c>
      <c r="AB99" s="445">
        <f t="shared" si="19"/>
        <v>276.60600000000005</v>
      </c>
      <c r="AC99" s="445">
        <f t="shared" si="20"/>
        <v>632.3130000000001</v>
      </c>
      <c r="AD99" s="445">
        <f t="shared" si="21"/>
        <v>597.43200000000002</v>
      </c>
      <c r="AE99" s="445">
        <f t="shared" si="22"/>
        <v>529.947</v>
      </c>
      <c r="AF99" s="445">
        <f t="shared" si="23"/>
        <v>375.26499999999999</v>
      </c>
      <c r="AG99" s="445">
        <f t="shared" si="24"/>
        <v>345.57600000000008</v>
      </c>
      <c r="AH99" s="446" t="s">
        <v>308</v>
      </c>
    </row>
    <row r="100" spans="1:34" ht="16.5" hidden="1" thickBot="1">
      <c r="A100" s="418">
        <v>2017</v>
      </c>
      <c r="B100" s="152" t="s">
        <v>317</v>
      </c>
      <c r="C100" s="146" t="s">
        <v>304</v>
      </c>
      <c r="D100" s="146" t="s">
        <v>305</v>
      </c>
      <c r="E100" s="151" t="s">
        <v>316</v>
      </c>
      <c r="F100" s="148" t="s">
        <v>307</v>
      </c>
      <c r="G100" s="149" t="s">
        <v>212</v>
      </c>
      <c r="H100" s="447">
        <v>1037.3900000000001</v>
      </c>
      <c r="I100" s="447">
        <v>1014.2</v>
      </c>
      <c r="J100" s="447">
        <v>988.04</v>
      </c>
      <c r="K100" s="447">
        <v>980.29</v>
      </c>
      <c r="L100" s="447">
        <v>958.42</v>
      </c>
      <c r="M100" s="447">
        <v>933.68</v>
      </c>
      <c r="N100" s="447">
        <v>550.70000000000005</v>
      </c>
      <c r="O100" s="447">
        <v>1258.8800000000001</v>
      </c>
      <c r="P100" s="447">
        <v>1189.44</v>
      </c>
      <c r="Q100" s="447">
        <v>1055.07</v>
      </c>
      <c r="R100" s="447">
        <v>747.12</v>
      </c>
      <c r="S100" s="447">
        <v>688.02</v>
      </c>
      <c r="T100" s="448" t="s">
        <v>308</v>
      </c>
      <c r="V100" s="447">
        <f t="shared" si="25"/>
        <v>1141.1290000000001</v>
      </c>
      <c r="W100" s="447">
        <f t="shared" si="14"/>
        <v>1115.6200000000001</v>
      </c>
      <c r="X100" s="447">
        <f t="shared" si="15"/>
        <v>1086.8440000000001</v>
      </c>
      <c r="Y100" s="447">
        <f t="shared" si="16"/>
        <v>1078.319</v>
      </c>
      <c r="Z100" s="447">
        <f t="shared" si="17"/>
        <v>1054.2619999999999</v>
      </c>
      <c r="AA100" s="447">
        <f t="shared" si="18"/>
        <v>1027.048</v>
      </c>
      <c r="AB100" s="447">
        <f t="shared" si="19"/>
        <v>605.7700000000001</v>
      </c>
      <c r="AC100" s="447">
        <f t="shared" si="20"/>
        <v>1384.7680000000003</v>
      </c>
      <c r="AD100" s="447">
        <f t="shared" si="21"/>
        <v>1308.3840000000002</v>
      </c>
      <c r="AE100" s="447">
        <f t="shared" si="22"/>
        <v>1160.577</v>
      </c>
      <c r="AF100" s="447">
        <f t="shared" si="23"/>
        <v>821.83200000000011</v>
      </c>
      <c r="AG100" s="447">
        <f t="shared" si="24"/>
        <v>756.822</v>
      </c>
      <c r="AH100" s="448" t="s">
        <v>308</v>
      </c>
    </row>
    <row r="101" spans="1:34" ht="16.5" hidden="1" thickBot="1">
      <c r="A101" s="418">
        <v>2017</v>
      </c>
      <c r="B101" s="152" t="s">
        <v>317</v>
      </c>
      <c r="C101" s="146" t="s">
        <v>304</v>
      </c>
      <c r="D101" s="146" t="s">
        <v>305</v>
      </c>
      <c r="E101" s="151" t="s">
        <v>316</v>
      </c>
      <c r="F101" s="148" t="s">
        <v>307</v>
      </c>
      <c r="G101" s="149" t="s">
        <v>213</v>
      </c>
      <c r="H101" s="447">
        <v>900.02</v>
      </c>
      <c r="I101" s="447">
        <v>879.9</v>
      </c>
      <c r="J101" s="447">
        <v>857.19</v>
      </c>
      <c r="K101" s="447">
        <v>850.48</v>
      </c>
      <c r="L101" s="447">
        <v>831.51</v>
      </c>
      <c r="M101" s="447">
        <v>810.04</v>
      </c>
      <c r="N101" s="447">
        <v>477.77</v>
      </c>
      <c r="O101" s="447">
        <v>1092.18</v>
      </c>
      <c r="P101" s="447">
        <v>1031.94</v>
      </c>
      <c r="Q101" s="447">
        <v>915.36</v>
      </c>
      <c r="R101" s="447">
        <v>648.17999999999995</v>
      </c>
      <c r="S101" s="447">
        <v>596.91</v>
      </c>
      <c r="T101" s="448" t="s">
        <v>308</v>
      </c>
      <c r="V101" s="447">
        <f t="shared" si="25"/>
        <v>990.02200000000005</v>
      </c>
      <c r="W101" s="447">
        <f t="shared" si="14"/>
        <v>967.8900000000001</v>
      </c>
      <c r="X101" s="447">
        <f t="shared" si="15"/>
        <v>942.90900000000011</v>
      </c>
      <c r="Y101" s="447">
        <f t="shared" si="16"/>
        <v>935.52800000000013</v>
      </c>
      <c r="Z101" s="447">
        <f t="shared" si="17"/>
        <v>914.66100000000006</v>
      </c>
      <c r="AA101" s="447">
        <f t="shared" si="18"/>
        <v>891.04399999999998</v>
      </c>
      <c r="AB101" s="447">
        <f t="shared" si="19"/>
        <v>525.54700000000003</v>
      </c>
      <c r="AC101" s="447">
        <f t="shared" si="20"/>
        <v>1201.3980000000001</v>
      </c>
      <c r="AD101" s="447">
        <f t="shared" si="21"/>
        <v>1135.1340000000002</v>
      </c>
      <c r="AE101" s="447">
        <f t="shared" si="22"/>
        <v>1006.8960000000001</v>
      </c>
      <c r="AF101" s="447">
        <f t="shared" si="23"/>
        <v>712.99800000000005</v>
      </c>
      <c r="AG101" s="447">
        <f t="shared" si="24"/>
        <v>656.601</v>
      </c>
      <c r="AH101" s="448" t="s">
        <v>308</v>
      </c>
    </row>
    <row r="102" spans="1:34" ht="16.5" hidden="1" thickBot="1">
      <c r="A102" s="419">
        <v>2017</v>
      </c>
      <c r="B102" s="426" t="s">
        <v>317</v>
      </c>
      <c r="C102" s="421" t="s">
        <v>304</v>
      </c>
      <c r="D102" s="421" t="s">
        <v>305</v>
      </c>
      <c r="E102" s="431" t="s">
        <v>316</v>
      </c>
      <c r="F102" s="423" t="s">
        <v>307</v>
      </c>
      <c r="G102" s="424" t="s">
        <v>214</v>
      </c>
      <c r="H102" s="449">
        <v>1440.03</v>
      </c>
      <c r="I102" s="449">
        <v>1407.84</v>
      </c>
      <c r="J102" s="449">
        <v>1371.51</v>
      </c>
      <c r="K102" s="449">
        <v>1360.77</v>
      </c>
      <c r="L102" s="449">
        <v>1330.41</v>
      </c>
      <c r="M102" s="449">
        <v>1296.07</v>
      </c>
      <c r="N102" s="449">
        <v>764.44</v>
      </c>
      <c r="O102" s="449">
        <v>1747.49</v>
      </c>
      <c r="P102" s="449">
        <v>1651.09</v>
      </c>
      <c r="Q102" s="449">
        <v>1464.58</v>
      </c>
      <c r="R102" s="449">
        <v>1037.0899999999999</v>
      </c>
      <c r="S102" s="449">
        <v>955.05</v>
      </c>
      <c r="T102" s="450" t="s">
        <v>308</v>
      </c>
      <c r="V102" s="449">
        <f t="shared" si="25"/>
        <v>1584.0330000000001</v>
      </c>
      <c r="W102" s="449">
        <f t="shared" si="14"/>
        <v>1548.624</v>
      </c>
      <c r="X102" s="449">
        <f t="shared" si="15"/>
        <v>1508.6610000000001</v>
      </c>
      <c r="Y102" s="449">
        <f t="shared" si="16"/>
        <v>1496.8470000000002</v>
      </c>
      <c r="Z102" s="449">
        <f t="shared" si="17"/>
        <v>1463.4510000000002</v>
      </c>
      <c r="AA102" s="449">
        <f t="shared" si="18"/>
        <v>1425.6770000000001</v>
      </c>
      <c r="AB102" s="449">
        <f t="shared" si="19"/>
        <v>840.88400000000013</v>
      </c>
      <c r="AC102" s="449">
        <f t="shared" si="20"/>
        <v>1922.2390000000003</v>
      </c>
      <c r="AD102" s="449">
        <f t="shared" si="21"/>
        <v>1816.1990000000001</v>
      </c>
      <c r="AE102" s="449">
        <f t="shared" si="22"/>
        <v>1611.038</v>
      </c>
      <c r="AF102" s="449">
        <f t="shared" si="23"/>
        <v>1140.799</v>
      </c>
      <c r="AG102" s="449">
        <f t="shared" si="24"/>
        <v>1050.5550000000001</v>
      </c>
      <c r="AH102" s="450" t="s">
        <v>308</v>
      </c>
    </row>
    <row r="103" spans="1:34" ht="16.5" hidden="1" thickBot="1">
      <c r="A103" s="412">
        <v>2017</v>
      </c>
      <c r="B103" s="425" t="s">
        <v>317</v>
      </c>
      <c r="C103" s="414" t="s">
        <v>309</v>
      </c>
      <c r="D103" s="414" t="s">
        <v>310</v>
      </c>
      <c r="E103" s="430" t="s">
        <v>316</v>
      </c>
      <c r="F103" s="416" t="s">
        <v>307</v>
      </c>
      <c r="G103" s="417" t="s">
        <v>211</v>
      </c>
      <c r="H103" s="445">
        <v>520.54</v>
      </c>
      <c r="I103" s="445">
        <v>508.91</v>
      </c>
      <c r="J103" s="445">
        <v>495.78</v>
      </c>
      <c r="K103" s="445">
        <v>491.89</v>
      </c>
      <c r="L103" s="445">
        <v>480.92</v>
      </c>
      <c r="M103" s="445">
        <v>468.5</v>
      </c>
      <c r="N103" s="445">
        <v>276.33</v>
      </c>
      <c r="O103" s="445">
        <v>631.67999999999995</v>
      </c>
      <c r="P103" s="445">
        <v>596.84</v>
      </c>
      <c r="Q103" s="445">
        <v>529.41999999999996</v>
      </c>
      <c r="R103" s="445">
        <v>374.89</v>
      </c>
      <c r="S103" s="445">
        <v>345.23</v>
      </c>
      <c r="T103" s="446" t="s">
        <v>308</v>
      </c>
      <c r="V103" s="445">
        <f t="shared" si="25"/>
        <v>572.59400000000005</v>
      </c>
      <c r="W103" s="445">
        <f t="shared" si="14"/>
        <v>559.80100000000004</v>
      </c>
      <c r="X103" s="445">
        <f t="shared" si="15"/>
        <v>545.35800000000006</v>
      </c>
      <c r="Y103" s="445">
        <f t="shared" si="16"/>
        <v>541.07900000000006</v>
      </c>
      <c r="Z103" s="445">
        <f t="shared" si="17"/>
        <v>529.01200000000006</v>
      </c>
      <c r="AA103" s="445">
        <f t="shared" si="18"/>
        <v>515.35</v>
      </c>
      <c r="AB103" s="445">
        <f t="shared" si="19"/>
        <v>303.96300000000002</v>
      </c>
      <c r="AC103" s="445">
        <f t="shared" si="20"/>
        <v>694.84799999999996</v>
      </c>
      <c r="AD103" s="445">
        <f t="shared" si="21"/>
        <v>656.52400000000011</v>
      </c>
      <c r="AE103" s="445">
        <f t="shared" si="22"/>
        <v>582.36199999999997</v>
      </c>
      <c r="AF103" s="445">
        <f t="shared" si="23"/>
        <v>412.37900000000002</v>
      </c>
      <c r="AG103" s="445">
        <f t="shared" si="24"/>
        <v>379.75300000000004</v>
      </c>
      <c r="AH103" s="446" t="s">
        <v>308</v>
      </c>
    </row>
    <row r="104" spans="1:34" ht="16.5" hidden="1" thickBot="1">
      <c r="A104" s="418">
        <v>2017</v>
      </c>
      <c r="B104" s="152" t="s">
        <v>317</v>
      </c>
      <c r="C104" s="146" t="s">
        <v>309</v>
      </c>
      <c r="D104" s="146" t="s">
        <v>310</v>
      </c>
      <c r="E104" s="151" t="s">
        <v>316</v>
      </c>
      <c r="F104" s="148" t="s">
        <v>307</v>
      </c>
      <c r="G104" s="149" t="s">
        <v>212</v>
      </c>
      <c r="H104" s="447">
        <v>1139.99</v>
      </c>
      <c r="I104" s="447">
        <v>1114.5</v>
      </c>
      <c r="J104" s="447">
        <v>1085.76</v>
      </c>
      <c r="K104" s="447">
        <v>1077.24</v>
      </c>
      <c r="L104" s="447">
        <v>1053.21</v>
      </c>
      <c r="M104" s="447">
        <v>1026.02</v>
      </c>
      <c r="N104" s="447">
        <v>605.16999999999996</v>
      </c>
      <c r="O104" s="447">
        <v>1383.39</v>
      </c>
      <c r="P104" s="447">
        <v>1307.08</v>
      </c>
      <c r="Q104" s="447">
        <v>1159.42</v>
      </c>
      <c r="R104" s="447">
        <v>821.01</v>
      </c>
      <c r="S104" s="447">
        <v>756.06</v>
      </c>
      <c r="T104" s="448" t="s">
        <v>308</v>
      </c>
      <c r="V104" s="447">
        <f t="shared" si="25"/>
        <v>1253.989</v>
      </c>
      <c r="W104" s="447">
        <f t="shared" si="14"/>
        <v>1225.95</v>
      </c>
      <c r="X104" s="447">
        <f t="shared" si="15"/>
        <v>1194.336</v>
      </c>
      <c r="Y104" s="447">
        <f t="shared" si="16"/>
        <v>1184.9640000000002</v>
      </c>
      <c r="Z104" s="447">
        <f t="shared" si="17"/>
        <v>1158.5310000000002</v>
      </c>
      <c r="AA104" s="447">
        <f t="shared" si="18"/>
        <v>1128.6220000000001</v>
      </c>
      <c r="AB104" s="447">
        <f t="shared" si="19"/>
        <v>665.68700000000001</v>
      </c>
      <c r="AC104" s="447">
        <f t="shared" si="20"/>
        <v>1521.7290000000003</v>
      </c>
      <c r="AD104" s="447">
        <f t="shared" si="21"/>
        <v>1437.788</v>
      </c>
      <c r="AE104" s="447">
        <f t="shared" si="22"/>
        <v>1275.3620000000001</v>
      </c>
      <c r="AF104" s="447">
        <f t="shared" si="23"/>
        <v>903.1110000000001</v>
      </c>
      <c r="AG104" s="447">
        <f t="shared" si="24"/>
        <v>831.66600000000005</v>
      </c>
      <c r="AH104" s="448" t="s">
        <v>308</v>
      </c>
    </row>
    <row r="105" spans="1:34" ht="16.5" hidden="1" thickBot="1">
      <c r="A105" s="418">
        <v>2017</v>
      </c>
      <c r="B105" s="152" t="s">
        <v>317</v>
      </c>
      <c r="C105" s="146" t="s">
        <v>309</v>
      </c>
      <c r="D105" s="146" t="s">
        <v>310</v>
      </c>
      <c r="E105" s="151" t="s">
        <v>316</v>
      </c>
      <c r="F105" s="148" t="s">
        <v>307</v>
      </c>
      <c r="G105" s="149" t="s">
        <v>213</v>
      </c>
      <c r="H105" s="447">
        <v>989.04</v>
      </c>
      <c r="I105" s="447">
        <v>966.92</v>
      </c>
      <c r="J105" s="447">
        <v>941.97</v>
      </c>
      <c r="K105" s="447">
        <v>934.59</v>
      </c>
      <c r="L105" s="447">
        <v>913.75</v>
      </c>
      <c r="M105" s="447">
        <v>890.15</v>
      </c>
      <c r="N105" s="447">
        <v>525.03</v>
      </c>
      <c r="O105" s="447">
        <v>1200.2</v>
      </c>
      <c r="P105" s="447">
        <v>1134</v>
      </c>
      <c r="Q105" s="447">
        <v>1005.89</v>
      </c>
      <c r="R105" s="447">
        <v>712.29</v>
      </c>
      <c r="S105" s="447">
        <v>655.95</v>
      </c>
      <c r="T105" s="448" t="s">
        <v>308</v>
      </c>
      <c r="V105" s="447">
        <f t="shared" si="25"/>
        <v>1087.944</v>
      </c>
      <c r="W105" s="447">
        <f t="shared" si="14"/>
        <v>1063.6120000000001</v>
      </c>
      <c r="X105" s="447">
        <f t="shared" si="15"/>
        <v>1036.1670000000001</v>
      </c>
      <c r="Y105" s="447">
        <f t="shared" si="16"/>
        <v>1028.0490000000002</v>
      </c>
      <c r="Z105" s="447">
        <f t="shared" si="17"/>
        <v>1005.1250000000001</v>
      </c>
      <c r="AA105" s="447">
        <f t="shared" si="18"/>
        <v>979.16500000000008</v>
      </c>
      <c r="AB105" s="447">
        <f t="shared" si="19"/>
        <v>577.53300000000002</v>
      </c>
      <c r="AC105" s="447">
        <f t="shared" si="20"/>
        <v>1320.2200000000003</v>
      </c>
      <c r="AD105" s="447">
        <f t="shared" si="21"/>
        <v>1247.4000000000001</v>
      </c>
      <c r="AE105" s="447">
        <f t="shared" si="22"/>
        <v>1106.479</v>
      </c>
      <c r="AF105" s="447">
        <f t="shared" si="23"/>
        <v>783.51900000000001</v>
      </c>
      <c r="AG105" s="447">
        <f t="shared" si="24"/>
        <v>721.54500000000007</v>
      </c>
      <c r="AH105" s="448" t="s">
        <v>308</v>
      </c>
    </row>
    <row r="106" spans="1:34" ht="16.5" hidden="1" thickBot="1">
      <c r="A106" s="419">
        <v>2017</v>
      </c>
      <c r="B106" s="426" t="s">
        <v>317</v>
      </c>
      <c r="C106" s="421" t="s">
        <v>309</v>
      </c>
      <c r="D106" s="421" t="s">
        <v>310</v>
      </c>
      <c r="E106" s="431" t="s">
        <v>316</v>
      </c>
      <c r="F106" s="423" t="s">
        <v>307</v>
      </c>
      <c r="G106" s="424" t="s">
        <v>214</v>
      </c>
      <c r="H106" s="449">
        <v>1582.45</v>
      </c>
      <c r="I106" s="449">
        <v>1547.08</v>
      </c>
      <c r="J106" s="449">
        <v>1507.16</v>
      </c>
      <c r="K106" s="449">
        <v>1495.35</v>
      </c>
      <c r="L106" s="449">
        <v>1461.99</v>
      </c>
      <c r="M106" s="449">
        <v>1424.25</v>
      </c>
      <c r="N106" s="449">
        <v>840.04</v>
      </c>
      <c r="O106" s="449">
        <v>1920.32</v>
      </c>
      <c r="P106" s="449">
        <v>1814.39</v>
      </c>
      <c r="Q106" s="449">
        <v>1609.42</v>
      </c>
      <c r="R106" s="449">
        <v>1139.6600000000001</v>
      </c>
      <c r="S106" s="449">
        <v>1049.51</v>
      </c>
      <c r="T106" s="450" t="s">
        <v>308</v>
      </c>
      <c r="V106" s="449">
        <f t="shared" si="25"/>
        <v>1740.6950000000002</v>
      </c>
      <c r="W106" s="449">
        <f t="shared" si="14"/>
        <v>1701.788</v>
      </c>
      <c r="X106" s="449">
        <f t="shared" si="15"/>
        <v>1657.8760000000002</v>
      </c>
      <c r="Y106" s="449">
        <f t="shared" si="16"/>
        <v>1644.885</v>
      </c>
      <c r="Z106" s="449">
        <f t="shared" si="17"/>
        <v>1608.1890000000001</v>
      </c>
      <c r="AA106" s="449">
        <f t="shared" si="18"/>
        <v>1566.6750000000002</v>
      </c>
      <c r="AB106" s="449">
        <f t="shared" si="19"/>
        <v>924.04399999999998</v>
      </c>
      <c r="AC106" s="449">
        <f t="shared" si="20"/>
        <v>2112.3520000000003</v>
      </c>
      <c r="AD106" s="449">
        <f t="shared" si="21"/>
        <v>1995.8290000000002</v>
      </c>
      <c r="AE106" s="449">
        <f t="shared" si="22"/>
        <v>1770.3620000000003</v>
      </c>
      <c r="AF106" s="449">
        <f t="shared" si="23"/>
        <v>1253.6260000000002</v>
      </c>
      <c r="AG106" s="449">
        <f t="shared" si="24"/>
        <v>1154.461</v>
      </c>
      <c r="AH106" s="450" t="s">
        <v>308</v>
      </c>
    </row>
    <row r="107" spans="1:34" ht="16.5" hidden="1" thickBot="1">
      <c r="A107" s="412">
        <v>2017</v>
      </c>
      <c r="B107" s="425" t="s">
        <v>317</v>
      </c>
      <c r="C107" s="414" t="s">
        <v>311</v>
      </c>
      <c r="D107" s="414" t="s">
        <v>312</v>
      </c>
      <c r="E107" s="430" t="s">
        <v>316</v>
      </c>
      <c r="F107" s="416" t="s">
        <v>307</v>
      </c>
      <c r="G107" s="417" t="s">
        <v>211</v>
      </c>
      <c r="H107" s="445">
        <v>547.94000000000005</v>
      </c>
      <c r="I107" s="445">
        <v>535.69000000000005</v>
      </c>
      <c r="J107" s="445">
        <v>521.87</v>
      </c>
      <c r="K107" s="445">
        <v>517.78</v>
      </c>
      <c r="L107" s="445">
        <v>506.23</v>
      </c>
      <c r="M107" s="445">
        <v>493.16</v>
      </c>
      <c r="N107" s="445">
        <v>290.87</v>
      </c>
      <c r="O107" s="445">
        <v>664.93</v>
      </c>
      <c r="P107" s="445">
        <v>628.25</v>
      </c>
      <c r="Q107" s="445">
        <v>557.28</v>
      </c>
      <c r="R107" s="445">
        <v>394.62</v>
      </c>
      <c r="S107" s="445">
        <v>363.4</v>
      </c>
      <c r="T107" s="446" t="s">
        <v>308</v>
      </c>
      <c r="V107" s="445">
        <f t="shared" si="25"/>
        <v>602.73400000000015</v>
      </c>
      <c r="W107" s="445">
        <f t="shared" si="14"/>
        <v>589.25900000000013</v>
      </c>
      <c r="X107" s="445">
        <f t="shared" si="15"/>
        <v>574.05700000000002</v>
      </c>
      <c r="Y107" s="445">
        <f t="shared" si="16"/>
        <v>569.55799999999999</v>
      </c>
      <c r="Z107" s="445">
        <f t="shared" si="17"/>
        <v>556.85300000000007</v>
      </c>
      <c r="AA107" s="445">
        <f t="shared" si="18"/>
        <v>542.47600000000011</v>
      </c>
      <c r="AB107" s="445">
        <f t="shared" si="19"/>
        <v>319.95700000000005</v>
      </c>
      <c r="AC107" s="445">
        <f t="shared" si="20"/>
        <v>731.423</v>
      </c>
      <c r="AD107" s="445">
        <f t="shared" si="21"/>
        <v>691.07500000000005</v>
      </c>
      <c r="AE107" s="445">
        <f t="shared" si="22"/>
        <v>613.00800000000004</v>
      </c>
      <c r="AF107" s="445">
        <f t="shared" si="23"/>
        <v>434.08200000000005</v>
      </c>
      <c r="AG107" s="445">
        <f t="shared" si="24"/>
        <v>399.74</v>
      </c>
      <c r="AH107" s="446" t="s">
        <v>308</v>
      </c>
    </row>
    <row r="108" spans="1:34" ht="16.5" hidden="1" thickBot="1">
      <c r="A108" s="418">
        <v>2017</v>
      </c>
      <c r="B108" s="152" t="s">
        <v>317</v>
      </c>
      <c r="C108" s="146" t="s">
        <v>311</v>
      </c>
      <c r="D108" s="146" t="s">
        <v>312</v>
      </c>
      <c r="E108" s="151" t="s">
        <v>316</v>
      </c>
      <c r="F108" s="148" t="s">
        <v>307</v>
      </c>
      <c r="G108" s="149" t="s">
        <v>212</v>
      </c>
      <c r="H108" s="447">
        <v>1199.99</v>
      </c>
      <c r="I108" s="447">
        <v>1173.1600000000001</v>
      </c>
      <c r="J108" s="447">
        <v>1142.9000000000001</v>
      </c>
      <c r="K108" s="447">
        <v>1133.94</v>
      </c>
      <c r="L108" s="447">
        <v>1108.6400000000001</v>
      </c>
      <c r="M108" s="447">
        <v>1080.02</v>
      </c>
      <c r="N108" s="447">
        <v>637.02</v>
      </c>
      <c r="O108" s="447">
        <v>1456.2</v>
      </c>
      <c r="P108" s="447">
        <v>1375.87</v>
      </c>
      <c r="Q108" s="447">
        <v>1220.44</v>
      </c>
      <c r="R108" s="447">
        <v>864.22</v>
      </c>
      <c r="S108" s="447">
        <v>795.85</v>
      </c>
      <c r="T108" s="448" t="s">
        <v>308</v>
      </c>
      <c r="V108" s="447">
        <f t="shared" si="25"/>
        <v>1319.989</v>
      </c>
      <c r="W108" s="447">
        <f t="shared" si="14"/>
        <v>1290.4760000000001</v>
      </c>
      <c r="X108" s="447">
        <f t="shared" si="15"/>
        <v>1257.1900000000003</v>
      </c>
      <c r="Y108" s="447">
        <f t="shared" si="16"/>
        <v>1247.3340000000001</v>
      </c>
      <c r="Z108" s="447">
        <f t="shared" si="17"/>
        <v>1219.5040000000001</v>
      </c>
      <c r="AA108" s="447">
        <f t="shared" si="18"/>
        <v>1188.0220000000002</v>
      </c>
      <c r="AB108" s="447">
        <f t="shared" si="19"/>
        <v>700.72199999999998</v>
      </c>
      <c r="AC108" s="447">
        <f t="shared" si="20"/>
        <v>1601.8200000000002</v>
      </c>
      <c r="AD108" s="447">
        <f t="shared" si="21"/>
        <v>1513.4570000000001</v>
      </c>
      <c r="AE108" s="447">
        <f t="shared" si="22"/>
        <v>1342.4840000000002</v>
      </c>
      <c r="AF108" s="447">
        <f t="shared" si="23"/>
        <v>950.64200000000005</v>
      </c>
      <c r="AG108" s="447">
        <f t="shared" si="24"/>
        <v>875.43500000000006</v>
      </c>
      <c r="AH108" s="448" t="s">
        <v>308</v>
      </c>
    </row>
    <row r="109" spans="1:34" ht="16.5" hidden="1" thickBot="1">
      <c r="A109" s="418">
        <v>2017</v>
      </c>
      <c r="B109" s="152" t="s">
        <v>317</v>
      </c>
      <c r="C109" s="146" t="s">
        <v>311</v>
      </c>
      <c r="D109" s="146" t="s">
        <v>312</v>
      </c>
      <c r="E109" s="151" t="s">
        <v>316</v>
      </c>
      <c r="F109" s="148" t="s">
        <v>307</v>
      </c>
      <c r="G109" s="149" t="s">
        <v>213</v>
      </c>
      <c r="H109" s="447">
        <v>1041.0899999999999</v>
      </c>
      <c r="I109" s="447">
        <v>1017.81</v>
      </c>
      <c r="J109" s="447">
        <v>991.55</v>
      </c>
      <c r="K109" s="447">
        <v>983.78</v>
      </c>
      <c r="L109" s="447">
        <v>961.84</v>
      </c>
      <c r="M109" s="447">
        <v>937</v>
      </c>
      <c r="N109" s="447">
        <v>552.66</v>
      </c>
      <c r="O109" s="447">
        <v>1263.3699999999999</v>
      </c>
      <c r="P109" s="447">
        <v>1193.68</v>
      </c>
      <c r="Q109" s="447">
        <v>1058.83</v>
      </c>
      <c r="R109" s="447">
        <v>749.78</v>
      </c>
      <c r="S109" s="447">
        <v>690.47</v>
      </c>
      <c r="T109" s="448" t="s">
        <v>308</v>
      </c>
      <c r="V109" s="447">
        <f t="shared" si="25"/>
        <v>1145.1990000000001</v>
      </c>
      <c r="W109" s="447">
        <f t="shared" si="14"/>
        <v>1119.5910000000001</v>
      </c>
      <c r="X109" s="447">
        <f t="shared" si="15"/>
        <v>1090.7049999999999</v>
      </c>
      <c r="Y109" s="447">
        <f t="shared" si="16"/>
        <v>1082.1580000000001</v>
      </c>
      <c r="Z109" s="447">
        <f t="shared" si="17"/>
        <v>1058.0240000000001</v>
      </c>
      <c r="AA109" s="447">
        <f t="shared" si="18"/>
        <v>1030.7</v>
      </c>
      <c r="AB109" s="447">
        <f t="shared" si="19"/>
        <v>607.92600000000004</v>
      </c>
      <c r="AC109" s="447">
        <f t="shared" si="20"/>
        <v>1389.7069999999999</v>
      </c>
      <c r="AD109" s="447">
        <f t="shared" si="21"/>
        <v>1313.0480000000002</v>
      </c>
      <c r="AE109" s="447">
        <f t="shared" si="22"/>
        <v>1164.713</v>
      </c>
      <c r="AF109" s="447">
        <f t="shared" si="23"/>
        <v>824.75800000000004</v>
      </c>
      <c r="AG109" s="447">
        <f t="shared" si="24"/>
        <v>759.51700000000005</v>
      </c>
      <c r="AH109" s="448" t="s">
        <v>308</v>
      </c>
    </row>
    <row r="110" spans="1:34" ht="16.5" hidden="1" thickBot="1">
      <c r="A110" s="419">
        <v>2017</v>
      </c>
      <c r="B110" s="426" t="s">
        <v>317</v>
      </c>
      <c r="C110" s="421" t="s">
        <v>311</v>
      </c>
      <c r="D110" s="421" t="s">
        <v>312</v>
      </c>
      <c r="E110" s="431" t="s">
        <v>316</v>
      </c>
      <c r="F110" s="423" t="s">
        <v>307</v>
      </c>
      <c r="G110" s="424" t="s">
        <v>214</v>
      </c>
      <c r="H110" s="449">
        <v>1665.74</v>
      </c>
      <c r="I110" s="449">
        <v>1628.5</v>
      </c>
      <c r="J110" s="449">
        <v>1586.48</v>
      </c>
      <c r="K110" s="449">
        <v>1574.05</v>
      </c>
      <c r="L110" s="449">
        <v>1538.94</v>
      </c>
      <c r="M110" s="449">
        <v>1499.21</v>
      </c>
      <c r="N110" s="449">
        <v>884.26</v>
      </c>
      <c r="O110" s="449">
        <v>2021.39</v>
      </c>
      <c r="P110" s="449">
        <v>1909.88</v>
      </c>
      <c r="Q110" s="449">
        <v>1694.13</v>
      </c>
      <c r="R110" s="449">
        <v>1199.6400000000001</v>
      </c>
      <c r="S110" s="449">
        <v>1104.75</v>
      </c>
      <c r="T110" s="450" t="s">
        <v>308</v>
      </c>
      <c r="V110" s="449">
        <f t="shared" si="25"/>
        <v>1832.3140000000001</v>
      </c>
      <c r="W110" s="449">
        <f t="shared" si="14"/>
        <v>1791.3500000000001</v>
      </c>
      <c r="X110" s="449">
        <f t="shared" si="15"/>
        <v>1745.1280000000002</v>
      </c>
      <c r="Y110" s="449">
        <f t="shared" si="16"/>
        <v>1731.4550000000002</v>
      </c>
      <c r="Z110" s="449">
        <f t="shared" si="17"/>
        <v>1692.8340000000003</v>
      </c>
      <c r="AA110" s="449">
        <f t="shared" si="18"/>
        <v>1649.1310000000001</v>
      </c>
      <c r="AB110" s="449">
        <f t="shared" si="19"/>
        <v>972.68600000000004</v>
      </c>
      <c r="AC110" s="449">
        <f t="shared" si="20"/>
        <v>2223.5290000000005</v>
      </c>
      <c r="AD110" s="449">
        <f t="shared" si="21"/>
        <v>2100.8680000000004</v>
      </c>
      <c r="AE110" s="449">
        <f t="shared" si="22"/>
        <v>1863.5430000000003</v>
      </c>
      <c r="AF110" s="449">
        <f t="shared" si="23"/>
        <v>1319.6040000000003</v>
      </c>
      <c r="AG110" s="449">
        <f t="shared" si="24"/>
        <v>1215.2250000000001</v>
      </c>
      <c r="AH110" s="450" t="s">
        <v>308</v>
      </c>
    </row>
    <row r="111" spans="1:34" ht="16.5" hidden="1" thickBot="1">
      <c r="A111" s="412">
        <v>2017</v>
      </c>
      <c r="B111" s="425" t="s">
        <v>317</v>
      </c>
      <c r="C111" s="414" t="s">
        <v>313</v>
      </c>
      <c r="D111" s="414" t="s">
        <v>314</v>
      </c>
      <c r="E111" s="430" t="s">
        <v>316</v>
      </c>
      <c r="F111" s="416" t="s">
        <v>307</v>
      </c>
      <c r="G111" s="417" t="s">
        <v>211</v>
      </c>
      <c r="H111" s="445">
        <v>630.13</v>
      </c>
      <c r="I111" s="445">
        <v>616.04</v>
      </c>
      <c r="J111" s="445">
        <v>600.15</v>
      </c>
      <c r="K111" s="445">
        <v>595.45000000000005</v>
      </c>
      <c r="L111" s="445">
        <v>582.16</v>
      </c>
      <c r="M111" s="445">
        <v>567.13</v>
      </c>
      <c r="N111" s="445">
        <v>334.51</v>
      </c>
      <c r="O111" s="445">
        <v>764.67</v>
      </c>
      <c r="P111" s="445">
        <v>722.49</v>
      </c>
      <c r="Q111" s="445">
        <v>640.87</v>
      </c>
      <c r="R111" s="445">
        <v>453.81</v>
      </c>
      <c r="S111" s="445">
        <v>417.92</v>
      </c>
      <c r="T111" s="446" t="s">
        <v>308</v>
      </c>
      <c r="V111" s="445">
        <f t="shared" si="25"/>
        <v>693.14300000000003</v>
      </c>
      <c r="W111" s="445">
        <f t="shared" si="14"/>
        <v>677.64400000000001</v>
      </c>
      <c r="X111" s="445">
        <f t="shared" si="15"/>
        <v>660.16500000000008</v>
      </c>
      <c r="Y111" s="445">
        <f t="shared" si="16"/>
        <v>654.99500000000012</v>
      </c>
      <c r="Z111" s="445">
        <f t="shared" si="17"/>
        <v>640.37599999999998</v>
      </c>
      <c r="AA111" s="445">
        <f t="shared" si="18"/>
        <v>623.84300000000007</v>
      </c>
      <c r="AB111" s="445">
        <f t="shared" si="19"/>
        <v>367.96100000000001</v>
      </c>
      <c r="AC111" s="445">
        <f t="shared" si="20"/>
        <v>841.13700000000006</v>
      </c>
      <c r="AD111" s="445">
        <f t="shared" si="21"/>
        <v>794.73900000000003</v>
      </c>
      <c r="AE111" s="445">
        <f t="shared" si="22"/>
        <v>704.95700000000011</v>
      </c>
      <c r="AF111" s="445">
        <f t="shared" si="23"/>
        <v>499.19100000000003</v>
      </c>
      <c r="AG111" s="445">
        <f t="shared" si="24"/>
        <v>459.71200000000005</v>
      </c>
      <c r="AH111" s="446" t="s">
        <v>308</v>
      </c>
    </row>
    <row r="112" spans="1:34" ht="16.5" hidden="1" thickBot="1">
      <c r="A112" s="418">
        <v>2017</v>
      </c>
      <c r="B112" s="152" t="s">
        <v>317</v>
      </c>
      <c r="C112" s="146" t="s">
        <v>313</v>
      </c>
      <c r="D112" s="146" t="s">
        <v>314</v>
      </c>
      <c r="E112" s="151" t="s">
        <v>316</v>
      </c>
      <c r="F112" s="148" t="s">
        <v>307</v>
      </c>
      <c r="G112" s="149" t="s">
        <v>212</v>
      </c>
      <c r="H112" s="447">
        <v>1379.99</v>
      </c>
      <c r="I112" s="447">
        <v>1349.13</v>
      </c>
      <c r="J112" s="447">
        <v>1314.34</v>
      </c>
      <c r="K112" s="447">
        <v>1304.03</v>
      </c>
      <c r="L112" s="447">
        <v>1274.94</v>
      </c>
      <c r="M112" s="447">
        <v>1242.02</v>
      </c>
      <c r="N112" s="447">
        <v>732.57</v>
      </c>
      <c r="O112" s="447">
        <v>1674.63</v>
      </c>
      <c r="P112" s="447">
        <v>1582.25</v>
      </c>
      <c r="Q112" s="447">
        <v>1403.51</v>
      </c>
      <c r="R112" s="447">
        <v>993.86</v>
      </c>
      <c r="S112" s="447">
        <v>915.23</v>
      </c>
      <c r="T112" s="448" t="s">
        <v>308</v>
      </c>
      <c r="V112" s="447">
        <f t="shared" si="25"/>
        <v>1517.989</v>
      </c>
      <c r="W112" s="447">
        <f t="shared" si="14"/>
        <v>1484.0430000000003</v>
      </c>
      <c r="X112" s="447">
        <f t="shared" si="15"/>
        <v>1445.7740000000001</v>
      </c>
      <c r="Y112" s="447">
        <f t="shared" si="16"/>
        <v>1434.433</v>
      </c>
      <c r="Z112" s="447">
        <f t="shared" si="17"/>
        <v>1402.4340000000002</v>
      </c>
      <c r="AA112" s="447">
        <f t="shared" si="18"/>
        <v>1366.222</v>
      </c>
      <c r="AB112" s="447">
        <f t="shared" si="19"/>
        <v>805.82700000000011</v>
      </c>
      <c r="AC112" s="447">
        <f t="shared" si="20"/>
        <v>1842.0930000000003</v>
      </c>
      <c r="AD112" s="447">
        <f t="shared" si="21"/>
        <v>1740.4750000000001</v>
      </c>
      <c r="AE112" s="447">
        <f t="shared" si="22"/>
        <v>1543.8610000000001</v>
      </c>
      <c r="AF112" s="447">
        <f t="shared" si="23"/>
        <v>1093.2460000000001</v>
      </c>
      <c r="AG112" s="447">
        <f t="shared" si="24"/>
        <v>1006.7530000000002</v>
      </c>
      <c r="AH112" s="448" t="s">
        <v>308</v>
      </c>
    </row>
    <row r="113" spans="1:34" ht="16.5" hidden="1" thickBot="1">
      <c r="A113" s="418">
        <v>2017</v>
      </c>
      <c r="B113" s="152" t="s">
        <v>317</v>
      </c>
      <c r="C113" s="146" t="s">
        <v>313</v>
      </c>
      <c r="D113" s="146" t="s">
        <v>314</v>
      </c>
      <c r="E113" s="151" t="s">
        <v>316</v>
      </c>
      <c r="F113" s="148" t="s">
        <v>307</v>
      </c>
      <c r="G113" s="149" t="s">
        <v>213</v>
      </c>
      <c r="H113" s="447">
        <v>1197.25</v>
      </c>
      <c r="I113" s="447">
        <v>1170.48</v>
      </c>
      <c r="J113" s="447">
        <v>1140.28</v>
      </c>
      <c r="K113" s="447">
        <v>1131.3499999999999</v>
      </c>
      <c r="L113" s="447">
        <v>1106.1199999999999</v>
      </c>
      <c r="M113" s="447">
        <v>1077.55</v>
      </c>
      <c r="N113" s="447">
        <v>635.55999999999995</v>
      </c>
      <c r="O113" s="447">
        <v>1452.88</v>
      </c>
      <c r="P113" s="447">
        <v>1372.73</v>
      </c>
      <c r="Q113" s="447">
        <v>1217.6500000000001</v>
      </c>
      <c r="R113" s="447">
        <v>862.24</v>
      </c>
      <c r="S113" s="447">
        <v>794.04</v>
      </c>
      <c r="T113" s="448" t="s">
        <v>308</v>
      </c>
      <c r="V113" s="447">
        <f t="shared" si="25"/>
        <v>1316.9750000000001</v>
      </c>
      <c r="W113" s="447">
        <f t="shared" si="14"/>
        <v>1287.528</v>
      </c>
      <c r="X113" s="447">
        <f t="shared" si="15"/>
        <v>1254.308</v>
      </c>
      <c r="Y113" s="447">
        <f t="shared" si="16"/>
        <v>1244.4849999999999</v>
      </c>
      <c r="Z113" s="447">
        <f t="shared" si="17"/>
        <v>1216.732</v>
      </c>
      <c r="AA113" s="447">
        <f t="shared" si="18"/>
        <v>1185.3050000000001</v>
      </c>
      <c r="AB113" s="447">
        <f t="shared" si="19"/>
        <v>699.11599999999999</v>
      </c>
      <c r="AC113" s="447">
        <f t="shared" si="20"/>
        <v>1598.1680000000003</v>
      </c>
      <c r="AD113" s="447">
        <f t="shared" si="21"/>
        <v>1510.0030000000002</v>
      </c>
      <c r="AE113" s="447">
        <f t="shared" si="22"/>
        <v>1339.4150000000002</v>
      </c>
      <c r="AF113" s="447">
        <f t="shared" si="23"/>
        <v>948.46400000000006</v>
      </c>
      <c r="AG113" s="447">
        <f t="shared" si="24"/>
        <v>873.44400000000007</v>
      </c>
      <c r="AH113" s="448" t="s">
        <v>308</v>
      </c>
    </row>
    <row r="114" spans="1:34" ht="16.5" hidden="1" thickBot="1">
      <c r="A114" s="419">
        <v>2017</v>
      </c>
      <c r="B114" s="426" t="s">
        <v>317</v>
      </c>
      <c r="C114" s="421" t="s">
        <v>313</v>
      </c>
      <c r="D114" s="421" t="s">
        <v>314</v>
      </c>
      <c r="E114" s="431" t="s">
        <v>316</v>
      </c>
      <c r="F114" s="423" t="s">
        <v>307</v>
      </c>
      <c r="G114" s="424" t="s">
        <v>214</v>
      </c>
      <c r="H114" s="449">
        <v>1915.6</v>
      </c>
      <c r="I114" s="449">
        <v>1872.78</v>
      </c>
      <c r="J114" s="449">
        <v>1824.45</v>
      </c>
      <c r="K114" s="449">
        <v>1810.16</v>
      </c>
      <c r="L114" s="449">
        <v>1769.78</v>
      </c>
      <c r="M114" s="449">
        <v>1724.09</v>
      </c>
      <c r="N114" s="449">
        <v>1016.89</v>
      </c>
      <c r="O114" s="449">
        <v>2324.6</v>
      </c>
      <c r="P114" s="449">
        <v>2196.36</v>
      </c>
      <c r="Q114" s="449">
        <v>1948.25</v>
      </c>
      <c r="R114" s="449">
        <v>1379.59</v>
      </c>
      <c r="S114" s="449">
        <v>1270.46</v>
      </c>
      <c r="T114" s="450" t="s">
        <v>308</v>
      </c>
      <c r="V114" s="449">
        <f t="shared" si="25"/>
        <v>2107.16</v>
      </c>
      <c r="W114" s="449">
        <f t="shared" si="14"/>
        <v>2060.058</v>
      </c>
      <c r="X114" s="449">
        <f t="shared" si="15"/>
        <v>2006.8950000000002</v>
      </c>
      <c r="Y114" s="449">
        <f t="shared" si="16"/>
        <v>1991.1760000000002</v>
      </c>
      <c r="Z114" s="449">
        <f t="shared" si="17"/>
        <v>1946.758</v>
      </c>
      <c r="AA114" s="449">
        <f t="shared" si="18"/>
        <v>1896.499</v>
      </c>
      <c r="AB114" s="449">
        <f t="shared" si="19"/>
        <v>1118.5790000000002</v>
      </c>
      <c r="AC114" s="449">
        <f t="shared" si="20"/>
        <v>2557.06</v>
      </c>
      <c r="AD114" s="449">
        <f t="shared" si="21"/>
        <v>2415.9960000000005</v>
      </c>
      <c r="AE114" s="449">
        <f t="shared" si="22"/>
        <v>2143.0750000000003</v>
      </c>
      <c r="AF114" s="449">
        <f t="shared" si="23"/>
        <v>1517.549</v>
      </c>
      <c r="AG114" s="449">
        <f t="shared" si="24"/>
        <v>1397.5060000000001</v>
      </c>
      <c r="AH114" s="450" t="s">
        <v>308</v>
      </c>
    </row>
    <row r="115" spans="1:34" ht="16.5" hidden="1" thickBot="1">
      <c r="A115" s="412">
        <v>2017</v>
      </c>
      <c r="B115" s="425" t="s">
        <v>317</v>
      </c>
      <c r="C115" s="414" t="s">
        <v>304</v>
      </c>
      <c r="D115" s="414" t="s">
        <v>305</v>
      </c>
      <c r="E115" s="430" t="s">
        <v>316</v>
      </c>
      <c r="F115" s="432" t="s">
        <v>315</v>
      </c>
      <c r="G115" s="417" t="s">
        <v>211</v>
      </c>
      <c r="H115" s="445">
        <v>473.69</v>
      </c>
      <c r="I115" s="445">
        <v>463.1</v>
      </c>
      <c r="J115" s="445">
        <v>451.16</v>
      </c>
      <c r="K115" s="445">
        <v>447.62</v>
      </c>
      <c r="L115" s="445">
        <v>437.64</v>
      </c>
      <c r="M115" s="445">
        <v>426.34</v>
      </c>
      <c r="N115" s="445">
        <v>251.46</v>
      </c>
      <c r="O115" s="445">
        <v>574.83000000000004</v>
      </c>
      <c r="P115" s="445">
        <v>543.12</v>
      </c>
      <c r="Q115" s="445">
        <v>481.77</v>
      </c>
      <c r="R115" s="445">
        <v>341.15</v>
      </c>
      <c r="S115" s="445">
        <v>314.16000000000003</v>
      </c>
      <c r="T115" s="446" t="s">
        <v>308</v>
      </c>
      <c r="V115" s="445">
        <f t="shared" si="25"/>
        <v>521.05900000000008</v>
      </c>
      <c r="W115" s="445">
        <f t="shared" si="14"/>
        <v>509.41000000000008</v>
      </c>
      <c r="X115" s="445">
        <f t="shared" si="15"/>
        <v>496.27600000000007</v>
      </c>
      <c r="Y115" s="445">
        <f t="shared" si="16"/>
        <v>492.38200000000006</v>
      </c>
      <c r="Z115" s="445">
        <f t="shared" si="17"/>
        <v>481.404</v>
      </c>
      <c r="AA115" s="445">
        <f t="shared" si="18"/>
        <v>468.97399999999999</v>
      </c>
      <c r="AB115" s="445">
        <f t="shared" si="19"/>
        <v>276.60600000000005</v>
      </c>
      <c r="AC115" s="445">
        <f t="shared" si="20"/>
        <v>632.3130000000001</v>
      </c>
      <c r="AD115" s="445">
        <f t="shared" si="21"/>
        <v>597.43200000000002</v>
      </c>
      <c r="AE115" s="445">
        <f t="shared" si="22"/>
        <v>529.947</v>
      </c>
      <c r="AF115" s="445">
        <f t="shared" si="23"/>
        <v>375.26499999999999</v>
      </c>
      <c r="AG115" s="445">
        <f t="shared" si="24"/>
        <v>345.57600000000008</v>
      </c>
      <c r="AH115" s="446" t="s">
        <v>308</v>
      </c>
    </row>
    <row r="116" spans="1:34" ht="16.5" hidden="1" thickBot="1">
      <c r="A116" s="418">
        <v>2017</v>
      </c>
      <c r="B116" s="152" t="s">
        <v>317</v>
      </c>
      <c r="C116" s="146" t="s">
        <v>304</v>
      </c>
      <c r="D116" s="146" t="s">
        <v>305</v>
      </c>
      <c r="E116" s="151" t="s">
        <v>316</v>
      </c>
      <c r="F116" s="433" t="s">
        <v>315</v>
      </c>
      <c r="G116" s="149" t="s">
        <v>212</v>
      </c>
      <c r="H116" s="447">
        <v>1037.3900000000001</v>
      </c>
      <c r="I116" s="447">
        <v>1014.2</v>
      </c>
      <c r="J116" s="447">
        <v>988.04</v>
      </c>
      <c r="K116" s="447">
        <v>980.29</v>
      </c>
      <c r="L116" s="447">
        <v>958.42</v>
      </c>
      <c r="M116" s="447">
        <v>933.68</v>
      </c>
      <c r="N116" s="447">
        <v>550.70000000000005</v>
      </c>
      <c r="O116" s="447">
        <v>1258.8800000000001</v>
      </c>
      <c r="P116" s="447">
        <v>1189.44</v>
      </c>
      <c r="Q116" s="447">
        <v>1055.07</v>
      </c>
      <c r="R116" s="447">
        <v>747.12</v>
      </c>
      <c r="S116" s="447">
        <v>688.02</v>
      </c>
      <c r="T116" s="448" t="s">
        <v>308</v>
      </c>
      <c r="V116" s="447">
        <f t="shared" si="25"/>
        <v>1141.1290000000001</v>
      </c>
      <c r="W116" s="447">
        <f t="shared" si="14"/>
        <v>1115.6200000000001</v>
      </c>
      <c r="X116" s="447">
        <f t="shared" si="15"/>
        <v>1086.8440000000001</v>
      </c>
      <c r="Y116" s="447">
        <f t="shared" si="16"/>
        <v>1078.319</v>
      </c>
      <c r="Z116" s="447">
        <f t="shared" si="17"/>
        <v>1054.2619999999999</v>
      </c>
      <c r="AA116" s="447">
        <f t="shared" si="18"/>
        <v>1027.048</v>
      </c>
      <c r="AB116" s="447">
        <f t="shared" si="19"/>
        <v>605.7700000000001</v>
      </c>
      <c r="AC116" s="447">
        <f t="shared" si="20"/>
        <v>1384.7680000000003</v>
      </c>
      <c r="AD116" s="447">
        <f t="shared" si="21"/>
        <v>1308.3840000000002</v>
      </c>
      <c r="AE116" s="447">
        <f t="shared" si="22"/>
        <v>1160.577</v>
      </c>
      <c r="AF116" s="447">
        <f t="shared" si="23"/>
        <v>821.83200000000011</v>
      </c>
      <c r="AG116" s="447">
        <f t="shared" si="24"/>
        <v>756.822</v>
      </c>
      <c r="AH116" s="448" t="s">
        <v>308</v>
      </c>
    </row>
    <row r="117" spans="1:34" ht="16.5" hidden="1" thickBot="1">
      <c r="A117" s="418">
        <v>2017</v>
      </c>
      <c r="B117" s="152" t="s">
        <v>317</v>
      </c>
      <c r="C117" s="146" t="s">
        <v>304</v>
      </c>
      <c r="D117" s="146" t="s">
        <v>305</v>
      </c>
      <c r="E117" s="151" t="s">
        <v>316</v>
      </c>
      <c r="F117" s="433" t="s">
        <v>315</v>
      </c>
      <c r="G117" s="149" t="s">
        <v>213</v>
      </c>
      <c r="H117" s="447">
        <v>900.02</v>
      </c>
      <c r="I117" s="447">
        <v>879.9</v>
      </c>
      <c r="J117" s="447">
        <v>857.19</v>
      </c>
      <c r="K117" s="447">
        <v>850.48</v>
      </c>
      <c r="L117" s="447">
        <v>831.51</v>
      </c>
      <c r="M117" s="447">
        <v>810.04</v>
      </c>
      <c r="N117" s="447">
        <v>477.77</v>
      </c>
      <c r="O117" s="447">
        <v>1092.18</v>
      </c>
      <c r="P117" s="447">
        <v>1031.94</v>
      </c>
      <c r="Q117" s="447">
        <v>915.36</v>
      </c>
      <c r="R117" s="447">
        <v>648.17999999999995</v>
      </c>
      <c r="S117" s="447">
        <v>596.91</v>
      </c>
      <c r="T117" s="448" t="s">
        <v>308</v>
      </c>
      <c r="V117" s="447">
        <f t="shared" si="25"/>
        <v>990.02200000000005</v>
      </c>
      <c r="W117" s="447">
        <f t="shared" si="14"/>
        <v>967.8900000000001</v>
      </c>
      <c r="X117" s="447">
        <f t="shared" si="15"/>
        <v>942.90900000000011</v>
      </c>
      <c r="Y117" s="447">
        <f t="shared" si="16"/>
        <v>935.52800000000013</v>
      </c>
      <c r="Z117" s="447">
        <f t="shared" si="17"/>
        <v>914.66100000000006</v>
      </c>
      <c r="AA117" s="447">
        <f t="shared" si="18"/>
        <v>891.04399999999998</v>
      </c>
      <c r="AB117" s="447">
        <f t="shared" si="19"/>
        <v>525.54700000000003</v>
      </c>
      <c r="AC117" s="447">
        <f t="shared" si="20"/>
        <v>1201.3980000000001</v>
      </c>
      <c r="AD117" s="447">
        <f t="shared" si="21"/>
        <v>1135.1340000000002</v>
      </c>
      <c r="AE117" s="447">
        <f t="shared" si="22"/>
        <v>1006.8960000000001</v>
      </c>
      <c r="AF117" s="447">
        <f t="shared" si="23"/>
        <v>712.99800000000005</v>
      </c>
      <c r="AG117" s="447">
        <f t="shared" si="24"/>
        <v>656.601</v>
      </c>
      <c r="AH117" s="448" t="s">
        <v>308</v>
      </c>
    </row>
    <row r="118" spans="1:34" ht="16.5" hidden="1" thickBot="1">
      <c r="A118" s="419">
        <v>2017</v>
      </c>
      <c r="B118" s="426" t="s">
        <v>317</v>
      </c>
      <c r="C118" s="421" t="s">
        <v>304</v>
      </c>
      <c r="D118" s="421" t="s">
        <v>305</v>
      </c>
      <c r="E118" s="431" t="s">
        <v>316</v>
      </c>
      <c r="F118" s="434" t="s">
        <v>315</v>
      </c>
      <c r="G118" s="424" t="s">
        <v>214</v>
      </c>
      <c r="H118" s="449">
        <v>1440.03</v>
      </c>
      <c r="I118" s="449">
        <v>1407.84</v>
      </c>
      <c r="J118" s="449">
        <v>1371.51</v>
      </c>
      <c r="K118" s="449">
        <v>1360.77</v>
      </c>
      <c r="L118" s="449">
        <v>1330.41</v>
      </c>
      <c r="M118" s="449">
        <v>1296.07</v>
      </c>
      <c r="N118" s="449">
        <v>764.44</v>
      </c>
      <c r="O118" s="449">
        <v>1747.49</v>
      </c>
      <c r="P118" s="449">
        <v>1651.09</v>
      </c>
      <c r="Q118" s="449">
        <v>1464.58</v>
      </c>
      <c r="R118" s="449">
        <v>1037.0899999999999</v>
      </c>
      <c r="S118" s="449">
        <v>955.05</v>
      </c>
      <c r="T118" s="450" t="s">
        <v>308</v>
      </c>
      <c r="V118" s="449">
        <f t="shared" si="25"/>
        <v>1584.0330000000001</v>
      </c>
      <c r="W118" s="449">
        <f t="shared" si="14"/>
        <v>1548.624</v>
      </c>
      <c r="X118" s="449">
        <f t="shared" si="15"/>
        <v>1508.6610000000001</v>
      </c>
      <c r="Y118" s="449">
        <f t="shared" si="16"/>
        <v>1496.8470000000002</v>
      </c>
      <c r="Z118" s="449">
        <f t="shared" si="17"/>
        <v>1463.4510000000002</v>
      </c>
      <c r="AA118" s="449">
        <f t="shared" si="18"/>
        <v>1425.6770000000001</v>
      </c>
      <c r="AB118" s="449">
        <f t="shared" si="19"/>
        <v>840.88400000000013</v>
      </c>
      <c r="AC118" s="449">
        <f t="shared" si="20"/>
        <v>1922.2390000000003</v>
      </c>
      <c r="AD118" s="449">
        <f t="shared" si="21"/>
        <v>1816.1990000000001</v>
      </c>
      <c r="AE118" s="449">
        <f t="shared" si="22"/>
        <v>1611.038</v>
      </c>
      <c r="AF118" s="449">
        <f t="shared" si="23"/>
        <v>1140.799</v>
      </c>
      <c r="AG118" s="449">
        <f t="shared" si="24"/>
        <v>1050.5550000000001</v>
      </c>
      <c r="AH118" s="450" t="s">
        <v>308</v>
      </c>
    </row>
    <row r="119" spans="1:34" ht="16.5" hidden="1" thickBot="1">
      <c r="A119" s="412">
        <v>2017</v>
      </c>
      <c r="B119" s="425" t="s">
        <v>317</v>
      </c>
      <c r="C119" s="414" t="s">
        <v>309</v>
      </c>
      <c r="D119" s="414" t="s">
        <v>310</v>
      </c>
      <c r="E119" s="430" t="s">
        <v>316</v>
      </c>
      <c r="F119" s="432" t="s">
        <v>315</v>
      </c>
      <c r="G119" s="417" t="s">
        <v>211</v>
      </c>
      <c r="H119" s="445">
        <v>520.54</v>
      </c>
      <c r="I119" s="445">
        <v>508.91</v>
      </c>
      <c r="J119" s="445">
        <v>495.78</v>
      </c>
      <c r="K119" s="445">
        <v>491.89</v>
      </c>
      <c r="L119" s="445">
        <v>480.92</v>
      </c>
      <c r="M119" s="445">
        <v>468.5</v>
      </c>
      <c r="N119" s="445">
        <v>276.33</v>
      </c>
      <c r="O119" s="445">
        <v>631.67999999999995</v>
      </c>
      <c r="P119" s="445">
        <v>596.84</v>
      </c>
      <c r="Q119" s="445">
        <v>529.41999999999996</v>
      </c>
      <c r="R119" s="445">
        <v>374.89</v>
      </c>
      <c r="S119" s="445">
        <v>345.23</v>
      </c>
      <c r="T119" s="446" t="s">
        <v>308</v>
      </c>
      <c r="V119" s="445">
        <f t="shared" si="25"/>
        <v>572.59400000000005</v>
      </c>
      <c r="W119" s="445">
        <f t="shared" si="14"/>
        <v>559.80100000000004</v>
      </c>
      <c r="X119" s="445">
        <f t="shared" si="15"/>
        <v>545.35800000000006</v>
      </c>
      <c r="Y119" s="445">
        <f t="shared" si="16"/>
        <v>541.07900000000006</v>
      </c>
      <c r="Z119" s="445">
        <f t="shared" si="17"/>
        <v>529.01200000000006</v>
      </c>
      <c r="AA119" s="445">
        <f t="shared" si="18"/>
        <v>515.35</v>
      </c>
      <c r="AB119" s="445">
        <f t="shared" si="19"/>
        <v>303.96300000000002</v>
      </c>
      <c r="AC119" s="445">
        <f t="shared" si="20"/>
        <v>694.84799999999996</v>
      </c>
      <c r="AD119" s="445">
        <f t="shared" si="21"/>
        <v>656.52400000000011</v>
      </c>
      <c r="AE119" s="445">
        <f t="shared" si="22"/>
        <v>582.36199999999997</v>
      </c>
      <c r="AF119" s="445">
        <f t="shared" si="23"/>
        <v>412.37900000000002</v>
      </c>
      <c r="AG119" s="445">
        <f t="shared" si="24"/>
        <v>379.75300000000004</v>
      </c>
      <c r="AH119" s="446" t="s">
        <v>308</v>
      </c>
    </row>
    <row r="120" spans="1:34" ht="16.5" hidden="1" thickBot="1">
      <c r="A120" s="418">
        <v>2017</v>
      </c>
      <c r="B120" s="152" t="s">
        <v>317</v>
      </c>
      <c r="C120" s="146" t="s">
        <v>309</v>
      </c>
      <c r="D120" s="146" t="s">
        <v>310</v>
      </c>
      <c r="E120" s="151" t="s">
        <v>316</v>
      </c>
      <c r="F120" s="433" t="s">
        <v>315</v>
      </c>
      <c r="G120" s="149" t="s">
        <v>212</v>
      </c>
      <c r="H120" s="447">
        <v>1139.99</v>
      </c>
      <c r="I120" s="447">
        <v>1114.5</v>
      </c>
      <c r="J120" s="447">
        <v>1085.76</v>
      </c>
      <c r="K120" s="447">
        <v>1077.24</v>
      </c>
      <c r="L120" s="447">
        <v>1053.21</v>
      </c>
      <c r="M120" s="447">
        <v>1026.02</v>
      </c>
      <c r="N120" s="447">
        <v>605.16999999999996</v>
      </c>
      <c r="O120" s="447">
        <v>1383.39</v>
      </c>
      <c r="P120" s="447">
        <v>1307.08</v>
      </c>
      <c r="Q120" s="447">
        <v>1159.42</v>
      </c>
      <c r="R120" s="447">
        <v>821.01</v>
      </c>
      <c r="S120" s="447">
        <v>756.06</v>
      </c>
      <c r="T120" s="448" t="s">
        <v>308</v>
      </c>
      <c r="V120" s="447">
        <f t="shared" si="25"/>
        <v>1253.989</v>
      </c>
      <c r="W120" s="447">
        <f t="shared" si="14"/>
        <v>1225.95</v>
      </c>
      <c r="X120" s="447">
        <f t="shared" si="15"/>
        <v>1194.336</v>
      </c>
      <c r="Y120" s="447">
        <f t="shared" si="16"/>
        <v>1184.9640000000002</v>
      </c>
      <c r="Z120" s="447">
        <f t="shared" si="17"/>
        <v>1158.5310000000002</v>
      </c>
      <c r="AA120" s="447">
        <f t="shared" si="18"/>
        <v>1128.6220000000001</v>
      </c>
      <c r="AB120" s="447">
        <f t="shared" si="19"/>
        <v>665.68700000000001</v>
      </c>
      <c r="AC120" s="447">
        <f t="shared" si="20"/>
        <v>1521.7290000000003</v>
      </c>
      <c r="AD120" s="447">
        <f t="shared" si="21"/>
        <v>1437.788</v>
      </c>
      <c r="AE120" s="447">
        <f t="shared" si="22"/>
        <v>1275.3620000000001</v>
      </c>
      <c r="AF120" s="447">
        <f t="shared" si="23"/>
        <v>903.1110000000001</v>
      </c>
      <c r="AG120" s="447">
        <f t="shared" si="24"/>
        <v>831.66600000000005</v>
      </c>
      <c r="AH120" s="448" t="s">
        <v>308</v>
      </c>
    </row>
    <row r="121" spans="1:34" ht="16.5" hidden="1" thickBot="1">
      <c r="A121" s="418">
        <v>2017</v>
      </c>
      <c r="B121" s="152" t="s">
        <v>317</v>
      </c>
      <c r="C121" s="146" t="s">
        <v>309</v>
      </c>
      <c r="D121" s="146" t="s">
        <v>310</v>
      </c>
      <c r="E121" s="151" t="s">
        <v>316</v>
      </c>
      <c r="F121" s="433" t="s">
        <v>315</v>
      </c>
      <c r="G121" s="149" t="s">
        <v>213</v>
      </c>
      <c r="H121" s="447">
        <v>989.04</v>
      </c>
      <c r="I121" s="447">
        <v>966.92</v>
      </c>
      <c r="J121" s="447">
        <v>941.97</v>
      </c>
      <c r="K121" s="447">
        <v>934.59</v>
      </c>
      <c r="L121" s="447">
        <v>913.75</v>
      </c>
      <c r="M121" s="447">
        <v>890.15</v>
      </c>
      <c r="N121" s="447">
        <v>525.03</v>
      </c>
      <c r="O121" s="447">
        <v>1200.2</v>
      </c>
      <c r="P121" s="447">
        <v>1134</v>
      </c>
      <c r="Q121" s="447">
        <v>1005.89</v>
      </c>
      <c r="R121" s="447">
        <v>712.29</v>
      </c>
      <c r="S121" s="447">
        <v>655.95</v>
      </c>
      <c r="T121" s="448" t="s">
        <v>308</v>
      </c>
      <c r="V121" s="447">
        <f t="shared" si="25"/>
        <v>1087.944</v>
      </c>
      <c r="W121" s="447">
        <f t="shared" si="14"/>
        <v>1063.6120000000001</v>
      </c>
      <c r="X121" s="447">
        <f t="shared" si="15"/>
        <v>1036.1670000000001</v>
      </c>
      <c r="Y121" s="447">
        <f t="shared" si="16"/>
        <v>1028.0490000000002</v>
      </c>
      <c r="Z121" s="447">
        <f t="shared" si="17"/>
        <v>1005.1250000000001</v>
      </c>
      <c r="AA121" s="447">
        <f t="shared" si="18"/>
        <v>979.16500000000008</v>
      </c>
      <c r="AB121" s="447">
        <f t="shared" si="19"/>
        <v>577.53300000000002</v>
      </c>
      <c r="AC121" s="447">
        <f t="shared" si="20"/>
        <v>1320.2200000000003</v>
      </c>
      <c r="AD121" s="447">
        <f t="shared" si="21"/>
        <v>1247.4000000000001</v>
      </c>
      <c r="AE121" s="447">
        <f t="shared" si="22"/>
        <v>1106.479</v>
      </c>
      <c r="AF121" s="447">
        <f t="shared" si="23"/>
        <v>783.51900000000001</v>
      </c>
      <c r="AG121" s="447">
        <f t="shared" si="24"/>
        <v>721.54500000000007</v>
      </c>
      <c r="AH121" s="448" t="s">
        <v>308</v>
      </c>
    </row>
    <row r="122" spans="1:34" ht="16.5" hidden="1" thickBot="1">
      <c r="A122" s="419">
        <v>2017</v>
      </c>
      <c r="B122" s="426" t="s">
        <v>317</v>
      </c>
      <c r="C122" s="421" t="s">
        <v>309</v>
      </c>
      <c r="D122" s="421" t="s">
        <v>310</v>
      </c>
      <c r="E122" s="431" t="s">
        <v>316</v>
      </c>
      <c r="F122" s="434" t="s">
        <v>315</v>
      </c>
      <c r="G122" s="424" t="s">
        <v>214</v>
      </c>
      <c r="H122" s="449">
        <v>1582.45</v>
      </c>
      <c r="I122" s="449">
        <v>1547.08</v>
      </c>
      <c r="J122" s="449">
        <v>1507.16</v>
      </c>
      <c r="K122" s="449">
        <v>1495.35</v>
      </c>
      <c r="L122" s="449">
        <v>1461.99</v>
      </c>
      <c r="M122" s="449">
        <v>1424.25</v>
      </c>
      <c r="N122" s="449">
        <v>840.04</v>
      </c>
      <c r="O122" s="449">
        <v>1920.32</v>
      </c>
      <c r="P122" s="449">
        <v>1814.39</v>
      </c>
      <c r="Q122" s="449">
        <v>1609.42</v>
      </c>
      <c r="R122" s="449">
        <v>1139.6600000000001</v>
      </c>
      <c r="S122" s="449">
        <v>1049.51</v>
      </c>
      <c r="T122" s="450" t="s">
        <v>308</v>
      </c>
      <c r="V122" s="449">
        <f t="shared" si="25"/>
        <v>1740.6950000000002</v>
      </c>
      <c r="W122" s="449">
        <f t="shared" si="14"/>
        <v>1701.788</v>
      </c>
      <c r="X122" s="449">
        <f t="shared" si="15"/>
        <v>1657.8760000000002</v>
      </c>
      <c r="Y122" s="449">
        <f t="shared" si="16"/>
        <v>1644.885</v>
      </c>
      <c r="Z122" s="449">
        <f t="shared" si="17"/>
        <v>1608.1890000000001</v>
      </c>
      <c r="AA122" s="449">
        <f t="shared" si="18"/>
        <v>1566.6750000000002</v>
      </c>
      <c r="AB122" s="449">
        <f t="shared" si="19"/>
        <v>924.04399999999998</v>
      </c>
      <c r="AC122" s="449">
        <f t="shared" si="20"/>
        <v>2112.3520000000003</v>
      </c>
      <c r="AD122" s="449">
        <f t="shared" si="21"/>
        <v>1995.8290000000002</v>
      </c>
      <c r="AE122" s="449">
        <f t="shared" si="22"/>
        <v>1770.3620000000003</v>
      </c>
      <c r="AF122" s="449">
        <f t="shared" si="23"/>
        <v>1253.6260000000002</v>
      </c>
      <c r="AG122" s="449">
        <f t="shared" si="24"/>
        <v>1154.461</v>
      </c>
      <c r="AH122" s="450" t="s">
        <v>308</v>
      </c>
    </row>
    <row r="123" spans="1:34" ht="16.5" hidden="1" thickBot="1">
      <c r="A123" s="412">
        <v>2017</v>
      </c>
      <c r="B123" s="425" t="s">
        <v>317</v>
      </c>
      <c r="C123" s="414" t="s">
        <v>311</v>
      </c>
      <c r="D123" s="414" t="s">
        <v>312</v>
      </c>
      <c r="E123" s="430" t="s">
        <v>316</v>
      </c>
      <c r="F123" s="432" t="s">
        <v>315</v>
      </c>
      <c r="G123" s="417" t="s">
        <v>211</v>
      </c>
      <c r="H123" s="445">
        <v>547.94000000000005</v>
      </c>
      <c r="I123" s="445">
        <v>535.69000000000005</v>
      </c>
      <c r="J123" s="445">
        <v>521.87</v>
      </c>
      <c r="K123" s="445">
        <v>517.78</v>
      </c>
      <c r="L123" s="445">
        <v>506.23</v>
      </c>
      <c r="M123" s="445">
        <v>493.16</v>
      </c>
      <c r="N123" s="445">
        <v>290.87</v>
      </c>
      <c r="O123" s="445">
        <v>664.93</v>
      </c>
      <c r="P123" s="445">
        <v>628.25</v>
      </c>
      <c r="Q123" s="445">
        <v>557.28</v>
      </c>
      <c r="R123" s="445">
        <v>394.62</v>
      </c>
      <c r="S123" s="445">
        <v>363.4</v>
      </c>
      <c r="T123" s="446" t="s">
        <v>308</v>
      </c>
      <c r="V123" s="445">
        <f t="shared" si="25"/>
        <v>602.73400000000015</v>
      </c>
      <c r="W123" s="445">
        <f t="shared" si="14"/>
        <v>589.25900000000013</v>
      </c>
      <c r="X123" s="445">
        <f t="shared" si="15"/>
        <v>574.05700000000002</v>
      </c>
      <c r="Y123" s="445">
        <f t="shared" si="16"/>
        <v>569.55799999999999</v>
      </c>
      <c r="Z123" s="445">
        <f t="shared" si="17"/>
        <v>556.85300000000007</v>
      </c>
      <c r="AA123" s="445">
        <f t="shared" si="18"/>
        <v>542.47600000000011</v>
      </c>
      <c r="AB123" s="445">
        <f t="shared" si="19"/>
        <v>319.95700000000005</v>
      </c>
      <c r="AC123" s="445">
        <f t="shared" si="20"/>
        <v>731.423</v>
      </c>
      <c r="AD123" s="445">
        <f t="shared" si="21"/>
        <v>691.07500000000005</v>
      </c>
      <c r="AE123" s="445">
        <f t="shared" si="22"/>
        <v>613.00800000000004</v>
      </c>
      <c r="AF123" s="445">
        <f t="shared" si="23"/>
        <v>434.08200000000005</v>
      </c>
      <c r="AG123" s="445">
        <f t="shared" si="24"/>
        <v>399.74</v>
      </c>
      <c r="AH123" s="446" t="s">
        <v>308</v>
      </c>
    </row>
    <row r="124" spans="1:34" ht="16.5" hidden="1" thickBot="1">
      <c r="A124" s="418">
        <v>2017</v>
      </c>
      <c r="B124" s="152" t="s">
        <v>317</v>
      </c>
      <c r="C124" s="146" t="s">
        <v>311</v>
      </c>
      <c r="D124" s="146" t="s">
        <v>312</v>
      </c>
      <c r="E124" s="151" t="s">
        <v>316</v>
      </c>
      <c r="F124" s="433" t="s">
        <v>315</v>
      </c>
      <c r="G124" s="149" t="s">
        <v>212</v>
      </c>
      <c r="H124" s="447">
        <v>1199.99</v>
      </c>
      <c r="I124" s="447">
        <v>1173.1600000000001</v>
      </c>
      <c r="J124" s="447">
        <v>1142.9000000000001</v>
      </c>
      <c r="K124" s="447">
        <v>1133.94</v>
      </c>
      <c r="L124" s="447">
        <v>1108.6400000000001</v>
      </c>
      <c r="M124" s="447">
        <v>1080.02</v>
      </c>
      <c r="N124" s="447">
        <v>637.02</v>
      </c>
      <c r="O124" s="447">
        <v>1456.2</v>
      </c>
      <c r="P124" s="447">
        <v>1375.87</v>
      </c>
      <c r="Q124" s="447">
        <v>1220.44</v>
      </c>
      <c r="R124" s="447">
        <v>864.22</v>
      </c>
      <c r="S124" s="447">
        <v>795.85</v>
      </c>
      <c r="T124" s="448" t="s">
        <v>308</v>
      </c>
      <c r="V124" s="447">
        <f t="shared" si="25"/>
        <v>1319.989</v>
      </c>
      <c r="W124" s="447">
        <f t="shared" si="14"/>
        <v>1290.4760000000001</v>
      </c>
      <c r="X124" s="447">
        <f t="shared" si="15"/>
        <v>1257.1900000000003</v>
      </c>
      <c r="Y124" s="447">
        <f t="shared" si="16"/>
        <v>1247.3340000000001</v>
      </c>
      <c r="Z124" s="447">
        <f t="shared" si="17"/>
        <v>1219.5040000000001</v>
      </c>
      <c r="AA124" s="447">
        <f t="shared" si="18"/>
        <v>1188.0220000000002</v>
      </c>
      <c r="AB124" s="447">
        <f t="shared" si="19"/>
        <v>700.72199999999998</v>
      </c>
      <c r="AC124" s="447">
        <f t="shared" si="20"/>
        <v>1601.8200000000002</v>
      </c>
      <c r="AD124" s="447">
        <f t="shared" si="21"/>
        <v>1513.4570000000001</v>
      </c>
      <c r="AE124" s="447">
        <f t="shared" si="22"/>
        <v>1342.4840000000002</v>
      </c>
      <c r="AF124" s="447">
        <f t="shared" si="23"/>
        <v>950.64200000000005</v>
      </c>
      <c r="AG124" s="447">
        <f t="shared" si="24"/>
        <v>875.43500000000006</v>
      </c>
      <c r="AH124" s="448" t="s">
        <v>308</v>
      </c>
    </row>
    <row r="125" spans="1:34" ht="16.5" hidden="1" thickBot="1">
      <c r="A125" s="418">
        <v>2017</v>
      </c>
      <c r="B125" s="152" t="s">
        <v>317</v>
      </c>
      <c r="C125" s="146" t="s">
        <v>311</v>
      </c>
      <c r="D125" s="146" t="s">
        <v>312</v>
      </c>
      <c r="E125" s="151" t="s">
        <v>316</v>
      </c>
      <c r="F125" s="433" t="s">
        <v>315</v>
      </c>
      <c r="G125" s="149" t="s">
        <v>213</v>
      </c>
      <c r="H125" s="447">
        <v>1041.0899999999999</v>
      </c>
      <c r="I125" s="447">
        <v>1017.81</v>
      </c>
      <c r="J125" s="447">
        <v>991.55</v>
      </c>
      <c r="K125" s="447">
        <v>983.78</v>
      </c>
      <c r="L125" s="447">
        <v>961.84</v>
      </c>
      <c r="M125" s="447">
        <v>937</v>
      </c>
      <c r="N125" s="447">
        <v>552.66</v>
      </c>
      <c r="O125" s="447">
        <v>1263.3699999999999</v>
      </c>
      <c r="P125" s="447">
        <v>1193.68</v>
      </c>
      <c r="Q125" s="447">
        <v>1058.83</v>
      </c>
      <c r="R125" s="447">
        <v>749.78</v>
      </c>
      <c r="S125" s="447">
        <v>690.47</v>
      </c>
      <c r="T125" s="448" t="s">
        <v>308</v>
      </c>
      <c r="V125" s="447">
        <f t="shared" si="25"/>
        <v>1145.1990000000001</v>
      </c>
      <c r="W125" s="447">
        <f t="shared" si="14"/>
        <v>1119.5910000000001</v>
      </c>
      <c r="X125" s="447">
        <f t="shared" si="15"/>
        <v>1090.7049999999999</v>
      </c>
      <c r="Y125" s="447">
        <f t="shared" si="16"/>
        <v>1082.1580000000001</v>
      </c>
      <c r="Z125" s="447">
        <f t="shared" si="17"/>
        <v>1058.0240000000001</v>
      </c>
      <c r="AA125" s="447">
        <f t="shared" si="18"/>
        <v>1030.7</v>
      </c>
      <c r="AB125" s="447">
        <f t="shared" si="19"/>
        <v>607.92600000000004</v>
      </c>
      <c r="AC125" s="447">
        <f t="shared" si="20"/>
        <v>1389.7069999999999</v>
      </c>
      <c r="AD125" s="447">
        <f t="shared" si="21"/>
        <v>1313.0480000000002</v>
      </c>
      <c r="AE125" s="447">
        <f t="shared" si="22"/>
        <v>1164.713</v>
      </c>
      <c r="AF125" s="447">
        <f t="shared" si="23"/>
        <v>824.75800000000004</v>
      </c>
      <c r="AG125" s="447">
        <f t="shared" si="24"/>
        <v>759.51700000000005</v>
      </c>
      <c r="AH125" s="448" t="s">
        <v>308</v>
      </c>
    </row>
    <row r="126" spans="1:34" ht="16.5" hidden="1" thickBot="1">
      <c r="A126" s="419">
        <v>2017</v>
      </c>
      <c r="B126" s="426" t="s">
        <v>317</v>
      </c>
      <c r="C126" s="421" t="s">
        <v>311</v>
      </c>
      <c r="D126" s="421" t="s">
        <v>312</v>
      </c>
      <c r="E126" s="431" t="s">
        <v>316</v>
      </c>
      <c r="F126" s="434" t="s">
        <v>315</v>
      </c>
      <c r="G126" s="424" t="s">
        <v>214</v>
      </c>
      <c r="H126" s="449">
        <v>1665.74</v>
      </c>
      <c r="I126" s="449">
        <v>1628.5</v>
      </c>
      <c r="J126" s="449">
        <v>1586.48</v>
      </c>
      <c r="K126" s="449">
        <v>1574.05</v>
      </c>
      <c r="L126" s="449">
        <v>1538.94</v>
      </c>
      <c r="M126" s="449">
        <v>1499.21</v>
      </c>
      <c r="N126" s="449">
        <v>884.26</v>
      </c>
      <c r="O126" s="449">
        <v>2021.39</v>
      </c>
      <c r="P126" s="449">
        <v>1909.88</v>
      </c>
      <c r="Q126" s="449">
        <v>1694.13</v>
      </c>
      <c r="R126" s="449">
        <v>1199.6400000000001</v>
      </c>
      <c r="S126" s="449">
        <v>1104.75</v>
      </c>
      <c r="T126" s="450" t="s">
        <v>308</v>
      </c>
      <c r="V126" s="449">
        <f t="shared" si="25"/>
        <v>1832.3140000000001</v>
      </c>
      <c r="W126" s="449">
        <f t="shared" si="14"/>
        <v>1791.3500000000001</v>
      </c>
      <c r="X126" s="449">
        <f t="shared" si="15"/>
        <v>1745.1280000000002</v>
      </c>
      <c r="Y126" s="449">
        <f t="shared" si="16"/>
        <v>1731.4550000000002</v>
      </c>
      <c r="Z126" s="449">
        <f t="shared" si="17"/>
        <v>1692.8340000000003</v>
      </c>
      <c r="AA126" s="449">
        <f t="shared" si="18"/>
        <v>1649.1310000000001</v>
      </c>
      <c r="AB126" s="449">
        <f t="shared" si="19"/>
        <v>972.68600000000004</v>
      </c>
      <c r="AC126" s="449">
        <f t="shared" si="20"/>
        <v>2223.5290000000005</v>
      </c>
      <c r="AD126" s="449">
        <f t="shared" si="21"/>
        <v>2100.8680000000004</v>
      </c>
      <c r="AE126" s="449">
        <f t="shared" si="22"/>
        <v>1863.5430000000003</v>
      </c>
      <c r="AF126" s="449">
        <f t="shared" si="23"/>
        <v>1319.6040000000003</v>
      </c>
      <c r="AG126" s="449">
        <f t="shared" si="24"/>
        <v>1215.2250000000001</v>
      </c>
      <c r="AH126" s="450" t="s">
        <v>308</v>
      </c>
    </row>
    <row r="127" spans="1:34" ht="16.5" hidden="1" thickBot="1">
      <c r="A127" s="412">
        <v>2017</v>
      </c>
      <c r="B127" s="425" t="s">
        <v>317</v>
      </c>
      <c r="C127" s="414" t="s">
        <v>313</v>
      </c>
      <c r="D127" s="414" t="s">
        <v>314</v>
      </c>
      <c r="E127" s="430" t="s">
        <v>316</v>
      </c>
      <c r="F127" s="432" t="s">
        <v>315</v>
      </c>
      <c r="G127" s="417" t="s">
        <v>211</v>
      </c>
      <c r="H127" s="445">
        <v>630.13</v>
      </c>
      <c r="I127" s="445">
        <v>616.04</v>
      </c>
      <c r="J127" s="445">
        <v>600.15</v>
      </c>
      <c r="K127" s="445">
        <v>595.45000000000005</v>
      </c>
      <c r="L127" s="445">
        <v>582.16</v>
      </c>
      <c r="M127" s="445">
        <v>567.13</v>
      </c>
      <c r="N127" s="445">
        <v>334.51</v>
      </c>
      <c r="O127" s="445">
        <v>764.67</v>
      </c>
      <c r="P127" s="445">
        <v>722.49</v>
      </c>
      <c r="Q127" s="445">
        <v>640.87</v>
      </c>
      <c r="R127" s="445">
        <v>453.81</v>
      </c>
      <c r="S127" s="445">
        <v>417.92</v>
      </c>
      <c r="T127" s="446" t="s">
        <v>308</v>
      </c>
      <c r="V127" s="445">
        <f t="shared" si="25"/>
        <v>693.14300000000003</v>
      </c>
      <c r="W127" s="445">
        <f t="shared" si="14"/>
        <v>677.64400000000001</v>
      </c>
      <c r="X127" s="445">
        <f t="shared" si="15"/>
        <v>660.16500000000008</v>
      </c>
      <c r="Y127" s="445">
        <f t="shared" si="16"/>
        <v>654.99500000000012</v>
      </c>
      <c r="Z127" s="445">
        <f t="shared" si="17"/>
        <v>640.37599999999998</v>
      </c>
      <c r="AA127" s="445">
        <f t="shared" si="18"/>
        <v>623.84300000000007</v>
      </c>
      <c r="AB127" s="445">
        <f t="shared" si="19"/>
        <v>367.96100000000001</v>
      </c>
      <c r="AC127" s="445">
        <f t="shared" si="20"/>
        <v>841.13700000000006</v>
      </c>
      <c r="AD127" s="445">
        <f t="shared" si="21"/>
        <v>794.73900000000003</v>
      </c>
      <c r="AE127" s="445">
        <f t="shared" si="22"/>
        <v>704.95700000000011</v>
      </c>
      <c r="AF127" s="445">
        <f t="shared" si="23"/>
        <v>499.19100000000003</v>
      </c>
      <c r="AG127" s="445">
        <f t="shared" si="24"/>
        <v>459.71200000000005</v>
      </c>
      <c r="AH127" s="446" t="s">
        <v>308</v>
      </c>
    </row>
    <row r="128" spans="1:34" ht="16.5" hidden="1" thickBot="1">
      <c r="A128" s="418">
        <v>2017</v>
      </c>
      <c r="B128" s="152" t="s">
        <v>317</v>
      </c>
      <c r="C128" s="146" t="s">
        <v>313</v>
      </c>
      <c r="D128" s="146" t="s">
        <v>314</v>
      </c>
      <c r="E128" s="151" t="s">
        <v>316</v>
      </c>
      <c r="F128" s="433" t="s">
        <v>315</v>
      </c>
      <c r="G128" s="149" t="s">
        <v>212</v>
      </c>
      <c r="H128" s="447">
        <v>1379.99</v>
      </c>
      <c r="I128" s="447">
        <v>1349.13</v>
      </c>
      <c r="J128" s="447">
        <v>1314.34</v>
      </c>
      <c r="K128" s="447">
        <v>1304.03</v>
      </c>
      <c r="L128" s="447">
        <v>1274.94</v>
      </c>
      <c r="M128" s="447">
        <v>1242.02</v>
      </c>
      <c r="N128" s="447">
        <v>732.57</v>
      </c>
      <c r="O128" s="447">
        <v>1674.63</v>
      </c>
      <c r="P128" s="447">
        <v>1582.25</v>
      </c>
      <c r="Q128" s="447">
        <v>1403.51</v>
      </c>
      <c r="R128" s="447">
        <v>993.86</v>
      </c>
      <c r="S128" s="447">
        <v>915.23</v>
      </c>
      <c r="T128" s="448" t="s">
        <v>308</v>
      </c>
      <c r="V128" s="447">
        <f t="shared" si="25"/>
        <v>1517.989</v>
      </c>
      <c r="W128" s="447">
        <f t="shared" si="14"/>
        <v>1484.0430000000003</v>
      </c>
      <c r="X128" s="447">
        <f t="shared" si="15"/>
        <v>1445.7740000000001</v>
      </c>
      <c r="Y128" s="447">
        <f t="shared" si="16"/>
        <v>1434.433</v>
      </c>
      <c r="Z128" s="447">
        <f t="shared" si="17"/>
        <v>1402.4340000000002</v>
      </c>
      <c r="AA128" s="447">
        <f t="shared" si="18"/>
        <v>1366.222</v>
      </c>
      <c r="AB128" s="447">
        <f t="shared" si="19"/>
        <v>805.82700000000011</v>
      </c>
      <c r="AC128" s="447">
        <f t="shared" si="20"/>
        <v>1842.0930000000003</v>
      </c>
      <c r="AD128" s="447">
        <f t="shared" si="21"/>
        <v>1740.4750000000001</v>
      </c>
      <c r="AE128" s="447">
        <f t="shared" si="22"/>
        <v>1543.8610000000001</v>
      </c>
      <c r="AF128" s="447">
        <f t="shared" si="23"/>
        <v>1093.2460000000001</v>
      </c>
      <c r="AG128" s="447">
        <f t="shared" si="24"/>
        <v>1006.7530000000002</v>
      </c>
      <c r="AH128" s="448" t="s">
        <v>308</v>
      </c>
    </row>
    <row r="129" spans="1:34" ht="16.5" hidden="1" thickBot="1">
      <c r="A129" s="418">
        <v>2017</v>
      </c>
      <c r="B129" s="152" t="s">
        <v>317</v>
      </c>
      <c r="C129" s="146" t="s">
        <v>313</v>
      </c>
      <c r="D129" s="146" t="s">
        <v>314</v>
      </c>
      <c r="E129" s="151" t="s">
        <v>316</v>
      </c>
      <c r="F129" s="433" t="s">
        <v>315</v>
      </c>
      <c r="G129" s="149" t="s">
        <v>213</v>
      </c>
      <c r="H129" s="447">
        <v>1197.25</v>
      </c>
      <c r="I129" s="447">
        <v>1170.48</v>
      </c>
      <c r="J129" s="447">
        <v>1140.28</v>
      </c>
      <c r="K129" s="447">
        <v>1131.3499999999999</v>
      </c>
      <c r="L129" s="447">
        <v>1106.1199999999999</v>
      </c>
      <c r="M129" s="447">
        <v>1077.55</v>
      </c>
      <c r="N129" s="447">
        <v>635.55999999999995</v>
      </c>
      <c r="O129" s="447">
        <v>1452.88</v>
      </c>
      <c r="P129" s="447">
        <v>1372.73</v>
      </c>
      <c r="Q129" s="447">
        <v>1217.6500000000001</v>
      </c>
      <c r="R129" s="447">
        <v>862.24</v>
      </c>
      <c r="S129" s="447">
        <v>794.04</v>
      </c>
      <c r="T129" s="448" t="s">
        <v>308</v>
      </c>
      <c r="V129" s="447">
        <f t="shared" si="25"/>
        <v>1316.9750000000001</v>
      </c>
      <c r="W129" s="447">
        <f t="shared" si="14"/>
        <v>1287.528</v>
      </c>
      <c r="X129" s="447">
        <f t="shared" si="15"/>
        <v>1254.308</v>
      </c>
      <c r="Y129" s="447">
        <f t="shared" si="16"/>
        <v>1244.4849999999999</v>
      </c>
      <c r="Z129" s="447">
        <f t="shared" si="17"/>
        <v>1216.732</v>
      </c>
      <c r="AA129" s="447">
        <f t="shared" si="18"/>
        <v>1185.3050000000001</v>
      </c>
      <c r="AB129" s="447">
        <f t="shared" si="19"/>
        <v>699.11599999999999</v>
      </c>
      <c r="AC129" s="447">
        <f t="shared" si="20"/>
        <v>1598.1680000000003</v>
      </c>
      <c r="AD129" s="447">
        <f t="shared" si="21"/>
        <v>1510.0030000000002</v>
      </c>
      <c r="AE129" s="447">
        <f t="shared" si="22"/>
        <v>1339.4150000000002</v>
      </c>
      <c r="AF129" s="447">
        <f t="shared" si="23"/>
        <v>948.46400000000006</v>
      </c>
      <c r="AG129" s="447">
        <f t="shared" si="24"/>
        <v>873.44400000000007</v>
      </c>
      <c r="AH129" s="448" t="s">
        <v>308</v>
      </c>
    </row>
    <row r="130" spans="1:34" ht="16.5" hidden="1" thickBot="1">
      <c r="A130" s="419">
        <v>2017</v>
      </c>
      <c r="B130" s="426" t="s">
        <v>317</v>
      </c>
      <c r="C130" s="421" t="s">
        <v>313</v>
      </c>
      <c r="D130" s="421" t="s">
        <v>314</v>
      </c>
      <c r="E130" s="431" t="s">
        <v>316</v>
      </c>
      <c r="F130" s="434" t="s">
        <v>315</v>
      </c>
      <c r="G130" s="424" t="s">
        <v>214</v>
      </c>
      <c r="H130" s="449">
        <v>1915.6</v>
      </c>
      <c r="I130" s="449">
        <v>1872.78</v>
      </c>
      <c r="J130" s="449">
        <v>1824.45</v>
      </c>
      <c r="K130" s="449">
        <v>1810.16</v>
      </c>
      <c r="L130" s="449">
        <v>1769.78</v>
      </c>
      <c r="M130" s="449">
        <v>1724.09</v>
      </c>
      <c r="N130" s="449">
        <v>1016.89</v>
      </c>
      <c r="O130" s="449">
        <v>2324.6</v>
      </c>
      <c r="P130" s="449">
        <v>2196.36</v>
      </c>
      <c r="Q130" s="449">
        <v>1948.25</v>
      </c>
      <c r="R130" s="449">
        <v>1379.59</v>
      </c>
      <c r="S130" s="449">
        <v>1270.46</v>
      </c>
      <c r="T130" s="450" t="s">
        <v>308</v>
      </c>
      <c r="V130" s="449">
        <f t="shared" si="25"/>
        <v>2107.16</v>
      </c>
      <c r="W130" s="449">
        <f t="shared" si="14"/>
        <v>2060.058</v>
      </c>
      <c r="X130" s="449">
        <f t="shared" si="15"/>
        <v>2006.8950000000002</v>
      </c>
      <c r="Y130" s="449">
        <f t="shared" si="16"/>
        <v>1991.1760000000002</v>
      </c>
      <c r="Z130" s="449">
        <f t="shared" si="17"/>
        <v>1946.758</v>
      </c>
      <c r="AA130" s="449">
        <f t="shared" si="18"/>
        <v>1896.499</v>
      </c>
      <c r="AB130" s="449">
        <f t="shared" si="19"/>
        <v>1118.5790000000002</v>
      </c>
      <c r="AC130" s="449">
        <f t="shared" si="20"/>
        <v>2557.06</v>
      </c>
      <c r="AD130" s="449">
        <f t="shared" si="21"/>
        <v>2415.9960000000005</v>
      </c>
      <c r="AE130" s="449">
        <f t="shared" si="22"/>
        <v>2143.0750000000003</v>
      </c>
      <c r="AF130" s="449">
        <f t="shared" si="23"/>
        <v>1517.549</v>
      </c>
      <c r="AG130" s="449">
        <f t="shared" si="24"/>
        <v>1397.5060000000001</v>
      </c>
      <c r="AH130" s="450" t="s">
        <v>308</v>
      </c>
    </row>
    <row r="131" spans="1:34">
      <c r="A131" s="427">
        <v>2018</v>
      </c>
      <c r="B131" s="413" t="s">
        <v>303</v>
      </c>
      <c r="C131" s="414" t="s">
        <v>304</v>
      </c>
      <c r="D131" s="414" t="s">
        <v>305</v>
      </c>
      <c r="E131" s="415" t="s">
        <v>306</v>
      </c>
      <c r="F131" s="416" t="s">
        <v>307</v>
      </c>
      <c r="G131" s="417" t="s">
        <v>211</v>
      </c>
      <c r="H131" s="445">
        <v>619.25</v>
      </c>
      <c r="I131" s="445">
        <v>605.22</v>
      </c>
      <c r="J131" s="445">
        <v>589.38</v>
      </c>
      <c r="K131" s="445">
        <v>558.24</v>
      </c>
      <c r="L131" s="445">
        <v>545.61</v>
      </c>
      <c r="M131" s="445">
        <v>531.35</v>
      </c>
      <c r="N131" s="445">
        <v>288.27999999999997</v>
      </c>
      <c r="O131" s="445">
        <v>679.61</v>
      </c>
      <c r="P131" s="445">
        <v>642.11</v>
      </c>
      <c r="Q131" s="445">
        <v>609.64</v>
      </c>
      <c r="R131" s="445">
        <v>411.07</v>
      </c>
      <c r="S131" s="445">
        <v>378.54</v>
      </c>
      <c r="T131" s="446">
        <v>399.4</v>
      </c>
      <c r="V131" s="445">
        <f t="shared" si="25"/>
        <v>681.17500000000007</v>
      </c>
      <c r="W131" s="445">
        <f t="shared" si="14"/>
        <v>665.74200000000008</v>
      </c>
      <c r="X131" s="445">
        <f t="shared" si="15"/>
        <v>648.3180000000001</v>
      </c>
      <c r="Y131" s="445">
        <f t="shared" si="16"/>
        <v>614.06400000000008</v>
      </c>
      <c r="Z131" s="445">
        <f t="shared" si="17"/>
        <v>600.17100000000005</v>
      </c>
      <c r="AA131" s="445">
        <f t="shared" si="18"/>
        <v>584.48500000000013</v>
      </c>
      <c r="AB131" s="445">
        <f t="shared" si="19"/>
        <v>317.108</v>
      </c>
      <c r="AC131" s="445">
        <f t="shared" si="20"/>
        <v>747.57100000000003</v>
      </c>
      <c r="AD131" s="445">
        <f t="shared" si="21"/>
        <v>706.32100000000003</v>
      </c>
      <c r="AE131" s="445">
        <f t="shared" si="22"/>
        <v>670.60400000000004</v>
      </c>
      <c r="AF131" s="445">
        <f t="shared" si="23"/>
        <v>452.17700000000002</v>
      </c>
      <c r="AG131" s="445">
        <f t="shared" si="24"/>
        <v>416.39400000000006</v>
      </c>
      <c r="AH131" s="446">
        <f t="shared" si="24"/>
        <v>439.34000000000003</v>
      </c>
    </row>
    <row r="132" spans="1:34">
      <c r="A132" s="428">
        <v>2018</v>
      </c>
      <c r="B132" s="145" t="s">
        <v>303</v>
      </c>
      <c r="C132" s="146" t="s">
        <v>304</v>
      </c>
      <c r="D132" s="146" t="s">
        <v>305</v>
      </c>
      <c r="E132" s="147" t="s">
        <v>306</v>
      </c>
      <c r="F132" s="148" t="s">
        <v>307</v>
      </c>
      <c r="G132" s="149" t="s">
        <v>212</v>
      </c>
      <c r="H132" s="447">
        <v>1356.15</v>
      </c>
      <c r="I132" s="447">
        <v>1325.44</v>
      </c>
      <c r="J132" s="447">
        <v>1290.75</v>
      </c>
      <c r="K132" s="447">
        <v>1222.55</v>
      </c>
      <c r="L132" s="447">
        <v>1194.8900000000001</v>
      </c>
      <c r="M132" s="447">
        <v>1163.6600000000001</v>
      </c>
      <c r="N132" s="447">
        <v>631.34</v>
      </c>
      <c r="O132" s="447">
        <v>1488.35</v>
      </c>
      <c r="P132" s="447">
        <v>1406.22</v>
      </c>
      <c r="Q132" s="447">
        <v>1335.11</v>
      </c>
      <c r="R132" s="447">
        <v>900.25</v>
      </c>
      <c r="S132" s="447">
        <v>829</v>
      </c>
      <c r="T132" s="448">
        <v>874.68</v>
      </c>
      <c r="V132" s="447">
        <f t="shared" si="25"/>
        <v>1491.7650000000003</v>
      </c>
      <c r="W132" s="447">
        <f t="shared" si="14"/>
        <v>1457.9840000000002</v>
      </c>
      <c r="X132" s="447">
        <f t="shared" si="15"/>
        <v>1419.825</v>
      </c>
      <c r="Y132" s="447">
        <f t="shared" si="16"/>
        <v>1344.8050000000001</v>
      </c>
      <c r="Z132" s="447">
        <f t="shared" si="17"/>
        <v>1314.3790000000001</v>
      </c>
      <c r="AA132" s="447">
        <f t="shared" si="18"/>
        <v>1280.0260000000003</v>
      </c>
      <c r="AB132" s="447">
        <f t="shared" si="19"/>
        <v>694.47400000000005</v>
      </c>
      <c r="AC132" s="447">
        <f t="shared" si="20"/>
        <v>1637.1849999999999</v>
      </c>
      <c r="AD132" s="447">
        <f t="shared" si="21"/>
        <v>1546.8420000000001</v>
      </c>
      <c r="AE132" s="447">
        <f t="shared" si="22"/>
        <v>1468.6210000000001</v>
      </c>
      <c r="AF132" s="447">
        <f t="shared" si="23"/>
        <v>990.27500000000009</v>
      </c>
      <c r="AG132" s="447">
        <f t="shared" si="24"/>
        <v>911.90000000000009</v>
      </c>
      <c r="AH132" s="448">
        <f t="shared" si="24"/>
        <v>962.14800000000002</v>
      </c>
    </row>
    <row r="133" spans="1:34">
      <c r="A133" s="428">
        <v>2018</v>
      </c>
      <c r="B133" s="145" t="s">
        <v>303</v>
      </c>
      <c r="C133" s="146" t="s">
        <v>304</v>
      </c>
      <c r="D133" s="146" t="s">
        <v>305</v>
      </c>
      <c r="E133" s="147" t="s">
        <v>306</v>
      </c>
      <c r="F133" s="148" t="s">
        <v>307</v>
      </c>
      <c r="G133" s="149" t="s">
        <v>213</v>
      </c>
      <c r="H133" s="447">
        <v>1176.56</v>
      </c>
      <c r="I133" s="447">
        <v>1149.92</v>
      </c>
      <c r="J133" s="447">
        <v>1119.83</v>
      </c>
      <c r="K133" s="447">
        <v>1060.6600000000001</v>
      </c>
      <c r="L133" s="447">
        <v>1036.67</v>
      </c>
      <c r="M133" s="447">
        <v>1009.57</v>
      </c>
      <c r="N133" s="447">
        <v>547.74</v>
      </c>
      <c r="O133" s="447">
        <v>1291.27</v>
      </c>
      <c r="P133" s="447">
        <v>1220.01</v>
      </c>
      <c r="Q133" s="447">
        <v>1158.32</v>
      </c>
      <c r="R133" s="447">
        <v>781.03</v>
      </c>
      <c r="S133" s="447">
        <v>719.22</v>
      </c>
      <c r="T133" s="448">
        <v>758.85</v>
      </c>
      <c r="V133" s="447">
        <f t="shared" si="25"/>
        <v>1294.2160000000001</v>
      </c>
      <c r="W133" s="447">
        <f t="shared" si="14"/>
        <v>1264.9120000000003</v>
      </c>
      <c r="X133" s="447">
        <f t="shared" si="15"/>
        <v>1231.8130000000001</v>
      </c>
      <c r="Y133" s="447">
        <f t="shared" si="16"/>
        <v>1166.7260000000001</v>
      </c>
      <c r="Z133" s="447">
        <f t="shared" si="17"/>
        <v>1140.3370000000002</v>
      </c>
      <c r="AA133" s="447">
        <f t="shared" si="18"/>
        <v>1110.527</v>
      </c>
      <c r="AB133" s="447">
        <f t="shared" si="19"/>
        <v>602.51400000000001</v>
      </c>
      <c r="AC133" s="447">
        <f t="shared" si="20"/>
        <v>1420.3970000000002</v>
      </c>
      <c r="AD133" s="447">
        <f t="shared" si="21"/>
        <v>1342.0110000000002</v>
      </c>
      <c r="AE133" s="447">
        <f t="shared" si="22"/>
        <v>1274.152</v>
      </c>
      <c r="AF133" s="447">
        <f t="shared" si="23"/>
        <v>859.13300000000004</v>
      </c>
      <c r="AG133" s="447">
        <f t="shared" si="24"/>
        <v>791.14200000000005</v>
      </c>
      <c r="AH133" s="448">
        <f t="shared" si="24"/>
        <v>834.73500000000013</v>
      </c>
    </row>
    <row r="134" spans="1:34" ht="16.5" thickBot="1">
      <c r="A134" s="429">
        <v>2018</v>
      </c>
      <c r="B134" s="420" t="s">
        <v>303</v>
      </c>
      <c r="C134" s="421" t="s">
        <v>304</v>
      </c>
      <c r="D134" s="421" t="s">
        <v>305</v>
      </c>
      <c r="E134" s="422" t="s">
        <v>306</v>
      </c>
      <c r="F134" s="423" t="s">
        <v>307</v>
      </c>
      <c r="G134" s="424" t="s">
        <v>214</v>
      </c>
      <c r="H134" s="449">
        <v>1882.51</v>
      </c>
      <c r="I134" s="449">
        <v>1839.88</v>
      </c>
      <c r="J134" s="449">
        <v>1791.73</v>
      </c>
      <c r="K134" s="449">
        <v>1697.05</v>
      </c>
      <c r="L134" s="449">
        <v>1658.67</v>
      </c>
      <c r="M134" s="449">
        <v>1615.3</v>
      </c>
      <c r="N134" s="449">
        <v>876.38</v>
      </c>
      <c r="O134" s="449">
        <v>2066.02</v>
      </c>
      <c r="P134" s="449">
        <v>1952.01</v>
      </c>
      <c r="Q134" s="449">
        <v>1853.31</v>
      </c>
      <c r="R134" s="449">
        <v>1249.6600000000001</v>
      </c>
      <c r="S134" s="449">
        <v>1150.75</v>
      </c>
      <c r="T134" s="450">
        <v>1214.17</v>
      </c>
      <c r="V134" s="449">
        <f t="shared" si="25"/>
        <v>2070.761</v>
      </c>
      <c r="W134" s="449">
        <f t="shared" si="14"/>
        <v>2023.8680000000004</v>
      </c>
      <c r="X134" s="449">
        <f t="shared" si="15"/>
        <v>1970.9030000000002</v>
      </c>
      <c r="Y134" s="449">
        <f t="shared" si="16"/>
        <v>1866.7550000000001</v>
      </c>
      <c r="Z134" s="449">
        <f t="shared" si="17"/>
        <v>1824.5370000000003</v>
      </c>
      <c r="AA134" s="449">
        <f t="shared" si="18"/>
        <v>1776.8300000000002</v>
      </c>
      <c r="AB134" s="449">
        <f t="shared" si="19"/>
        <v>964.01800000000003</v>
      </c>
      <c r="AC134" s="449">
        <f t="shared" si="20"/>
        <v>2272.6220000000003</v>
      </c>
      <c r="AD134" s="449">
        <f t="shared" si="21"/>
        <v>2147.2110000000002</v>
      </c>
      <c r="AE134" s="449">
        <f t="shared" si="22"/>
        <v>2038.6410000000001</v>
      </c>
      <c r="AF134" s="449">
        <f t="shared" si="23"/>
        <v>1374.6260000000002</v>
      </c>
      <c r="AG134" s="449">
        <f t="shared" si="24"/>
        <v>1265.825</v>
      </c>
      <c r="AH134" s="450">
        <f t="shared" si="24"/>
        <v>1335.5870000000002</v>
      </c>
    </row>
    <row r="135" spans="1:34">
      <c r="A135" s="427">
        <v>2018</v>
      </c>
      <c r="B135" s="413" t="s">
        <v>303</v>
      </c>
      <c r="C135" s="414" t="s">
        <v>309</v>
      </c>
      <c r="D135" s="414" t="s">
        <v>310</v>
      </c>
      <c r="E135" s="415" t="s">
        <v>306</v>
      </c>
      <c r="F135" s="416" t="s">
        <v>307</v>
      </c>
      <c r="G135" s="417" t="s">
        <v>211</v>
      </c>
      <c r="H135" s="445">
        <v>680.49</v>
      </c>
      <c r="I135" s="445">
        <v>665.08</v>
      </c>
      <c r="J135" s="445">
        <v>647.66999999999996</v>
      </c>
      <c r="K135" s="445">
        <v>613.45000000000005</v>
      </c>
      <c r="L135" s="445">
        <v>599.58000000000004</v>
      </c>
      <c r="M135" s="445">
        <v>583.9</v>
      </c>
      <c r="N135" s="445">
        <v>316.8</v>
      </c>
      <c r="O135" s="445">
        <v>746.83</v>
      </c>
      <c r="P135" s="445">
        <v>705.61</v>
      </c>
      <c r="Q135" s="445">
        <v>669.93</v>
      </c>
      <c r="R135" s="445">
        <v>451.73</v>
      </c>
      <c r="S135" s="445">
        <v>415.98</v>
      </c>
      <c r="T135" s="446">
        <v>438.9</v>
      </c>
      <c r="V135" s="445">
        <f t="shared" ref="V135:V198" si="26">H135*1.1</f>
        <v>748.5390000000001</v>
      </c>
      <c r="W135" s="445">
        <f t="shared" ref="W135:W198" si="27">I135*1.1</f>
        <v>731.58800000000008</v>
      </c>
      <c r="X135" s="445">
        <f t="shared" ref="X135:X198" si="28">J135*1.1</f>
        <v>712.43700000000001</v>
      </c>
      <c r="Y135" s="445">
        <f t="shared" ref="Y135:Y198" si="29">K135*1.1</f>
        <v>674.79500000000007</v>
      </c>
      <c r="Z135" s="445">
        <f t="shared" ref="Z135:Z198" si="30">L135*1.1</f>
        <v>659.53800000000012</v>
      </c>
      <c r="AA135" s="445">
        <f t="shared" ref="AA135:AA198" si="31">M135*1.1</f>
        <v>642.29000000000008</v>
      </c>
      <c r="AB135" s="445">
        <f t="shared" ref="AB135:AB198" si="32">N135*1.1</f>
        <v>348.48</v>
      </c>
      <c r="AC135" s="445">
        <f t="shared" ref="AC135:AC198" si="33">O135*1.1</f>
        <v>821.51300000000015</v>
      </c>
      <c r="AD135" s="445">
        <f t="shared" ref="AD135:AD198" si="34">P135*1.1</f>
        <v>776.17100000000005</v>
      </c>
      <c r="AE135" s="445">
        <f t="shared" ref="AE135:AE198" si="35">Q135*1.1</f>
        <v>736.923</v>
      </c>
      <c r="AF135" s="445">
        <f t="shared" ref="AF135:AF198" si="36">R135*1.1</f>
        <v>496.90300000000008</v>
      </c>
      <c r="AG135" s="445">
        <f t="shared" ref="AG135:AG198" si="37">S135*1.1</f>
        <v>457.57800000000003</v>
      </c>
      <c r="AH135" s="446">
        <f t="shared" ref="AH135:AH198" si="38">T135*1.1</f>
        <v>482.79</v>
      </c>
    </row>
    <row r="136" spans="1:34">
      <c r="A136" s="428">
        <v>2018</v>
      </c>
      <c r="B136" s="145" t="s">
        <v>303</v>
      </c>
      <c r="C136" s="146" t="s">
        <v>309</v>
      </c>
      <c r="D136" s="146" t="s">
        <v>310</v>
      </c>
      <c r="E136" s="147" t="s">
        <v>306</v>
      </c>
      <c r="F136" s="148" t="s">
        <v>307</v>
      </c>
      <c r="G136" s="149" t="s">
        <v>212</v>
      </c>
      <c r="H136" s="447">
        <v>1490.27</v>
      </c>
      <c r="I136" s="447">
        <v>1456.52</v>
      </c>
      <c r="J136" s="447">
        <v>1418.41</v>
      </c>
      <c r="K136" s="447">
        <v>1343.46</v>
      </c>
      <c r="L136" s="447">
        <v>1313.07</v>
      </c>
      <c r="M136" s="447">
        <v>1278.74</v>
      </c>
      <c r="N136" s="447">
        <v>693.78</v>
      </c>
      <c r="O136" s="447">
        <v>1635.55</v>
      </c>
      <c r="P136" s="447">
        <v>1545.3</v>
      </c>
      <c r="Q136" s="447">
        <v>1467.15</v>
      </c>
      <c r="R136" s="447">
        <v>989.28</v>
      </c>
      <c r="S136" s="447">
        <v>910.99</v>
      </c>
      <c r="T136" s="448">
        <v>961.19</v>
      </c>
      <c r="V136" s="447">
        <f t="shared" si="26"/>
        <v>1639.297</v>
      </c>
      <c r="W136" s="447">
        <f t="shared" si="27"/>
        <v>1602.172</v>
      </c>
      <c r="X136" s="447">
        <f t="shared" si="28"/>
        <v>1560.2510000000002</v>
      </c>
      <c r="Y136" s="447">
        <f t="shared" si="29"/>
        <v>1477.8060000000003</v>
      </c>
      <c r="Z136" s="447">
        <f t="shared" si="30"/>
        <v>1444.377</v>
      </c>
      <c r="AA136" s="447">
        <f t="shared" si="31"/>
        <v>1406.614</v>
      </c>
      <c r="AB136" s="447">
        <f t="shared" si="32"/>
        <v>763.15800000000002</v>
      </c>
      <c r="AC136" s="447">
        <f t="shared" si="33"/>
        <v>1799.105</v>
      </c>
      <c r="AD136" s="447">
        <f t="shared" si="34"/>
        <v>1699.8300000000002</v>
      </c>
      <c r="AE136" s="447">
        <f t="shared" si="35"/>
        <v>1613.8650000000002</v>
      </c>
      <c r="AF136" s="447">
        <f t="shared" si="36"/>
        <v>1088.2080000000001</v>
      </c>
      <c r="AG136" s="447">
        <f t="shared" si="37"/>
        <v>1002.0890000000001</v>
      </c>
      <c r="AH136" s="448">
        <f t="shared" si="38"/>
        <v>1057.3090000000002</v>
      </c>
    </row>
    <row r="137" spans="1:34">
      <c r="A137" s="428">
        <v>2018</v>
      </c>
      <c r="B137" s="145" t="s">
        <v>303</v>
      </c>
      <c r="C137" s="146" t="s">
        <v>309</v>
      </c>
      <c r="D137" s="146" t="s">
        <v>310</v>
      </c>
      <c r="E137" s="147" t="s">
        <v>306</v>
      </c>
      <c r="F137" s="148" t="s">
        <v>307</v>
      </c>
      <c r="G137" s="149" t="s">
        <v>213</v>
      </c>
      <c r="H137" s="447">
        <v>1292.93</v>
      </c>
      <c r="I137" s="447">
        <v>1263.6500000000001</v>
      </c>
      <c r="J137" s="447">
        <v>1230.58</v>
      </c>
      <c r="K137" s="447">
        <v>1165.56</v>
      </c>
      <c r="L137" s="447">
        <v>1139.2</v>
      </c>
      <c r="M137" s="447">
        <v>1109.4100000000001</v>
      </c>
      <c r="N137" s="447">
        <v>601.91999999999996</v>
      </c>
      <c r="O137" s="447">
        <v>1418.98</v>
      </c>
      <c r="P137" s="447">
        <v>1340.67</v>
      </c>
      <c r="Q137" s="447">
        <v>1272.8699999999999</v>
      </c>
      <c r="R137" s="447">
        <v>858.28</v>
      </c>
      <c r="S137" s="447">
        <v>790.35</v>
      </c>
      <c r="T137" s="448">
        <v>833.91</v>
      </c>
      <c r="V137" s="447">
        <f t="shared" si="26"/>
        <v>1422.2230000000002</v>
      </c>
      <c r="W137" s="447">
        <f t="shared" si="27"/>
        <v>1390.0150000000001</v>
      </c>
      <c r="X137" s="447">
        <f t="shared" si="28"/>
        <v>1353.6379999999999</v>
      </c>
      <c r="Y137" s="447">
        <f t="shared" si="29"/>
        <v>1282.116</v>
      </c>
      <c r="Z137" s="447">
        <f t="shared" si="30"/>
        <v>1253.1200000000001</v>
      </c>
      <c r="AA137" s="447">
        <f t="shared" si="31"/>
        <v>1220.3510000000001</v>
      </c>
      <c r="AB137" s="447">
        <f t="shared" si="32"/>
        <v>662.11199999999997</v>
      </c>
      <c r="AC137" s="447">
        <f t="shared" si="33"/>
        <v>1560.8780000000002</v>
      </c>
      <c r="AD137" s="447">
        <f t="shared" si="34"/>
        <v>1474.7370000000003</v>
      </c>
      <c r="AE137" s="447">
        <f t="shared" si="35"/>
        <v>1400.1569999999999</v>
      </c>
      <c r="AF137" s="447">
        <f t="shared" si="36"/>
        <v>944.10800000000006</v>
      </c>
      <c r="AG137" s="447">
        <f t="shared" si="37"/>
        <v>869.3850000000001</v>
      </c>
      <c r="AH137" s="448">
        <f t="shared" si="38"/>
        <v>917.30100000000004</v>
      </c>
    </row>
    <row r="138" spans="1:34" ht="16.5" thickBot="1">
      <c r="A138" s="429">
        <v>2018</v>
      </c>
      <c r="B138" s="420" t="s">
        <v>303</v>
      </c>
      <c r="C138" s="421" t="s">
        <v>309</v>
      </c>
      <c r="D138" s="421" t="s">
        <v>310</v>
      </c>
      <c r="E138" s="422" t="s">
        <v>306</v>
      </c>
      <c r="F138" s="423" t="s">
        <v>307</v>
      </c>
      <c r="G138" s="424" t="s">
        <v>214</v>
      </c>
      <c r="H138" s="449">
        <v>2068.69</v>
      </c>
      <c r="I138" s="449">
        <v>2021.84</v>
      </c>
      <c r="J138" s="449">
        <v>1968.93</v>
      </c>
      <c r="K138" s="449">
        <v>1864.89</v>
      </c>
      <c r="L138" s="449">
        <v>1822.71</v>
      </c>
      <c r="M138" s="449">
        <v>1775.06</v>
      </c>
      <c r="N138" s="449">
        <v>963.06</v>
      </c>
      <c r="O138" s="449">
        <v>2270.36</v>
      </c>
      <c r="P138" s="449">
        <v>2145.0700000000002</v>
      </c>
      <c r="Q138" s="449">
        <v>2036.6</v>
      </c>
      <c r="R138" s="449">
        <v>1373.26</v>
      </c>
      <c r="S138" s="449">
        <v>1264.56</v>
      </c>
      <c r="T138" s="450">
        <v>1334.25</v>
      </c>
      <c r="V138" s="449">
        <f t="shared" si="26"/>
        <v>2275.5590000000002</v>
      </c>
      <c r="W138" s="449">
        <f t="shared" si="27"/>
        <v>2224.0239999999999</v>
      </c>
      <c r="X138" s="449">
        <f t="shared" si="28"/>
        <v>2165.8230000000003</v>
      </c>
      <c r="Y138" s="449">
        <f t="shared" si="29"/>
        <v>2051.3790000000004</v>
      </c>
      <c r="Z138" s="449">
        <f t="shared" si="30"/>
        <v>2004.9810000000002</v>
      </c>
      <c r="AA138" s="449">
        <f t="shared" si="31"/>
        <v>1952.566</v>
      </c>
      <c r="AB138" s="449">
        <f t="shared" si="32"/>
        <v>1059.366</v>
      </c>
      <c r="AC138" s="449">
        <f t="shared" si="33"/>
        <v>2497.3960000000002</v>
      </c>
      <c r="AD138" s="449">
        <f t="shared" si="34"/>
        <v>2359.5770000000002</v>
      </c>
      <c r="AE138" s="449">
        <f t="shared" si="35"/>
        <v>2240.2600000000002</v>
      </c>
      <c r="AF138" s="449">
        <f t="shared" si="36"/>
        <v>1510.586</v>
      </c>
      <c r="AG138" s="449">
        <f t="shared" si="37"/>
        <v>1391.0160000000001</v>
      </c>
      <c r="AH138" s="450">
        <f t="shared" si="38"/>
        <v>1467.6750000000002</v>
      </c>
    </row>
    <row r="139" spans="1:34">
      <c r="A139" s="427">
        <v>2018</v>
      </c>
      <c r="B139" s="413" t="s">
        <v>303</v>
      </c>
      <c r="C139" s="414" t="s">
        <v>311</v>
      </c>
      <c r="D139" s="414" t="s">
        <v>312</v>
      </c>
      <c r="E139" s="415" t="s">
        <v>306</v>
      </c>
      <c r="F139" s="416" t="s">
        <v>307</v>
      </c>
      <c r="G139" s="417" t="s">
        <v>211</v>
      </c>
      <c r="H139" s="445">
        <v>716.3</v>
      </c>
      <c r="I139" s="445">
        <v>700.09</v>
      </c>
      <c r="J139" s="445">
        <v>681.76</v>
      </c>
      <c r="K139" s="445">
        <v>645.74</v>
      </c>
      <c r="L139" s="445">
        <v>631.13</v>
      </c>
      <c r="M139" s="445">
        <v>614.63</v>
      </c>
      <c r="N139" s="445">
        <v>333.47</v>
      </c>
      <c r="O139" s="445">
        <v>786.13</v>
      </c>
      <c r="P139" s="445">
        <v>742.75</v>
      </c>
      <c r="Q139" s="445">
        <v>705.19</v>
      </c>
      <c r="R139" s="445">
        <v>475.5</v>
      </c>
      <c r="S139" s="445">
        <v>437.87</v>
      </c>
      <c r="T139" s="446">
        <v>462</v>
      </c>
      <c r="V139" s="445">
        <f t="shared" si="26"/>
        <v>787.93000000000006</v>
      </c>
      <c r="W139" s="445">
        <f t="shared" si="27"/>
        <v>770.09900000000005</v>
      </c>
      <c r="X139" s="445">
        <f t="shared" si="28"/>
        <v>749.93600000000004</v>
      </c>
      <c r="Y139" s="445">
        <f t="shared" si="29"/>
        <v>710.31400000000008</v>
      </c>
      <c r="Z139" s="445">
        <f t="shared" si="30"/>
        <v>694.24300000000005</v>
      </c>
      <c r="AA139" s="445">
        <f t="shared" si="31"/>
        <v>676.09300000000007</v>
      </c>
      <c r="AB139" s="445">
        <f t="shared" si="32"/>
        <v>366.81700000000006</v>
      </c>
      <c r="AC139" s="445">
        <f t="shared" si="33"/>
        <v>864.74300000000005</v>
      </c>
      <c r="AD139" s="445">
        <f t="shared" si="34"/>
        <v>817.02500000000009</v>
      </c>
      <c r="AE139" s="445">
        <f t="shared" si="35"/>
        <v>775.70900000000017</v>
      </c>
      <c r="AF139" s="445">
        <f t="shared" si="36"/>
        <v>523.05000000000007</v>
      </c>
      <c r="AG139" s="445">
        <f t="shared" si="37"/>
        <v>481.65700000000004</v>
      </c>
      <c r="AH139" s="446">
        <f t="shared" si="38"/>
        <v>508.20000000000005</v>
      </c>
    </row>
    <row r="140" spans="1:34">
      <c r="A140" s="428">
        <v>2018</v>
      </c>
      <c r="B140" s="145" t="s">
        <v>303</v>
      </c>
      <c r="C140" s="146" t="s">
        <v>311</v>
      </c>
      <c r="D140" s="146" t="s">
        <v>312</v>
      </c>
      <c r="E140" s="147" t="s">
        <v>306</v>
      </c>
      <c r="F140" s="148" t="s">
        <v>307</v>
      </c>
      <c r="G140" s="149" t="s">
        <v>212</v>
      </c>
      <c r="H140" s="447">
        <v>1568.71</v>
      </c>
      <c r="I140" s="447">
        <v>1533.18</v>
      </c>
      <c r="J140" s="447">
        <v>1493.06</v>
      </c>
      <c r="K140" s="447">
        <v>1414.17</v>
      </c>
      <c r="L140" s="447">
        <v>1382.18</v>
      </c>
      <c r="M140" s="447">
        <v>1346.05</v>
      </c>
      <c r="N140" s="447">
        <v>730.29</v>
      </c>
      <c r="O140" s="447">
        <v>1721.63</v>
      </c>
      <c r="P140" s="447">
        <v>1626.63</v>
      </c>
      <c r="Q140" s="447">
        <v>1544.37</v>
      </c>
      <c r="R140" s="447">
        <v>1041.3499999999999</v>
      </c>
      <c r="S140" s="447">
        <v>958.93</v>
      </c>
      <c r="T140" s="448">
        <v>1011.78</v>
      </c>
      <c r="V140" s="447">
        <f t="shared" si="26"/>
        <v>1725.5810000000001</v>
      </c>
      <c r="W140" s="447">
        <f t="shared" si="27"/>
        <v>1686.4980000000003</v>
      </c>
      <c r="X140" s="447">
        <f t="shared" si="28"/>
        <v>1642.366</v>
      </c>
      <c r="Y140" s="447">
        <f t="shared" si="29"/>
        <v>1555.5870000000002</v>
      </c>
      <c r="Z140" s="447">
        <f t="shared" si="30"/>
        <v>1520.3980000000001</v>
      </c>
      <c r="AA140" s="447">
        <f t="shared" si="31"/>
        <v>1480.655</v>
      </c>
      <c r="AB140" s="447">
        <f t="shared" si="32"/>
        <v>803.31900000000007</v>
      </c>
      <c r="AC140" s="447">
        <f t="shared" si="33"/>
        <v>1893.7930000000003</v>
      </c>
      <c r="AD140" s="447">
        <f t="shared" si="34"/>
        <v>1789.2930000000003</v>
      </c>
      <c r="AE140" s="447">
        <f t="shared" si="35"/>
        <v>1698.807</v>
      </c>
      <c r="AF140" s="447">
        <f t="shared" si="36"/>
        <v>1145.4849999999999</v>
      </c>
      <c r="AG140" s="447">
        <f t="shared" si="37"/>
        <v>1054.8230000000001</v>
      </c>
      <c r="AH140" s="448">
        <f t="shared" si="38"/>
        <v>1112.9580000000001</v>
      </c>
    </row>
    <row r="141" spans="1:34">
      <c r="A141" s="428">
        <v>2018</v>
      </c>
      <c r="B141" s="145" t="s">
        <v>303</v>
      </c>
      <c r="C141" s="146" t="s">
        <v>311</v>
      </c>
      <c r="D141" s="146" t="s">
        <v>312</v>
      </c>
      <c r="E141" s="147" t="s">
        <v>306</v>
      </c>
      <c r="F141" s="148" t="s">
        <v>307</v>
      </c>
      <c r="G141" s="149" t="s">
        <v>213</v>
      </c>
      <c r="H141" s="447">
        <v>1360.97</v>
      </c>
      <c r="I141" s="447">
        <v>1330.16</v>
      </c>
      <c r="J141" s="447">
        <v>1295.3499999999999</v>
      </c>
      <c r="K141" s="447">
        <v>1226.9100000000001</v>
      </c>
      <c r="L141" s="447">
        <v>1199.1600000000001</v>
      </c>
      <c r="M141" s="447">
        <v>1167.8</v>
      </c>
      <c r="N141" s="447">
        <v>633.6</v>
      </c>
      <c r="O141" s="447">
        <v>1493.66</v>
      </c>
      <c r="P141" s="447">
        <v>1411.23</v>
      </c>
      <c r="Q141" s="447">
        <v>1339.87</v>
      </c>
      <c r="R141" s="447">
        <v>903.45</v>
      </c>
      <c r="S141" s="447">
        <v>831.95</v>
      </c>
      <c r="T141" s="448">
        <v>877.8</v>
      </c>
      <c r="V141" s="447">
        <f t="shared" si="26"/>
        <v>1497.0670000000002</v>
      </c>
      <c r="W141" s="447">
        <f t="shared" si="27"/>
        <v>1463.1760000000002</v>
      </c>
      <c r="X141" s="447">
        <f t="shared" si="28"/>
        <v>1424.885</v>
      </c>
      <c r="Y141" s="447">
        <f t="shared" si="29"/>
        <v>1349.6010000000001</v>
      </c>
      <c r="Z141" s="447">
        <f t="shared" si="30"/>
        <v>1319.0760000000002</v>
      </c>
      <c r="AA141" s="447">
        <f t="shared" si="31"/>
        <v>1284.5800000000002</v>
      </c>
      <c r="AB141" s="447">
        <f t="shared" si="32"/>
        <v>696.96</v>
      </c>
      <c r="AC141" s="447">
        <f t="shared" si="33"/>
        <v>1643.0260000000003</v>
      </c>
      <c r="AD141" s="447">
        <f t="shared" si="34"/>
        <v>1552.3530000000001</v>
      </c>
      <c r="AE141" s="447">
        <f t="shared" si="35"/>
        <v>1473.857</v>
      </c>
      <c r="AF141" s="447">
        <f t="shared" si="36"/>
        <v>993.79500000000019</v>
      </c>
      <c r="AG141" s="447">
        <f t="shared" si="37"/>
        <v>915.1450000000001</v>
      </c>
      <c r="AH141" s="448">
        <f t="shared" si="38"/>
        <v>965.58</v>
      </c>
    </row>
    <row r="142" spans="1:34" ht="16.5" thickBot="1">
      <c r="A142" s="429">
        <v>2018</v>
      </c>
      <c r="B142" s="420" t="s">
        <v>303</v>
      </c>
      <c r="C142" s="421" t="s">
        <v>311</v>
      </c>
      <c r="D142" s="421" t="s">
        <v>312</v>
      </c>
      <c r="E142" s="422" t="s">
        <v>306</v>
      </c>
      <c r="F142" s="423" t="s">
        <v>307</v>
      </c>
      <c r="G142" s="424" t="s">
        <v>214</v>
      </c>
      <c r="H142" s="449">
        <v>2177.5700000000002</v>
      </c>
      <c r="I142" s="449">
        <v>2128.2600000000002</v>
      </c>
      <c r="J142" s="449">
        <v>2072.56</v>
      </c>
      <c r="K142" s="449">
        <v>1963.05</v>
      </c>
      <c r="L142" s="449">
        <v>1918.64</v>
      </c>
      <c r="M142" s="449">
        <v>1868.48</v>
      </c>
      <c r="N142" s="449">
        <v>1013.75</v>
      </c>
      <c r="O142" s="449">
        <v>2389.85</v>
      </c>
      <c r="P142" s="449">
        <v>2257.96</v>
      </c>
      <c r="Q142" s="449">
        <v>2143.79</v>
      </c>
      <c r="R142" s="449">
        <v>1445.53</v>
      </c>
      <c r="S142" s="449">
        <v>1331.12</v>
      </c>
      <c r="T142" s="450">
        <v>1404.48</v>
      </c>
      <c r="V142" s="449">
        <f t="shared" si="26"/>
        <v>2395.3270000000002</v>
      </c>
      <c r="W142" s="449">
        <f t="shared" si="27"/>
        <v>2341.0860000000002</v>
      </c>
      <c r="X142" s="449">
        <f t="shared" si="28"/>
        <v>2279.8160000000003</v>
      </c>
      <c r="Y142" s="449">
        <f t="shared" si="29"/>
        <v>2159.355</v>
      </c>
      <c r="Z142" s="449">
        <f t="shared" si="30"/>
        <v>2110.5040000000004</v>
      </c>
      <c r="AA142" s="449">
        <f t="shared" si="31"/>
        <v>2055.328</v>
      </c>
      <c r="AB142" s="449">
        <f t="shared" si="32"/>
        <v>1115.125</v>
      </c>
      <c r="AC142" s="449">
        <f t="shared" si="33"/>
        <v>2628.835</v>
      </c>
      <c r="AD142" s="449">
        <f t="shared" si="34"/>
        <v>2483.7560000000003</v>
      </c>
      <c r="AE142" s="449">
        <f t="shared" si="35"/>
        <v>2358.1690000000003</v>
      </c>
      <c r="AF142" s="449">
        <f t="shared" si="36"/>
        <v>1590.0830000000001</v>
      </c>
      <c r="AG142" s="449">
        <f t="shared" si="37"/>
        <v>1464.232</v>
      </c>
      <c r="AH142" s="450">
        <f t="shared" si="38"/>
        <v>1544.9280000000001</v>
      </c>
    </row>
    <row r="143" spans="1:34">
      <c r="A143" s="427">
        <v>2018</v>
      </c>
      <c r="B143" s="413" t="s">
        <v>303</v>
      </c>
      <c r="C143" s="414" t="s">
        <v>313</v>
      </c>
      <c r="D143" s="414" t="s">
        <v>314</v>
      </c>
      <c r="E143" s="415" t="s">
        <v>306</v>
      </c>
      <c r="F143" s="416" t="s">
        <v>307</v>
      </c>
      <c r="G143" s="417" t="s">
        <v>211</v>
      </c>
      <c r="H143" s="445">
        <v>823.75</v>
      </c>
      <c r="I143" s="445">
        <v>805.1</v>
      </c>
      <c r="J143" s="445">
        <v>784.03</v>
      </c>
      <c r="K143" s="445">
        <v>742.6</v>
      </c>
      <c r="L143" s="445">
        <v>725.8</v>
      </c>
      <c r="M143" s="445">
        <v>706.83</v>
      </c>
      <c r="N143" s="445">
        <v>383.49</v>
      </c>
      <c r="O143" s="445">
        <v>904.05</v>
      </c>
      <c r="P143" s="445">
        <v>854.16</v>
      </c>
      <c r="Q143" s="445">
        <v>810.97</v>
      </c>
      <c r="R143" s="445">
        <v>546.83000000000004</v>
      </c>
      <c r="S143" s="445">
        <v>503.55</v>
      </c>
      <c r="T143" s="446">
        <v>531.29999999999995</v>
      </c>
      <c r="V143" s="445">
        <f t="shared" si="26"/>
        <v>906.12500000000011</v>
      </c>
      <c r="W143" s="445">
        <f t="shared" si="27"/>
        <v>885.61000000000013</v>
      </c>
      <c r="X143" s="445">
        <f t="shared" si="28"/>
        <v>862.43299999999999</v>
      </c>
      <c r="Y143" s="445">
        <f t="shared" si="29"/>
        <v>816.86000000000013</v>
      </c>
      <c r="Z143" s="445">
        <f t="shared" si="30"/>
        <v>798.38</v>
      </c>
      <c r="AA143" s="445">
        <f t="shared" si="31"/>
        <v>777.51300000000015</v>
      </c>
      <c r="AB143" s="445">
        <f t="shared" si="32"/>
        <v>421.83900000000006</v>
      </c>
      <c r="AC143" s="445">
        <f t="shared" si="33"/>
        <v>994.45500000000004</v>
      </c>
      <c r="AD143" s="445">
        <f t="shared" si="34"/>
        <v>939.57600000000002</v>
      </c>
      <c r="AE143" s="445">
        <f t="shared" si="35"/>
        <v>892.06700000000012</v>
      </c>
      <c r="AF143" s="445">
        <f t="shared" si="36"/>
        <v>601.51300000000015</v>
      </c>
      <c r="AG143" s="445">
        <f t="shared" si="37"/>
        <v>553.90500000000009</v>
      </c>
      <c r="AH143" s="446">
        <f t="shared" si="38"/>
        <v>584.42999999999995</v>
      </c>
    </row>
    <row r="144" spans="1:34">
      <c r="A144" s="428">
        <v>2018</v>
      </c>
      <c r="B144" s="145" t="s">
        <v>303</v>
      </c>
      <c r="C144" s="146" t="s">
        <v>313</v>
      </c>
      <c r="D144" s="146" t="s">
        <v>314</v>
      </c>
      <c r="E144" s="147" t="s">
        <v>306</v>
      </c>
      <c r="F144" s="148" t="s">
        <v>307</v>
      </c>
      <c r="G144" s="149" t="s">
        <v>212</v>
      </c>
      <c r="H144" s="447">
        <v>1804.01</v>
      </c>
      <c r="I144" s="447">
        <v>1763.16</v>
      </c>
      <c r="J144" s="447">
        <v>1717.02</v>
      </c>
      <c r="K144" s="447">
        <v>1626.29</v>
      </c>
      <c r="L144" s="447">
        <v>1589.5</v>
      </c>
      <c r="M144" s="447">
        <v>1547.95</v>
      </c>
      <c r="N144" s="447">
        <v>839.84</v>
      </c>
      <c r="O144" s="447">
        <v>1979.88</v>
      </c>
      <c r="P144" s="447">
        <v>1870.63</v>
      </c>
      <c r="Q144" s="447">
        <v>1776.03</v>
      </c>
      <c r="R144" s="447">
        <v>1197.55</v>
      </c>
      <c r="S144" s="447">
        <v>1102.77</v>
      </c>
      <c r="T144" s="448">
        <v>1163.55</v>
      </c>
      <c r="V144" s="447">
        <f t="shared" si="26"/>
        <v>1984.4110000000001</v>
      </c>
      <c r="W144" s="447">
        <f t="shared" si="27"/>
        <v>1939.4760000000003</v>
      </c>
      <c r="X144" s="447">
        <f t="shared" si="28"/>
        <v>1888.7220000000002</v>
      </c>
      <c r="Y144" s="447">
        <f t="shared" si="29"/>
        <v>1788.9190000000001</v>
      </c>
      <c r="Z144" s="447">
        <f t="shared" si="30"/>
        <v>1748.45</v>
      </c>
      <c r="AA144" s="447">
        <f t="shared" si="31"/>
        <v>1702.7450000000001</v>
      </c>
      <c r="AB144" s="447">
        <f t="shared" si="32"/>
        <v>923.82400000000007</v>
      </c>
      <c r="AC144" s="447">
        <f t="shared" si="33"/>
        <v>2177.8680000000004</v>
      </c>
      <c r="AD144" s="447">
        <f t="shared" si="34"/>
        <v>2057.6930000000002</v>
      </c>
      <c r="AE144" s="447">
        <f t="shared" si="35"/>
        <v>1953.633</v>
      </c>
      <c r="AF144" s="447">
        <f t="shared" si="36"/>
        <v>1317.3050000000001</v>
      </c>
      <c r="AG144" s="447">
        <f t="shared" si="37"/>
        <v>1213.047</v>
      </c>
      <c r="AH144" s="448">
        <f t="shared" si="38"/>
        <v>1279.905</v>
      </c>
    </row>
    <row r="145" spans="1:34">
      <c r="A145" s="428">
        <v>2018</v>
      </c>
      <c r="B145" s="145" t="s">
        <v>303</v>
      </c>
      <c r="C145" s="146" t="s">
        <v>313</v>
      </c>
      <c r="D145" s="146" t="s">
        <v>314</v>
      </c>
      <c r="E145" s="147" t="s">
        <v>306</v>
      </c>
      <c r="F145" s="148" t="s">
        <v>307</v>
      </c>
      <c r="G145" s="149" t="s">
        <v>213</v>
      </c>
      <c r="H145" s="447">
        <v>1565.12</v>
      </c>
      <c r="I145" s="447">
        <v>1529.68</v>
      </c>
      <c r="J145" s="447">
        <v>1489.65</v>
      </c>
      <c r="K145" s="447">
        <v>1410.94</v>
      </c>
      <c r="L145" s="447">
        <v>1379.03</v>
      </c>
      <c r="M145" s="447">
        <v>1342.97</v>
      </c>
      <c r="N145" s="447">
        <v>728.64</v>
      </c>
      <c r="O145" s="447">
        <v>1717.71</v>
      </c>
      <c r="P145" s="447">
        <v>1622.92</v>
      </c>
      <c r="Q145" s="447">
        <v>1540.85</v>
      </c>
      <c r="R145" s="447">
        <v>1038.97</v>
      </c>
      <c r="S145" s="447">
        <v>956.74</v>
      </c>
      <c r="T145" s="448">
        <v>1009.47</v>
      </c>
      <c r="V145" s="447">
        <f t="shared" si="26"/>
        <v>1721.6320000000001</v>
      </c>
      <c r="W145" s="447">
        <f t="shared" si="27"/>
        <v>1682.6480000000001</v>
      </c>
      <c r="X145" s="447">
        <f t="shared" si="28"/>
        <v>1638.6150000000002</v>
      </c>
      <c r="Y145" s="447">
        <f t="shared" si="29"/>
        <v>1552.0340000000001</v>
      </c>
      <c r="Z145" s="447">
        <f t="shared" si="30"/>
        <v>1516.933</v>
      </c>
      <c r="AA145" s="447">
        <f t="shared" si="31"/>
        <v>1477.2670000000001</v>
      </c>
      <c r="AB145" s="447">
        <f t="shared" si="32"/>
        <v>801.50400000000002</v>
      </c>
      <c r="AC145" s="447">
        <f t="shared" si="33"/>
        <v>1889.4810000000002</v>
      </c>
      <c r="AD145" s="447">
        <f t="shared" si="34"/>
        <v>1785.2120000000002</v>
      </c>
      <c r="AE145" s="447">
        <f t="shared" si="35"/>
        <v>1694.9349999999999</v>
      </c>
      <c r="AF145" s="447">
        <f t="shared" si="36"/>
        <v>1142.8670000000002</v>
      </c>
      <c r="AG145" s="447">
        <f t="shared" si="37"/>
        <v>1052.414</v>
      </c>
      <c r="AH145" s="448">
        <f t="shared" si="38"/>
        <v>1110.4170000000001</v>
      </c>
    </row>
    <row r="146" spans="1:34" ht="16.5" thickBot="1">
      <c r="A146" s="429">
        <v>2018</v>
      </c>
      <c r="B146" s="420" t="s">
        <v>303</v>
      </c>
      <c r="C146" s="421" t="s">
        <v>313</v>
      </c>
      <c r="D146" s="421" t="s">
        <v>314</v>
      </c>
      <c r="E146" s="422" t="s">
        <v>306</v>
      </c>
      <c r="F146" s="423" t="s">
        <v>307</v>
      </c>
      <c r="G146" s="424" t="s">
        <v>214</v>
      </c>
      <c r="H146" s="449">
        <v>2504.1999999999998</v>
      </c>
      <c r="I146" s="449">
        <v>2447.5</v>
      </c>
      <c r="J146" s="449">
        <v>2383.44</v>
      </c>
      <c r="K146" s="449">
        <v>2257.5</v>
      </c>
      <c r="L146" s="449">
        <v>2206.44</v>
      </c>
      <c r="M146" s="449">
        <v>2148.75</v>
      </c>
      <c r="N146" s="449">
        <v>1165.81</v>
      </c>
      <c r="O146" s="449">
        <v>2748.33</v>
      </c>
      <c r="P146" s="449">
        <v>2596.66</v>
      </c>
      <c r="Q146" s="449">
        <v>2465.36</v>
      </c>
      <c r="R146" s="449">
        <v>1662.36</v>
      </c>
      <c r="S146" s="449">
        <v>1530.79</v>
      </c>
      <c r="T146" s="450">
        <v>1615.15</v>
      </c>
      <c r="V146" s="449">
        <f t="shared" si="26"/>
        <v>2754.62</v>
      </c>
      <c r="W146" s="449">
        <f t="shared" si="27"/>
        <v>2692.25</v>
      </c>
      <c r="X146" s="449">
        <f t="shared" si="28"/>
        <v>2621.7840000000001</v>
      </c>
      <c r="Y146" s="449">
        <f t="shared" si="29"/>
        <v>2483.25</v>
      </c>
      <c r="Z146" s="449">
        <f t="shared" si="30"/>
        <v>2427.0840000000003</v>
      </c>
      <c r="AA146" s="449">
        <f t="shared" si="31"/>
        <v>2363.625</v>
      </c>
      <c r="AB146" s="449">
        <f t="shared" si="32"/>
        <v>1282.3910000000001</v>
      </c>
      <c r="AC146" s="449">
        <f t="shared" si="33"/>
        <v>3023.163</v>
      </c>
      <c r="AD146" s="449">
        <f t="shared" si="34"/>
        <v>2856.326</v>
      </c>
      <c r="AE146" s="449">
        <f t="shared" si="35"/>
        <v>2711.8960000000002</v>
      </c>
      <c r="AF146" s="449">
        <f t="shared" si="36"/>
        <v>1828.596</v>
      </c>
      <c r="AG146" s="449">
        <f t="shared" si="37"/>
        <v>1683.8690000000001</v>
      </c>
      <c r="AH146" s="450">
        <f t="shared" si="38"/>
        <v>1776.6650000000002</v>
      </c>
    </row>
    <row r="147" spans="1:34">
      <c r="A147" s="427">
        <v>2018</v>
      </c>
      <c r="B147" s="413" t="s">
        <v>303</v>
      </c>
      <c r="C147" s="414" t="s">
        <v>304</v>
      </c>
      <c r="D147" s="414" t="s">
        <v>305</v>
      </c>
      <c r="E147" s="415" t="s">
        <v>306</v>
      </c>
      <c r="F147" s="432" t="s">
        <v>315</v>
      </c>
      <c r="G147" s="417" t="s">
        <v>211</v>
      </c>
      <c r="H147" s="445">
        <v>619.25</v>
      </c>
      <c r="I147" s="445">
        <v>605.22</v>
      </c>
      <c r="J147" s="445">
        <v>589.38</v>
      </c>
      <c r="K147" s="445">
        <v>558.24</v>
      </c>
      <c r="L147" s="445">
        <v>545.61</v>
      </c>
      <c r="M147" s="445">
        <v>531.35</v>
      </c>
      <c r="N147" s="445">
        <v>288.27999999999997</v>
      </c>
      <c r="O147" s="445">
        <v>703.4</v>
      </c>
      <c r="P147" s="445">
        <v>664.58</v>
      </c>
      <c r="Q147" s="445">
        <v>630.98</v>
      </c>
      <c r="R147" s="445">
        <v>425.46</v>
      </c>
      <c r="S147" s="445">
        <v>391.79</v>
      </c>
      <c r="T147" s="446">
        <v>413.38</v>
      </c>
      <c r="V147" s="445">
        <f t="shared" si="26"/>
        <v>681.17500000000007</v>
      </c>
      <c r="W147" s="445">
        <f t="shared" si="27"/>
        <v>665.74200000000008</v>
      </c>
      <c r="X147" s="445">
        <f t="shared" si="28"/>
        <v>648.3180000000001</v>
      </c>
      <c r="Y147" s="445">
        <f t="shared" si="29"/>
        <v>614.06400000000008</v>
      </c>
      <c r="Z147" s="445">
        <f t="shared" si="30"/>
        <v>600.17100000000005</v>
      </c>
      <c r="AA147" s="445">
        <f t="shared" si="31"/>
        <v>584.48500000000013</v>
      </c>
      <c r="AB147" s="445">
        <f t="shared" si="32"/>
        <v>317.108</v>
      </c>
      <c r="AC147" s="445">
        <f t="shared" si="33"/>
        <v>773.74</v>
      </c>
      <c r="AD147" s="445">
        <f t="shared" si="34"/>
        <v>731.03800000000012</v>
      </c>
      <c r="AE147" s="445">
        <f t="shared" si="35"/>
        <v>694.07800000000009</v>
      </c>
      <c r="AF147" s="445">
        <f t="shared" si="36"/>
        <v>468.00600000000003</v>
      </c>
      <c r="AG147" s="445">
        <f t="shared" si="37"/>
        <v>430.96900000000005</v>
      </c>
      <c r="AH147" s="446">
        <f t="shared" si="38"/>
        <v>454.71800000000002</v>
      </c>
    </row>
    <row r="148" spans="1:34">
      <c r="A148" s="428">
        <v>2018</v>
      </c>
      <c r="B148" s="145" t="s">
        <v>303</v>
      </c>
      <c r="C148" s="146" t="s">
        <v>304</v>
      </c>
      <c r="D148" s="146" t="s">
        <v>305</v>
      </c>
      <c r="E148" s="147" t="s">
        <v>306</v>
      </c>
      <c r="F148" s="433" t="s">
        <v>315</v>
      </c>
      <c r="G148" s="149" t="s">
        <v>212</v>
      </c>
      <c r="H148" s="447">
        <v>1356.15</v>
      </c>
      <c r="I148" s="447">
        <v>1325.44</v>
      </c>
      <c r="J148" s="447">
        <v>1290.75</v>
      </c>
      <c r="K148" s="447">
        <v>1222.55</v>
      </c>
      <c r="L148" s="447">
        <v>1194.8900000000001</v>
      </c>
      <c r="M148" s="447">
        <v>1163.6600000000001</v>
      </c>
      <c r="N148" s="447">
        <v>631.34</v>
      </c>
      <c r="O148" s="447">
        <v>1540.44</v>
      </c>
      <c r="P148" s="447">
        <v>1455.44</v>
      </c>
      <c r="Q148" s="447">
        <v>1381.84</v>
      </c>
      <c r="R148" s="447">
        <v>931.76</v>
      </c>
      <c r="S148" s="447">
        <v>858.01</v>
      </c>
      <c r="T148" s="448">
        <v>905.3</v>
      </c>
      <c r="V148" s="447">
        <f t="shared" si="26"/>
        <v>1491.7650000000003</v>
      </c>
      <c r="W148" s="447">
        <f t="shared" si="27"/>
        <v>1457.9840000000002</v>
      </c>
      <c r="X148" s="447">
        <f t="shared" si="28"/>
        <v>1419.825</v>
      </c>
      <c r="Y148" s="447">
        <f t="shared" si="29"/>
        <v>1344.8050000000001</v>
      </c>
      <c r="Z148" s="447">
        <f t="shared" si="30"/>
        <v>1314.3790000000001</v>
      </c>
      <c r="AA148" s="447">
        <f t="shared" si="31"/>
        <v>1280.0260000000003</v>
      </c>
      <c r="AB148" s="447">
        <f t="shared" si="32"/>
        <v>694.47400000000005</v>
      </c>
      <c r="AC148" s="447">
        <f t="shared" si="33"/>
        <v>1694.4840000000002</v>
      </c>
      <c r="AD148" s="447">
        <f t="shared" si="34"/>
        <v>1600.9840000000002</v>
      </c>
      <c r="AE148" s="447">
        <f t="shared" si="35"/>
        <v>1520.0240000000001</v>
      </c>
      <c r="AF148" s="447">
        <f t="shared" si="36"/>
        <v>1024.9360000000001</v>
      </c>
      <c r="AG148" s="447">
        <f t="shared" si="37"/>
        <v>943.81100000000004</v>
      </c>
      <c r="AH148" s="448">
        <f t="shared" si="38"/>
        <v>995.83</v>
      </c>
    </row>
    <row r="149" spans="1:34">
      <c r="A149" s="428">
        <v>2018</v>
      </c>
      <c r="B149" s="145" t="s">
        <v>303</v>
      </c>
      <c r="C149" s="146" t="s">
        <v>304</v>
      </c>
      <c r="D149" s="146" t="s">
        <v>305</v>
      </c>
      <c r="E149" s="147" t="s">
        <v>306</v>
      </c>
      <c r="F149" s="433" t="s">
        <v>315</v>
      </c>
      <c r="G149" s="149" t="s">
        <v>213</v>
      </c>
      <c r="H149" s="447">
        <v>1176.56</v>
      </c>
      <c r="I149" s="447">
        <v>1149.92</v>
      </c>
      <c r="J149" s="447">
        <v>1119.83</v>
      </c>
      <c r="K149" s="447">
        <v>1060.6600000000001</v>
      </c>
      <c r="L149" s="447">
        <v>1036.67</v>
      </c>
      <c r="M149" s="447">
        <v>1009.57</v>
      </c>
      <c r="N149" s="447">
        <v>547.74</v>
      </c>
      <c r="O149" s="447">
        <v>1336.46</v>
      </c>
      <c r="P149" s="447">
        <v>1262.71</v>
      </c>
      <c r="Q149" s="447">
        <v>1198.8599999999999</v>
      </c>
      <c r="R149" s="447">
        <v>808.37</v>
      </c>
      <c r="S149" s="447">
        <v>744.39</v>
      </c>
      <c r="T149" s="448">
        <v>785.41</v>
      </c>
      <c r="V149" s="447">
        <f t="shared" si="26"/>
        <v>1294.2160000000001</v>
      </c>
      <c r="W149" s="447">
        <f t="shared" si="27"/>
        <v>1264.9120000000003</v>
      </c>
      <c r="X149" s="447">
        <f t="shared" si="28"/>
        <v>1231.8130000000001</v>
      </c>
      <c r="Y149" s="447">
        <f t="shared" si="29"/>
        <v>1166.7260000000001</v>
      </c>
      <c r="Z149" s="447">
        <f t="shared" si="30"/>
        <v>1140.3370000000002</v>
      </c>
      <c r="AA149" s="447">
        <f t="shared" si="31"/>
        <v>1110.527</v>
      </c>
      <c r="AB149" s="447">
        <f t="shared" si="32"/>
        <v>602.51400000000001</v>
      </c>
      <c r="AC149" s="447">
        <f t="shared" si="33"/>
        <v>1470.1060000000002</v>
      </c>
      <c r="AD149" s="447">
        <f t="shared" si="34"/>
        <v>1388.9810000000002</v>
      </c>
      <c r="AE149" s="447">
        <f t="shared" si="35"/>
        <v>1318.7460000000001</v>
      </c>
      <c r="AF149" s="447">
        <f t="shared" si="36"/>
        <v>889.20700000000011</v>
      </c>
      <c r="AG149" s="447">
        <f t="shared" si="37"/>
        <v>818.82900000000006</v>
      </c>
      <c r="AH149" s="448">
        <f t="shared" si="38"/>
        <v>863.95100000000002</v>
      </c>
    </row>
    <row r="150" spans="1:34" ht="16.5" thickBot="1">
      <c r="A150" s="429">
        <v>2018</v>
      </c>
      <c r="B150" s="420" t="s">
        <v>303</v>
      </c>
      <c r="C150" s="421" t="s">
        <v>304</v>
      </c>
      <c r="D150" s="421" t="s">
        <v>305</v>
      </c>
      <c r="E150" s="422" t="s">
        <v>306</v>
      </c>
      <c r="F150" s="434" t="s">
        <v>315</v>
      </c>
      <c r="G150" s="424" t="s">
        <v>214</v>
      </c>
      <c r="H150" s="449">
        <v>1882.51</v>
      </c>
      <c r="I150" s="449">
        <v>1839.88</v>
      </c>
      <c r="J150" s="449">
        <v>1791.73</v>
      </c>
      <c r="K150" s="449">
        <v>1697.05</v>
      </c>
      <c r="L150" s="449">
        <v>1658.67</v>
      </c>
      <c r="M150" s="449">
        <v>1615.3</v>
      </c>
      <c r="N150" s="449">
        <v>876.38</v>
      </c>
      <c r="O150" s="449">
        <v>2138.34</v>
      </c>
      <c r="P150" s="449">
        <v>2020.33</v>
      </c>
      <c r="Q150" s="449">
        <v>1918.17</v>
      </c>
      <c r="R150" s="449">
        <v>1293.4000000000001</v>
      </c>
      <c r="S150" s="449">
        <v>1191.03</v>
      </c>
      <c r="T150" s="450">
        <v>1256.67</v>
      </c>
      <c r="V150" s="449">
        <f t="shared" si="26"/>
        <v>2070.761</v>
      </c>
      <c r="W150" s="449">
        <f t="shared" si="27"/>
        <v>2023.8680000000004</v>
      </c>
      <c r="X150" s="449">
        <f t="shared" si="28"/>
        <v>1970.9030000000002</v>
      </c>
      <c r="Y150" s="449">
        <f t="shared" si="29"/>
        <v>1866.7550000000001</v>
      </c>
      <c r="Z150" s="449">
        <f t="shared" si="30"/>
        <v>1824.5370000000003</v>
      </c>
      <c r="AA150" s="449">
        <f t="shared" si="31"/>
        <v>1776.8300000000002</v>
      </c>
      <c r="AB150" s="449">
        <f t="shared" si="32"/>
        <v>964.01800000000003</v>
      </c>
      <c r="AC150" s="449">
        <f t="shared" si="33"/>
        <v>2352.1740000000004</v>
      </c>
      <c r="AD150" s="449">
        <f t="shared" si="34"/>
        <v>2222.3630000000003</v>
      </c>
      <c r="AE150" s="449">
        <f t="shared" si="35"/>
        <v>2109.9870000000001</v>
      </c>
      <c r="AF150" s="449">
        <f t="shared" si="36"/>
        <v>1422.7400000000002</v>
      </c>
      <c r="AG150" s="449">
        <f t="shared" si="37"/>
        <v>1310.133</v>
      </c>
      <c r="AH150" s="450">
        <f t="shared" si="38"/>
        <v>1382.3370000000002</v>
      </c>
    </row>
    <row r="151" spans="1:34">
      <c r="A151" s="427">
        <v>2018</v>
      </c>
      <c r="B151" s="413" t="s">
        <v>303</v>
      </c>
      <c r="C151" s="414" t="s">
        <v>309</v>
      </c>
      <c r="D151" s="414" t="s">
        <v>310</v>
      </c>
      <c r="E151" s="415" t="s">
        <v>306</v>
      </c>
      <c r="F151" s="432" t="s">
        <v>315</v>
      </c>
      <c r="G151" s="417" t="s">
        <v>211</v>
      </c>
      <c r="H151" s="445">
        <v>680.49</v>
      </c>
      <c r="I151" s="445">
        <v>665.08</v>
      </c>
      <c r="J151" s="445">
        <v>647.66999999999996</v>
      </c>
      <c r="K151" s="445">
        <v>613.45000000000005</v>
      </c>
      <c r="L151" s="445">
        <v>599.58000000000004</v>
      </c>
      <c r="M151" s="445">
        <v>583.9</v>
      </c>
      <c r="N151" s="445">
        <v>316.8</v>
      </c>
      <c r="O151" s="445">
        <v>772.97</v>
      </c>
      <c r="P151" s="445">
        <v>730.31</v>
      </c>
      <c r="Q151" s="445">
        <v>693.38</v>
      </c>
      <c r="R151" s="445">
        <v>467.54</v>
      </c>
      <c r="S151" s="445">
        <v>430.54</v>
      </c>
      <c r="T151" s="446">
        <v>454.26</v>
      </c>
      <c r="V151" s="445">
        <f t="shared" si="26"/>
        <v>748.5390000000001</v>
      </c>
      <c r="W151" s="445">
        <f t="shared" si="27"/>
        <v>731.58800000000008</v>
      </c>
      <c r="X151" s="445">
        <f t="shared" si="28"/>
        <v>712.43700000000001</v>
      </c>
      <c r="Y151" s="445">
        <f t="shared" si="29"/>
        <v>674.79500000000007</v>
      </c>
      <c r="Z151" s="445">
        <f t="shared" si="30"/>
        <v>659.53800000000012</v>
      </c>
      <c r="AA151" s="445">
        <f t="shared" si="31"/>
        <v>642.29000000000008</v>
      </c>
      <c r="AB151" s="445">
        <f t="shared" si="32"/>
        <v>348.48</v>
      </c>
      <c r="AC151" s="445">
        <f t="shared" si="33"/>
        <v>850.26700000000005</v>
      </c>
      <c r="AD151" s="445">
        <f t="shared" si="34"/>
        <v>803.34100000000001</v>
      </c>
      <c r="AE151" s="445">
        <f t="shared" si="35"/>
        <v>762.71800000000007</v>
      </c>
      <c r="AF151" s="445">
        <f t="shared" si="36"/>
        <v>514.2940000000001</v>
      </c>
      <c r="AG151" s="445">
        <f t="shared" si="37"/>
        <v>473.59400000000005</v>
      </c>
      <c r="AH151" s="446">
        <f t="shared" si="38"/>
        <v>499.68600000000004</v>
      </c>
    </row>
    <row r="152" spans="1:34">
      <c r="A152" s="428">
        <v>2018</v>
      </c>
      <c r="B152" s="145" t="s">
        <v>303</v>
      </c>
      <c r="C152" s="146" t="s">
        <v>309</v>
      </c>
      <c r="D152" s="146" t="s">
        <v>310</v>
      </c>
      <c r="E152" s="147" t="s">
        <v>306</v>
      </c>
      <c r="F152" s="433" t="s">
        <v>315</v>
      </c>
      <c r="G152" s="149" t="s">
        <v>212</v>
      </c>
      <c r="H152" s="447">
        <v>1490.27</v>
      </c>
      <c r="I152" s="447">
        <v>1456.52</v>
      </c>
      <c r="J152" s="447">
        <v>1418.41</v>
      </c>
      <c r="K152" s="447">
        <v>1343.46</v>
      </c>
      <c r="L152" s="447">
        <v>1313.07</v>
      </c>
      <c r="M152" s="447">
        <v>1278.74</v>
      </c>
      <c r="N152" s="447">
        <v>693.78</v>
      </c>
      <c r="O152" s="447">
        <v>1692.8</v>
      </c>
      <c r="P152" s="447">
        <v>1599.38</v>
      </c>
      <c r="Q152" s="447">
        <v>1518.5</v>
      </c>
      <c r="R152" s="447">
        <v>1023.91</v>
      </c>
      <c r="S152" s="447">
        <v>942.87</v>
      </c>
      <c r="T152" s="448">
        <v>994.83</v>
      </c>
      <c r="V152" s="447">
        <f t="shared" si="26"/>
        <v>1639.297</v>
      </c>
      <c r="W152" s="447">
        <f t="shared" si="27"/>
        <v>1602.172</v>
      </c>
      <c r="X152" s="447">
        <f t="shared" si="28"/>
        <v>1560.2510000000002</v>
      </c>
      <c r="Y152" s="447">
        <f t="shared" si="29"/>
        <v>1477.8060000000003</v>
      </c>
      <c r="Z152" s="447">
        <f t="shared" si="30"/>
        <v>1444.377</v>
      </c>
      <c r="AA152" s="447">
        <f t="shared" si="31"/>
        <v>1406.614</v>
      </c>
      <c r="AB152" s="447">
        <f t="shared" si="32"/>
        <v>763.15800000000002</v>
      </c>
      <c r="AC152" s="447">
        <f t="shared" si="33"/>
        <v>1862.0800000000002</v>
      </c>
      <c r="AD152" s="447">
        <f t="shared" si="34"/>
        <v>1759.3180000000002</v>
      </c>
      <c r="AE152" s="447">
        <f t="shared" si="35"/>
        <v>1670.3500000000001</v>
      </c>
      <c r="AF152" s="447">
        <f t="shared" si="36"/>
        <v>1126.3010000000002</v>
      </c>
      <c r="AG152" s="447">
        <f t="shared" si="37"/>
        <v>1037.1570000000002</v>
      </c>
      <c r="AH152" s="448">
        <f t="shared" si="38"/>
        <v>1094.3130000000001</v>
      </c>
    </row>
    <row r="153" spans="1:34">
      <c r="A153" s="428">
        <v>2018</v>
      </c>
      <c r="B153" s="145" t="s">
        <v>303</v>
      </c>
      <c r="C153" s="146" t="s">
        <v>309</v>
      </c>
      <c r="D153" s="146" t="s">
        <v>310</v>
      </c>
      <c r="E153" s="147" t="s">
        <v>306</v>
      </c>
      <c r="F153" s="433" t="s">
        <v>315</v>
      </c>
      <c r="G153" s="149" t="s">
        <v>213</v>
      </c>
      <c r="H153" s="447">
        <v>1292.93</v>
      </c>
      <c r="I153" s="447">
        <v>1263.6500000000001</v>
      </c>
      <c r="J153" s="447">
        <v>1230.58</v>
      </c>
      <c r="K153" s="447">
        <v>1165.56</v>
      </c>
      <c r="L153" s="447">
        <v>1139.2</v>
      </c>
      <c r="M153" s="447">
        <v>1109.4100000000001</v>
      </c>
      <c r="N153" s="447">
        <v>601.91999999999996</v>
      </c>
      <c r="O153" s="447">
        <v>1468.64</v>
      </c>
      <c r="P153" s="447">
        <v>1387.59</v>
      </c>
      <c r="Q153" s="447">
        <v>1317.42</v>
      </c>
      <c r="R153" s="447">
        <v>888.32</v>
      </c>
      <c r="S153" s="447">
        <v>818.01</v>
      </c>
      <c r="T153" s="448">
        <v>863.09</v>
      </c>
      <c r="V153" s="447">
        <f t="shared" si="26"/>
        <v>1422.2230000000002</v>
      </c>
      <c r="W153" s="447">
        <f t="shared" si="27"/>
        <v>1390.0150000000001</v>
      </c>
      <c r="X153" s="447">
        <f t="shared" si="28"/>
        <v>1353.6379999999999</v>
      </c>
      <c r="Y153" s="447">
        <f t="shared" si="29"/>
        <v>1282.116</v>
      </c>
      <c r="Z153" s="447">
        <f t="shared" si="30"/>
        <v>1253.1200000000001</v>
      </c>
      <c r="AA153" s="447">
        <f t="shared" si="31"/>
        <v>1220.3510000000001</v>
      </c>
      <c r="AB153" s="447">
        <f t="shared" si="32"/>
        <v>662.11199999999997</v>
      </c>
      <c r="AC153" s="447">
        <f t="shared" si="33"/>
        <v>1615.5040000000001</v>
      </c>
      <c r="AD153" s="447">
        <f t="shared" si="34"/>
        <v>1526.3489999999999</v>
      </c>
      <c r="AE153" s="447">
        <f t="shared" si="35"/>
        <v>1449.1620000000003</v>
      </c>
      <c r="AF153" s="447">
        <f t="shared" si="36"/>
        <v>977.15200000000016</v>
      </c>
      <c r="AG153" s="447">
        <f t="shared" si="37"/>
        <v>899.81100000000004</v>
      </c>
      <c r="AH153" s="448">
        <f t="shared" si="38"/>
        <v>949.39900000000011</v>
      </c>
    </row>
    <row r="154" spans="1:34" ht="16.5" thickBot="1">
      <c r="A154" s="429">
        <v>2018</v>
      </c>
      <c r="B154" s="420" t="s">
        <v>303</v>
      </c>
      <c r="C154" s="421" t="s">
        <v>309</v>
      </c>
      <c r="D154" s="421" t="s">
        <v>310</v>
      </c>
      <c r="E154" s="422" t="s">
        <v>306</v>
      </c>
      <c r="F154" s="434" t="s">
        <v>315</v>
      </c>
      <c r="G154" s="424" t="s">
        <v>214</v>
      </c>
      <c r="H154" s="449">
        <v>2068.69</v>
      </c>
      <c r="I154" s="449">
        <v>2021.84</v>
      </c>
      <c r="J154" s="449">
        <v>1968.93</v>
      </c>
      <c r="K154" s="449">
        <v>1864.89</v>
      </c>
      <c r="L154" s="449">
        <v>1822.71</v>
      </c>
      <c r="M154" s="449">
        <v>1775.06</v>
      </c>
      <c r="N154" s="449">
        <v>963.06</v>
      </c>
      <c r="O154" s="449">
        <v>2349.8200000000002</v>
      </c>
      <c r="P154" s="449">
        <v>2220.14</v>
      </c>
      <c r="Q154" s="449">
        <v>2107.88</v>
      </c>
      <c r="R154" s="449">
        <v>1421.32</v>
      </c>
      <c r="S154" s="449">
        <v>1308.82</v>
      </c>
      <c r="T154" s="450">
        <v>1380.95</v>
      </c>
      <c r="V154" s="449">
        <f t="shared" si="26"/>
        <v>2275.5590000000002</v>
      </c>
      <c r="W154" s="449">
        <f t="shared" si="27"/>
        <v>2224.0239999999999</v>
      </c>
      <c r="X154" s="449">
        <f t="shared" si="28"/>
        <v>2165.8230000000003</v>
      </c>
      <c r="Y154" s="449">
        <f t="shared" si="29"/>
        <v>2051.3790000000004</v>
      </c>
      <c r="Z154" s="449">
        <f t="shared" si="30"/>
        <v>2004.9810000000002</v>
      </c>
      <c r="AA154" s="449">
        <f t="shared" si="31"/>
        <v>1952.566</v>
      </c>
      <c r="AB154" s="449">
        <f t="shared" si="32"/>
        <v>1059.366</v>
      </c>
      <c r="AC154" s="449">
        <f t="shared" si="33"/>
        <v>2584.8020000000006</v>
      </c>
      <c r="AD154" s="449">
        <f t="shared" si="34"/>
        <v>2442.154</v>
      </c>
      <c r="AE154" s="449">
        <f t="shared" si="35"/>
        <v>2318.6680000000001</v>
      </c>
      <c r="AF154" s="449">
        <f t="shared" si="36"/>
        <v>1563.452</v>
      </c>
      <c r="AG154" s="449">
        <f t="shared" si="37"/>
        <v>1439.702</v>
      </c>
      <c r="AH154" s="450">
        <f t="shared" si="38"/>
        <v>1519.0450000000001</v>
      </c>
    </row>
    <row r="155" spans="1:34">
      <c r="A155" s="427">
        <v>2018</v>
      </c>
      <c r="B155" s="413" t="s">
        <v>303</v>
      </c>
      <c r="C155" s="414" t="s">
        <v>311</v>
      </c>
      <c r="D155" s="414" t="s">
        <v>312</v>
      </c>
      <c r="E155" s="415" t="s">
        <v>306</v>
      </c>
      <c r="F155" s="432" t="s">
        <v>315</v>
      </c>
      <c r="G155" s="417" t="s">
        <v>211</v>
      </c>
      <c r="H155" s="445">
        <v>716.3</v>
      </c>
      <c r="I155" s="445">
        <v>700.09</v>
      </c>
      <c r="J155" s="445">
        <v>681.76</v>
      </c>
      <c r="K155" s="445">
        <v>645.74</v>
      </c>
      <c r="L155" s="445">
        <v>631.13</v>
      </c>
      <c r="M155" s="445">
        <v>614.63</v>
      </c>
      <c r="N155" s="445">
        <v>333.47</v>
      </c>
      <c r="O155" s="445">
        <v>813.65</v>
      </c>
      <c r="P155" s="445">
        <v>768.75</v>
      </c>
      <c r="Q155" s="445">
        <v>729.88</v>
      </c>
      <c r="R155" s="445">
        <v>492.15</v>
      </c>
      <c r="S155" s="445">
        <v>453.19</v>
      </c>
      <c r="T155" s="446">
        <v>478.17</v>
      </c>
      <c r="V155" s="445">
        <f t="shared" si="26"/>
        <v>787.93000000000006</v>
      </c>
      <c r="W155" s="445">
        <f t="shared" si="27"/>
        <v>770.09900000000005</v>
      </c>
      <c r="X155" s="445">
        <f t="shared" si="28"/>
        <v>749.93600000000004</v>
      </c>
      <c r="Y155" s="445">
        <f t="shared" si="29"/>
        <v>710.31400000000008</v>
      </c>
      <c r="Z155" s="445">
        <f t="shared" si="30"/>
        <v>694.24300000000005</v>
      </c>
      <c r="AA155" s="445">
        <f t="shared" si="31"/>
        <v>676.09300000000007</v>
      </c>
      <c r="AB155" s="445">
        <f t="shared" si="32"/>
        <v>366.81700000000006</v>
      </c>
      <c r="AC155" s="445">
        <f t="shared" si="33"/>
        <v>895.0150000000001</v>
      </c>
      <c r="AD155" s="445">
        <f t="shared" si="34"/>
        <v>845.62500000000011</v>
      </c>
      <c r="AE155" s="445">
        <f t="shared" si="35"/>
        <v>802.86800000000005</v>
      </c>
      <c r="AF155" s="445">
        <f t="shared" si="36"/>
        <v>541.36500000000001</v>
      </c>
      <c r="AG155" s="445">
        <f t="shared" si="37"/>
        <v>498.50900000000001</v>
      </c>
      <c r="AH155" s="446">
        <f t="shared" si="38"/>
        <v>525.98700000000008</v>
      </c>
    </row>
    <row r="156" spans="1:34">
      <c r="A156" s="428">
        <v>2018</v>
      </c>
      <c r="B156" s="145" t="s">
        <v>303</v>
      </c>
      <c r="C156" s="146" t="s">
        <v>311</v>
      </c>
      <c r="D156" s="146" t="s">
        <v>312</v>
      </c>
      <c r="E156" s="147" t="s">
        <v>306</v>
      </c>
      <c r="F156" s="433" t="s">
        <v>315</v>
      </c>
      <c r="G156" s="149" t="s">
        <v>212</v>
      </c>
      <c r="H156" s="447">
        <v>1568.71</v>
      </c>
      <c r="I156" s="447">
        <v>1533.18</v>
      </c>
      <c r="J156" s="447">
        <v>1493.06</v>
      </c>
      <c r="K156" s="447">
        <v>1414.17</v>
      </c>
      <c r="L156" s="447">
        <v>1382.18</v>
      </c>
      <c r="M156" s="447">
        <v>1346.05</v>
      </c>
      <c r="N156" s="447">
        <v>730.29</v>
      </c>
      <c r="O156" s="447">
        <v>1781.89</v>
      </c>
      <c r="P156" s="447">
        <v>1683.56</v>
      </c>
      <c r="Q156" s="447">
        <v>1598.42</v>
      </c>
      <c r="R156" s="447">
        <v>1077.8</v>
      </c>
      <c r="S156" s="447">
        <v>992.5</v>
      </c>
      <c r="T156" s="448">
        <v>1047.19</v>
      </c>
      <c r="V156" s="447">
        <f t="shared" si="26"/>
        <v>1725.5810000000001</v>
      </c>
      <c r="W156" s="447">
        <f t="shared" si="27"/>
        <v>1686.4980000000003</v>
      </c>
      <c r="X156" s="447">
        <f t="shared" si="28"/>
        <v>1642.366</v>
      </c>
      <c r="Y156" s="447">
        <f t="shared" si="29"/>
        <v>1555.5870000000002</v>
      </c>
      <c r="Z156" s="447">
        <f t="shared" si="30"/>
        <v>1520.3980000000001</v>
      </c>
      <c r="AA156" s="447">
        <f t="shared" si="31"/>
        <v>1480.655</v>
      </c>
      <c r="AB156" s="447">
        <f t="shared" si="32"/>
        <v>803.31900000000007</v>
      </c>
      <c r="AC156" s="447">
        <f t="shared" si="33"/>
        <v>1960.0790000000002</v>
      </c>
      <c r="AD156" s="447">
        <f t="shared" si="34"/>
        <v>1851.9160000000002</v>
      </c>
      <c r="AE156" s="447">
        <f t="shared" si="35"/>
        <v>1758.2620000000002</v>
      </c>
      <c r="AF156" s="447">
        <f t="shared" si="36"/>
        <v>1185.5800000000002</v>
      </c>
      <c r="AG156" s="447">
        <f t="shared" si="37"/>
        <v>1091.75</v>
      </c>
      <c r="AH156" s="448">
        <f t="shared" si="38"/>
        <v>1151.9090000000001</v>
      </c>
    </row>
    <row r="157" spans="1:34">
      <c r="A157" s="428">
        <v>2018</v>
      </c>
      <c r="B157" s="145" t="s">
        <v>303</v>
      </c>
      <c r="C157" s="146" t="s">
        <v>311</v>
      </c>
      <c r="D157" s="146" t="s">
        <v>312</v>
      </c>
      <c r="E157" s="147" t="s">
        <v>306</v>
      </c>
      <c r="F157" s="433" t="s">
        <v>315</v>
      </c>
      <c r="G157" s="149" t="s">
        <v>213</v>
      </c>
      <c r="H157" s="447">
        <v>1360.97</v>
      </c>
      <c r="I157" s="447">
        <v>1330.16</v>
      </c>
      <c r="J157" s="447">
        <v>1295.3499999999999</v>
      </c>
      <c r="K157" s="447">
        <v>1226.9100000000001</v>
      </c>
      <c r="L157" s="447">
        <v>1199.1600000000001</v>
      </c>
      <c r="M157" s="447">
        <v>1167.8</v>
      </c>
      <c r="N157" s="447">
        <v>633.6</v>
      </c>
      <c r="O157" s="447">
        <v>1545.94</v>
      </c>
      <c r="P157" s="447">
        <v>1460.62</v>
      </c>
      <c r="Q157" s="447">
        <v>1386.76</v>
      </c>
      <c r="R157" s="447">
        <v>935.07</v>
      </c>
      <c r="S157" s="447">
        <v>861.07</v>
      </c>
      <c r="T157" s="448">
        <v>908.52</v>
      </c>
      <c r="V157" s="447">
        <f t="shared" si="26"/>
        <v>1497.0670000000002</v>
      </c>
      <c r="W157" s="447">
        <f t="shared" si="27"/>
        <v>1463.1760000000002</v>
      </c>
      <c r="X157" s="447">
        <f t="shared" si="28"/>
        <v>1424.885</v>
      </c>
      <c r="Y157" s="447">
        <f t="shared" si="29"/>
        <v>1349.6010000000001</v>
      </c>
      <c r="Z157" s="447">
        <f t="shared" si="30"/>
        <v>1319.0760000000002</v>
      </c>
      <c r="AA157" s="447">
        <f t="shared" si="31"/>
        <v>1284.5800000000002</v>
      </c>
      <c r="AB157" s="447">
        <f t="shared" si="32"/>
        <v>696.96</v>
      </c>
      <c r="AC157" s="447">
        <f t="shared" si="33"/>
        <v>1700.5340000000001</v>
      </c>
      <c r="AD157" s="447">
        <f t="shared" si="34"/>
        <v>1606.682</v>
      </c>
      <c r="AE157" s="447">
        <f t="shared" si="35"/>
        <v>1525.4360000000001</v>
      </c>
      <c r="AF157" s="447">
        <f t="shared" si="36"/>
        <v>1028.5770000000002</v>
      </c>
      <c r="AG157" s="447">
        <f t="shared" si="37"/>
        <v>947.17700000000013</v>
      </c>
      <c r="AH157" s="448">
        <f t="shared" si="38"/>
        <v>999.37200000000007</v>
      </c>
    </row>
    <row r="158" spans="1:34" ht="16.5" thickBot="1">
      <c r="A158" s="429">
        <v>2018</v>
      </c>
      <c r="B158" s="420" t="s">
        <v>303</v>
      </c>
      <c r="C158" s="421" t="s">
        <v>311</v>
      </c>
      <c r="D158" s="421" t="s">
        <v>312</v>
      </c>
      <c r="E158" s="422" t="s">
        <v>306</v>
      </c>
      <c r="F158" s="434" t="s">
        <v>315</v>
      </c>
      <c r="G158" s="424" t="s">
        <v>214</v>
      </c>
      <c r="H158" s="449">
        <v>2177.5700000000002</v>
      </c>
      <c r="I158" s="449">
        <v>2128.2600000000002</v>
      </c>
      <c r="J158" s="449">
        <v>2072.56</v>
      </c>
      <c r="K158" s="449">
        <v>1963.05</v>
      </c>
      <c r="L158" s="449">
        <v>1918.64</v>
      </c>
      <c r="M158" s="449">
        <v>1868.48</v>
      </c>
      <c r="N158" s="449">
        <v>1013.75</v>
      </c>
      <c r="O158" s="449">
        <v>2473.4899999999998</v>
      </c>
      <c r="P158" s="449">
        <v>2336.9899999999998</v>
      </c>
      <c r="Q158" s="449">
        <v>2218.8200000000002</v>
      </c>
      <c r="R158" s="449">
        <v>1496.13</v>
      </c>
      <c r="S158" s="449">
        <v>1377.71</v>
      </c>
      <c r="T158" s="450">
        <v>1453.64</v>
      </c>
      <c r="V158" s="449">
        <f t="shared" si="26"/>
        <v>2395.3270000000002</v>
      </c>
      <c r="W158" s="449">
        <f t="shared" si="27"/>
        <v>2341.0860000000002</v>
      </c>
      <c r="X158" s="449">
        <f t="shared" si="28"/>
        <v>2279.8160000000003</v>
      </c>
      <c r="Y158" s="449">
        <f t="shared" si="29"/>
        <v>2159.355</v>
      </c>
      <c r="Z158" s="449">
        <f t="shared" si="30"/>
        <v>2110.5040000000004</v>
      </c>
      <c r="AA158" s="449">
        <f t="shared" si="31"/>
        <v>2055.328</v>
      </c>
      <c r="AB158" s="449">
        <f t="shared" si="32"/>
        <v>1115.125</v>
      </c>
      <c r="AC158" s="449">
        <f t="shared" si="33"/>
        <v>2720.8389999999999</v>
      </c>
      <c r="AD158" s="449">
        <f t="shared" si="34"/>
        <v>2570.6889999999999</v>
      </c>
      <c r="AE158" s="449">
        <f t="shared" si="35"/>
        <v>2440.7020000000002</v>
      </c>
      <c r="AF158" s="449">
        <f t="shared" si="36"/>
        <v>1645.7430000000002</v>
      </c>
      <c r="AG158" s="449">
        <f t="shared" si="37"/>
        <v>1515.4810000000002</v>
      </c>
      <c r="AH158" s="450">
        <f t="shared" si="38"/>
        <v>1599.0040000000001</v>
      </c>
    </row>
    <row r="159" spans="1:34">
      <c r="A159" s="427">
        <v>2018</v>
      </c>
      <c r="B159" s="413" t="s">
        <v>303</v>
      </c>
      <c r="C159" s="414" t="s">
        <v>313</v>
      </c>
      <c r="D159" s="414" t="s">
        <v>314</v>
      </c>
      <c r="E159" s="415" t="s">
        <v>306</v>
      </c>
      <c r="F159" s="432" t="s">
        <v>315</v>
      </c>
      <c r="G159" s="417" t="s">
        <v>211</v>
      </c>
      <c r="H159" s="445">
        <v>823.75</v>
      </c>
      <c r="I159" s="445">
        <v>805.1</v>
      </c>
      <c r="J159" s="445">
        <v>784.03</v>
      </c>
      <c r="K159" s="445">
        <v>742.6</v>
      </c>
      <c r="L159" s="445">
        <v>725.8</v>
      </c>
      <c r="M159" s="445">
        <v>706.83</v>
      </c>
      <c r="N159" s="445">
        <v>383.49</v>
      </c>
      <c r="O159" s="445">
        <v>935.7</v>
      </c>
      <c r="P159" s="445">
        <v>884.06</v>
      </c>
      <c r="Q159" s="445">
        <v>839.36</v>
      </c>
      <c r="R159" s="445">
        <v>565.97</v>
      </c>
      <c r="S159" s="445">
        <v>521.16999999999996</v>
      </c>
      <c r="T159" s="446">
        <v>549.9</v>
      </c>
      <c r="V159" s="445">
        <f t="shared" si="26"/>
        <v>906.12500000000011</v>
      </c>
      <c r="W159" s="445">
        <f t="shared" si="27"/>
        <v>885.61000000000013</v>
      </c>
      <c r="X159" s="445">
        <f t="shared" si="28"/>
        <v>862.43299999999999</v>
      </c>
      <c r="Y159" s="445">
        <f t="shared" si="29"/>
        <v>816.86000000000013</v>
      </c>
      <c r="Z159" s="445">
        <f t="shared" si="30"/>
        <v>798.38</v>
      </c>
      <c r="AA159" s="445">
        <f t="shared" si="31"/>
        <v>777.51300000000015</v>
      </c>
      <c r="AB159" s="445">
        <f t="shared" si="32"/>
        <v>421.83900000000006</v>
      </c>
      <c r="AC159" s="445">
        <f t="shared" si="33"/>
        <v>1029.2700000000002</v>
      </c>
      <c r="AD159" s="445">
        <f t="shared" si="34"/>
        <v>972.46600000000001</v>
      </c>
      <c r="AE159" s="445">
        <f t="shared" si="35"/>
        <v>923.29600000000005</v>
      </c>
      <c r="AF159" s="445">
        <f t="shared" si="36"/>
        <v>622.56700000000012</v>
      </c>
      <c r="AG159" s="445">
        <f t="shared" si="37"/>
        <v>573.28700000000003</v>
      </c>
      <c r="AH159" s="446">
        <f t="shared" si="38"/>
        <v>604.89</v>
      </c>
    </row>
    <row r="160" spans="1:34">
      <c r="A160" s="428">
        <v>2018</v>
      </c>
      <c r="B160" s="145" t="s">
        <v>303</v>
      </c>
      <c r="C160" s="146" t="s">
        <v>313</v>
      </c>
      <c r="D160" s="146" t="s">
        <v>314</v>
      </c>
      <c r="E160" s="147" t="s">
        <v>306</v>
      </c>
      <c r="F160" s="433" t="s">
        <v>315</v>
      </c>
      <c r="G160" s="149" t="s">
        <v>212</v>
      </c>
      <c r="H160" s="447">
        <v>1804.01</v>
      </c>
      <c r="I160" s="447">
        <v>1763.16</v>
      </c>
      <c r="J160" s="447">
        <v>1717.02</v>
      </c>
      <c r="K160" s="447">
        <v>1626.29</v>
      </c>
      <c r="L160" s="447">
        <v>1589.5</v>
      </c>
      <c r="M160" s="447">
        <v>1547.95</v>
      </c>
      <c r="N160" s="447">
        <v>839.84</v>
      </c>
      <c r="O160" s="447">
        <v>2049.17</v>
      </c>
      <c r="P160" s="447">
        <v>1936.1</v>
      </c>
      <c r="Q160" s="447">
        <v>1838.19</v>
      </c>
      <c r="R160" s="447">
        <v>1239.47</v>
      </c>
      <c r="S160" s="447">
        <v>1141.3699999999999</v>
      </c>
      <c r="T160" s="448">
        <v>1204.27</v>
      </c>
      <c r="V160" s="447">
        <f t="shared" si="26"/>
        <v>1984.4110000000001</v>
      </c>
      <c r="W160" s="447">
        <f t="shared" si="27"/>
        <v>1939.4760000000003</v>
      </c>
      <c r="X160" s="447">
        <f t="shared" si="28"/>
        <v>1888.7220000000002</v>
      </c>
      <c r="Y160" s="447">
        <f t="shared" si="29"/>
        <v>1788.9190000000001</v>
      </c>
      <c r="Z160" s="447">
        <f t="shared" si="30"/>
        <v>1748.45</v>
      </c>
      <c r="AA160" s="447">
        <f t="shared" si="31"/>
        <v>1702.7450000000001</v>
      </c>
      <c r="AB160" s="447">
        <f t="shared" si="32"/>
        <v>923.82400000000007</v>
      </c>
      <c r="AC160" s="447">
        <f t="shared" si="33"/>
        <v>2254.0870000000004</v>
      </c>
      <c r="AD160" s="447">
        <f t="shared" si="34"/>
        <v>2129.71</v>
      </c>
      <c r="AE160" s="447">
        <f t="shared" si="35"/>
        <v>2022.0090000000002</v>
      </c>
      <c r="AF160" s="447">
        <f t="shared" si="36"/>
        <v>1363.4170000000001</v>
      </c>
      <c r="AG160" s="447">
        <f t="shared" si="37"/>
        <v>1255.5070000000001</v>
      </c>
      <c r="AH160" s="448">
        <f t="shared" si="38"/>
        <v>1324.6970000000001</v>
      </c>
    </row>
    <row r="161" spans="1:34">
      <c r="A161" s="428">
        <v>2018</v>
      </c>
      <c r="B161" s="145" t="s">
        <v>303</v>
      </c>
      <c r="C161" s="146" t="s">
        <v>313</v>
      </c>
      <c r="D161" s="146" t="s">
        <v>314</v>
      </c>
      <c r="E161" s="147" t="s">
        <v>306</v>
      </c>
      <c r="F161" s="433" t="s">
        <v>315</v>
      </c>
      <c r="G161" s="149" t="s">
        <v>213</v>
      </c>
      <c r="H161" s="447">
        <v>1565.12</v>
      </c>
      <c r="I161" s="447">
        <v>1529.68</v>
      </c>
      <c r="J161" s="447">
        <v>1489.65</v>
      </c>
      <c r="K161" s="447">
        <v>1410.94</v>
      </c>
      <c r="L161" s="447">
        <v>1379.03</v>
      </c>
      <c r="M161" s="447">
        <v>1342.97</v>
      </c>
      <c r="N161" s="447">
        <v>728.64</v>
      </c>
      <c r="O161" s="447">
        <v>1777.83</v>
      </c>
      <c r="P161" s="447">
        <v>1679.72</v>
      </c>
      <c r="Q161" s="447">
        <v>1594.78</v>
      </c>
      <c r="R161" s="447">
        <v>1075.33</v>
      </c>
      <c r="S161" s="447">
        <v>990.23</v>
      </c>
      <c r="T161" s="448">
        <v>1044.8</v>
      </c>
      <c r="V161" s="447">
        <f t="shared" si="26"/>
        <v>1721.6320000000001</v>
      </c>
      <c r="W161" s="447">
        <f t="shared" si="27"/>
        <v>1682.6480000000001</v>
      </c>
      <c r="X161" s="447">
        <f t="shared" si="28"/>
        <v>1638.6150000000002</v>
      </c>
      <c r="Y161" s="447">
        <f t="shared" si="29"/>
        <v>1552.0340000000001</v>
      </c>
      <c r="Z161" s="447">
        <f t="shared" si="30"/>
        <v>1516.933</v>
      </c>
      <c r="AA161" s="447">
        <f t="shared" si="31"/>
        <v>1477.2670000000001</v>
      </c>
      <c r="AB161" s="447">
        <f t="shared" si="32"/>
        <v>801.50400000000002</v>
      </c>
      <c r="AC161" s="447">
        <f t="shared" si="33"/>
        <v>1955.6130000000001</v>
      </c>
      <c r="AD161" s="447">
        <f t="shared" si="34"/>
        <v>1847.6920000000002</v>
      </c>
      <c r="AE161" s="447">
        <f t="shared" si="35"/>
        <v>1754.258</v>
      </c>
      <c r="AF161" s="447">
        <f t="shared" si="36"/>
        <v>1182.8630000000001</v>
      </c>
      <c r="AG161" s="447">
        <f t="shared" si="37"/>
        <v>1089.2530000000002</v>
      </c>
      <c r="AH161" s="448">
        <f t="shared" si="38"/>
        <v>1149.28</v>
      </c>
    </row>
    <row r="162" spans="1:34" ht="16.5" thickBot="1">
      <c r="A162" s="429">
        <v>2018</v>
      </c>
      <c r="B162" s="420" t="s">
        <v>303</v>
      </c>
      <c r="C162" s="421" t="s">
        <v>313</v>
      </c>
      <c r="D162" s="421" t="s">
        <v>314</v>
      </c>
      <c r="E162" s="422" t="s">
        <v>306</v>
      </c>
      <c r="F162" s="434" t="s">
        <v>315</v>
      </c>
      <c r="G162" s="424" t="s">
        <v>214</v>
      </c>
      <c r="H162" s="449">
        <v>2504.1999999999998</v>
      </c>
      <c r="I162" s="449">
        <v>2447.5</v>
      </c>
      <c r="J162" s="449">
        <v>2383.44</v>
      </c>
      <c r="K162" s="449">
        <v>2257.5</v>
      </c>
      <c r="L162" s="449">
        <v>2206.44</v>
      </c>
      <c r="M162" s="449">
        <v>2148.75</v>
      </c>
      <c r="N162" s="449">
        <v>1165.81</v>
      </c>
      <c r="O162" s="449">
        <v>2844.52</v>
      </c>
      <c r="P162" s="449">
        <v>2687.54</v>
      </c>
      <c r="Q162" s="449">
        <v>2551.65</v>
      </c>
      <c r="R162" s="449">
        <v>1720.54</v>
      </c>
      <c r="S162" s="449">
        <v>1584.37</v>
      </c>
      <c r="T162" s="450">
        <v>1671.68</v>
      </c>
      <c r="V162" s="449">
        <f t="shared" si="26"/>
        <v>2754.62</v>
      </c>
      <c r="W162" s="449">
        <f t="shared" si="27"/>
        <v>2692.25</v>
      </c>
      <c r="X162" s="449">
        <f t="shared" si="28"/>
        <v>2621.7840000000001</v>
      </c>
      <c r="Y162" s="449">
        <f t="shared" si="29"/>
        <v>2483.25</v>
      </c>
      <c r="Z162" s="449">
        <f t="shared" si="30"/>
        <v>2427.0840000000003</v>
      </c>
      <c r="AA162" s="449">
        <f t="shared" si="31"/>
        <v>2363.625</v>
      </c>
      <c r="AB162" s="449">
        <f t="shared" si="32"/>
        <v>1282.3910000000001</v>
      </c>
      <c r="AC162" s="449">
        <f t="shared" si="33"/>
        <v>3128.9720000000002</v>
      </c>
      <c r="AD162" s="449">
        <f t="shared" si="34"/>
        <v>2956.2940000000003</v>
      </c>
      <c r="AE162" s="449">
        <f t="shared" si="35"/>
        <v>2806.8150000000005</v>
      </c>
      <c r="AF162" s="449">
        <f t="shared" si="36"/>
        <v>1892.5940000000001</v>
      </c>
      <c r="AG162" s="449">
        <f t="shared" si="37"/>
        <v>1742.807</v>
      </c>
      <c r="AH162" s="450">
        <f t="shared" si="38"/>
        <v>1838.8480000000002</v>
      </c>
    </row>
    <row r="163" spans="1:34">
      <c r="A163" s="427">
        <v>2018</v>
      </c>
      <c r="B163" s="413" t="s">
        <v>303</v>
      </c>
      <c r="C163" s="414" t="s">
        <v>304</v>
      </c>
      <c r="D163" s="414" t="s">
        <v>305</v>
      </c>
      <c r="E163" s="430" t="s">
        <v>316</v>
      </c>
      <c r="F163" s="416" t="s">
        <v>307</v>
      </c>
      <c r="G163" s="417" t="s">
        <v>211</v>
      </c>
      <c r="H163" s="445">
        <v>619.25</v>
      </c>
      <c r="I163" s="445">
        <v>605.22</v>
      </c>
      <c r="J163" s="445">
        <v>589.38</v>
      </c>
      <c r="K163" s="445">
        <v>558.24</v>
      </c>
      <c r="L163" s="445">
        <v>545.61</v>
      </c>
      <c r="M163" s="445">
        <v>531.35</v>
      </c>
      <c r="N163" s="445">
        <v>288.27999999999997</v>
      </c>
      <c r="O163" s="445">
        <v>679.61</v>
      </c>
      <c r="P163" s="445">
        <v>642.11</v>
      </c>
      <c r="Q163" s="445">
        <v>609.64</v>
      </c>
      <c r="R163" s="445">
        <v>416.92</v>
      </c>
      <c r="S163" s="445">
        <v>383.92</v>
      </c>
      <c r="T163" s="446">
        <v>405.08</v>
      </c>
      <c r="V163" s="445">
        <f t="shared" si="26"/>
        <v>681.17500000000007</v>
      </c>
      <c r="W163" s="445">
        <f t="shared" si="27"/>
        <v>665.74200000000008</v>
      </c>
      <c r="X163" s="445">
        <f t="shared" si="28"/>
        <v>648.3180000000001</v>
      </c>
      <c r="Y163" s="445">
        <f t="shared" si="29"/>
        <v>614.06400000000008</v>
      </c>
      <c r="Z163" s="445">
        <f t="shared" si="30"/>
        <v>600.17100000000005</v>
      </c>
      <c r="AA163" s="445">
        <f t="shared" si="31"/>
        <v>584.48500000000013</v>
      </c>
      <c r="AB163" s="445">
        <f t="shared" si="32"/>
        <v>317.108</v>
      </c>
      <c r="AC163" s="445">
        <f t="shared" si="33"/>
        <v>747.57100000000003</v>
      </c>
      <c r="AD163" s="445">
        <f t="shared" si="34"/>
        <v>706.32100000000003</v>
      </c>
      <c r="AE163" s="445">
        <f t="shared" si="35"/>
        <v>670.60400000000004</v>
      </c>
      <c r="AF163" s="445">
        <f t="shared" si="36"/>
        <v>458.61200000000008</v>
      </c>
      <c r="AG163" s="445">
        <f t="shared" si="37"/>
        <v>422.31200000000007</v>
      </c>
      <c r="AH163" s="446">
        <f t="shared" si="38"/>
        <v>445.58800000000002</v>
      </c>
    </row>
    <row r="164" spans="1:34">
      <c r="A164" s="428">
        <v>2018</v>
      </c>
      <c r="B164" s="145" t="s">
        <v>303</v>
      </c>
      <c r="C164" s="146" t="s">
        <v>304</v>
      </c>
      <c r="D164" s="146" t="s">
        <v>305</v>
      </c>
      <c r="E164" s="151" t="s">
        <v>316</v>
      </c>
      <c r="F164" s="148" t="s">
        <v>307</v>
      </c>
      <c r="G164" s="149" t="s">
        <v>212</v>
      </c>
      <c r="H164" s="447">
        <v>1356.15</v>
      </c>
      <c r="I164" s="447">
        <v>1325.44</v>
      </c>
      <c r="J164" s="447">
        <v>1290.75</v>
      </c>
      <c r="K164" s="447">
        <v>1222.55</v>
      </c>
      <c r="L164" s="447">
        <v>1194.8900000000001</v>
      </c>
      <c r="M164" s="447">
        <v>1163.6600000000001</v>
      </c>
      <c r="N164" s="447">
        <v>631.34</v>
      </c>
      <c r="O164" s="447">
        <v>1488.35</v>
      </c>
      <c r="P164" s="447">
        <v>1406.22</v>
      </c>
      <c r="Q164" s="447">
        <v>1335.11</v>
      </c>
      <c r="R164" s="447">
        <v>913.05</v>
      </c>
      <c r="S164" s="447">
        <v>840.78</v>
      </c>
      <c r="T164" s="448">
        <v>887.12</v>
      </c>
      <c r="V164" s="447">
        <f t="shared" si="26"/>
        <v>1491.7650000000003</v>
      </c>
      <c r="W164" s="447">
        <f t="shared" si="27"/>
        <v>1457.9840000000002</v>
      </c>
      <c r="X164" s="447">
        <f t="shared" si="28"/>
        <v>1419.825</v>
      </c>
      <c r="Y164" s="447">
        <f t="shared" si="29"/>
        <v>1344.8050000000001</v>
      </c>
      <c r="Z164" s="447">
        <f t="shared" si="30"/>
        <v>1314.3790000000001</v>
      </c>
      <c r="AA164" s="447">
        <f t="shared" si="31"/>
        <v>1280.0260000000003</v>
      </c>
      <c r="AB164" s="447">
        <f t="shared" si="32"/>
        <v>694.47400000000005</v>
      </c>
      <c r="AC164" s="447">
        <f t="shared" si="33"/>
        <v>1637.1849999999999</v>
      </c>
      <c r="AD164" s="447">
        <f t="shared" si="34"/>
        <v>1546.8420000000001</v>
      </c>
      <c r="AE164" s="447">
        <f t="shared" si="35"/>
        <v>1468.6210000000001</v>
      </c>
      <c r="AF164" s="447">
        <f t="shared" si="36"/>
        <v>1004.355</v>
      </c>
      <c r="AG164" s="447">
        <f t="shared" si="37"/>
        <v>924.85800000000006</v>
      </c>
      <c r="AH164" s="448">
        <f t="shared" si="38"/>
        <v>975.83200000000011</v>
      </c>
    </row>
    <row r="165" spans="1:34">
      <c r="A165" s="428">
        <v>2018</v>
      </c>
      <c r="B165" s="145" t="s">
        <v>303</v>
      </c>
      <c r="C165" s="146" t="s">
        <v>304</v>
      </c>
      <c r="D165" s="146" t="s">
        <v>305</v>
      </c>
      <c r="E165" s="151" t="s">
        <v>316</v>
      </c>
      <c r="F165" s="148" t="s">
        <v>307</v>
      </c>
      <c r="G165" s="149" t="s">
        <v>213</v>
      </c>
      <c r="H165" s="447">
        <v>1176.56</v>
      </c>
      <c r="I165" s="447">
        <v>1149.92</v>
      </c>
      <c r="J165" s="447">
        <v>1119.83</v>
      </c>
      <c r="K165" s="447">
        <v>1060.6600000000001</v>
      </c>
      <c r="L165" s="447">
        <v>1036.67</v>
      </c>
      <c r="M165" s="447">
        <v>1009.57</v>
      </c>
      <c r="N165" s="447">
        <v>547.74</v>
      </c>
      <c r="O165" s="447">
        <v>1291.27</v>
      </c>
      <c r="P165" s="447">
        <v>1220.01</v>
      </c>
      <c r="Q165" s="447">
        <v>1158.32</v>
      </c>
      <c r="R165" s="447">
        <v>792.14</v>
      </c>
      <c r="S165" s="447">
        <v>729.44</v>
      </c>
      <c r="T165" s="448">
        <v>769.64</v>
      </c>
      <c r="V165" s="447">
        <f t="shared" si="26"/>
        <v>1294.2160000000001</v>
      </c>
      <c r="W165" s="447">
        <f t="shared" si="27"/>
        <v>1264.9120000000003</v>
      </c>
      <c r="X165" s="447">
        <f t="shared" si="28"/>
        <v>1231.8130000000001</v>
      </c>
      <c r="Y165" s="447">
        <f t="shared" si="29"/>
        <v>1166.7260000000001</v>
      </c>
      <c r="Z165" s="447">
        <f t="shared" si="30"/>
        <v>1140.3370000000002</v>
      </c>
      <c r="AA165" s="447">
        <f t="shared" si="31"/>
        <v>1110.527</v>
      </c>
      <c r="AB165" s="447">
        <f t="shared" si="32"/>
        <v>602.51400000000001</v>
      </c>
      <c r="AC165" s="447">
        <f t="shared" si="33"/>
        <v>1420.3970000000002</v>
      </c>
      <c r="AD165" s="447">
        <f t="shared" si="34"/>
        <v>1342.0110000000002</v>
      </c>
      <c r="AE165" s="447">
        <f t="shared" si="35"/>
        <v>1274.152</v>
      </c>
      <c r="AF165" s="447">
        <f t="shared" si="36"/>
        <v>871.35400000000004</v>
      </c>
      <c r="AG165" s="447">
        <f t="shared" si="37"/>
        <v>802.38400000000013</v>
      </c>
      <c r="AH165" s="448">
        <f t="shared" si="38"/>
        <v>846.60400000000004</v>
      </c>
    </row>
    <row r="166" spans="1:34" ht="16.5" thickBot="1">
      <c r="A166" s="429">
        <v>2018</v>
      </c>
      <c r="B166" s="420" t="s">
        <v>303</v>
      </c>
      <c r="C166" s="421" t="s">
        <v>304</v>
      </c>
      <c r="D166" s="421" t="s">
        <v>305</v>
      </c>
      <c r="E166" s="431" t="s">
        <v>316</v>
      </c>
      <c r="F166" s="423" t="s">
        <v>307</v>
      </c>
      <c r="G166" s="424" t="s">
        <v>214</v>
      </c>
      <c r="H166" s="449">
        <v>1882.51</v>
      </c>
      <c r="I166" s="449">
        <v>1839.88</v>
      </c>
      <c r="J166" s="449">
        <v>1791.73</v>
      </c>
      <c r="K166" s="449">
        <v>1697.05</v>
      </c>
      <c r="L166" s="449">
        <v>1658.67</v>
      </c>
      <c r="M166" s="449">
        <v>1615.3</v>
      </c>
      <c r="N166" s="449">
        <v>876.38</v>
      </c>
      <c r="O166" s="449">
        <v>2066.02</v>
      </c>
      <c r="P166" s="449">
        <v>1952.01</v>
      </c>
      <c r="Q166" s="449">
        <v>1853.31</v>
      </c>
      <c r="R166" s="449">
        <v>1267.43</v>
      </c>
      <c r="S166" s="449">
        <v>1167.1099999999999</v>
      </c>
      <c r="T166" s="450">
        <v>1231.44</v>
      </c>
      <c r="V166" s="449">
        <f t="shared" si="26"/>
        <v>2070.761</v>
      </c>
      <c r="W166" s="449">
        <f t="shared" si="27"/>
        <v>2023.8680000000004</v>
      </c>
      <c r="X166" s="449">
        <f t="shared" si="28"/>
        <v>1970.9030000000002</v>
      </c>
      <c r="Y166" s="449">
        <f t="shared" si="29"/>
        <v>1866.7550000000001</v>
      </c>
      <c r="Z166" s="449">
        <f t="shared" si="30"/>
        <v>1824.5370000000003</v>
      </c>
      <c r="AA166" s="449">
        <f t="shared" si="31"/>
        <v>1776.8300000000002</v>
      </c>
      <c r="AB166" s="449">
        <f t="shared" si="32"/>
        <v>964.01800000000003</v>
      </c>
      <c r="AC166" s="449">
        <f t="shared" si="33"/>
        <v>2272.6220000000003</v>
      </c>
      <c r="AD166" s="449">
        <f t="shared" si="34"/>
        <v>2147.2110000000002</v>
      </c>
      <c r="AE166" s="449">
        <f t="shared" si="35"/>
        <v>2038.6410000000001</v>
      </c>
      <c r="AF166" s="449">
        <f t="shared" si="36"/>
        <v>1394.1730000000002</v>
      </c>
      <c r="AG166" s="449">
        <f t="shared" si="37"/>
        <v>1283.8209999999999</v>
      </c>
      <c r="AH166" s="450">
        <f t="shared" si="38"/>
        <v>1354.5840000000001</v>
      </c>
    </row>
    <row r="167" spans="1:34">
      <c r="A167" s="427">
        <v>2018</v>
      </c>
      <c r="B167" s="413" t="s">
        <v>303</v>
      </c>
      <c r="C167" s="414" t="s">
        <v>309</v>
      </c>
      <c r="D167" s="414" t="s">
        <v>310</v>
      </c>
      <c r="E167" s="430" t="s">
        <v>316</v>
      </c>
      <c r="F167" s="416" t="s">
        <v>307</v>
      </c>
      <c r="G167" s="417" t="s">
        <v>211</v>
      </c>
      <c r="H167" s="445">
        <v>680.49</v>
      </c>
      <c r="I167" s="445">
        <v>665.08</v>
      </c>
      <c r="J167" s="445">
        <v>647.66999999999996</v>
      </c>
      <c r="K167" s="445">
        <v>613.45000000000005</v>
      </c>
      <c r="L167" s="445">
        <v>599.58000000000004</v>
      </c>
      <c r="M167" s="445">
        <v>583.9</v>
      </c>
      <c r="N167" s="445">
        <v>316.8</v>
      </c>
      <c r="O167" s="445">
        <v>746.83</v>
      </c>
      <c r="P167" s="445">
        <v>705.61</v>
      </c>
      <c r="Q167" s="445">
        <v>669.93</v>
      </c>
      <c r="R167" s="445">
        <v>458.15</v>
      </c>
      <c r="S167" s="445">
        <v>421.89</v>
      </c>
      <c r="T167" s="446">
        <v>445.14</v>
      </c>
      <c r="V167" s="445">
        <f t="shared" si="26"/>
        <v>748.5390000000001</v>
      </c>
      <c r="W167" s="445">
        <f t="shared" si="27"/>
        <v>731.58800000000008</v>
      </c>
      <c r="X167" s="445">
        <f t="shared" si="28"/>
        <v>712.43700000000001</v>
      </c>
      <c r="Y167" s="445">
        <f t="shared" si="29"/>
        <v>674.79500000000007</v>
      </c>
      <c r="Z167" s="445">
        <f t="shared" si="30"/>
        <v>659.53800000000012</v>
      </c>
      <c r="AA167" s="445">
        <f t="shared" si="31"/>
        <v>642.29000000000008</v>
      </c>
      <c r="AB167" s="445">
        <f t="shared" si="32"/>
        <v>348.48</v>
      </c>
      <c r="AC167" s="445">
        <f t="shared" si="33"/>
        <v>821.51300000000015</v>
      </c>
      <c r="AD167" s="445">
        <f t="shared" si="34"/>
        <v>776.17100000000005</v>
      </c>
      <c r="AE167" s="445">
        <f t="shared" si="35"/>
        <v>736.923</v>
      </c>
      <c r="AF167" s="445">
        <f t="shared" si="36"/>
        <v>503.96500000000003</v>
      </c>
      <c r="AG167" s="445">
        <f t="shared" si="37"/>
        <v>464.07900000000001</v>
      </c>
      <c r="AH167" s="446">
        <f t="shared" si="38"/>
        <v>489.654</v>
      </c>
    </row>
    <row r="168" spans="1:34">
      <c r="A168" s="428">
        <v>2018</v>
      </c>
      <c r="B168" s="145" t="s">
        <v>303</v>
      </c>
      <c r="C168" s="146" t="s">
        <v>309</v>
      </c>
      <c r="D168" s="146" t="s">
        <v>310</v>
      </c>
      <c r="E168" s="151" t="s">
        <v>316</v>
      </c>
      <c r="F168" s="148" t="s">
        <v>307</v>
      </c>
      <c r="G168" s="149" t="s">
        <v>212</v>
      </c>
      <c r="H168" s="447">
        <v>1490.27</v>
      </c>
      <c r="I168" s="447">
        <v>1456.52</v>
      </c>
      <c r="J168" s="447">
        <v>1418.41</v>
      </c>
      <c r="K168" s="447">
        <v>1343.46</v>
      </c>
      <c r="L168" s="447">
        <v>1313.07</v>
      </c>
      <c r="M168" s="447">
        <v>1278.74</v>
      </c>
      <c r="N168" s="447">
        <v>693.78</v>
      </c>
      <c r="O168" s="447">
        <v>1635.55</v>
      </c>
      <c r="P168" s="447">
        <v>1545.3</v>
      </c>
      <c r="Q168" s="447">
        <v>1467.15</v>
      </c>
      <c r="R168" s="447">
        <v>1003.35</v>
      </c>
      <c r="S168" s="447">
        <v>923.94</v>
      </c>
      <c r="T168" s="448">
        <v>974.86</v>
      </c>
      <c r="V168" s="447">
        <f t="shared" si="26"/>
        <v>1639.297</v>
      </c>
      <c r="W168" s="447">
        <f t="shared" si="27"/>
        <v>1602.172</v>
      </c>
      <c r="X168" s="447">
        <f t="shared" si="28"/>
        <v>1560.2510000000002</v>
      </c>
      <c r="Y168" s="447">
        <f t="shared" si="29"/>
        <v>1477.8060000000003</v>
      </c>
      <c r="Z168" s="447">
        <f t="shared" si="30"/>
        <v>1444.377</v>
      </c>
      <c r="AA168" s="447">
        <f t="shared" si="31"/>
        <v>1406.614</v>
      </c>
      <c r="AB168" s="447">
        <f t="shared" si="32"/>
        <v>763.15800000000002</v>
      </c>
      <c r="AC168" s="447">
        <f t="shared" si="33"/>
        <v>1799.105</v>
      </c>
      <c r="AD168" s="447">
        <f t="shared" si="34"/>
        <v>1699.8300000000002</v>
      </c>
      <c r="AE168" s="447">
        <f t="shared" si="35"/>
        <v>1613.8650000000002</v>
      </c>
      <c r="AF168" s="447">
        <f t="shared" si="36"/>
        <v>1103.6850000000002</v>
      </c>
      <c r="AG168" s="447">
        <f t="shared" si="37"/>
        <v>1016.3340000000002</v>
      </c>
      <c r="AH168" s="448">
        <f t="shared" si="38"/>
        <v>1072.346</v>
      </c>
    </row>
    <row r="169" spans="1:34">
      <c r="A169" s="428">
        <v>2018</v>
      </c>
      <c r="B169" s="145" t="s">
        <v>303</v>
      </c>
      <c r="C169" s="146" t="s">
        <v>309</v>
      </c>
      <c r="D169" s="146" t="s">
        <v>310</v>
      </c>
      <c r="E169" s="151" t="s">
        <v>316</v>
      </c>
      <c r="F169" s="148" t="s">
        <v>307</v>
      </c>
      <c r="G169" s="149" t="s">
        <v>213</v>
      </c>
      <c r="H169" s="447">
        <v>1292.93</v>
      </c>
      <c r="I169" s="447">
        <v>1263.6500000000001</v>
      </c>
      <c r="J169" s="447">
        <v>1230.58</v>
      </c>
      <c r="K169" s="447">
        <v>1165.56</v>
      </c>
      <c r="L169" s="447">
        <v>1139.2</v>
      </c>
      <c r="M169" s="447">
        <v>1109.4100000000001</v>
      </c>
      <c r="N169" s="447">
        <v>601.91999999999996</v>
      </c>
      <c r="O169" s="447">
        <v>1418.98</v>
      </c>
      <c r="P169" s="447">
        <v>1340.67</v>
      </c>
      <c r="Q169" s="447">
        <v>1272.8699999999999</v>
      </c>
      <c r="R169" s="447">
        <v>870.48</v>
      </c>
      <c r="S169" s="447">
        <v>801.59</v>
      </c>
      <c r="T169" s="448">
        <v>845.76</v>
      </c>
      <c r="V169" s="447">
        <f t="shared" si="26"/>
        <v>1422.2230000000002</v>
      </c>
      <c r="W169" s="447">
        <f t="shared" si="27"/>
        <v>1390.0150000000001</v>
      </c>
      <c r="X169" s="447">
        <f t="shared" si="28"/>
        <v>1353.6379999999999</v>
      </c>
      <c r="Y169" s="447">
        <f t="shared" si="29"/>
        <v>1282.116</v>
      </c>
      <c r="Z169" s="447">
        <f t="shared" si="30"/>
        <v>1253.1200000000001</v>
      </c>
      <c r="AA169" s="447">
        <f t="shared" si="31"/>
        <v>1220.3510000000001</v>
      </c>
      <c r="AB169" s="447">
        <f t="shared" si="32"/>
        <v>662.11199999999997</v>
      </c>
      <c r="AC169" s="447">
        <f t="shared" si="33"/>
        <v>1560.8780000000002</v>
      </c>
      <c r="AD169" s="447">
        <f t="shared" si="34"/>
        <v>1474.7370000000003</v>
      </c>
      <c r="AE169" s="447">
        <f t="shared" si="35"/>
        <v>1400.1569999999999</v>
      </c>
      <c r="AF169" s="447">
        <f t="shared" si="36"/>
        <v>957.52800000000013</v>
      </c>
      <c r="AG169" s="447">
        <f t="shared" si="37"/>
        <v>881.74900000000014</v>
      </c>
      <c r="AH169" s="448">
        <f t="shared" si="38"/>
        <v>930.33600000000001</v>
      </c>
    </row>
    <row r="170" spans="1:34" ht="16.5" thickBot="1">
      <c r="A170" s="429">
        <v>2018</v>
      </c>
      <c r="B170" s="420" t="s">
        <v>303</v>
      </c>
      <c r="C170" s="421" t="s">
        <v>309</v>
      </c>
      <c r="D170" s="421" t="s">
        <v>310</v>
      </c>
      <c r="E170" s="431" t="s">
        <v>316</v>
      </c>
      <c r="F170" s="423" t="s">
        <v>307</v>
      </c>
      <c r="G170" s="424" t="s">
        <v>214</v>
      </c>
      <c r="H170" s="449">
        <v>2068.69</v>
      </c>
      <c r="I170" s="449">
        <v>2021.84</v>
      </c>
      <c r="J170" s="449">
        <v>1968.93</v>
      </c>
      <c r="K170" s="449">
        <v>1864.89</v>
      </c>
      <c r="L170" s="449">
        <v>1822.71</v>
      </c>
      <c r="M170" s="449">
        <v>1775.06</v>
      </c>
      <c r="N170" s="449">
        <v>963.06</v>
      </c>
      <c r="O170" s="449">
        <v>2270.36</v>
      </c>
      <c r="P170" s="449">
        <v>2145.0700000000002</v>
      </c>
      <c r="Q170" s="449">
        <v>2036.6</v>
      </c>
      <c r="R170" s="449">
        <v>1392.78</v>
      </c>
      <c r="S170" s="449">
        <v>1282.54</v>
      </c>
      <c r="T170" s="450">
        <v>1353.23</v>
      </c>
      <c r="V170" s="449">
        <f t="shared" si="26"/>
        <v>2275.5590000000002</v>
      </c>
      <c r="W170" s="449">
        <f t="shared" si="27"/>
        <v>2224.0239999999999</v>
      </c>
      <c r="X170" s="449">
        <f t="shared" si="28"/>
        <v>2165.8230000000003</v>
      </c>
      <c r="Y170" s="449">
        <f t="shared" si="29"/>
        <v>2051.3790000000004</v>
      </c>
      <c r="Z170" s="449">
        <f t="shared" si="30"/>
        <v>2004.9810000000002</v>
      </c>
      <c r="AA170" s="449">
        <f t="shared" si="31"/>
        <v>1952.566</v>
      </c>
      <c r="AB170" s="449">
        <f t="shared" si="32"/>
        <v>1059.366</v>
      </c>
      <c r="AC170" s="449">
        <f t="shared" si="33"/>
        <v>2497.3960000000002</v>
      </c>
      <c r="AD170" s="449">
        <f t="shared" si="34"/>
        <v>2359.5770000000002</v>
      </c>
      <c r="AE170" s="449">
        <f t="shared" si="35"/>
        <v>2240.2600000000002</v>
      </c>
      <c r="AF170" s="449">
        <f t="shared" si="36"/>
        <v>1532.058</v>
      </c>
      <c r="AG170" s="449">
        <f t="shared" si="37"/>
        <v>1410.7940000000001</v>
      </c>
      <c r="AH170" s="450">
        <f t="shared" si="38"/>
        <v>1488.5530000000001</v>
      </c>
    </row>
    <row r="171" spans="1:34">
      <c r="A171" s="427">
        <v>2018</v>
      </c>
      <c r="B171" s="413" t="s">
        <v>303</v>
      </c>
      <c r="C171" s="414" t="s">
        <v>311</v>
      </c>
      <c r="D171" s="414" t="s">
        <v>312</v>
      </c>
      <c r="E171" s="430" t="s">
        <v>316</v>
      </c>
      <c r="F171" s="416" t="s">
        <v>307</v>
      </c>
      <c r="G171" s="417" t="s">
        <v>211</v>
      </c>
      <c r="H171" s="445">
        <v>716.3</v>
      </c>
      <c r="I171" s="445">
        <v>700.09</v>
      </c>
      <c r="J171" s="445">
        <v>681.76</v>
      </c>
      <c r="K171" s="445">
        <v>645.74</v>
      </c>
      <c r="L171" s="445">
        <v>631.13</v>
      </c>
      <c r="M171" s="445">
        <v>614.63</v>
      </c>
      <c r="N171" s="445">
        <v>333.47</v>
      </c>
      <c r="O171" s="445">
        <v>786.13</v>
      </c>
      <c r="P171" s="445">
        <v>742.75</v>
      </c>
      <c r="Q171" s="445">
        <v>705.19</v>
      </c>
      <c r="R171" s="445">
        <v>482.26</v>
      </c>
      <c r="S171" s="445">
        <v>444.09</v>
      </c>
      <c r="T171" s="446">
        <v>468.57</v>
      </c>
      <c r="V171" s="445">
        <f t="shared" si="26"/>
        <v>787.93000000000006</v>
      </c>
      <c r="W171" s="445">
        <f t="shared" si="27"/>
        <v>770.09900000000005</v>
      </c>
      <c r="X171" s="445">
        <f t="shared" si="28"/>
        <v>749.93600000000004</v>
      </c>
      <c r="Y171" s="445">
        <f t="shared" si="29"/>
        <v>710.31400000000008</v>
      </c>
      <c r="Z171" s="445">
        <f t="shared" si="30"/>
        <v>694.24300000000005</v>
      </c>
      <c r="AA171" s="445">
        <f t="shared" si="31"/>
        <v>676.09300000000007</v>
      </c>
      <c r="AB171" s="445">
        <f t="shared" si="32"/>
        <v>366.81700000000006</v>
      </c>
      <c r="AC171" s="445">
        <f t="shared" si="33"/>
        <v>864.74300000000005</v>
      </c>
      <c r="AD171" s="445">
        <f t="shared" si="34"/>
        <v>817.02500000000009</v>
      </c>
      <c r="AE171" s="445">
        <f t="shared" si="35"/>
        <v>775.70900000000017</v>
      </c>
      <c r="AF171" s="445">
        <f t="shared" si="36"/>
        <v>530.48599999999999</v>
      </c>
      <c r="AG171" s="445">
        <f t="shared" si="37"/>
        <v>488.49900000000002</v>
      </c>
      <c r="AH171" s="446">
        <f t="shared" si="38"/>
        <v>515.42700000000002</v>
      </c>
    </row>
    <row r="172" spans="1:34">
      <c r="A172" s="428">
        <v>2018</v>
      </c>
      <c r="B172" s="145" t="s">
        <v>303</v>
      </c>
      <c r="C172" s="146" t="s">
        <v>311</v>
      </c>
      <c r="D172" s="146" t="s">
        <v>312</v>
      </c>
      <c r="E172" s="151" t="s">
        <v>316</v>
      </c>
      <c r="F172" s="148" t="s">
        <v>307</v>
      </c>
      <c r="G172" s="149" t="s">
        <v>212</v>
      </c>
      <c r="H172" s="447">
        <v>1568.71</v>
      </c>
      <c r="I172" s="447">
        <v>1533.18</v>
      </c>
      <c r="J172" s="447">
        <v>1493.06</v>
      </c>
      <c r="K172" s="447">
        <v>1414.17</v>
      </c>
      <c r="L172" s="447">
        <v>1382.18</v>
      </c>
      <c r="M172" s="447">
        <v>1346.05</v>
      </c>
      <c r="N172" s="447">
        <v>730.29</v>
      </c>
      <c r="O172" s="447">
        <v>1721.63</v>
      </c>
      <c r="P172" s="447">
        <v>1626.63</v>
      </c>
      <c r="Q172" s="447">
        <v>1544.37</v>
      </c>
      <c r="R172" s="447">
        <v>1056.1600000000001</v>
      </c>
      <c r="S172" s="447">
        <v>972.57</v>
      </c>
      <c r="T172" s="448">
        <v>1026.1600000000001</v>
      </c>
      <c r="V172" s="447">
        <f t="shared" si="26"/>
        <v>1725.5810000000001</v>
      </c>
      <c r="W172" s="447">
        <f t="shared" si="27"/>
        <v>1686.4980000000003</v>
      </c>
      <c r="X172" s="447">
        <f t="shared" si="28"/>
        <v>1642.366</v>
      </c>
      <c r="Y172" s="447">
        <f t="shared" si="29"/>
        <v>1555.5870000000002</v>
      </c>
      <c r="Z172" s="447">
        <f t="shared" si="30"/>
        <v>1520.3980000000001</v>
      </c>
      <c r="AA172" s="447">
        <f t="shared" si="31"/>
        <v>1480.655</v>
      </c>
      <c r="AB172" s="447">
        <f t="shared" si="32"/>
        <v>803.31900000000007</v>
      </c>
      <c r="AC172" s="447">
        <f t="shared" si="33"/>
        <v>1893.7930000000003</v>
      </c>
      <c r="AD172" s="447">
        <f t="shared" si="34"/>
        <v>1789.2930000000003</v>
      </c>
      <c r="AE172" s="447">
        <f t="shared" si="35"/>
        <v>1698.807</v>
      </c>
      <c r="AF172" s="447">
        <f t="shared" si="36"/>
        <v>1161.7760000000003</v>
      </c>
      <c r="AG172" s="447">
        <f t="shared" si="37"/>
        <v>1069.8270000000002</v>
      </c>
      <c r="AH172" s="448">
        <f t="shared" si="38"/>
        <v>1128.7760000000003</v>
      </c>
    </row>
    <row r="173" spans="1:34">
      <c r="A173" s="428">
        <v>2018</v>
      </c>
      <c r="B173" s="145" t="s">
        <v>303</v>
      </c>
      <c r="C173" s="146" t="s">
        <v>311</v>
      </c>
      <c r="D173" s="146" t="s">
        <v>312</v>
      </c>
      <c r="E173" s="151" t="s">
        <v>316</v>
      </c>
      <c r="F173" s="148" t="s">
        <v>307</v>
      </c>
      <c r="G173" s="149" t="s">
        <v>213</v>
      </c>
      <c r="H173" s="447">
        <v>1360.97</v>
      </c>
      <c r="I173" s="447">
        <v>1330.16</v>
      </c>
      <c r="J173" s="447">
        <v>1295.3499999999999</v>
      </c>
      <c r="K173" s="447">
        <v>1226.9100000000001</v>
      </c>
      <c r="L173" s="447">
        <v>1199.1600000000001</v>
      </c>
      <c r="M173" s="447">
        <v>1167.8</v>
      </c>
      <c r="N173" s="447">
        <v>633.6</v>
      </c>
      <c r="O173" s="447">
        <v>1493.66</v>
      </c>
      <c r="P173" s="447">
        <v>1411.23</v>
      </c>
      <c r="Q173" s="447">
        <v>1339.87</v>
      </c>
      <c r="R173" s="447">
        <v>916.3</v>
      </c>
      <c r="S173" s="447">
        <v>843.78</v>
      </c>
      <c r="T173" s="448">
        <v>890.28</v>
      </c>
      <c r="V173" s="447">
        <f t="shared" si="26"/>
        <v>1497.0670000000002</v>
      </c>
      <c r="W173" s="447">
        <f t="shared" si="27"/>
        <v>1463.1760000000002</v>
      </c>
      <c r="X173" s="447">
        <f t="shared" si="28"/>
        <v>1424.885</v>
      </c>
      <c r="Y173" s="447">
        <f t="shared" si="29"/>
        <v>1349.6010000000001</v>
      </c>
      <c r="Z173" s="447">
        <f t="shared" si="30"/>
        <v>1319.0760000000002</v>
      </c>
      <c r="AA173" s="447">
        <f t="shared" si="31"/>
        <v>1284.5800000000002</v>
      </c>
      <c r="AB173" s="447">
        <f t="shared" si="32"/>
        <v>696.96</v>
      </c>
      <c r="AC173" s="447">
        <f t="shared" si="33"/>
        <v>1643.0260000000003</v>
      </c>
      <c r="AD173" s="447">
        <f t="shared" si="34"/>
        <v>1552.3530000000001</v>
      </c>
      <c r="AE173" s="447">
        <f t="shared" si="35"/>
        <v>1473.857</v>
      </c>
      <c r="AF173" s="447">
        <f t="shared" si="36"/>
        <v>1007.9300000000001</v>
      </c>
      <c r="AG173" s="447">
        <f t="shared" si="37"/>
        <v>928.15800000000002</v>
      </c>
      <c r="AH173" s="448">
        <f t="shared" si="38"/>
        <v>979.30799999999999</v>
      </c>
    </row>
    <row r="174" spans="1:34" ht="16.5" thickBot="1">
      <c r="A174" s="429">
        <v>2018</v>
      </c>
      <c r="B174" s="420" t="s">
        <v>303</v>
      </c>
      <c r="C174" s="421" t="s">
        <v>311</v>
      </c>
      <c r="D174" s="421" t="s">
        <v>312</v>
      </c>
      <c r="E174" s="431" t="s">
        <v>316</v>
      </c>
      <c r="F174" s="423" t="s">
        <v>307</v>
      </c>
      <c r="G174" s="424" t="s">
        <v>214</v>
      </c>
      <c r="H174" s="449">
        <v>2177.5700000000002</v>
      </c>
      <c r="I174" s="449">
        <v>2128.2600000000002</v>
      </c>
      <c r="J174" s="449">
        <v>2072.56</v>
      </c>
      <c r="K174" s="449">
        <v>1963.05</v>
      </c>
      <c r="L174" s="449">
        <v>1918.64</v>
      </c>
      <c r="M174" s="449">
        <v>1868.48</v>
      </c>
      <c r="N174" s="449">
        <v>1013.75</v>
      </c>
      <c r="O174" s="449">
        <v>2389.85</v>
      </c>
      <c r="P174" s="449">
        <v>2257.96</v>
      </c>
      <c r="Q174" s="449">
        <v>2143.79</v>
      </c>
      <c r="R174" s="449">
        <v>1466.08</v>
      </c>
      <c r="S174" s="449">
        <v>1350.05</v>
      </c>
      <c r="T174" s="450">
        <v>1424.45</v>
      </c>
      <c r="V174" s="449">
        <f t="shared" si="26"/>
        <v>2395.3270000000002</v>
      </c>
      <c r="W174" s="449">
        <f t="shared" si="27"/>
        <v>2341.0860000000002</v>
      </c>
      <c r="X174" s="449">
        <f t="shared" si="28"/>
        <v>2279.8160000000003</v>
      </c>
      <c r="Y174" s="449">
        <f t="shared" si="29"/>
        <v>2159.355</v>
      </c>
      <c r="Z174" s="449">
        <f t="shared" si="30"/>
        <v>2110.5040000000004</v>
      </c>
      <c r="AA174" s="449">
        <f t="shared" si="31"/>
        <v>2055.328</v>
      </c>
      <c r="AB174" s="449">
        <f t="shared" si="32"/>
        <v>1115.125</v>
      </c>
      <c r="AC174" s="449">
        <f t="shared" si="33"/>
        <v>2628.835</v>
      </c>
      <c r="AD174" s="449">
        <f t="shared" si="34"/>
        <v>2483.7560000000003</v>
      </c>
      <c r="AE174" s="449">
        <f t="shared" si="35"/>
        <v>2358.1690000000003</v>
      </c>
      <c r="AF174" s="449">
        <f t="shared" si="36"/>
        <v>1612.6880000000001</v>
      </c>
      <c r="AG174" s="449">
        <f t="shared" si="37"/>
        <v>1485.0550000000001</v>
      </c>
      <c r="AH174" s="450">
        <f t="shared" si="38"/>
        <v>1566.8950000000002</v>
      </c>
    </row>
    <row r="175" spans="1:34">
      <c r="A175" s="427">
        <v>2018</v>
      </c>
      <c r="B175" s="413" t="s">
        <v>303</v>
      </c>
      <c r="C175" s="414" t="s">
        <v>313</v>
      </c>
      <c r="D175" s="414" t="s">
        <v>314</v>
      </c>
      <c r="E175" s="430" t="s">
        <v>316</v>
      </c>
      <c r="F175" s="416" t="s">
        <v>307</v>
      </c>
      <c r="G175" s="417" t="s">
        <v>211</v>
      </c>
      <c r="H175" s="445">
        <v>823.75</v>
      </c>
      <c r="I175" s="445">
        <v>805.1</v>
      </c>
      <c r="J175" s="445">
        <v>784.03</v>
      </c>
      <c r="K175" s="445">
        <v>742.6</v>
      </c>
      <c r="L175" s="445">
        <v>725.8</v>
      </c>
      <c r="M175" s="445">
        <v>706.83</v>
      </c>
      <c r="N175" s="445">
        <v>383.49</v>
      </c>
      <c r="O175" s="445">
        <v>904.05</v>
      </c>
      <c r="P175" s="445">
        <v>854.16</v>
      </c>
      <c r="Q175" s="445">
        <v>810.97</v>
      </c>
      <c r="R175" s="445">
        <v>554.6</v>
      </c>
      <c r="S175" s="445">
        <v>510.71</v>
      </c>
      <c r="T175" s="446">
        <v>538.85</v>
      </c>
      <c r="V175" s="445">
        <f t="shared" si="26"/>
        <v>906.12500000000011</v>
      </c>
      <c r="W175" s="445">
        <f t="shared" si="27"/>
        <v>885.61000000000013</v>
      </c>
      <c r="X175" s="445">
        <f t="shared" si="28"/>
        <v>862.43299999999999</v>
      </c>
      <c r="Y175" s="445">
        <f t="shared" si="29"/>
        <v>816.86000000000013</v>
      </c>
      <c r="Z175" s="445">
        <f t="shared" si="30"/>
        <v>798.38</v>
      </c>
      <c r="AA175" s="445">
        <f t="shared" si="31"/>
        <v>777.51300000000015</v>
      </c>
      <c r="AB175" s="445">
        <f t="shared" si="32"/>
        <v>421.83900000000006</v>
      </c>
      <c r="AC175" s="445">
        <f t="shared" si="33"/>
        <v>994.45500000000004</v>
      </c>
      <c r="AD175" s="445">
        <f t="shared" si="34"/>
        <v>939.57600000000002</v>
      </c>
      <c r="AE175" s="445">
        <f t="shared" si="35"/>
        <v>892.06700000000012</v>
      </c>
      <c r="AF175" s="445">
        <f t="shared" si="36"/>
        <v>610.06000000000006</v>
      </c>
      <c r="AG175" s="445">
        <f t="shared" si="37"/>
        <v>561.78100000000006</v>
      </c>
      <c r="AH175" s="446">
        <f t="shared" si="38"/>
        <v>592.73500000000013</v>
      </c>
    </row>
    <row r="176" spans="1:34">
      <c r="A176" s="428">
        <v>2018</v>
      </c>
      <c r="B176" s="145" t="s">
        <v>303</v>
      </c>
      <c r="C176" s="146" t="s">
        <v>313</v>
      </c>
      <c r="D176" s="146" t="s">
        <v>314</v>
      </c>
      <c r="E176" s="151" t="s">
        <v>316</v>
      </c>
      <c r="F176" s="148" t="s">
        <v>307</v>
      </c>
      <c r="G176" s="149" t="s">
        <v>212</v>
      </c>
      <c r="H176" s="447">
        <v>1804.01</v>
      </c>
      <c r="I176" s="447">
        <v>1763.16</v>
      </c>
      <c r="J176" s="447">
        <v>1717.02</v>
      </c>
      <c r="K176" s="447">
        <v>1626.29</v>
      </c>
      <c r="L176" s="447">
        <v>1589.5</v>
      </c>
      <c r="M176" s="447">
        <v>1547.95</v>
      </c>
      <c r="N176" s="447">
        <v>839.84</v>
      </c>
      <c r="O176" s="447">
        <v>1979.88</v>
      </c>
      <c r="P176" s="447">
        <v>1870.63</v>
      </c>
      <c r="Q176" s="447">
        <v>1776.03</v>
      </c>
      <c r="R176" s="447">
        <v>1214.58</v>
      </c>
      <c r="S176" s="447">
        <v>1118.45</v>
      </c>
      <c r="T176" s="448">
        <v>1180.0899999999999</v>
      </c>
      <c r="V176" s="447">
        <f t="shared" si="26"/>
        <v>1984.4110000000001</v>
      </c>
      <c r="W176" s="447">
        <f t="shared" si="27"/>
        <v>1939.4760000000003</v>
      </c>
      <c r="X176" s="447">
        <f t="shared" si="28"/>
        <v>1888.7220000000002</v>
      </c>
      <c r="Y176" s="447">
        <f t="shared" si="29"/>
        <v>1788.9190000000001</v>
      </c>
      <c r="Z176" s="447">
        <f t="shared" si="30"/>
        <v>1748.45</v>
      </c>
      <c r="AA176" s="447">
        <f t="shared" si="31"/>
        <v>1702.7450000000001</v>
      </c>
      <c r="AB176" s="447">
        <f t="shared" si="32"/>
        <v>923.82400000000007</v>
      </c>
      <c r="AC176" s="447">
        <f t="shared" si="33"/>
        <v>2177.8680000000004</v>
      </c>
      <c r="AD176" s="447">
        <f t="shared" si="34"/>
        <v>2057.6930000000002</v>
      </c>
      <c r="AE176" s="447">
        <f t="shared" si="35"/>
        <v>1953.633</v>
      </c>
      <c r="AF176" s="447">
        <f t="shared" si="36"/>
        <v>1336.038</v>
      </c>
      <c r="AG176" s="447">
        <f t="shared" si="37"/>
        <v>1230.2950000000001</v>
      </c>
      <c r="AH176" s="448">
        <f t="shared" si="38"/>
        <v>1298.0989999999999</v>
      </c>
    </row>
    <row r="177" spans="1:34">
      <c r="A177" s="428">
        <v>2018</v>
      </c>
      <c r="B177" s="145" t="s">
        <v>303</v>
      </c>
      <c r="C177" s="146" t="s">
        <v>313</v>
      </c>
      <c r="D177" s="146" t="s">
        <v>314</v>
      </c>
      <c r="E177" s="151" t="s">
        <v>316</v>
      </c>
      <c r="F177" s="148" t="s">
        <v>307</v>
      </c>
      <c r="G177" s="149" t="s">
        <v>213</v>
      </c>
      <c r="H177" s="447">
        <v>1565.12</v>
      </c>
      <c r="I177" s="447">
        <v>1529.68</v>
      </c>
      <c r="J177" s="447">
        <v>1489.65</v>
      </c>
      <c r="K177" s="447">
        <v>1410.94</v>
      </c>
      <c r="L177" s="447">
        <v>1379.03</v>
      </c>
      <c r="M177" s="447">
        <v>1342.97</v>
      </c>
      <c r="N177" s="447">
        <v>728.64</v>
      </c>
      <c r="O177" s="447">
        <v>1717.71</v>
      </c>
      <c r="P177" s="447">
        <v>1622.92</v>
      </c>
      <c r="Q177" s="447">
        <v>1540.85</v>
      </c>
      <c r="R177" s="447">
        <v>1053.74</v>
      </c>
      <c r="S177" s="447">
        <v>970.34</v>
      </c>
      <c r="T177" s="448">
        <v>1023.82</v>
      </c>
      <c r="V177" s="447">
        <f t="shared" si="26"/>
        <v>1721.6320000000001</v>
      </c>
      <c r="W177" s="447">
        <f t="shared" si="27"/>
        <v>1682.6480000000001</v>
      </c>
      <c r="X177" s="447">
        <f t="shared" si="28"/>
        <v>1638.6150000000002</v>
      </c>
      <c r="Y177" s="447">
        <f t="shared" si="29"/>
        <v>1552.0340000000001</v>
      </c>
      <c r="Z177" s="447">
        <f t="shared" si="30"/>
        <v>1516.933</v>
      </c>
      <c r="AA177" s="447">
        <f t="shared" si="31"/>
        <v>1477.2670000000001</v>
      </c>
      <c r="AB177" s="447">
        <f t="shared" si="32"/>
        <v>801.50400000000002</v>
      </c>
      <c r="AC177" s="447">
        <f t="shared" si="33"/>
        <v>1889.4810000000002</v>
      </c>
      <c r="AD177" s="447">
        <f t="shared" si="34"/>
        <v>1785.2120000000002</v>
      </c>
      <c r="AE177" s="447">
        <f t="shared" si="35"/>
        <v>1694.9349999999999</v>
      </c>
      <c r="AF177" s="447">
        <f t="shared" si="36"/>
        <v>1159.114</v>
      </c>
      <c r="AG177" s="447">
        <f t="shared" si="37"/>
        <v>1067.374</v>
      </c>
      <c r="AH177" s="448">
        <f t="shared" si="38"/>
        <v>1126.2020000000002</v>
      </c>
    </row>
    <row r="178" spans="1:34" ht="16.5" thickBot="1">
      <c r="A178" s="429">
        <v>2018</v>
      </c>
      <c r="B178" s="420" t="s">
        <v>303</v>
      </c>
      <c r="C178" s="421" t="s">
        <v>313</v>
      </c>
      <c r="D178" s="421" t="s">
        <v>314</v>
      </c>
      <c r="E178" s="431" t="s">
        <v>316</v>
      </c>
      <c r="F178" s="423" t="s">
        <v>307</v>
      </c>
      <c r="G178" s="424" t="s">
        <v>214</v>
      </c>
      <c r="H178" s="449">
        <v>2504.1999999999998</v>
      </c>
      <c r="I178" s="449">
        <v>2447.5</v>
      </c>
      <c r="J178" s="449">
        <v>2383.44</v>
      </c>
      <c r="K178" s="449">
        <v>2257.5</v>
      </c>
      <c r="L178" s="449">
        <v>2206.44</v>
      </c>
      <c r="M178" s="449">
        <v>2148.75</v>
      </c>
      <c r="N178" s="449">
        <v>1165.81</v>
      </c>
      <c r="O178" s="449">
        <v>2748.33</v>
      </c>
      <c r="P178" s="449">
        <v>2596.66</v>
      </c>
      <c r="Q178" s="449">
        <v>2465.36</v>
      </c>
      <c r="R178" s="449">
        <v>1686</v>
      </c>
      <c r="S178" s="449">
        <v>1552.55</v>
      </c>
      <c r="T178" s="450">
        <v>1638.11</v>
      </c>
      <c r="V178" s="449">
        <f t="shared" si="26"/>
        <v>2754.62</v>
      </c>
      <c r="W178" s="449">
        <f t="shared" si="27"/>
        <v>2692.25</v>
      </c>
      <c r="X178" s="449">
        <f t="shared" si="28"/>
        <v>2621.7840000000001</v>
      </c>
      <c r="Y178" s="449">
        <f t="shared" si="29"/>
        <v>2483.25</v>
      </c>
      <c r="Z178" s="449">
        <f t="shared" si="30"/>
        <v>2427.0840000000003</v>
      </c>
      <c r="AA178" s="449">
        <f t="shared" si="31"/>
        <v>2363.625</v>
      </c>
      <c r="AB178" s="449">
        <f t="shared" si="32"/>
        <v>1282.3910000000001</v>
      </c>
      <c r="AC178" s="449">
        <f t="shared" si="33"/>
        <v>3023.163</v>
      </c>
      <c r="AD178" s="449">
        <f t="shared" si="34"/>
        <v>2856.326</v>
      </c>
      <c r="AE178" s="449">
        <f t="shared" si="35"/>
        <v>2711.8960000000002</v>
      </c>
      <c r="AF178" s="449">
        <f t="shared" si="36"/>
        <v>1854.6000000000001</v>
      </c>
      <c r="AG178" s="449">
        <f t="shared" si="37"/>
        <v>1707.8050000000001</v>
      </c>
      <c r="AH178" s="450">
        <f t="shared" si="38"/>
        <v>1801.921</v>
      </c>
    </row>
    <row r="179" spans="1:34">
      <c r="A179" s="427">
        <v>2018</v>
      </c>
      <c r="B179" s="413" t="s">
        <v>303</v>
      </c>
      <c r="C179" s="414" t="s">
        <v>304</v>
      </c>
      <c r="D179" s="414" t="s">
        <v>305</v>
      </c>
      <c r="E179" s="430" t="s">
        <v>316</v>
      </c>
      <c r="F179" s="432" t="s">
        <v>315</v>
      </c>
      <c r="G179" s="417" t="s">
        <v>211</v>
      </c>
      <c r="H179" s="445">
        <v>619.25</v>
      </c>
      <c r="I179" s="445">
        <v>605.22</v>
      </c>
      <c r="J179" s="445">
        <v>589.38</v>
      </c>
      <c r="K179" s="445">
        <v>558.24</v>
      </c>
      <c r="L179" s="445">
        <v>545.61</v>
      </c>
      <c r="M179" s="445">
        <v>531.35</v>
      </c>
      <c r="N179" s="445">
        <v>288.27999999999997</v>
      </c>
      <c r="O179" s="445">
        <v>703.4</v>
      </c>
      <c r="P179" s="445">
        <v>664.58</v>
      </c>
      <c r="Q179" s="445">
        <v>630.98</v>
      </c>
      <c r="R179" s="445">
        <v>431.51</v>
      </c>
      <c r="S179" s="445">
        <v>397.36</v>
      </c>
      <c r="T179" s="446">
        <v>419.26</v>
      </c>
      <c r="V179" s="445">
        <f t="shared" si="26"/>
        <v>681.17500000000007</v>
      </c>
      <c r="W179" s="445">
        <f t="shared" si="27"/>
        <v>665.74200000000008</v>
      </c>
      <c r="X179" s="445">
        <f t="shared" si="28"/>
        <v>648.3180000000001</v>
      </c>
      <c r="Y179" s="445">
        <f t="shared" si="29"/>
        <v>614.06400000000008</v>
      </c>
      <c r="Z179" s="445">
        <f t="shared" si="30"/>
        <v>600.17100000000005</v>
      </c>
      <c r="AA179" s="445">
        <f t="shared" si="31"/>
        <v>584.48500000000013</v>
      </c>
      <c r="AB179" s="445">
        <f t="shared" si="32"/>
        <v>317.108</v>
      </c>
      <c r="AC179" s="445">
        <f t="shared" si="33"/>
        <v>773.74</v>
      </c>
      <c r="AD179" s="445">
        <f t="shared" si="34"/>
        <v>731.03800000000012</v>
      </c>
      <c r="AE179" s="445">
        <f t="shared" si="35"/>
        <v>694.07800000000009</v>
      </c>
      <c r="AF179" s="445">
        <f t="shared" si="36"/>
        <v>474.661</v>
      </c>
      <c r="AG179" s="445">
        <f t="shared" si="37"/>
        <v>437.09600000000006</v>
      </c>
      <c r="AH179" s="446">
        <f t="shared" si="38"/>
        <v>461.18600000000004</v>
      </c>
    </row>
    <row r="180" spans="1:34">
      <c r="A180" s="428">
        <v>2018</v>
      </c>
      <c r="B180" s="145" t="s">
        <v>303</v>
      </c>
      <c r="C180" s="146" t="s">
        <v>304</v>
      </c>
      <c r="D180" s="146" t="s">
        <v>305</v>
      </c>
      <c r="E180" s="151" t="s">
        <v>316</v>
      </c>
      <c r="F180" s="433" t="s">
        <v>315</v>
      </c>
      <c r="G180" s="149" t="s">
        <v>212</v>
      </c>
      <c r="H180" s="447">
        <v>1356.15</v>
      </c>
      <c r="I180" s="447">
        <v>1325.44</v>
      </c>
      <c r="J180" s="447">
        <v>1290.75</v>
      </c>
      <c r="K180" s="447">
        <v>1222.55</v>
      </c>
      <c r="L180" s="447">
        <v>1194.8900000000001</v>
      </c>
      <c r="M180" s="447">
        <v>1163.6600000000001</v>
      </c>
      <c r="N180" s="447">
        <v>631.34</v>
      </c>
      <c r="O180" s="447">
        <v>1540.44</v>
      </c>
      <c r="P180" s="447">
        <v>1455.44</v>
      </c>
      <c r="Q180" s="447">
        <v>1381.84</v>
      </c>
      <c r="R180" s="447">
        <v>945</v>
      </c>
      <c r="S180" s="447">
        <v>870.21</v>
      </c>
      <c r="T180" s="448">
        <v>918.17</v>
      </c>
      <c r="V180" s="447">
        <f t="shared" si="26"/>
        <v>1491.7650000000003</v>
      </c>
      <c r="W180" s="447">
        <f t="shared" si="27"/>
        <v>1457.9840000000002</v>
      </c>
      <c r="X180" s="447">
        <f t="shared" si="28"/>
        <v>1419.825</v>
      </c>
      <c r="Y180" s="447">
        <f t="shared" si="29"/>
        <v>1344.8050000000001</v>
      </c>
      <c r="Z180" s="447">
        <f t="shared" si="30"/>
        <v>1314.3790000000001</v>
      </c>
      <c r="AA180" s="447">
        <f t="shared" si="31"/>
        <v>1280.0260000000003</v>
      </c>
      <c r="AB180" s="447">
        <f t="shared" si="32"/>
        <v>694.47400000000005</v>
      </c>
      <c r="AC180" s="447">
        <f t="shared" si="33"/>
        <v>1694.4840000000002</v>
      </c>
      <c r="AD180" s="447">
        <f t="shared" si="34"/>
        <v>1600.9840000000002</v>
      </c>
      <c r="AE180" s="447">
        <f t="shared" si="35"/>
        <v>1520.0240000000001</v>
      </c>
      <c r="AF180" s="447">
        <f t="shared" si="36"/>
        <v>1039.5</v>
      </c>
      <c r="AG180" s="447">
        <f t="shared" si="37"/>
        <v>957.23100000000011</v>
      </c>
      <c r="AH180" s="448">
        <f t="shared" si="38"/>
        <v>1009.9870000000001</v>
      </c>
    </row>
    <row r="181" spans="1:34">
      <c r="A181" s="428">
        <v>2018</v>
      </c>
      <c r="B181" s="145" t="s">
        <v>303</v>
      </c>
      <c r="C181" s="146" t="s">
        <v>304</v>
      </c>
      <c r="D181" s="146" t="s">
        <v>305</v>
      </c>
      <c r="E181" s="151" t="s">
        <v>316</v>
      </c>
      <c r="F181" s="433" t="s">
        <v>315</v>
      </c>
      <c r="G181" s="149" t="s">
        <v>213</v>
      </c>
      <c r="H181" s="447">
        <v>1176.56</v>
      </c>
      <c r="I181" s="447">
        <v>1149.92</v>
      </c>
      <c r="J181" s="447">
        <v>1119.83</v>
      </c>
      <c r="K181" s="447">
        <v>1060.6600000000001</v>
      </c>
      <c r="L181" s="447">
        <v>1036.67</v>
      </c>
      <c r="M181" s="447">
        <v>1009.57</v>
      </c>
      <c r="N181" s="447">
        <v>547.74</v>
      </c>
      <c r="O181" s="447">
        <v>1336.46</v>
      </c>
      <c r="P181" s="447">
        <v>1262.71</v>
      </c>
      <c r="Q181" s="447">
        <v>1198.8599999999999</v>
      </c>
      <c r="R181" s="447">
        <v>819.86</v>
      </c>
      <c r="S181" s="447">
        <v>754.98</v>
      </c>
      <c r="T181" s="448">
        <v>796.58</v>
      </c>
      <c r="V181" s="447">
        <f t="shared" si="26"/>
        <v>1294.2160000000001</v>
      </c>
      <c r="W181" s="447">
        <f t="shared" si="27"/>
        <v>1264.9120000000003</v>
      </c>
      <c r="X181" s="447">
        <f t="shared" si="28"/>
        <v>1231.8130000000001</v>
      </c>
      <c r="Y181" s="447">
        <f t="shared" si="29"/>
        <v>1166.7260000000001</v>
      </c>
      <c r="Z181" s="447">
        <f t="shared" si="30"/>
        <v>1140.3370000000002</v>
      </c>
      <c r="AA181" s="447">
        <f t="shared" si="31"/>
        <v>1110.527</v>
      </c>
      <c r="AB181" s="447">
        <f t="shared" si="32"/>
        <v>602.51400000000001</v>
      </c>
      <c r="AC181" s="447">
        <f t="shared" si="33"/>
        <v>1470.1060000000002</v>
      </c>
      <c r="AD181" s="447">
        <f t="shared" si="34"/>
        <v>1388.9810000000002</v>
      </c>
      <c r="AE181" s="447">
        <f t="shared" si="35"/>
        <v>1318.7460000000001</v>
      </c>
      <c r="AF181" s="447">
        <f t="shared" si="36"/>
        <v>901.84600000000012</v>
      </c>
      <c r="AG181" s="447">
        <f t="shared" si="37"/>
        <v>830.47800000000007</v>
      </c>
      <c r="AH181" s="448">
        <f t="shared" si="38"/>
        <v>876.23800000000017</v>
      </c>
    </row>
    <row r="182" spans="1:34" ht="16.5" thickBot="1">
      <c r="A182" s="429">
        <v>2018</v>
      </c>
      <c r="B182" s="420" t="s">
        <v>303</v>
      </c>
      <c r="C182" s="421" t="s">
        <v>304</v>
      </c>
      <c r="D182" s="421" t="s">
        <v>305</v>
      </c>
      <c r="E182" s="431" t="s">
        <v>316</v>
      </c>
      <c r="F182" s="434" t="s">
        <v>315</v>
      </c>
      <c r="G182" s="424" t="s">
        <v>214</v>
      </c>
      <c r="H182" s="449">
        <v>1882.51</v>
      </c>
      <c r="I182" s="449">
        <v>1839.88</v>
      </c>
      <c r="J182" s="449">
        <v>1791.73</v>
      </c>
      <c r="K182" s="449">
        <v>1697.05</v>
      </c>
      <c r="L182" s="449">
        <v>1658.67</v>
      </c>
      <c r="M182" s="449">
        <v>1615.3</v>
      </c>
      <c r="N182" s="449">
        <v>876.38</v>
      </c>
      <c r="O182" s="449">
        <v>2138.34</v>
      </c>
      <c r="P182" s="449">
        <v>2020.33</v>
      </c>
      <c r="Q182" s="449">
        <v>1918.17</v>
      </c>
      <c r="R182" s="449">
        <v>1311.79</v>
      </c>
      <c r="S182" s="449">
        <v>1207.96</v>
      </c>
      <c r="T182" s="450">
        <v>1274.54</v>
      </c>
      <c r="V182" s="449">
        <f t="shared" si="26"/>
        <v>2070.761</v>
      </c>
      <c r="W182" s="449">
        <f t="shared" si="27"/>
        <v>2023.8680000000004</v>
      </c>
      <c r="X182" s="449">
        <f t="shared" si="28"/>
        <v>1970.9030000000002</v>
      </c>
      <c r="Y182" s="449">
        <f t="shared" si="29"/>
        <v>1866.7550000000001</v>
      </c>
      <c r="Z182" s="449">
        <f t="shared" si="30"/>
        <v>1824.5370000000003</v>
      </c>
      <c r="AA182" s="449">
        <f t="shared" si="31"/>
        <v>1776.8300000000002</v>
      </c>
      <c r="AB182" s="449">
        <f t="shared" si="32"/>
        <v>964.01800000000003</v>
      </c>
      <c r="AC182" s="449">
        <f t="shared" si="33"/>
        <v>2352.1740000000004</v>
      </c>
      <c r="AD182" s="449">
        <f t="shared" si="34"/>
        <v>2222.3630000000003</v>
      </c>
      <c r="AE182" s="449">
        <f t="shared" si="35"/>
        <v>2109.9870000000001</v>
      </c>
      <c r="AF182" s="449">
        <f t="shared" si="36"/>
        <v>1442.9690000000001</v>
      </c>
      <c r="AG182" s="449">
        <f t="shared" si="37"/>
        <v>1328.7560000000001</v>
      </c>
      <c r="AH182" s="450">
        <f t="shared" si="38"/>
        <v>1401.9940000000001</v>
      </c>
    </row>
    <row r="183" spans="1:34">
      <c r="A183" s="427">
        <v>2018</v>
      </c>
      <c r="B183" s="413" t="s">
        <v>303</v>
      </c>
      <c r="C183" s="414" t="s">
        <v>309</v>
      </c>
      <c r="D183" s="414" t="s">
        <v>310</v>
      </c>
      <c r="E183" s="430" t="s">
        <v>316</v>
      </c>
      <c r="F183" s="432" t="s">
        <v>315</v>
      </c>
      <c r="G183" s="417" t="s">
        <v>211</v>
      </c>
      <c r="H183" s="445">
        <v>680.49</v>
      </c>
      <c r="I183" s="445">
        <v>665.08</v>
      </c>
      <c r="J183" s="445">
        <v>647.66999999999996</v>
      </c>
      <c r="K183" s="445">
        <v>613.45000000000005</v>
      </c>
      <c r="L183" s="445">
        <v>599.58000000000004</v>
      </c>
      <c r="M183" s="445">
        <v>583.9</v>
      </c>
      <c r="N183" s="445">
        <v>316.8</v>
      </c>
      <c r="O183" s="445">
        <v>772.97</v>
      </c>
      <c r="P183" s="445">
        <v>730.31</v>
      </c>
      <c r="Q183" s="445">
        <v>693.38</v>
      </c>
      <c r="R183" s="445">
        <v>474.19</v>
      </c>
      <c r="S183" s="445">
        <v>436.66</v>
      </c>
      <c r="T183" s="446">
        <v>460.72</v>
      </c>
      <c r="V183" s="445">
        <f t="shared" si="26"/>
        <v>748.5390000000001</v>
      </c>
      <c r="W183" s="445">
        <f t="shared" si="27"/>
        <v>731.58800000000008</v>
      </c>
      <c r="X183" s="445">
        <f t="shared" si="28"/>
        <v>712.43700000000001</v>
      </c>
      <c r="Y183" s="445">
        <f t="shared" si="29"/>
        <v>674.79500000000007</v>
      </c>
      <c r="Z183" s="445">
        <f t="shared" si="30"/>
        <v>659.53800000000012</v>
      </c>
      <c r="AA183" s="445">
        <f t="shared" si="31"/>
        <v>642.29000000000008</v>
      </c>
      <c r="AB183" s="445">
        <f t="shared" si="32"/>
        <v>348.48</v>
      </c>
      <c r="AC183" s="445">
        <f t="shared" si="33"/>
        <v>850.26700000000005</v>
      </c>
      <c r="AD183" s="445">
        <f t="shared" si="34"/>
        <v>803.34100000000001</v>
      </c>
      <c r="AE183" s="445">
        <f t="shared" si="35"/>
        <v>762.71800000000007</v>
      </c>
      <c r="AF183" s="445">
        <f t="shared" si="36"/>
        <v>521.60900000000004</v>
      </c>
      <c r="AG183" s="445">
        <f t="shared" si="37"/>
        <v>480.32600000000008</v>
      </c>
      <c r="AH183" s="446">
        <f t="shared" si="38"/>
        <v>506.79200000000009</v>
      </c>
    </row>
    <row r="184" spans="1:34">
      <c r="A184" s="428">
        <v>2018</v>
      </c>
      <c r="B184" s="145" t="s">
        <v>303</v>
      </c>
      <c r="C184" s="146" t="s">
        <v>309</v>
      </c>
      <c r="D184" s="146" t="s">
        <v>310</v>
      </c>
      <c r="E184" s="151" t="s">
        <v>316</v>
      </c>
      <c r="F184" s="433" t="s">
        <v>315</v>
      </c>
      <c r="G184" s="149" t="s">
        <v>212</v>
      </c>
      <c r="H184" s="447">
        <v>1490.27</v>
      </c>
      <c r="I184" s="447">
        <v>1456.52</v>
      </c>
      <c r="J184" s="447">
        <v>1418.41</v>
      </c>
      <c r="K184" s="447">
        <v>1343.46</v>
      </c>
      <c r="L184" s="447">
        <v>1313.07</v>
      </c>
      <c r="M184" s="447">
        <v>1278.74</v>
      </c>
      <c r="N184" s="447">
        <v>693.78</v>
      </c>
      <c r="O184" s="447">
        <v>1692.8</v>
      </c>
      <c r="P184" s="447">
        <v>1599.38</v>
      </c>
      <c r="Q184" s="447">
        <v>1518.5</v>
      </c>
      <c r="R184" s="447">
        <v>1038.46</v>
      </c>
      <c r="S184" s="447">
        <v>956.28</v>
      </c>
      <c r="T184" s="448">
        <v>1008.98</v>
      </c>
      <c r="V184" s="447">
        <f t="shared" si="26"/>
        <v>1639.297</v>
      </c>
      <c r="W184" s="447">
        <f t="shared" si="27"/>
        <v>1602.172</v>
      </c>
      <c r="X184" s="447">
        <f t="shared" si="28"/>
        <v>1560.2510000000002</v>
      </c>
      <c r="Y184" s="447">
        <f t="shared" si="29"/>
        <v>1477.8060000000003</v>
      </c>
      <c r="Z184" s="447">
        <f t="shared" si="30"/>
        <v>1444.377</v>
      </c>
      <c r="AA184" s="447">
        <f t="shared" si="31"/>
        <v>1406.614</v>
      </c>
      <c r="AB184" s="447">
        <f t="shared" si="32"/>
        <v>763.15800000000002</v>
      </c>
      <c r="AC184" s="447">
        <f t="shared" si="33"/>
        <v>1862.0800000000002</v>
      </c>
      <c r="AD184" s="447">
        <f t="shared" si="34"/>
        <v>1759.3180000000002</v>
      </c>
      <c r="AE184" s="447">
        <f t="shared" si="35"/>
        <v>1670.3500000000001</v>
      </c>
      <c r="AF184" s="447">
        <f t="shared" si="36"/>
        <v>1142.306</v>
      </c>
      <c r="AG184" s="447">
        <f t="shared" si="37"/>
        <v>1051.9080000000001</v>
      </c>
      <c r="AH184" s="448">
        <f t="shared" si="38"/>
        <v>1109.8780000000002</v>
      </c>
    </row>
    <row r="185" spans="1:34">
      <c r="A185" s="428">
        <v>2018</v>
      </c>
      <c r="B185" s="145" t="s">
        <v>303</v>
      </c>
      <c r="C185" s="146" t="s">
        <v>309</v>
      </c>
      <c r="D185" s="146" t="s">
        <v>310</v>
      </c>
      <c r="E185" s="151" t="s">
        <v>316</v>
      </c>
      <c r="F185" s="433" t="s">
        <v>315</v>
      </c>
      <c r="G185" s="149" t="s">
        <v>213</v>
      </c>
      <c r="H185" s="447">
        <v>1292.93</v>
      </c>
      <c r="I185" s="447">
        <v>1263.6500000000001</v>
      </c>
      <c r="J185" s="447">
        <v>1230.58</v>
      </c>
      <c r="K185" s="447">
        <v>1165.56</v>
      </c>
      <c r="L185" s="447">
        <v>1139.2</v>
      </c>
      <c r="M185" s="447">
        <v>1109.4100000000001</v>
      </c>
      <c r="N185" s="447">
        <v>601.91999999999996</v>
      </c>
      <c r="O185" s="447">
        <v>1468.64</v>
      </c>
      <c r="P185" s="447">
        <v>1387.59</v>
      </c>
      <c r="Q185" s="447">
        <v>1317.42</v>
      </c>
      <c r="R185" s="447">
        <v>900.95</v>
      </c>
      <c r="S185" s="447">
        <v>829.64</v>
      </c>
      <c r="T185" s="448">
        <v>875.36</v>
      </c>
      <c r="V185" s="447">
        <f t="shared" si="26"/>
        <v>1422.2230000000002</v>
      </c>
      <c r="W185" s="447">
        <f t="shared" si="27"/>
        <v>1390.0150000000001</v>
      </c>
      <c r="X185" s="447">
        <f t="shared" si="28"/>
        <v>1353.6379999999999</v>
      </c>
      <c r="Y185" s="447">
        <f t="shared" si="29"/>
        <v>1282.116</v>
      </c>
      <c r="Z185" s="447">
        <f t="shared" si="30"/>
        <v>1253.1200000000001</v>
      </c>
      <c r="AA185" s="447">
        <f t="shared" si="31"/>
        <v>1220.3510000000001</v>
      </c>
      <c r="AB185" s="447">
        <f t="shared" si="32"/>
        <v>662.11199999999997</v>
      </c>
      <c r="AC185" s="447">
        <f t="shared" si="33"/>
        <v>1615.5040000000001</v>
      </c>
      <c r="AD185" s="447">
        <f t="shared" si="34"/>
        <v>1526.3489999999999</v>
      </c>
      <c r="AE185" s="447">
        <f t="shared" si="35"/>
        <v>1449.1620000000003</v>
      </c>
      <c r="AF185" s="447">
        <f t="shared" si="36"/>
        <v>991.04500000000019</v>
      </c>
      <c r="AG185" s="447">
        <f t="shared" si="37"/>
        <v>912.60400000000004</v>
      </c>
      <c r="AH185" s="448">
        <f t="shared" si="38"/>
        <v>962.89600000000007</v>
      </c>
    </row>
    <row r="186" spans="1:34" ht="16.5" thickBot="1">
      <c r="A186" s="429">
        <v>2018</v>
      </c>
      <c r="B186" s="420" t="s">
        <v>303</v>
      </c>
      <c r="C186" s="421" t="s">
        <v>309</v>
      </c>
      <c r="D186" s="421" t="s">
        <v>310</v>
      </c>
      <c r="E186" s="431" t="s">
        <v>316</v>
      </c>
      <c r="F186" s="434" t="s">
        <v>315</v>
      </c>
      <c r="G186" s="424" t="s">
        <v>214</v>
      </c>
      <c r="H186" s="449">
        <v>2068.69</v>
      </c>
      <c r="I186" s="449">
        <v>2021.84</v>
      </c>
      <c r="J186" s="449">
        <v>1968.93</v>
      </c>
      <c r="K186" s="449">
        <v>1864.89</v>
      </c>
      <c r="L186" s="449">
        <v>1822.71</v>
      </c>
      <c r="M186" s="449">
        <v>1775.06</v>
      </c>
      <c r="N186" s="449">
        <v>963.06</v>
      </c>
      <c r="O186" s="449">
        <v>2349.8200000000002</v>
      </c>
      <c r="P186" s="449">
        <v>2220.14</v>
      </c>
      <c r="Q186" s="449">
        <v>2107.88</v>
      </c>
      <c r="R186" s="449">
        <v>1441.53</v>
      </c>
      <c r="S186" s="449">
        <v>1327.43</v>
      </c>
      <c r="T186" s="450">
        <v>1400.59</v>
      </c>
      <c r="V186" s="449">
        <f t="shared" si="26"/>
        <v>2275.5590000000002</v>
      </c>
      <c r="W186" s="449">
        <f t="shared" si="27"/>
        <v>2224.0239999999999</v>
      </c>
      <c r="X186" s="449">
        <f t="shared" si="28"/>
        <v>2165.8230000000003</v>
      </c>
      <c r="Y186" s="449">
        <f t="shared" si="29"/>
        <v>2051.3790000000004</v>
      </c>
      <c r="Z186" s="449">
        <f t="shared" si="30"/>
        <v>2004.9810000000002</v>
      </c>
      <c r="AA186" s="449">
        <f t="shared" si="31"/>
        <v>1952.566</v>
      </c>
      <c r="AB186" s="449">
        <f t="shared" si="32"/>
        <v>1059.366</v>
      </c>
      <c r="AC186" s="449">
        <f t="shared" si="33"/>
        <v>2584.8020000000006</v>
      </c>
      <c r="AD186" s="449">
        <f t="shared" si="34"/>
        <v>2442.154</v>
      </c>
      <c r="AE186" s="449">
        <f t="shared" si="35"/>
        <v>2318.6680000000001</v>
      </c>
      <c r="AF186" s="449">
        <f t="shared" si="36"/>
        <v>1585.683</v>
      </c>
      <c r="AG186" s="449">
        <f t="shared" si="37"/>
        <v>1460.1730000000002</v>
      </c>
      <c r="AH186" s="450">
        <f t="shared" si="38"/>
        <v>1540.6490000000001</v>
      </c>
    </row>
    <row r="187" spans="1:34">
      <c r="A187" s="427">
        <v>2018</v>
      </c>
      <c r="B187" s="413" t="s">
        <v>303</v>
      </c>
      <c r="C187" s="414" t="s">
        <v>311</v>
      </c>
      <c r="D187" s="414" t="s">
        <v>312</v>
      </c>
      <c r="E187" s="430" t="s">
        <v>316</v>
      </c>
      <c r="F187" s="432" t="s">
        <v>315</v>
      </c>
      <c r="G187" s="417" t="s">
        <v>211</v>
      </c>
      <c r="H187" s="445">
        <v>716.3</v>
      </c>
      <c r="I187" s="445">
        <v>700.09</v>
      </c>
      <c r="J187" s="445">
        <v>681.76</v>
      </c>
      <c r="K187" s="445">
        <v>645.74</v>
      </c>
      <c r="L187" s="445">
        <v>631.13</v>
      </c>
      <c r="M187" s="445">
        <v>614.63</v>
      </c>
      <c r="N187" s="445">
        <v>333.47</v>
      </c>
      <c r="O187" s="445">
        <v>813.65</v>
      </c>
      <c r="P187" s="445">
        <v>768.75</v>
      </c>
      <c r="Q187" s="445">
        <v>729.88</v>
      </c>
      <c r="R187" s="445">
        <v>499.14</v>
      </c>
      <c r="S187" s="445">
        <v>459.64</v>
      </c>
      <c r="T187" s="446">
        <v>484.97</v>
      </c>
      <c r="V187" s="445">
        <f t="shared" si="26"/>
        <v>787.93000000000006</v>
      </c>
      <c r="W187" s="445">
        <f t="shared" si="27"/>
        <v>770.09900000000005</v>
      </c>
      <c r="X187" s="445">
        <f t="shared" si="28"/>
        <v>749.93600000000004</v>
      </c>
      <c r="Y187" s="445">
        <f t="shared" si="29"/>
        <v>710.31400000000008</v>
      </c>
      <c r="Z187" s="445">
        <f t="shared" si="30"/>
        <v>694.24300000000005</v>
      </c>
      <c r="AA187" s="445">
        <f t="shared" si="31"/>
        <v>676.09300000000007</v>
      </c>
      <c r="AB187" s="445">
        <f t="shared" si="32"/>
        <v>366.81700000000006</v>
      </c>
      <c r="AC187" s="445">
        <f t="shared" si="33"/>
        <v>895.0150000000001</v>
      </c>
      <c r="AD187" s="445">
        <f t="shared" si="34"/>
        <v>845.62500000000011</v>
      </c>
      <c r="AE187" s="445">
        <f t="shared" si="35"/>
        <v>802.86800000000005</v>
      </c>
      <c r="AF187" s="445">
        <f t="shared" si="36"/>
        <v>549.05399999999997</v>
      </c>
      <c r="AG187" s="445">
        <f t="shared" si="37"/>
        <v>505.60400000000004</v>
      </c>
      <c r="AH187" s="446">
        <f t="shared" si="38"/>
        <v>533.4670000000001</v>
      </c>
    </row>
    <row r="188" spans="1:34">
      <c r="A188" s="428">
        <v>2018</v>
      </c>
      <c r="B188" s="145" t="s">
        <v>303</v>
      </c>
      <c r="C188" s="146" t="s">
        <v>311</v>
      </c>
      <c r="D188" s="146" t="s">
        <v>312</v>
      </c>
      <c r="E188" s="151" t="s">
        <v>316</v>
      </c>
      <c r="F188" s="433" t="s">
        <v>315</v>
      </c>
      <c r="G188" s="149" t="s">
        <v>212</v>
      </c>
      <c r="H188" s="447">
        <v>1568.71</v>
      </c>
      <c r="I188" s="447">
        <v>1533.18</v>
      </c>
      <c r="J188" s="447">
        <v>1493.06</v>
      </c>
      <c r="K188" s="447">
        <v>1414.17</v>
      </c>
      <c r="L188" s="447">
        <v>1382.18</v>
      </c>
      <c r="M188" s="447">
        <v>1346.05</v>
      </c>
      <c r="N188" s="447">
        <v>730.29</v>
      </c>
      <c r="O188" s="447">
        <v>1781.89</v>
      </c>
      <c r="P188" s="447">
        <v>1683.56</v>
      </c>
      <c r="Q188" s="447">
        <v>1598.42</v>
      </c>
      <c r="R188" s="447">
        <v>1093.1199999999999</v>
      </c>
      <c r="S188" s="447">
        <v>1006.61</v>
      </c>
      <c r="T188" s="448">
        <v>1062.08</v>
      </c>
      <c r="V188" s="447">
        <f t="shared" si="26"/>
        <v>1725.5810000000001</v>
      </c>
      <c r="W188" s="447">
        <f t="shared" si="27"/>
        <v>1686.4980000000003</v>
      </c>
      <c r="X188" s="447">
        <f t="shared" si="28"/>
        <v>1642.366</v>
      </c>
      <c r="Y188" s="447">
        <f t="shared" si="29"/>
        <v>1555.5870000000002</v>
      </c>
      <c r="Z188" s="447">
        <f t="shared" si="30"/>
        <v>1520.3980000000001</v>
      </c>
      <c r="AA188" s="447">
        <f t="shared" si="31"/>
        <v>1480.655</v>
      </c>
      <c r="AB188" s="447">
        <f t="shared" si="32"/>
        <v>803.31900000000007</v>
      </c>
      <c r="AC188" s="447">
        <f t="shared" si="33"/>
        <v>1960.0790000000002</v>
      </c>
      <c r="AD188" s="447">
        <f t="shared" si="34"/>
        <v>1851.9160000000002</v>
      </c>
      <c r="AE188" s="447">
        <f t="shared" si="35"/>
        <v>1758.2620000000002</v>
      </c>
      <c r="AF188" s="447">
        <f t="shared" si="36"/>
        <v>1202.432</v>
      </c>
      <c r="AG188" s="447">
        <f t="shared" si="37"/>
        <v>1107.2710000000002</v>
      </c>
      <c r="AH188" s="448">
        <f t="shared" si="38"/>
        <v>1168.288</v>
      </c>
    </row>
    <row r="189" spans="1:34">
      <c r="A189" s="428">
        <v>2018</v>
      </c>
      <c r="B189" s="145" t="s">
        <v>303</v>
      </c>
      <c r="C189" s="146" t="s">
        <v>311</v>
      </c>
      <c r="D189" s="146" t="s">
        <v>312</v>
      </c>
      <c r="E189" s="151" t="s">
        <v>316</v>
      </c>
      <c r="F189" s="433" t="s">
        <v>315</v>
      </c>
      <c r="G189" s="149" t="s">
        <v>213</v>
      </c>
      <c r="H189" s="447">
        <v>1360.97</v>
      </c>
      <c r="I189" s="447">
        <v>1330.16</v>
      </c>
      <c r="J189" s="447">
        <v>1295.3499999999999</v>
      </c>
      <c r="K189" s="447">
        <v>1226.9100000000001</v>
      </c>
      <c r="L189" s="447">
        <v>1199.1600000000001</v>
      </c>
      <c r="M189" s="447">
        <v>1167.8</v>
      </c>
      <c r="N189" s="447">
        <v>633.6</v>
      </c>
      <c r="O189" s="447">
        <v>1545.94</v>
      </c>
      <c r="P189" s="447">
        <v>1460.62</v>
      </c>
      <c r="Q189" s="447">
        <v>1386.76</v>
      </c>
      <c r="R189" s="447">
        <v>948.37</v>
      </c>
      <c r="S189" s="447">
        <v>873.31</v>
      </c>
      <c r="T189" s="448">
        <v>921.44</v>
      </c>
      <c r="V189" s="447">
        <f t="shared" si="26"/>
        <v>1497.0670000000002</v>
      </c>
      <c r="W189" s="447">
        <f t="shared" si="27"/>
        <v>1463.1760000000002</v>
      </c>
      <c r="X189" s="447">
        <f t="shared" si="28"/>
        <v>1424.885</v>
      </c>
      <c r="Y189" s="447">
        <f t="shared" si="29"/>
        <v>1349.6010000000001</v>
      </c>
      <c r="Z189" s="447">
        <f t="shared" si="30"/>
        <v>1319.0760000000002</v>
      </c>
      <c r="AA189" s="447">
        <f t="shared" si="31"/>
        <v>1284.5800000000002</v>
      </c>
      <c r="AB189" s="447">
        <f t="shared" si="32"/>
        <v>696.96</v>
      </c>
      <c r="AC189" s="447">
        <f t="shared" si="33"/>
        <v>1700.5340000000001</v>
      </c>
      <c r="AD189" s="447">
        <f t="shared" si="34"/>
        <v>1606.682</v>
      </c>
      <c r="AE189" s="447">
        <f t="shared" si="35"/>
        <v>1525.4360000000001</v>
      </c>
      <c r="AF189" s="447">
        <f t="shared" si="36"/>
        <v>1043.2070000000001</v>
      </c>
      <c r="AG189" s="447">
        <f t="shared" si="37"/>
        <v>960.64099999999996</v>
      </c>
      <c r="AH189" s="448">
        <f t="shared" si="38"/>
        <v>1013.5840000000002</v>
      </c>
    </row>
    <row r="190" spans="1:34" ht="16.5" thickBot="1">
      <c r="A190" s="429">
        <v>2018</v>
      </c>
      <c r="B190" s="420" t="s">
        <v>303</v>
      </c>
      <c r="C190" s="421" t="s">
        <v>311</v>
      </c>
      <c r="D190" s="421" t="s">
        <v>312</v>
      </c>
      <c r="E190" s="431" t="s">
        <v>316</v>
      </c>
      <c r="F190" s="434" t="s">
        <v>315</v>
      </c>
      <c r="G190" s="424" t="s">
        <v>214</v>
      </c>
      <c r="H190" s="449">
        <v>2177.5700000000002</v>
      </c>
      <c r="I190" s="449">
        <v>2128.2600000000002</v>
      </c>
      <c r="J190" s="449">
        <v>2072.56</v>
      </c>
      <c r="K190" s="449">
        <v>1963.05</v>
      </c>
      <c r="L190" s="449">
        <v>1918.64</v>
      </c>
      <c r="M190" s="449">
        <v>1868.48</v>
      </c>
      <c r="N190" s="449">
        <v>1013.75</v>
      </c>
      <c r="O190" s="449">
        <v>2473.4899999999998</v>
      </c>
      <c r="P190" s="449">
        <v>2336.9899999999998</v>
      </c>
      <c r="Q190" s="449">
        <v>2218.8200000000002</v>
      </c>
      <c r="R190" s="449">
        <v>1517.4</v>
      </c>
      <c r="S190" s="449">
        <v>1397.3</v>
      </c>
      <c r="T190" s="450">
        <v>1474.3</v>
      </c>
      <c r="V190" s="449">
        <f t="shared" si="26"/>
        <v>2395.3270000000002</v>
      </c>
      <c r="W190" s="449">
        <f t="shared" si="27"/>
        <v>2341.0860000000002</v>
      </c>
      <c r="X190" s="449">
        <f t="shared" si="28"/>
        <v>2279.8160000000003</v>
      </c>
      <c r="Y190" s="449">
        <f t="shared" si="29"/>
        <v>2159.355</v>
      </c>
      <c r="Z190" s="449">
        <f t="shared" si="30"/>
        <v>2110.5040000000004</v>
      </c>
      <c r="AA190" s="449">
        <f t="shared" si="31"/>
        <v>2055.328</v>
      </c>
      <c r="AB190" s="449">
        <f t="shared" si="32"/>
        <v>1115.125</v>
      </c>
      <c r="AC190" s="449">
        <f t="shared" si="33"/>
        <v>2720.8389999999999</v>
      </c>
      <c r="AD190" s="449">
        <f t="shared" si="34"/>
        <v>2570.6889999999999</v>
      </c>
      <c r="AE190" s="449">
        <f t="shared" si="35"/>
        <v>2440.7020000000002</v>
      </c>
      <c r="AF190" s="449">
        <f t="shared" si="36"/>
        <v>1669.1400000000003</v>
      </c>
      <c r="AG190" s="449">
        <f t="shared" si="37"/>
        <v>1537.03</v>
      </c>
      <c r="AH190" s="450">
        <f t="shared" si="38"/>
        <v>1621.73</v>
      </c>
    </row>
    <row r="191" spans="1:34">
      <c r="A191" s="427">
        <v>2018</v>
      </c>
      <c r="B191" s="413" t="s">
        <v>303</v>
      </c>
      <c r="C191" s="414" t="s">
        <v>313</v>
      </c>
      <c r="D191" s="414" t="s">
        <v>314</v>
      </c>
      <c r="E191" s="430" t="s">
        <v>316</v>
      </c>
      <c r="F191" s="432" t="s">
        <v>315</v>
      </c>
      <c r="G191" s="417" t="s">
        <v>211</v>
      </c>
      <c r="H191" s="445">
        <v>823.75</v>
      </c>
      <c r="I191" s="445">
        <v>805.1</v>
      </c>
      <c r="J191" s="445">
        <v>784.03</v>
      </c>
      <c r="K191" s="445">
        <v>742.6</v>
      </c>
      <c r="L191" s="445">
        <v>725.8</v>
      </c>
      <c r="M191" s="445">
        <v>706.83</v>
      </c>
      <c r="N191" s="445">
        <v>383.49</v>
      </c>
      <c r="O191" s="445">
        <v>935.7</v>
      </c>
      <c r="P191" s="445">
        <v>884.06</v>
      </c>
      <c r="Q191" s="445">
        <v>839.36</v>
      </c>
      <c r="R191" s="445">
        <v>574.01</v>
      </c>
      <c r="S191" s="445">
        <v>528.58000000000004</v>
      </c>
      <c r="T191" s="446">
        <v>557.71</v>
      </c>
      <c r="V191" s="445">
        <f t="shared" si="26"/>
        <v>906.12500000000011</v>
      </c>
      <c r="W191" s="445">
        <f t="shared" si="27"/>
        <v>885.61000000000013</v>
      </c>
      <c r="X191" s="445">
        <f t="shared" si="28"/>
        <v>862.43299999999999</v>
      </c>
      <c r="Y191" s="445">
        <f t="shared" si="29"/>
        <v>816.86000000000013</v>
      </c>
      <c r="Z191" s="445">
        <f t="shared" si="30"/>
        <v>798.38</v>
      </c>
      <c r="AA191" s="445">
        <f t="shared" si="31"/>
        <v>777.51300000000015</v>
      </c>
      <c r="AB191" s="445">
        <f t="shared" si="32"/>
        <v>421.83900000000006</v>
      </c>
      <c r="AC191" s="445">
        <f t="shared" si="33"/>
        <v>1029.2700000000002</v>
      </c>
      <c r="AD191" s="445">
        <f t="shared" si="34"/>
        <v>972.46600000000001</v>
      </c>
      <c r="AE191" s="445">
        <f t="shared" si="35"/>
        <v>923.29600000000005</v>
      </c>
      <c r="AF191" s="445">
        <f t="shared" si="36"/>
        <v>631.41100000000006</v>
      </c>
      <c r="AG191" s="445">
        <f t="shared" si="37"/>
        <v>581.4380000000001</v>
      </c>
      <c r="AH191" s="446">
        <f t="shared" si="38"/>
        <v>613.48100000000011</v>
      </c>
    </row>
    <row r="192" spans="1:34">
      <c r="A192" s="428">
        <v>2018</v>
      </c>
      <c r="B192" s="145" t="s">
        <v>303</v>
      </c>
      <c r="C192" s="146" t="s">
        <v>313</v>
      </c>
      <c r="D192" s="146" t="s">
        <v>314</v>
      </c>
      <c r="E192" s="151" t="s">
        <v>316</v>
      </c>
      <c r="F192" s="433" t="s">
        <v>315</v>
      </c>
      <c r="G192" s="149" t="s">
        <v>212</v>
      </c>
      <c r="H192" s="447">
        <v>1804.01</v>
      </c>
      <c r="I192" s="447">
        <v>1763.16</v>
      </c>
      <c r="J192" s="447">
        <v>1717.02</v>
      </c>
      <c r="K192" s="447">
        <v>1626.29</v>
      </c>
      <c r="L192" s="447">
        <v>1589.5</v>
      </c>
      <c r="M192" s="447">
        <v>1547.95</v>
      </c>
      <c r="N192" s="447">
        <v>839.84</v>
      </c>
      <c r="O192" s="447">
        <v>2049.17</v>
      </c>
      <c r="P192" s="447">
        <v>1936.1</v>
      </c>
      <c r="Q192" s="447">
        <v>1838.19</v>
      </c>
      <c r="R192" s="447">
        <v>1257.0899999999999</v>
      </c>
      <c r="S192" s="447">
        <v>1157.5999999999999</v>
      </c>
      <c r="T192" s="448">
        <v>1221.3900000000001</v>
      </c>
      <c r="V192" s="447">
        <f t="shared" si="26"/>
        <v>1984.4110000000001</v>
      </c>
      <c r="W192" s="447">
        <f t="shared" si="27"/>
        <v>1939.4760000000003</v>
      </c>
      <c r="X192" s="447">
        <f t="shared" si="28"/>
        <v>1888.7220000000002</v>
      </c>
      <c r="Y192" s="447">
        <f t="shared" si="29"/>
        <v>1788.9190000000001</v>
      </c>
      <c r="Z192" s="447">
        <f t="shared" si="30"/>
        <v>1748.45</v>
      </c>
      <c r="AA192" s="447">
        <f t="shared" si="31"/>
        <v>1702.7450000000001</v>
      </c>
      <c r="AB192" s="447">
        <f t="shared" si="32"/>
        <v>923.82400000000007</v>
      </c>
      <c r="AC192" s="447">
        <f t="shared" si="33"/>
        <v>2254.0870000000004</v>
      </c>
      <c r="AD192" s="447">
        <f t="shared" si="34"/>
        <v>2129.71</v>
      </c>
      <c r="AE192" s="447">
        <f t="shared" si="35"/>
        <v>2022.0090000000002</v>
      </c>
      <c r="AF192" s="447">
        <f t="shared" si="36"/>
        <v>1382.799</v>
      </c>
      <c r="AG192" s="447">
        <f t="shared" si="37"/>
        <v>1273.3599999999999</v>
      </c>
      <c r="AH192" s="448">
        <f t="shared" si="38"/>
        <v>1343.5290000000002</v>
      </c>
    </row>
    <row r="193" spans="1:34">
      <c r="A193" s="428">
        <v>2018</v>
      </c>
      <c r="B193" s="145" t="s">
        <v>303</v>
      </c>
      <c r="C193" s="146" t="s">
        <v>313</v>
      </c>
      <c r="D193" s="146" t="s">
        <v>314</v>
      </c>
      <c r="E193" s="151" t="s">
        <v>316</v>
      </c>
      <c r="F193" s="433" t="s">
        <v>315</v>
      </c>
      <c r="G193" s="149" t="s">
        <v>213</v>
      </c>
      <c r="H193" s="447">
        <v>1565.12</v>
      </c>
      <c r="I193" s="447">
        <v>1529.68</v>
      </c>
      <c r="J193" s="447">
        <v>1489.65</v>
      </c>
      <c r="K193" s="447">
        <v>1410.94</v>
      </c>
      <c r="L193" s="447">
        <v>1379.03</v>
      </c>
      <c r="M193" s="447">
        <v>1342.97</v>
      </c>
      <c r="N193" s="447">
        <v>728.64</v>
      </c>
      <c r="O193" s="447">
        <v>1777.83</v>
      </c>
      <c r="P193" s="447">
        <v>1679.72</v>
      </c>
      <c r="Q193" s="447">
        <v>1594.78</v>
      </c>
      <c r="R193" s="447">
        <v>1090.6199999999999</v>
      </c>
      <c r="S193" s="447">
        <v>1004.3</v>
      </c>
      <c r="T193" s="448">
        <v>1059.6500000000001</v>
      </c>
      <c r="V193" s="447">
        <f t="shared" si="26"/>
        <v>1721.6320000000001</v>
      </c>
      <c r="W193" s="447">
        <f t="shared" si="27"/>
        <v>1682.6480000000001</v>
      </c>
      <c r="X193" s="447">
        <f t="shared" si="28"/>
        <v>1638.6150000000002</v>
      </c>
      <c r="Y193" s="447">
        <f t="shared" si="29"/>
        <v>1552.0340000000001</v>
      </c>
      <c r="Z193" s="447">
        <f t="shared" si="30"/>
        <v>1516.933</v>
      </c>
      <c r="AA193" s="447">
        <f t="shared" si="31"/>
        <v>1477.2670000000001</v>
      </c>
      <c r="AB193" s="447">
        <f t="shared" si="32"/>
        <v>801.50400000000002</v>
      </c>
      <c r="AC193" s="447">
        <f t="shared" si="33"/>
        <v>1955.6130000000001</v>
      </c>
      <c r="AD193" s="447">
        <f t="shared" si="34"/>
        <v>1847.6920000000002</v>
      </c>
      <c r="AE193" s="447">
        <f t="shared" si="35"/>
        <v>1754.258</v>
      </c>
      <c r="AF193" s="447">
        <f t="shared" si="36"/>
        <v>1199.682</v>
      </c>
      <c r="AG193" s="447">
        <f t="shared" si="37"/>
        <v>1104.73</v>
      </c>
      <c r="AH193" s="448">
        <f t="shared" si="38"/>
        <v>1165.6150000000002</v>
      </c>
    </row>
    <row r="194" spans="1:34" ht="16.5" thickBot="1">
      <c r="A194" s="429">
        <v>2018</v>
      </c>
      <c r="B194" s="420" t="s">
        <v>303</v>
      </c>
      <c r="C194" s="421" t="s">
        <v>313</v>
      </c>
      <c r="D194" s="421" t="s">
        <v>314</v>
      </c>
      <c r="E194" s="431" t="s">
        <v>316</v>
      </c>
      <c r="F194" s="434" t="s">
        <v>315</v>
      </c>
      <c r="G194" s="424" t="s">
        <v>214</v>
      </c>
      <c r="H194" s="449">
        <v>2504.1999999999998</v>
      </c>
      <c r="I194" s="449">
        <v>2447.5</v>
      </c>
      <c r="J194" s="449">
        <v>2383.44</v>
      </c>
      <c r="K194" s="449">
        <v>2257.5</v>
      </c>
      <c r="L194" s="449">
        <v>2206.44</v>
      </c>
      <c r="M194" s="449">
        <v>2148.75</v>
      </c>
      <c r="N194" s="449">
        <v>1165.81</v>
      </c>
      <c r="O194" s="449">
        <v>2844.52</v>
      </c>
      <c r="P194" s="449">
        <v>2687.54</v>
      </c>
      <c r="Q194" s="449">
        <v>2551.65</v>
      </c>
      <c r="R194" s="449">
        <v>1745.01</v>
      </c>
      <c r="S194" s="449">
        <v>1606.89</v>
      </c>
      <c r="T194" s="450">
        <v>1695.45</v>
      </c>
      <c r="V194" s="449">
        <f t="shared" si="26"/>
        <v>2754.62</v>
      </c>
      <c r="W194" s="449">
        <f t="shared" si="27"/>
        <v>2692.25</v>
      </c>
      <c r="X194" s="449">
        <f t="shared" si="28"/>
        <v>2621.7840000000001</v>
      </c>
      <c r="Y194" s="449">
        <f t="shared" si="29"/>
        <v>2483.25</v>
      </c>
      <c r="Z194" s="449">
        <f t="shared" si="30"/>
        <v>2427.0840000000003</v>
      </c>
      <c r="AA194" s="449">
        <f t="shared" si="31"/>
        <v>2363.625</v>
      </c>
      <c r="AB194" s="449">
        <f t="shared" si="32"/>
        <v>1282.3910000000001</v>
      </c>
      <c r="AC194" s="449">
        <f t="shared" si="33"/>
        <v>3128.9720000000002</v>
      </c>
      <c r="AD194" s="449">
        <f t="shared" si="34"/>
        <v>2956.2940000000003</v>
      </c>
      <c r="AE194" s="449">
        <f t="shared" si="35"/>
        <v>2806.8150000000005</v>
      </c>
      <c r="AF194" s="449">
        <f t="shared" si="36"/>
        <v>1919.5110000000002</v>
      </c>
      <c r="AG194" s="449">
        <f t="shared" si="37"/>
        <v>1767.5790000000002</v>
      </c>
      <c r="AH194" s="450">
        <f t="shared" si="38"/>
        <v>1864.9950000000001</v>
      </c>
    </row>
    <row r="195" spans="1:34">
      <c r="A195" s="427">
        <v>2018</v>
      </c>
      <c r="B195" s="425" t="s">
        <v>317</v>
      </c>
      <c r="C195" s="414" t="s">
        <v>304</v>
      </c>
      <c r="D195" s="414" t="s">
        <v>305</v>
      </c>
      <c r="E195" s="415" t="s">
        <v>306</v>
      </c>
      <c r="F195" s="416" t="s">
        <v>307</v>
      </c>
      <c r="G195" s="417" t="s">
        <v>211</v>
      </c>
      <c r="H195" s="445">
        <v>516.33000000000004</v>
      </c>
      <c r="I195" s="445">
        <v>504.78</v>
      </c>
      <c r="J195" s="445">
        <v>491.76</v>
      </c>
      <c r="K195" s="445">
        <v>461.05</v>
      </c>
      <c r="L195" s="445">
        <v>450.76</v>
      </c>
      <c r="M195" s="445">
        <v>439.13</v>
      </c>
      <c r="N195" s="445">
        <v>259.01</v>
      </c>
      <c r="O195" s="445">
        <v>629.44000000000005</v>
      </c>
      <c r="P195" s="445">
        <v>594.72</v>
      </c>
      <c r="Q195" s="445">
        <v>564.66</v>
      </c>
      <c r="R195" s="445">
        <v>373.56</v>
      </c>
      <c r="S195" s="445">
        <v>344.01</v>
      </c>
      <c r="T195" s="446">
        <v>362.97</v>
      </c>
      <c r="V195" s="445">
        <f t="shared" si="26"/>
        <v>567.96300000000008</v>
      </c>
      <c r="W195" s="445">
        <f t="shared" si="27"/>
        <v>555.25800000000004</v>
      </c>
      <c r="X195" s="445">
        <f t="shared" si="28"/>
        <v>540.93600000000004</v>
      </c>
      <c r="Y195" s="445">
        <f t="shared" si="29"/>
        <v>507.15500000000003</v>
      </c>
      <c r="Z195" s="445">
        <f t="shared" si="30"/>
        <v>495.83600000000001</v>
      </c>
      <c r="AA195" s="445">
        <f t="shared" si="31"/>
        <v>483.04300000000001</v>
      </c>
      <c r="AB195" s="445">
        <f t="shared" si="32"/>
        <v>284.911</v>
      </c>
      <c r="AC195" s="445">
        <f t="shared" si="33"/>
        <v>692.38400000000013</v>
      </c>
      <c r="AD195" s="445">
        <f t="shared" si="34"/>
        <v>654.19200000000012</v>
      </c>
      <c r="AE195" s="445">
        <f t="shared" si="35"/>
        <v>621.12599999999998</v>
      </c>
      <c r="AF195" s="445">
        <f t="shared" si="36"/>
        <v>410.91600000000005</v>
      </c>
      <c r="AG195" s="445">
        <f t="shared" si="37"/>
        <v>378.411</v>
      </c>
      <c r="AH195" s="446">
        <f t="shared" si="38"/>
        <v>399.26700000000005</v>
      </c>
    </row>
    <row r="196" spans="1:34">
      <c r="A196" s="428">
        <v>2018</v>
      </c>
      <c r="B196" s="152" t="s">
        <v>317</v>
      </c>
      <c r="C196" s="146" t="s">
        <v>304</v>
      </c>
      <c r="D196" s="146" t="s">
        <v>305</v>
      </c>
      <c r="E196" s="147" t="s">
        <v>306</v>
      </c>
      <c r="F196" s="148" t="s">
        <v>307</v>
      </c>
      <c r="G196" s="149" t="s">
        <v>212</v>
      </c>
      <c r="H196" s="447">
        <v>1130.76</v>
      </c>
      <c r="I196" s="447">
        <v>1105.47</v>
      </c>
      <c r="J196" s="447">
        <v>1076.96</v>
      </c>
      <c r="K196" s="447">
        <v>1009.7</v>
      </c>
      <c r="L196" s="447">
        <v>987.17</v>
      </c>
      <c r="M196" s="447">
        <v>961.69</v>
      </c>
      <c r="N196" s="447">
        <v>567.22</v>
      </c>
      <c r="O196" s="447">
        <v>1378.48</v>
      </c>
      <c r="P196" s="447">
        <v>1302.44</v>
      </c>
      <c r="Q196" s="447">
        <v>1236.5899999999999</v>
      </c>
      <c r="R196" s="447">
        <v>818.1</v>
      </c>
      <c r="S196" s="447">
        <v>753.38</v>
      </c>
      <c r="T196" s="448">
        <v>794.9</v>
      </c>
      <c r="V196" s="447">
        <f t="shared" si="26"/>
        <v>1243.836</v>
      </c>
      <c r="W196" s="447">
        <f t="shared" si="27"/>
        <v>1216.0170000000001</v>
      </c>
      <c r="X196" s="447">
        <f t="shared" si="28"/>
        <v>1184.6560000000002</v>
      </c>
      <c r="Y196" s="447">
        <f t="shared" si="29"/>
        <v>1110.67</v>
      </c>
      <c r="Z196" s="447">
        <f t="shared" si="30"/>
        <v>1085.8869999999999</v>
      </c>
      <c r="AA196" s="447">
        <f t="shared" si="31"/>
        <v>1057.8590000000002</v>
      </c>
      <c r="AB196" s="447">
        <f t="shared" si="32"/>
        <v>623.94200000000012</v>
      </c>
      <c r="AC196" s="447">
        <f t="shared" si="33"/>
        <v>1516.3280000000002</v>
      </c>
      <c r="AD196" s="447">
        <f t="shared" si="34"/>
        <v>1432.6840000000002</v>
      </c>
      <c r="AE196" s="447">
        <f t="shared" si="35"/>
        <v>1360.249</v>
      </c>
      <c r="AF196" s="447">
        <f t="shared" si="36"/>
        <v>899.91000000000008</v>
      </c>
      <c r="AG196" s="447">
        <f t="shared" si="37"/>
        <v>828.71800000000007</v>
      </c>
      <c r="AH196" s="448">
        <f t="shared" si="38"/>
        <v>874.3900000000001</v>
      </c>
    </row>
    <row r="197" spans="1:34">
      <c r="A197" s="428">
        <v>2018</v>
      </c>
      <c r="B197" s="152" t="s">
        <v>317</v>
      </c>
      <c r="C197" s="146" t="s">
        <v>304</v>
      </c>
      <c r="D197" s="146" t="s">
        <v>305</v>
      </c>
      <c r="E197" s="147" t="s">
        <v>306</v>
      </c>
      <c r="F197" s="148" t="s">
        <v>307</v>
      </c>
      <c r="G197" s="149" t="s">
        <v>213</v>
      </c>
      <c r="H197" s="447">
        <v>981.02</v>
      </c>
      <c r="I197" s="447">
        <v>959.09</v>
      </c>
      <c r="J197" s="447">
        <v>934.34</v>
      </c>
      <c r="K197" s="447">
        <v>875.99</v>
      </c>
      <c r="L197" s="447">
        <v>856.46</v>
      </c>
      <c r="M197" s="447">
        <v>834.34</v>
      </c>
      <c r="N197" s="447">
        <v>492.11</v>
      </c>
      <c r="O197" s="447">
        <v>1195.94</v>
      </c>
      <c r="P197" s="447">
        <v>1129.97</v>
      </c>
      <c r="Q197" s="447">
        <v>1072.8399999999999</v>
      </c>
      <c r="R197" s="447">
        <v>709.76</v>
      </c>
      <c r="S197" s="447">
        <v>653.62</v>
      </c>
      <c r="T197" s="448">
        <v>689.64</v>
      </c>
      <c r="V197" s="447">
        <f t="shared" si="26"/>
        <v>1079.1220000000001</v>
      </c>
      <c r="W197" s="447">
        <f t="shared" si="27"/>
        <v>1054.999</v>
      </c>
      <c r="X197" s="447">
        <f t="shared" si="28"/>
        <v>1027.7740000000001</v>
      </c>
      <c r="Y197" s="447">
        <f t="shared" si="29"/>
        <v>963.58900000000006</v>
      </c>
      <c r="Z197" s="447">
        <f t="shared" si="30"/>
        <v>942.10600000000011</v>
      </c>
      <c r="AA197" s="447">
        <f t="shared" si="31"/>
        <v>917.77400000000011</v>
      </c>
      <c r="AB197" s="447">
        <f t="shared" si="32"/>
        <v>541.32100000000003</v>
      </c>
      <c r="AC197" s="447">
        <f t="shared" si="33"/>
        <v>1315.5340000000001</v>
      </c>
      <c r="AD197" s="447">
        <f t="shared" si="34"/>
        <v>1242.9670000000001</v>
      </c>
      <c r="AE197" s="447">
        <f t="shared" si="35"/>
        <v>1180.124</v>
      </c>
      <c r="AF197" s="447">
        <f t="shared" si="36"/>
        <v>780.7360000000001</v>
      </c>
      <c r="AG197" s="447">
        <f t="shared" si="37"/>
        <v>718.98200000000008</v>
      </c>
      <c r="AH197" s="448">
        <f t="shared" si="38"/>
        <v>758.60400000000004</v>
      </c>
    </row>
    <row r="198" spans="1:34" ht="16.5" thickBot="1">
      <c r="A198" s="429">
        <v>2018</v>
      </c>
      <c r="B198" s="426" t="s">
        <v>317</v>
      </c>
      <c r="C198" s="421" t="s">
        <v>304</v>
      </c>
      <c r="D198" s="421" t="s">
        <v>305</v>
      </c>
      <c r="E198" s="422" t="s">
        <v>306</v>
      </c>
      <c r="F198" s="423" t="s">
        <v>307</v>
      </c>
      <c r="G198" s="424" t="s">
        <v>214</v>
      </c>
      <c r="H198" s="449">
        <v>1569.64</v>
      </c>
      <c r="I198" s="449">
        <v>1534.54</v>
      </c>
      <c r="J198" s="449">
        <v>1494.95</v>
      </c>
      <c r="K198" s="449">
        <v>1401.59</v>
      </c>
      <c r="L198" s="449">
        <v>1370.33</v>
      </c>
      <c r="M198" s="449">
        <v>1334.95</v>
      </c>
      <c r="N198" s="449">
        <v>787.37</v>
      </c>
      <c r="O198" s="449">
        <v>1913.5</v>
      </c>
      <c r="P198" s="449">
        <v>1807.94</v>
      </c>
      <c r="Q198" s="449">
        <v>1716.55</v>
      </c>
      <c r="R198" s="449">
        <v>1135.6099999999999</v>
      </c>
      <c r="S198" s="449">
        <v>1045.79</v>
      </c>
      <c r="T198" s="450">
        <v>1103.42</v>
      </c>
      <c r="V198" s="449">
        <f t="shared" si="26"/>
        <v>1726.6040000000003</v>
      </c>
      <c r="W198" s="449">
        <f t="shared" si="27"/>
        <v>1687.9940000000001</v>
      </c>
      <c r="X198" s="449">
        <f t="shared" si="28"/>
        <v>1644.4450000000002</v>
      </c>
      <c r="Y198" s="449">
        <f t="shared" si="29"/>
        <v>1541.749</v>
      </c>
      <c r="Z198" s="449">
        <f t="shared" si="30"/>
        <v>1507.3630000000001</v>
      </c>
      <c r="AA198" s="449">
        <f t="shared" si="31"/>
        <v>1468.4450000000002</v>
      </c>
      <c r="AB198" s="449">
        <f t="shared" si="32"/>
        <v>866.10700000000008</v>
      </c>
      <c r="AC198" s="449">
        <f t="shared" si="33"/>
        <v>2104.8500000000004</v>
      </c>
      <c r="AD198" s="449">
        <f t="shared" si="34"/>
        <v>1988.7340000000002</v>
      </c>
      <c r="AE198" s="449">
        <f t="shared" si="35"/>
        <v>1888.2050000000002</v>
      </c>
      <c r="AF198" s="449">
        <f t="shared" si="36"/>
        <v>1249.171</v>
      </c>
      <c r="AG198" s="449">
        <f t="shared" si="37"/>
        <v>1150.3690000000001</v>
      </c>
      <c r="AH198" s="450">
        <f t="shared" si="38"/>
        <v>1213.7620000000002</v>
      </c>
    </row>
    <row r="199" spans="1:34">
      <c r="A199" s="427">
        <v>2018</v>
      </c>
      <c r="B199" s="425" t="s">
        <v>317</v>
      </c>
      <c r="C199" s="414" t="s">
        <v>309</v>
      </c>
      <c r="D199" s="414" t="s">
        <v>310</v>
      </c>
      <c r="E199" s="415" t="s">
        <v>306</v>
      </c>
      <c r="F199" s="416" t="s">
        <v>307</v>
      </c>
      <c r="G199" s="417" t="s">
        <v>211</v>
      </c>
      <c r="H199" s="445">
        <v>567.39</v>
      </c>
      <c r="I199" s="445">
        <v>554.71</v>
      </c>
      <c r="J199" s="445">
        <v>540.4</v>
      </c>
      <c r="K199" s="445">
        <v>506.65</v>
      </c>
      <c r="L199" s="445">
        <v>495.35</v>
      </c>
      <c r="M199" s="445">
        <v>482.56</v>
      </c>
      <c r="N199" s="445">
        <v>284.62</v>
      </c>
      <c r="O199" s="445">
        <v>691.69</v>
      </c>
      <c r="P199" s="445">
        <v>653.54</v>
      </c>
      <c r="Q199" s="445">
        <v>620.5</v>
      </c>
      <c r="R199" s="445">
        <v>410.5</v>
      </c>
      <c r="S199" s="445">
        <v>378.03</v>
      </c>
      <c r="T199" s="446">
        <v>398.87</v>
      </c>
      <c r="V199" s="445">
        <f t="shared" ref="V199:V258" si="39">H199*1.1</f>
        <v>624.12900000000002</v>
      </c>
      <c r="W199" s="445">
        <f t="shared" ref="W199:W258" si="40">I199*1.1</f>
        <v>610.18100000000004</v>
      </c>
      <c r="X199" s="445">
        <f t="shared" ref="X199:X258" si="41">J199*1.1</f>
        <v>594.44000000000005</v>
      </c>
      <c r="Y199" s="445">
        <f t="shared" ref="Y199:Y258" si="42">K199*1.1</f>
        <v>557.31500000000005</v>
      </c>
      <c r="Z199" s="445">
        <f t="shared" ref="Z199:Z258" si="43">L199*1.1</f>
        <v>544.8850000000001</v>
      </c>
      <c r="AA199" s="445">
        <f t="shared" ref="AA199:AA258" si="44">M199*1.1</f>
        <v>530.81600000000003</v>
      </c>
      <c r="AB199" s="445">
        <f t="shared" ref="AB199:AB258" si="45">N199*1.1</f>
        <v>313.08200000000005</v>
      </c>
      <c r="AC199" s="445">
        <f t="shared" ref="AC199:AC258" si="46">O199*1.1</f>
        <v>760.85900000000015</v>
      </c>
      <c r="AD199" s="445">
        <f t="shared" ref="AD199:AD258" si="47">P199*1.1</f>
        <v>718.89400000000001</v>
      </c>
      <c r="AE199" s="445">
        <f t="shared" ref="AE199:AE258" si="48">Q199*1.1</f>
        <v>682.55000000000007</v>
      </c>
      <c r="AF199" s="445">
        <f t="shared" ref="AF199:AF258" si="49">R199*1.1</f>
        <v>451.55</v>
      </c>
      <c r="AG199" s="445">
        <f t="shared" ref="AG199:AG258" si="50">S199*1.1</f>
        <v>415.83300000000003</v>
      </c>
      <c r="AH199" s="446">
        <f t="shared" ref="AH199:AH258" si="51">T199*1.1</f>
        <v>438.75700000000006</v>
      </c>
    </row>
    <row r="200" spans="1:34">
      <c r="A200" s="428">
        <v>2018</v>
      </c>
      <c r="B200" s="152" t="s">
        <v>317</v>
      </c>
      <c r="C200" s="146" t="s">
        <v>309</v>
      </c>
      <c r="D200" s="146" t="s">
        <v>310</v>
      </c>
      <c r="E200" s="147" t="s">
        <v>306</v>
      </c>
      <c r="F200" s="148" t="s">
        <v>307</v>
      </c>
      <c r="G200" s="149" t="s">
        <v>212</v>
      </c>
      <c r="H200" s="447">
        <v>1242.5899999999999</v>
      </c>
      <c r="I200" s="447">
        <v>1214.81</v>
      </c>
      <c r="J200" s="447">
        <v>1183.47</v>
      </c>
      <c r="K200" s="447">
        <v>1109.56</v>
      </c>
      <c r="L200" s="447">
        <v>1084.8</v>
      </c>
      <c r="M200" s="447">
        <v>1056.8</v>
      </c>
      <c r="N200" s="447">
        <v>623.32000000000005</v>
      </c>
      <c r="O200" s="447">
        <v>1514.81</v>
      </c>
      <c r="P200" s="447">
        <v>1431.25</v>
      </c>
      <c r="Q200" s="447">
        <v>1358.89</v>
      </c>
      <c r="R200" s="447">
        <v>899.01</v>
      </c>
      <c r="S200" s="447">
        <v>827.89</v>
      </c>
      <c r="T200" s="448">
        <v>873.51</v>
      </c>
      <c r="V200" s="447">
        <f t="shared" si="39"/>
        <v>1366.8489999999999</v>
      </c>
      <c r="W200" s="447">
        <f t="shared" si="40"/>
        <v>1336.2909999999999</v>
      </c>
      <c r="X200" s="447">
        <f t="shared" si="41"/>
        <v>1301.8170000000002</v>
      </c>
      <c r="Y200" s="447">
        <f t="shared" si="42"/>
        <v>1220.5160000000001</v>
      </c>
      <c r="Z200" s="447">
        <f t="shared" si="43"/>
        <v>1193.28</v>
      </c>
      <c r="AA200" s="447">
        <f t="shared" si="44"/>
        <v>1162.48</v>
      </c>
      <c r="AB200" s="447">
        <f t="shared" si="45"/>
        <v>685.65200000000016</v>
      </c>
      <c r="AC200" s="447">
        <f t="shared" si="46"/>
        <v>1666.2910000000002</v>
      </c>
      <c r="AD200" s="447">
        <f t="shared" si="47"/>
        <v>1574.3750000000002</v>
      </c>
      <c r="AE200" s="447">
        <f t="shared" si="48"/>
        <v>1494.7790000000002</v>
      </c>
      <c r="AF200" s="447">
        <f t="shared" si="49"/>
        <v>988.91100000000006</v>
      </c>
      <c r="AG200" s="447">
        <f t="shared" si="50"/>
        <v>910.67900000000009</v>
      </c>
      <c r="AH200" s="448">
        <f t="shared" si="51"/>
        <v>960.8610000000001</v>
      </c>
    </row>
    <row r="201" spans="1:34">
      <c r="A201" s="428">
        <v>2018</v>
      </c>
      <c r="B201" s="152" t="s">
        <v>317</v>
      </c>
      <c r="C201" s="146" t="s">
        <v>309</v>
      </c>
      <c r="D201" s="146" t="s">
        <v>310</v>
      </c>
      <c r="E201" s="147" t="s">
        <v>306</v>
      </c>
      <c r="F201" s="148" t="s">
        <v>307</v>
      </c>
      <c r="G201" s="149" t="s">
        <v>213</v>
      </c>
      <c r="H201" s="447">
        <v>1078.05</v>
      </c>
      <c r="I201" s="447">
        <v>1053.94</v>
      </c>
      <c r="J201" s="447">
        <v>1026.75</v>
      </c>
      <c r="K201" s="447">
        <v>962.63</v>
      </c>
      <c r="L201" s="447">
        <v>941.16</v>
      </c>
      <c r="M201" s="447">
        <v>916.85</v>
      </c>
      <c r="N201" s="447">
        <v>540.78</v>
      </c>
      <c r="O201" s="447">
        <v>1314.22</v>
      </c>
      <c r="P201" s="447">
        <v>1241.73</v>
      </c>
      <c r="Q201" s="447">
        <v>1178.95</v>
      </c>
      <c r="R201" s="447">
        <v>779.95</v>
      </c>
      <c r="S201" s="447">
        <v>718.26</v>
      </c>
      <c r="T201" s="448">
        <v>757.85</v>
      </c>
      <c r="V201" s="447">
        <f t="shared" si="39"/>
        <v>1185.855</v>
      </c>
      <c r="W201" s="447">
        <f t="shared" si="40"/>
        <v>1159.3340000000001</v>
      </c>
      <c r="X201" s="447">
        <f t="shared" si="41"/>
        <v>1129.4250000000002</v>
      </c>
      <c r="Y201" s="447">
        <f t="shared" si="42"/>
        <v>1058.893</v>
      </c>
      <c r="Z201" s="447">
        <f t="shared" si="43"/>
        <v>1035.2760000000001</v>
      </c>
      <c r="AA201" s="447">
        <f t="shared" si="44"/>
        <v>1008.5350000000001</v>
      </c>
      <c r="AB201" s="447">
        <f t="shared" si="45"/>
        <v>594.85800000000006</v>
      </c>
      <c r="AC201" s="447">
        <f t="shared" si="46"/>
        <v>1445.6420000000001</v>
      </c>
      <c r="AD201" s="447">
        <f t="shared" si="47"/>
        <v>1365.903</v>
      </c>
      <c r="AE201" s="447">
        <f t="shared" si="48"/>
        <v>1296.8450000000003</v>
      </c>
      <c r="AF201" s="447">
        <f t="shared" si="49"/>
        <v>857.94500000000016</v>
      </c>
      <c r="AG201" s="447">
        <f t="shared" si="50"/>
        <v>790.08600000000001</v>
      </c>
      <c r="AH201" s="448">
        <f t="shared" si="51"/>
        <v>833.6350000000001</v>
      </c>
    </row>
    <row r="202" spans="1:34" ht="16.5" thickBot="1">
      <c r="A202" s="429">
        <v>2018</v>
      </c>
      <c r="B202" s="426" t="s">
        <v>317</v>
      </c>
      <c r="C202" s="421" t="s">
        <v>309</v>
      </c>
      <c r="D202" s="421" t="s">
        <v>310</v>
      </c>
      <c r="E202" s="422" t="s">
        <v>306</v>
      </c>
      <c r="F202" s="423" t="s">
        <v>307</v>
      </c>
      <c r="G202" s="424" t="s">
        <v>214</v>
      </c>
      <c r="H202" s="449">
        <v>1724.87</v>
      </c>
      <c r="I202" s="449">
        <v>1686.31</v>
      </c>
      <c r="J202" s="449">
        <v>1642.8</v>
      </c>
      <c r="K202" s="449">
        <v>1540.21</v>
      </c>
      <c r="L202" s="449">
        <v>1505.85</v>
      </c>
      <c r="M202" s="449">
        <v>1466.98</v>
      </c>
      <c r="N202" s="449">
        <v>865.24</v>
      </c>
      <c r="O202" s="449">
        <v>2102.75</v>
      </c>
      <c r="P202" s="449">
        <v>1986.75</v>
      </c>
      <c r="Q202" s="449">
        <v>1886.32</v>
      </c>
      <c r="R202" s="449">
        <v>1247.93</v>
      </c>
      <c r="S202" s="449">
        <v>1149.21</v>
      </c>
      <c r="T202" s="450">
        <v>1212.55</v>
      </c>
      <c r="V202" s="449">
        <f t="shared" si="39"/>
        <v>1897.357</v>
      </c>
      <c r="W202" s="449">
        <f t="shared" si="40"/>
        <v>1854.941</v>
      </c>
      <c r="X202" s="449">
        <f t="shared" si="41"/>
        <v>1807.0800000000002</v>
      </c>
      <c r="Y202" s="449">
        <f t="shared" si="42"/>
        <v>1694.2310000000002</v>
      </c>
      <c r="Z202" s="449">
        <f t="shared" si="43"/>
        <v>1656.4349999999999</v>
      </c>
      <c r="AA202" s="449">
        <f t="shared" si="44"/>
        <v>1613.6780000000001</v>
      </c>
      <c r="AB202" s="449">
        <f t="shared" si="45"/>
        <v>951.76400000000012</v>
      </c>
      <c r="AC202" s="449">
        <f t="shared" si="46"/>
        <v>2313.0250000000001</v>
      </c>
      <c r="AD202" s="449">
        <f t="shared" si="47"/>
        <v>2185.4250000000002</v>
      </c>
      <c r="AE202" s="449">
        <f t="shared" si="48"/>
        <v>2074.9520000000002</v>
      </c>
      <c r="AF202" s="449">
        <f t="shared" si="49"/>
        <v>1372.7230000000002</v>
      </c>
      <c r="AG202" s="449">
        <f t="shared" si="50"/>
        <v>1264.1310000000001</v>
      </c>
      <c r="AH202" s="450">
        <f t="shared" si="51"/>
        <v>1333.8050000000001</v>
      </c>
    </row>
    <row r="203" spans="1:34">
      <c r="A203" s="427">
        <v>2018</v>
      </c>
      <c r="B203" s="425" t="s">
        <v>317</v>
      </c>
      <c r="C203" s="414" t="s">
        <v>311</v>
      </c>
      <c r="D203" s="414" t="s">
        <v>312</v>
      </c>
      <c r="E203" s="415" t="s">
        <v>306</v>
      </c>
      <c r="F203" s="416" t="s">
        <v>307</v>
      </c>
      <c r="G203" s="417" t="s">
        <v>211</v>
      </c>
      <c r="H203" s="445">
        <v>597.25</v>
      </c>
      <c r="I203" s="445">
        <v>583.9</v>
      </c>
      <c r="J203" s="445">
        <v>568.84</v>
      </c>
      <c r="K203" s="445">
        <v>533.30999999999995</v>
      </c>
      <c r="L203" s="445">
        <v>521.41999999999996</v>
      </c>
      <c r="M203" s="445">
        <v>507.95</v>
      </c>
      <c r="N203" s="445">
        <v>299.60000000000002</v>
      </c>
      <c r="O203" s="445">
        <v>728.1</v>
      </c>
      <c r="P203" s="445">
        <v>687.93</v>
      </c>
      <c r="Q203" s="445">
        <v>653.16</v>
      </c>
      <c r="R203" s="445">
        <v>432.11</v>
      </c>
      <c r="S203" s="445">
        <v>397.93</v>
      </c>
      <c r="T203" s="446">
        <v>419.86</v>
      </c>
      <c r="V203" s="445">
        <f t="shared" si="39"/>
        <v>656.97500000000002</v>
      </c>
      <c r="W203" s="445">
        <f t="shared" si="40"/>
        <v>642.29000000000008</v>
      </c>
      <c r="X203" s="445">
        <f t="shared" si="41"/>
        <v>625.72400000000005</v>
      </c>
      <c r="Y203" s="445">
        <f t="shared" si="42"/>
        <v>586.64099999999996</v>
      </c>
      <c r="Z203" s="445">
        <f t="shared" si="43"/>
        <v>573.56200000000001</v>
      </c>
      <c r="AA203" s="445">
        <f t="shared" si="44"/>
        <v>558.745</v>
      </c>
      <c r="AB203" s="445">
        <f t="shared" si="45"/>
        <v>329.56000000000006</v>
      </c>
      <c r="AC203" s="445">
        <f t="shared" si="46"/>
        <v>800.91000000000008</v>
      </c>
      <c r="AD203" s="445">
        <f t="shared" si="47"/>
        <v>756.72299999999996</v>
      </c>
      <c r="AE203" s="445">
        <f t="shared" si="48"/>
        <v>718.476</v>
      </c>
      <c r="AF203" s="445">
        <f t="shared" si="49"/>
        <v>475.32100000000003</v>
      </c>
      <c r="AG203" s="445">
        <f t="shared" si="50"/>
        <v>437.72300000000007</v>
      </c>
      <c r="AH203" s="446">
        <f t="shared" si="51"/>
        <v>461.84600000000006</v>
      </c>
    </row>
    <row r="204" spans="1:34">
      <c r="A204" s="428">
        <v>2018</v>
      </c>
      <c r="B204" s="152" t="s">
        <v>317</v>
      </c>
      <c r="C204" s="146" t="s">
        <v>311</v>
      </c>
      <c r="D204" s="146" t="s">
        <v>312</v>
      </c>
      <c r="E204" s="147" t="s">
        <v>306</v>
      </c>
      <c r="F204" s="148" t="s">
        <v>307</v>
      </c>
      <c r="G204" s="149" t="s">
        <v>212</v>
      </c>
      <c r="H204" s="447">
        <v>1307.99</v>
      </c>
      <c r="I204" s="447">
        <v>1278.74</v>
      </c>
      <c r="J204" s="447">
        <v>1245.76</v>
      </c>
      <c r="K204" s="447">
        <v>1167.96</v>
      </c>
      <c r="L204" s="447">
        <v>1141.9000000000001</v>
      </c>
      <c r="M204" s="447">
        <v>1112.42</v>
      </c>
      <c r="N204" s="447">
        <v>656.13</v>
      </c>
      <c r="O204" s="447">
        <v>1594.54</v>
      </c>
      <c r="P204" s="447">
        <v>1506.58</v>
      </c>
      <c r="Q204" s="447">
        <v>1430.41</v>
      </c>
      <c r="R204" s="447">
        <v>946.32</v>
      </c>
      <c r="S204" s="447">
        <v>871.46</v>
      </c>
      <c r="T204" s="448">
        <v>919.49</v>
      </c>
      <c r="V204" s="447">
        <f t="shared" si="39"/>
        <v>1438.7890000000002</v>
      </c>
      <c r="W204" s="447">
        <f t="shared" si="40"/>
        <v>1406.614</v>
      </c>
      <c r="X204" s="447">
        <f t="shared" si="41"/>
        <v>1370.336</v>
      </c>
      <c r="Y204" s="447">
        <f t="shared" si="42"/>
        <v>1284.7560000000001</v>
      </c>
      <c r="Z204" s="447">
        <f t="shared" si="43"/>
        <v>1256.0900000000001</v>
      </c>
      <c r="AA204" s="447">
        <f t="shared" si="44"/>
        <v>1223.6620000000003</v>
      </c>
      <c r="AB204" s="447">
        <f t="shared" si="45"/>
        <v>721.74300000000005</v>
      </c>
      <c r="AC204" s="447">
        <f t="shared" si="46"/>
        <v>1753.9940000000001</v>
      </c>
      <c r="AD204" s="447">
        <f t="shared" si="47"/>
        <v>1657.2380000000001</v>
      </c>
      <c r="AE204" s="447">
        <f t="shared" si="48"/>
        <v>1573.4510000000002</v>
      </c>
      <c r="AF204" s="447">
        <f t="shared" si="49"/>
        <v>1040.9520000000002</v>
      </c>
      <c r="AG204" s="447">
        <f t="shared" si="50"/>
        <v>958.60600000000011</v>
      </c>
      <c r="AH204" s="448">
        <f t="shared" si="51"/>
        <v>1011.4390000000001</v>
      </c>
    </row>
    <row r="205" spans="1:34">
      <c r="A205" s="428">
        <v>2018</v>
      </c>
      <c r="B205" s="152" t="s">
        <v>317</v>
      </c>
      <c r="C205" s="146" t="s">
        <v>311</v>
      </c>
      <c r="D205" s="146" t="s">
        <v>312</v>
      </c>
      <c r="E205" s="147" t="s">
        <v>306</v>
      </c>
      <c r="F205" s="148" t="s">
        <v>307</v>
      </c>
      <c r="G205" s="149" t="s">
        <v>213</v>
      </c>
      <c r="H205" s="447">
        <v>1134.79</v>
      </c>
      <c r="I205" s="447">
        <v>1109.4100000000001</v>
      </c>
      <c r="J205" s="447">
        <v>1080.79</v>
      </c>
      <c r="K205" s="447">
        <v>1013.29</v>
      </c>
      <c r="L205" s="447">
        <v>990.7</v>
      </c>
      <c r="M205" s="447">
        <v>965.11</v>
      </c>
      <c r="N205" s="447">
        <v>569.24</v>
      </c>
      <c r="O205" s="447">
        <v>1383.39</v>
      </c>
      <c r="P205" s="447">
        <v>1307.08</v>
      </c>
      <c r="Q205" s="447">
        <v>1241</v>
      </c>
      <c r="R205" s="447">
        <v>821</v>
      </c>
      <c r="S205" s="447">
        <v>756.07</v>
      </c>
      <c r="T205" s="448">
        <v>797.73</v>
      </c>
      <c r="V205" s="447">
        <f t="shared" si="39"/>
        <v>1248.269</v>
      </c>
      <c r="W205" s="447">
        <f t="shared" si="40"/>
        <v>1220.3510000000001</v>
      </c>
      <c r="X205" s="447">
        <f t="shared" si="41"/>
        <v>1188.8690000000001</v>
      </c>
      <c r="Y205" s="447">
        <f t="shared" si="42"/>
        <v>1114.6190000000001</v>
      </c>
      <c r="Z205" s="447">
        <f t="shared" si="43"/>
        <v>1089.7700000000002</v>
      </c>
      <c r="AA205" s="447">
        <f t="shared" si="44"/>
        <v>1061.6210000000001</v>
      </c>
      <c r="AB205" s="447">
        <f t="shared" si="45"/>
        <v>626.1640000000001</v>
      </c>
      <c r="AC205" s="447">
        <f t="shared" si="46"/>
        <v>1521.7290000000003</v>
      </c>
      <c r="AD205" s="447">
        <f t="shared" si="47"/>
        <v>1437.788</v>
      </c>
      <c r="AE205" s="447">
        <f t="shared" si="48"/>
        <v>1365.1000000000001</v>
      </c>
      <c r="AF205" s="447">
        <f t="shared" si="49"/>
        <v>903.1</v>
      </c>
      <c r="AG205" s="447">
        <f t="shared" si="50"/>
        <v>831.67700000000013</v>
      </c>
      <c r="AH205" s="448">
        <f t="shared" si="51"/>
        <v>877.50300000000004</v>
      </c>
    </row>
    <row r="206" spans="1:34" ht="16.5" thickBot="1">
      <c r="A206" s="429">
        <v>2018</v>
      </c>
      <c r="B206" s="426" t="s">
        <v>317</v>
      </c>
      <c r="C206" s="421" t="s">
        <v>311</v>
      </c>
      <c r="D206" s="421" t="s">
        <v>312</v>
      </c>
      <c r="E206" s="422" t="s">
        <v>306</v>
      </c>
      <c r="F206" s="423" t="s">
        <v>307</v>
      </c>
      <c r="G206" s="424" t="s">
        <v>214</v>
      </c>
      <c r="H206" s="449">
        <v>1815.66</v>
      </c>
      <c r="I206" s="449">
        <v>1775.07</v>
      </c>
      <c r="J206" s="449">
        <v>1729.26</v>
      </c>
      <c r="K206" s="449">
        <v>1621.27</v>
      </c>
      <c r="L206" s="449">
        <v>1585.11</v>
      </c>
      <c r="M206" s="449">
        <v>1544.19</v>
      </c>
      <c r="N206" s="449">
        <v>910.78</v>
      </c>
      <c r="O206" s="449">
        <v>2213.42</v>
      </c>
      <c r="P206" s="449">
        <v>2091.3200000000002</v>
      </c>
      <c r="Q206" s="449">
        <v>1985.6</v>
      </c>
      <c r="R206" s="449">
        <v>1313.61</v>
      </c>
      <c r="S206" s="449">
        <v>1209.7</v>
      </c>
      <c r="T206" s="450">
        <v>1276.3699999999999</v>
      </c>
      <c r="V206" s="449">
        <f t="shared" si="39"/>
        <v>1997.2260000000003</v>
      </c>
      <c r="W206" s="449">
        <f t="shared" si="40"/>
        <v>1952.577</v>
      </c>
      <c r="X206" s="449">
        <f t="shared" si="41"/>
        <v>1902.1860000000001</v>
      </c>
      <c r="Y206" s="449">
        <f t="shared" si="42"/>
        <v>1783.3970000000002</v>
      </c>
      <c r="Z206" s="449">
        <f t="shared" si="43"/>
        <v>1743.6210000000001</v>
      </c>
      <c r="AA206" s="449">
        <f t="shared" si="44"/>
        <v>1698.6090000000002</v>
      </c>
      <c r="AB206" s="449">
        <f t="shared" si="45"/>
        <v>1001.8580000000001</v>
      </c>
      <c r="AC206" s="449">
        <f t="shared" si="46"/>
        <v>2434.7620000000002</v>
      </c>
      <c r="AD206" s="449">
        <f t="shared" si="47"/>
        <v>2300.4520000000002</v>
      </c>
      <c r="AE206" s="449">
        <f t="shared" si="48"/>
        <v>2184.16</v>
      </c>
      <c r="AF206" s="449">
        <f t="shared" si="49"/>
        <v>1444.971</v>
      </c>
      <c r="AG206" s="449">
        <f t="shared" si="50"/>
        <v>1330.67</v>
      </c>
      <c r="AH206" s="450">
        <f t="shared" si="51"/>
        <v>1404.0070000000001</v>
      </c>
    </row>
    <row r="207" spans="1:34">
      <c r="A207" s="427">
        <v>2018</v>
      </c>
      <c r="B207" s="425" t="s">
        <v>317</v>
      </c>
      <c r="C207" s="414" t="s">
        <v>313</v>
      </c>
      <c r="D207" s="414" t="s">
        <v>314</v>
      </c>
      <c r="E207" s="415" t="s">
        <v>306</v>
      </c>
      <c r="F207" s="416" t="s">
        <v>307</v>
      </c>
      <c r="G207" s="417" t="s">
        <v>211</v>
      </c>
      <c r="H207" s="445">
        <v>686.84</v>
      </c>
      <c r="I207" s="445">
        <v>671.49</v>
      </c>
      <c r="J207" s="445">
        <v>654.16</v>
      </c>
      <c r="K207" s="445">
        <v>613.30999999999995</v>
      </c>
      <c r="L207" s="445">
        <v>599.63</v>
      </c>
      <c r="M207" s="445">
        <v>584.15</v>
      </c>
      <c r="N207" s="445">
        <v>344.54</v>
      </c>
      <c r="O207" s="445">
        <v>837.31</v>
      </c>
      <c r="P207" s="445">
        <v>791.12</v>
      </c>
      <c r="Q207" s="445">
        <v>751.13</v>
      </c>
      <c r="R207" s="445">
        <v>496.93</v>
      </c>
      <c r="S207" s="445">
        <v>457.62</v>
      </c>
      <c r="T207" s="446">
        <v>482.84</v>
      </c>
      <c r="V207" s="445">
        <f t="shared" si="39"/>
        <v>755.52400000000011</v>
      </c>
      <c r="W207" s="445">
        <f t="shared" si="40"/>
        <v>738.63900000000012</v>
      </c>
      <c r="X207" s="445">
        <f t="shared" si="41"/>
        <v>719.57600000000002</v>
      </c>
      <c r="Y207" s="445">
        <f t="shared" si="42"/>
        <v>674.64099999999996</v>
      </c>
      <c r="Z207" s="445">
        <f t="shared" si="43"/>
        <v>659.59300000000007</v>
      </c>
      <c r="AA207" s="445">
        <f t="shared" si="44"/>
        <v>642.56500000000005</v>
      </c>
      <c r="AB207" s="445">
        <f t="shared" si="45"/>
        <v>378.99400000000003</v>
      </c>
      <c r="AC207" s="445">
        <f t="shared" si="46"/>
        <v>921.04100000000005</v>
      </c>
      <c r="AD207" s="445">
        <f t="shared" si="47"/>
        <v>870.23200000000008</v>
      </c>
      <c r="AE207" s="445">
        <f t="shared" si="48"/>
        <v>826.24300000000005</v>
      </c>
      <c r="AF207" s="445">
        <f t="shared" si="49"/>
        <v>546.62300000000005</v>
      </c>
      <c r="AG207" s="445">
        <f t="shared" si="50"/>
        <v>503.38200000000006</v>
      </c>
      <c r="AH207" s="446">
        <f t="shared" si="51"/>
        <v>531.12400000000002</v>
      </c>
    </row>
    <row r="208" spans="1:34">
      <c r="A208" s="428">
        <v>2018</v>
      </c>
      <c r="B208" s="152" t="s">
        <v>317</v>
      </c>
      <c r="C208" s="146" t="s">
        <v>313</v>
      </c>
      <c r="D208" s="146" t="s">
        <v>314</v>
      </c>
      <c r="E208" s="147" t="s">
        <v>306</v>
      </c>
      <c r="F208" s="148" t="s">
        <v>307</v>
      </c>
      <c r="G208" s="149" t="s">
        <v>212</v>
      </c>
      <c r="H208" s="447">
        <v>1504.19</v>
      </c>
      <c r="I208" s="447">
        <v>1470.56</v>
      </c>
      <c r="J208" s="447">
        <v>1432.63</v>
      </c>
      <c r="K208" s="447">
        <v>1343.15</v>
      </c>
      <c r="L208" s="447">
        <v>1313.18</v>
      </c>
      <c r="M208" s="447">
        <v>1279.28</v>
      </c>
      <c r="N208" s="447">
        <v>754.55</v>
      </c>
      <c r="O208" s="447">
        <v>1833.72</v>
      </c>
      <c r="P208" s="447">
        <v>1732.56</v>
      </c>
      <c r="Q208" s="447">
        <v>1644.97</v>
      </c>
      <c r="R208" s="447">
        <v>1088.27</v>
      </c>
      <c r="S208" s="447">
        <v>1002.18</v>
      </c>
      <c r="T208" s="448">
        <v>1057.4100000000001</v>
      </c>
      <c r="V208" s="447">
        <f t="shared" si="39"/>
        <v>1654.6090000000002</v>
      </c>
      <c r="W208" s="447">
        <f t="shared" si="40"/>
        <v>1617.616</v>
      </c>
      <c r="X208" s="447">
        <f t="shared" si="41"/>
        <v>1575.8930000000003</v>
      </c>
      <c r="Y208" s="447">
        <f t="shared" si="42"/>
        <v>1477.4650000000001</v>
      </c>
      <c r="Z208" s="447">
        <f t="shared" si="43"/>
        <v>1444.4980000000003</v>
      </c>
      <c r="AA208" s="447">
        <f t="shared" si="44"/>
        <v>1407.2080000000001</v>
      </c>
      <c r="AB208" s="447">
        <f t="shared" si="45"/>
        <v>830.005</v>
      </c>
      <c r="AC208" s="447">
        <f t="shared" si="46"/>
        <v>2017.0920000000001</v>
      </c>
      <c r="AD208" s="447">
        <f t="shared" si="47"/>
        <v>1905.816</v>
      </c>
      <c r="AE208" s="447">
        <f t="shared" si="48"/>
        <v>1809.4670000000001</v>
      </c>
      <c r="AF208" s="447">
        <f t="shared" si="49"/>
        <v>1197.097</v>
      </c>
      <c r="AG208" s="447">
        <f t="shared" si="50"/>
        <v>1102.3980000000001</v>
      </c>
      <c r="AH208" s="448">
        <f t="shared" si="51"/>
        <v>1163.1510000000003</v>
      </c>
    </row>
    <row r="209" spans="1:34">
      <c r="A209" s="428">
        <v>2018</v>
      </c>
      <c r="B209" s="152" t="s">
        <v>317</v>
      </c>
      <c r="C209" s="146" t="s">
        <v>313</v>
      </c>
      <c r="D209" s="146" t="s">
        <v>314</v>
      </c>
      <c r="E209" s="147" t="s">
        <v>306</v>
      </c>
      <c r="F209" s="148" t="s">
        <v>307</v>
      </c>
      <c r="G209" s="149" t="s">
        <v>213</v>
      </c>
      <c r="H209" s="447">
        <v>1305.01</v>
      </c>
      <c r="I209" s="447">
        <v>1275.82</v>
      </c>
      <c r="J209" s="447">
        <v>1242.9100000000001</v>
      </c>
      <c r="K209" s="447">
        <v>1165.29</v>
      </c>
      <c r="L209" s="447">
        <v>1139.3</v>
      </c>
      <c r="M209" s="447">
        <v>1109.8800000000001</v>
      </c>
      <c r="N209" s="447">
        <v>654.63</v>
      </c>
      <c r="O209" s="447">
        <v>1590.9</v>
      </c>
      <c r="P209" s="447">
        <v>1503.14</v>
      </c>
      <c r="Q209" s="447">
        <v>1427.15</v>
      </c>
      <c r="R209" s="447">
        <v>944.16</v>
      </c>
      <c r="S209" s="447">
        <v>869.48</v>
      </c>
      <c r="T209" s="448">
        <v>917.4</v>
      </c>
      <c r="V209" s="447">
        <f t="shared" si="39"/>
        <v>1435.5110000000002</v>
      </c>
      <c r="W209" s="447">
        <f t="shared" si="40"/>
        <v>1403.402</v>
      </c>
      <c r="X209" s="447">
        <f t="shared" si="41"/>
        <v>1367.2010000000002</v>
      </c>
      <c r="Y209" s="447">
        <f t="shared" si="42"/>
        <v>1281.819</v>
      </c>
      <c r="Z209" s="447">
        <f t="shared" si="43"/>
        <v>1253.23</v>
      </c>
      <c r="AA209" s="447">
        <f t="shared" si="44"/>
        <v>1220.8680000000002</v>
      </c>
      <c r="AB209" s="447">
        <f t="shared" si="45"/>
        <v>720.09300000000007</v>
      </c>
      <c r="AC209" s="447">
        <f t="shared" si="46"/>
        <v>1749.9900000000002</v>
      </c>
      <c r="AD209" s="447">
        <f t="shared" si="47"/>
        <v>1653.4540000000002</v>
      </c>
      <c r="AE209" s="447">
        <f t="shared" si="48"/>
        <v>1569.8650000000002</v>
      </c>
      <c r="AF209" s="447">
        <f t="shared" si="49"/>
        <v>1038.576</v>
      </c>
      <c r="AG209" s="447">
        <f t="shared" si="50"/>
        <v>956.42800000000011</v>
      </c>
      <c r="AH209" s="448">
        <f t="shared" si="51"/>
        <v>1009.1400000000001</v>
      </c>
    </row>
    <row r="210" spans="1:34" ht="16.5" thickBot="1">
      <c r="A210" s="429">
        <v>2018</v>
      </c>
      <c r="B210" s="426" t="s">
        <v>317</v>
      </c>
      <c r="C210" s="421" t="s">
        <v>313</v>
      </c>
      <c r="D210" s="421" t="s">
        <v>314</v>
      </c>
      <c r="E210" s="422" t="s">
        <v>306</v>
      </c>
      <c r="F210" s="423" t="s">
        <v>307</v>
      </c>
      <c r="G210" s="424" t="s">
        <v>214</v>
      </c>
      <c r="H210" s="449">
        <v>2088.0100000000002</v>
      </c>
      <c r="I210" s="449">
        <v>2041.32</v>
      </c>
      <c r="J210" s="449">
        <v>1988.65</v>
      </c>
      <c r="K210" s="449">
        <v>1864.46</v>
      </c>
      <c r="L210" s="449">
        <v>1822.87</v>
      </c>
      <c r="M210" s="449">
        <v>1775.81</v>
      </c>
      <c r="N210" s="449">
        <v>1047.4000000000001</v>
      </c>
      <c r="O210" s="449">
        <v>2545.44</v>
      </c>
      <c r="P210" s="449">
        <v>2405.02</v>
      </c>
      <c r="Q210" s="449">
        <v>2283.44</v>
      </c>
      <c r="R210" s="449">
        <v>1510.65</v>
      </c>
      <c r="S210" s="449">
        <v>1391.15</v>
      </c>
      <c r="T210" s="450">
        <v>1467.82</v>
      </c>
      <c r="V210" s="449">
        <f t="shared" si="39"/>
        <v>2296.8110000000006</v>
      </c>
      <c r="W210" s="449">
        <f t="shared" si="40"/>
        <v>2245.4520000000002</v>
      </c>
      <c r="X210" s="449">
        <f t="shared" si="41"/>
        <v>2187.5150000000003</v>
      </c>
      <c r="Y210" s="449">
        <f t="shared" si="42"/>
        <v>2050.9060000000004</v>
      </c>
      <c r="Z210" s="449">
        <f t="shared" si="43"/>
        <v>2005.1570000000002</v>
      </c>
      <c r="AA210" s="449">
        <f t="shared" si="44"/>
        <v>1953.3910000000001</v>
      </c>
      <c r="AB210" s="449">
        <f t="shared" si="45"/>
        <v>1152.1400000000001</v>
      </c>
      <c r="AC210" s="449">
        <f t="shared" si="46"/>
        <v>2799.9840000000004</v>
      </c>
      <c r="AD210" s="449">
        <f t="shared" si="47"/>
        <v>2645.5220000000004</v>
      </c>
      <c r="AE210" s="449">
        <f t="shared" si="48"/>
        <v>2511.7840000000001</v>
      </c>
      <c r="AF210" s="449">
        <f t="shared" si="49"/>
        <v>1661.7150000000001</v>
      </c>
      <c r="AG210" s="449">
        <f t="shared" si="50"/>
        <v>1530.2650000000003</v>
      </c>
      <c r="AH210" s="450">
        <f t="shared" si="51"/>
        <v>1614.6020000000001</v>
      </c>
    </row>
    <row r="211" spans="1:34">
      <c r="A211" s="427">
        <v>2018</v>
      </c>
      <c r="B211" s="425" t="s">
        <v>317</v>
      </c>
      <c r="C211" s="414" t="s">
        <v>304</v>
      </c>
      <c r="D211" s="414" t="s">
        <v>305</v>
      </c>
      <c r="E211" s="415" t="s">
        <v>306</v>
      </c>
      <c r="F211" s="432" t="s">
        <v>315</v>
      </c>
      <c r="G211" s="417" t="s">
        <v>211</v>
      </c>
      <c r="H211" s="445">
        <v>516.33000000000004</v>
      </c>
      <c r="I211" s="445">
        <v>504.78</v>
      </c>
      <c r="J211" s="445">
        <v>491.76</v>
      </c>
      <c r="K211" s="445">
        <v>461.05</v>
      </c>
      <c r="L211" s="445">
        <v>450.76</v>
      </c>
      <c r="M211" s="445">
        <v>439.13</v>
      </c>
      <c r="N211" s="445">
        <v>259.01</v>
      </c>
      <c r="O211" s="445">
        <v>651.47</v>
      </c>
      <c r="P211" s="445">
        <v>615.53</v>
      </c>
      <c r="Q211" s="445">
        <v>584.41999999999996</v>
      </c>
      <c r="R211" s="445">
        <v>386.63</v>
      </c>
      <c r="S211" s="445">
        <v>356.05</v>
      </c>
      <c r="T211" s="446">
        <v>375.67</v>
      </c>
      <c r="V211" s="445">
        <f t="shared" si="39"/>
        <v>567.96300000000008</v>
      </c>
      <c r="W211" s="445">
        <f t="shared" si="40"/>
        <v>555.25800000000004</v>
      </c>
      <c r="X211" s="445">
        <f t="shared" si="41"/>
        <v>540.93600000000004</v>
      </c>
      <c r="Y211" s="445">
        <f t="shared" si="42"/>
        <v>507.15500000000003</v>
      </c>
      <c r="Z211" s="445">
        <f t="shared" si="43"/>
        <v>495.83600000000001</v>
      </c>
      <c r="AA211" s="445">
        <f t="shared" si="44"/>
        <v>483.04300000000001</v>
      </c>
      <c r="AB211" s="445">
        <f t="shared" si="45"/>
        <v>284.911</v>
      </c>
      <c r="AC211" s="445">
        <f t="shared" si="46"/>
        <v>716.61700000000008</v>
      </c>
      <c r="AD211" s="445">
        <f t="shared" si="47"/>
        <v>677.08299999999997</v>
      </c>
      <c r="AE211" s="445">
        <f t="shared" si="48"/>
        <v>642.86199999999997</v>
      </c>
      <c r="AF211" s="445">
        <f t="shared" si="49"/>
        <v>425.29300000000001</v>
      </c>
      <c r="AG211" s="445">
        <f t="shared" si="50"/>
        <v>391.65500000000003</v>
      </c>
      <c r="AH211" s="446">
        <f t="shared" si="51"/>
        <v>413.23700000000002</v>
      </c>
    </row>
    <row r="212" spans="1:34">
      <c r="A212" s="428">
        <v>2018</v>
      </c>
      <c r="B212" s="152" t="s">
        <v>317</v>
      </c>
      <c r="C212" s="146" t="s">
        <v>304</v>
      </c>
      <c r="D212" s="146" t="s">
        <v>305</v>
      </c>
      <c r="E212" s="147" t="s">
        <v>306</v>
      </c>
      <c r="F212" s="433" t="s">
        <v>315</v>
      </c>
      <c r="G212" s="149" t="s">
        <v>212</v>
      </c>
      <c r="H212" s="447">
        <v>1130.76</v>
      </c>
      <c r="I212" s="447">
        <v>1105.47</v>
      </c>
      <c r="J212" s="447">
        <v>1076.96</v>
      </c>
      <c r="K212" s="447">
        <v>1009.7</v>
      </c>
      <c r="L212" s="447">
        <v>987.17</v>
      </c>
      <c r="M212" s="447">
        <v>961.69</v>
      </c>
      <c r="N212" s="447">
        <v>567.22</v>
      </c>
      <c r="O212" s="447">
        <v>1426.73</v>
      </c>
      <c r="P212" s="447">
        <v>1348.02</v>
      </c>
      <c r="Q212" s="447">
        <v>1279.8699999999999</v>
      </c>
      <c r="R212" s="447">
        <v>846.73</v>
      </c>
      <c r="S212" s="447">
        <v>779.74</v>
      </c>
      <c r="T212" s="448">
        <v>822.72</v>
      </c>
      <c r="V212" s="447">
        <f t="shared" si="39"/>
        <v>1243.836</v>
      </c>
      <c r="W212" s="447">
        <f t="shared" si="40"/>
        <v>1216.0170000000001</v>
      </c>
      <c r="X212" s="447">
        <f t="shared" si="41"/>
        <v>1184.6560000000002</v>
      </c>
      <c r="Y212" s="447">
        <f t="shared" si="42"/>
        <v>1110.67</v>
      </c>
      <c r="Z212" s="447">
        <f t="shared" si="43"/>
        <v>1085.8869999999999</v>
      </c>
      <c r="AA212" s="447">
        <f t="shared" si="44"/>
        <v>1057.8590000000002</v>
      </c>
      <c r="AB212" s="447">
        <f t="shared" si="45"/>
        <v>623.94200000000012</v>
      </c>
      <c r="AC212" s="447">
        <f t="shared" si="46"/>
        <v>1569.4030000000002</v>
      </c>
      <c r="AD212" s="447">
        <f t="shared" si="47"/>
        <v>1482.8220000000001</v>
      </c>
      <c r="AE212" s="447">
        <f t="shared" si="48"/>
        <v>1407.857</v>
      </c>
      <c r="AF212" s="447">
        <f t="shared" si="49"/>
        <v>931.40300000000013</v>
      </c>
      <c r="AG212" s="447">
        <f t="shared" si="50"/>
        <v>857.71400000000006</v>
      </c>
      <c r="AH212" s="448">
        <f t="shared" si="51"/>
        <v>904.99200000000008</v>
      </c>
    </row>
    <row r="213" spans="1:34">
      <c r="A213" s="428">
        <v>2018</v>
      </c>
      <c r="B213" s="152" t="s">
        <v>317</v>
      </c>
      <c r="C213" s="146" t="s">
        <v>304</v>
      </c>
      <c r="D213" s="146" t="s">
        <v>305</v>
      </c>
      <c r="E213" s="147" t="s">
        <v>306</v>
      </c>
      <c r="F213" s="433" t="s">
        <v>315</v>
      </c>
      <c r="G213" s="149" t="s">
        <v>213</v>
      </c>
      <c r="H213" s="447">
        <v>981.02</v>
      </c>
      <c r="I213" s="447">
        <v>959.09</v>
      </c>
      <c r="J213" s="447">
        <v>934.34</v>
      </c>
      <c r="K213" s="447">
        <v>875.99</v>
      </c>
      <c r="L213" s="447">
        <v>856.46</v>
      </c>
      <c r="M213" s="447">
        <v>834.34</v>
      </c>
      <c r="N213" s="447">
        <v>492.11</v>
      </c>
      <c r="O213" s="447">
        <v>1237.8</v>
      </c>
      <c r="P213" s="447">
        <v>1169.52</v>
      </c>
      <c r="Q213" s="447">
        <v>1110.3900000000001</v>
      </c>
      <c r="R213" s="447">
        <v>734.6</v>
      </c>
      <c r="S213" s="447">
        <v>676.5</v>
      </c>
      <c r="T213" s="448">
        <v>713.78</v>
      </c>
      <c r="V213" s="447">
        <f t="shared" si="39"/>
        <v>1079.1220000000001</v>
      </c>
      <c r="W213" s="447">
        <f t="shared" si="40"/>
        <v>1054.999</v>
      </c>
      <c r="X213" s="447">
        <f t="shared" si="41"/>
        <v>1027.7740000000001</v>
      </c>
      <c r="Y213" s="447">
        <f t="shared" si="42"/>
        <v>963.58900000000006</v>
      </c>
      <c r="Z213" s="447">
        <f t="shared" si="43"/>
        <v>942.10600000000011</v>
      </c>
      <c r="AA213" s="447">
        <f t="shared" si="44"/>
        <v>917.77400000000011</v>
      </c>
      <c r="AB213" s="447">
        <f t="shared" si="45"/>
        <v>541.32100000000003</v>
      </c>
      <c r="AC213" s="447">
        <f t="shared" si="46"/>
        <v>1361.5800000000002</v>
      </c>
      <c r="AD213" s="447">
        <f t="shared" si="47"/>
        <v>1286.472</v>
      </c>
      <c r="AE213" s="447">
        <f t="shared" si="48"/>
        <v>1221.4290000000003</v>
      </c>
      <c r="AF213" s="447">
        <f t="shared" si="49"/>
        <v>808.06000000000006</v>
      </c>
      <c r="AG213" s="447">
        <f t="shared" si="50"/>
        <v>744.15000000000009</v>
      </c>
      <c r="AH213" s="448">
        <f t="shared" si="51"/>
        <v>785.15800000000002</v>
      </c>
    </row>
    <row r="214" spans="1:34" ht="16.5" thickBot="1">
      <c r="A214" s="429">
        <v>2018</v>
      </c>
      <c r="B214" s="426" t="s">
        <v>317</v>
      </c>
      <c r="C214" s="421" t="s">
        <v>304</v>
      </c>
      <c r="D214" s="421" t="s">
        <v>305</v>
      </c>
      <c r="E214" s="422" t="s">
        <v>306</v>
      </c>
      <c r="F214" s="434" t="s">
        <v>315</v>
      </c>
      <c r="G214" s="424" t="s">
        <v>214</v>
      </c>
      <c r="H214" s="449">
        <v>1569.64</v>
      </c>
      <c r="I214" s="449">
        <v>1534.54</v>
      </c>
      <c r="J214" s="449">
        <v>1494.95</v>
      </c>
      <c r="K214" s="449">
        <v>1401.59</v>
      </c>
      <c r="L214" s="449">
        <v>1370.33</v>
      </c>
      <c r="M214" s="449">
        <v>1334.95</v>
      </c>
      <c r="N214" s="449">
        <v>787.37</v>
      </c>
      <c r="O214" s="449">
        <v>1980.48</v>
      </c>
      <c r="P214" s="449">
        <v>1871.22</v>
      </c>
      <c r="Q214" s="449">
        <v>1776.63</v>
      </c>
      <c r="R214" s="449">
        <v>1175.3599999999999</v>
      </c>
      <c r="S214" s="449">
        <v>1082.3900000000001</v>
      </c>
      <c r="T214" s="450">
        <v>1142.04</v>
      </c>
      <c r="V214" s="449">
        <f t="shared" si="39"/>
        <v>1726.6040000000003</v>
      </c>
      <c r="W214" s="449">
        <f t="shared" si="40"/>
        <v>1687.9940000000001</v>
      </c>
      <c r="X214" s="449">
        <f t="shared" si="41"/>
        <v>1644.4450000000002</v>
      </c>
      <c r="Y214" s="449">
        <f t="shared" si="42"/>
        <v>1541.749</v>
      </c>
      <c r="Z214" s="449">
        <f t="shared" si="43"/>
        <v>1507.3630000000001</v>
      </c>
      <c r="AA214" s="449">
        <f t="shared" si="44"/>
        <v>1468.4450000000002</v>
      </c>
      <c r="AB214" s="449">
        <f t="shared" si="45"/>
        <v>866.10700000000008</v>
      </c>
      <c r="AC214" s="449">
        <f t="shared" si="46"/>
        <v>2178.5280000000002</v>
      </c>
      <c r="AD214" s="449">
        <f t="shared" si="47"/>
        <v>2058.3420000000001</v>
      </c>
      <c r="AE214" s="449">
        <f t="shared" si="48"/>
        <v>1954.2930000000003</v>
      </c>
      <c r="AF214" s="449">
        <f t="shared" si="49"/>
        <v>1292.896</v>
      </c>
      <c r="AG214" s="449">
        <f t="shared" si="50"/>
        <v>1190.6290000000001</v>
      </c>
      <c r="AH214" s="450">
        <f t="shared" si="51"/>
        <v>1256.2440000000001</v>
      </c>
    </row>
    <row r="215" spans="1:34">
      <c r="A215" s="427">
        <v>2018</v>
      </c>
      <c r="B215" s="425" t="s">
        <v>317</v>
      </c>
      <c r="C215" s="414" t="s">
        <v>309</v>
      </c>
      <c r="D215" s="414" t="s">
        <v>310</v>
      </c>
      <c r="E215" s="415" t="s">
        <v>306</v>
      </c>
      <c r="F215" s="432" t="s">
        <v>315</v>
      </c>
      <c r="G215" s="417" t="s">
        <v>211</v>
      </c>
      <c r="H215" s="445">
        <v>567.39</v>
      </c>
      <c r="I215" s="445">
        <v>554.71</v>
      </c>
      <c r="J215" s="445">
        <v>540.4</v>
      </c>
      <c r="K215" s="445">
        <v>506.65</v>
      </c>
      <c r="L215" s="445">
        <v>495.35</v>
      </c>
      <c r="M215" s="445">
        <v>482.56</v>
      </c>
      <c r="N215" s="445">
        <v>284.62</v>
      </c>
      <c r="O215" s="445">
        <v>715.9</v>
      </c>
      <c r="P215" s="445">
        <v>676.41</v>
      </c>
      <c r="Q215" s="445">
        <v>642.22</v>
      </c>
      <c r="R215" s="445">
        <v>424.87</v>
      </c>
      <c r="S215" s="445">
        <v>391.26</v>
      </c>
      <c r="T215" s="446">
        <v>412.83</v>
      </c>
      <c r="V215" s="445">
        <f t="shared" si="39"/>
        <v>624.12900000000002</v>
      </c>
      <c r="W215" s="445">
        <f t="shared" si="40"/>
        <v>610.18100000000004</v>
      </c>
      <c r="X215" s="445">
        <f t="shared" si="41"/>
        <v>594.44000000000005</v>
      </c>
      <c r="Y215" s="445">
        <f t="shared" si="42"/>
        <v>557.31500000000005</v>
      </c>
      <c r="Z215" s="445">
        <f t="shared" si="43"/>
        <v>544.8850000000001</v>
      </c>
      <c r="AA215" s="445">
        <f t="shared" si="44"/>
        <v>530.81600000000003</v>
      </c>
      <c r="AB215" s="445">
        <f t="shared" si="45"/>
        <v>313.08200000000005</v>
      </c>
      <c r="AC215" s="445">
        <f t="shared" si="46"/>
        <v>787.49</v>
      </c>
      <c r="AD215" s="445">
        <f t="shared" si="47"/>
        <v>744.05100000000004</v>
      </c>
      <c r="AE215" s="445">
        <f t="shared" si="48"/>
        <v>706.44200000000012</v>
      </c>
      <c r="AF215" s="445">
        <f t="shared" si="49"/>
        <v>467.35700000000003</v>
      </c>
      <c r="AG215" s="445">
        <f t="shared" si="50"/>
        <v>430.38600000000002</v>
      </c>
      <c r="AH215" s="446">
        <f t="shared" si="51"/>
        <v>454.113</v>
      </c>
    </row>
    <row r="216" spans="1:34">
      <c r="A216" s="428">
        <v>2018</v>
      </c>
      <c r="B216" s="152" t="s">
        <v>317</v>
      </c>
      <c r="C216" s="146" t="s">
        <v>309</v>
      </c>
      <c r="D216" s="146" t="s">
        <v>310</v>
      </c>
      <c r="E216" s="147" t="s">
        <v>306</v>
      </c>
      <c r="F216" s="433" t="s">
        <v>315</v>
      </c>
      <c r="G216" s="149" t="s">
        <v>212</v>
      </c>
      <c r="H216" s="447">
        <v>1242.5899999999999</v>
      </c>
      <c r="I216" s="447">
        <v>1214.81</v>
      </c>
      <c r="J216" s="447">
        <v>1183.47</v>
      </c>
      <c r="K216" s="447">
        <v>1109.56</v>
      </c>
      <c r="L216" s="447">
        <v>1084.8</v>
      </c>
      <c r="M216" s="447">
        <v>1056.8</v>
      </c>
      <c r="N216" s="447">
        <v>623.32000000000005</v>
      </c>
      <c r="O216" s="447">
        <v>1567.83</v>
      </c>
      <c r="P216" s="447">
        <v>1481.34</v>
      </c>
      <c r="Q216" s="447">
        <v>1406.45</v>
      </c>
      <c r="R216" s="447">
        <v>930.47</v>
      </c>
      <c r="S216" s="447">
        <v>856.86</v>
      </c>
      <c r="T216" s="448">
        <v>904.08</v>
      </c>
      <c r="V216" s="447">
        <f t="shared" si="39"/>
        <v>1366.8489999999999</v>
      </c>
      <c r="W216" s="447">
        <f t="shared" si="40"/>
        <v>1336.2909999999999</v>
      </c>
      <c r="X216" s="447">
        <f t="shared" si="41"/>
        <v>1301.8170000000002</v>
      </c>
      <c r="Y216" s="447">
        <f t="shared" si="42"/>
        <v>1220.5160000000001</v>
      </c>
      <c r="Z216" s="447">
        <f t="shared" si="43"/>
        <v>1193.28</v>
      </c>
      <c r="AA216" s="447">
        <f t="shared" si="44"/>
        <v>1162.48</v>
      </c>
      <c r="AB216" s="447">
        <f t="shared" si="45"/>
        <v>685.65200000000016</v>
      </c>
      <c r="AC216" s="447">
        <f t="shared" si="46"/>
        <v>1724.6130000000001</v>
      </c>
      <c r="AD216" s="447">
        <f t="shared" si="47"/>
        <v>1629.4739999999999</v>
      </c>
      <c r="AE216" s="447">
        <f t="shared" si="48"/>
        <v>1547.0950000000003</v>
      </c>
      <c r="AF216" s="447">
        <f t="shared" si="49"/>
        <v>1023.5170000000002</v>
      </c>
      <c r="AG216" s="447">
        <f t="shared" si="50"/>
        <v>942.54600000000005</v>
      </c>
      <c r="AH216" s="448">
        <f t="shared" si="51"/>
        <v>994.48800000000017</v>
      </c>
    </row>
    <row r="217" spans="1:34">
      <c r="A217" s="428">
        <v>2018</v>
      </c>
      <c r="B217" s="152" t="s">
        <v>317</v>
      </c>
      <c r="C217" s="146" t="s">
        <v>309</v>
      </c>
      <c r="D217" s="146" t="s">
        <v>310</v>
      </c>
      <c r="E217" s="147" t="s">
        <v>306</v>
      </c>
      <c r="F217" s="433" t="s">
        <v>315</v>
      </c>
      <c r="G217" s="149" t="s">
        <v>213</v>
      </c>
      <c r="H217" s="447">
        <v>1078.05</v>
      </c>
      <c r="I217" s="447">
        <v>1053.94</v>
      </c>
      <c r="J217" s="447">
        <v>1026.75</v>
      </c>
      <c r="K217" s="447">
        <v>962.63</v>
      </c>
      <c r="L217" s="447">
        <v>941.16</v>
      </c>
      <c r="M217" s="447">
        <v>916.85</v>
      </c>
      <c r="N217" s="447">
        <v>540.78</v>
      </c>
      <c r="O217" s="447">
        <v>1360.22</v>
      </c>
      <c r="P217" s="447">
        <v>1285.19</v>
      </c>
      <c r="Q217" s="447">
        <v>1220.21</v>
      </c>
      <c r="R217" s="447">
        <v>807.25</v>
      </c>
      <c r="S217" s="447">
        <v>743.4</v>
      </c>
      <c r="T217" s="448">
        <v>784.37</v>
      </c>
      <c r="V217" s="447">
        <f t="shared" si="39"/>
        <v>1185.855</v>
      </c>
      <c r="W217" s="447">
        <f t="shared" si="40"/>
        <v>1159.3340000000001</v>
      </c>
      <c r="X217" s="447">
        <f t="shared" si="41"/>
        <v>1129.4250000000002</v>
      </c>
      <c r="Y217" s="447">
        <f t="shared" si="42"/>
        <v>1058.893</v>
      </c>
      <c r="Z217" s="447">
        <f t="shared" si="43"/>
        <v>1035.2760000000001</v>
      </c>
      <c r="AA217" s="447">
        <f t="shared" si="44"/>
        <v>1008.5350000000001</v>
      </c>
      <c r="AB217" s="447">
        <f t="shared" si="45"/>
        <v>594.85800000000006</v>
      </c>
      <c r="AC217" s="447">
        <f t="shared" si="46"/>
        <v>1496.2420000000002</v>
      </c>
      <c r="AD217" s="447">
        <f t="shared" si="47"/>
        <v>1413.7090000000003</v>
      </c>
      <c r="AE217" s="447">
        <f t="shared" si="48"/>
        <v>1342.2310000000002</v>
      </c>
      <c r="AF217" s="447">
        <f t="shared" si="49"/>
        <v>887.97500000000002</v>
      </c>
      <c r="AG217" s="447">
        <f t="shared" si="50"/>
        <v>817.74</v>
      </c>
      <c r="AH217" s="448">
        <f t="shared" si="51"/>
        <v>862.80700000000013</v>
      </c>
    </row>
    <row r="218" spans="1:34" ht="16.5" thickBot="1">
      <c r="A218" s="429">
        <v>2018</v>
      </c>
      <c r="B218" s="426" t="s">
        <v>317</v>
      </c>
      <c r="C218" s="421" t="s">
        <v>309</v>
      </c>
      <c r="D218" s="421" t="s">
        <v>310</v>
      </c>
      <c r="E218" s="422" t="s">
        <v>306</v>
      </c>
      <c r="F218" s="434" t="s">
        <v>315</v>
      </c>
      <c r="G218" s="424" t="s">
        <v>214</v>
      </c>
      <c r="H218" s="449">
        <v>1724.87</v>
      </c>
      <c r="I218" s="449">
        <v>1686.31</v>
      </c>
      <c r="J218" s="449">
        <v>1642.8</v>
      </c>
      <c r="K218" s="449">
        <v>1540.21</v>
      </c>
      <c r="L218" s="449">
        <v>1505.85</v>
      </c>
      <c r="M218" s="449">
        <v>1466.98</v>
      </c>
      <c r="N218" s="449">
        <v>865.24</v>
      </c>
      <c r="O218" s="449">
        <v>2176.35</v>
      </c>
      <c r="P218" s="449">
        <v>2056.29</v>
      </c>
      <c r="Q218" s="449">
        <v>1952.34</v>
      </c>
      <c r="R218" s="449">
        <v>1291.5999999999999</v>
      </c>
      <c r="S218" s="449">
        <v>1189.44</v>
      </c>
      <c r="T218" s="450">
        <v>1254.99</v>
      </c>
      <c r="V218" s="449">
        <f t="shared" si="39"/>
        <v>1897.357</v>
      </c>
      <c r="W218" s="449">
        <f t="shared" si="40"/>
        <v>1854.941</v>
      </c>
      <c r="X218" s="449">
        <f t="shared" si="41"/>
        <v>1807.0800000000002</v>
      </c>
      <c r="Y218" s="449">
        <f t="shared" si="42"/>
        <v>1694.2310000000002</v>
      </c>
      <c r="Z218" s="449">
        <f t="shared" si="43"/>
        <v>1656.4349999999999</v>
      </c>
      <c r="AA218" s="449">
        <f t="shared" si="44"/>
        <v>1613.6780000000001</v>
      </c>
      <c r="AB218" s="449">
        <f t="shared" si="45"/>
        <v>951.76400000000012</v>
      </c>
      <c r="AC218" s="449">
        <f t="shared" si="46"/>
        <v>2393.9850000000001</v>
      </c>
      <c r="AD218" s="449">
        <f t="shared" si="47"/>
        <v>2261.9190000000003</v>
      </c>
      <c r="AE218" s="449">
        <f t="shared" si="48"/>
        <v>2147.5740000000001</v>
      </c>
      <c r="AF218" s="449">
        <f t="shared" si="49"/>
        <v>1420.76</v>
      </c>
      <c r="AG218" s="449">
        <f t="shared" si="50"/>
        <v>1308.3840000000002</v>
      </c>
      <c r="AH218" s="450">
        <f t="shared" si="51"/>
        <v>1380.489</v>
      </c>
    </row>
    <row r="219" spans="1:34">
      <c r="A219" s="427">
        <v>2018</v>
      </c>
      <c r="B219" s="425" t="s">
        <v>317</v>
      </c>
      <c r="C219" s="414" t="s">
        <v>311</v>
      </c>
      <c r="D219" s="414" t="s">
        <v>312</v>
      </c>
      <c r="E219" s="415" t="s">
        <v>306</v>
      </c>
      <c r="F219" s="432" t="s">
        <v>315</v>
      </c>
      <c r="G219" s="417" t="s">
        <v>211</v>
      </c>
      <c r="H219" s="445">
        <v>597.25</v>
      </c>
      <c r="I219" s="445">
        <v>583.9</v>
      </c>
      <c r="J219" s="445">
        <v>568.84</v>
      </c>
      <c r="K219" s="445">
        <v>533.30999999999995</v>
      </c>
      <c r="L219" s="445">
        <v>521.41999999999996</v>
      </c>
      <c r="M219" s="445">
        <v>507.95</v>
      </c>
      <c r="N219" s="445">
        <v>299.60000000000002</v>
      </c>
      <c r="O219" s="445">
        <v>753.58</v>
      </c>
      <c r="P219" s="445">
        <v>712.01</v>
      </c>
      <c r="Q219" s="445">
        <v>676.02</v>
      </c>
      <c r="R219" s="445">
        <v>447.23</v>
      </c>
      <c r="S219" s="445">
        <v>411.86</v>
      </c>
      <c r="T219" s="446">
        <v>434.55</v>
      </c>
      <c r="V219" s="445">
        <f t="shared" si="39"/>
        <v>656.97500000000002</v>
      </c>
      <c r="W219" s="445">
        <f t="shared" si="40"/>
        <v>642.29000000000008</v>
      </c>
      <c r="X219" s="445">
        <f t="shared" si="41"/>
        <v>625.72400000000005</v>
      </c>
      <c r="Y219" s="445">
        <f t="shared" si="42"/>
        <v>586.64099999999996</v>
      </c>
      <c r="Z219" s="445">
        <f t="shared" si="43"/>
        <v>573.56200000000001</v>
      </c>
      <c r="AA219" s="445">
        <f t="shared" si="44"/>
        <v>558.745</v>
      </c>
      <c r="AB219" s="445">
        <f t="shared" si="45"/>
        <v>329.56000000000006</v>
      </c>
      <c r="AC219" s="445">
        <f t="shared" si="46"/>
        <v>828.9380000000001</v>
      </c>
      <c r="AD219" s="445">
        <f t="shared" si="47"/>
        <v>783.21100000000001</v>
      </c>
      <c r="AE219" s="445">
        <f t="shared" si="48"/>
        <v>743.62200000000007</v>
      </c>
      <c r="AF219" s="445">
        <f t="shared" si="49"/>
        <v>491.95300000000003</v>
      </c>
      <c r="AG219" s="445">
        <f t="shared" si="50"/>
        <v>453.04600000000005</v>
      </c>
      <c r="AH219" s="446">
        <f t="shared" si="51"/>
        <v>478.00500000000005</v>
      </c>
    </row>
    <row r="220" spans="1:34">
      <c r="A220" s="428">
        <v>2018</v>
      </c>
      <c r="B220" s="152" t="s">
        <v>317</v>
      </c>
      <c r="C220" s="146" t="s">
        <v>311</v>
      </c>
      <c r="D220" s="146" t="s">
        <v>312</v>
      </c>
      <c r="E220" s="147" t="s">
        <v>306</v>
      </c>
      <c r="F220" s="433" t="s">
        <v>315</v>
      </c>
      <c r="G220" s="149" t="s">
        <v>212</v>
      </c>
      <c r="H220" s="447">
        <v>1307.99</v>
      </c>
      <c r="I220" s="447">
        <v>1278.74</v>
      </c>
      <c r="J220" s="447">
        <v>1245.76</v>
      </c>
      <c r="K220" s="447">
        <v>1167.96</v>
      </c>
      <c r="L220" s="447">
        <v>1141.9000000000001</v>
      </c>
      <c r="M220" s="447">
        <v>1112.42</v>
      </c>
      <c r="N220" s="447">
        <v>656.13</v>
      </c>
      <c r="O220" s="447">
        <v>1650.35</v>
      </c>
      <c r="P220" s="447">
        <v>1559.31</v>
      </c>
      <c r="Q220" s="447">
        <v>1480.48</v>
      </c>
      <c r="R220" s="447">
        <v>979.45</v>
      </c>
      <c r="S220" s="447">
        <v>901.96</v>
      </c>
      <c r="T220" s="448">
        <v>951.67</v>
      </c>
      <c r="V220" s="447">
        <f t="shared" si="39"/>
        <v>1438.7890000000002</v>
      </c>
      <c r="W220" s="447">
        <f t="shared" si="40"/>
        <v>1406.614</v>
      </c>
      <c r="X220" s="447">
        <f t="shared" si="41"/>
        <v>1370.336</v>
      </c>
      <c r="Y220" s="447">
        <f t="shared" si="42"/>
        <v>1284.7560000000001</v>
      </c>
      <c r="Z220" s="447">
        <f t="shared" si="43"/>
        <v>1256.0900000000001</v>
      </c>
      <c r="AA220" s="447">
        <f t="shared" si="44"/>
        <v>1223.6620000000003</v>
      </c>
      <c r="AB220" s="447">
        <f t="shared" si="45"/>
        <v>721.74300000000005</v>
      </c>
      <c r="AC220" s="447">
        <f t="shared" si="46"/>
        <v>1815.385</v>
      </c>
      <c r="AD220" s="447">
        <f t="shared" si="47"/>
        <v>1715.241</v>
      </c>
      <c r="AE220" s="447">
        <f t="shared" si="48"/>
        <v>1628.5280000000002</v>
      </c>
      <c r="AF220" s="447">
        <f t="shared" si="49"/>
        <v>1077.3950000000002</v>
      </c>
      <c r="AG220" s="447">
        <f t="shared" si="50"/>
        <v>992.15600000000018</v>
      </c>
      <c r="AH220" s="448">
        <f t="shared" si="51"/>
        <v>1046.837</v>
      </c>
    </row>
    <row r="221" spans="1:34">
      <c r="A221" s="428">
        <v>2018</v>
      </c>
      <c r="B221" s="152" t="s">
        <v>317</v>
      </c>
      <c r="C221" s="146" t="s">
        <v>311</v>
      </c>
      <c r="D221" s="146" t="s">
        <v>312</v>
      </c>
      <c r="E221" s="147" t="s">
        <v>306</v>
      </c>
      <c r="F221" s="433" t="s">
        <v>315</v>
      </c>
      <c r="G221" s="149" t="s">
        <v>213</v>
      </c>
      <c r="H221" s="447">
        <v>1134.79</v>
      </c>
      <c r="I221" s="447">
        <v>1109.4100000000001</v>
      </c>
      <c r="J221" s="447">
        <v>1080.79</v>
      </c>
      <c r="K221" s="447">
        <v>1013.29</v>
      </c>
      <c r="L221" s="447">
        <v>990.7</v>
      </c>
      <c r="M221" s="447">
        <v>965.11</v>
      </c>
      <c r="N221" s="447">
        <v>569.24</v>
      </c>
      <c r="O221" s="447">
        <v>1431.81</v>
      </c>
      <c r="P221" s="447">
        <v>1352.83</v>
      </c>
      <c r="Q221" s="447">
        <v>1284.43</v>
      </c>
      <c r="R221" s="447">
        <v>849.74</v>
      </c>
      <c r="S221" s="447">
        <v>782.53</v>
      </c>
      <c r="T221" s="448">
        <v>825.66</v>
      </c>
      <c r="V221" s="447">
        <f t="shared" si="39"/>
        <v>1248.269</v>
      </c>
      <c r="W221" s="447">
        <f t="shared" si="40"/>
        <v>1220.3510000000001</v>
      </c>
      <c r="X221" s="447">
        <f t="shared" si="41"/>
        <v>1188.8690000000001</v>
      </c>
      <c r="Y221" s="447">
        <f t="shared" si="42"/>
        <v>1114.6190000000001</v>
      </c>
      <c r="Z221" s="447">
        <f t="shared" si="43"/>
        <v>1089.7700000000002</v>
      </c>
      <c r="AA221" s="447">
        <f t="shared" si="44"/>
        <v>1061.6210000000001</v>
      </c>
      <c r="AB221" s="447">
        <f t="shared" si="45"/>
        <v>626.1640000000001</v>
      </c>
      <c r="AC221" s="447">
        <f t="shared" si="46"/>
        <v>1574.991</v>
      </c>
      <c r="AD221" s="447">
        <f t="shared" si="47"/>
        <v>1488.1130000000001</v>
      </c>
      <c r="AE221" s="447">
        <f t="shared" si="48"/>
        <v>1412.8730000000003</v>
      </c>
      <c r="AF221" s="447">
        <f t="shared" si="49"/>
        <v>934.71400000000006</v>
      </c>
      <c r="AG221" s="447">
        <f t="shared" si="50"/>
        <v>860.78300000000002</v>
      </c>
      <c r="AH221" s="448">
        <f t="shared" si="51"/>
        <v>908.226</v>
      </c>
    </row>
    <row r="222" spans="1:34" ht="16.5" thickBot="1">
      <c r="A222" s="429">
        <v>2018</v>
      </c>
      <c r="B222" s="426" t="s">
        <v>317</v>
      </c>
      <c r="C222" s="421" t="s">
        <v>311</v>
      </c>
      <c r="D222" s="421" t="s">
        <v>312</v>
      </c>
      <c r="E222" s="422" t="s">
        <v>306</v>
      </c>
      <c r="F222" s="434" t="s">
        <v>315</v>
      </c>
      <c r="G222" s="424" t="s">
        <v>214</v>
      </c>
      <c r="H222" s="449">
        <v>1815.66</v>
      </c>
      <c r="I222" s="449">
        <v>1775.07</v>
      </c>
      <c r="J222" s="449">
        <v>1729.26</v>
      </c>
      <c r="K222" s="449">
        <v>1621.27</v>
      </c>
      <c r="L222" s="449">
        <v>1585.11</v>
      </c>
      <c r="M222" s="449">
        <v>1544.19</v>
      </c>
      <c r="N222" s="449">
        <v>910.78</v>
      </c>
      <c r="O222" s="449">
        <v>2290.89</v>
      </c>
      <c r="P222" s="449">
        <v>2164.5100000000002</v>
      </c>
      <c r="Q222" s="449">
        <v>2055.09</v>
      </c>
      <c r="R222" s="449">
        <v>1359.58</v>
      </c>
      <c r="S222" s="449">
        <v>1252.04</v>
      </c>
      <c r="T222" s="450">
        <v>1321.04</v>
      </c>
      <c r="V222" s="449">
        <f t="shared" si="39"/>
        <v>1997.2260000000003</v>
      </c>
      <c r="W222" s="449">
        <f t="shared" si="40"/>
        <v>1952.577</v>
      </c>
      <c r="X222" s="449">
        <f t="shared" si="41"/>
        <v>1902.1860000000001</v>
      </c>
      <c r="Y222" s="449">
        <f t="shared" si="42"/>
        <v>1783.3970000000002</v>
      </c>
      <c r="Z222" s="449">
        <f t="shared" si="43"/>
        <v>1743.6210000000001</v>
      </c>
      <c r="AA222" s="449">
        <f t="shared" si="44"/>
        <v>1698.6090000000002</v>
      </c>
      <c r="AB222" s="449">
        <f t="shared" si="45"/>
        <v>1001.8580000000001</v>
      </c>
      <c r="AC222" s="449">
        <f t="shared" si="46"/>
        <v>2519.9790000000003</v>
      </c>
      <c r="AD222" s="449">
        <f t="shared" si="47"/>
        <v>2380.9610000000002</v>
      </c>
      <c r="AE222" s="449">
        <f t="shared" si="48"/>
        <v>2260.5990000000002</v>
      </c>
      <c r="AF222" s="449">
        <f t="shared" si="49"/>
        <v>1495.538</v>
      </c>
      <c r="AG222" s="449">
        <f t="shared" si="50"/>
        <v>1377.2440000000001</v>
      </c>
      <c r="AH222" s="450">
        <f t="shared" si="51"/>
        <v>1453.144</v>
      </c>
    </row>
    <row r="223" spans="1:34">
      <c r="A223" s="427">
        <v>2018</v>
      </c>
      <c r="B223" s="425" t="s">
        <v>317</v>
      </c>
      <c r="C223" s="414" t="s">
        <v>313</v>
      </c>
      <c r="D223" s="414" t="s">
        <v>314</v>
      </c>
      <c r="E223" s="415" t="s">
        <v>306</v>
      </c>
      <c r="F223" s="432" t="s">
        <v>315</v>
      </c>
      <c r="G223" s="417" t="s">
        <v>211</v>
      </c>
      <c r="H223" s="445">
        <v>686.84</v>
      </c>
      <c r="I223" s="445">
        <v>671.49</v>
      </c>
      <c r="J223" s="445">
        <v>654.16</v>
      </c>
      <c r="K223" s="445">
        <v>613.30999999999995</v>
      </c>
      <c r="L223" s="445">
        <v>599.63</v>
      </c>
      <c r="M223" s="445">
        <v>584.15</v>
      </c>
      <c r="N223" s="445">
        <v>344.54</v>
      </c>
      <c r="O223" s="445">
        <v>866.62</v>
      </c>
      <c r="P223" s="445">
        <v>818.81</v>
      </c>
      <c r="Q223" s="445">
        <v>777.42</v>
      </c>
      <c r="R223" s="445">
        <v>514.32000000000005</v>
      </c>
      <c r="S223" s="445">
        <v>473.63</v>
      </c>
      <c r="T223" s="446">
        <v>499.74</v>
      </c>
      <c r="V223" s="445">
        <f t="shared" si="39"/>
        <v>755.52400000000011</v>
      </c>
      <c r="W223" s="445">
        <f t="shared" si="40"/>
        <v>738.63900000000012</v>
      </c>
      <c r="X223" s="445">
        <f t="shared" si="41"/>
        <v>719.57600000000002</v>
      </c>
      <c r="Y223" s="445">
        <f t="shared" si="42"/>
        <v>674.64099999999996</v>
      </c>
      <c r="Z223" s="445">
        <f t="shared" si="43"/>
        <v>659.59300000000007</v>
      </c>
      <c r="AA223" s="445">
        <f t="shared" si="44"/>
        <v>642.56500000000005</v>
      </c>
      <c r="AB223" s="445">
        <f t="shared" si="45"/>
        <v>378.99400000000003</v>
      </c>
      <c r="AC223" s="445">
        <f t="shared" si="46"/>
        <v>953.28200000000004</v>
      </c>
      <c r="AD223" s="445">
        <f t="shared" si="47"/>
        <v>900.69100000000003</v>
      </c>
      <c r="AE223" s="445">
        <f t="shared" si="48"/>
        <v>855.16200000000003</v>
      </c>
      <c r="AF223" s="445">
        <f t="shared" si="49"/>
        <v>565.75200000000007</v>
      </c>
      <c r="AG223" s="445">
        <f t="shared" si="50"/>
        <v>520.99300000000005</v>
      </c>
      <c r="AH223" s="446">
        <f t="shared" si="51"/>
        <v>549.71400000000006</v>
      </c>
    </row>
    <row r="224" spans="1:34">
      <c r="A224" s="428">
        <v>2018</v>
      </c>
      <c r="B224" s="152" t="s">
        <v>317</v>
      </c>
      <c r="C224" s="146" t="s">
        <v>313</v>
      </c>
      <c r="D224" s="146" t="s">
        <v>314</v>
      </c>
      <c r="E224" s="147" t="s">
        <v>306</v>
      </c>
      <c r="F224" s="433" t="s">
        <v>315</v>
      </c>
      <c r="G224" s="149" t="s">
        <v>212</v>
      </c>
      <c r="H224" s="447">
        <v>1504.19</v>
      </c>
      <c r="I224" s="447">
        <v>1470.56</v>
      </c>
      <c r="J224" s="447">
        <v>1432.63</v>
      </c>
      <c r="K224" s="447">
        <v>1343.15</v>
      </c>
      <c r="L224" s="447">
        <v>1313.18</v>
      </c>
      <c r="M224" s="447">
        <v>1279.28</v>
      </c>
      <c r="N224" s="447">
        <v>754.55</v>
      </c>
      <c r="O224" s="447">
        <v>1897.9</v>
      </c>
      <c r="P224" s="447">
        <v>1793.2</v>
      </c>
      <c r="Q224" s="447">
        <v>1702.55</v>
      </c>
      <c r="R224" s="447">
        <v>1126.3599999999999</v>
      </c>
      <c r="S224" s="447">
        <v>1037.25</v>
      </c>
      <c r="T224" s="448">
        <v>1094.42</v>
      </c>
      <c r="V224" s="447">
        <f t="shared" si="39"/>
        <v>1654.6090000000002</v>
      </c>
      <c r="W224" s="447">
        <f t="shared" si="40"/>
        <v>1617.616</v>
      </c>
      <c r="X224" s="447">
        <f t="shared" si="41"/>
        <v>1575.8930000000003</v>
      </c>
      <c r="Y224" s="447">
        <f t="shared" si="42"/>
        <v>1477.4650000000001</v>
      </c>
      <c r="Z224" s="447">
        <f t="shared" si="43"/>
        <v>1444.4980000000003</v>
      </c>
      <c r="AA224" s="447">
        <f t="shared" si="44"/>
        <v>1407.2080000000001</v>
      </c>
      <c r="AB224" s="447">
        <f t="shared" si="45"/>
        <v>830.005</v>
      </c>
      <c r="AC224" s="447">
        <f t="shared" si="46"/>
        <v>2087.69</v>
      </c>
      <c r="AD224" s="447">
        <f t="shared" si="47"/>
        <v>1972.5200000000002</v>
      </c>
      <c r="AE224" s="447">
        <f t="shared" si="48"/>
        <v>1872.8050000000001</v>
      </c>
      <c r="AF224" s="447">
        <f t="shared" si="49"/>
        <v>1238.9960000000001</v>
      </c>
      <c r="AG224" s="447">
        <f t="shared" si="50"/>
        <v>1140.9750000000001</v>
      </c>
      <c r="AH224" s="448">
        <f t="shared" si="51"/>
        <v>1203.8620000000001</v>
      </c>
    </row>
    <row r="225" spans="1:34">
      <c r="A225" s="428">
        <v>2018</v>
      </c>
      <c r="B225" s="152" t="s">
        <v>317</v>
      </c>
      <c r="C225" s="146" t="s">
        <v>313</v>
      </c>
      <c r="D225" s="146" t="s">
        <v>314</v>
      </c>
      <c r="E225" s="147" t="s">
        <v>306</v>
      </c>
      <c r="F225" s="433" t="s">
        <v>315</v>
      </c>
      <c r="G225" s="149" t="s">
        <v>213</v>
      </c>
      <c r="H225" s="447">
        <v>1305.01</v>
      </c>
      <c r="I225" s="447">
        <v>1275.82</v>
      </c>
      <c r="J225" s="447">
        <v>1242.9100000000001</v>
      </c>
      <c r="K225" s="447">
        <v>1165.29</v>
      </c>
      <c r="L225" s="447">
        <v>1139.3</v>
      </c>
      <c r="M225" s="447">
        <v>1109.8800000000001</v>
      </c>
      <c r="N225" s="447">
        <v>654.63</v>
      </c>
      <c r="O225" s="447">
        <v>1646.58</v>
      </c>
      <c r="P225" s="447">
        <v>1555.75</v>
      </c>
      <c r="Q225" s="447">
        <v>1477.1</v>
      </c>
      <c r="R225" s="447">
        <v>977.2</v>
      </c>
      <c r="S225" s="447">
        <v>899.91</v>
      </c>
      <c r="T225" s="448">
        <v>949.5</v>
      </c>
      <c r="V225" s="447">
        <f t="shared" si="39"/>
        <v>1435.5110000000002</v>
      </c>
      <c r="W225" s="447">
        <f t="shared" si="40"/>
        <v>1403.402</v>
      </c>
      <c r="X225" s="447">
        <f t="shared" si="41"/>
        <v>1367.2010000000002</v>
      </c>
      <c r="Y225" s="447">
        <f t="shared" si="42"/>
        <v>1281.819</v>
      </c>
      <c r="Z225" s="447">
        <f t="shared" si="43"/>
        <v>1253.23</v>
      </c>
      <c r="AA225" s="447">
        <f t="shared" si="44"/>
        <v>1220.8680000000002</v>
      </c>
      <c r="AB225" s="447">
        <f t="shared" si="45"/>
        <v>720.09300000000007</v>
      </c>
      <c r="AC225" s="447">
        <f t="shared" si="46"/>
        <v>1811.2380000000001</v>
      </c>
      <c r="AD225" s="447">
        <f t="shared" si="47"/>
        <v>1711.325</v>
      </c>
      <c r="AE225" s="447">
        <f t="shared" si="48"/>
        <v>1624.81</v>
      </c>
      <c r="AF225" s="447">
        <f t="shared" si="49"/>
        <v>1074.92</v>
      </c>
      <c r="AG225" s="447">
        <f t="shared" si="50"/>
        <v>989.90100000000007</v>
      </c>
      <c r="AH225" s="448">
        <f t="shared" si="51"/>
        <v>1044.45</v>
      </c>
    </row>
    <row r="226" spans="1:34" ht="16.5" thickBot="1">
      <c r="A226" s="429">
        <v>2018</v>
      </c>
      <c r="B226" s="426" t="s">
        <v>317</v>
      </c>
      <c r="C226" s="421" t="s">
        <v>313</v>
      </c>
      <c r="D226" s="421" t="s">
        <v>314</v>
      </c>
      <c r="E226" s="422" t="s">
        <v>306</v>
      </c>
      <c r="F226" s="434" t="s">
        <v>315</v>
      </c>
      <c r="G226" s="424" t="s">
        <v>214</v>
      </c>
      <c r="H226" s="449">
        <v>2088.0100000000002</v>
      </c>
      <c r="I226" s="449">
        <v>2041.32</v>
      </c>
      <c r="J226" s="449">
        <v>1988.65</v>
      </c>
      <c r="K226" s="449">
        <v>1864.46</v>
      </c>
      <c r="L226" s="449">
        <v>1822.87</v>
      </c>
      <c r="M226" s="449">
        <v>1775.81</v>
      </c>
      <c r="N226" s="449">
        <v>1047.4000000000001</v>
      </c>
      <c r="O226" s="449">
        <v>2634.53</v>
      </c>
      <c r="P226" s="449">
        <v>2489.19</v>
      </c>
      <c r="Q226" s="449">
        <v>2363.36</v>
      </c>
      <c r="R226" s="449">
        <v>1563.52</v>
      </c>
      <c r="S226" s="449">
        <v>1439.84</v>
      </c>
      <c r="T226" s="450">
        <v>1519.19</v>
      </c>
      <c r="V226" s="449">
        <f t="shared" si="39"/>
        <v>2296.8110000000006</v>
      </c>
      <c r="W226" s="449">
        <f t="shared" si="40"/>
        <v>2245.4520000000002</v>
      </c>
      <c r="X226" s="449">
        <f t="shared" si="41"/>
        <v>2187.5150000000003</v>
      </c>
      <c r="Y226" s="449">
        <f t="shared" si="42"/>
        <v>2050.9060000000004</v>
      </c>
      <c r="Z226" s="449">
        <f t="shared" si="43"/>
        <v>2005.1570000000002</v>
      </c>
      <c r="AA226" s="449">
        <f t="shared" si="44"/>
        <v>1953.3910000000001</v>
      </c>
      <c r="AB226" s="449">
        <f t="shared" si="45"/>
        <v>1152.1400000000001</v>
      </c>
      <c r="AC226" s="449">
        <f t="shared" si="46"/>
        <v>2897.9830000000006</v>
      </c>
      <c r="AD226" s="449">
        <f t="shared" si="47"/>
        <v>2738.1090000000004</v>
      </c>
      <c r="AE226" s="449">
        <f t="shared" si="48"/>
        <v>2599.6960000000004</v>
      </c>
      <c r="AF226" s="449">
        <f t="shared" si="49"/>
        <v>1719.8720000000001</v>
      </c>
      <c r="AG226" s="449">
        <f t="shared" si="50"/>
        <v>1583.8240000000001</v>
      </c>
      <c r="AH226" s="450">
        <f t="shared" si="51"/>
        <v>1671.1090000000002</v>
      </c>
    </row>
    <row r="227" spans="1:34">
      <c r="A227" s="427">
        <v>2018</v>
      </c>
      <c r="B227" s="425" t="s">
        <v>317</v>
      </c>
      <c r="C227" s="414" t="s">
        <v>304</v>
      </c>
      <c r="D227" s="414" t="s">
        <v>305</v>
      </c>
      <c r="E227" s="430" t="s">
        <v>316</v>
      </c>
      <c r="F227" s="416" t="s">
        <v>307</v>
      </c>
      <c r="G227" s="417" t="s">
        <v>211</v>
      </c>
      <c r="H227" s="445">
        <v>516.33000000000004</v>
      </c>
      <c r="I227" s="445">
        <v>504.78</v>
      </c>
      <c r="J227" s="445">
        <v>491.76</v>
      </c>
      <c r="K227" s="445">
        <v>461.05</v>
      </c>
      <c r="L227" s="445">
        <v>450.76</v>
      </c>
      <c r="M227" s="445">
        <v>439.13</v>
      </c>
      <c r="N227" s="445">
        <v>259.01</v>
      </c>
      <c r="O227" s="445">
        <v>629.44000000000005</v>
      </c>
      <c r="P227" s="445">
        <v>594.72</v>
      </c>
      <c r="Q227" s="445">
        <v>564.66</v>
      </c>
      <c r="R227" s="445">
        <v>380.38</v>
      </c>
      <c r="S227" s="445">
        <v>350.29</v>
      </c>
      <c r="T227" s="446">
        <v>369.6</v>
      </c>
      <c r="V227" s="445">
        <f t="shared" si="39"/>
        <v>567.96300000000008</v>
      </c>
      <c r="W227" s="445">
        <f t="shared" si="40"/>
        <v>555.25800000000004</v>
      </c>
      <c r="X227" s="445">
        <f t="shared" si="41"/>
        <v>540.93600000000004</v>
      </c>
      <c r="Y227" s="445">
        <f t="shared" si="42"/>
        <v>507.15500000000003</v>
      </c>
      <c r="Z227" s="445">
        <f t="shared" si="43"/>
        <v>495.83600000000001</v>
      </c>
      <c r="AA227" s="445">
        <f t="shared" si="44"/>
        <v>483.04300000000001</v>
      </c>
      <c r="AB227" s="445">
        <f t="shared" si="45"/>
        <v>284.911</v>
      </c>
      <c r="AC227" s="445">
        <f t="shared" si="46"/>
        <v>692.38400000000013</v>
      </c>
      <c r="AD227" s="445">
        <f t="shared" si="47"/>
        <v>654.19200000000012</v>
      </c>
      <c r="AE227" s="445">
        <f t="shared" si="48"/>
        <v>621.12599999999998</v>
      </c>
      <c r="AF227" s="445">
        <f t="shared" si="49"/>
        <v>418.41800000000001</v>
      </c>
      <c r="AG227" s="445">
        <f t="shared" si="50"/>
        <v>385.31900000000007</v>
      </c>
      <c r="AH227" s="446">
        <f t="shared" si="51"/>
        <v>406.56000000000006</v>
      </c>
    </row>
    <row r="228" spans="1:34">
      <c r="A228" s="428">
        <v>2018</v>
      </c>
      <c r="B228" s="152" t="s">
        <v>317</v>
      </c>
      <c r="C228" s="146" t="s">
        <v>304</v>
      </c>
      <c r="D228" s="146" t="s">
        <v>305</v>
      </c>
      <c r="E228" s="151" t="s">
        <v>316</v>
      </c>
      <c r="F228" s="148" t="s">
        <v>307</v>
      </c>
      <c r="G228" s="149" t="s">
        <v>212</v>
      </c>
      <c r="H228" s="447">
        <v>1130.76</v>
      </c>
      <c r="I228" s="447">
        <v>1105.47</v>
      </c>
      <c r="J228" s="447">
        <v>1076.96</v>
      </c>
      <c r="K228" s="447">
        <v>1009.7</v>
      </c>
      <c r="L228" s="447">
        <v>987.17</v>
      </c>
      <c r="M228" s="447">
        <v>961.69</v>
      </c>
      <c r="N228" s="447">
        <v>567.22</v>
      </c>
      <c r="O228" s="447">
        <v>1378.48</v>
      </c>
      <c r="P228" s="447">
        <v>1302.44</v>
      </c>
      <c r="Q228" s="447">
        <v>1236.5899999999999</v>
      </c>
      <c r="R228" s="447">
        <v>833.04</v>
      </c>
      <c r="S228" s="447">
        <v>767.14</v>
      </c>
      <c r="T228" s="448">
        <v>809.41</v>
      </c>
      <c r="V228" s="447">
        <f t="shared" si="39"/>
        <v>1243.836</v>
      </c>
      <c r="W228" s="447">
        <f t="shared" si="40"/>
        <v>1216.0170000000001</v>
      </c>
      <c r="X228" s="447">
        <f t="shared" si="41"/>
        <v>1184.6560000000002</v>
      </c>
      <c r="Y228" s="447">
        <f t="shared" si="42"/>
        <v>1110.67</v>
      </c>
      <c r="Z228" s="447">
        <f t="shared" si="43"/>
        <v>1085.8869999999999</v>
      </c>
      <c r="AA228" s="447">
        <f t="shared" si="44"/>
        <v>1057.8590000000002</v>
      </c>
      <c r="AB228" s="447">
        <f t="shared" si="45"/>
        <v>623.94200000000012</v>
      </c>
      <c r="AC228" s="447">
        <f t="shared" si="46"/>
        <v>1516.3280000000002</v>
      </c>
      <c r="AD228" s="447">
        <f t="shared" si="47"/>
        <v>1432.6840000000002</v>
      </c>
      <c r="AE228" s="447">
        <f t="shared" si="48"/>
        <v>1360.249</v>
      </c>
      <c r="AF228" s="447">
        <f t="shared" si="49"/>
        <v>916.34400000000005</v>
      </c>
      <c r="AG228" s="447">
        <f t="shared" si="50"/>
        <v>843.85400000000004</v>
      </c>
      <c r="AH228" s="448">
        <f t="shared" si="51"/>
        <v>890.351</v>
      </c>
    </row>
    <row r="229" spans="1:34">
      <c r="A229" s="428">
        <v>2018</v>
      </c>
      <c r="B229" s="152" t="s">
        <v>317</v>
      </c>
      <c r="C229" s="146" t="s">
        <v>304</v>
      </c>
      <c r="D229" s="146" t="s">
        <v>305</v>
      </c>
      <c r="E229" s="151" t="s">
        <v>316</v>
      </c>
      <c r="F229" s="148" t="s">
        <v>307</v>
      </c>
      <c r="G229" s="149" t="s">
        <v>213</v>
      </c>
      <c r="H229" s="447">
        <v>981.02</v>
      </c>
      <c r="I229" s="447">
        <v>959.09</v>
      </c>
      <c r="J229" s="447">
        <v>934.34</v>
      </c>
      <c r="K229" s="447">
        <v>875.99</v>
      </c>
      <c r="L229" s="447">
        <v>856.46</v>
      </c>
      <c r="M229" s="447">
        <v>834.34</v>
      </c>
      <c r="N229" s="447">
        <v>492.11</v>
      </c>
      <c r="O229" s="447">
        <v>1195.94</v>
      </c>
      <c r="P229" s="447">
        <v>1129.97</v>
      </c>
      <c r="Q229" s="447">
        <v>1072.8399999999999</v>
      </c>
      <c r="R229" s="447">
        <v>722.72</v>
      </c>
      <c r="S229" s="447">
        <v>665.56</v>
      </c>
      <c r="T229" s="448">
        <v>702.24</v>
      </c>
      <c r="V229" s="447">
        <f t="shared" si="39"/>
        <v>1079.1220000000001</v>
      </c>
      <c r="W229" s="447">
        <f t="shared" si="40"/>
        <v>1054.999</v>
      </c>
      <c r="X229" s="447">
        <f t="shared" si="41"/>
        <v>1027.7740000000001</v>
      </c>
      <c r="Y229" s="447">
        <f t="shared" si="42"/>
        <v>963.58900000000006</v>
      </c>
      <c r="Z229" s="447">
        <f t="shared" si="43"/>
        <v>942.10600000000011</v>
      </c>
      <c r="AA229" s="447">
        <f t="shared" si="44"/>
        <v>917.77400000000011</v>
      </c>
      <c r="AB229" s="447">
        <f t="shared" si="45"/>
        <v>541.32100000000003</v>
      </c>
      <c r="AC229" s="447">
        <f t="shared" si="46"/>
        <v>1315.5340000000001</v>
      </c>
      <c r="AD229" s="447">
        <f t="shared" si="47"/>
        <v>1242.9670000000001</v>
      </c>
      <c r="AE229" s="447">
        <f t="shared" si="48"/>
        <v>1180.124</v>
      </c>
      <c r="AF229" s="447">
        <f t="shared" si="49"/>
        <v>794.99200000000008</v>
      </c>
      <c r="AG229" s="447">
        <f t="shared" si="50"/>
        <v>732.11599999999999</v>
      </c>
      <c r="AH229" s="448">
        <f t="shared" si="51"/>
        <v>772.46400000000006</v>
      </c>
    </row>
    <row r="230" spans="1:34" ht="16.5" thickBot="1">
      <c r="A230" s="429">
        <v>2018</v>
      </c>
      <c r="B230" s="426" t="s">
        <v>317</v>
      </c>
      <c r="C230" s="421" t="s">
        <v>304</v>
      </c>
      <c r="D230" s="421" t="s">
        <v>305</v>
      </c>
      <c r="E230" s="431" t="s">
        <v>316</v>
      </c>
      <c r="F230" s="423" t="s">
        <v>307</v>
      </c>
      <c r="G230" s="424" t="s">
        <v>214</v>
      </c>
      <c r="H230" s="449">
        <v>1569.64</v>
      </c>
      <c r="I230" s="449">
        <v>1534.54</v>
      </c>
      <c r="J230" s="449">
        <v>1494.95</v>
      </c>
      <c r="K230" s="449">
        <v>1401.59</v>
      </c>
      <c r="L230" s="449">
        <v>1370.33</v>
      </c>
      <c r="M230" s="449">
        <v>1334.95</v>
      </c>
      <c r="N230" s="449">
        <v>787.37</v>
      </c>
      <c r="O230" s="449">
        <v>1913.5</v>
      </c>
      <c r="P230" s="449">
        <v>1807.94</v>
      </c>
      <c r="Q230" s="449">
        <v>1716.55</v>
      </c>
      <c r="R230" s="449">
        <v>1156.3599999999999</v>
      </c>
      <c r="S230" s="449">
        <v>1064.8900000000001</v>
      </c>
      <c r="T230" s="450">
        <v>1123.57</v>
      </c>
      <c r="V230" s="449">
        <f t="shared" si="39"/>
        <v>1726.6040000000003</v>
      </c>
      <c r="W230" s="449">
        <f t="shared" si="40"/>
        <v>1687.9940000000001</v>
      </c>
      <c r="X230" s="449">
        <f t="shared" si="41"/>
        <v>1644.4450000000002</v>
      </c>
      <c r="Y230" s="449">
        <f t="shared" si="42"/>
        <v>1541.749</v>
      </c>
      <c r="Z230" s="449">
        <f t="shared" si="43"/>
        <v>1507.3630000000001</v>
      </c>
      <c r="AA230" s="449">
        <f t="shared" si="44"/>
        <v>1468.4450000000002</v>
      </c>
      <c r="AB230" s="449">
        <f t="shared" si="45"/>
        <v>866.10700000000008</v>
      </c>
      <c r="AC230" s="449">
        <f t="shared" si="46"/>
        <v>2104.8500000000004</v>
      </c>
      <c r="AD230" s="449">
        <f t="shared" si="47"/>
        <v>1988.7340000000002</v>
      </c>
      <c r="AE230" s="449">
        <f t="shared" si="48"/>
        <v>1888.2050000000002</v>
      </c>
      <c r="AF230" s="449">
        <f t="shared" si="49"/>
        <v>1271.9960000000001</v>
      </c>
      <c r="AG230" s="449">
        <f t="shared" si="50"/>
        <v>1171.3790000000001</v>
      </c>
      <c r="AH230" s="450">
        <f t="shared" si="51"/>
        <v>1235.9270000000001</v>
      </c>
    </row>
    <row r="231" spans="1:34">
      <c r="A231" s="427">
        <v>2018</v>
      </c>
      <c r="B231" s="425" t="s">
        <v>317</v>
      </c>
      <c r="C231" s="414" t="s">
        <v>309</v>
      </c>
      <c r="D231" s="414" t="s">
        <v>310</v>
      </c>
      <c r="E231" s="430" t="s">
        <v>316</v>
      </c>
      <c r="F231" s="416" t="s">
        <v>307</v>
      </c>
      <c r="G231" s="417" t="s">
        <v>211</v>
      </c>
      <c r="H231" s="445">
        <v>567.39</v>
      </c>
      <c r="I231" s="445">
        <v>554.71</v>
      </c>
      <c r="J231" s="445">
        <v>540.4</v>
      </c>
      <c r="K231" s="445">
        <v>506.65</v>
      </c>
      <c r="L231" s="445">
        <v>495.35</v>
      </c>
      <c r="M231" s="445">
        <v>482.56</v>
      </c>
      <c r="N231" s="445">
        <v>284.62</v>
      </c>
      <c r="O231" s="445">
        <v>691.69</v>
      </c>
      <c r="P231" s="445">
        <v>653.54</v>
      </c>
      <c r="Q231" s="445">
        <v>620.5</v>
      </c>
      <c r="R231" s="445">
        <v>418</v>
      </c>
      <c r="S231" s="445">
        <v>384.94</v>
      </c>
      <c r="T231" s="446">
        <v>406.15</v>
      </c>
      <c r="V231" s="445">
        <f t="shared" si="39"/>
        <v>624.12900000000002</v>
      </c>
      <c r="W231" s="445">
        <f t="shared" si="40"/>
        <v>610.18100000000004</v>
      </c>
      <c r="X231" s="445">
        <f t="shared" si="41"/>
        <v>594.44000000000005</v>
      </c>
      <c r="Y231" s="445">
        <f t="shared" si="42"/>
        <v>557.31500000000005</v>
      </c>
      <c r="Z231" s="445">
        <f t="shared" si="43"/>
        <v>544.8850000000001</v>
      </c>
      <c r="AA231" s="445">
        <f t="shared" si="44"/>
        <v>530.81600000000003</v>
      </c>
      <c r="AB231" s="445">
        <f t="shared" si="45"/>
        <v>313.08200000000005</v>
      </c>
      <c r="AC231" s="445">
        <f t="shared" si="46"/>
        <v>760.85900000000015</v>
      </c>
      <c r="AD231" s="445">
        <f t="shared" si="47"/>
        <v>718.89400000000001</v>
      </c>
      <c r="AE231" s="445">
        <f t="shared" si="48"/>
        <v>682.55000000000007</v>
      </c>
      <c r="AF231" s="445">
        <f t="shared" si="49"/>
        <v>459.8</v>
      </c>
      <c r="AG231" s="445">
        <f t="shared" si="50"/>
        <v>423.43400000000003</v>
      </c>
      <c r="AH231" s="446">
        <f t="shared" si="51"/>
        <v>446.76499999999999</v>
      </c>
    </row>
    <row r="232" spans="1:34">
      <c r="A232" s="428">
        <v>2018</v>
      </c>
      <c r="B232" s="152" t="s">
        <v>317</v>
      </c>
      <c r="C232" s="146" t="s">
        <v>309</v>
      </c>
      <c r="D232" s="146" t="s">
        <v>310</v>
      </c>
      <c r="E232" s="151" t="s">
        <v>316</v>
      </c>
      <c r="F232" s="148" t="s">
        <v>307</v>
      </c>
      <c r="G232" s="149" t="s">
        <v>212</v>
      </c>
      <c r="H232" s="447">
        <v>1242.5899999999999</v>
      </c>
      <c r="I232" s="447">
        <v>1214.81</v>
      </c>
      <c r="J232" s="447">
        <v>1183.47</v>
      </c>
      <c r="K232" s="447">
        <v>1109.56</v>
      </c>
      <c r="L232" s="447">
        <v>1084.8</v>
      </c>
      <c r="M232" s="447">
        <v>1056.8</v>
      </c>
      <c r="N232" s="447">
        <v>623.32000000000005</v>
      </c>
      <c r="O232" s="447">
        <v>1514.81</v>
      </c>
      <c r="P232" s="447">
        <v>1431.25</v>
      </c>
      <c r="Q232" s="447">
        <v>1358.89</v>
      </c>
      <c r="R232" s="447">
        <v>915.43</v>
      </c>
      <c r="S232" s="447">
        <v>843.01</v>
      </c>
      <c r="T232" s="448">
        <v>889.47</v>
      </c>
      <c r="V232" s="447">
        <f t="shared" si="39"/>
        <v>1366.8489999999999</v>
      </c>
      <c r="W232" s="447">
        <f t="shared" si="40"/>
        <v>1336.2909999999999</v>
      </c>
      <c r="X232" s="447">
        <f t="shared" si="41"/>
        <v>1301.8170000000002</v>
      </c>
      <c r="Y232" s="447">
        <f t="shared" si="42"/>
        <v>1220.5160000000001</v>
      </c>
      <c r="Z232" s="447">
        <f t="shared" si="43"/>
        <v>1193.28</v>
      </c>
      <c r="AA232" s="447">
        <f t="shared" si="44"/>
        <v>1162.48</v>
      </c>
      <c r="AB232" s="447">
        <f t="shared" si="45"/>
        <v>685.65200000000016</v>
      </c>
      <c r="AC232" s="447">
        <f t="shared" si="46"/>
        <v>1666.2910000000002</v>
      </c>
      <c r="AD232" s="447">
        <f t="shared" si="47"/>
        <v>1574.3750000000002</v>
      </c>
      <c r="AE232" s="447">
        <f t="shared" si="48"/>
        <v>1494.7790000000002</v>
      </c>
      <c r="AF232" s="447">
        <f t="shared" si="49"/>
        <v>1006.9730000000001</v>
      </c>
      <c r="AG232" s="447">
        <f t="shared" si="50"/>
        <v>927.31100000000004</v>
      </c>
      <c r="AH232" s="448">
        <f t="shared" si="51"/>
        <v>978.41700000000014</v>
      </c>
    </row>
    <row r="233" spans="1:34">
      <c r="A233" s="428">
        <v>2018</v>
      </c>
      <c r="B233" s="152" t="s">
        <v>317</v>
      </c>
      <c r="C233" s="146" t="s">
        <v>309</v>
      </c>
      <c r="D233" s="146" t="s">
        <v>310</v>
      </c>
      <c r="E233" s="151" t="s">
        <v>316</v>
      </c>
      <c r="F233" s="148" t="s">
        <v>307</v>
      </c>
      <c r="G233" s="149" t="s">
        <v>213</v>
      </c>
      <c r="H233" s="447">
        <v>1078.05</v>
      </c>
      <c r="I233" s="447">
        <v>1053.94</v>
      </c>
      <c r="J233" s="447">
        <v>1026.75</v>
      </c>
      <c r="K233" s="447">
        <v>962.63</v>
      </c>
      <c r="L233" s="447">
        <v>941.16</v>
      </c>
      <c r="M233" s="447">
        <v>916.85</v>
      </c>
      <c r="N233" s="447">
        <v>540.78</v>
      </c>
      <c r="O233" s="447">
        <v>1314.22</v>
      </c>
      <c r="P233" s="447">
        <v>1241.73</v>
      </c>
      <c r="Q233" s="447">
        <v>1178.95</v>
      </c>
      <c r="R233" s="447">
        <v>794.2</v>
      </c>
      <c r="S233" s="447">
        <v>731.38</v>
      </c>
      <c r="T233" s="448">
        <v>771.69</v>
      </c>
      <c r="V233" s="447">
        <f t="shared" si="39"/>
        <v>1185.855</v>
      </c>
      <c r="W233" s="447">
        <f t="shared" si="40"/>
        <v>1159.3340000000001</v>
      </c>
      <c r="X233" s="447">
        <f t="shared" si="41"/>
        <v>1129.4250000000002</v>
      </c>
      <c r="Y233" s="447">
        <f t="shared" si="42"/>
        <v>1058.893</v>
      </c>
      <c r="Z233" s="447">
        <f t="shared" si="43"/>
        <v>1035.2760000000001</v>
      </c>
      <c r="AA233" s="447">
        <f t="shared" si="44"/>
        <v>1008.5350000000001</v>
      </c>
      <c r="AB233" s="447">
        <f t="shared" si="45"/>
        <v>594.85800000000006</v>
      </c>
      <c r="AC233" s="447">
        <f t="shared" si="46"/>
        <v>1445.6420000000001</v>
      </c>
      <c r="AD233" s="447">
        <f t="shared" si="47"/>
        <v>1365.903</v>
      </c>
      <c r="AE233" s="447">
        <f t="shared" si="48"/>
        <v>1296.8450000000003</v>
      </c>
      <c r="AF233" s="447">
        <f t="shared" si="49"/>
        <v>873.62000000000012</v>
      </c>
      <c r="AG233" s="447">
        <f t="shared" si="50"/>
        <v>804.51800000000003</v>
      </c>
      <c r="AH233" s="448">
        <f t="shared" si="51"/>
        <v>848.85900000000015</v>
      </c>
    </row>
    <row r="234" spans="1:34" ht="16.5" thickBot="1">
      <c r="A234" s="429">
        <v>2018</v>
      </c>
      <c r="B234" s="426" t="s">
        <v>317</v>
      </c>
      <c r="C234" s="421" t="s">
        <v>309</v>
      </c>
      <c r="D234" s="421" t="s">
        <v>310</v>
      </c>
      <c r="E234" s="431" t="s">
        <v>316</v>
      </c>
      <c r="F234" s="423" t="s">
        <v>307</v>
      </c>
      <c r="G234" s="424" t="s">
        <v>214</v>
      </c>
      <c r="H234" s="449">
        <v>1724.87</v>
      </c>
      <c r="I234" s="449">
        <v>1686.31</v>
      </c>
      <c r="J234" s="449">
        <v>1642.8</v>
      </c>
      <c r="K234" s="449">
        <v>1540.21</v>
      </c>
      <c r="L234" s="449">
        <v>1505.85</v>
      </c>
      <c r="M234" s="449">
        <v>1466.98</v>
      </c>
      <c r="N234" s="449">
        <v>865.24</v>
      </c>
      <c r="O234" s="449">
        <v>2102.75</v>
      </c>
      <c r="P234" s="449">
        <v>1986.75</v>
      </c>
      <c r="Q234" s="449">
        <v>1886.32</v>
      </c>
      <c r="R234" s="449">
        <v>1270.72</v>
      </c>
      <c r="S234" s="449">
        <v>1170.2</v>
      </c>
      <c r="T234" s="450">
        <v>1234.69</v>
      </c>
      <c r="V234" s="449">
        <f t="shared" si="39"/>
        <v>1897.357</v>
      </c>
      <c r="W234" s="449">
        <f t="shared" si="40"/>
        <v>1854.941</v>
      </c>
      <c r="X234" s="449">
        <f t="shared" si="41"/>
        <v>1807.0800000000002</v>
      </c>
      <c r="Y234" s="449">
        <f t="shared" si="42"/>
        <v>1694.2310000000002</v>
      </c>
      <c r="Z234" s="449">
        <f t="shared" si="43"/>
        <v>1656.4349999999999</v>
      </c>
      <c r="AA234" s="449">
        <f t="shared" si="44"/>
        <v>1613.6780000000001</v>
      </c>
      <c r="AB234" s="449">
        <f t="shared" si="45"/>
        <v>951.76400000000012</v>
      </c>
      <c r="AC234" s="449">
        <f t="shared" si="46"/>
        <v>2313.0250000000001</v>
      </c>
      <c r="AD234" s="449">
        <f t="shared" si="47"/>
        <v>2185.4250000000002</v>
      </c>
      <c r="AE234" s="449">
        <f t="shared" si="48"/>
        <v>2074.9520000000002</v>
      </c>
      <c r="AF234" s="449">
        <f t="shared" si="49"/>
        <v>1397.7920000000001</v>
      </c>
      <c r="AG234" s="449">
        <f t="shared" si="50"/>
        <v>1287.2200000000003</v>
      </c>
      <c r="AH234" s="450">
        <f t="shared" si="51"/>
        <v>1358.1590000000001</v>
      </c>
    </row>
    <row r="235" spans="1:34">
      <c r="A235" s="427">
        <v>2018</v>
      </c>
      <c r="B235" s="425" t="s">
        <v>317</v>
      </c>
      <c r="C235" s="414" t="s">
        <v>311</v>
      </c>
      <c r="D235" s="414" t="s">
        <v>312</v>
      </c>
      <c r="E235" s="430" t="s">
        <v>316</v>
      </c>
      <c r="F235" s="416" t="s">
        <v>307</v>
      </c>
      <c r="G235" s="417" t="s">
        <v>211</v>
      </c>
      <c r="H235" s="445">
        <v>597.25</v>
      </c>
      <c r="I235" s="445">
        <v>583.9</v>
      </c>
      <c r="J235" s="445">
        <v>568.84</v>
      </c>
      <c r="K235" s="445">
        <v>533.30999999999995</v>
      </c>
      <c r="L235" s="445">
        <v>521.41999999999996</v>
      </c>
      <c r="M235" s="445">
        <v>507.95</v>
      </c>
      <c r="N235" s="445">
        <v>299.60000000000002</v>
      </c>
      <c r="O235" s="445">
        <v>728.1</v>
      </c>
      <c r="P235" s="445">
        <v>687.93</v>
      </c>
      <c r="Q235" s="445">
        <v>653.16</v>
      </c>
      <c r="R235" s="445">
        <v>440</v>
      </c>
      <c r="S235" s="445">
        <v>405.2</v>
      </c>
      <c r="T235" s="446">
        <v>427.53</v>
      </c>
      <c r="V235" s="445">
        <f t="shared" si="39"/>
        <v>656.97500000000002</v>
      </c>
      <c r="W235" s="445">
        <f t="shared" si="40"/>
        <v>642.29000000000008</v>
      </c>
      <c r="X235" s="445">
        <f t="shared" si="41"/>
        <v>625.72400000000005</v>
      </c>
      <c r="Y235" s="445">
        <f t="shared" si="42"/>
        <v>586.64099999999996</v>
      </c>
      <c r="Z235" s="445">
        <f t="shared" si="43"/>
        <v>573.56200000000001</v>
      </c>
      <c r="AA235" s="445">
        <f t="shared" si="44"/>
        <v>558.745</v>
      </c>
      <c r="AB235" s="445">
        <f t="shared" si="45"/>
        <v>329.56000000000006</v>
      </c>
      <c r="AC235" s="445">
        <f t="shared" si="46"/>
        <v>800.91000000000008</v>
      </c>
      <c r="AD235" s="445">
        <f t="shared" si="47"/>
        <v>756.72299999999996</v>
      </c>
      <c r="AE235" s="445">
        <f t="shared" si="48"/>
        <v>718.476</v>
      </c>
      <c r="AF235" s="445">
        <f t="shared" si="49"/>
        <v>484.00000000000006</v>
      </c>
      <c r="AG235" s="445">
        <f t="shared" si="50"/>
        <v>445.72</v>
      </c>
      <c r="AH235" s="446">
        <f t="shared" si="51"/>
        <v>470.28300000000002</v>
      </c>
    </row>
    <row r="236" spans="1:34">
      <c r="A236" s="428">
        <v>2018</v>
      </c>
      <c r="B236" s="152" t="s">
        <v>317</v>
      </c>
      <c r="C236" s="146" t="s">
        <v>311</v>
      </c>
      <c r="D236" s="146" t="s">
        <v>312</v>
      </c>
      <c r="E236" s="151" t="s">
        <v>316</v>
      </c>
      <c r="F236" s="148" t="s">
        <v>307</v>
      </c>
      <c r="G236" s="149" t="s">
        <v>212</v>
      </c>
      <c r="H236" s="447">
        <v>1307.99</v>
      </c>
      <c r="I236" s="447">
        <v>1278.74</v>
      </c>
      <c r="J236" s="447">
        <v>1245.76</v>
      </c>
      <c r="K236" s="447">
        <v>1167.96</v>
      </c>
      <c r="L236" s="447">
        <v>1141.9000000000001</v>
      </c>
      <c r="M236" s="447">
        <v>1112.42</v>
      </c>
      <c r="N236" s="447">
        <v>656.13</v>
      </c>
      <c r="O236" s="447">
        <v>1594.54</v>
      </c>
      <c r="P236" s="447">
        <v>1506.58</v>
      </c>
      <c r="Q236" s="447">
        <v>1430.41</v>
      </c>
      <c r="R236" s="447">
        <v>963.61</v>
      </c>
      <c r="S236" s="447">
        <v>887.38</v>
      </c>
      <c r="T236" s="448">
        <v>936.28</v>
      </c>
      <c r="V236" s="447">
        <f t="shared" si="39"/>
        <v>1438.7890000000002</v>
      </c>
      <c r="W236" s="447">
        <f t="shared" si="40"/>
        <v>1406.614</v>
      </c>
      <c r="X236" s="447">
        <f t="shared" si="41"/>
        <v>1370.336</v>
      </c>
      <c r="Y236" s="447">
        <f t="shared" si="42"/>
        <v>1284.7560000000001</v>
      </c>
      <c r="Z236" s="447">
        <f t="shared" si="43"/>
        <v>1256.0900000000001</v>
      </c>
      <c r="AA236" s="447">
        <f t="shared" si="44"/>
        <v>1223.6620000000003</v>
      </c>
      <c r="AB236" s="447">
        <f t="shared" si="45"/>
        <v>721.74300000000005</v>
      </c>
      <c r="AC236" s="447">
        <f t="shared" si="46"/>
        <v>1753.9940000000001</v>
      </c>
      <c r="AD236" s="447">
        <f t="shared" si="47"/>
        <v>1657.2380000000001</v>
      </c>
      <c r="AE236" s="447">
        <f t="shared" si="48"/>
        <v>1573.4510000000002</v>
      </c>
      <c r="AF236" s="447">
        <f t="shared" si="49"/>
        <v>1059.971</v>
      </c>
      <c r="AG236" s="447">
        <f t="shared" si="50"/>
        <v>976.11800000000005</v>
      </c>
      <c r="AH236" s="448">
        <f t="shared" si="51"/>
        <v>1029.9080000000001</v>
      </c>
    </row>
    <row r="237" spans="1:34">
      <c r="A237" s="428">
        <v>2018</v>
      </c>
      <c r="B237" s="152" t="s">
        <v>317</v>
      </c>
      <c r="C237" s="146" t="s">
        <v>311</v>
      </c>
      <c r="D237" s="146" t="s">
        <v>312</v>
      </c>
      <c r="E237" s="151" t="s">
        <v>316</v>
      </c>
      <c r="F237" s="148" t="s">
        <v>307</v>
      </c>
      <c r="G237" s="149" t="s">
        <v>213</v>
      </c>
      <c r="H237" s="447">
        <v>1134.79</v>
      </c>
      <c r="I237" s="447">
        <v>1109.4100000000001</v>
      </c>
      <c r="J237" s="447">
        <v>1080.79</v>
      </c>
      <c r="K237" s="447">
        <v>1013.29</v>
      </c>
      <c r="L237" s="447">
        <v>990.7</v>
      </c>
      <c r="M237" s="447">
        <v>965.11</v>
      </c>
      <c r="N237" s="447">
        <v>569.24</v>
      </c>
      <c r="O237" s="447">
        <v>1383.39</v>
      </c>
      <c r="P237" s="447">
        <v>1307.08</v>
      </c>
      <c r="Q237" s="447">
        <v>1241</v>
      </c>
      <c r="R237" s="447">
        <v>836</v>
      </c>
      <c r="S237" s="447">
        <v>769.88</v>
      </c>
      <c r="T237" s="448">
        <v>812.31</v>
      </c>
      <c r="V237" s="447">
        <f t="shared" si="39"/>
        <v>1248.269</v>
      </c>
      <c r="W237" s="447">
        <f t="shared" si="40"/>
        <v>1220.3510000000001</v>
      </c>
      <c r="X237" s="447">
        <f t="shared" si="41"/>
        <v>1188.8690000000001</v>
      </c>
      <c r="Y237" s="447">
        <f t="shared" si="42"/>
        <v>1114.6190000000001</v>
      </c>
      <c r="Z237" s="447">
        <f t="shared" si="43"/>
        <v>1089.7700000000002</v>
      </c>
      <c r="AA237" s="447">
        <f t="shared" si="44"/>
        <v>1061.6210000000001</v>
      </c>
      <c r="AB237" s="447">
        <f t="shared" si="45"/>
        <v>626.1640000000001</v>
      </c>
      <c r="AC237" s="447">
        <f t="shared" si="46"/>
        <v>1521.7290000000003</v>
      </c>
      <c r="AD237" s="447">
        <f t="shared" si="47"/>
        <v>1437.788</v>
      </c>
      <c r="AE237" s="447">
        <f t="shared" si="48"/>
        <v>1365.1000000000001</v>
      </c>
      <c r="AF237" s="447">
        <f t="shared" si="49"/>
        <v>919.6</v>
      </c>
      <c r="AG237" s="447">
        <f t="shared" si="50"/>
        <v>846.86800000000005</v>
      </c>
      <c r="AH237" s="448">
        <f t="shared" si="51"/>
        <v>893.54100000000005</v>
      </c>
    </row>
    <row r="238" spans="1:34" ht="16.5" thickBot="1">
      <c r="A238" s="429">
        <v>2018</v>
      </c>
      <c r="B238" s="426" t="s">
        <v>317</v>
      </c>
      <c r="C238" s="421" t="s">
        <v>311</v>
      </c>
      <c r="D238" s="421" t="s">
        <v>312</v>
      </c>
      <c r="E238" s="431" t="s">
        <v>316</v>
      </c>
      <c r="F238" s="423" t="s">
        <v>307</v>
      </c>
      <c r="G238" s="424" t="s">
        <v>214</v>
      </c>
      <c r="H238" s="449">
        <v>1815.66</v>
      </c>
      <c r="I238" s="449">
        <v>1775.07</v>
      </c>
      <c r="J238" s="449">
        <v>1729.26</v>
      </c>
      <c r="K238" s="449">
        <v>1621.27</v>
      </c>
      <c r="L238" s="449">
        <v>1585.11</v>
      </c>
      <c r="M238" s="449">
        <v>1544.19</v>
      </c>
      <c r="N238" s="449">
        <v>910.78</v>
      </c>
      <c r="O238" s="449">
        <v>2213.42</v>
      </c>
      <c r="P238" s="449">
        <v>2091.3200000000002</v>
      </c>
      <c r="Q238" s="449">
        <v>1985.6</v>
      </c>
      <c r="R238" s="449">
        <v>1337.6</v>
      </c>
      <c r="S238" s="449">
        <v>1231.79</v>
      </c>
      <c r="T238" s="450">
        <v>1299.68</v>
      </c>
      <c r="V238" s="449">
        <f t="shared" si="39"/>
        <v>1997.2260000000003</v>
      </c>
      <c r="W238" s="449">
        <f t="shared" si="40"/>
        <v>1952.577</v>
      </c>
      <c r="X238" s="449">
        <f t="shared" si="41"/>
        <v>1902.1860000000001</v>
      </c>
      <c r="Y238" s="449">
        <f t="shared" si="42"/>
        <v>1783.3970000000002</v>
      </c>
      <c r="Z238" s="449">
        <f t="shared" si="43"/>
        <v>1743.6210000000001</v>
      </c>
      <c r="AA238" s="449">
        <f t="shared" si="44"/>
        <v>1698.6090000000002</v>
      </c>
      <c r="AB238" s="449">
        <f t="shared" si="45"/>
        <v>1001.8580000000001</v>
      </c>
      <c r="AC238" s="449">
        <f t="shared" si="46"/>
        <v>2434.7620000000002</v>
      </c>
      <c r="AD238" s="449">
        <f t="shared" si="47"/>
        <v>2300.4520000000002</v>
      </c>
      <c r="AE238" s="449">
        <f t="shared" si="48"/>
        <v>2184.16</v>
      </c>
      <c r="AF238" s="449">
        <f t="shared" si="49"/>
        <v>1471.3600000000001</v>
      </c>
      <c r="AG238" s="449">
        <f t="shared" si="50"/>
        <v>1354.9690000000001</v>
      </c>
      <c r="AH238" s="450">
        <f t="shared" si="51"/>
        <v>1429.6480000000001</v>
      </c>
    </row>
    <row r="239" spans="1:34">
      <c r="A239" s="427">
        <v>2018</v>
      </c>
      <c r="B239" s="425" t="s">
        <v>317</v>
      </c>
      <c r="C239" s="414" t="s">
        <v>313</v>
      </c>
      <c r="D239" s="414" t="s">
        <v>314</v>
      </c>
      <c r="E239" s="430" t="s">
        <v>316</v>
      </c>
      <c r="F239" s="416" t="s">
        <v>307</v>
      </c>
      <c r="G239" s="417" t="s">
        <v>211</v>
      </c>
      <c r="H239" s="445">
        <v>686.84</v>
      </c>
      <c r="I239" s="445">
        <v>671.49</v>
      </c>
      <c r="J239" s="445">
        <v>654.16</v>
      </c>
      <c r="K239" s="445">
        <v>613.30999999999995</v>
      </c>
      <c r="L239" s="445">
        <v>599.63</v>
      </c>
      <c r="M239" s="445">
        <v>584.15</v>
      </c>
      <c r="N239" s="445">
        <v>344.54</v>
      </c>
      <c r="O239" s="445">
        <v>837.31</v>
      </c>
      <c r="P239" s="445">
        <v>791.12</v>
      </c>
      <c r="Q239" s="445">
        <v>751.13</v>
      </c>
      <c r="R239" s="445">
        <v>506</v>
      </c>
      <c r="S239" s="445">
        <v>465.98</v>
      </c>
      <c r="T239" s="446">
        <v>491.66</v>
      </c>
      <c r="V239" s="445">
        <f t="shared" si="39"/>
        <v>755.52400000000011</v>
      </c>
      <c r="W239" s="445">
        <f t="shared" si="40"/>
        <v>738.63900000000012</v>
      </c>
      <c r="X239" s="445">
        <f t="shared" si="41"/>
        <v>719.57600000000002</v>
      </c>
      <c r="Y239" s="445">
        <f t="shared" si="42"/>
        <v>674.64099999999996</v>
      </c>
      <c r="Z239" s="445">
        <f t="shared" si="43"/>
        <v>659.59300000000007</v>
      </c>
      <c r="AA239" s="445">
        <f t="shared" si="44"/>
        <v>642.56500000000005</v>
      </c>
      <c r="AB239" s="445">
        <f t="shared" si="45"/>
        <v>378.99400000000003</v>
      </c>
      <c r="AC239" s="445">
        <f t="shared" si="46"/>
        <v>921.04100000000005</v>
      </c>
      <c r="AD239" s="445">
        <f t="shared" si="47"/>
        <v>870.23200000000008</v>
      </c>
      <c r="AE239" s="445">
        <f t="shared" si="48"/>
        <v>826.24300000000005</v>
      </c>
      <c r="AF239" s="445">
        <f t="shared" si="49"/>
        <v>556.6</v>
      </c>
      <c r="AG239" s="445">
        <f t="shared" si="50"/>
        <v>512.57800000000009</v>
      </c>
      <c r="AH239" s="446">
        <f t="shared" si="51"/>
        <v>540.82600000000002</v>
      </c>
    </row>
    <row r="240" spans="1:34">
      <c r="A240" s="428">
        <v>2018</v>
      </c>
      <c r="B240" s="152" t="s">
        <v>317</v>
      </c>
      <c r="C240" s="146" t="s">
        <v>313</v>
      </c>
      <c r="D240" s="146" t="s">
        <v>314</v>
      </c>
      <c r="E240" s="151" t="s">
        <v>316</v>
      </c>
      <c r="F240" s="148" t="s">
        <v>307</v>
      </c>
      <c r="G240" s="149" t="s">
        <v>212</v>
      </c>
      <c r="H240" s="447">
        <v>1504.19</v>
      </c>
      <c r="I240" s="447">
        <v>1470.56</v>
      </c>
      <c r="J240" s="447">
        <v>1432.63</v>
      </c>
      <c r="K240" s="447">
        <v>1343.15</v>
      </c>
      <c r="L240" s="447">
        <v>1313.18</v>
      </c>
      <c r="M240" s="447">
        <v>1279.28</v>
      </c>
      <c r="N240" s="447">
        <v>754.55</v>
      </c>
      <c r="O240" s="447">
        <v>1833.72</v>
      </c>
      <c r="P240" s="447">
        <v>1732.56</v>
      </c>
      <c r="Q240" s="447">
        <v>1644.97</v>
      </c>
      <c r="R240" s="447">
        <v>1108.1500000000001</v>
      </c>
      <c r="S240" s="447">
        <v>1020.48</v>
      </c>
      <c r="T240" s="448">
        <v>1076.72</v>
      </c>
      <c r="V240" s="447">
        <f t="shared" si="39"/>
        <v>1654.6090000000002</v>
      </c>
      <c r="W240" s="447">
        <f t="shared" si="40"/>
        <v>1617.616</v>
      </c>
      <c r="X240" s="447">
        <f t="shared" si="41"/>
        <v>1575.8930000000003</v>
      </c>
      <c r="Y240" s="447">
        <f t="shared" si="42"/>
        <v>1477.4650000000001</v>
      </c>
      <c r="Z240" s="447">
        <f t="shared" si="43"/>
        <v>1444.4980000000003</v>
      </c>
      <c r="AA240" s="447">
        <f t="shared" si="44"/>
        <v>1407.2080000000001</v>
      </c>
      <c r="AB240" s="447">
        <f t="shared" si="45"/>
        <v>830.005</v>
      </c>
      <c r="AC240" s="447">
        <f t="shared" si="46"/>
        <v>2017.0920000000001</v>
      </c>
      <c r="AD240" s="447">
        <f t="shared" si="47"/>
        <v>1905.816</v>
      </c>
      <c r="AE240" s="447">
        <f t="shared" si="48"/>
        <v>1809.4670000000001</v>
      </c>
      <c r="AF240" s="447">
        <f t="shared" si="49"/>
        <v>1218.9650000000001</v>
      </c>
      <c r="AG240" s="447">
        <f t="shared" si="50"/>
        <v>1122.528</v>
      </c>
      <c r="AH240" s="448">
        <f t="shared" si="51"/>
        <v>1184.3920000000001</v>
      </c>
    </row>
    <row r="241" spans="1:34">
      <c r="A241" s="428">
        <v>2018</v>
      </c>
      <c r="B241" s="152" t="s">
        <v>317</v>
      </c>
      <c r="C241" s="146" t="s">
        <v>313</v>
      </c>
      <c r="D241" s="146" t="s">
        <v>314</v>
      </c>
      <c r="E241" s="151" t="s">
        <v>316</v>
      </c>
      <c r="F241" s="148" t="s">
        <v>307</v>
      </c>
      <c r="G241" s="149" t="s">
        <v>213</v>
      </c>
      <c r="H241" s="447">
        <v>1305.01</v>
      </c>
      <c r="I241" s="447">
        <v>1275.82</v>
      </c>
      <c r="J241" s="447">
        <v>1242.9100000000001</v>
      </c>
      <c r="K241" s="447">
        <v>1165.29</v>
      </c>
      <c r="L241" s="447">
        <v>1139.3</v>
      </c>
      <c r="M241" s="447">
        <v>1109.8800000000001</v>
      </c>
      <c r="N241" s="447">
        <v>654.63</v>
      </c>
      <c r="O241" s="447">
        <v>1590.9</v>
      </c>
      <c r="P241" s="447">
        <v>1503.14</v>
      </c>
      <c r="Q241" s="447">
        <v>1427.15</v>
      </c>
      <c r="R241" s="447">
        <v>961.4</v>
      </c>
      <c r="S241" s="447">
        <v>885.36</v>
      </c>
      <c r="T241" s="448">
        <v>934.15</v>
      </c>
      <c r="V241" s="447">
        <f t="shared" si="39"/>
        <v>1435.5110000000002</v>
      </c>
      <c r="W241" s="447">
        <f t="shared" si="40"/>
        <v>1403.402</v>
      </c>
      <c r="X241" s="447">
        <f t="shared" si="41"/>
        <v>1367.2010000000002</v>
      </c>
      <c r="Y241" s="447">
        <f t="shared" si="42"/>
        <v>1281.819</v>
      </c>
      <c r="Z241" s="447">
        <f t="shared" si="43"/>
        <v>1253.23</v>
      </c>
      <c r="AA241" s="447">
        <f t="shared" si="44"/>
        <v>1220.8680000000002</v>
      </c>
      <c r="AB241" s="447">
        <f t="shared" si="45"/>
        <v>720.09300000000007</v>
      </c>
      <c r="AC241" s="447">
        <f t="shared" si="46"/>
        <v>1749.9900000000002</v>
      </c>
      <c r="AD241" s="447">
        <f t="shared" si="47"/>
        <v>1653.4540000000002</v>
      </c>
      <c r="AE241" s="447">
        <f t="shared" si="48"/>
        <v>1569.8650000000002</v>
      </c>
      <c r="AF241" s="447">
        <f t="shared" si="49"/>
        <v>1057.54</v>
      </c>
      <c r="AG241" s="447">
        <f t="shared" si="50"/>
        <v>973.89600000000007</v>
      </c>
      <c r="AH241" s="448">
        <f t="shared" si="51"/>
        <v>1027.5650000000001</v>
      </c>
    </row>
    <row r="242" spans="1:34" ht="16.5" thickBot="1">
      <c r="A242" s="429">
        <v>2018</v>
      </c>
      <c r="B242" s="426" t="s">
        <v>317</v>
      </c>
      <c r="C242" s="421" t="s">
        <v>313</v>
      </c>
      <c r="D242" s="421" t="s">
        <v>314</v>
      </c>
      <c r="E242" s="431" t="s">
        <v>316</v>
      </c>
      <c r="F242" s="423" t="s">
        <v>307</v>
      </c>
      <c r="G242" s="424" t="s">
        <v>214</v>
      </c>
      <c r="H242" s="449">
        <v>2088.0100000000002</v>
      </c>
      <c r="I242" s="449">
        <v>2041.32</v>
      </c>
      <c r="J242" s="449">
        <v>1988.65</v>
      </c>
      <c r="K242" s="449">
        <v>1864.46</v>
      </c>
      <c r="L242" s="449">
        <v>1822.87</v>
      </c>
      <c r="M242" s="449">
        <v>1775.81</v>
      </c>
      <c r="N242" s="449">
        <v>1047.4000000000001</v>
      </c>
      <c r="O242" s="449">
        <v>2545.44</v>
      </c>
      <c r="P242" s="449">
        <v>2405.02</v>
      </c>
      <c r="Q242" s="449">
        <v>2283.44</v>
      </c>
      <c r="R242" s="449">
        <v>1538.24</v>
      </c>
      <c r="S242" s="449">
        <v>1416.56</v>
      </c>
      <c r="T242" s="450">
        <v>1494.63</v>
      </c>
      <c r="V242" s="449">
        <f t="shared" si="39"/>
        <v>2296.8110000000006</v>
      </c>
      <c r="W242" s="449">
        <f t="shared" si="40"/>
        <v>2245.4520000000002</v>
      </c>
      <c r="X242" s="449">
        <f t="shared" si="41"/>
        <v>2187.5150000000003</v>
      </c>
      <c r="Y242" s="449">
        <f t="shared" si="42"/>
        <v>2050.9060000000004</v>
      </c>
      <c r="Z242" s="449">
        <f t="shared" si="43"/>
        <v>2005.1570000000002</v>
      </c>
      <c r="AA242" s="449">
        <f t="shared" si="44"/>
        <v>1953.3910000000001</v>
      </c>
      <c r="AB242" s="449">
        <f t="shared" si="45"/>
        <v>1152.1400000000001</v>
      </c>
      <c r="AC242" s="449">
        <f t="shared" si="46"/>
        <v>2799.9840000000004</v>
      </c>
      <c r="AD242" s="449">
        <f t="shared" si="47"/>
        <v>2645.5220000000004</v>
      </c>
      <c r="AE242" s="449">
        <f t="shared" si="48"/>
        <v>2511.7840000000001</v>
      </c>
      <c r="AF242" s="449">
        <f t="shared" si="49"/>
        <v>1692.0640000000001</v>
      </c>
      <c r="AG242" s="449">
        <f t="shared" si="50"/>
        <v>1558.2160000000001</v>
      </c>
      <c r="AH242" s="450">
        <f t="shared" si="51"/>
        <v>1644.0930000000003</v>
      </c>
    </row>
    <row r="243" spans="1:34">
      <c r="A243" s="427">
        <v>2018</v>
      </c>
      <c r="B243" s="425" t="s">
        <v>317</v>
      </c>
      <c r="C243" s="414" t="s">
        <v>304</v>
      </c>
      <c r="D243" s="414" t="s">
        <v>305</v>
      </c>
      <c r="E243" s="430" t="s">
        <v>316</v>
      </c>
      <c r="F243" s="432" t="s">
        <v>315</v>
      </c>
      <c r="G243" s="417" t="s">
        <v>211</v>
      </c>
      <c r="H243" s="445">
        <v>516.33000000000004</v>
      </c>
      <c r="I243" s="445">
        <v>504.78</v>
      </c>
      <c r="J243" s="445">
        <v>491.76</v>
      </c>
      <c r="K243" s="445">
        <v>461.05</v>
      </c>
      <c r="L243" s="445">
        <v>450.76</v>
      </c>
      <c r="M243" s="445">
        <v>439.13</v>
      </c>
      <c r="N243" s="445">
        <v>259.01</v>
      </c>
      <c r="O243" s="445">
        <v>651.47</v>
      </c>
      <c r="P243" s="445">
        <v>615.53</v>
      </c>
      <c r="Q243" s="445">
        <v>584.41999999999996</v>
      </c>
      <c r="R243" s="445">
        <v>393.69</v>
      </c>
      <c r="S243" s="445">
        <v>362.55</v>
      </c>
      <c r="T243" s="446">
        <v>382.53</v>
      </c>
      <c r="V243" s="445">
        <f t="shared" si="39"/>
        <v>567.96300000000008</v>
      </c>
      <c r="W243" s="445">
        <f t="shared" si="40"/>
        <v>555.25800000000004</v>
      </c>
      <c r="X243" s="445">
        <f t="shared" si="41"/>
        <v>540.93600000000004</v>
      </c>
      <c r="Y243" s="445">
        <f t="shared" si="42"/>
        <v>507.15500000000003</v>
      </c>
      <c r="Z243" s="445">
        <f t="shared" si="43"/>
        <v>495.83600000000001</v>
      </c>
      <c r="AA243" s="445">
        <f t="shared" si="44"/>
        <v>483.04300000000001</v>
      </c>
      <c r="AB243" s="445">
        <f t="shared" si="45"/>
        <v>284.911</v>
      </c>
      <c r="AC243" s="445">
        <f t="shared" si="46"/>
        <v>716.61700000000008</v>
      </c>
      <c r="AD243" s="445">
        <f t="shared" si="47"/>
        <v>677.08299999999997</v>
      </c>
      <c r="AE243" s="445">
        <f t="shared" si="48"/>
        <v>642.86199999999997</v>
      </c>
      <c r="AF243" s="445">
        <f t="shared" si="49"/>
        <v>433.05900000000003</v>
      </c>
      <c r="AG243" s="445">
        <f t="shared" si="50"/>
        <v>398.80500000000006</v>
      </c>
      <c r="AH243" s="446">
        <f t="shared" si="51"/>
        <v>420.78300000000002</v>
      </c>
    </row>
    <row r="244" spans="1:34">
      <c r="A244" s="428">
        <v>2018</v>
      </c>
      <c r="B244" s="152" t="s">
        <v>317</v>
      </c>
      <c r="C244" s="146" t="s">
        <v>304</v>
      </c>
      <c r="D244" s="146" t="s">
        <v>305</v>
      </c>
      <c r="E244" s="151" t="s">
        <v>316</v>
      </c>
      <c r="F244" s="433" t="s">
        <v>315</v>
      </c>
      <c r="G244" s="149" t="s">
        <v>212</v>
      </c>
      <c r="H244" s="447">
        <v>1130.76</v>
      </c>
      <c r="I244" s="447">
        <v>1105.47</v>
      </c>
      <c r="J244" s="447">
        <v>1076.96</v>
      </c>
      <c r="K244" s="447">
        <v>1009.7</v>
      </c>
      <c r="L244" s="447">
        <v>987.17</v>
      </c>
      <c r="M244" s="447">
        <v>961.69</v>
      </c>
      <c r="N244" s="447">
        <v>567.22</v>
      </c>
      <c r="O244" s="447">
        <v>1426.73</v>
      </c>
      <c r="P244" s="447">
        <v>1348.02</v>
      </c>
      <c r="Q244" s="447">
        <v>1279.8699999999999</v>
      </c>
      <c r="R244" s="447">
        <v>862.2</v>
      </c>
      <c r="S244" s="447">
        <v>793.99</v>
      </c>
      <c r="T244" s="448">
        <v>837.74</v>
      </c>
      <c r="V244" s="447">
        <f t="shared" si="39"/>
        <v>1243.836</v>
      </c>
      <c r="W244" s="447">
        <f t="shared" si="40"/>
        <v>1216.0170000000001</v>
      </c>
      <c r="X244" s="447">
        <f t="shared" si="41"/>
        <v>1184.6560000000002</v>
      </c>
      <c r="Y244" s="447">
        <f t="shared" si="42"/>
        <v>1110.67</v>
      </c>
      <c r="Z244" s="447">
        <f t="shared" si="43"/>
        <v>1085.8869999999999</v>
      </c>
      <c r="AA244" s="447">
        <f t="shared" si="44"/>
        <v>1057.8590000000002</v>
      </c>
      <c r="AB244" s="447">
        <f t="shared" si="45"/>
        <v>623.94200000000012</v>
      </c>
      <c r="AC244" s="447">
        <f t="shared" si="46"/>
        <v>1569.4030000000002</v>
      </c>
      <c r="AD244" s="447">
        <f t="shared" si="47"/>
        <v>1482.8220000000001</v>
      </c>
      <c r="AE244" s="447">
        <f t="shared" si="48"/>
        <v>1407.857</v>
      </c>
      <c r="AF244" s="447">
        <f t="shared" si="49"/>
        <v>948.42000000000007</v>
      </c>
      <c r="AG244" s="447">
        <f t="shared" si="50"/>
        <v>873.38900000000012</v>
      </c>
      <c r="AH244" s="448">
        <f t="shared" si="51"/>
        <v>921.51400000000012</v>
      </c>
    </row>
    <row r="245" spans="1:34">
      <c r="A245" s="428">
        <v>2018</v>
      </c>
      <c r="B245" s="152" t="s">
        <v>317</v>
      </c>
      <c r="C245" s="146" t="s">
        <v>304</v>
      </c>
      <c r="D245" s="146" t="s">
        <v>305</v>
      </c>
      <c r="E245" s="151" t="s">
        <v>316</v>
      </c>
      <c r="F245" s="433" t="s">
        <v>315</v>
      </c>
      <c r="G245" s="149" t="s">
        <v>213</v>
      </c>
      <c r="H245" s="447">
        <v>981.02</v>
      </c>
      <c r="I245" s="447">
        <v>959.09</v>
      </c>
      <c r="J245" s="447">
        <v>934.34</v>
      </c>
      <c r="K245" s="447">
        <v>875.99</v>
      </c>
      <c r="L245" s="447">
        <v>856.46</v>
      </c>
      <c r="M245" s="447">
        <v>834.34</v>
      </c>
      <c r="N245" s="447">
        <v>492.11</v>
      </c>
      <c r="O245" s="447">
        <v>1237.8</v>
      </c>
      <c r="P245" s="447">
        <v>1169.52</v>
      </c>
      <c r="Q245" s="447">
        <v>1110.3900000000001</v>
      </c>
      <c r="R245" s="447">
        <v>748.02</v>
      </c>
      <c r="S245" s="447">
        <v>688.85</v>
      </c>
      <c r="T245" s="448">
        <v>726.82</v>
      </c>
      <c r="V245" s="447">
        <f t="shared" si="39"/>
        <v>1079.1220000000001</v>
      </c>
      <c r="W245" s="447">
        <f t="shared" si="40"/>
        <v>1054.999</v>
      </c>
      <c r="X245" s="447">
        <f t="shared" si="41"/>
        <v>1027.7740000000001</v>
      </c>
      <c r="Y245" s="447">
        <f t="shared" si="42"/>
        <v>963.58900000000006</v>
      </c>
      <c r="Z245" s="447">
        <f t="shared" si="43"/>
        <v>942.10600000000011</v>
      </c>
      <c r="AA245" s="447">
        <f t="shared" si="44"/>
        <v>917.77400000000011</v>
      </c>
      <c r="AB245" s="447">
        <f t="shared" si="45"/>
        <v>541.32100000000003</v>
      </c>
      <c r="AC245" s="447">
        <f t="shared" si="46"/>
        <v>1361.5800000000002</v>
      </c>
      <c r="AD245" s="447">
        <f t="shared" si="47"/>
        <v>1286.472</v>
      </c>
      <c r="AE245" s="447">
        <f t="shared" si="48"/>
        <v>1221.4290000000003</v>
      </c>
      <c r="AF245" s="447">
        <f t="shared" si="49"/>
        <v>822.822</v>
      </c>
      <c r="AG245" s="447">
        <f t="shared" si="50"/>
        <v>757.73500000000013</v>
      </c>
      <c r="AH245" s="448">
        <f t="shared" si="51"/>
        <v>799.50200000000007</v>
      </c>
    </row>
    <row r="246" spans="1:34" ht="16.5" thickBot="1">
      <c r="A246" s="429">
        <v>2018</v>
      </c>
      <c r="B246" s="426" t="s">
        <v>317</v>
      </c>
      <c r="C246" s="421" t="s">
        <v>304</v>
      </c>
      <c r="D246" s="421" t="s">
        <v>305</v>
      </c>
      <c r="E246" s="431" t="s">
        <v>316</v>
      </c>
      <c r="F246" s="434" t="s">
        <v>315</v>
      </c>
      <c r="G246" s="424" t="s">
        <v>214</v>
      </c>
      <c r="H246" s="449">
        <v>1569.64</v>
      </c>
      <c r="I246" s="449">
        <v>1534.54</v>
      </c>
      <c r="J246" s="449">
        <v>1494.95</v>
      </c>
      <c r="K246" s="449">
        <v>1401.59</v>
      </c>
      <c r="L246" s="449">
        <v>1370.33</v>
      </c>
      <c r="M246" s="449">
        <v>1334.95</v>
      </c>
      <c r="N246" s="449">
        <v>787.37</v>
      </c>
      <c r="O246" s="449">
        <v>1980.48</v>
      </c>
      <c r="P246" s="449">
        <v>1871.22</v>
      </c>
      <c r="Q246" s="449">
        <v>1776.63</v>
      </c>
      <c r="R246" s="449">
        <v>1196.83</v>
      </c>
      <c r="S246" s="449">
        <v>1102.1600000000001</v>
      </c>
      <c r="T246" s="450">
        <v>1162.9000000000001</v>
      </c>
      <c r="V246" s="449">
        <f t="shared" si="39"/>
        <v>1726.6040000000003</v>
      </c>
      <c r="W246" s="449">
        <f t="shared" si="40"/>
        <v>1687.9940000000001</v>
      </c>
      <c r="X246" s="449">
        <f t="shared" si="41"/>
        <v>1644.4450000000002</v>
      </c>
      <c r="Y246" s="449">
        <f t="shared" si="42"/>
        <v>1541.749</v>
      </c>
      <c r="Z246" s="449">
        <f t="shared" si="43"/>
        <v>1507.3630000000001</v>
      </c>
      <c r="AA246" s="449">
        <f t="shared" si="44"/>
        <v>1468.4450000000002</v>
      </c>
      <c r="AB246" s="449">
        <f t="shared" si="45"/>
        <v>866.10700000000008</v>
      </c>
      <c r="AC246" s="449">
        <f t="shared" si="46"/>
        <v>2178.5280000000002</v>
      </c>
      <c r="AD246" s="449">
        <f t="shared" si="47"/>
        <v>2058.3420000000001</v>
      </c>
      <c r="AE246" s="449">
        <f t="shared" si="48"/>
        <v>1954.2930000000003</v>
      </c>
      <c r="AF246" s="449">
        <f t="shared" si="49"/>
        <v>1316.5129999999999</v>
      </c>
      <c r="AG246" s="449">
        <f t="shared" si="50"/>
        <v>1212.3760000000002</v>
      </c>
      <c r="AH246" s="450">
        <f t="shared" si="51"/>
        <v>1279.1900000000003</v>
      </c>
    </row>
    <row r="247" spans="1:34">
      <c r="A247" s="427">
        <v>2018</v>
      </c>
      <c r="B247" s="425" t="s">
        <v>317</v>
      </c>
      <c r="C247" s="414" t="s">
        <v>309</v>
      </c>
      <c r="D247" s="414" t="s">
        <v>310</v>
      </c>
      <c r="E247" s="430" t="s">
        <v>316</v>
      </c>
      <c r="F247" s="432" t="s">
        <v>315</v>
      </c>
      <c r="G247" s="417" t="s">
        <v>211</v>
      </c>
      <c r="H247" s="445">
        <v>567.39</v>
      </c>
      <c r="I247" s="445">
        <v>554.71</v>
      </c>
      <c r="J247" s="445">
        <v>540.4</v>
      </c>
      <c r="K247" s="445">
        <v>506.65</v>
      </c>
      <c r="L247" s="445">
        <v>495.35</v>
      </c>
      <c r="M247" s="445">
        <v>482.56</v>
      </c>
      <c r="N247" s="445">
        <v>284.62</v>
      </c>
      <c r="O247" s="445">
        <v>715.9</v>
      </c>
      <c r="P247" s="445">
        <v>676.41</v>
      </c>
      <c r="Q247" s="445">
        <v>642.22</v>
      </c>
      <c r="R247" s="445">
        <v>432.63</v>
      </c>
      <c r="S247" s="445">
        <v>398.41</v>
      </c>
      <c r="T247" s="446">
        <v>420.37</v>
      </c>
      <c r="V247" s="445">
        <f t="shared" si="39"/>
        <v>624.12900000000002</v>
      </c>
      <c r="W247" s="445">
        <f t="shared" si="40"/>
        <v>610.18100000000004</v>
      </c>
      <c r="X247" s="445">
        <f t="shared" si="41"/>
        <v>594.44000000000005</v>
      </c>
      <c r="Y247" s="445">
        <f t="shared" si="42"/>
        <v>557.31500000000005</v>
      </c>
      <c r="Z247" s="445">
        <f t="shared" si="43"/>
        <v>544.8850000000001</v>
      </c>
      <c r="AA247" s="445">
        <f t="shared" si="44"/>
        <v>530.81600000000003</v>
      </c>
      <c r="AB247" s="445">
        <f t="shared" si="45"/>
        <v>313.08200000000005</v>
      </c>
      <c r="AC247" s="445">
        <f t="shared" si="46"/>
        <v>787.49</v>
      </c>
      <c r="AD247" s="445">
        <f t="shared" si="47"/>
        <v>744.05100000000004</v>
      </c>
      <c r="AE247" s="445">
        <f t="shared" si="48"/>
        <v>706.44200000000012</v>
      </c>
      <c r="AF247" s="445">
        <f t="shared" si="49"/>
        <v>475.89300000000003</v>
      </c>
      <c r="AG247" s="445">
        <f t="shared" si="50"/>
        <v>438.25100000000009</v>
      </c>
      <c r="AH247" s="446">
        <f t="shared" si="51"/>
        <v>462.40700000000004</v>
      </c>
    </row>
    <row r="248" spans="1:34">
      <c r="A248" s="428">
        <v>2018</v>
      </c>
      <c r="B248" s="152" t="s">
        <v>317</v>
      </c>
      <c r="C248" s="146" t="s">
        <v>309</v>
      </c>
      <c r="D248" s="146" t="s">
        <v>310</v>
      </c>
      <c r="E248" s="151" t="s">
        <v>316</v>
      </c>
      <c r="F248" s="433" t="s">
        <v>315</v>
      </c>
      <c r="G248" s="149" t="s">
        <v>212</v>
      </c>
      <c r="H248" s="447">
        <v>1242.5899999999999</v>
      </c>
      <c r="I248" s="447">
        <v>1214.81</v>
      </c>
      <c r="J248" s="447">
        <v>1183.47</v>
      </c>
      <c r="K248" s="447">
        <v>1109.56</v>
      </c>
      <c r="L248" s="447">
        <v>1084.8</v>
      </c>
      <c r="M248" s="447">
        <v>1056.8</v>
      </c>
      <c r="N248" s="447">
        <v>623.32000000000005</v>
      </c>
      <c r="O248" s="447">
        <v>1567.83</v>
      </c>
      <c r="P248" s="447">
        <v>1481.34</v>
      </c>
      <c r="Q248" s="447">
        <v>1406.45</v>
      </c>
      <c r="R248" s="447">
        <v>947.47</v>
      </c>
      <c r="S248" s="447">
        <v>872.51</v>
      </c>
      <c r="T248" s="448">
        <v>920.6</v>
      </c>
      <c r="V248" s="447">
        <f t="shared" si="39"/>
        <v>1366.8489999999999</v>
      </c>
      <c r="W248" s="447">
        <f t="shared" si="40"/>
        <v>1336.2909999999999</v>
      </c>
      <c r="X248" s="447">
        <f t="shared" si="41"/>
        <v>1301.8170000000002</v>
      </c>
      <c r="Y248" s="447">
        <f t="shared" si="42"/>
        <v>1220.5160000000001</v>
      </c>
      <c r="Z248" s="447">
        <f t="shared" si="43"/>
        <v>1193.28</v>
      </c>
      <c r="AA248" s="447">
        <f t="shared" si="44"/>
        <v>1162.48</v>
      </c>
      <c r="AB248" s="447">
        <f t="shared" si="45"/>
        <v>685.65200000000016</v>
      </c>
      <c r="AC248" s="447">
        <f t="shared" si="46"/>
        <v>1724.6130000000001</v>
      </c>
      <c r="AD248" s="447">
        <f t="shared" si="47"/>
        <v>1629.4739999999999</v>
      </c>
      <c r="AE248" s="447">
        <f t="shared" si="48"/>
        <v>1547.0950000000003</v>
      </c>
      <c r="AF248" s="447">
        <f t="shared" si="49"/>
        <v>1042.2170000000001</v>
      </c>
      <c r="AG248" s="447">
        <f t="shared" si="50"/>
        <v>959.76100000000008</v>
      </c>
      <c r="AH248" s="448">
        <f t="shared" si="51"/>
        <v>1012.6600000000001</v>
      </c>
    </row>
    <row r="249" spans="1:34">
      <c r="A249" s="428">
        <v>2018</v>
      </c>
      <c r="B249" s="152" t="s">
        <v>317</v>
      </c>
      <c r="C249" s="146" t="s">
        <v>309</v>
      </c>
      <c r="D249" s="146" t="s">
        <v>310</v>
      </c>
      <c r="E249" s="151" t="s">
        <v>316</v>
      </c>
      <c r="F249" s="433" t="s">
        <v>315</v>
      </c>
      <c r="G249" s="149" t="s">
        <v>213</v>
      </c>
      <c r="H249" s="447">
        <v>1078.05</v>
      </c>
      <c r="I249" s="447">
        <v>1053.94</v>
      </c>
      <c r="J249" s="447">
        <v>1026.75</v>
      </c>
      <c r="K249" s="447">
        <v>962.63</v>
      </c>
      <c r="L249" s="447">
        <v>941.16</v>
      </c>
      <c r="M249" s="447">
        <v>916.85</v>
      </c>
      <c r="N249" s="447">
        <v>540.78</v>
      </c>
      <c r="O249" s="447">
        <v>1360.22</v>
      </c>
      <c r="P249" s="447">
        <v>1285.19</v>
      </c>
      <c r="Q249" s="447">
        <v>1220.21</v>
      </c>
      <c r="R249" s="447">
        <v>822</v>
      </c>
      <c r="S249" s="447">
        <v>756.98</v>
      </c>
      <c r="T249" s="448">
        <v>798.7</v>
      </c>
      <c r="V249" s="447">
        <f t="shared" si="39"/>
        <v>1185.855</v>
      </c>
      <c r="W249" s="447">
        <f t="shared" si="40"/>
        <v>1159.3340000000001</v>
      </c>
      <c r="X249" s="447">
        <f t="shared" si="41"/>
        <v>1129.4250000000002</v>
      </c>
      <c r="Y249" s="447">
        <f t="shared" si="42"/>
        <v>1058.893</v>
      </c>
      <c r="Z249" s="447">
        <f t="shared" si="43"/>
        <v>1035.2760000000001</v>
      </c>
      <c r="AA249" s="447">
        <f t="shared" si="44"/>
        <v>1008.5350000000001</v>
      </c>
      <c r="AB249" s="447">
        <f t="shared" si="45"/>
        <v>594.85800000000006</v>
      </c>
      <c r="AC249" s="447">
        <f t="shared" si="46"/>
        <v>1496.2420000000002</v>
      </c>
      <c r="AD249" s="447">
        <f t="shared" si="47"/>
        <v>1413.7090000000003</v>
      </c>
      <c r="AE249" s="447">
        <f t="shared" si="48"/>
        <v>1342.2310000000002</v>
      </c>
      <c r="AF249" s="447">
        <f t="shared" si="49"/>
        <v>904.2</v>
      </c>
      <c r="AG249" s="447">
        <f t="shared" si="50"/>
        <v>832.67800000000011</v>
      </c>
      <c r="AH249" s="448">
        <f t="shared" si="51"/>
        <v>878.57000000000016</v>
      </c>
    </row>
    <row r="250" spans="1:34" ht="16.5" thickBot="1">
      <c r="A250" s="429">
        <v>2018</v>
      </c>
      <c r="B250" s="426" t="s">
        <v>317</v>
      </c>
      <c r="C250" s="421" t="s">
        <v>309</v>
      </c>
      <c r="D250" s="421" t="s">
        <v>310</v>
      </c>
      <c r="E250" s="431" t="s">
        <v>316</v>
      </c>
      <c r="F250" s="434" t="s">
        <v>315</v>
      </c>
      <c r="G250" s="424" t="s">
        <v>214</v>
      </c>
      <c r="H250" s="449">
        <v>1724.87</v>
      </c>
      <c r="I250" s="449">
        <v>1686.31</v>
      </c>
      <c r="J250" s="449">
        <v>1642.8</v>
      </c>
      <c r="K250" s="449">
        <v>1540.21</v>
      </c>
      <c r="L250" s="449">
        <v>1505.85</v>
      </c>
      <c r="M250" s="449">
        <v>1466.98</v>
      </c>
      <c r="N250" s="449">
        <v>865.24</v>
      </c>
      <c r="O250" s="449">
        <v>2176.35</v>
      </c>
      <c r="P250" s="449">
        <v>2056.29</v>
      </c>
      <c r="Q250" s="449">
        <v>1952.34</v>
      </c>
      <c r="R250" s="449">
        <v>1315.2</v>
      </c>
      <c r="S250" s="449">
        <v>1211.1600000000001</v>
      </c>
      <c r="T250" s="450">
        <v>1277.9100000000001</v>
      </c>
      <c r="V250" s="449">
        <f t="shared" si="39"/>
        <v>1897.357</v>
      </c>
      <c r="W250" s="449">
        <f t="shared" si="40"/>
        <v>1854.941</v>
      </c>
      <c r="X250" s="449">
        <f t="shared" si="41"/>
        <v>1807.0800000000002</v>
      </c>
      <c r="Y250" s="449">
        <f t="shared" si="42"/>
        <v>1694.2310000000002</v>
      </c>
      <c r="Z250" s="449">
        <f t="shared" si="43"/>
        <v>1656.4349999999999</v>
      </c>
      <c r="AA250" s="449">
        <f t="shared" si="44"/>
        <v>1613.6780000000001</v>
      </c>
      <c r="AB250" s="449">
        <f t="shared" si="45"/>
        <v>951.76400000000012</v>
      </c>
      <c r="AC250" s="449">
        <f t="shared" si="46"/>
        <v>2393.9850000000001</v>
      </c>
      <c r="AD250" s="449">
        <f t="shared" si="47"/>
        <v>2261.9190000000003</v>
      </c>
      <c r="AE250" s="449">
        <f t="shared" si="48"/>
        <v>2147.5740000000001</v>
      </c>
      <c r="AF250" s="449">
        <f t="shared" si="49"/>
        <v>1446.7200000000003</v>
      </c>
      <c r="AG250" s="449">
        <f t="shared" si="50"/>
        <v>1332.2760000000003</v>
      </c>
      <c r="AH250" s="450">
        <f t="shared" si="51"/>
        <v>1405.7010000000002</v>
      </c>
    </row>
    <row r="251" spans="1:34">
      <c r="A251" s="427">
        <v>2018</v>
      </c>
      <c r="B251" s="425" t="s">
        <v>317</v>
      </c>
      <c r="C251" s="414" t="s">
        <v>311</v>
      </c>
      <c r="D251" s="414" t="s">
        <v>312</v>
      </c>
      <c r="E251" s="430" t="s">
        <v>316</v>
      </c>
      <c r="F251" s="432" t="s">
        <v>315</v>
      </c>
      <c r="G251" s="417" t="s">
        <v>211</v>
      </c>
      <c r="H251" s="445">
        <v>597.25</v>
      </c>
      <c r="I251" s="445">
        <v>583.9</v>
      </c>
      <c r="J251" s="445">
        <v>568.84</v>
      </c>
      <c r="K251" s="445">
        <v>533.30999999999995</v>
      </c>
      <c r="L251" s="445">
        <v>521.41999999999996</v>
      </c>
      <c r="M251" s="445">
        <v>507.95</v>
      </c>
      <c r="N251" s="445">
        <v>299.60000000000002</v>
      </c>
      <c r="O251" s="445">
        <v>753.58</v>
      </c>
      <c r="P251" s="445">
        <v>712.01</v>
      </c>
      <c r="Q251" s="445">
        <v>676.02</v>
      </c>
      <c r="R251" s="445">
        <v>455.4</v>
      </c>
      <c r="S251" s="445">
        <v>419.38</v>
      </c>
      <c r="T251" s="446">
        <v>442.49</v>
      </c>
      <c r="V251" s="445">
        <f t="shared" si="39"/>
        <v>656.97500000000002</v>
      </c>
      <c r="W251" s="445">
        <f t="shared" si="40"/>
        <v>642.29000000000008</v>
      </c>
      <c r="X251" s="445">
        <f t="shared" si="41"/>
        <v>625.72400000000005</v>
      </c>
      <c r="Y251" s="445">
        <f t="shared" si="42"/>
        <v>586.64099999999996</v>
      </c>
      <c r="Z251" s="445">
        <f t="shared" si="43"/>
        <v>573.56200000000001</v>
      </c>
      <c r="AA251" s="445">
        <f t="shared" si="44"/>
        <v>558.745</v>
      </c>
      <c r="AB251" s="445">
        <f t="shared" si="45"/>
        <v>329.56000000000006</v>
      </c>
      <c r="AC251" s="445">
        <f t="shared" si="46"/>
        <v>828.9380000000001</v>
      </c>
      <c r="AD251" s="445">
        <f t="shared" si="47"/>
        <v>783.21100000000001</v>
      </c>
      <c r="AE251" s="445">
        <f t="shared" si="48"/>
        <v>743.62200000000007</v>
      </c>
      <c r="AF251" s="445">
        <f t="shared" si="49"/>
        <v>500.94</v>
      </c>
      <c r="AG251" s="445">
        <f t="shared" si="50"/>
        <v>461.31800000000004</v>
      </c>
      <c r="AH251" s="446">
        <f t="shared" si="51"/>
        <v>486.73900000000003</v>
      </c>
    </row>
    <row r="252" spans="1:34">
      <c r="A252" s="428">
        <v>2018</v>
      </c>
      <c r="B252" s="152" t="s">
        <v>317</v>
      </c>
      <c r="C252" s="146" t="s">
        <v>311</v>
      </c>
      <c r="D252" s="146" t="s">
        <v>312</v>
      </c>
      <c r="E252" s="151" t="s">
        <v>316</v>
      </c>
      <c r="F252" s="433" t="s">
        <v>315</v>
      </c>
      <c r="G252" s="149" t="s">
        <v>212</v>
      </c>
      <c r="H252" s="447">
        <v>1307.99</v>
      </c>
      <c r="I252" s="447">
        <v>1278.74</v>
      </c>
      <c r="J252" s="447">
        <v>1245.76</v>
      </c>
      <c r="K252" s="447">
        <v>1167.96</v>
      </c>
      <c r="L252" s="447">
        <v>1141.9000000000001</v>
      </c>
      <c r="M252" s="447">
        <v>1112.42</v>
      </c>
      <c r="N252" s="447">
        <v>656.13</v>
      </c>
      <c r="O252" s="447">
        <v>1650.35</v>
      </c>
      <c r="P252" s="447">
        <v>1559.31</v>
      </c>
      <c r="Q252" s="447">
        <v>1480.48</v>
      </c>
      <c r="R252" s="447">
        <v>997.33</v>
      </c>
      <c r="S252" s="447">
        <v>918.43</v>
      </c>
      <c r="T252" s="448">
        <v>969.05</v>
      </c>
      <c r="V252" s="447">
        <f t="shared" si="39"/>
        <v>1438.7890000000002</v>
      </c>
      <c r="W252" s="447">
        <f t="shared" si="40"/>
        <v>1406.614</v>
      </c>
      <c r="X252" s="447">
        <f t="shared" si="41"/>
        <v>1370.336</v>
      </c>
      <c r="Y252" s="447">
        <f t="shared" si="42"/>
        <v>1284.7560000000001</v>
      </c>
      <c r="Z252" s="447">
        <f t="shared" si="43"/>
        <v>1256.0900000000001</v>
      </c>
      <c r="AA252" s="447">
        <f t="shared" si="44"/>
        <v>1223.6620000000003</v>
      </c>
      <c r="AB252" s="447">
        <f t="shared" si="45"/>
        <v>721.74300000000005</v>
      </c>
      <c r="AC252" s="447">
        <f t="shared" si="46"/>
        <v>1815.385</v>
      </c>
      <c r="AD252" s="447">
        <f t="shared" si="47"/>
        <v>1715.241</v>
      </c>
      <c r="AE252" s="447">
        <f t="shared" si="48"/>
        <v>1628.5280000000002</v>
      </c>
      <c r="AF252" s="447">
        <f t="shared" si="49"/>
        <v>1097.0630000000001</v>
      </c>
      <c r="AG252" s="447">
        <f t="shared" si="50"/>
        <v>1010.273</v>
      </c>
      <c r="AH252" s="448">
        <f t="shared" si="51"/>
        <v>1065.9549999999999</v>
      </c>
    </row>
    <row r="253" spans="1:34">
      <c r="A253" s="428">
        <v>2018</v>
      </c>
      <c r="B253" s="152" t="s">
        <v>317</v>
      </c>
      <c r="C253" s="146" t="s">
        <v>311</v>
      </c>
      <c r="D253" s="146" t="s">
        <v>312</v>
      </c>
      <c r="E253" s="151" t="s">
        <v>316</v>
      </c>
      <c r="F253" s="433" t="s">
        <v>315</v>
      </c>
      <c r="G253" s="149" t="s">
        <v>213</v>
      </c>
      <c r="H253" s="447">
        <v>1134.79</v>
      </c>
      <c r="I253" s="447">
        <v>1109.4100000000001</v>
      </c>
      <c r="J253" s="447">
        <v>1080.79</v>
      </c>
      <c r="K253" s="447">
        <v>1013.29</v>
      </c>
      <c r="L253" s="447">
        <v>990.7</v>
      </c>
      <c r="M253" s="447">
        <v>965.11</v>
      </c>
      <c r="N253" s="447">
        <v>569.24</v>
      </c>
      <c r="O253" s="447">
        <v>1431.81</v>
      </c>
      <c r="P253" s="447">
        <v>1352.83</v>
      </c>
      <c r="Q253" s="447">
        <v>1284.43</v>
      </c>
      <c r="R253" s="447">
        <v>865.26</v>
      </c>
      <c r="S253" s="447">
        <v>796.82</v>
      </c>
      <c r="T253" s="448">
        <v>840.74</v>
      </c>
      <c r="V253" s="447">
        <f t="shared" si="39"/>
        <v>1248.269</v>
      </c>
      <c r="W253" s="447">
        <f t="shared" si="40"/>
        <v>1220.3510000000001</v>
      </c>
      <c r="X253" s="447">
        <f t="shared" si="41"/>
        <v>1188.8690000000001</v>
      </c>
      <c r="Y253" s="447">
        <f t="shared" si="42"/>
        <v>1114.6190000000001</v>
      </c>
      <c r="Z253" s="447">
        <f t="shared" si="43"/>
        <v>1089.7700000000002</v>
      </c>
      <c r="AA253" s="447">
        <f t="shared" si="44"/>
        <v>1061.6210000000001</v>
      </c>
      <c r="AB253" s="447">
        <f t="shared" si="45"/>
        <v>626.1640000000001</v>
      </c>
      <c r="AC253" s="447">
        <f t="shared" si="46"/>
        <v>1574.991</v>
      </c>
      <c r="AD253" s="447">
        <f t="shared" si="47"/>
        <v>1488.1130000000001</v>
      </c>
      <c r="AE253" s="447">
        <f t="shared" si="48"/>
        <v>1412.8730000000003</v>
      </c>
      <c r="AF253" s="447">
        <f t="shared" si="49"/>
        <v>951.78600000000006</v>
      </c>
      <c r="AG253" s="447">
        <f t="shared" si="50"/>
        <v>876.50200000000018</v>
      </c>
      <c r="AH253" s="448">
        <f t="shared" si="51"/>
        <v>924.81400000000008</v>
      </c>
    </row>
    <row r="254" spans="1:34" ht="16.5" thickBot="1">
      <c r="A254" s="429">
        <v>2018</v>
      </c>
      <c r="B254" s="426" t="s">
        <v>317</v>
      </c>
      <c r="C254" s="421" t="s">
        <v>311</v>
      </c>
      <c r="D254" s="421" t="s">
        <v>312</v>
      </c>
      <c r="E254" s="431" t="s">
        <v>316</v>
      </c>
      <c r="F254" s="434" t="s">
        <v>315</v>
      </c>
      <c r="G254" s="424" t="s">
        <v>214</v>
      </c>
      <c r="H254" s="449">
        <v>1815.66</v>
      </c>
      <c r="I254" s="449">
        <v>1775.07</v>
      </c>
      <c r="J254" s="449">
        <v>1729.26</v>
      </c>
      <c r="K254" s="449">
        <v>1621.27</v>
      </c>
      <c r="L254" s="449">
        <v>1585.11</v>
      </c>
      <c r="M254" s="449">
        <v>1544.19</v>
      </c>
      <c r="N254" s="449">
        <v>910.78</v>
      </c>
      <c r="O254" s="449">
        <v>2290.89</v>
      </c>
      <c r="P254" s="449">
        <v>2164.5100000000002</v>
      </c>
      <c r="Q254" s="449">
        <v>2055.09</v>
      </c>
      <c r="R254" s="449">
        <v>1384.42</v>
      </c>
      <c r="S254" s="449">
        <v>1274.9100000000001</v>
      </c>
      <c r="T254" s="450">
        <v>1345.17</v>
      </c>
      <c r="V254" s="449">
        <f t="shared" si="39"/>
        <v>1997.2260000000003</v>
      </c>
      <c r="W254" s="449">
        <f t="shared" si="40"/>
        <v>1952.577</v>
      </c>
      <c r="X254" s="449">
        <f t="shared" si="41"/>
        <v>1902.1860000000001</v>
      </c>
      <c r="Y254" s="449">
        <f t="shared" si="42"/>
        <v>1783.3970000000002</v>
      </c>
      <c r="Z254" s="449">
        <f t="shared" si="43"/>
        <v>1743.6210000000001</v>
      </c>
      <c r="AA254" s="449">
        <f t="shared" si="44"/>
        <v>1698.6090000000002</v>
      </c>
      <c r="AB254" s="449">
        <f t="shared" si="45"/>
        <v>1001.8580000000001</v>
      </c>
      <c r="AC254" s="449">
        <f t="shared" si="46"/>
        <v>2519.9790000000003</v>
      </c>
      <c r="AD254" s="449">
        <f t="shared" si="47"/>
        <v>2380.9610000000002</v>
      </c>
      <c r="AE254" s="449">
        <f t="shared" si="48"/>
        <v>2260.5990000000002</v>
      </c>
      <c r="AF254" s="449">
        <f t="shared" si="49"/>
        <v>1522.8620000000003</v>
      </c>
      <c r="AG254" s="449">
        <f t="shared" si="50"/>
        <v>1402.4010000000003</v>
      </c>
      <c r="AH254" s="450">
        <f t="shared" si="51"/>
        <v>1479.6870000000001</v>
      </c>
    </row>
    <row r="255" spans="1:34">
      <c r="A255" s="427">
        <v>2018</v>
      </c>
      <c r="B255" s="425" t="s">
        <v>317</v>
      </c>
      <c r="C255" s="414" t="s">
        <v>313</v>
      </c>
      <c r="D255" s="414" t="s">
        <v>314</v>
      </c>
      <c r="E255" s="430" t="s">
        <v>316</v>
      </c>
      <c r="F255" s="432" t="s">
        <v>315</v>
      </c>
      <c r="G255" s="417" t="s">
        <v>211</v>
      </c>
      <c r="H255" s="445">
        <v>686.84</v>
      </c>
      <c r="I255" s="445">
        <v>671.49</v>
      </c>
      <c r="J255" s="445">
        <v>654.16</v>
      </c>
      <c r="K255" s="445">
        <v>613.30999999999995</v>
      </c>
      <c r="L255" s="445">
        <v>599.63</v>
      </c>
      <c r="M255" s="445">
        <v>584.15</v>
      </c>
      <c r="N255" s="445">
        <v>344.54</v>
      </c>
      <c r="O255" s="445">
        <v>866.62</v>
      </c>
      <c r="P255" s="445">
        <v>818.81</v>
      </c>
      <c r="Q255" s="445">
        <v>777.42</v>
      </c>
      <c r="R255" s="445">
        <v>523.71</v>
      </c>
      <c r="S255" s="445">
        <v>482.28</v>
      </c>
      <c r="T255" s="446">
        <v>508.86</v>
      </c>
      <c r="V255" s="445">
        <f t="shared" si="39"/>
        <v>755.52400000000011</v>
      </c>
      <c r="W255" s="445">
        <f t="shared" si="40"/>
        <v>738.63900000000012</v>
      </c>
      <c r="X255" s="445">
        <f t="shared" si="41"/>
        <v>719.57600000000002</v>
      </c>
      <c r="Y255" s="445">
        <f t="shared" si="42"/>
        <v>674.64099999999996</v>
      </c>
      <c r="Z255" s="445">
        <f t="shared" si="43"/>
        <v>659.59300000000007</v>
      </c>
      <c r="AA255" s="445">
        <f t="shared" si="44"/>
        <v>642.56500000000005</v>
      </c>
      <c r="AB255" s="445">
        <f t="shared" si="45"/>
        <v>378.99400000000003</v>
      </c>
      <c r="AC255" s="445">
        <f t="shared" si="46"/>
        <v>953.28200000000004</v>
      </c>
      <c r="AD255" s="445">
        <f t="shared" si="47"/>
        <v>900.69100000000003</v>
      </c>
      <c r="AE255" s="445">
        <f t="shared" si="48"/>
        <v>855.16200000000003</v>
      </c>
      <c r="AF255" s="445">
        <f t="shared" si="49"/>
        <v>576.08100000000013</v>
      </c>
      <c r="AG255" s="445">
        <f t="shared" si="50"/>
        <v>530.50800000000004</v>
      </c>
      <c r="AH255" s="446">
        <f t="shared" si="51"/>
        <v>559.74600000000009</v>
      </c>
    </row>
    <row r="256" spans="1:34">
      <c r="A256" s="428">
        <v>2018</v>
      </c>
      <c r="B256" s="152" t="s">
        <v>317</v>
      </c>
      <c r="C256" s="146" t="s">
        <v>313</v>
      </c>
      <c r="D256" s="146" t="s">
        <v>314</v>
      </c>
      <c r="E256" s="151" t="s">
        <v>316</v>
      </c>
      <c r="F256" s="433" t="s">
        <v>315</v>
      </c>
      <c r="G256" s="149" t="s">
        <v>212</v>
      </c>
      <c r="H256" s="447">
        <v>1504.19</v>
      </c>
      <c r="I256" s="447">
        <v>1470.56</v>
      </c>
      <c r="J256" s="447">
        <v>1432.63</v>
      </c>
      <c r="K256" s="447">
        <v>1343.15</v>
      </c>
      <c r="L256" s="447">
        <v>1313.18</v>
      </c>
      <c r="M256" s="447">
        <v>1279.28</v>
      </c>
      <c r="N256" s="447">
        <v>754.55</v>
      </c>
      <c r="O256" s="447">
        <v>1897.9</v>
      </c>
      <c r="P256" s="447">
        <v>1793.2</v>
      </c>
      <c r="Q256" s="447">
        <v>1702.55</v>
      </c>
      <c r="R256" s="447">
        <v>1146.94</v>
      </c>
      <c r="S256" s="447">
        <v>1056.2</v>
      </c>
      <c r="T256" s="448">
        <v>1114.4100000000001</v>
      </c>
      <c r="V256" s="447">
        <f t="shared" si="39"/>
        <v>1654.6090000000002</v>
      </c>
      <c r="W256" s="447">
        <f t="shared" si="40"/>
        <v>1617.616</v>
      </c>
      <c r="X256" s="447">
        <f t="shared" si="41"/>
        <v>1575.8930000000003</v>
      </c>
      <c r="Y256" s="447">
        <f t="shared" si="42"/>
        <v>1477.4650000000001</v>
      </c>
      <c r="Z256" s="447">
        <f t="shared" si="43"/>
        <v>1444.4980000000003</v>
      </c>
      <c r="AA256" s="447">
        <f t="shared" si="44"/>
        <v>1407.2080000000001</v>
      </c>
      <c r="AB256" s="447">
        <f t="shared" si="45"/>
        <v>830.005</v>
      </c>
      <c r="AC256" s="447">
        <f t="shared" si="46"/>
        <v>2087.69</v>
      </c>
      <c r="AD256" s="447">
        <f t="shared" si="47"/>
        <v>1972.5200000000002</v>
      </c>
      <c r="AE256" s="447">
        <f t="shared" si="48"/>
        <v>1872.8050000000001</v>
      </c>
      <c r="AF256" s="447">
        <f t="shared" si="49"/>
        <v>1261.6340000000002</v>
      </c>
      <c r="AG256" s="447">
        <f t="shared" si="50"/>
        <v>1161.8200000000002</v>
      </c>
      <c r="AH256" s="448">
        <f t="shared" si="51"/>
        <v>1225.8510000000001</v>
      </c>
    </row>
    <row r="257" spans="1:34">
      <c r="A257" s="428">
        <v>2018</v>
      </c>
      <c r="B257" s="152" t="s">
        <v>317</v>
      </c>
      <c r="C257" s="146" t="s">
        <v>313</v>
      </c>
      <c r="D257" s="146" t="s">
        <v>314</v>
      </c>
      <c r="E257" s="151" t="s">
        <v>316</v>
      </c>
      <c r="F257" s="433" t="s">
        <v>315</v>
      </c>
      <c r="G257" s="149" t="s">
        <v>213</v>
      </c>
      <c r="H257" s="447">
        <v>1305.01</v>
      </c>
      <c r="I257" s="447">
        <v>1275.82</v>
      </c>
      <c r="J257" s="447">
        <v>1242.9100000000001</v>
      </c>
      <c r="K257" s="447">
        <v>1165.29</v>
      </c>
      <c r="L257" s="447">
        <v>1139.3</v>
      </c>
      <c r="M257" s="447">
        <v>1109.8800000000001</v>
      </c>
      <c r="N257" s="447">
        <v>654.63</v>
      </c>
      <c r="O257" s="447">
        <v>1646.58</v>
      </c>
      <c r="P257" s="447">
        <v>1555.75</v>
      </c>
      <c r="Q257" s="447">
        <v>1477.1</v>
      </c>
      <c r="R257" s="447">
        <v>995.05</v>
      </c>
      <c r="S257" s="447">
        <v>916.35</v>
      </c>
      <c r="T257" s="448">
        <v>966.85</v>
      </c>
      <c r="V257" s="447">
        <f t="shared" si="39"/>
        <v>1435.5110000000002</v>
      </c>
      <c r="W257" s="447">
        <f t="shared" si="40"/>
        <v>1403.402</v>
      </c>
      <c r="X257" s="447">
        <f t="shared" si="41"/>
        <v>1367.2010000000002</v>
      </c>
      <c r="Y257" s="447">
        <f t="shared" si="42"/>
        <v>1281.819</v>
      </c>
      <c r="Z257" s="447">
        <f t="shared" si="43"/>
        <v>1253.23</v>
      </c>
      <c r="AA257" s="447">
        <f t="shared" si="44"/>
        <v>1220.8680000000002</v>
      </c>
      <c r="AB257" s="447">
        <f t="shared" si="45"/>
        <v>720.09300000000007</v>
      </c>
      <c r="AC257" s="447">
        <f t="shared" si="46"/>
        <v>1811.2380000000001</v>
      </c>
      <c r="AD257" s="447">
        <f t="shared" si="47"/>
        <v>1711.325</v>
      </c>
      <c r="AE257" s="447">
        <f t="shared" si="48"/>
        <v>1624.81</v>
      </c>
      <c r="AF257" s="447">
        <f t="shared" si="49"/>
        <v>1094.5550000000001</v>
      </c>
      <c r="AG257" s="447">
        <f t="shared" si="50"/>
        <v>1007.9850000000001</v>
      </c>
      <c r="AH257" s="448">
        <f t="shared" si="51"/>
        <v>1063.5350000000001</v>
      </c>
    </row>
    <row r="258" spans="1:34" ht="16.5" thickBot="1">
      <c r="A258" s="429">
        <v>2018</v>
      </c>
      <c r="B258" s="426" t="s">
        <v>317</v>
      </c>
      <c r="C258" s="421" t="s">
        <v>313</v>
      </c>
      <c r="D258" s="421" t="s">
        <v>314</v>
      </c>
      <c r="E258" s="431" t="s">
        <v>316</v>
      </c>
      <c r="F258" s="434" t="s">
        <v>315</v>
      </c>
      <c r="G258" s="424" t="s">
        <v>214</v>
      </c>
      <c r="H258" s="449">
        <v>2088.0100000000002</v>
      </c>
      <c r="I258" s="449">
        <v>2041.32</v>
      </c>
      <c r="J258" s="449">
        <v>1988.65</v>
      </c>
      <c r="K258" s="449">
        <v>1864.46</v>
      </c>
      <c r="L258" s="449">
        <v>1822.87</v>
      </c>
      <c r="M258" s="449">
        <v>1775.81</v>
      </c>
      <c r="N258" s="449">
        <v>1047.4000000000001</v>
      </c>
      <c r="O258" s="449">
        <v>2634.53</v>
      </c>
      <c r="P258" s="449">
        <v>2489.19</v>
      </c>
      <c r="Q258" s="449">
        <v>2363.36</v>
      </c>
      <c r="R258" s="449">
        <v>1592.08</v>
      </c>
      <c r="S258" s="449">
        <v>1466.14</v>
      </c>
      <c r="T258" s="450">
        <v>1546.94</v>
      </c>
      <c r="V258" s="449">
        <f t="shared" si="39"/>
        <v>2296.8110000000006</v>
      </c>
      <c r="W258" s="449">
        <f t="shared" si="40"/>
        <v>2245.4520000000002</v>
      </c>
      <c r="X258" s="449">
        <f t="shared" si="41"/>
        <v>2187.5150000000003</v>
      </c>
      <c r="Y258" s="449">
        <f t="shared" si="42"/>
        <v>2050.9060000000004</v>
      </c>
      <c r="Z258" s="449">
        <f t="shared" si="43"/>
        <v>2005.1570000000002</v>
      </c>
      <c r="AA258" s="449">
        <f t="shared" si="44"/>
        <v>1953.3910000000001</v>
      </c>
      <c r="AB258" s="449">
        <f t="shared" si="45"/>
        <v>1152.1400000000001</v>
      </c>
      <c r="AC258" s="449">
        <f t="shared" si="46"/>
        <v>2897.9830000000006</v>
      </c>
      <c r="AD258" s="449">
        <f t="shared" si="47"/>
        <v>2738.1090000000004</v>
      </c>
      <c r="AE258" s="449">
        <f t="shared" si="48"/>
        <v>2599.6960000000004</v>
      </c>
      <c r="AF258" s="449">
        <f t="shared" si="49"/>
        <v>1751.288</v>
      </c>
      <c r="AG258" s="449">
        <f t="shared" si="50"/>
        <v>1612.7540000000001</v>
      </c>
      <c r="AH258" s="450">
        <f t="shared" si="51"/>
        <v>1701.6340000000002</v>
      </c>
    </row>
    <row r="259" spans="1:34">
      <c r="A259" s="144"/>
      <c r="B259" s="144"/>
      <c r="C259" s="144"/>
      <c r="D259" s="144"/>
      <c r="E259" s="144"/>
      <c r="F259" s="144"/>
      <c r="G259" s="144"/>
      <c r="H259" s="153"/>
      <c r="I259" s="153"/>
      <c r="J259" s="153"/>
      <c r="K259" s="153"/>
      <c r="L259" s="153"/>
      <c r="M259" s="153"/>
      <c r="N259" s="153"/>
      <c r="O259" s="153"/>
      <c r="P259" s="153"/>
      <c r="Q259" s="153"/>
      <c r="R259" s="153"/>
      <c r="S259" s="153"/>
      <c r="T259" s="153"/>
      <c r="V259" s="153"/>
      <c r="W259" s="153"/>
      <c r="X259" s="153"/>
      <c r="Y259" s="153"/>
      <c r="Z259" s="153"/>
      <c r="AA259" s="153"/>
      <c r="AB259" s="153"/>
      <c r="AC259" s="153"/>
      <c r="AD259" s="153"/>
      <c r="AE259" s="153"/>
      <c r="AF259" s="153"/>
      <c r="AG259" s="153"/>
      <c r="AH259" s="153"/>
    </row>
  </sheetData>
  <autoFilter ref="A2:T258" xr:uid="{00000000-0009-0000-0000-000005000000}">
    <filterColumn colId="0">
      <filters>
        <filter val="2018"/>
      </filters>
    </filterColumn>
  </autoFilter>
  <phoneticPr fontId="88" type="noConversion"/>
  <pageMargins left="0.7" right="0.7" top="0.75" bottom="0.75" header="0.3" footer="0.3"/>
  <pageSetup orientation="portrait" r:id="rId1"/>
  <colBreaks count="2" manualBreakCount="2">
    <brk id="10" max="1048575" man="1"/>
    <brk id="17"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1B6EE4-B4F6-43C2-910A-89F4E285A9BC}">
  <sheetPr>
    <tabColor theme="6"/>
  </sheetPr>
  <dimension ref="A1:Y35"/>
  <sheetViews>
    <sheetView tabSelected="1" zoomScale="80" zoomScaleNormal="80" zoomScaleSheetLayoutView="100" workbookViewId="0">
      <pane xSplit="5" ySplit="2" topLeftCell="F3" activePane="bottomRight" state="frozen"/>
      <selection activeCell="H14" sqref="H14"/>
      <selection pane="topRight" activeCell="H14" sqref="H14"/>
      <selection pane="bottomLeft" activeCell="H14" sqref="H14"/>
      <selection pane="bottomRight"/>
    </sheetView>
  </sheetViews>
  <sheetFormatPr defaultColWidth="8.875" defaultRowHeight="15.75"/>
  <cols>
    <col min="1" max="1" width="5.625" customWidth="1"/>
    <col min="2" max="2" width="6.875" customWidth="1"/>
    <col min="3" max="3" width="9" customWidth="1"/>
    <col min="4" max="4" width="10.625" customWidth="1"/>
    <col min="5" max="5" width="6" customWidth="1"/>
    <col min="6" max="11" width="13" customWidth="1"/>
    <col min="12" max="12" width="17" customWidth="1"/>
    <col min="13" max="21" width="13" customWidth="1"/>
    <col min="22" max="22" width="6.625" bestFit="1" customWidth="1"/>
    <col min="23" max="23" width="8.125" bestFit="1" customWidth="1"/>
    <col min="24" max="24" width="6.375" customWidth="1"/>
    <col min="25" max="26" width="8.125" bestFit="1" customWidth="1"/>
    <col min="27" max="27" width="6.625" customWidth="1"/>
    <col min="28" max="28" width="8.125" bestFit="1" customWidth="1"/>
    <col min="29" max="30" width="6.625" bestFit="1" customWidth="1"/>
    <col min="31" max="33" width="8.125" bestFit="1" customWidth="1"/>
    <col min="34" max="34" width="5.875" bestFit="1" customWidth="1"/>
    <col min="35" max="35" width="8.125" bestFit="1" customWidth="1"/>
    <col min="36" max="36" width="0.875" customWidth="1"/>
    <col min="37" max="37" width="5.875" bestFit="1" customWidth="1"/>
    <col min="38" max="38" width="5.125" customWidth="1"/>
    <col min="39" max="39" width="1.625" customWidth="1"/>
  </cols>
  <sheetData>
    <row r="1" spans="1:25" ht="54" customHeight="1" thickBot="1">
      <c r="A1" s="143"/>
      <c r="B1" s="143"/>
      <c r="C1" s="143"/>
      <c r="D1" s="143"/>
      <c r="E1" s="143"/>
      <c r="F1" s="442" t="s">
        <v>322</v>
      </c>
      <c r="G1" s="442" t="s">
        <v>323</v>
      </c>
      <c r="H1" s="442" t="s">
        <v>324</v>
      </c>
      <c r="I1" s="442" t="s">
        <v>6169</v>
      </c>
      <c r="J1" s="442" t="s">
        <v>6170</v>
      </c>
      <c r="K1" s="442" t="s">
        <v>6171</v>
      </c>
      <c r="L1" s="442" t="s">
        <v>6172</v>
      </c>
      <c r="M1" s="442" t="s">
        <v>329</v>
      </c>
      <c r="N1" s="442" t="s">
        <v>330</v>
      </c>
      <c r="O1" s="442" t="s">
        <v>331</v>
      </c>
      <c r="P1" s="442" t="s">
        <v>332</v>
      </c>
      <c r="Q1" s="442" t="s">
        <v>333</v>
      </c>
      <c r="R1" s="442" t="s">
        <v>334</v>
      </c>
      <c r="S1" s="442" t="s">
        <v>332</v>
      </c>
      <c r="T1" s="442" t="s">
        <v>333</v>
      </c>
      <c r="U1" s="442" t="s">
        <v>334</v>
      </c>
      <c r="V1" s="144"/>
      <c r="W1" s="144"/>
      <c r="X1" s="144"/>
      <c r="Y1" s="144"/>
    </row>
    <row r="2" spans="1:25" ht="51.75" thickBot="1">
      <c r="A2" s="409" t="s">
        <v>287</v>
      </c>
      <c r="B2" s="410" t="s">
        <v>275</v>
      </c>
      <c r="C2" s="410" t="s">
        <v>288</v>
      </c>
      <c r="D2" s="410" t="s">
        <v>289</v>
      </c>
      <c r="E2" s="411" t="s">
        <v>277</v>
      </c>
      <c r="F2" s="443" t="s">
        <v>6173</v>
      </c>
      <c r="G2" s="443" t="s">
        <v>6174</v>
      </c>
      <c r="H2" s="443" t="s">
        <v>6175</v>
      </c>
      <c r="I2" s="443" t="s">
        <v>6176</v>
      </c>
      <c r="J2" s="443" t="s">
        <v>6177</v>
      </c>
      <c r="K2" s="443" t="s">
        <v>6178</v>
      </c>
      <c r="L2" s="443" t="s">
        <v>6179</v>
      </c>
      <c r="M2" s="443" t="s">
        <v>6180</v>
      </c>
      <c r="N2" s="443" t="s">
        <v>6181</v>
      </c>
      <c r="O2" s="1617" t="s">
        <v>6182</v>
      </c>
      <c r="P2" s="443" t="s">
        <v>6183</v>
      </c>
      <c r="Q2" s="443" t="s">
        <v>6185</v>
      </c>
      <c r="R2" s="443" t="s">
        <v>6184</v>
      </c>
      <c r="S2" s="443" t="s">
        <v>6186</v>
      </c>
      <c r="T2" s="443" t="s">
        <v>6188</v>
      </c>
      <c r="U2" s="443" t="s">
        <v>6187</v>
      </c>
      <c r="V2" s="144"/>
      <c r="W2" s="144"/>
      <c r="X2" s="144"/>
      <c r="Y2" s="144"/>
    </row>
    <row r="3" spans="1:25">
      <c r="A3" s="427">
        <v>2018</v>
      </c>
      <c r="B3" s="413" t="s">
        <v>303</v>
      </c>
      <c r="C3" s="414" t="s">
        <v>304</v>
      </c>
      <c r="D3" s="414" t="s">
        <v>305</v>
      </c>
      <c r="E3" s="417" t="s">
        <v>211</v>
      </c>
      <c r="F3" s="445">
        <v>650.21249999999998</v>
      </c>
      <c r="G3" s="445">
        <v>635.48100000000011</v>
      </c>
      <c r="H3" s="445">
        <v>618.84900000000005</v>
      </c>
      <c r="I3" s="445">
        <v>586.15200000000004</v>
      </c>
      <c r="J3" s="445">
        <v>572.89050000000009</v>
      </c>
      <c r="K3" s="445">
        <v>557.91750000000002</v>
      </c>
      <c r="L3" s="445">
        <v>302.69399999999996</v>
      </c>
      <c r="M3" s="445">
        <v>713.59050000000002</v>
      </c>
      <c r="N3" s="445">
        <v>674.21550000000002</v>
      </c>
      <c r="O3" s="445">
        <v>640.12199999999996</v>
      </c>
      <c r="P3" s="445">
        <v>431.62350000000004</v>
      </c>
      <c r="Q3" s="445">
        <v>397.46700000000004</v>
      </c>
      <c r="R3" s="446">
        <v>419.37</v>
      </c>
      <c r="S3" s="445">
        <v>437.76600000000002</v>
      </c>
      <c r="T3" s="445">
        <v>403.11600000000004</v>
      </c>
      <c r="U3" s="446">
        <v>425.334</v>
      </c>
    </row>
    <row r="4" spans="1:25">
      <c r="A4" s="428">
        <v>2018</v>
      </c>
      <c r="B4" s="145" t="s">
        <v>303</v>
      </c>
      <c r="C4" s="146" t="s">
        <v>304</v>
      </c>
      <c r="D4" s="146" t="s">
        <v>305</v>
      </c>
      <c r="E4" s="149" t="s">
        <v>212</v>
      </c>
      <c r="F4" s="447">
        <v>1423.9575000000002</v>
      </c>
      <c r="G4" s="447">
        <v>1391.7120000000002</v>
      </c>
      <c r="H4" s="447">
        <v>1355.2875000000001</v>
      </c>
      <c r="I4" s="447">
        <v>1283.6775</v>
      </c>
      <c r="J4" s="447">
        <v>1254.6345000000001</v>
      </c>
      <c r="K4" s="447">
        <v>1221.8430000000001</v>
      </c>
      <c r="L4" s="447">
        <v>662.90700000000004</v>
      </c>
      <c r="M4" s="447">
        <v>1562.7674999999999</v>
      </c>
      <c r="N4" s="447">
        <v>1476.5310000000002</v>
      </c>
      <c r="O4" s="447">
        <v>1401.8654999999999</v>
      </c>
      <c r="P4" s="447">
        <v>945.26250000000005</v>
      </c>
      <c r="Q4" s="447">
        <v>870.45</v>
      </c>
      <c r="R4" s="448">
        <v>918.41399999999999</v>
      </c>
      <c r="S4" s="447">
        <v>958.70249999999999</v>
      </c>
      <c r="T4" s="447">
        <v>882.81899999999996</v>
      </c>
      <c r="U4" s="448">
        <v>931.476</v>
      </c>
    </row>
    <row r="5" spans="1:25">
      <c r="A5" s="428">
        <v>2018</v>
      </c>
      <c r="B5" s="145" t="s">
        <v>303</v>
      </c>
      <c r="C5" s="146" t="s">
        <v>304</v>
      </c>
      <c r="D5" s="146" t="s">
        <v>305</v>
      </c>
      <c r="E5" s="149" t="s">
        <v>213</v>
      </c>
      <c r="F5" s="447">
        <v>1235.3879999999999</v>
      </c>
      <c r="G5" s="447">
        <v>1207.4160000000002</v>
      </c>
      <c r="H5" s="447">
        <v>1175.8215</v>
      </c>
      <c r="I5" s="447">
        <v>1113.6930000000002</v>
      </c>
      <c r="J5" s="447">
        <v>1088.5035</v>
      </c>
      <c r="K5" s="447">
        <v>1060.0485000000001</v>
      </c>
      <c r="L5" s="447">
        <v>575.12700000000007</v>
      </c>
      <c r="M5" s="447">
        <v>1355.8335</v>
      </c>
      <c r="N5" s="447">
        <v>1281.0105000000001</v>
      </c>
      <c r="O5" s="447">
        <v>1216.2359999999999</v>
      </c>
      <c r="P5" s="447">
        <v>820.08150000000001</v>
      </c>
      <c r="Q5" s="447">
        <v>755.18100000000004</v>
      </c>
      <c r="R5" s="448">
        <v>796.79250000000002</v>
      </c>
      <c r="S5" s="447">
        <v>831.74700000000007</v>
      </c>
      <c r="T5" s="447">
        <v>765.91200000000003</v>
      </c>
      <c r="U5" s="448">
        <v>808.12200000000007</v>
      </c>
    </row>
    <row r="6" spans="1:25" ht="16.5" thickBot="1">
      <c r="A6" s="429">
        <v>2018</v>
      </c>
      <c r="B6" s="420" t="s">
        <v>303</v>
      </c>
      <c r="C6" s="421" t="s">
        <v>304</v>
      </c>
      <c r="D6" s="421" t="s">
        <v>305</v>
      </c>
      <c r="E6" s="424" t="s">
        <v>214</v>
      </c>
      <c r="F6" s="449">
        <v>1976.6355000000001</v>
      </c>
      <c r="G6" s="449">
        <v>1931.8740000000003</v>
      </c>
      <c r="H6" s="449">
        <v>1881.3165000000001</v>
      </c>
      <c r="I6" s="449">
        <v>1781.9024999999999</v>
      </c>
      <c r="J6" s="449">
        <v>1741.6035000000002</v>
      </c>
      <c r="K6" s="449">
        <v>1696.0650000000001</v>
      </c>
      <c r="L6" s="449">
        <v>920.19900000000007</v>
      </c>
      <c r="M6" s="449">
        <v>2169.3209999999999</v>
      </c>
      <c r="N6" s="449">
        <v>2049.6105000000002</v>
      </c>
      <c r="O6" s="449">
        <v>1945.9755</v>
      </c>
      <c r="P6" s="449">
        <v>1312.143</v>
      </c>
      <c r="Q6" s="449">
        <v>1208.2875000000001</v>
      </c>
      <c r="R6" s="450">
        <v>1274.8785</v>
      </c>
      <c r="S6" s="449">
        <v>1330.8015</v>
      </c>
      <c r="T6" s="449">
        <v>1225.4655</v>
      </c>
      <c r="U6" s="450">
        <v>1293.0120000000002</v>
      </c>
    </row>
    <row r="7" spans="1:25">
      <c r="A7" s="427">
        <v>2018</v>
      </c>
      <c r="B7" s="413" t="s">
        <v>303</v>
      </c>
      <c r="C7" s="414" t="s">
        <v>309</v>
      </c>
      <c r="D7" s="414" t="s">
        <v>310</v>
      </c>
      <c r="E7" s="417" t="s">
        <v>211</v>
      </c>
      <c r="F7" s="445">
        <v>714.5145</v>
      </c>
      <c r="G7" s="445">
        <v>698.33400000000006</v>
      </c>
      <c r="H7" s="445">
        <v>680.05349999999999</v>
      </c>
      <c r="I7" s="445">
        <v>644.12250000000006</v>
      </c>
      <c r="J7" s="445">
        <v>629.55900000000008</v>
      </c>
      <c r="K7" s="445">
        <v>613.09500000000003</v>
      </c>
      <c r="L7" s="445">
        <v>332.64000000000004</v>
      </c>
      <c r="M7" s="445">
        <v>784.17150000000004</v>
      </c>
      <c r="N7" s="445">
        <v>740.89050000000009</v>
      </c>
      <c r="O7" s="445">
        <v>703.42650000000003</v>
      </c>
      <c r="P7" s="445">
        <v>474.31650000000002</v>
      </c>
      <c r="Q7" s="445">
        <v>436.77900000000005</v>
      </c>
      <c r="R7" s="446">
        <v>460.84499999999997</v>
      </c>
      <c r="S7" s="445">
        <v>481.0575</v>
      </c>
      <c r="T7" s="445">
        <v>442.98450000000003</v>
      </c>
      <c r="U7" s="446">
        <v>467.39699999999999</v>
      </c>
    </row>
    <row r="8" spans="1:25">
      <c r="A8" s="428">
        <v>2018</v>
      </c>
      <c r="B8" s="145" t="s">
        <v>303</v>
      </c>
      <c r="C8" s="146" t="s">
        <v>309</v>
      </c>
      <c r="D8" s="146" t="s">
        <v>310</v>
      </c>
      <c r="E8" s="149" t="s">
        <v>212</v>
      </c>
      <c r="F8" s="447">
        <v>1564.7835</v>
      </c>
      <c r="G8" s="447">
        <v>1529.346</v>
      </c>
      <c r="H8" s="447">
        <v>1489.3305000000003</v>
      </c>
      <c r="I8" s="447">
        <v>1410.633</v>
      </c>
      <c r="J8" s="447">
        <v>1378.7235000000001</v>
      </c>
      <c r="K8" s="447">
        <v>1342.6770000000001</v>
      </c>
      <c r="L8" s="447">
        <v>728.46900000000005</v>
      </c>
      <c r="M8" s="447">
        <v>1717.3275000000001</v>
      </c>
      <c r="N8" s="447">
        <v>1622.5650000000001</v>
      </c>
      <c r="O8" s="447">
        <v>1540.5075000000002</v>
      </c>
      <c r="P8" s="447">
        <v>1038.7439999999999</v>
      </c>
      <c r="Q8" s="447">
        <v>956.53950000000009</v>
      </c>
      <c r="R8" s="448">
        <v>1009.2495000000001</v>
      </c>
      <c r="S8" s="447">
        <v>1053.5175000000002</v>
      </c>
      <c r="T8" s="447">
        <v>970.13700000000006</v>
      </c>
      <c r="U8" s="448">
        <v>1023.6030000000001</v>
      </c>
    </row>
    <row r="9" spans="1:25">
      <c r="A9" s="428">
        <v>2018</v>
      </c>
      <c r="B9" s="145" t="s">
        <v>303</v>
      </c>
      <c r="C9" s="146" t="s">
        <v>309</v>
      </c>
      <c r="D9" s="146" t="s">
        <v>310</v>
      </c>
      <c r="E9" s="149" t="s">
        <v>213</v>
      </c>
      <c r="F9" s="447">
        <v>1357.5765000000001</v>
      </c>
      <c r="G9" s="447">
        <v>1326.8325000000002</v>
      </c>
      <c r="H9" s="447">
        <v>1292.1089999999999</v>
      </c>
      <c r="I9" s="447">
        <v>1223.838</v>
      </c>
      <c r="J9" s="447">
        <v>1196.1600000000001</v>
      </c>
      <c r="K9" s="447">
        <v>1164.8805000000002</v>
      </c>
      <c r="L9" s="447">
        <v>632.01599999999996</v>
      </c>
      <c r="M9" s="447">
        <v>1489.9290000000001</v>
      </c>
      <c r="N9" s="447">
        <v>1407.7035000000001</v>
      </c>
      <c r="O9" s="447">
        <v>1336.5135</v>
      </c>
      <c r="P9" s="447">
        <v>901.19399999999996</v>
      </c>
      <c r="Q9" s="447">
        <v>829.86750000000006</v>
      </c>
      <c r="R9" s="448">
        <v>875.60550000000001</v>
      </c>
      <c r="S9" s="447">
        <v>914.00400000000002</v>
      </c>
      <c r="T9" s="447">
        <v>841.66950000000008</v>
      </c>
      <c r="U9" s="448">
        <v>888.048</v>
      </c>
    </row>
    <row r="10" spans="1:25" ht="16.5" thickBot="1">
      <c r="A10" s="429">
        <v>2018</v>
      </c>
      <c r="B10" s="420" t="s">
        <v>303</v>
      </c>
      <c r="C10" s="421" t="s">
        <v>309</v>
      </c>
      <c r="D10" s="421" t="s">
        <v>310</v>
      </c>
      <c r="E10" s="424" t="s">
        <v>214</v>
      </c>
      <c r="F10" s="449">
        <v>2172.1245000000004</v>
      </c>
      <c r="G10" s="449">
        <v>2122.9319999999998</v>
      </c>
      <c r="H10" s="449">
        <v>2067.3765000000003</v>
      </c>
      <c r="I10" s="449">
        <v>1958.1345000000001</v>
      </c>
      <c r="J10" s="449">
        <v>1913.8455000000001</v>
      </c>
      <c r="K10" s="449">
        <v>1863.8130000000001</v>
      </c>
      <c r="L10" s="449">
        <v>1011.213</v>
      </c>
      <c r="M10" s="449">
        <v>2383.8780000000002</v>
      </c>
      <c r="N10" s="449">
        <v>2252.3235000000004</v>
      </c>
      <c r="O10" s="449">
        <v>2138.4299999999998</v>
      </c>
      <c r="P10" s="449">
        <v>1441.923</v>
      </c>
      <c r="Q10" s="449">
        <v>1327.788</v>
      </c>
      <c r="R10" s="450">
        <v>1400.9625000000001</v>
      </c>
      <c r="S10" s="449">
        <v>1462.4190000000001</v>
      </c>
      <c r="T10" s="449">
        <v>1346.6669999999999</v>
      </c>
      <c r="U10" s="450">
        <v>1420.8915000000002</v>
      </c>
    </row>
    <row r="11" spans="1:25">
      <c r="A11" s="427">
        <v>2018</v>
      </c>
      <c r="B11" s="413" t="s">
        <v>303</v>
      </c>
      <c r="C11" s="414" t="s">
        <v>311</v>
      </c>
      <c r="D11" s="414" t="s">
        <v>312</v>
      </c>
      <c r="E11" s="417" t="s">
        <v>211</v>
      </c>
      <c r="F11" s="445">
        <v>752.11500000000001</v>
      </c>
      <c r="G11" s="445">
        <v>735.09450000000004</v>
      </c>
      <c r="H11" s="445">
        <v>715.84800000000007</v>
      </c>
      <c r="I11" s="445">
        <v>678.02700000000004</v>
      </c>
      <c r="J11" s="445">
        <v>662.68650000000002</v>
      </c>
      <c r="K11" s="445">
        <v>645.36149999999998</v>
      </c>
      <c r="L11" s="445">
        <v>350.14350000000002</v>
      </c>
      <c r="M11" s="445">
        <v>825.43650000000002</v>
      </c>
      <c r="N11" s="445">
        <v>779.88750000000005</v>
      </c>
      <c r="O11" s="445">
        <v>740.44950000000006</v>
      </c>
      <c r="P11" s="445">
        <v>499.27500000000003</v>
      </c>
      <c r="Q11" s="445">
        <v>459.76350000000002</v>
      </c>
      <c r="R11" s="446">
        <v>485.1</v>
      </c>
      <c r="S11" s="445">
        <v>506.37299999999999</v>
      </c>
      <c r="T11" s="445">
        <v>466.29449999999997</v>
      </c>
      <c r="U11" s="446">
        <v>491.99850000000004</v>
      </c>
    </row>
    <row r="12" spans="1:25">
      <c r="A12" s="428">
        <v>2018</v>
      </c>
      <c r="B12" s="145" t="s">
        <v>303</v>
      </c>
      <c r="C12" s="146" t="s">
        <v>311</v>
      </c>
      <c r="D12" s="146" t="s">
        <v>312</v>
      </c>
      <c r="E12" s="149" t="s">
        <v>212</v>
      </c>
      <c r="F12" s="447">
        <v>1647.1455000000001</v>
      </c>
      <c r="G12" s="447">
        <v>1609.8390000000002</v>
      </c>
      <c r="H12" s="447">
        <v>1567.713</v>
      </c>
      <c r="I12" s="447">
        <v>1484.8785</v>
      </c>
      <c r="J12" s="447">
        <v>1451.2890000000002</v>
      </c>
      <c r="K12" s="447">
        <v>1413.3525</v>
      </c>
      <c r="L12" s="447">
        <v>766.80449999999996</v>
      </c>
      <c r="M12" s="447">
        <v>1807.7115000000001</v>
      </c>
      <c r="N12" s="447">
        <v>1707.9615000000001</v>
      </c>
      <c r="O12" s="447">
        <v>1621.5885000000001</v>
      </c>
      <c r="P12" s="447">
        <v>1093.4175</v>
      </c>
      <c r="Q12" s="447">
        <v>1006.8765</v>
      </c>
      <c r="R12" s="448">
        <v>1062.3689999999999</v>
      </c>
      <c r="S12" s="447">
        <v>1108.9680000000001</v>
      </c>
      <c r="T12" s="447">
        <v>1021.1985000000001</v>
      </c>
      <c r="U12" s="448">
        <v>1077.4680000000001</v>
      </c>
    </row>
    <row r="13" spans="1:25">
      <c r="A13" s="428">
        <v>2018</v>
      </c>
      <c r="B13" s="145" t="s">
        <v>303</v>
      </c>
      <c r="C13" s="146" t="s">
        <v>311</v>
      </c>
      <c r="D13" s="146" t="s">
        <v>312</v>
      </c>
      <c r="E13" s="149" t="s">
        <v>213</v>
      </c>
      <c r="F13" s="447">
        <v>1429.0185000000001</v>
      </c>
      <c r="G13" s="447">
        <v>1396.6680000000001</v>
      </c>
      <c r="H13" s="447">
        <v>1360.1175000000001</v>
      </c>
      <c r="I13" s="447">
        <v>1288.2555000000002</v>
      </c>
      <c r="J13" s="447">
        <v>1259.1180000000002</v>
      </c>
      <c r="K13" s="447">
        <v>1226.19</v>
      </c>
      <c r="L13" s="447">
        <v>665.28000000000009</v>
      </c>
      <c r="M13" s="447">
        <v>1568.3430000000001</v>
      </c>
      <c r="N13" s="447">
        <v>1481.7915</v>
      </c>
      <c r="O13" s="447">
        <v>1406.8634999999999</v>
      </c>
      <c r="P13" s="447">
        <v>948.62250000000006</v>
      </c>
      <c r="Q13" s="447">
        <v>873.54750000000013</v>
      </c>
      <c r="R13" s="448">
        <v>921.68999999999994</v>
      </c>
      <c r="S13" s="447">
        <v>962.11500000000001</v>
      </c>
      <c r="T13" s="447">
        <v>885.96900000000005</v>
      </c>
      <c r="U13" s="448">
        <v>934.79399999999998</v>
      </c>
    </row>
    <row r="14" spans="1:25" ht="16.5" thickBot="1">
      <c r="A14" s="429">
        <v>2018</v>
      </c>
      <c r="B14" s="420" t="s">
        <v>303</v>
      </c>
      <c r="C14" s="421" t="s">
        <v>311</v>
      </c>
      <c r="D14" s="421" t="s">
        <v>312</v>
      </c>
      <c r="E14" s="424" t="s">
        <v>214</v>
      </c>
      <c r="F14" s="449">
        <v>2286.4485000000004</v>
      </c>
      <c r="G14" s="449">
        <v>2234.6730000000002</v>
      </c>
      <c r="H14" s="449">
        <v>2176.1880000000001</v>
      </c>
      <c r="I14" s="449">
        <v>2061.2024999999999</v>
      </c>
      <c r="J14" s="449">
        <v>2014.5720000000001</v>
      </c>
      <c r="K14" s="449">
        <v>1961.904</v>
      </c>
      <c r="L14" s="449">
        <v>1064.4375</v>
      </c>
      <c r="M14" s="449">
        <v>2509.3425000000002</v>
      </c>
      <c r="N14" s="449">
        <v>2370.8580000000002</v>
      </c>
      <c r="O14" s="449">
        <v>2250.9794999999999</v>
      </c>
      <c r="P14" s="449">
        <v>1517.8065000000001</v>
      </c>
      <c r="Q14" s="449">
        <v>1397.6759999999999</v>
      </c>
      <c r="R14" s="450">
        <v>1474.7040000000002</v>
      </c>
      <c r="S14" s="449">
        <v>1539.384</v>
      </c>
      <c r="T14" s="449">
        <v>1417.5525</v>
      </c>
      <c r="U14" s="450">
        <v>1495.6725000000001</v>
      </c>
    </row>
    <row r="15" spans="1:25">
      <c r="A15" s="427">
        <v>2018</v>
      </c>
      <c r="B15" s="413" t="s">
        <v>303</v>
      </c>
      <c r="C15" s="414" t="s">
        <v>313</v>
      </c>
      <c r="D15" s="414" t="s">
        <v>314</v>
      </c>
      <c r="E15" s="417" t="s">
        <v>211</v>
      </c>
      <c r="F15" s="445">
        <v>864.9375</v>
      </c>
      <c r="G15" s="445">
        <v>845.35500000000002</v>
      </c>
      <c r="H15" s="445">
        <v>823.23149999999998</v>
      </c>
      <c r="I15" s="445">
        <v>779.73</v>
      </c>
      <c r="J15" s="445">
        <v>762.09</v>
      </c>
      <c r="K15" s="445">
        <v>742.17150000000004</v>
      </c>
      <c r="L15" s="445">
        <v>402.66450000000003</v>
      </c>
      <c r="M15" s="445">
        <v>949.25249999999994</v>
      </c>
      <c r="N15" s="445">
        <v>896.86800000000005</v>
      </c>
      <c r="O15" s="445">
        <v>851.51850000000002</v>
      </c>
      <c r="P15" s="445">
        <v>574.17150000000004</v>
      </c>
      <c r="Q15" s="445">
        <v>528.72750000000008</v>
      </c>
      <c r="R15" s="446">
        <v>557.86500000000001</v>
      </c>
      <c r="S15" s="445">
        <v>582.33000000000004</v>
      </c>
      <c r="T15" s="445">
        <v>536.24549999999999</v>
      </c>
      <c r="U15" s="446">
        <v>565.79250000000002</v>
      </c>
    </row>
    <row r="16" spans="1:25">
      <c r="A16" s="428">
        <v>2018</v>
      </c>
      <c r="B16" s="145" t="s">
        <v>303</v>
      </c>
      <c r="C16" s="146" t="s">
        <v>313</v>
      </c>
      <c r="D16" s="146" t="s">
        <v>314</v>
      </c>
      <c r="E16" s="149" t="s">
        <v>212</v>
      </c>
      <c r="F16" s="447">
        <v>1894.2105000000001</v>
      </c>
      <c r="G16" s="447">
        <v>1851.3180000000002</v>
      </c>
      <c r="H16" s="447">
        <v>1802.8710000000001</v>
      </c>
      <c r="I16" s="447">
        <v>1707.6045000000001</v>
      </c>
      <c r="J16" s="447">
        <v>1668.9750000000001</v>
      </c>
      <c r="K16" s="447">
        <v>1625.3475000000001</v>
      </c>
      <c r="L16" s="447">
        <v>881.83200000000011</v>
      </c>
      <c r="M16" s="447">
        <v>2078.8740000000003</v>
      </c>
      <c r="N16" s="447">
        <v>1964.1615000000002</v>
      </c>
      <c r="O16" s="447">
        <v>1864.8315</v>
      </c>
      <c r="P16" s="447">
        <v>1257.4275</v>
      </c>
      <c r="Q16" s="447">
        <v>1157.9085</v>
      </c>
      <c r="R16" s="448">
        <v>1221.7275</v>
      </c>
      <c r="S16" s="447">
        <v>1275.309</v>
      </c>
      <c r="T16" s="447">
        <v>1174.3725000000002</v>
      </c>
      <c r="U16" s="448">
        <v>1239.0944999999999</v>
      </c>
    </row>
    <row r="17" spans="1:21">
      <c r="A17" s="428">
        <v>2018</v>
      </c>
      <c r="B17" s="145" t="s">
        <v>303</v>
      </c>
      <c r="C17" s="146" t="s">
        <v>313</v>
      </c>
      <c r="D17" s="146" t="s">
        <v>314</v>
      </c>
      <c r="E17" s="149" t="s">
        <v>213</v>
      </c>
      <c r="F17" s="447">
        <v>1643.376</v>
      </c>
      <c r="G17" s="447">
        <v>1606.1640000000002</v>
      </c>
      <c r="H17" s="447">
        <v>1564.1325000000002</v>
      </c>
      <c r="I17" s="447">
        <v>1481.4870000000001</v>
      </c>
      <c r="J17" s="447">
        <v>1447.9815000000001</v>
      </c>
      <c r="K17" s="447">
        <v>1410.1185</v>
      </c>
      <c r="L17" s="447">
        <v>765.072</v>
      </c>
      <c r="M17" s="447">
        <v>1803.5955000000001</v>
      </c>
      <c r="N17" s="447">
        <v>1704.0660000000003</v>
      </c>
      <c r="O17" s="447">
        <v>1617.8924999999999</v>
      </c>
      <c r="P17" s="447">
        <v>1090.9185</v>
      </c>
      <c r="Q17" s="447">
        <v>1004.577</v>
      </c>
      <c r="R17" s="448">
        <v>1059.9435000000001</v>
      </c>
      <c r="S17" s="447">
        <v>1106.4270000000001</v>
      </c>
      <c r="T17" s="447">
        <v>1018.8570000000001</v>
      </c>
      <c r="U17" s="448">
        <v>1075.0110000000002</v>
      </c>
    </row>
    <row r="18" spans="1:21" ht="16.5" thickBot="1">
      <c r="A18" s="429">
        <v>2018</v>
      </c>
      <c r="B18" s="420" t="s">
        <v>303</v>
      </c>
      <c r="C18" s="421" t="s">
        <v>313</v>
      </c>
      <c r="D18" s="421" t="s">
        <v>314</v>
      </c>
      <c r="E18" s="424" t="s">
        <v>214</v>
      </c>
      <c r="F18" s="449">
        <v>2629.41</v>
      </c>
      <c r="G18" s="449">
        <v>2569.875</v>
      </c>
      <c r="H18" s="449">
        <v>2502.6120000000001</v>
      </c>
      <c r="I18" s="449">
        <v>2370.375</v>
      </c>
      <c r="J18" s="449">
        <v>2316.7620000000002</v>
      </c>
      <c r="K18" s="449">
        <v>2256.1875</v>
      </c>
      <c r="L18" s="449">
        <v>1224.1005</v>
      </c>
      <c r="M18" s="449">
        <v>2885.7465000000002</v>
      </c>
      <c r="N18" s="449">
        <v>2726.4929999999999</v>
      </c>
      <c r="O18" s="449">
        <v>2588.6280000000002</v>
      </c>
      <c r="P18" s="449">
        <v>1745.4780000000001</v>
      </c>
      <c r="Q18" s="449">
        <v>1607.3295000000001</v>
      </c>
      <c r="R18" s="450">
        <v>1695.9075000000003</v>
      </c>
      <c r="S18" s="449">
        <v>1770.3000000000002</v>
      </c>
      <c r="T18" s="449">
        <v>1630.1775</v>
      </c>
      <c r="U18" s="450">
        <v>1720.0155</v>
      </c>
    </row>
    <row r="19" spans="1:21">
      <c r="A19" s="427">
        <v>2018</v>
      </c>
      <c r="B19" s="425" t="s">
        <v>317</v>
      </c>
      <c r="C19" s="414" t="s">
        <v>304</v>
      </c>
      <c r="D19" s="414" t="s">
        <v>305</v>
      </c>
      <c r="E19" s="417" t="s">
        <v>211</v>
      </c>
      <c r="F19" s="445">
        <v>542.14650000000006</v>
      </c>
      <c r="G19" s="445">
        <v>530.01900000000001</v>
      </c>
      <c r="H19" s="445">
        <v>516.34799999999996</v>
      </c>
      <c r="I19" s="445">
        <v>484.10250000000002</v>
      </c>
      <c r="J19" s="445">
        <v>473.298</v>
      </c>
      <c r="K19" s="445">
        <v>461.0865</v>
      </c>
      <c r="L19" s="445">
        <v>271.96050000000002</v>
      </c>
      <c r="M19" s="445">
        <v>660.91200000000003</v>
      </c>
      <c r="N19" s="445">
        <v>624.45600000000002</v>
      </c>
      <c r="O19" s="445">
        <v>592.89300000000003</v>
      </c>
      <c r="P19" s="445">
        <v>392.238</v>
      </c>
      <c r="Q19" s="445">
        <v>361.21050000000002</v>
      </c>
      <c r="R19" s="446">
        <v>381.11850000000004</v>
      </c>
      <c r="S19" s="445">
        <v>399.399</v>
      </c>
      <c r="T19" s="445">
        <v>367.80450000000002</v>
      </c>
      <c r="U19" s="446">
        <v>388.08000000000004</v>
      </c>
    </row>
    <row r="20" spans="1:21">
      <c r="A20" s="428">
        <v>2018</v>
      </c>
      <c r="B20" s="152" t="s">
        <v>317</v>
      </c>
      <c r="C20" s="146" t="s">
        <v>304</v>
      </c>
      <c r="D20" s="146" t="s">
        <v>305</v>
      </c>
      <c r="E20" s="149" t="s">
        <v>212</v>
      </c>
      <c r="F20" s="447">
        <v>1187.298</v>
      </c>
      <c r="G20" s="447">
        <v>1160.7435</v>
      </c>
      <c r="H20" s="447">
        <v>1130.808</v>
      </c>
      <c r="I20" s="447">
        <v>1060.1850000000002</v>
      </c>
      <c r="J20" s="447">
        <v>1036.5284999999999</v>
      </c>
      <c r="K20" s="447">
        <v>1009.7745000000001</v>
      </c>
      <c r="L20" s="447">
        <v>595.58100000000002</v>
      </c>
      <c r="M20" s="447">
        <v>1447.404</v>
      </c>
      <c r="N20" s="447">
        <v>1367.5620000000001</v>
      </c>
      <c r="O20" s="447">
        <v>1298.4195</v>
      </c>
      <c r="P20" s="447">
        <v>859.00500000000011</v>
      </c>
      <c r="Q20" s="447">
        <v>791.04899999999998</v>
      </c>
      <c r="R20" s="448">
        <v>834.64499999999998</v>
      </c>
      <c r="S20" s="447">
        <v>874.69200000000001</v>
      </c>
      <c r="T20" s="447">
        <v>805.49700000000007</v>
      </c>
      <c r="U20" s="448">
        <v>849.88049999999998</v>
      </c>
    </row>
    <row r="21" spans="1:21">
      <c r="A21" s="428">
        <v>2018</v>
      </c>
      <c r="B21" s="152" t="s">
        <v>317</v>
      </c>
      <c r="C21" s="146" t="s">
        <v>304</v>
      </c>
      <c r="D21" s="146" t="s">
        <v>305</v>
      </c>
      <c r="E21" s="149" t="s">
        <v>213</v>
      </c>
      <c r="F21" s="447">
        <v>1030.0709999999999</v>
      </c>
      <c r="G21" s="447">
        <v>1007.0445000000001</v>
      </c>
      <c r="H21" s="447">
        <v>981.05700000000013</v>
      </c>
      <c r="I21" s="447">
        <v>919.78950000000009</v>
      </c>
      <c r="J21" s="447">
        <v>899.28300000000013</v>
      </c>
      <c r="K21" s="447">
        <v>876.05700000000002</v>
      </c>
      <c r="L21" s="447">
        <v>516.71550000000002</v>
      </c>
      <c r="M21" s="447">
        <v>1255.7370000000001</v>
      </c>
      <c r="N21" s="447">
        <v>1186.4685000000002</v>
      </c>
      <c r="O21" s="447">
        <v>1126.482</v>
      </c>
      <c r="P21" s="447">
        <v>745.24800000000005</v>
      </c>
      <c r="Q21" s="447">
        <v>686.30100000000004</v>
      </c>
      <c r="R21" s="448">
        <v>724.12200000000007</v>
      </c>
      <c r="S21" s="447">
        <v>758.85600000000011</v>
      </c>
      <c r="T21" s="447">
        <v>698.83799999999997</v>
      </c>
      <c r="U21" s="448">
        <v>737.35200000000009</v>
      </c>
    </row>
    <row r="22" spans="1:21" ht="16.5" thickBot="1">
      <c r="A22" s="429">
        <v>2018</v>
      </c>
      <c r="B22" s="426" t="s">
        <v>317</v>
      </c>
      <c r="C22" s="421" t="s">
        <v>304</v>
      </c>
      <c r="D22" s="421" t="s">
        <v>305</v>
      </c>
      <c r="E22" s="424" t="s">
        <v>214</v>
      </c>
      <c r="F22" s="449">
        <v>1648.1220000000001</v>
      </c>
      <c r="G22" s="449">
        <v>1611.2670000000001</v>
      </c>
      <c r="H22" s="449">
        <v>1569.6975000000002</v>
      </c>
      <c r="I22" s="449">
        <v>1471.6695</v>
      </c>
      <c r="J22" s="449">
        <v>1438.8464999999999</v>
      </c>
      <c r="K22" s="449">
        <v>1401.6975000000002</v>
      </c>
      <c r="L22" s="449">
        <v>826.73850000000004</v>
      </c>
      <c r="M22" s="449">
        <v>2009.1750000000002</v>
      </c>
      <c r="N22" s="449">
        <v>1898.3370000000002</v>
      </c>
      <c r="O22" s="449">
        <v>1802.3775000000001</v>
      </c>
      <c r="P22" s="449">
        <v>1192.3905</v>
      </c>
      <c r="Q22" s="449">
        <v>1098.0795000000001</v>
      </c>
      <c r="R22" s="450">
        <v>1158.5910000000001</v>
      </c>
      <c r="S22" s="449">
        <v>1214.1779999999999</v>
      </c>
      <c r="T22" s="449">
        <v>1118.1345000000001</v>
      </c>
      <c r="U22" s="450">
        <v>1179.7484999999999</v>
      </c>
    </row>
    <row r="23" spans="1:21">
      <c r="A23" s="427">
        <v>2018</v>
      </c>
      <c r="B23" s="425" t="s">
        <v>317</v>
      </c>
      <c r="C23" s="414" t="s">
        <v>309</v>
      </c>
      <c r="D23" s="414" t="s">
        <v>310</v>
      </c>
      <c r="E23" s="417" t="s">
        <v>211</v>
      </c>
      <c r="F23" s="445">
        <v>595.7595</v>
      </c>
      <c r="G23" s="445">
        <v>582.44550000000004</v>
      </c>
      <c r="H23" s="445">
        <v>567.41999999999996</v>
      </c>
      <c r="I23" s="445">
        <v>531.98249999999996</v>
      </c>
      <c r="J23" s="445">
        <v>520.11750000000006</v>
      </c>
      <c r="K23" s="445">
        <v>506.68800000000005</v>
      </c>
      <c r="L23" s="445">
        <v>298.851</v>
      </c>
      <c r="M23" s="445">
        <v>726.2745000000001</v>
      </c>
      <c r="N23" s="445">
        <v>686.21699999999998</v>
      </c>
      <c r="O23" s="445">
        <v>651.52499999999998</v>
      </c>
      <c r="P23" s="445">
        <v>431.02500000000003</v>
      </c>
      <c r="Q23" s="445">
        <v>396.93149999999997</v>
      </c>
      <c r="R23" s="446">
        <v>418.81350000000003</v>
      </c>
      <c r="S23" s="445">
        <v>438.90000000000003</v>
      </c>
      <c r="T23" s="445">
        <v>404.18700000000001</v>
      </c>
      <c r="U23" s="446">
        <v>426.45749999999998</v>
      </c>
    </row>
    <row r="24" spans="1:21">
      <c r="A24" s="428">
        <v>2018</v>
      </c>
      <c r="B24" s="152" t="s">
        <v>317</v>
      </c>
      <c r="C24" s="146" t="s">
        <v>309</v>
      </c>
      <c r="D24" s="146" t="s">
        <v>310</v>
      </c>
      <c r="E24" s="149" t="s">
        <v>212</v>
      </c>
      <c r="F24" s="447">
        <v>1304.7194999999999</v>
      </c>
      <c r="G24" s="447">
        <v>1275.5505000000001</v>
      </c>
      <c r="H24" s="447">
        <v>1242.6435000000001</v>
      </c>
      <c r="I24" s="447">
        <v>1165.038</v>
      </c>
      <c r="J24" s="447">
        <v>1139.04</v>
      </c>
      <c r="K24" s="447">
        <v>1109.6400000000001</v>
      </c>
      <c r="L24" s="447">
        <v>654.4860000000001</v>
      </c>
      <c r="M24" s="447">
        <v>1590.5505000000001</v>
      </c>
      <c r="N24" s="447">
        <v>1502.8125</v>
      </c>
      <c r="O24" s="447">
        <v>1426.8345000000002</v>
      </c>
      <c r="P24" s="447">
        <v>943.96050000000002</v>
      </c>
      <c r="Q24" s="447">
        <v>869.28449999999998</v>
      </c>
      <c r="R24" s="448">
        <v>917.18550000000005</v>
      </c>
      <c r="S24" s="447">
        <v>961.20150000000001</v>
      </c>
      <c r="T24" s="447">
        <v>885.16050000000007</v>
      </c>
      <c r="U24" s="448">
        <v>933.94350000000009</v>
      </c>
    </row>
    <row r="25" spans="1:21">
      <c r="A25" s="428">
        <v>2018</v>
      </c>
      <c r="B25" s="152" t="s">
        <v>317</v>
      </c>
      <c r="C25" s="146" t="s">
        <v>309</v>
      </c>
      <c r="D25" s="146" t="s">
        <v>310</v>
      </c>
      <c r="E25" s="149" t="s">
        <v>213</v>
      </c>
      <c r="F25" s="447">
        <v>1131.9525000000001</v>
      </c>
      <c r="G25" s="447">
        <v>1106.6370000000002</v>
      </c>
      <c r="H25" s="447">
        <v>1078.0875000000001</v>
      </c>
      <c r="I25" s="447">
        <v>1010.7615000000001</v>
      </c>
      <c r="J25" s="447">
        <v>988.21799999999996</v>
      </c>
      <c r="K25" s="447">
        <v>962.69250000000011</v>
      </c>
      <c r="L25" s="447">
        <v>567.81899999999996</v>
      </c>
      <c r="M25" s="447">
        <v>1379.931</v>
      </c>
      <c r="N25" s="447">
        <v>1303.8165000000001</v>
      </c>
      <c r="O25" s="447">
        <v>1237.8975</v>
      </c>
      <c r="P25" s="447">
        <v>818.9475000000001</v>
      </c>
      <c r="Q25" s="447">
        <v>754.173</v>
      </c>
      <c r="R25" s="448">
        <v>795.74250000000006</v>
      </c>
      <c r="S25" s="447">
        <v>833.91000000000008</v>
      </c>
      <c r="T25" s="447">
        <v>767.94900000000007</v>
      </c>
      <c r="U25" s="448">
        <v>810.2745000000001</v>
      </c>
    </row>
    <row r="26" spans="1:21" ht="16.5" thickBot="1">
      <c r="A26" s="429">
        <v>2018</v>
      </c>
      <c r="B26" s="426" t="s">
        <v>317</v>
      </c>
      <c r="C26" s="421" t="s">
        <v>309</v>
      </c>
      <c r="D26" s="421" t="s">
        <v>310</v>
      </c>
      <c r="E26" s="424" t="s">
        <v>214</v>
      </c>
      <c r="F26" s="449">
        <v>1811.1134999999999</v>
      </c>
      <c r="G26" s="449">
        <v>1770.6255000000001</v>
      </c>
      <c r="H26" s="449">
        <v>1724.94</v>
      </c>
      <c r="I26" s="449">
        <v>1617.2205000000001</v>
      </c>
      <c r="J26" s="449">
        <v>1581.1424999999999</v>
      </c>
      <c r="K26" s="449">
        <v>1540.3290000000002</v>
      </c>
      <c r="L26" s="449">
        <v>908.50200000000007</v>
      </c>
      <c r="M26" s="449">
        <v>2207.8875000000003</v>
      </c>
      <c r="N26" s="449">
        <v>2086.0875000000001</v>
      </c>
      <c r="O26" s="449">
        <v>1980.636</v>
      </c>
      <c r="P26" s="449">
        <v>1310.3265000000001</v>
      </c>
      <c r="Q26" s="449">
        <v>1206.6705000000002</v>
      </c>
      <c r="R26" s="450">
        <v>1273.1775</v>
      </c>
      <c r="S26" s="449">
        <v>1334.2560000000001</v>
      </c>
      <c r="T26" s="449">
        <v>1228.71</v>
      </c>
      <c r="U26" s="450">
        <v>1296.4245000000001</v>
      </c>
    </row>
    <row r="27" spans="1:21">
      <c r="A27" s="427">
        <v>2018</v>
      </c>
      <c r="B27" s="425" t="s">
        <v>317</v>
      </c>
      <c r="C27" s="414" t="s">
        <v>311</v>
      </c>
      <c r="D27" s="414" t="s">
        <v>312</v>
      </c>
      <c r="E27" s="417" t="s">
        <v>211</v>
      </c>
      <c r="F27" s="445">
        <v>627.11250000000007</v>
      </c>
      <c r="G27" s="445">
        <v>613.09500000000003</v>
      </c>
      <c r="H27" s="445">
        <v>597.28200000000004</v>
      </c>
      <c r="I27" s="445">
        <v>559.97550000000001</v>
      </c>
      <c r="J27" s="445">
        <v>547.49099999999999</v>
      </c>
      <c r="K27" s="445">
        <v>533.34749999999997</v>
      </c>
      <c r="L27" s="445">
        <v>314.58000000000004</v>
      </c>
      <c r="M27" s="445">
        <v>764.50500000000011</v>
      </c>
      <c r="N27" s="445">
        <v>722.32650000000001</v>
      </c>
      <c r="O27" s="445">
        <v>685.81799999999998</v>
      </c>
      <c r="P27" s="445">
        <v>453.71550000000002</v>
      </c>
      <c r="Q27" s="445">
        <v>417.82650000000001</v>
      </c>
      <c r="R27" s="446">
        <v>440.85300000000001</v>
      </c>
      <c r="S27" s="445">
        <v>462</v>
      </c>
      <c r="T27" s="445">
        <v>425.46</v>
      </c>
      <c r="U27" s="446">
        <v>448.90649999999999</v>
      </c>
    </row>
    <row r="28" spans="1:21">
      <c r="A28" s="428">
        <v>2018</v>
      </c>
      <c r="B28" s="152" t="s">
        <v>317</v>
      </c>
      <c r="C28" s="146" t="s">
        <v>311</v>
      </c>
      <c r="D28" s="146" t="s">
        <v>312</v>
      </c>
      <c r="E28" s="149" t="s">
        <v>212</v>
      </c>
      <c r="F28" s="447">
        <v>1373.3895</v>
      </c>
      <c r="G28" s="447">
        <v>1342.6770000000001</v>
      </c>
      <c r="H28" s="447">
        <v>1308.048</v>
      </c>
      <c r="I28" s="447">
        <v>1226.3580000000002</v>
      </c>
      <c r="J28" s="447">
        <v>1198.9950000000001</v>
      </c>
      <c r="K28" s="447">
        <v>1168.0410000000002</v>
      </c>
      <c r="L28" s="447">
        <v>688.93650000000002</v>
      </c>
      <c r="M28" s="447">
        <v>1674.2670000000001</v>
      </c>
      <c r="N28" s="447">
        <v>1581.9089999999999</v>
      </c>
      <c r="O28" s="447">
        <v>1501.9305000000002</v>
      </c>
      <c r="P28" s="447">
        <v>993.63600000000008</v>
      </c>
      <c r="Q28" s="447">
        <v>915.03300000000013</v>
      </c>
      <c r="R28" s="448">
        <v>965.46450000000004</v>
      </c>
      <c r="S28" s="447">
        <v>1011.7905000000001</v>
      </c>
      <c r="T28" s="447">
        <v>931.74900000000002</v>
      </c>
      <c r="U28" s="448">
        <v>983.09400000000005</v>
      </c>
    </row>
    <row r="29" spans="1:21">
      <c r="A29" s="428">
        <v>2018</v>
      </c>
      <c r="B29" s="152" t="s">
        <v>317</v>
      </c>
      <c r="C29" s="146" t="s">
        <v>311</v>
      </c>
      <c r="D29" s="146" t="s">
        <v>312</v>
      </c>
      <c r="E29" s="149" t="s">
        <v>213</v>
      </c>
      <c r="F29" s="447">
        <v>1191.5295000000001</v>
      </c>
      <c r="G29" s="447">
        <v>1164.8805000000002</v>
      </c>
      <c r="H29" s="447">
        <v>1134.8295000000001</v>
      </c>
      <c r="I29" s="447">
        <v>1063.9545000000001</v>
      </c>
      <c r="J29" s="447">
        <v>1040.2350000000001</v>
      </c>
      <c r="K29" s="447">
        <v>1013.3655000000001</v>
      </c>
      <c r="L29" s="447">
        <v>597.702</v>
      </c>
      <c r="M29" s="447">
        <v>1452.5595000000001</v>
      </c>
      <c r="N29" s="447">
        <v>1372.434</v>
      </c>
      <c r="O29" s="447">
        <v>1303.05</v>
      </c>
      <c r="P29" s="447">
        <v>862.05000000000007</v>
      </c>
      <c r="Q29" s="447">
        <v>793.87350000000004</v>
      </c>
      <c r="R29" s="448">
        <v>837.61650000000009</v>
      </c>
      <c r="S29" s="447">
        <v>877.80000000000007</v>
      </c>
      <c r="T29" s="447">
        <v>808.37400000000002</v>
      </c>
      <c r="U29" s="448">
        <v>852.92549999999994</v>
      </c>
    </row>
    <row r="30" spans="1:21" ht="16.5" thickBot="1">
      <c r="A30" s="429">
        <v>2018</v>
      </c>
      <c r="B30" s="426" t="s">
        <v>317</v>
      </c>
      <c r="C30" s="421" t="s">
        <v>311</v>
      </c>
      <c r="D30" s="421" t="s">
        <v>312</v>
      </c>
      <c r="E30" s="424" t="s">
        <v>214</v>
      </c>
      <c r="F30" s="449">
        <v>1906.4430000000002</v>
      </c>
      <c r="G30" s="449">
        <v>1863.8235</v>
      </c>
      <c r="H30" s="449">
        <v>1815.723</v>
      </c>
      <c r="I30" s="449">
        <v>1702.3335</v>
      </c>
      <c r="J30" s="449">
        <v>1664.3654999999999</v>
      </c>
      <c r="K30" s="449">
        <v>1621.3995000000002</v>
      </c>
      <c r="L30" s="449">
        <v>956.31899999999996</v>
      </c>
      <c r="M30" s="449">
        <v>2324.0910000000003</v>
      </c>
      <c r="N30" s="449">
        <v>2195.8860000000004</v>
      </c>
      <c r="O30" s="449">
        <v>2084.88</v>
      </c>
      <c r="P30" s="449">
        <v>1379.2905000000001</v>
      </c>
      <c r="Q30" s="449">
        <v>1270.1850000000002</v>
      </c>
      <c r="R30" s="450">
        <v>1340.1885</v>
      </c>
      <c r="S30" s="449">
        <v>1404.48</v>
      </c>
      <c r="T30" s="449">
        <v>1293.3795</v>
      </c>
      <c r="U30" s="450">
        <v>1364.6640000000002</v>
      </c>
    </row>
    <row r="31" spans="1:21">
      <c r="A31" s="427">
        <v>2018</v>
      </c>
      <c r="B31" s="425" t="s">
        <v>317</v>
      </c>
      <c r="C31" s="414" t="s">
        <v>313</v>
      </c>
      <c r="D31" s="414" t="s">
        <v>314</v>
      </c>
      <c r="E31" s="417" t="s">
        <v>211</v>
      </c>
      <c r="F31" s="445">
        <v>721.18200000000002</v>
      </c>
      <c r="G31" s="445">
        <v>705.06450000000007</v>
      </c>
      <c r="H31" s="445">
        <v>686.86800000000005</v>
      </c>
      <c r="I31" s="445">
        <v>643.97550000000001</v>
      </c>
      <c r="J31" s="445">
        <v>629.61149999999998</v>
      </c>
      <c r="K31" s="445">
        <v>613.35749999999996</v>
      </c>
      <c r="L31" s="445">
        <v>361.76700000000005</v>
      </c>
      <c r="M31" s="445">
        <v>879.17549999999994</v>
      </c>
      <c r="N31" s="445">
        <v>830.67600000000004</v>
      </c>
      <c r="O31" s="445">
        <v>788.68650000000002</v>
      </c>
      <c r="P31" s="445">
        <v>521.77650000000006</v>
      </c>
      <c r="Q31" s="445">
        <v>480.50100000000003</v>
      </c>
      <c r="R31" s="446">
        <v>506.98199999999997</v>
      </c>
      <c r="S31" s="445">
        <v>531.30000000000007</v>
      </c>
      <c r="T31" s="445">
        <v>489.27900000000005</v>
      </c>
      <c r="U31" s="446">
        <v>516.24300000000005</v>
      </c>
    </row>
    <row r="32" spans="1:21">
      <c r="A32" s="428">
        <v>2018</v>
      </c>
      <c r="B32" s="152" t="s">
        <v>317</v>
      </c>
      <c r="C32" s="146" t="s">
        <v>313</v>
      </c>
      <c r="D32" s="146" t="s">
        <v>314</v>
      </c>
      <c r="E32" s="149" t="s">
        <v>212</v>
      </c>
      <c r="F32" s="447">
        <v>1579.3995000000002</v>
      </c>
      <c r="G32" s="447">
        <v>1544.088</v>
      </c>
      <c r="H32" s="447">
        <v>1504.2615000000001</v>
      </c>
      <c r="I32" s="447">
        <v>1410.3075000000001</v>
      </c>
      <c r="J32" s="447">
        <v>1378.8390000000002</v>
      </c>
      <c r="K32" s="447">
        <v>1343.2440000000001</v>
      </c>
      <c r="L32" s="447">
        <v>792.27750000000003</v>
      </c>
      <c r="M32" s="447">
        <v>1925.4060000000002</v>
      </c>
      <c r="N32" s="447">
        <v>1819.1880000000001</v>
      </c>
      <c r="O32" s="447">
        <v>1727.2185000000002</v>
      </c>
      <c r="P32" s="447">
        <v>1142.6835000000001</v>
      </c>
      <c r="Q32" s="447">
        <v>1052.289</v>
      </c>
      <c r="R32" s="448">
        <v>1110.2805000000001</v>
      </c>
      <c r="S32" s="447">
        <v>1163.5575000000001</v>
      </c>
      <c r="T32" s="447">
        <v>1071.5040000000001</v>
      </c>
      <c r="U32" s="448">
        <v>1130.556</v>
      </c>
    </row>
    <row r="33" spans="1:21">
      <c r="A33" s="428">
        <v>2018</v>
      </c>
      <c r="B33" s="152" t="s">
        <v>317</v>
      </c>
      <c r="C33" s="146" t="s">
        <v>313</v>
      </c>
      <c r="D33" s="146" t="s">
        <v>314</v>
      </c>
      <c r="E33" s="149" t="s">
        <v>213</v>
      </c>
      <c r="F33" s="447">
        <v>1370.2605000000001</v>
      </c>
      <c r="G33" s="447">
        <v>1339.6109999999999</v>
      </c>
      <c r="H33" s="447">
        <v>1305.0555000000002</v>
      </c>
      <c r="I33" s="447">
        <v>1223.5545</v>
      </c>
      <c r="J33" s="447">
        <v>1196.2650000000001</v>
      </c>
      <c r="K33" s="447">
        <v>1165.3740000000003</v>
      </c>
      <c r="L33" s="447">
        <v>687.36149999999998</v>
      </c>
      <c r="M33" s="447">
        <v>1670.4450000000002</v>
      </c>
      <c r="N33" s="447">
        <v>1578.2970000000003</v>
      </c>
      <c r="O33" s="447">
        <v>1498.5075000000002</v>
      </c>
      <c r="P33" s="447">
        <v>991.36800000000005</v>
      </c>
      <c r="Q33" s="447">
        <v>912.95400000000006</v>
      </c>
      <c r="R33" s="448">
        <v>963.27</v>
      </c>
      <c r="S33" s="447">
        <v>1009.47</v>
      </c>
      <c r="T33" s="447">
        <v>929.62800000000004</v>
      </c>
      <c r="U33" s="448">
        <v>980.85750000000007</v>
      </c>
    </row>
    <row r="34" spans="1:21" ht="16.5" thickBot="1">
      <c r="A34" s="429">
        <v>2018</v>
      </c>
      <c r="B34" s="426" t="s">
        <v>317</v>
      </c>
      <c r="C34" s="421" t="s">
        <v>313</v>
      </c>
      <c r="D34" s="421" t="s">
        <v>314</v>
      </c>
      <c r="E34" s="424" t="s">
        <v>214</v>
      </c>
      <c r="F34" s="449">
        <v>2192.4105000000004</v>
      </c>
      <c r="G34" s="449">
        <v>2143.386</v>
      </c>
      <c r="H34" s="449">
        <v>2088.0825</v>
      </c>
      <c r="I34" s="449">
        <v>1957.6830000000002</v>
      </c>
      <c r="J34" s="449">
        <v>1914.0135</v>
      </c>
      <c r="K34" s="449">
        <v>1864.6005</v>
      </c>
      <c r="L34" s="449">
        <v>1099.7700000000002</v>
      </c>
      <c r="M34" s="449">
        <v>2672.712</v>
      </c>
      <c r="N34" s="449">
        <v>2525.2710000000002</v>
      </c>
      <c r="O34" s="449">
        <v>2397.6120000000001</v>
      </c>
      <c r="P34" s="449">
        <v>1586.1825000000001</v>
      </c>
      <c r="Q34" s="449">
        <v>1460.7075000000002</v>
      </c>
      <c r="R34" s="450">
        <v>1541.211</v>
      </c>
      <c r="S34" s="449">
        <v>1615.152</v>
      </c>
      <c r="T34" s="449">
        <v>1487.3879999999999</v>
      </c>
      <c r="U34" s="450">
        <v>1569.3615000000002</v>
      </c>
    </row>
    <row r="35" spans="1:21">
      <c r="A35" s="144"/>
      <c r="B35" s="144"/>
      <c r="C35" s="144"/>
      <c r="D35" s="144"/>
      <c r="E35" s="144"/>
      <c r="F35" s="153"/>
      <c r="G35" s="153"/>
      <c r="H35" s="153"/>
      <c r="I35" s="153"/>
      <c r="J35" s="153"/>
      <c r="K35" s="153"/>
      <c r="L35" s="153"/>
      <c r="M35" s="153"/>
      <c r="N35" s="153"/>
      <c r="O35" s="153"/>
      <c r="P35" s="153"/>
      <c r="Q35" s="153"/>
      <c r="R35" s="153"/>
    </row>
  </sheetData>
  <pageMargins left="0.7" right="0.7" top="0.75" bottom="0.75" header="0.3" footer="0.3"/>
  <pageSetup orientation="portrait" r:id="rId1"/>
  <colBreaks count="2" manualBreakCount="2">
    <brk id="8" max="1048575" man="1"/>
    <brk id="15"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6"/>
  </sheetPr>
  <dimension ref="A1:K35"/>
  <sheetViews>
    <sheetView zoomScale="80" zoomScaleNormal="80" zoomScaleSheetLayoutView="100" workbookViewId="0">
      <pane xSplit="5" ySplit="2" topLeftCell="F3" activePane="bottomRight" state="frozen"/>
      <selection activeCell="H14" sqref="H14"/>
      <selection pane="topRight" activeCell="H14" sqref="H14"/>
      <selection pane="bottomLeft" activeCell="H14" sqref="H14"/>
      <selection pane="bottomRight"/>
    </sheetView>
  </sheetViews>
  <sheetFormatPr defaultColWidth="8.875" defaultRowHeight="15.75"/>
  <cols>
    <col min="1" max="1" width="5.625" customWidth="1"/>
    <col min="2" max="2" width="6.875" customWidth="1"/>
    <col min="3" max="3" width="9" customWidth="1"/>
    <col min="4" max="4" width="10.625" customWidth="1"/>
    <col min="5" max="5" width="6" customWidth="1"/>
    <col min="6" max="7" width="13" customWidth="1"/>
    <col min="8" max="8" width="6.625" bestFit="1" customWidth="1"/>
    <col min="9" max="9" width="8.125" bestFit="1" customWidth="1"/>
    <col min="10" max="10" width="6.375" customWidth="1"/>
    <col min="11" max="12" width="8.125" bestFit="1" customWidth="1"/>
    <col min="13" max="13" width="6.625" customWidth="1"/>
    <col min="14" max="14" width="8.125" bestFit="1" customWidth="1"/>
    <col min="15" max="16" width="6.625" bestFit="1" customWidth="1"/>
    <col min="17" max="19" width="8.125" bestFit="1" customWidth="1"/>
    <col min="20" max="20" width="5.875" bestFit="1" customWidth="1"/>
    <col min="21" max="21" width="8.125" bestFit="1" customWidth="1"/>
    <col min="22" max="22" width="0.875" customWidth="1"/>
    <col min="23" max="23" width="5.875" bestFit="1" customWidth="1"/>
    <col min="24" max="24" width="5.125" customWidth="1"/>
    <col min="25" max="25" width="1.625" customWidth="1"/>
  </cols>
  <sheetData>
    <row r="1" spans="1:11" ht="54" customHeight="1" thickBot="1">
      <c r="A1" s="143"/>
      <c r="B1" s="143"/>
      <c r="C1" s="143"/>
      <c r="D1" s="143"/>
      <c r="E1" s="143"/>
      <c r="F1" s="442" t="s">
        <v>6189</v>
      </c>
      <c r="G1" s="442" t="s">
        <v>6190</v>
      </c>
      <c r="H1" s="144"/>
      <c r="I1" s="144"/>
      <c r="J1" s="144"/>
      <c r="K1" s="144"/>
    </row>
    <row r="2" spans="1:11" ht="26.25" thickBot="1">
      <c r="A2" s="409" t="s">
        <v>287</v>
      </c>
      <c r="B2" s="410" t="s">
        <v>275</v>
      </c>
      <c r="C2" s="410" t="s">
        <v>288</v>
      </c>
      <c r="D2" s="410" t="s">
        <v>289</v>
      </c>
      <c r="E2" s="411" t="s">
        <v>277</v>
      </c>
      <c r="F2" s="443" t="s">
        <v>6189</v>
      </c>
      <c r="G2" s="443" t="s">
        <v>6190</v>
      </c>
      <c r="H2" s="144"/>
      <c r="I2" s="144"/>
      <c r="J2" s="144"/>
      <c r="K2" s="144"/>
    </row>
    <row r="3" spans="1:11" ht="16.5" thickBot="1">
      <c r="A3" s="427">
        <v>2018</v>
      </c>
      <c r="B3" s="413" t="s">
        <v>303</v>
      </c>
      <c r="C3" s="414" t="s">
        <v>304</v>
      </c>
      <c r="D3" s="414" t="s">
        <v>305</v>
      </c>
      <c r="E3" s="417" t="s">
        <v>211</v>
      </c>
      <c r="F3" s="1618">
        <v>1</v>
      </c>
      <c r="G3" s="1618">
        <v>1</v>
      </c>
    </row>
    <row r="4" spans="1:11" ht="16.5" thickBot="1">
      <c r="A4" s="428">
        <v>2018</v>
      </c>
      <c r="B4" s="145" t="s">
        <v>303</v>
      </c>
      <c r="C4" s="146" t="s">
        <v>304</v>
      </c>
      <c r="D4" s="146" t="s">
        <v>305</v>
      </c>
      <c r="E4" s="149" t="s">
        <v>212</v>
      </c>
      <c r="F4" s="1618">
        <v>1</v>
      </c>
      <c r="G4" s="1618">
        <v>1</v>
      </c>
    </row>
    <row r="5" spans="1:11" ht="16.5" thickBot="1">
      <c r="A5" s="428">
        <v>2018</v>
      </c>
      <c r="B5" s="145" t="s">
        <v>303</v>
      </c>
      <c r="C5" s="146" t="s">
        <v>304</v>
      </c>
      <c r="D5" s="146" t="s">
        <v>305</v>
      </c>
      <c r="E5" s="149" t="s">
        <v>213</v>
      </c>
      <c r="F5" s="1618">
        <v>1</v>
      </c>
      <c r="G5" s="1618">
        <v>1</v>
      </c>
    </row>
    <row r="6" spans="1:11" ht="16.5" thickBot="1">
      <c r="A6" s="429">
        <v>2018</v>
      </c>
      <c r="B6" s="420" t="s">
        <v>303</v>
      </c>
      <c r="C6" s="421" t="s">
        <v>304</v>
      </c>
      <c r="D6" s="421" t="s">
        <v>305</v>
      </c>
      <c r="E6" s="424" t="s">
        <v>214</v>
      </c>
      <c r="F6" s="1618">
        <v>1</v>
      </c>
      <c r="G6" s="1618">
        <v>1</v>
      </c>
    </row>
    <row r="7" spans="1:11" ht="16.5" thickBot="1">
      <c r="A7" s="427">
        <v>2018</v>
      </c>
      <c r="B7" s="413" t="s">
        <v>303</v>
      </c>
      <c r="C7" s="414" t="s">
        <v>309</v>
      </c>
      <c r="D7" s="414" t="s">
        <v>310</v>
      </c>
      <c r="E7" s="417" t="s">
        <v>211</v>
      </c>
      <c r="F7" s="1618">
        <v>1</v>
      </c>
      <c r="G7" s="1618">
        <v>1</v>
      </c>
    </row>
    <row r="8" spans="1:11" ht="16.5" thickBot="1">
      <c r="A8" s="428">
        <v>2018</v>
      </c>
      <c r="B8" s="145" t="s">
        <v>303</v>
      </c>
      <c r="C8" s="146" t="s">
        <v>309</v>
      </c>
      <c r="D8" s="146" t="s">
        <v>310</v>
      </c>
      <c r="E8" s="149" t="s">
        <v>212</v>
      </c>
      <c r="F8" s="1618">
        <v>1</v>
      </c>
      <c r="G8" s="1618">
        <v>1</v>
      </c>
    </row>
    <row r="9" spans="1:11" ht="16.5" thickBot="1">
      <c r="A9" s="428">
        <v>2018</v>
      </c>
      <c r="B9" s="145" t="s">
        <v>303</v>
      </c>
      <c r="C9" s="146" t="s">
        <v>309</v>
      </c>
      <c r="D9" s="146" t="s">
        <v>310</v>
      </c>
      <c r="E9" s="149" t="s">
        <v>213</v>
      </c>
      <c r="F9" s="1618">
        <v>1</v>
      </c>
      <c r="G9" s="1618">
        <v>1</v>
      </c>
    </row>
    <row r="10" spans="1:11" ht="16.5" thickBot="1">
      <c r="A10" s="429">
        <v>2018</v>
      </c>
      <c r="B10" s="420" t="s">
        <v>303</v>
      </c>
      <c r="C10" s="421" t="s">
        <v>309</v>
      </c>
      <c r="D10" s="421" t="s">
        <v>310</v>
      </c>
      <c r="E10" s="424" t="s">
        <v>214</v>
      </c>
      <c r="F10" s="1618">
        <v>1</v>
      </c>
      <c r="G10" s="1618">
        <v>1</v>
      </c>
    </row>
    <row r="11" spans="1:11" ht="16.5" thickBot="1">
      <c r="A11" s="427">
        <v>2018</v>
      </c>
      <c r="B11" s="413" t="s">
        <v>303</v>
      </c>
      <c r="C11" s="414" t="s">
        <v>311</v>
      </c>
      <c r="D11" s="414" t="s">
        <v>312</v>
      </c>
      <c r="E11" s="417" t="s">
        <v>211</v>
      </c>
      <c r="F11" s="1618">
        <v>1</v>
      </c>
      <c r="G11" s="1618">
        <v>1</v>
      </c>
    </row>
    <row r="12" spans="1:11" ht="16.5" thickBot="1">
      <c r="A12" s="428">
        <v>2018</v>
      </c>
      <c r="B12" s="145" t="s">
        <v>303</v>
      </c>
      <c r="C12" s="146" t="s">
        <v>311</v>
      </c>
      <c r="D12" s="146" t="s">
        <v>312</v>
      </c>
      <c r="E12" s="149" t="s">
        <v>212</v>
      </c>
      <c r="F12" s="1618">
        <v>1</v>
      </c>
      <c r="G12" s="1618">
        <v>1</v>
      </c>
    </row>
    <row r="13" spans="1:11" ht="16.5" thickBot="1">
      <c r="A13" s="428">
        <v>2018</v>
      </c>
      <c r="B13" s="145" t="s">
        <v>303</v>
      </c>
      <c r="C13" s="146" t="s">
        <v>311</v>
      </c>
      <c r="D13" s="146" t="s">
        <v>312</v>
      </c>
      <c r="E13" s="149" t="s">
        <v>213</v>
      </c>
      <c r="F13" s="1618">
        <v>1</v>
      </c>
      <c r="G13" s="1618">
        <v>1</v>
      </c>
    </row>
    <row r="14" spans="1:11" ht="16.5" thickBot="1">
      <c r="A14" s="429">
        <v>2018</v>
      </c>
      <c r="B14" s="420" t="s">
        <v>303</v>
      </c>
      <c r="C14" s="421" t="s">
        <v>311</v>
      </c>
      <c r="D14" s="421" t="s">
        <v>312</v>
      </c>
      <c r="E14" s="424" t="s">
        <v>214</v>
      </c>
      <c r="F14" s="1618">
        <v>1</v>
      </c>
      <c r="G14" s="1618">
        <v>1</v>
      </c>
    </row>
    <row r="15" spans="1:11" ht="16.5" thickBot="1">
      <c r="A15" s="427">
        <v>2018</v>
      </c>
      <c r="B15" s="413" t="s">
        <v>303</v>
      </c>
      <c r="C15" s="414" t="s">
        <v>313</v>
      </c>
      <c r="D15" s="414" t="s">
        <v>314</v>
      </c>
      <c r="E15" s="417" t="s">
        <v>211</v>
      </c>
      <c r="F15" s="1618">
        <v>1</v>
      </c>
      <c r="G15" s="1618">
        <v>1</v>
      </c>
    </row>
    <row r="16" spans="1:11" ht="16.5" thickBot="1">
      <c r="A16" s="428">
        <v>2018</v>
      </c>
      <c r="B16" s="145" t="s">
        <v>303</v>
      </c>
      <c r="C16" s="146" t="s">
        <v>313</v>
      </c>
      <c r="D16" s="146" t="s">
        <v>314</v>
      </c>
      <c r="E16" s="149" t="s">
        <v>212</v>
      </c>
      <c r="F16" s="1618">
        <v>1</v>
      </c>
      <c r="G16" s="1618">
        <v>1</v>
      </c>
    </row>
    <row r="17" spans="1:7" ht="16.5" thickBot="1">
      <c r="A17" s="428">
        <v>2018</v>
      </c>
      <c r="B17" s="145" t="s">
        <v>303</v>
      </c>
      <c r="C17" s="146" t="s">
        <v>313</v>
      </c>
      <c r="D17" s="146" t="s">
        <v>314</v>
      </c>
      <c r="E17" s="149" t="s">
        <v>213</v>
      </c>
      <c r="F17" s="1618">
        <v>1</v>
      </c>
      <c r="G17" s="1618">
        <v>1</v>
      </c>
    </row>
    <row r="18" spans="1:7" ht="16.5" thickBot="1">
      <c r="A18" s="429">
        <v>2018</v>
      </c>
      <c r="B18" s="420" t="s">
        <v>303</v>
      </c>
      <c r="C18" s="421" t="s">
        <v>313</v>
      </c>
      <c r="D18" s="421" t="s">
        <v>314</v>
      </c>
      <c r="E18" s="424" t="s">
        <v>214</v>
      </c>
      <c r="F18" s="1618">
        <v>1</v>
      </c>
      <c r="G18" s="1618">
        <v>1</v>
      </c>
    </row>
    <row r="19" spans="1:7" ht="16.5" thickBot="1">
      <c r="A19" s="427">
        <v>2018</v>
      </c>
      <c r="B19" s="425" t="s">
        <v>317</v>
      </c>
      <c r="C19" s="414" t="s">
        <v>304</v>
      </c>
      <c r="D19" s="414" t="s">
        <v>305</v>
      </c>
      <c r="E19" s="417" t="s">
        <v>211</v>
      </c>
      <c r="F19" s="1618">
        <v>1</v>
      </c>
      <c r="G19" s="1618">
        <v>1</v>
      </c>
    </row>
    <row r="20" spans="1:7" ht="16.5" thickBot="1">
      <c r="A20" s="428">
        <v>2018</v>
      </c>
      <c r="B20" s="152" t="s">
        <v>317</v>
      </c>
      <c r="C20" s="146" t="s">
        <v>304</v>
      </c>
      <c r="D20" s="146" t="s">
        <v>305</v>
      </c>
      <c r="E20" s="149" t="s">
        <v>212</v>
      </c>
      <c r="F20" s="1618">
        <v>1</v>
      </c>
      <c r="G20" s="1618">
        <v>1</v>
      </c>
    </row>
    <row r="21" spans="1:7" ht="16.5" thickBot="1">
      <c r="A21" s="428">
        <v>2018</v>
      </c>
      <c r="B21" s="152" t="s">
        <v>317</v>
      </c>
      <c r="C21" s="146" t="s">
        <v>304</v>
      </c>
      <c r="D21" s="146" t="s">
        <v>305</v>
      </c>
      <c r="E21" s="149" t="s">
        <v>213</v>
      </c>
      <c r="F21" s="1618">
        <v>1</v>
      </c>
      <c r="G21" s="1618">
        <v>1</v>
      </c>
    </row>
    <row r="22" spans="1:7" ht="16.5" thickBot="1">
      <c r="A22" s="429">
        <v>2018</v>
      </c>
      <c r="B22" s="426" t="s">
        <v>317</v>
      </c>
      <c r="C22" s="421" t="s">
        <v>304</v>
      </c>
      <c r="D22" s="421" t="s">
        <v>305</v>
      </c>
      <c r="E22" s="424" t="s">
        <v>214</v>
      </c>
      <c r="F22" s="1618">
        <v>1</v>
      </c>
      <c r="G22" s="1618">
        <v>1</v>
      </c>
    </row>
    <row r="23" spans="1:7" ht="16.5" thickBot="1">
      <c r="A23" s="427">
        <v>2018</v>
      </c>
      <c r="B23" s="425" t="s">
        <v>317</v>
      </c>
      <c r="C23" s="414" t="s">
        <v>309</v>
      </c>
      <c r="D23" s="414" t="s">
        <v>310</v>
      </c>
      <c r="E23" s="417" t="s">
        <v>211</v>
      </c>
      <c r="F23" s="1618">
        <v>1</v>
      </c>
      <c r="G23" s="1618">
        <v>1</v>
      </c>
    </row>
    <row r="24" spans="1:7" ht="16.5" thickBot="1">
      <c r="A24" s="428">
        <v>2018</v>
      </c>
      <c r="B24" s="152" t="s">
        <v>317</v>
      </c>
      <c r="C24" s="146" t="s">
        <v>309</v>
      </c>
      <c r="D24" s="146" t="s">
        <v>310</v>
      </c>
      <c r="E24" s="149" t="s">
        <v>212</v>
      </c>
      <c r="F24" s="1618">
        <v>1</v>
      </c>
      <c r="G24" s="1618">
        <v>1</v>
      </c>
    </row>
    <row r="25" spans="1:7" ht="16.5" thickBot="1">
      <c r="A25" s="428">
        <v>2018</v>
      </c>
      <c r="B25" s="152" t="s">
        <v>317</v>
      </c>
      <c r="C25" s="146" t="s">
        <v>309</v>
      </c>
      <c r="D25" s="146" t="s">
        <v>310</v>
      </c>
      <c r="E25" s="149" t="s">
        <v>213</v>
      </c>
      <c r="F25" s="1618">
        <v>1</v>
      </c>
      <c r="G25" s="1618">
        <v>1</v>
      </c>
    </row>
    <row r="26" spans="1:7" ht="16.5" thickBot="1">
      <c r="A26" s="429">
        <v>2018</v>
      </c>
      <c r="B26" s="426" t="s">
        <v>317</v>
      </c>
      <c r="C26" s="421" t="s">
        <v>309</v>
      </c>
      <c r="D26" s="421" t="s">
        <v>310</v>
      </c>
      <c r="E26" s="424" t="s">
        <v>214</v>
      </c>
      <c r="F26" s="1618">
        <v>1</v>
      </c>
      <c r="G26" s="1618">
        <v>1</v>
      </c>
    </row>
    <row r="27" spans="1:7" ht="16.5" thickBot="1">
      <c r="A27" s="427">
        <v>2018</v>
      </c>
      <c r="B27" s="425" t="s">
        <v>317</v>
      </c>
      <c r="C27" s="414" t="s">
        <v>311</v>
      </c>
      <c r="D27" s="414" t="s">
        <v>312</v>
      </c>
      <c r="E27" s="417" t="s">
        <v>211</v>
      </c>
      <c r="F27" s="1618">
        <v>1</v>
      </c>
      <c r="G27" s="1618">
        <v>1</v>
      </c>
    </row>
    <row r="28" spans="1:7" ht="16.5" thickBot="1">
      <c r="A28" s="428">
        <v>2018</v>
      </c>
      <c r="B28" s="152" t="s">
        <v>317</v>
      </c>
      <c r="C28" s="146" t="s">
        <v>311</v>
      </c>
      <c r="D28" s="146" t="s">
        <v>312</v>
      </c>
      <c r="E28" s="149" t="s">
        <v>212</v>
      </c>
      <c r="F28" s="1618">
        <v>1</v>
      </c>
      <c r="G28" s="1618">
        <v>1</v>
      </c>
    </row>
    <row r="29" spans="1:7" ht="16.5" thickBot="1">
      <c r="A29" s="428">
        <v>2018</v>
      </c>
      <c r="B29" s="152" t="s">
        <v>317</v>
      </c>
      <c r="C29" s="146" t="s">
        <v>311</v>
      </c>
      <c r="D29" s="146" t="s">
        <v>312</v>
      </c>
      <c r="E29" s="149" t="s">
        <v>213</v>
      </c>
      <c r="F29" s="1618">
        <v>1</v>
      </c>
      <c r="G29" s="1618">
        <v>1</v>
      </c>
    </row>
    <row r="30" spans="1:7" ht="16.5" thickBot="1">
      <c r="A30" s="429">
        <v>2018</v>
      </c>
      <c r="B30" s="426" t="s">
        <v>317</v>
      </c>
      <c r="C30" s="421" t="s">
        <v>311</v>
      </c>
      <c r="D30" s="421" t="s">
        <v>312</v>
      </c>
      <c r="E30" s="424" t="s">
        <v>214</v>
      </c>
      <c r="F30" s="1618">
        <v>1</v>
      </c>
      <c r="G30" s="1618">
        <v>1</v>
      </c>
    </row>
    <row r="31" spans="1:7" ht="16.5" thickBot="1">
      <c r="A31" s="427">
        <v>2018</v>
      </c>
      <c r="B31" s="425" t="s">
        <v>317</v>
      </c>
      <c r="C31" s="414" t="s">
        <v>313</v>
      </c>
      <c r="D31" s="414" t="s">
        <v>314</v>
      </c>
      <c r="E31" s="417" t="s">
        <v>211</v>
      </c>
      <c r="F31" s="1618">
        <v>1</v>
      </c>
      <c r="G31" s="1618">
        <v>1</v>
      </c>
    </row>
    <row r="32" spans="1:7" ht="16.5" thickBot="1">
      <c r="A32" s="428">
        <v>2018</v>
      </c>
      <c r="B32" s="152" t="s">
        <v>317</v>
      </c>
      <c r="C32" s="146" t="s">
        <v>313</v>
      </c>
      <c r="D32" s="146" t="s">
        <v>314</v>
      </c>
      <c r="E32" s="149" t="s">
        <v>212</v>
      </c>
      <c r="F32" s="1618">
        <v>1</v>
      </c>
      <c r="G32" s="1618">
        <v>1</v>
      </c>
    </row>
    <row r="33" spans="1:7" ht="16.5" thickBot="1">
      <c r="A33" s="428">
        <v>2018</v>
      </c>
      <c r="B33" s="152" t="s">
        <v>317</v>
      </c>
      <c r="C33" s="146" t="s">
        <v>313</v>
      </c>
      <c r="D33" s="146" t="s">
        <v>314</v>
      </c>
      <c r="E33" s="149" t="s">
        <v>213</v>
      </c>
      <c r="F33" s="1618">
        <v>1</v>
      </c>
      <c r="G33" s="1618">
        <v>1</v>
      </c>
    </row>
    <row r="34" spans="1:7" ht="16.5" thickBot="1">
      <c r="A34" s="429">
        <v>2018</v>
      </c>
      <c r="B34" s="426" t="s">
        <v>317</v>
      </c>
      <c r="C34" s="421" t="s">
        <v>313</v>
      </c>
      <c r="D34" s="421" t="s">
        <v>314</v>
      </c>
      <c r="E34" s="424" t="s">
        <v>214</v>
      </c>
      <c r="F34" s="1618">
        <v>1</v>
      </c>
      <c r="G34" s="1618">
        <v>1</v>
      </c>
    </row>
    <row r="35" spans="1:7">
      <c r="A35" s="144"/>
      <c r="B35" s="144"/>
      <c r="C35" s="144"/>
      <c r="D35" s="144"/>
      <c r="E35" s="144"/>
      <c r="F35" s="153"/>
      <c r="G35" s="153"/>
    </row>
  </sheetData>
  <phoneticPr fontId="88" type="noConversion"/>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6"/>
  </sheetPr>
  <dimension ref="A1:M35"/>
  <sheetViews>
    <sheetView zoomScale="80" zoomScaleNormal="80" zoomScaleSheetLayoutView="100" workbookViewId="0">
      <pane xSplit="5" ySplit="2" topLeftCell="F3" activePane="bottomRight" state="frozen"/>
      <selection activeCell="H14" sqref="H14"/>
      <selection pane="topRight" activeCell="H14" sqref="H14"/>
      <selection pane="bottomLeft" activeCell="H14" sqref="H14"/>
      <selection pane="bottomRight"/>
    </sheetView>
  </sheetViews>
  <sheetFormatPr defaultColWidth="8.875" defaultRowHeight="15.75"/>
  <cols>
    <col min="1" max="1" width="5.625" customWidth="1"/>
    <col min="2" max="2" width="6.875" customWidth="1"/>
    <col min="3" max="3" width="9" customWidth="1"/>
    <col min="4" max="4" width="10.625" customWidth="1"/>
    <col min="5" max="5" width="6" customWidth="1"/>
    <col min="6" max="9" width="13" customWidth="1"/>
    <col min="10" max="10" width="6.625" bestFit="1" customWidth="1"/>
    <col min="11" max="11" width="8.125" bestFit="1" customWidth="1"/>
    <col min="12" max="12" width="6.375" customWidth="1"/>
    <col min="13" max="14" width="8.125" bestFit="1" customWidth="1"/>
    <col min="15" max="15" width="6.625" customWidth="1"/>
    <col min="16" max="16" width="8.125" bestFit="1" customWidth="1"/>
    <col min="17" max="18" width="6.625" bestFit="1" customWidth="1"/>
    <col min="19" max="21" width="8.125" bestFit="1" customWidth="1"/>
    <col min="22" max="22" width="5.875" bestFit="1" customWidth="1"/>
    <col min="23" max="23" width="8.125" bestFit="1" customWidth="1"/>
    <col min="24" max="24" width="0.875" customWidth="1"/>
    <col min="25" max="25" width="5.875" bestFit="1" customWidth="1"/>
    <col min="26" max="26" width="5.125" customWidth="1"/>
    <col min="27" max="27" width="1.625" customWidth="1"/>
  </cols>
  <sheetData>
    <row r="1" spans="1:13" ht="54" customHeight="1" thickBot="1">
      <c r="A1" s="143"/>
      <c r="B1" s="143"/>
      <c r="C1" s="143"/>
      <c r="D1" s="143"/>
      <c r="E1" s="143"/>
      <c r="F1" s="442" t="s">
        <v>6191</v>
      </c>
      <c r="G1" s="442" t="s">
        <v>6192</v>
      </c>
      <c r="H1" s="1615" t="s">
        <v>6193</v>
      </c>
      <c r="I1" s="1615" t="s">
        <v>6194</v>
      </c>
      <c r="J1" s="144"/>
      <c r="K1" s="144"/>
      <c r="L1" s="144"/>
      <c r="M1" s="144"/>
    </row>
    <row r="2" spans="1:13" ht="26.25" thickBot="1">
      <c r="A2" s="409" t="s">
        <v>287</v>
      </c>
      <c r="B2" s="410" t="s">
        <v>275</v>
      </c>
      <c r="C2" s="410" t="s">
        <v>288</v>
      </c>
      <c r="D2" s="410" t="s">
        <v>289</v>
      </c>
      <c r="E2" s="411" t="s">
        <v>277</v>
      </c>
      <c r="F2" s="443" t="s">
        <v>6191</v>
      </c>
      <c r="G2" s="443" t="s">
        <v>6192</v>
      </c>
      <c r="H2" s="1616" t="s">
        <v>6193</v>
      </c>
      <c r="I2" s="1616" t="s">
        <v>6194</v>
      </c>
      <c r="J2" s="144"/>
      <c r="K2" s="144"/>
      <c r="L2" s="144"/>
      <c r="M2" s="144"/>
    </row>
    <row r="3" spans="1:13" ht="16.5" thickBot="1">
      <c r="A3" s="427">
        <v>2018</v>
      </c>
      <c r="B3" s="413" t="s">
        <v>303</v>
      </c>
      <c r="C3" s="414" t="s">
        <v>304</v>
      </c>
      <c r="D3" s="414" t="s">
        <v>305</v>
      </c>
      <c r="E3" s="417" t="s">
        <v>211</v>
      </c>
      <c r="F3" s="1618">
        <v>1</v>
      </c>
      <c r="G3" s="1619">
        <v>1.0349999999999999</v>
      </c>
      <c r="H3" s="1618">
        <v>1</v>
      </c>
      <c r="I3" s="1619">
        <v>1.0349999999999999</v>
      </c>
    </row>
    <row r="4" spans="1:13" ht="16.5" thickBot="1">
      <c r="A4" s="428">
        <v>2018</v>
      </c>
      <c r="B4" s="145" t="s">
        <v>303</v>
      </c>
      <c r="C4" s="146" t="s">
        <v>304</v>
      </c>
      <c r="D4" s="146" t="s">
        <v>305</v>
      </c>
      <c r="E4" s="149" t="s">
        <v>212</v>
      </c>
      <c r="F4" s="1618">
        <v>1</v>
      </c>
      <c r="G4" s="1619">
        <v>1.0349999999999999</v>
      </c>
      <c r="H4" s="1618">
        <v>1</v>
      </c>
      <c r="I4" s="1619">
        <v>1.0349999999999999</v>
      </c>
    </row>
    <row r="5" spans="1:13" ht="16.5" thickBot="1">
      <c r="A5" s="428">
        <v>2018</v>
      </c>
      <c r="B5" s="145" t="s">
        <v>303</v>
      </c>
      <c r="C5" s="146" t="s">
        <v>304</v>
      </c>
      <c r="D5" s="146" t="s">
        <v>305</v>
      </c>
      <c r="E5" s="149" t="s">
        <v>213</v>
      </c>
      <c r="F5" s="1618">
        <v>1</v>
      </c>
      <c r="G5" s="1619">
        <v>1.0349999999999999</v>
      </c>
      <c r="H5" s="1618">
        <v>1</v>
      </c>
      <c r="I5" s="1619">
        <v>1.0349999999999999</v>
      </c>
    </row>
    <row r="6" spans="1:13" ht="16.5" thickBot="1">
      <c r="A6" s="429">
        <v>2018</v>
      </c>
      <c r="B6" s="420" t="s">
        <v>303</v>
      </c>
      <c r="C6" s="421" t="s">
        <v>304</v>
      </c>
      <c r="D6" s="421" t="s">
        <v>305</v>
      </c>
      <c r="E6" s="424" t="s">
        <v>214</v>
      </c>
      <c r="F6" s="1618">
        <v>1</v>
      </c>
      <c r="G6" s="1619">
        <v>1.0349999999999999</v>
      </c>
      <c r="H6" s="1618">
        <v>1</v>
      </c>
      <c r="I6" s="1619">
        <v>1.0349999999999999</v>
      </c>
    </row>
    <row r="7" spans="1:13" ht="16.5" thickBot="1">
      <c r="A7" s="427">
        <v>2018</v>
      </c>
      <c r="B7" s="413" t="s">
        <v>303</v>
      </c>
      <c r="C7" s="414" t="s">
        <v>309</v>
      </c>
      <c r="D7" s="414" t="s">
        <v>310</v>
      </c>
      <c r="E7" s="417" t="s">
        <v>211</v>
      </c>
      <c r="F7" s="1618">
        <v>1</v>
      </c>
      <c r="G7" s="1619">
        <v>1.0349999999999999</v>
      </c>
      <c r="H7" s="1618">
        <v>1</v>
      </c>
      <c r="I7" s="1619">
        <v>1.0349999999999999</v>
      </c>
    </row>
    <row r="8" spans="1:13" ht="16.5" thickBot="1">
      <c r="A8" s="428">
        <v>2018</v>
      </c>
      <c r="B8" s="145" t="s">
        <v>303</v>
      </c>
      <c r="C8" s="146" t="s">
        <v>309</v>
      </c>
      <c r="D8" s="146" t="s">
        <v>310</v>
      </c>
      <c r="E8" s="149" t="s">
        <v>212</v>
      </c>
      <c r="F8" s="1618">
        <v>1</v>
      </c>
      <c r="G8" s="1619">
        <v>1.0349999999999999</v>
      </c>
      <c r="H8" s="1618">
        <v>1</v>
      </c>
      <c r="I8" s="1619">
        <v>1.0349999999999999</v>
      </c>
    </row>
    <row r="9" spans="1:13" ht="16.5" thickBot="1">
      <c r="A9" s="428">
        <v>2018</v>
      </c>
      <c r="B9" s="145" t="s">
        <v>303</v>
      </c>
      <c r="C9" s="146" t="s">
        <v>309</v>
      </c>
      <c r="D9" s="146" t="s">
        <v>310</v>
      </c>
      <c r="E9" s="149" t="s">
        <v>213</v>
      </c>
      <c r="F9" s="1618">
        <v>1</v>
      </c>
      <c r="G9" s="1619">
        <v>1.0349999999999999</v>
      </c>
      <c r="H9" s="1618">
        <v>1</v>
      </c>
      <c r="I9" s="1619">
        <v>1.0349999999999999</v>
      </c>
    </row>
    <row r="10" spans="1:13" ht="16.5" thickBot="1">
      <c r="A10" s="429">
        <v>2018</v>
      </c>
      <c r="B10" s="420" t="s">
        <v>303</v>
      </c>
      <c r="C10" s="421" t="s">
        <v>309</v>
      </c>
      <c r="D10" s="421" t="s">
        <v>310</v>
      </c>
      <c r="E10" s="424" t="s">
        <v>214</v>
      </c>
      <c r="F10" s="1618">
        <v>1</v>
      </c>
      <c r="G10" s="1619">
        <v>1.0349999999999999</v>
      </c>
      <c r="H10" s="1618">
        <v>1</v>
      </c>
      <c r="I10" s="1619">
        <v>1.0349999999999999</v>
      </c>
    </row>
    <row r="11" spans="1:13" ht="16.5" thickBot="1">
      <c r="A11" s="427">
        <v>2018</v>
      </c>
      <c r="B11" s="413" t="s">
        <v>303</v>
      </c>
      <c r="C11" s="414" t="s">
        <v>311</v>
      </c>
      <c r="D11" s="414" t="s">
        <v>312</v>
      </c>
      <c r="E11" s="417" t="s">
        <v>211</v>
      </c>
      <c r="F11" s="1618">
        <v>1</v>
      </c>
      <c r="G11" s="1619">
        <v>1.0349999999999999</v>
      </c>
      <c r="H11" s="1618">
        <v>1</v>
      </c>
      <c r="I11" s="1619">
        <v>1.0349999999999999</v>
      </c>
    </row>
    <row r="12" spans="1:13" ht="16.5" thickBot="1">
      <c r="A12" s="428">
        <v>2018</v>
      </c>
      <c r="B12" s="145" t="s">
        <v>303</v>
      </c>
      <c r="C12" s="146" t="s">
        <v>311</v>
      </c>
      <c r="D12" s="146" t="s">
        <v>312</v>
      </c>
      <c r="E12" s="149" t="s">
        <v>212</v>
      </c>
      <c r="F12" s="1618">
        <v>1</v>
      </c>
      <c r="G12" s="1619">
        <v>1.0349999999999999</v>
      </c>
      <c r="H12" s="1618">
        <v>1</v>
      </c>
      <c r="I12" s="1619">
        <v>1.0349999999999999</v>
      </c>
    </row>
    <row r="13" spans="1:13" ht="16.5" thickBot="1">
      <c r="A13" s="428">
        <v>2018</v>
      </c>
      <c r="B13" s="145" t="s">
        <v>303</v>
      </c>
      <c r="C13" s="146" t="s">
        <v>311</v>
      </c>
      <c r="D13" s="146" t="s">
        <v>312</v>
      </c>
      <c r="E13" s="149" t="s">
        <v>213</v>
      </c>
      <c r="F13" s="1618">
        <v>1</v>
      </c>
      <c r="G13" s="1619">
        <v>1.0349999999999999</v>
      </c>
      <c r="H13" s="1618">
        <v>1</v>
      </c>
      <c r="I13" s="1619">
        <v>1.0349999999999999</v>
      </c>
    </row>
    <row r="14" spans="1:13" ht="16.5" thickBot="1">
      <c r="A14" s="429">
        <v>2018</v>
      </c>
      <c r="B14" s="420" t="s">
        <v>303</v>
      </c>
      <c r="C14" s="421" t="s">
        <v>311</v>
      </c>
      <c r="D14" s="421" t="s">
        <v>312</v>
      </c>
      <c r="E14" s="424" t="s">
        <v>214</v>
      </c>
      <c r="F14" s="1618">
        <v>1</v>
      </c>
      <c r="G14" s="1619">
        <v>1.0349999999999999</v>
      </c>
      <c r="H14" s="1618">
        <v>1</v>
      </c>
      <c r="I14" s="1619">
        <v>1.0349999999999999</v>
      </c>
    </row>
    <row r="15" spans="1:13" ht="16.5" thickBot="1">
      <c r="A15" s="427">
        <v>2018</v>
      </c>
      <c r="B15" s="413" t="s">
        <v>303</v>
      </c>
      <c r="C15" s="414" t="s">
        <v>313</v>
      </c>
      <c r="D15" s="414" t="s">
        <v>314</v>
      </c>
      <c r="E15" s="417" t="s">
        <v>211</v>
      </c>
      <c r="F15" s="1618">
        <v>1</v>
      </c>
      <c r="G15" s="1619">
        <v>1.0349999999999999</v>
      </c>
      <c r="H15" s="1618">
        <v>1</v>
      </c>
      <c r="I15" s="1619">
        <v>1.0349999999999999</v>
      </c>
    </row>
    <row r="16" spans="1:13" ht="16.5" thickBot="1">
      <c r="A16" s="428">
        <v>2018</v>
      </c>
      <c r="B16" s="145" t="s">
        <v>303</v>
      </c>
      <c r="C16" s="146" t="s">
        <v>313</v>
      </c>
      <c r="D16" s="146" t="s">
        <v>314</v>
      </c>
      <c r="E16" s="149" t="s">
        <v>212</v>
      </c>
      <c r="F16" s="1618">
        <v>1</v>
      </c>
      <c r="G16" s="1619">
        <v>1.0349999999999999</v>
      </c>
      <c r="H16" s="1618">
        <v>1</v>
      </c>
      <c r="I16" s="1619">
        <v>1.0349999999999999</v>
      </c>
    </row>
    <row r="17" spans="1:9" ht="16.5" thickBot="1">
      <c r="A17" s="428">
        <v>2018</v>
      </c>
      <c r="B17" s="145" t="s">
        <v>303</v>
      </c>
      <c r="C17" s="146" t="s">
        <v>313</v>
      </c>
      <c r="D17" s="146" t="s">
        <v>314</v>
      </c>
      <c r="E17" s="149" t="s">
        <v>213</v>
      </c>
      <c r="F17" s="1618">
        <v>1</v>
      </c>
      <c r="G17" s="1619">
        <v>1.0349999999999999</v>
      </c>
      <c r="H17" s="1618">
        <v>1</v>
      </c>
      <c r="I17" s="1619">
        <v>1.0349999999999999</v>
      </c>
    </row>
    <row r="18" spans="1:9" ht="16.5" thickBot="1">
      <c r="A18" s="429">
        <v>2018</v>
      </c>
      <c r="B18" s="420" t="s">
        <v>303</v>
      </c>
      <c r="C18" s="421" t="s">
        <v>313</v>
      </c>
      <c r="D18" s="421" t="s">
        <v>314</v>
      </c>
      <c r="E18" s="424" t="s">
        <v>214</v>
      </c>
      <c r="F18" s="1618">
        <v>1</v>
      </c>
      <c r="G18" s="1619">
        <v>1.0349999999999999</v>
      </c>
      <c r="H18" s="1618">
        <v>1</v>
      </c>
      <c r="I18" s="1619">
        <v>1.0349999999999999</v>
      </c>
    </row>
    <row r="19" spans="1:9" ht="16.5" thickBot="1">
      <c r="A19" s="427">
        <v>2018</v>
      </c>
      <c r="B19" s="425" t="s">
        <v>317</v>
      </c>
      <c r="C19" s="414" t="s">
        <v>304</v>
      </c>
      <c r="D19" s="414" t="s">
        <v>305</v>
      </c>
      <c r="E19" s="417" t="s">
        <v>211</v>
      </c>
      <c r="F19" s="1618">
        <v>1</v>
      </c>
      <c r="G19" s="1619">
        <v>1.0349999999999999</v>
      </c>
      <c r="H19" s="1618">
        <v>1</v>
      </c>
      <c r="I19" s="1619">
        <v>1.0349999999999999</v>
      </c>
    </row>
    <row r="20" spans="1:9" ht="16.5" thickBot="1">
      <c r="A20" s="428">
        <v>2018</v>
      </c>
      <c r="B20" s="152" t="s">
        <v>317</v>
      </c>
      <c r="C20" s="146" t="s">
        <v>304</v>
      </c>
      <c r="D20" s="146" t="s">
        <v>305</v>
      </c>
      <c r="E20" s="149" t="s">
        <v>212</v>
      </c>
      <c r="F20" s="1618">
        <v>1</v>
      </c>
      <c r="G20" s="1619">
        <v>1.0349999999999999</v>
      </c>
      <c r="H20" s="1618">
        <v>1</v>
      </c>
      <c r="I20" s="1619">
        <v>1.0349999999999999</v>
      </c>
    </row>
    <row r="21" spans="1:9" ht="16.5" thickBot="1">
      <c r="A21" s="428">
        <v>2018</v>
      </c>
      <c r="B21" s="152" t="s">
        <v>317</v>
      </c>
      <c r="C21" s="146" t="s">
        <v>304</v>
      </c>
      <c r="D21" s="146" t="s">
        <v>305</v>
      </c>
      <c r="E21" s="149" t="s">
        <v>213</v>
      </c>
      <c r="F21" s="1618">
        <v>1</v>
      </c>
      <c r="G21" s="1619">
        <v>1.0349999999999999</v>
      </c>
      <c r="H21" s="1618">
        <v>1</v>
      </c>
      <c r="I21" s="1619">
        <v>1.0349999999999999</v>
      </c>
    </row>
    <row r="22" spans="1:9" ht="16.5" thickBot="1">
      <c r="A22" s="429">
        <v>2018</v>
      </c>
      <c r="B22" s="426" t="s">
        <v>317</v>
      </c>
      <c r="C22" s="421" t="s">
        <v>304</v>
      </c>
      <c r="D22" s="421" t="s">
        <v>305</v>
      </c>
      <c r="E22" s="424" t="s">
        <v>214</v>
      </c>
      <c r="F22" s="1618">
        <v>1</v>
      </c>
      <c r="G22" s="1619">
        <v>1.0349999999999999</v>
      </c>
      <c r="H22" s="1618">
        <v>1</v>
      </c>
      <c r="I22" s="1619">
        <v>1.0349999999999999</v>
      </c>
    </row>
    <row r="23" spans="1:9" ht="16.5" thickBot="1">
      <c r="A23" s="427">
        <v>2018</v>
      </c>
      <c r="B23" s="425" t="s">
        <v>317</v>
      </c>
      <c r="C23" s="414" t="s">
        <v>309</v>
      </c>
      <c r="D23" s="414" t="s">
        <v>310</v>
      </c>
      <c r="E23" s="417" t="s">
        <v>211</v>
      </c>
      <c r="F23" s="1618">
        <v>1</v>
      </c>
      <c r="G23" s="1619">
        <v>1.0349999999999999</v>
      </c>
      <c r="H23" s="1618">
        <v>1</v>
      </c>
      <c r="I23" s="1619">
        <v>1.0349999999999999</v>
      </c>
    </row>
    <row r="24" spans="1:9" ht="16.5" thickBot="1">
      <c r="A24" s="428">
        <v>2018</v>
      </c>
      <c r="B24" s="152" t="s">
        <v>317</v>
      </c>
      <c r="C24" s="146" t="s">
        <v>309</v>
      </c>
      <c r="D24" s="146" t="s">
        <v>310</v>
      </c>
      <c r="E24" s="149" t="s">
        <v>212</v>
      </c>
      <c r="F24" s="1618">
        <v>1</v>
      </c>
      <c r="G24" s="1619">
        <v>1.0349999999999999</v>
      </c>
      <c r="H24" s="1618">
        <v>1</v>
      </c>
      <c r="I24" s="1619">
        <v>1.0349999999999999</v>
      </c>
    </row>
    <row r="25" spans="1:9" ht="16.5" thickBot="1">
      <c r="A25" s="428">
        <v>2018</v>
      </c>
      <c r="B25" s="152" t="s">
        <v>317</v>
      </c>
      <c r="C25" s="146" t="s">
        <v>309</v>
      </c>
      <c r="D25" s="146" t="s">
        <v>310</v>
      </c>
      <c r="E25" s="149" t="s">
        <v>213</v>
      </c>
      <c r="F25" s="1618">
        <v>1</v>
      </c>
      <c r="G25" s="1619">
        <v>1.0349999999999999</v>
      </c>
      <c r="H25" s="1618">
        <v>1</v>
      </c>
      <c r="I25" s="1619">
        <v>1.0349999999999999</v>
      </c>
    </row>
    <row r="26" spans="1:9" ht="16.5" thickBot="1">
      <c r="A26" s="429">
        <v>2018</v>
      </c>
      <c r="B26" s="426" t="s">
        <v>317</v>
      </c>
      <c r="C26" s="421" t="s">
        <v>309</v>
      </c>
      <c r="D26" s="421" t="s">
        <v>310</v>
      </c>
      <c r="E26" s="424" t="s">
        <v>214</v>
      </c>
      <c r="F26" s="1618">
        <v>1</v>
      </c>
      <c r="G26" s="1619">
        <v>1.0349999999999999</v>
      </c>
      <c r="H26" s="1618">
        <v>1</v>
      </c>
      <c r="I26" s="1619">
        <v>1.0349999999999999</v>
      </c>
    </row>
    <row r="27" spans="1:9" ht="16.5" thickBot="1">
      <c r="A27" s="427">
        <v>2018</v>
      </c>
      <c r="B27" s="425" t="s">
        <v>317</v>
      </c>
      <c r="C27" s="414" t="s">
        <v>311</v>
      </c>
      <c r="D27" s="414" t="s">
        <v>312</v>
      </c>
      <c r="E27" s="417" t="s">
        <v>211</v>
      </c>
      <c r="F27" s="1618">
        <v>1</v>
      </c>
      <c r="G27" s="1619">
        <v>1.0349999999999999</v>
      </c>
      <c r="H27" s="1618">
        <v>1</v>
      </c>
      <c r="I27" s="1619">
        <v>1.0349999999999999</v>
      </c>
    </row>
    <row r="28" spans="1:9" ht="16.5" thickBot="1">
      <c r="A28" s="428">
        <v>2018</v>
      </c>
      <c r="B28" s="152" t="s">
        <v>317</v>
      </c>
      <c r="C28" s="146" t="s">
        <v>311</v>
      </c>
      <c r="D28" s="146" t="s">
        <v>312</v>
      </c>
      <c r="E28" s="149" t="s">
        <v>212</v>
      </c>
      <c r="F28" s="1618">
        <v>1</v>
      </c>
      <c r="G28" s="1619">
        <v>1.0349999999999999</v>
      </c>
      <c r="H28" s="1618">
        <v>1</v>
      </c>
      <c r="I28" s="1619">
        <v>1.0349999999999999</v>
      </c>
    </row>
    <row r="29" spans="1:9" ht="16.5" thickBot="1">
      <c r="A29" s="428">
        <v>2018</v>
      </c>
      <c r="B29" s="152" t="s">
        <v>317</v>
      </c>
      <c r="C29" s="146" t="s">
        <v>311</v>
      </c>
      <c r="D29" s="146" t="s">
        <v>312</v>
      </c>
      <c r="E29" s="149" t="s">
        <v>213</v>
      </c>
      <c r="F29" s="1618">
        <v>1</v>
      </c>
      <c r="G29" s="1619">
        <v>1.0349999999999999</v>
      </c>
      <c r="H29" s="1618">
        <v>1</v>
      </c>
      <c r="I29" s="1619">
        <v>1.0349999999999999</v>
      </c>
    </row>
    <row r="30" spans="1:9" ht="16.5" thickBot="1">
      <c r="A30" s="429">
        <v>2018</v>
      </c>
      <c r="B30" s="426" t="s">
        <v>317</v>
      </c>
      <c r="C30" s="421" t="s">
        <v>311</v>
      </c>
      <c r="D30" s="421" t="s">
        <v>312</v>
      </c>
      <c r="E30" s="424" t="s">
        <v>214</v>
      </c>
      <c r="F30" s="1618">
        <v>1</v>
      </c>
      <c r="G30" s="1619">
        <v>1.0349999999999999</v>
      </c>
      <c r="H30" s="1618">
        <v>1</v>
      </c>
      <c r="I30" s="1619">
        <v>1.0349999999999999</v>
      </c>
    </row>
    <row r="31" spans="1:9" ht="16.5" thickBot="1">
      <c r="A31" s="427">
        <v>2018</v>
      </c>
      <c r="B31" s="425" t="s">
        <v>317</v>
      </c>
      <c r="C31" s="414" t="s">
        <v>313</v>
      </c>
      <c r="D31" s="414" t="s">
        <v>314</v>
      </c>
      <c r="E31" s="417" t="s">
        <v>211</v>
      </c>
      <c r="F31" s="1618">
        <v>1</v>
      </c>
      <c r="G31" s="1619">
        <v>1.0349999999999999</v>
      </c>
      <c r="H31" s="1618">
        <v>1</v>
      </c>
      <c r="I31" s="1619">
        <v>1.0349999999999999</v>
      </c>
    </row>
    <row r="32" spans="1:9" ht="16.5" thickBot="1">
      <c r="A32" s="428">
        <v>2018</v>
      </c>
      <c r="B32" s="152" t="s">
        <v>317</v>
      </c>
      <c r="C32" s="146" t="s">
        <v>313</v>
      </c>
      <c r="D32" s="146" t="s">
        <v>314</v>
      </c>
      <c r="E32" s="149" t="s">
        <v>212</v>
      </c>
      <c r="F32" s="1618">
        <v>1</v>
      </c>
      <c r="G32" s="1619">
        <v>1.0349999999999999</v>
      </c>
      <c r="H32" s="1618">
        <v>1</v>
      </c>
      <c r="I32" s="1619">
        <v>1.0349999999999999</v>
      </c>
    </row>
    <row r="33" spans="1:9" ht="16.5" thickBot="1">
      <c r="A33" s="428">
        <v>2018</v>
      </c>
      <c r="B33" s="152" t="s">
        <v>317</v>
      </c>
      <c r="C33" s="146" t="s">
        <v>313</v>
      </c>
      <c r="D33" s="146" t="s">
        <v>314</v>
      </c>
      <c r="E33" s="149" t="s">
        <v>213</v>
      </c>
      <c r="F33" s="1618">
        <v>1</v>
      </c>
      <c r="G33" s="1619">
        <v>1.0349999999999999</v>
      </c>
      <c r="H33" s="1618">
        <v>1</v>
      </c>
      <c r="I33" s="1619">
        <v>1.0349999999999999</v>
      </c>
    </row>
    <row r="34" spans="1:9" ht="16.5" thickBot="1">
      <c r="A34" s="429">
        <v>2018</v>
      </c>
      <c r="B34" s="426" t="s">
        <v>317</v>
      </c>
      <c r="C34" s="421" t="s">
        <v>313</v>
      </c>
      <c r="D34" s="421" t="s">
        <v>314</v>
      </c>
      <c r="E34" s="424" t="s">
        <v>214</v>
      </c>
      <c r="F34" s="1618">
        <v>1</v>
      </c>
      <c r="G34" s="1619">
        <v>1.0349999999999999</v>
      </c>
      <c r="H34" s="1618">
        <v>1</v>
      </c>
      <c r="I34" s="1619">
        <v>1.0349999999999999</v>
      </c>
    </row>
    <row r="35" spans="1:9">
      <c r="A35" s="144"/>
      <c r="B35" s="144"/>
      <c r="C35" s="144"/>
      <c r="D35" s="144"/>
      <c r="E35" s="144"/>
      <c r="F35" s="153"/>
      <c r="G35" s="153"/>
      <c r="H35" s="153"/>
      <c r="I35" s="153"/>
    </row>
  </sheetData>
  <pageMargins left="0.7" right="0.7" top="0.75" bottom="0.75" header="0.3" footer="0.3"/>
  <pageSetup orientation="portrait" r:id="rId1"/>
  <colBreaks count="1" manualBreakCount="1">
    <brk id="6" max="1048575" man="1"/>
  </col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62093E-0D3F-4CE1-BFEC-88F8C2C4D82D}">
  <sheetPr>
    <tabColor theme="6"/>
  </sheetPr>
  <dimension ref="A1:M167"/>
  <sheetViews>
    <sheetView zoomScaleNormal="100" zoomScaleSheetLayoutView="100" workbookViewId="0">
      <selection sqref="A1:L1"/>
    </sheetView>
  </sheetViews>
  <sheetFormatPr defaultColWidth="9" defaultRowHeight="12.75"/>
  <cols>
    <col min="1" max="1" width="9.625" style="154" customWidth="1"/>
    <col min="2" max="3" width="8.625" style="154" customWidth="1"/>
    <col min="4" max="4" width="7.625" style="154" customWidth="1"/>
    <col min="5" max="13" width="10.875" style="154" customWidth="1"/>
    <col min="14" max="16384" width="9" style="154"/>
  </cols>
  <sheetData>
    <row r="1" spans="1:13" ht="13.5" thickBot="1">
      <c r="A1" s="1879" t="s">
        <v>272</v>
      </c>
      <c r="B1" s="1880"/>
      <c r="C1" s="1880"/>
      <c r="D1" s="1880"/>
      <c r="E1" s="1880"/>
      <c r="F1" s="1880"/>
      <c r="G1" s="1880"/>
      <c r="H1" s="1880"/>
      <c r="I1" s="1880"/>
      <c r="J1" s="1880"/>
      <c r="K1" s="1880"/>
      <c r="L1" s="1881"/>
      <c r="M1" s="1622"/>
    </row>
    <row r="2" spans="1:13" ht="25.5" customHeight="1" thickBot="1">
      <c r="A2" s="155"/>
      <c r="B2" s="156"/>
      <c r="C2" s="156"/>
      <c r="D2" s="157"/>
      <c r="E2" s="495" t="s">
        <v>336</v>
      </c>
      <c r="F2" s="495" t="s">
        <v>337</v>
      </c>
      <c r="G2" s="495" t="s">
        <v>338</v>
      </c>
      <c r="H2" s="495" t="s">
        <v>339</v>
      </c>
      <c r="I2" s="451" t="s">
        <v>340</v>
      </c>
      <c r="J2" s="451" t="s">
        <v>341</v>
      </c>
      <c r="K2" s="451" t="s">
        <v>342</v>
      </c>
      <c r="L2" s="451" t="s">
        <v>343</v>
      </c>
      <c r="M2" s="1623" t="s">
        <v>6222</v>
      </c>
    </row>
    <row r="3" spans="1:13" ht="13.5" thickBot="1">
      <c r="A3" s="1627"/>
      <c r="B3" s="1628"/>
      <c r="C3" s="1628"/>
      <c r="D3" s="1628"/>
      <c r="E3" s="1882" t="s">
        <v>273</v>
      </c>
      <c r="F3" s="1882"/>
      <c r="G3" s="1882"/>
      <c r="H3" s="1882"/>
      <c r="I3" s="1883" t="s">
        <v>274</v>
      </c>
      <c r="J3" s="1883"/>
      <c r="K3" s="1883"/>
      <c r="L3" s="1883"/>
      <c r="M3" s="1626"/>
    </row>
    <row r="4" spans="1:13" ht="51.75" thickBot="1">
      <c r="A4" s="158" t="s">
        <v>275</v>
      </c>
      <c r="B4" s="159" t="s">
        <v>276</v>
      </c>
      <c r="C4" s="1629" t="s">
        <v>283</v>
      </c>
      <c r="D4" s="160" t="s">
        <v>277</v>
      </c>
      <c r="E4" s="452" t="s">
        <v>6195</v>
      </c>
      <c r="F4" s="452" t="s">
        <v>6196</v>
      </c>
      <c r="G4" s="452" t="s">
        <v>6197</v>
      </c>
      <c r="H4" s="452" t="s">
        <v>6198</v>
      </c>
      <c r="I4" s="452" t="s">
        <v>6199</v>
      </c>
      <c r="J4" s="452" t="s">
        <v>6200</v>
      </c>
      <c r="K4" s="452" t="s">
        <v>6201</v>
      </c>
      <c r="L4" s="452" t="s">
        <v>6202</v>
      </c>
      <c r="M4" s="1622" t="s">
        <v>6222</v>
      </c>
    </row>
    <row r="5" spans="1:13" ht="13.5" thickBot="1">
      <c r="A5" s="435">
        <v>1</v>
      </c>
      <c r="B5" s="436" t="s">
        <v>278</v>
      </c>
      <c r="C5" s="1630">
        <v>2018</v>
      </c>
      <c r="D5" s="437" t="s">
        <v>211</v>
      </c>
      <c r="E5" s="453">
        <v>54.936</v>
      </c>
      <c r="F5" s="453">
        <v>61.214999999999996</v>
      </c>
      <c r="G5" s="453">
        <v>65.635500000000008</v>
      </c>
      <c r="H5" s="454" t="s">
        <v>72</v>
      </c>
      <c r="I5" s="453">
        <v>53.6235</v>
      </c>
      <c r="J5" s="453">
        <v>59.902499999999996</v>
      </c>
      <c r="K5" s="453">
        <v>64.323000000000008</v>
      </c>
      <c r="L5" s="454" t="s">
        <v>72</v>
      </c>
      <c r="M5" s="1624">
        <v>0</v>
      </c>
    </row>
    <row r="6" spans="1:13" ht="13.5" thickBot="1">
      <c r="A6" s="438">
        <v>1</v>
      </c>
      <c r="B6" s="161" t="s">
        <v>278</v>
      </c>
      <c r="C6" s="1630">
        <v>2018</v>
      </c>
      <c r="D6" s="162" t="s">
        <v>212</v>
      </c>
      <c r="E6" s="455">
        <v>112.077</v>
      </c>
      <c r="F6" s="455">
        <v>124.887</v>
      </c>
      <c r="G6" s="455">
        <v>133.82250000000002</v>
      </c>
      <c r="H6" s="456" t="s">
        <v>72</v>
      </c>
      <c r="I6" s="455">
        <v>109.66200000000001</v>
      </c>
      <c r="J6" s="455">
        <v>122.47200000000001</v>
      </c>
      <c r="K6" s="455">
        <v>131.4075</v>
      </c>
      <c r="L6" s="456" t="s">
        <v>72</v>
      </c>
      <c r="M6" s="1624">
        <v>0</v>
      </c>
    </row>
    <row r="7" spans="1:13" ht="13.5" thickBot="1">
      <c r="A7" s="438">
        <v>1</v>
      </c>
      <c r="B7" s="161" t="s">
        <v>278</v>
      </c>
      <c r="C7" s="1630">
        <v>2018</v>
      </c>
      <c r="D7" s="162" t="s">
        <v>213</v>
      </c>
      <c r="E7" s="455">
        <v>127.09200000000001</v>
      </c>
      <c r="F7" s="455">
        <v>144.75300000000001</v>
      </c>
      <c r="G7" s="455">
        <v>151.23150000000001</v>
      </c>
      <c r="H7" s="456" t="s">
        <v>72</v>
      </c>
      <c r="I7" s="455">
        <v>115.54200000000002</v>
      </c>
      <c r="J7" s="455">
        <v>127.95300000000002</v>
      </c>
      <c r="K7" s="455">
        <v>134.4315</v>
      </c>
      <c r="L7" s="456" t="s">
        <v>72</v>
      </c>
      <c r="M7" s="1624">
        <v>0</v>
      </c>
    </row>
    <row r="8" spans="1:13" ht="13.5" thickBot="1">
      <c r="A8" s="439">
        <v>1</v>
      </c>
      <c r="B8" s="440" t="s">
        <v>278</v>
      </c>
      <c r="C8" s="1630">
        <v>2018</v>
      </c>
      <c r="D8" s="441" t="s">
        <v>214</v>
      </c>
      <c r="E8" s="457">
        <v>197.232</v>
      </c>
      <c r="F8" s="457">
        <v>223.398</v>
      </c>
      <c r="G8" s="457">
        <v>234.78</v>
      </c>
      <c r="H8" s="458" t="s">
        <v>72</v>
      </c>
      <c r="I8" s="457">
        <v>184.107</v>
      </c>
      <c r="J8" s="457">
        <v>203.44800000000001</v>
      </c>
      <c r="K8" s="457">
        <v>214.83</v>
      </c>
      <c r="L8" s="458" t="s">
        <v>72</v>
      </c>
      <c r="M8" s="1624">
        <v>0</v>
      </c>
    </row>
    <row r="9" spans="1:13" ht="13.5" thickBot="1">
      <c r="A9" s="435">
        <v>1</v>
      </c>
      <c r="B9" s="436" t="s">
        <v>279</v>
      </c>
      <c r="C9" s="1630">
        <v>2018</v>
      </c>
      <c r="D9" s="437" t="s">
        <v>211</v>
      </c>
      <c r="E9" s="453">
        <v>49.664999999999999</v>
      </c>
      <c r="F9" s="453">
        <v>55.335000000000008</v>
      </c>
      <c r="G9" s="453">
        <v>59.335500000000003</v>
      </c>
      <c r="H9" s="454" t="s">
        <v>72</v>
      </c>
      <c r="I9" s="453">
        <v>48.352499999999999</v>
      </c>
      <c r="J9" s="453">
        <v>54.022500000000008</v>
      </c>
      <c r="K9" s="453">
        <v>58.023000000000003</v>
      </c>
      <c r="L9" s="454" t="s">
        <v>72</v>
      </c>
      <c r="M9" s="1624">
        <v>0</v>
      </c>
    </row>
    <row r="10" spans="1:13" ht="13.5" thickBot="1">
      <c r="A10" s="438">
        <v>1</v>
      </c>
      <c r="B10" s="161" t="s">
        <v>279</v>
      </c>
      <c r="C10" s="1630">
        <v>2018</v>
      </c>
      <c r="D10" s="162" t="s">
        <v>212</v>
      </c>
      <c r="E10" s="455">
        <v>101.3145</v>
      </c>
      <c r="F10" s="455">
        <v>112.896</v>
      </c>
      <c r="G10" s="455">
        <v>120.9705</v>
      </c>
      <c r="H10" s="459" t="s">
        <v>72</v>
      </c>
      <c r="I10" s="455">
        <v>98.899500000000003</v>
      </c>
      <c r="J10" s="455">
        <v>110.48100000000001</v>
      </c>
      <c r="K10" s="455">
        <v>118.55549999999999</v>
      </c>
      <c r="L10" s="456" t="s">
        <v>72</v>
      </c>
      <c r="M10" s="1624">
        <v>0</v>
      </c>
    </row>
    <row r="11" spans="1:13" ht="13.5" thickBot="1">
      <c r="A11" s="438">
        <v>1</v>
      </c>
      <c r="B11" s="161" t="s">
        <v>279</v>
      </c>
      <c r="C11" s="1630">
        <v>2018</v>
      </c>
      <c r="D11" s="162" t="s">
        <v>213</v>
      </c>
      <c r="E11" s="455">
        <v>115.41600000000001</v>
      </c>
      <c r="F11" s="455">
        <v>131.649</v>
      </c>
      <c r="G11" s="455">
        <v>137.50800000000001</v>
      </c>
      <c r="H11" s="459" t="s">
        <v>72</v>
      </c>
      <c r="I11" s="455">
        <v>103.866</v>
      </c>
      <c r="J11" s="455">
        <v>114.849</v>
      </c>
      <c r="K11" s="455">
        <v>120.70800000000001</v>
      </c>
      <c r="L11" s="456" t="s">
        <v>72</v>
      </c>
      <c r="M11" s="1624">
        <v>0</v>
      </c>
    </row>
    <row r="12" spans="1:13" ht="13.5" thickBot="1">
      <c r="A12" s="439">
        <v>1</v>
      </c>
      <c r="B12" s="440" t="s">
        <v>279</v>
      </c>
      <c r="C12" s="1630">
        <v>2018</v>
      </c>
      <c r="D12" s="441" t="s">
        <v>214</v>
      </c>
      <c r="E12" s="457">
        <v>178.899</v>
      </c>
      <c r="F12" s="457">
        <v>202.84950000000001</v>
      </c>
      <c r="G12" s="457">
        <v>213.15</v>
      </c>
      <c r="H12" s="460" t="s">
        <v>72</v>
      </c>
      <c r="I12" s="457">
        <v>165.774</v>
      </c>
      <c r="J12" s="457">
        <v>182.89950000000002</v>
      </c>
      <c r="K12" s="457">
        <v>193.20000000000002</v>
      </c>
      <c r="L12" s="458" t="s">
        <v>72</v>
      </c>
      <c r="M12" s="1624">
        <v>0</v>
      </c>
    </row>
    <row r="13" spans="1:13" ht="13.5" thickBot="1">
      <c r="A13" s="435">
        <v>1</v>
      </c>
      <c r="B13" s="436" t="s">
        <v>280</v>
      </c>
      <c r="C13" s="1630">
        <v>2018</v>
      </c>
      <c r="D13" s="437" t="s">
        <v>211</v>
      </c>
      <c r="E13" s="453">
        <v>46.494</v>
      </c>
      <c r="F13" s="453">
        <v>51.838499999999996</v>
      </c>
      <c r="G13" s="453">
        <v>55.817999999999998</v>
      </c>
      <c r="H13" s="453">
        <v>49.01</v>
      </c>
      <c r="I13" s="453">
        <v>45.1815</v>
      </c>
      <c r="J13" s="453">
        <v>50.525999999999996</v>
      </c>
      <c r="K13" s="453">
        <v>54.505499999999998</v>
      </c>
      <c r="L13" s="453">
        <v>47.76</v>
      </c>
      <c r="M13" s="1625">
        <v>0</v>
      </c>
    </row>
    <row r="14" spans="1:13" ht="13.5" thickBot="1">
      <c r="A14" s="438">
        <v>1</v>
      </c>
      <c r="B14" s="161" t="s">
        <v>280</v>
      </c>
      <c r="C14" s="1630">
        <v>2018</v>
      </c>
      <c r="D14" s="162" t="s">
        <v>212</v>
      </c>
      <c r="E14" s="455">
        <v>94.804500000000004</v>
      </c>
      <c r="F14" s="455">
        <v>105.73500000000001</v>
      </c>
      <c r="G14" s="455">
        <v>113.79900000000001</v>
      </c>
      <c r="H14" s="455">
        <v>99.97</v>
      </c>
      <c r="I14" s="455">
        <v>92.389500000000012</v>
      </c>
      <c r="J14" s="455">
        <v>103.32000000000001</v>
      </c>
      <c r="K14" s="455">
        <v>111.384</v>
      </c>
      <c r="L14" s="455">
        <v>97.67</v>
      </c>
      <c r="M14" s="1625">
        <v>0</v>
      </c>
    </row>
    <row r="15" spans="1:13" ht="13.5" thickBot="1">
      <c r="A15" s="438">
        <v>1</v>
      </c>
      <c r="B15" s="161" t="s">
        <v>280</v>
      </c>
      <c r="C15" s="1630">
        <v>2018</v>
      </c>
      <c r="D15" s="162" t="s">
        <v>213</v>
      </c>
      <c r="E15" s="455">
        <v>108.1815</v>
      </c>
      <c r="F15" s="455">
        <v>123.54300000000001</v>
      </c>
      <c r="G15" s="455">
        <v>129.4965</v>
      </c>
      <c r="H15" s="455">
        <v>115.79</v>
      </c>
      <c r="I15" s="455">
        <v>96.631500000000003</v>
      </c>
      <c r="J15" s="455">
        <v>106.74299999999999</v>
      </c>
      <c r="K15" s="455">
        <v>112.6965</v>
      </c>
      <c r="L15" s="455">
        <v>99.79</v>
      </c>
      <c r="M15" s="1625">
        <v>0</v>
      </c>
    </row>
    <row r="16" spans="1:13" ht="13.5" thickBot="1">
      <c r="A16" s="439">
        <v>1</v>
      </c>
      <c r="B16" s="440" t="s">
        <v>280</v>
      </c>
      <c r="C16" s="1630">
        <v>2018</v>
      </c>
      <c r="D16" s="441" t="s">
        <v>214</v>
      </c>
      <c r="E16" s="457">
        <v>167.62199999999999</v>
      </c>
      <c r="F16" s="457">
        <v>190.27050000000003</v>
      </c>
      <c r="G16" s="457">
        <v>200.697</v>
      </c>
      <c r="H16" s="457">
        <v>178.69</v>
      </c>
      <c r="I16" s="457">
        <v>154.49699999999999</v>
      </c>
      <c r="J16" s="457">
        <v>170.32050000000001</v>
      </c>
      <c r="K16" s="457">
        <v>180.74699999999999</v>
      </c>
      <c r="L16" s="457">
        <v>159.69</v>
      </c>
      <c r="M16" s="1625">
        <v>0</v>
      </c>
    </row>
    <row r="17" spans="1:13" ht="13.5" thickBot="1">
      <c r="A17" s="435">
        <v>1</v>
      </c>
      <c r="B17" s="436" t="s">
        <v>281</v>
      </c>
      <c r="C17" s="1630">
        <v>2018</v>
      </c>
      <c r="D17" s="437" t="s">
        <v>211</v>
      </c>
      <c r="E17" s="453">
        <v>43.658999999999999</v>
      </c>
      <c r="F17" s="453">
        <v>48.667500000000004</v>
      </c>
      <c r="G17" s="453">
        <v>52.405499999999996</v>
      </c>
      <c r="H17" s="453">
        <v>46.02</v>
      </c>
      <c r="I17" s="453">
        <v>42.346499999999999</v>
      </c>
      <c r="J17" s="453">
        <v>47.355000000000004</v>
      </c>
      <c r="K17" s="453">
        <v>51.092999999999996</v>
      </c>
      <c r="L17" s="453">
        <v>44.77</v>
      </c>
      <c r="M17" s="1625">
        <v>0</v>
      </c>
    </row>
    <row r="18" spans="1:13" ht="13.5" thickBot="1">
      <c r="A18" s="438">
        <v>1</v>
      </c>
      <c r="B18" s="161" t="s">
        <v>281</v>
      </c>
      <c r="C18" s="1630">
        <v>2018</v>
      </c>
      <c r="D18" s="162" t="s">
        <v>212</v>
      </c>
      <c r="E18" s="455">
        <v>89.008499999999998</v>
      </c>
      <c r="F18" s="455">
        <v>99.26700000000001</v>
      </c>
      <c r="G18" s="455">
        <v>106.84800000000001</v>
      </c>
      <c r="H18" s="455">
        <v>93.86</v>
      </c>
      <c r="I18" s="455">
        <v>86.593500000000006</v>
      </c>
      <c r="J18" s="455">
        <v>96.852000000000018</v>
      </c>
      <c r="K18" s="455">
        <v>104.43300000000001</v>
      </c>
      <c r="L18" s="455">
        <v>91.56</v>
      </c>
      <c r="M18" s="1625">
        <v>0</v>
      </c>
    </row>
    <row r="19" spans="1:13" ht="13.5" thickBot="1">
      <c r="A19" s="438">
        <v>1</v>
      </c>
      <c r="B19" s="161" t="s">
        <v>281</v>
      </c>
      <c r="C19" s="1630">
        <v>2018</v>
      </c>
      <c r="D19" s="162" t="s">
        <v>213</v>
      </c>
      <c r="E19" s="455">
        <v>102.18599999999999</v>
      </c>
      <c r="F19" s="455">
        <v>116.8965</v>
      </c>
      <c r="G19" s="455">
        <v>122.49299999999999</v>
      </c>
      <c r="H19" s="455">
        <v>109.58</v>
      </c>
      <c r="I19" s="455">
        <v>90.635999999999996</v>
      </c>
      <c r="J19" s="455">
        <v>100.09650000000001</v>
      </c>
      <c r="K19" s="455">
        <v>105.693</v>
      </c>
      <c r="L19" s="455">
        <v>93.58</v>
      </c>
      <c r="M19" s="1625">
        <v>0</v>
      </c>
    </row>
    <row r="20" spans="1:13" ht="13.5" thickBot="1">
      <c r="A20" s="439">
        <v>1</v>
      </c>
      <c r="B20" s="440" t="s">
        <v>281</v>
      </c>
      <c r="C20" s="1630">
        <v>2018</v>
      </c>
      <c r="D20" s="441" t="s">
        <v>214</v>
      </c>
      <c r="E20" s="457">
        <v>158.06700000000001</v>
      </c>
      <c r="F20" s="457">
        <v>179.6865</v>
      </c>
      <c r="G20" s="457">
        <v>189.4725</v>
      </c>
      <c r="H20" s="457">
        <v>168.77</v>
      </c>
      <c r="I20" s="457">
        <v>144.94200000000001</v>
      </c>
      <c r="J20" s="457">
        <v>159.73650000000001</v>
      </c>
      <c r="K20" s="457">
        <v>169.52250000000001</v>
      </c>
      <c r="L20" s="457">
        <v>149.77000000000001</v>
      </c>
      <c r="M20" s="1625">
        <v>0</v>
      </c>
    </row>
    <row r="21" spans="1:13" ht="13.5" thickBot="1">
      <c r="A21" s="465">
        <v>2</v>
      </c>
      <c r="B21" s="466" t="s">
        <v>278</v>
      </c>
      <c r="C21" s="1630">
        <v>2018</v>
      </c>
      <c r="D21" s="467" t="s">
        <v>211</v>
      </c>
      <c r="E21" s="453">
        <v>60.417000000000002</v>
      </c>
      <c r="F21" s="453">
        <v>67.336500000000001</v>
      </c>
      <c r="G21" s="453">
        <v>72.345000000000013</v>
      </c>
      <c r="H21" s="454" t="s">
        <v>72</v>
      </c>
      <c r="I21" s="453">
        <v>59.104500000000002</v>
      </c>
      <c r="J21" s="453">
        <v>66.024000000000001</v>
      </c>
      <c r="K21" s="453">
        <v>71.032500000000013</v>
      </c>
      <c r="L21" s="454" t="s">
        <v>72</v>
      </c>
      <c r="M21" s="1624">
        <v>0</v>
      </c>
    </row>
    <row r="22" spans="1:13" ht="13.5" thickBot="1">
      <c r="A22" s="461">
        <v>2</v>
      </c>
      <c r="B22" s="163" t="s">
        <v>278</v>
      </c>
      <c r="C22" s="1630">
        <v>2018</v>
      </c>
      <c r="D22" s="164" t="s">
        <v>212</v>
      </c>
      <c r="E22" s="455">
        <v>123.2175</v>
      </c>
      <c r="F22" s="455">
        <v>137.3295</v>
      </c>
      <c r="G22" s="455">
        <v>147.51450000000003</v>
      </c>
      <c r="H22" s="456" t="s">
        <v>72</v>
      </c>
      <c r="I22" s="455">
        <v>120.80250000000001</v>
      </c>
      <c r="J22" s="455">
        <v>134.91449999999998</v>
      </c>
      <c r="K22" s="455">
        <v>145.09950000000001</v>
      </c>
      <c r="L22" s="456" t="s">
        <v>72</v>
      </c>
      <c r="M22" s="1624">
        <v>0</v>
      </c>
    </row>
    <row r="23" spans="1:13" ht="13.5" thickBot="1">
      <c r="A23" s="461">
        <v>2</v>
      </c>
      <c r="B23" s="163" t="s">
        <v>278</v>
      </c>
      <c r="C23" s="1630">
        <v>2018</v>
      </c>
      <c r="D23" s="164" t="s">
        <v>213</v>
      </c>
      <c r="E23" s="455">
        <v>141.00450000000001</v>
      </c>
      <c r="F23" s="455">
        <v>161.0385</v>
      </c>
      <c r="G23" s="455">
        <v>168.5565</v>
      </c>
      <c r="H23" s="456" t="s">
        <v>72</v>
      </c>
      <c r="I23" s="455">
        <v>129.4545</v>
      </c>
      <c r="J23" s="455">
        <v>144.23850000000002</v>
      </c>
      <c r="K23" s="455">
        <v>151.75650000000002</v>
      </c>
      <c r="L23" s="456" t="s">
        <v>72</v>
      </c>
      <c r="M23" s="1624">
        <v>0</v>
      </c>
    </row>
    <row r="24" spans="1:13" ht="13.5" thickBot="1">
      <c r="A24" s="462">
        <v>2</v>
      </c>
      <c r="B24" s="463" t="s">
        <v>278</v>
      </c>
      <c r="C24" s="1630">
        <v>2018</v>
      </c>
      <c r="D24" s="464" t="s">
        <v>214</v>
      </c>
      <c r="E24" s="457">
        <v>218.51550000000003</v>
      </c>
      <c r="F24" s="457">
        <v>248.1045</v>
      </c>
      <c r="G24" s="457">
        <v>261.25049999999999</v>
      </c>
      <c r="H24" s="458" t="s">
        <v>72</v>
      </c>
      <c r="I24" s="457">
        <v>205.39050000000003</v>
      </c>
      <c r="J24" s="457">
        <v>228.15450000000001</v>
      </c>
      <c r="K24" s="457">
        <v>241.3005</v>
      </c>
      <c r="L24" s="458" t="s">
        <v>72</v>
      </c>
      <c r="M24" s="1624">
        <v>0</v>
      </c>
    </row>
    <row r="25" spans="1:13" ht="13.5" thickBot="1">
      <c r="A25" s="465">
        <v>2</v>
      </c>
      <c r="B25" s="466" t="s">
        <v>279</v>
      </c>
      <c r="C25" s="1630">
        <v>2018</v>
      </c>
      <c r="D25" s="467" t="s">
        <v>211</v>
      </c>
      <c r="E25" s="453">
        <v>54.610500000000002</v>
      </c>
      <c r="F25" s="453">
        <v>60.868500000000004</v>
      </c>
      <c r="G25" s="453">
        <v>65.394000000000005</v>
      </c>
      <c r="H25" s="454" t="s">
        <v>72</v>
      </c>
      <c r="I25" s="453">
        <v>53.298000000000002</v>
      </c>
      <c r="J25" s="453">
        <v>59.556000000000004</v>
      </c>
      <c r="K25" s="453">
        <v>64.081500000000005</v>
      </c>
      <c r="L25" s="454" t="s">
        <v>72</v>
      </c>
      <c r="M25" s="1624">
        <v>0</v>
      </c>
    </row>
    <row r="26" spans="1:13" ht="13.5" thickBot="1">
      <c r="A26" s="461">
        <v>2</v>
      </c>
      <c r="B26" s="163" t="s">
        <v>279</v>
      </c>
      <c r="C26" s="1630">
        <v>2018</v>
      </c>
      <c r="D26" s="164" t="s">
        <v>212</v>
      </c>
      <c r="E26" s="455">
        <v>111.384</v>
      </c>
      <c r="F26" s="455">
        <v>124.131</v>
      </c>
      <c r="G26" s="455">
        <v>133.35</v>
      </c>
      <c r="H26" s="459" t="s">
        <v>72</v>
      </c>
      <c r="I26" s="455">
        <v>108.96900000000001</v>
      </c>
      <c r="J26" s="455">
        <v>121.71600000000001</v>
      </c>
      <c r="K26" s="455">
        <v>130.935</v>
      </c>
      <c r="L26" s="456" t="s">
        <v>72</v>
      </c>
      <c r="M26" s="1624">
        <v>0</v>
      </c>
    </row>
    <row r="27" spans="1:13" ht="13.5" thickBot="1">
      <c r="A27" s="461">
        <v>2</v>
      </c>
      <c r="B27" s="163" t="s">
        <v>279</v>
      </c>
      <c r="C27" s="1630">
        <v>2018</v>
      </c>
      <c r="D27" s="164" t="s">
        <v>213</v>
      </c>
      <c r="E27" s="455">
        <v>128.1105</v>
      </c>
      <c r="F27" s="455">
        <v>146.53800000000001</v>
      </c>
      <c r="G27" s="455">
        <v>153.32100000000003</v>
      </c>
      <c r="H27" s="459" t="s">
        <v>72</v>
      </c>
      <c r="I27" s="455">
        <v>116.5605</v>
      </c>
      <c r="J27" s="455">
        <v>129.738</v>
      </c>
      <c r="K27" s="455">
        <v>136.52100000000002</v>
      </c>
      <c r="L27" s="456" t="s">
        <v>72</v>
      </c>
      <c r="M27" s="1624">
        <v>0</v>
      </c>
    </row>
    <row r="28" spans="1:13" ht="13.5" thickBot="1">
      <c r="A28" s="462">
        <v>2</v>
      </c>
      <c r="B28" s="463" t="s">
        <v>279</v>
      </c>
      <c r="C28" s="1630">
        <v>2018</v>
      </c>
      <c r="D28" s="464" t="s">
        <v>214</v>
      </c>
      <c r="E28" s="457">
        <v>198.27150000000003</v>
      </c>
      <c r="F28" s="457">
        <v>225.40350000000001</v>
      </c>
      <c r="G28" s="457">
        <v>237.279</v>
      </c>
      <c r="H28" s="460" t="s">
        <v>72</v>
      </c>
      <c r="I28" s="457">
        <v>185.14650000000003</v>
      </c>
      <c r="J28" s="457">
        <v>205.45349999999999</v>
      </c>
      <c r="K28" s="457">
        <v>217.32900000000001</v>
      </c>
      <c r="L28" s="458" t="s">
        <v>72</v>
      </c>
      <c r="M28" s="1624">
        <v>0</v>
      </c>
    </row>
    <row r="29" spans="1:13" ht="13.5" thickBot="1">
      <c r="A29" s="465">
        <v>2</v>
      </c>
      <c r="B29" s="466" t="s">
        <v>280</v>
      </c>
      <c r="C29" s="1630">
        <v>2018</v>
      </c>
      <c r="D29" s="467" t="s">
        <v>211</v>
      </c>
      <c r="E29" s="453">
        <v>51.24</v>
      </c>
      <c r="F29" s="453">
        <v>57.141000000000005</v>
      </c>
      <c r="G29" s="453">
        <v>61.624499999999998</v>
      </c>
      <c r="H29" s="453">
        <v>54.09</v>
      </c>
      <c r="I29" s="453">
        <v>49.927500000000002</v>
      </c>
      <c r="J29" s="453">
        <v>55.828500000000005</v>
      </c>
      <c r="K29" s="453">
        <v>60.311999999999998</v>
      </c>
      <c r="L29" s="453">
        <v>52.84</v>
      </c>
      <c r="M29" s="1625">
        <v>0</v>
      </c>
    </row>
    <row r="30" spans="1:13" ht="13.5" thickBot="1">
      <c r="A30" s="461">
        <v>2</v>
      </c>
      <c r="B30" s="163" t="s">
        <v>280</v>
      </c>
      <c r="C30" s="1630">
        <v>2018</v>
      </c>
      <c r="D30" s="164" t="s">
        <v>212</v>
      </c>
      <c r="E30" s="455">
        <v>104.47500000000001</v>
      </c>
      <c r="F30" s="455">
        <v>116.55000000000001</v>
      </c>
      <c r="G30" s="455">
        <v>125.65350000000001</v>
      </c>
      <c r="H30" s="455">
        <v>110.32</v>
      </c>
      <c r="I30" s="455">
        <v>102.06</v>
      </c>
      <c r="J30" s="455">
        <v>114.13500000000001</v>
      </c>
      <c r="K30" s="455">
        <v>123.23850000000002</v>
      </c>
      <c r="L30" s="455">
        <v>108.02</v>
      </c>
      <c r="M30" s="1625">
        <v>0</v>
      </c>
    </row>
    <row r="31" spans="1:13" ht="13.5" thickBot="1">
      <c r="A31" s="461">
        <v>2</v>
      </c>
      <c r="B31" s="163" t="s">
        <v>280</v>
      </c>
      <c r="C31" s="1630">
        <v>2018</v>
      </c>
      <c r="D31" s="164" t="s">
        <v>213</v>
      </c>
      <c r="E31" s="455">
        <v>120.33</v>
      </c>
      <c r="F31" s="455">
        <v>137.80200000000002</v>
      </c>
      <c r="G31" s="455">
        <v>144.6165</v>
      </c>
      <c r="H31" s="455">
        <v>129.30000000000001</v>
      </c>
      <c r="I31" s="455">
        <v>108.78</v>
      </c>
      <c r="J31" s="455">
        <v>121.00200000000001</v>
      </c>
      <c r="K31" s="455">
        <v>127.81649999999999</v>
      </c>
      <c r="L31" s="455">
        <v>113.30000000000001</v>
      </c>
      <c r="M31" s="1625">
        <v>0</v>
      </c>
    </row>
    <row r="32" spans="1:13" ht="13.5" thickBot="1">
      <c r="A32" s="462">
        <v>2</v>
      </c>
      <c r="B32" s="463" t="s">
        <v>280</v>
      </c>
      <c r="C32" s="1630">
        <v>2018</v>
      </c>
      <c r="D32" s="464" t="s">
        <v>214</v>
      </c>
      <c r="E32" s="457">
        <v>186.20700000000002</v>
      </c>
      <c r="F32" s="457">
        <v>211.89000000000001</v>
      </c>
      <c r="G32" s="457">
        <v>223.74450000000002</v>
      </c>
      <c r="H32" s="457">
        <v>199.21</v>
      </c>
      <c r="I32" s="457">
        <v>173.08200000000002</v>
      </c>
      <c r="J32" s="457">
        <v>191.94000000000003</v>
      </c>
      <c r="K32" s="457">
        <v>203.7945</v>
      </c>
      <c r="L32" s="457">
        <v>180.21</v>
      </c>
      <c r="M32" s="1625">
        <v>0</v>
      </c>
    </row>
    <row r="33" spans="1:13" ht="13.5" thickBot="1">
      <c r="A33" s="465">
        <v>2</v>
      </c>
      <c r="B33" s="466" t="s">
        <v>281</v>
      </c>
      <c r="C33" s="1630">
        <v>2018</v>
      </c>
      <c r="D33" s="467" t="s">
        <v>211</v>
      </c>
      <c r="E33" s="453">
        <v>48.100500000000004</v>
      </c>
      <c r="F33" s="453">
        <v>53.644500000000008</v>
      </c>
      <c r="G33" s="453">
        <v>57.865500000000004</v>
      </c>
      <c r="H33" s="453">
        <v>50.78</v>
      </c>
      <c r="I33" s="453">
        <v>46.788000000000004</v>
      </c>
      <c r="J33" s="453">
        <v>52.332000000000008</v>
      </c>
      <c r="K33" s="453">
        <v>56.553000000000004</v>
      </c>
      <c r="L33" s="453">
        <v>49.53</v>
      </c>
      <c r="M33" s="1625">
        <v>0</v>
      </c>
    </row>
    <row r="34" spans="1:13" ht="13.5" thickBot="1">
      <c r="A34" s="461">
        <v>2</v>
      </c>
      <c r="B34" s="163" t="s">
        <v>281</v>
      </c>
      <c r="C34" s="1630">
        <v>2018</v>
      </c>
      <c r="D34" s="164" t="s">
        <v>212</v>
      </c>
      <c r="E34" s="455">
        <v>98.101500000000016</v>
      </c>
      <c r="F34" s="455">
        <v>109.4205</v>
      </c>
      <c r="G34" s="455">
        <v>117.9675</v>
      </c>
      <c r="H34" s="455">
        <v>103.58</v>
      </c>
      <c r="I34" s="455">
        <v>95.686500000000009</v>
      </c>
      <c r="J34" s="455">
        <v>107.0055</v>
      </c>
      <c r="K34" s="455">
        <v>115.55249999999999</v>
      </c>
      <c r="L34" s="455">
        <v>101.28</v>
      </c>
      <c r="M34" s="1625">
        <v>0</v>
      </c>
    </row>
    <row r="35" spans="1:13" ht="13.5" thickBot="1">
      <c r="A35" s="461">
        <v>2</v>
      </c>
      <c r="B35" s="163" t="s">
        <v>281</v>
      </c>
      <c r="C35" s="1630">
        <v>2018</v>
      </c>
      <c r="D35" s="164" t="s">
        <v>213</v>
      </c>
      <c r="E35" s="455">
        <v>113.70450000000001</v>
      </c>
      <c r="F35" s="455">
        <v>130.46250000000001</v>
      </c>
      <c r="G35" s="455">
        <v>136.86750000000001</v>
      </c>
      <c r="H35" s="455">
        <v>122.43</v>
      </c>
      <c r="I35" s="455">
        <v>102.15450000000001</v>
      </c>
      <c r="J35" s="455">
        <v>113.66250000000001</v>
      </c>
      <c r="K35" s="455">
        <v>120.0675</v>
      </c>
      <c r="L35" s="455">
        <v>106.43</v>
      </c>
      <c r="M35" s="1625">
        <v>0</v>
      </c>
    </row>
    <row r="36" spans="1:13" ht="13.5" thickBot="1">
      <c r="A36" s="462">
        <v>2</v>
      </c>
      <c r="B36" s="463" t="s">
        <v>281</v>
      </c>
      <c r="C36" s="1630">
        <v>2018</v>
      </c>
      <c r="D36" s="464" t="s">
        <v>214</v>
      </c>
      <c r="E36" s="457">
        <v>175.6755</v>
      </c>
      <c r="F36" s="457">
        <v>200.21400000000003</v>
      </c>
      <c r="G36" s="457">
        <v>211.3545</v>
      </c>
      <c r="H36" s="457">
        <v>188.25</v>
      </c>
      <c r="I36" s="457">
        <v>162.5505</v>
      </c>
      <c r="J36" s="457">
        <v>180.26400000000001</v>
      </c>
      <c r="K36" s="457">
        <v>191.40450000000001</v>
      </c>
      <c r="L36" s="457">
        <v>169.25</v>
      </c>
      <c r="M36" s="1625">
        <v>0</v>
      </c>
    </row>
    <row r="37" spans="1:13" ht="13.5" thickBot="1">
      <c r="A37" s="472">
        <v>3</v>
      </c>
      <c r="B37" s="473" t="s">
        <v>278</v>
      </c>
      <c r="C37" s="1630">
        <v>2018</v>
      </c>
      <c r="D37" s="474" t="s">
        <v>211</v>
      </c>
      <c r="E37" s="453">
        <v>68.501999999999995</v>
      </c>
      <c r="F37" s="453">
        <v>74.423999999999992</v>
      </c>
      <c r="G37" s="453">
        <v>82.424999999999997</v>
      </c>
      <c r="H37" s="454" t="s">
        <v>72</v>
      </c>
      <c r="I37" s="453">
        <v>67.189499999999995</v>
      </c>
      <c r="J37" s="453">
        <v>73.111499999999992</v>
      </c>
      <c r="K37" s="453">
        <v>81.112499999999997</v>
      </c>
      <c r="L37" s="454" t="s">
        <v>72</v>
      </c>
      <c r="M37" s="1624">
        <v>0</v>
      </c>
    </row>
    <row r="38" spans="1:13" ht="13.5" thickBot="1">
      <c r="A38" s="468">
        <v>3</v>
      </c>
      <c r="B38" s="165" t="s">
        <v>278</v>
      </c>
      <c r="C38" s="1630">
        <v>2018</v>
      </c>
      <c r="D38" s="166" t="s">
        <v>212</v>
      </c>
      <c r="E38" s="455">
        <v>139.69200000000001</v>
      </c>
      <c r="F38" s="455">
        <v>151.767</v>
      </c>
      <c r="G38" s="455">
        <v>168.05250000000001</v>
      </c>
      <c r="H38" s="456" t="s">
        <v>72</v>
      </c>
      <c r="I38" s="455">
        <v>137.27699999999999</v>
      </c>
      <c r="J38" s="455">
        <v>149.35199999999998</v>
      </c>
      <c r="K38" s="455">
        <v>165.63750000000002</v>
      </c>
      <c r="L38" s="456" t="s">
        <v>72</v>
      </c>
      <c r="M38" s="1624">
        <v>0</v>
      </c>
    </row>
    <row r="39" spans="1:13" ht="13.5" thickBot="1">
      <c r="A39" s="468">
        <v>3</v>
      </c>
      <c r="B39" s="165" t="s">
        <v>278</v>
      </c>
      <c r="C39" s="1630">
        <v>2018</v>
      </c>
      <c r="D39" s="166" t="s">
        <v>213</v>
      </c>
      <c r="E39" s="455">
        <v>157.7835</v>
      </c>
      <c r="F39" s="455">
        <v>175.57050000000001</v>
      </c>
      <c r="G39" s="455">
        <v>188.874</v>
      </c>
      <c r="H39" s="456" t="s">
        <v>72</v>
      </c>
      <c r="I39" s="455">
        <v>146.23350000000002</v>
      </c>
      <c r="J39" s="455">
        <v>158.77050000000003</v>
      </c>
      <c r="K39" s="455">
        <v>172.07400000000001</v>
      </c>
      <c r="L39" s="456" t="s">
        <v>72</v>
      </c>
      <c r="M39" s="1624">
        <v>0</v>
      </c>
    </row>
    <row r="40" spans="1:13" ht="13.5" thickBot="1">
      <c r="A40" s="469">
        <v>3</v>
      </c>
      <c r="B40" s="470" t="s">
        <v>278</v>
      </c>
      <c r="C40" s="1630">
        <v>2018</v>
      </c>
      <c r="D40" s="471" t="s">
        <v>214</v>
      </c>
      <c r="E40" s="457">
        <v>245.33250000000001</v>
      </c>
      <c r="F40" s="457">
        <v>271.35150000000004</v>
      </c>
      <c r="G40" s="457">
        <v>293.92650000000003</v>
      </c>
      <c r="H40" s="458" t="s">
        <v>72</v>
      </c>
      <c r="I40" s="457">
        <v>232.20750000000001</v>
      </c>
      <c r="J40" s="457">
        <v>251.40150000000003</v>
      </c>
      <c r="K40" s="457">
        <v>273.97650000000004</v>
      </c>
      <c r="L40" s="458" t="s">
        <v>72</v>
      </c>
      <c r="M40" s="1624">
        <v>0</v>
      </c>
    </row>
    <row r="41" spans="1:13" ht="13.5" thickBot="1">
      <c r="A41" s="472">
        <v>3</v>
      </c>
      <c r="B41" s="473" t="s">
        <v>279</v>
      </c>
      <c r="C41" s="1630">
        <v>2018</v>
      </c>
      <c r="D41" s="474" t="s">
        <v>211</v>
      </c>
      <c r="E41" s="453">
        <v>61.918500000000002</v>
      </c>
      <c r="F41" s="453">
        <v>67.273499999999999</v>
      </c>
      <c r="G41" s="453">
        <v>74.507999999999996</v>
      </c>
      <c r="H41" s="454" t="s">
        <v>72</v>
      </c>
      <c r="I41" s="453">
        <v>60.606000000000002</v>
      </c>
      <c r="J41" s="453">
        <v>65.960999999999999</v>
      </c>
      <c r="K41" s="453">
        <v>73.195499999999996</v>
      </c>
      <c r="L41" s="454" t="s">
        <v>72</v>
      </c>
      <c r="M41" s="1624">
        <v>0</v>
      </c>
    </row>
    <row r="42" spans="1:13" ht="13.5" thickBot="1">
      <c r="A42" s="468">
        <v>3</v>
      </c>
      <c r="B42" s="165" t="s">
        <v>279</v>
      </c>
      <c r="C42" s="1630">
        <v>2018</v>
      </c>
      <c r="D42" s="166" t="s">
        <v>212</v>
      </c>
      <c r="E42" s="455">
        <v>126.27300000000001</v>
      </c>
      <c r="F42" s="455">
        <v>137.1825</v>
      </c>
      <c r="G42" s="455">
        <v>151.90349999999998</v>
      </c>
      <c r="H42" s="459" t="s">
        <v>72</v>
      </c>
      <c r="I42" s="455">
        <v>123.85800000000002</v>
      </c>
      <c r="J42" s="455">
        <v>134.76750000000001</v>
      </c>
      <c r="K42" s="455">
        <v>149.48849999999999</v>
      </c>
      <c r="L42" s="456" t="s">
        <v>72</v>
      </c>
      <c r="M42" s="1624">
        <v>0</v>
      </c>
    </row>
    <row r="43" spans="1:13" ht="13.5" thickBot="1">
      <c r="A43" s="468">
        <v>3</v>
      </c>
      <c r="B43" s="165" t="s">
        <v>279</v>
      </c>
      <c r="C43" s="1630">
        <v>2018</v>
      </c>
      <c r="D43" s="166" t="s">
        <v>213</v>
      </c>
      <c r="E43" s="455">
        <v>143.262</v>
      </c>
      <c r="F43" s="455">
        <v>159.66300000000001</v>
      </c>
      <c r="G43" s="455">
        <v>171.68549999999999</v>
      </c>
      <c r="H43" s="459" t="s">
        <v>72</v>
      </c>
      <c r="I43" s="455">
        <v>131.71199999999999</v>
      </c>
      <c r="J43" s="455">
        <v>142.863</v>
      </c>
      <c r="K43" s="455">
        <v>154.88550000000001</v>
      </c>
      <c r="L43" s="456" t="s">
        <v>72</v>
      </c>
      <c r="M43" s="1624">
        <v>0</v>
      </c>
    </row>
    <row r="44" spans="1:13" ht="13.5" thickBot="1">
      <c r="A44" s="469">
        <v>3</v>
      </c>
      <c r="B44" s="470" t="s">
        <v>279</v>
      </c>
      <c r="C44" s="1630">
        <v>2018</v>
      </c>
      <c r="D44" s="471" t="s">
        <v>214</v>
      </c>
      <c r="E44" s="457">
        <v>222.51599999999999</v>
      </c>
      <c r="F44" s="457">
        <v>246.41400000000002</v>
      </c>
      <c r="G44" s="457">
        <v>266.81550000000004</v>
      </c>
      <c r="H44" s="460" t="s">
        <v>72</v>
      </c>
      <c r="I44" s="457">
        <v>209.39099999999999</v>
      </c>
      <c r="J44" s="457">
        <v>226.46400000000003</v>
      </c>
      <c r="K44" s="457">
        <v>246.86550000000003</v>
      </c>
      <c r="L44" s="458" t="s">
        <v>72</v>
      </c>
      <c r="M44" s="1624">
        <v>0</v>
      </c>
    </row>
    <row r="45" spans="1:13" ht="13.5" thickBot="1">
      <c r="A45" s="472">
        <v>3</v>
      </c>
      <c r="B45" s="473" t="s">
        <v>280</v>
      </c>
      <c r="C45" s="1630">
        <v>2018</v>
      </c>
      <c r="D45" s="474" t="s">
        <v>211</v>
      </c>
      <c r="E45" s="453">
        <v>58.338000000000008</v>
      </c>
      <c r="F45" s="453">
        <v>63.388500000000001</v>
      </c>
      <c r="G45" s="453">
        <v>70.287000000000006</v>
      </c>
      <c r="H45" s="453">
        <v>61.55</v>
      </c>
      <c r="I45" s="453">
        <v>57.025500000000008</v>
      </c>
      <c r="J45" s="453">
        <v>62.076000000000001</v>
      </c>
      <c r="K45" s="453">
        <v>68.974500000000006</v>
      </c>
      <c r="L45" s="453">
        <v>60.3</v>
      </c>
      <c r="M45" s="1625">
        <v>0</v>
      </c>
    </row>
    <row r="46" spans="1:13" ht="13.5" thickBot="1">
      <c r="A46" s="468">
        <v>3</v>
      </c>
      <c r="B46" s="165" t="s">
        <v>280</v>
      </c>
      <c r="C46" s="1630">
        <v>2018</v>
      </c>
      <c r="D46" s="166" t="s">
        <v>212</v>
      </c>
      <c r="E46" s="455">
        <v>118.9335</v>
      </c>
      <c r="F46" s="455">
        <v>129.27600000000001</v>
      </c>
      <c r="G46" s="455">
        <v>143.304</v>
      </c>
      <c r="H46" s="455">
        <v>125.56</v>
      </c>
      <c r="I46" s="455">
        <v>116.5185</v>
      </c>
      <c r="J46" s="455">
        <v>126.86100000000002</v>
      </c>
      <c r="K46" s="455">
        <v>140.88899999999998</v>
      </c>
      <c r="L46" s="455">
        <v>123.26</v>
      </c>
      <c r="M46" s="1625">
        <v>0</v>
      </c>
    </row>
    <row r="47" spans="1:13" ht="13.5" thickBot="1">
      <c r="A47" s="468">
        <v>3</v>
      </c>
      <c r="B47" s="165" t="s">
        <v>280</v>
      </c>
      <c r="C47" s="1630">
        <v>2018</v>
      </c>
      <c r="D47" s="166" t="s">
        <v>213</v>
      </c>
      <c r="E47" s="455">
        <v>135.05100000000002</v>
      </c>
      <c r="F47" s="455">
        <v>150.61199999999999</v>
      </c>
      <c r="G47" s="455">
        <v>162.1095</v>
      </c>
      <c r="H47" s="455">
        <v>144.53</v>
      </c>
      <c r="I47" s="455">
        <v>123.501</v>
      </c>
      <c r="J47" s="455">
        <v>133.81200000000001</v>
      </c>
      <c r="K47" s="455">
        <v>145.30949999999999</v>
      </c>
      <c r="L47" s="455">
        <v>128.53</v>
      </c>
      <c r="M47" s="1625">
        <v>0</v>
      </c>
    </row>
    <row r="48" spans="1:13" ht="13.5" thickBot="1">
      <c r="A48" s="469">
        <v>3</v>
      </c>
      <c r="B48" s="470" t="s">
        <v>280</v>
      </c>
      <c r="C48" s="1630">
        <v>2018</v>
      </c>
      <c r="D48" s="471" t="s">
        <v>214</v>
      </c>
      <c r="E48" s="457">
        <v>209.70600000000002</v>
      </c>
      <c r="F48" s="457">
        <v>232.37550000000002</v>
      </c>
      <c r="G48" s="457">
        <v>251.8845</v>
      </c>
      <c r="H48" s="457">
        <v>223.65</v>
      </c>
      <c r="I48" s="457">
        <v>196.58100000000002</v>
      </c>
      <c r="J48" s="457">
        <v>212.4255</v>
      </c>
      <c r="K48" s="457">
        <v>231.93449999999999</v>
      </c>
      <c r="L48" s="457">
        <v>204.65</v>
      </c>
      <c r="M48" s="1625">
        <v>0</v>
      </c>
    </row>
    <row r="49" spans="1:13" ht="13.5" thickBot="1">
      <c r="A49" s="472">
        <v>3</v>
      </c>
      <c r="B49" s="473" t="s">
        <v>281</v>
      </c>
      <c r="C49" s="1630">
        <v>2018</v>
      </c>
      <c r="D49" s="474" t="s">
        <v>211</v>
      </c>
      <c r="E49" s="453">
        <v>54.768000000000001</v>
      </c>
      <c r="F49" s="453">
        <v>59.524500000000003</v>
      </c>
      <c r="G49" s="453">
        <v>65.992500000000007</v>
      </c>
      <c r="H49" s="453">
        <v>57.78</v>
      </c>
      <c r="I49" s="453">
        <v>53.455500000000001</v>
      </c>
      <c r="J49" s="453">
        <v>58.212000000000003</v>
      </c>
      <c r="K49" s="453">
        <v>64.680000000000007</v>
      </c>
      <c r="L49" s="453">
        <v>56.53</v>
      </c>
      <c r="M49" s="1625">
        <v>0</v>
      </c>
    </row>
    <row r="50" spans="1:13" ht="13.5" thickBot="1">
      <c r="A50" s="468">
        <v>3</v>
      </c>
      <c r="B50" s="165" t="s">
        <v>281</v>
      </c>
      <c r="C50" s="1630">
        <v>2018</v>
      </c>
      <c r="D50" s="166" t="s">
        <v>212</v>
      </c>
      <c r="E50" s="455">
        <v>111.65700000000001</v>
      </c>
      <c r="F50" s="455">
        <v>121.3695</v>
      </c>
      <c r="G50" s="455">
        <v>134.547</v>
      </c>
      <c r="H50" s="455">
        <v>117.88</v>
      </c>
      <c r="I50" s="455">
        <v>109.242</v>
      </c>
      <c r="J50" s="455">
        <v>118.95450000000001</v>
      </c>
      <c r="K50" s="455">
        <v>132.13200000000001</v>
      </c>
      <c r="L50" s="455">
        <v>115.58</v>
      </c>
      <c r="M50" s="1625">
        <v>0</v>
      </c>
    </row>
    <row r="51" spans="1:13" ht="13.5" thickBot="1">
      <c r="A51" s="468">
        <v>3</v>
      </c>
      <c r="B51" s="165" t="s">
        <v>281</v>
      </c>
      <c r="C51" s="1630">
        <v>2018</v>
      </c>
      <c r="D51" s="166" t="s">
        <v>213</v>
      </c>
      <c r="E51" s="455">
        <v>127.52250000000001</v>
      </c>
      <c r="F51" s="455">
        <v>142.49550000000002</v>
      </c>
      <c r="G51" s="455">
        <v>153.30000000000001</v>
      </c>
      <c r="H51" s="455">
        <v>136.74</v>
      </c>
      <c r="I51" s="455">
        <v>115.97250000000001</v>
      </c>
      <c r="J51" s="455">
        <v>125.69550000000001</v>
      </c>
      <c r="K51" s="455">
        <v>136.5</v>
      </c>
      <c r="L51" s="455">
        <v>120.74000000000001</v>
      </c>
      <c r="M51" s="1625">
        <v>0</v>
      </c>
    </row>
    <row r="52" spans="1:13" ht="13.5" thickBot="1">
      <c r="A52" s="469">
        <v>3</v>
      </c>
      <c r="B52" s="470" t="s">
        <v>281</v>
      </c>
      <c r="C52" s="1630">
        <v>2018</v>
      </c>
      <c r="D52" s="471" t="s">
        <v>214</v>
      </c>
      <c r="E52" s="457">
        <v>197.73599999999999</v>
      </c>
      <c r="F52" s="457">
        <v>219.4605</v>
      </c>
      <c r="G52" s="457">
        <v>237.762</v>
      </c>
      <c r="H52" s="457">
        <v>211.2</v>
      </c>
      <c r="I52" s="457">
        <v>184.61099999999999</v>
      </c>
      <c r="J52" s="457">
        <v>199.51050000000001</v>
      </c>
      <c r="K52" s="457">
        <v>217.81200000000001</v>
      </c>
      <c r="L52" s="457">
        <v>192.2</v>
      </c>
      <c r="M52" s="1625">
        <v>0</v>
      </c>
    </row>
    <row r="53" spans="1:13" ht="13.5" thickBot="1">
      <c r="A53" s="479">
        <v>4</v>
      </c>
      <c r="B53" s="480" t="s">
        <v>278</v>
      </c>
      <c r="C53" s="1630">
        <v>2018</v>
      </c>
      <c r="D53" s="481" t="s">
        <v>211</v>
      </c>
      <c r="E53" s="453">
        <v>75.505499999999998</v>
      </c>
      <c r="F53" s="453">
        <v>81.784500000000008</v>
      </c>
      <c r="G53" s="453">
        <v>91.108500000000006</v>
      </c>
      <c r="H53" s="454" t="s">
        <v>72</v>
      </c>
      <c r="I53" s="453">
        <v>74.192999999999998</v>
      </c>
      <c r="J53" s="453">
        <v>80.472000000000008</v>
      </c>
      <c r="K53" s="453">
        <v>89.796000000000006</v>
      </c>
      <c r="L53" s="454" t="s">
        <v>72</v>
      </c>
      <c r="M53" s="1624">
        <v>0</v>
      </c>
    </row>
    <row r="54" spans="1:13" ht="13.5" thickBot="1">
      <c r="A54" s="475">
        <v>4</v>
      </c>
      <c r="B54" s="167" t="s">
        <v>278</v>
      </c>
      <c r="C54" s="1630">
        <v>2018</v>
      </c>
      <c r="D54" s="168" t="s">
        <v>212</v>
      </c>
      <c r="E54" s="455">
        <v>153.98250000000002</v>
      </c>
      <c r="F54" s="455">
        <v>166.77150000000003</v>
      </c>
      <c r="G54" s="455">
        <v>185.71350000000001</v>
      </c>
      <c r="H54" s="456" t="s">
        <v>72</v>
      </c>
      <c r="I54" s="455">
        <v>151.5675</v>
      </c>
      <c r="J54" s="455">
        <v>164.35650000000001</v>
      </c>
      <c r="K54" s="455">
        <v>183.29849999999999</v>
      </c>
      <c r="L54" s="456" t="s">
        <v>72</v>
      </c>
      <c r="M54" s="1624">
        <v>0</v>
      </c>
    </row>
    <row r="55" spans="1:13" ht="13.5" thickBot="1">
      <c r="A55" s="475">
        <v>4</v>
      </c>
      <c r="B55" s="167" t="s">
        <v>278</v>
      </c>
      <c r="C55" s="1630">
        <v>2018</v>
      </c>
      <c r="D55" s="168" t="s">
        <v>213</v>
      </c>
      <c r="E55" s="455">
        <v>172.7355</v>
      </c>
      <c r="F55" s="455">
        <v>191.13150000000002</v>
      </c>
      <c r="G55" s="455">
        <v>206.8605</v>
      </c>
      <c r="H55" s="456" t="s">
        <v>72</v>
      </c>
      <c r="I55" s="455">
        <v>161.18549999999999</v>
      </c>
      <c r="J55" s="455">
        <v>174.33150000000001</v>
      </c>
      <c r="K55" s="455">
        <v>190.06049999999999</v>
      </c>
      <c r="L55" s="456" t="s">
        <v>72</v>
      </c>
      <c r="M55" s="1624">
        <v>0</v>
      </c>
    </row>
    <row r="56" spans="1:13" ht="13.5" thickBot="1">
      <c r="A56" s="476">
        <v>4</v>
      </c>
      <c r="B56" s="477" t="s">
        <v>278</v>
      </c>
      <c r="C56" s="1630">
        <v>2018</v>
      </c>
      <c r="D56" s="478" t="s">
        <v>214</v>
      </c>
      <c r="E56" s="457">
        <v>269.02049999999997</v>
      </c>
      <c r="F56" s="457">
        <v>296.10000000000002</v>
      </c>
      <c r="G56" s="457">
        <v>322.60200000000003</v>
      </c>
      <c r="H56" s="458" t="s">
        <v>72</v>
      </c>
      <c r="I56" s="457">
        <v>255.8955</v>
      </c>
      <c r="J56" s="457">
        <v>276.15000000000003</v>
      </c>
      <c r="K56" s="457">
        <v>302.65200000000004</v>
      </c>
      <c r="L56" s="458" t="s">
        <v>72</v>
      </c>
      <c r="M56" s="1624">
        <v>0</v>
      </c>
    </row>
    <row r="57" spans="1:13" ht="13.5" thickBot="1">
      <c r="A57" s="479">
        <v>4</v>
      </c>
      <c r="B57" s="480" t="s">
        <v>279</v>
      </c>
      <c r="C57" s="1630">
        <v>2018</v>
      </c>
      <c r="D57" s="481" t="s">
        <v>211</v>
      </c>
      <c r="E57" s="453">
        <v>68.25</v>
      </c>
      <c r="F57" s="453">
        <v>73.920000000000016</v>
      </c>
      <c r="G57" s="453">
        <v>82.361999999999995</v>
      </c>
      <c r="H57" s="454" t="s">
        <v>72</v>
      </c>
      <c r="I57" s="453">
        <v>66.9375</v>
      </c>
      <c r="J57" s="453">
        <v>72.607500000000016</v>
      </c>
      <c r="K57" s="453">
        <v>81.049499999999995</v>
      </c>
      <c r="L57" s="454" t="s">
        <v>72</v>
      </c>
      <c r="M57" s="1624">
        <v>0</v>
      </c>
    </row>
    <row r="58" spans="1:13" ht="13.5" thickBot="1">
      <c r="A58" s="475">
        <v>4</v>
      </c>
      <c r="B58" s="167" t="s">
        <v>279</v>
      </c>
      <c r="C58" s="1630">
        <v>2018</v>
      </c>
      <c r="D58" s="168" t="s">
        <v>212</v>
      </c>
      <c r="E58" s="455">
        <v>139.18800000000002</v>
      </c>
      <c r="F58" s="455">
        <v>150.74850000000001</v>
      </c>
      <c r="G58" s="455">
        <v>167.874</v>
      </c>
      <c r="H58" s="459" t="s">
        <v>72</v>
      </c>
      <c r="I58" s="455">
        <v>136.773</v>
      </c>
      <c r="J58" s="455">
        <v>148.33349999999999</v>
      </c>
      <c r="K58" s="455">
        <v>165.459</v>
      </c>
      <c r="L58" s="456" t="s">
        <v>72</v>
      </c>
      <c r="M58" s="1624">
        <v>0</v>
      </c>
    </row>
    <row r="59" spans="1:13" ht="13.5" thickBot="1">
      <c r="A59" s="475">
        <v>4</v>
      </c>
      <c r="B59" s="167" t="s">
        <v>279</v>
      </c>
      <c r="C59" s="1630">
        <v>2018</v>
      </c>
      <c r="D59" s="168" t="s">
        <v>213</v>
      </c>
      <c r="E59" s="455">
        <v>156.786</v>
      </c>
      <c r="F59" s="455">
        <v>173.733</v>
      </c>
      <c r="G59" s="455">
        <v>187.95000000000002</v>
      </c>
      <c r="H59" s="459" t="s">
        <v>72</v>
      </c>
      <c r="I59" s="455">
        <v>145.23599999999999</v>
      </c>
      <c r="J59" s="455">
        <v>156.93300000000002</v>
      </c>
      <c r="K59" s="455">
        <v>171.15</v>
      </c>
      <c r="L59" s="456" t="s">
        <v>72</v>
      </c>
      <c r="M59" s="1624">
        <v>0</v>
      </c>
    </row>
    <row r="60" spans="1:13" ht="13.5" thickBot="1">
      <c r="A60" s="476">
        <v>4</v>
      </c>
      <c r="B60" s="477" t="s">
        <v>279</v>
      </c>
      <c r="C60" s="1630">
        <v>2018</v>
      </c>
      <c r="D60" s="478" t="s">
        <v>214</v>
      </c>
      <c r="E60" s="457">
        <v>243.9255</v>
      </c>
      <c r="F60" s="457">
        <v>268.78950000000003</v>
      </c>
      <c r="G60" s="457">
        <v>292.74</v>
      </c>
      <c r="H60" s="460" t="s">
        <v>72</v>
      </c>
      <c r="I60" s="457">
        <v>230.8005</v>
      </c>
      <c r="J60" s="457">
        <v>248.83950000000002</v>
      </c>
      <c r="K60" s="457">
        <v>272.79000000000002</v>
      </c>
      <c r="L60" s="458" t="s">
        <v>72</v>
      </c>
      <c r="M60" s="1624">
        <v>0</v>
      </c>
    </row>
    <row r="61" spans="1:13" ht="13.5" thickBot="1">
      <c r="A61" s="479">
        <v>4</v>
      </c>
      <c r="B61" s="480" t="s">
        <v>280</v>
      </c>
      <c r="C61" s="1630">
        <v>2018</v>
      </c>
      <c r="D61" s="481" t="s">
        <v>211</v>
      </c>
      <c r="E61" s="453">
        <v>64.364999999999995</v>
      </c>
      <c r="F61" s="453">
        <v>69.720000000000013</v>
      </c>
      <c r="G61" s="453">
        <v>77.731500000000011</v>
      </c>
      <c r="H61" s="453">
        <v>68</v>
      </c>
      <c r="I61" s="453">
        <v>63.052500000000002</v>
      </c>
      <c r="J61" s="453">
        <v>68.407500000000013</v>
      </c>
      <c r="K61" s="453">
        <v>76.419000000000011</v>
      </c>
      <c r="L61" s="453">
        <v>66.75</v>
      </c>
      <c r="M61" s="1625">
        <v>0</v>
      </c>
    </row>
    <row r="62" spans="1:13" ht="13.5" thickBot="1">
      <c r="A62" s="475">
        <v>4</v>
      </c>
      <c r="B62" s="167" t="s">
        <v>280</v>
      </c>
      <c r="C62" s="1630">
        <v>2018</v>
      </c>
      <c r="D62" s="168" t="s">
        <v>212</v>
      </c>
      <c r="E62" s="455">
        <v>131.23949999999999</v>
      </c>
      <c r="F62" s="455">
        <v>142.17000000000002</v>
      </c>
      <c r="G62" s="455">
        <v>158.44500000000002</v>
      </c>
      <c r="H62" s="455">
        <v>138.69</v>
      </c>
      <c r="I62" s="455">
        <v>128.8245</v>
      </c>
      <c r="J62" s="455">
        <v>139.755</v>
      </c>
      <c r="K62" s="455">
        <v>156.03</v>
      </c>
      <c r="L62" s="455">
        <v>136.38999999999999</v>
      </c>
      <c r="M62" s="1625">
        <v>0</v>
      </c>
    </row>
    <row r="63" spans="1:13" ht="13.5" thickBot="1">
      <c r="A63" s="475">
        <v>4</v>
      </c>
      <c r="B63" s="167" t="s">
        <v>280</v>
      </c>
      <c r="C63" s="1630">
        <v>2018</v>
      </c>
      <c r="D63" s="168" t="s">
        <v>213</v>
      </c>
      <c r="E63" s="455">
        <v>147.92400000000001</v>
      </c>
      <c r="F63" s="455">
        <v>163.989</v>
      </c>
      <c r="G63" s="455">
        <v>177.55500000000001</v>
      </c>
      <c r="H63" s="455">
        <v>158.01</v>
      </c>
      <c r="I63" s="455">
        <v>136.374</v>
      </c>
      <c r="J63" s="455">
        <v>147.18900000000002</v>
      </c>
      <c r="K63" s="455">
        <v>160.755</v>
      </c>
      <c r="L63" s="455">
        <v>142.01</v>
      </c>
      <c r="M63" s="1625">
        <v>0</v>
      </c>
    </row>
    <row r="64" spans="1:13" ht="13.5" thickBot="1">
      <c r="A64" s="476">
        <v>4</v>
      </c>
      <c r="B64" s="477" t="s">
        <v>280</v>
      </c>
      <c r="C64" s="1630">
        <v>2018</v>
      </c>
      <c r="D64" s="478" t="s">
        <v>214</v>
      </c>
      <c r="E64" s="457">
        <v>230.1285</v>
      </c>
      <c r="F64" s="457">
        <v>253.64850000000001</v>
      </c>
      <c r="G64" s="457">
        <v>276.49649999999997</v>
      </c>
      <c r="H64" s="457">
        <v>245.11</v>
      </c>
      <c r="I64" s="457">
        <v>217.0035</v>
      </c>
      <c r="J64" s="457">
        <v>233.6985</v>
      </c>
      <c r="K64" s="457">
        <v>256.54649999999998</v>
      </c>
      <c r="L64" s="457">
        <v>226.11</v>
      </c>
      <c r="M64" s="1625">
        <v>0</v>
      </c>
    </row>
    <row r="65" spans="1:13" ht="13.5" thickBot="1">
      <c r="A65" s="479">
        <v>4</v>
      </c>
      <c r="B65" s="480" t="s">
        <v>281</v>
      </c>
      <c r="C65" s="1630">
        <v>2018</v>
      </c>
      <c r="D65" s="481" t="s">
        <v>211</v>
      </c>
      <c r="E65" s="453">
        <v>60.438000000000002</v>
      </c>
      <c r="F65" s="453">
        <v>65.457000000000008</v>
      </c>
      <c r="G65" s="453">
        <v>72.975000000000009</v>
      </c>
      <c r="H65" s="453">
        <v>63.84</v>
      </c>
      <c r="I65" s="453">
        <v>59.125500000000002</v>
      </c>
      <c r="J65" s="453">
        <v>64.144500000000008</v>
      </c>
      <c r="K65" s="453">
        <v>71.662500000000009</v>
      </c>
      <c r="L65" s="453">
        <v>62.59</v>
      </c>
      <c r="M65" s="1625">
        <v>0</v>
      </c>
    </row>
    <row r="66" spans="1:13" ht="13.5" thickBot="1">
      <c r="A66" s="475">
        <v>4</v>
      </c>
      <c r="B66" s="167" t="s">
        <v>281</v>
      </c>
      <c r="C66" s="1630">
        <v>2018</v>
      </c>
      <c r="D66" s="168" t="s">
        <v>212</v>
      </c>
      <c r="E66" s="455">
        <v>123.2175</v>
      </c>
      <c r="F66" s="455">
        <v>133.476</v>
      </c>
      <c r="G66" s="455">
        <v>148.76400000000001</v>
      </c>
      <c r="H66" s="455">
        <v>130.19999999999999</v>
      </c>
      <c r="I66" s="455">
        <v>120.80250000000001</v>
      </c>
      <c r="J66" s="455">
        <v>131.06100000000001</v>
      </c>
      <c r="K66" s="455">
        <v>146.34899999999999</v>
      </c>
      <c r="L66" s="455">
        <v>127.89999999999999</v>
      </c>
      <c r="M66" s="1625">
        <v>0</v>
      </c>
    </row>
    <row r="67" spans="1:13" ht="13.5" thickBot="1">
      <c r="A67" s="475">
        <v>4</v>
      </c>
      <c r="B67" s="167" t="s">
        <v>281</v>
      </c>
      <c r="C67" s="1630">
        <v>2018</v>
      </c>
      <c r="D67" s="168" t="s">
        <v>213</v>
      </c>
      <c r="E67" s="455">
        <v>139.61850000000001</v>
      </c>
      <c r="F67" s="455">
        <v>155.05349999999999</v>
      </c>
      <c r="G67" s="455">
        <v>167.79000000000002</v>
      </c>
      <c r="H67" s="455">
        <v>149.38999999999999</v>
      </c>
      <c r="I67" s="455">
        <v>128.0685</v>
      </c>
      <c r="J67" s="455">
        <v>138.2535</v>
      </c>
      <c r="K67" s="455">
        <v>150.99</v>
      </c>
      <c r="L67" s="455">
        <v>133.38999999999999</v>
      </c>
      <c r="M67" s="1625">
        <v>0</v>
      </c>
    </row>
    <row r="68" spans="1:13" ht="13.5" thickBot="1">
      <c r="A68" s="476">
        <v>4</v>
      </c>
      <c r="B68" s="477" t="s">
        <v>281</v>
      </c>
      <c r="C68" s="1630">
        <v>2018</v>
      </c>
      <c r="D68" s="478" t="s">
        <v>214</v>
      </c>
      <c r="E68" s="457">
        <v>216.9195</v>
      </c>
      <c r="F68" s="457">
        <v>239.42100000000002</v>
      </c>
      <c r="G68" s="457">
        <v>260.8725</v>
      </c>
      <c r="H68" s="457">
        <v>231.35</v>
      </c>
      <c r="I68" s="457">
        <v>203.7945</v>
      </c>
      <c r="J68" s="457">
        <v>219.47100000000003</v>
      </c>
      <c r="K68" s="457">
        <v>240.92249999999999</v>
      </c>
      <c r="L68" s="457">
        <v>212.35</v>
      </c>
      <c r="M68" s="1625">
        <v>0</v>
      </c>
    </row>
    <row r="69" spans="1:13" ht="13.5" thickBot="1">
      <c r="A69" s="482">
        <v>5</v>
      </c>
      <c r="B69" s="483" t="s">
        <v>278</v>
      </c>
      <c r="C69" s="1630">
        <v>2018</v>
      </c>
      <c r="D69" s="484" t="s">
        <v>211</v>
      </c>
      <c r="E69" s="453">
        <v>90.310500000000005</v>
      </c>
      <c r="F69" s="453">
        <v>96.295500000000004</v>
      </c>
      <c r="G69" s="453">
        <v>109.3365</v>
      </c>
      <c r="H69" s="454" t="s">
        <v>72</v>
      </c>
      <c r="I69" s="453">
        <v>88.998000000000005</v>
      </c>
      <c r="J69" s="453">
        <v>94.983000000000004</v>
      </c>
      <c r="K69" s="453">
        <v>108.024</v>
      </c>
      <c r="L69" s="454" t="s">
        <v>72</v>
      </c>
      <c r="M69" s="1624">
        <v>0</v>
      </c>
    </row>
    <row r="70" spans="1:13" ht="13.5" thickBot="1">
      <c r="A70" s="485">
        <v>5</v>
      </c>
      <c r="B70" s="486" t="s">
        <v>278</v>
      </c>
      <c r="C70" s="1630">
        <v>2018</v>
      </c>
      <c r="D70" s="487" t="s">
        <v>212</v>
      </c>
      <c r="E70" s="455">
        <v>184.149</v>
      </c>
      <c r="F70" s="455">
        <v>196.37100000000001</v>
      </c>
      <c r="G70" s="455">
        <v>222.89400000000001</v>
      </c>
      <c r="H70" s="456" t="s">
        <v>72</v>
      </c>
      <c r="I70" s="455">
        <v>181.73399999999998</v>
      </c>
      <c r="J70" s="455">
        <v>193.95600000000002</v>
      </c>
      <c r="K70" s="455">
        <v>220.47899999999998</v>
      </c>
      <c r="L70" s="456" t="s">
        <v>72</v>
      </c>
      <c r="M70" s="1624">
        <v>0</v>
      </c>
    </row>
    <row r="71" spans="1:13" ht="13.5" thickBot="1">
      <c r="A71" s="485">
        <v>5</v>
      </c>
      <c r="B71" s="486" t="s">
        <v>278</v>
      </c>
      <c r="C71" s="1630">
        <v>2018</v>
      </c>
      <c r="D71" s="487" t="s">
        <v>213</v>
      </c>
      <c r="E71" s="455">
        <v>204.18300000000002</v>
      </c>
      <c r="F71" s="455">
        <v>221.74950000000001</v>
      </c>
      <c r="G71" s="455">
        <v>244.54500000000002</v>
      </c>
      <c r="H71" s="456" t="s">
        <v>72</v>
      </c>
      <c r="I71" s="455">
        <v>192.63300000000001</v>
      </c>
      <c r="J71" s="455">
        <v>204.9495</v>
      </c>
      <c r="K71" s="455">
        <v>227.745</v>
      </c>
      <c r="L71" s="456" t="s">
        <v>72</v>
      </c>
      <c r="M71" s="1624">
        <v>0</v>
      </c>
    </row>
    <row r="72" spans="1:13" ht="13.5" thickBot="1">
      <c r="A72" s="488">
        <v>5</v>
      </c>
      <c r="B72" s="489" t="s">
        <v>278</v>
      </c>
      <c r="C72" s="1630">
        <v>2018</v>
      </c>
      <c r="D72" s="490" t="s">
        <v>214</v>
      </c>
      <c r="E72" s="457">
        <v>318.91650000000004</v>
      </c>
      <c r="F72" s="457">
        <v>344.7885</v>
      </c>
      <c r="G72" s="457">
        <v>382.87200000000001</v>
      </c>
      <c r="H72" s="458" t="s">
        <v>72</v>
      </c>
      <c r="I72" s="457">
        <v>305.79150000000004</v>
      </c>
      <c r="J72" s="457">
        <v>324.83850000000001</v>
      </c>
      <c r="K72" s="457">
        <v>362.92200000000003</v>
      </c>
      <c r="L72" s="458" t="s">
        <v>72</v>
      </c>
      <c r="M72" s="1624">
        <v>0</v>
      </c>
    </row>
    <row r="73" spans="1:13" ht="13.5" thickBot="1">
      <c r="A73" s="482">
        <v>5</v>
      </c>
      <c r="B73" s="483" t="s">
        <v>279</v>
      </c>
      <c r="C73" s="1630">
        <v>2018</v>
      </c>
      <c r="D73" s="484" t="s">
        <v>211</v>
      </c>
      <c r="E73" s="453">
        <v>81.626999999999995</v>
      </c>
      <c r="F73" s="453">
        <v>87.045000000000016</v>
      </c>
      <c r="G73" s="453">
        <v>98.826000000000008</v>
      </c>
      <c r="H73" s="454" t="s">
        <v>72</v>
      </c>
      <c r="I73" s="453">
        <v>80.314499999999995</v>
      </c>
      <c r="J73" s="453">
        <v>85.732500000000016</v>
      </c>
      <c r="K73" s="453">
        <v>97.513500000000008</v>
      </c>
      <c r="L73" s="454" t="s">
        <v>72</v>
      </c>
      <c r="M73" s="1624">
        <v>0</v>
      </c>
    </row>
    <row r="74" spans="1:13" ht="13.5" thickBot="1">
      <c r="A74" s="485">
        <v>5</v>
      </c>
      <c r="B74" s="486" t="s">
        <v>279</v>
      </c>
      <c r="C74" s="1630">
        <v>2018</v>
      </c>
      <c r="D74" s="487" t="s">
        <v>212</v>
      </c>
      <c r="E74" s="455">
        <v>166.45650000000001</v>
      </c>
      <c r="F74" s="455">
        <v>177.51300000000001</v>
      </c>
      <c r="G74" s="455">
        <v>201.4845</v>
      </c>
      <c r="H74" s="459" t="s">
        <v>72</v>
      </c>
      <c r="I74" s="455">
        <v>164.04149999999998</v>
      </c>
      <c r="J74" s="455">
        <v>175.09799999999998</v>
      </c>
      <c r="K74" s="455">
        <v>199.06949999999998</v>
      </c>
      <c r="L74" s="456" t="s">
        <v>72</v>
      </c>
      <c r="M74" s="1624">
        <v>0</v>
      </c>
    </row>
    <row r="75" spans="1:13" ht="13.5" thickBot="1">
      <c r="A75" s="485">
        <v>5</v>
      </c>
      <c r="B75" s="486" t="s">
        <v>279</v>
      </c>
      <c r="C75" s="1630">
        <v>2018</v>
      </c>
      <c r="D75" s="487" t="s">
        <v>213</v>
      </c>
      <c r="E75" s="455">
        <v>185.20949999999999</v>
      </c>
      <c r="F75" s="455">
        <v>201.42150000000001</v>
      </c>
      <c r="G75" s="455">
        <v>222.012</v>
      </c>
      <c r="H75" s="459" t="s">
        <v>72</v>
      </c>
      <c r="I75" s="455">
        <v>173.65949999999998</v>
      </c>
      <c r="J75" s="455">
        <v>184.62150000000003</v>
      </c>
      <c r="K75" s="455">
        <v>205.21200000000002</v>
      </c>
      <c r="L75" s="456" t="s">
        <v>72</v>
      </c>
      <c r="M75" s="1624">
        <v>0</v>
      </c>
    </row>
    <row r="76" spans="1:13" ht="13.5" thickBot="1">
      <c r="A76" s="488">
        <v>5</v>
      </c>
      <c r="B76" s="489" t="s">
        <v>279</v>
      </c>
      <c r="C76" s="1630">
        <v>2018</v>
      </c>
      <c r="D76" s="490" t="s">
        <v>214</v>
      </c>
      <c r="E76" s="457">
        <v>289.0335</v>
      </c>
      <c r="F76" s="457">
        <v>312.78449999999998</v>
      </c>
      <c r="G76" s="457">
        <v>347.22450000000003</v>
      </c>
      <c r="H76" s="460" t="s">
        <v>72</v>
      </c>
      <c r="I76" s="457">
        <v>275.9085</v>
      </c>
      <c r="J76" s="457">
        <v>292.83449999999999</v>
      </c>
      <c r="K76" s="457">
        <v>327.27449999999999</v>
      </c>
      <c r="L76" s="458" t="s">
        <v>72</v>
      </c>
      <c r="M76" s="1624">
        <v>0</v>
      </c>
    </row>
    <row r="77" spans="1:13" ht="13.5" thickBot="1">
      <c r="A77" s="482">
        <v>5</v>
      </c>
      <c r="B77" s="483" t="s">
        <v>280</v>
      </c>
      <c r="C77" s="1630">
        <v>2018</v>
      </c>
      <c r="D77" s="484" t="s">
        <v>211</v>
      </c>
      <c r="E77" s="453">
        <v>77.048999999999992</v>
      </c>
      <c r="F77" s="453">
        <v>82.183499999999995</v>
      </c>
      <c r="G77" s="453">
        <v>93.345000000000013</v>
      </c>
      <c r="H77" s="453">
        <v>81.599999999999994</v>
      </c>
      <c r="I77" s="453">
        <v>75.736499999999992</v>
      </c>
      <c r="J77" s="453">
        <v>80.870999999999995</v>
      </c>
      <c r="K77" s="453">
        <v>92.032500000000013</v>
      </c>
      <c r="L77" s="453">
        <v>80.349999999999994</v>
      </c>
      <c r="M77" s="1625">
        <v>0</v>
      </c>
    </row>
    <row r="78" spans="1:13" ht="13.5" thickBot="1">
      <c r="A78" s="485">
        <v>5</v>
      </c>
      <c r="B78" s="486" t="s">
        <v>280</v>
      </c>
      <c r="C78" s="1630">
        <v>2018</v>
      </c>
      <c r="D78" s="487" t="s">
        <v>212</v>
      </c>
      <c r="E78" s="455">
        <v>157.143</v>
      </c>
      <c r="F78" s="455">
        <v>167.58</v>
      </c>
      <c r="G78" s="455">
        <v>190.30200000000002</v>
      </c>
      <c r="H78" s="455">
        <v>166.4</v>
      </c>
      <c r="I78" s="455">
        <v>154.72799999999998</v>
      </c>
      <c r="J78" s="455">
        <v>165.16499999999999</v>
      </c>
      <c r="K78" s="455">
        <v>187.887</v>
      </c>
      <c r="L78" s="455">
        <v>164.1</v>
      </c>
      <c r="M78" s="1625">
        <v>0</v>
      </c>
    </row>
    <row r="79" spans="1:13" ht="13.5" thickBot="1">
      <c r="A79" s="485">
        <v>5</v>
      </c>
      <c r="B79" s="486" t="s">
        <v>280</v>
      </c>
      <c r="C79" s="1630">
        <v>2018</v>
      </c>
      <c r="D79" s="487" t="s">
        <v>213</v>
      </c>
      <c r="E79" s="455">
        <v>174.90900000000002</v>
      </c>
      <c r="F79" s="455">
        <v>190.27050000000003</v>
      </c>
      <c r="G79" s="455">
        <v>209.81100000000001</v>
      </c>
      <c r="H79" s="455">
        <v>186.36</v>
      </c>
      <c r="I79" s="455">
        <v>163.35900000000001</v>
      </c>
      <c r="J79" s="455">
        <v>173.47050000000002</v>
      </c>
      <c r="K79" s="455">
        <v>193.011</v>
      </c>
      <c r="L79" s="455">
        <v>170.36</v>
      </c>
      <c r="M79" s="1625">
        <v>0</v>
      </c>
    </row>
    <row r="80" spans="1:13" ht="13.5" thickBot="1">
      <c r="A80" s="488">
        <v>5</v>
      </c>
      <c r="B80" s="489" t="s">
        <v>280</v>
      </c>
      <c r="C80" s="1630">
        <v>2018</v>
      </c>
      <c r="D80" s="490" t="s">
        <v>214</v>
      </c>
      <c r="E80" s="457">
        <v>272.94749999999999</v>
      </c>
      <c r="F80" s="457">
        <v>295.42800000000005</v>
      </c>
      <c r="G80" s="457">
        <v>328.06200000000001</v>
      </c>
      <c r="H80" s="457">
        <v>290.33</v>
      </c>
      <c r="I80" s="457">
        <v>259.82249999999999</v>
      </c>
      <c r="J80" s="457">
        <v>275.47800000000001</v>
      </c>
      <c r="K80" s="457">
        <v>308.11200000000002</v>
      </c>
      <c r="L80" s="457">
        <v>271.33</v>
      </c>
      <c r="M80" s="1625">
        <v>0</v>
      </c>
    </row>
    <row r="81" spans="1:13" ht="13.5" thickBot="1">
      <c r="A81" s="482">
        <v>5</v>
      </c>
      <c r="B81" s="483" t="s">
        <v>281</v>
      </c>
      <c r="C81" s="1630">
        <v>2018</v>
      </c>
      <c r="D81" s="484" t="s">
        <v>211</v>
      </c>
      <c r="E81" s="453">
        <v>72.345000000000013</v>
      </c>
      <c r="F81" s="453">
        <v>77.164500000000004</v>
      </c>
      <c r="G81" s="453">
        <v>87.632999999999996</v>
      </c>
      <c r="H81" s="453">
        <v>76.61</v>
      </c>
      <c r="I81" s="453">
        <v>71.032500000000013</v>
      </c>
      <c r="J81" s="453">
        <v>75.852000000000004</v>
      </c>
      <c r="K81" s="453">
        <v>86.320499999999996</v>
      </c>
      <c r="L81" s="453">
        <v>75.36</v>
      </c>
      <c r="M81" s="1625">
        <v>0</v>
      </c>
    </row>
    <row r="82" spans="1:13" ht="13.5" thickBot="1">
      <c r="A82" s="485">
        <v>5</v>
      </c>
      <c r="B82" s="486" t="s">
        <v>281</v>
      </c>
      <c r="C82" s="1630">
        <v>2018</v>
      </c>
      <c r="D82" s="487" t="s">
        <v>212</v>
      </c>
      <c r="E82" s="455">
        <v>147.53549999999998</v>
      </c>
      <c r="F82" s="455">
        <v>157.3425</v>
      </c>
      <c r="G82" s="455">
        <v>178.65750000000003</v>
      </c>
      <c r="H82" s="455">
        <v>156.22</v>
      </c>
      <c r="I82" s="455">
        <v>145.12049999999999</v>
      </c>
      <c r="J82" s="455">
        <v>154.92749999999998</v>
      </c>
      <c r="K82" s="455">
        <v>176.24250000000001</v>
      </c>
      <c r="L82" s="455">
        <v>153.91999999999999</v>
      </c>
      <c r="M82" s="1625">
        <v>0</v>
      </c>
    </row>
    <row r="83" spans="1:13" ht="13.5" thickBot="1">
      <c r="A83" s="485">
        <v>5</v>
      </c>
      <c r="B83" s="486" t="s">
        <v>281</v>
      </c>
      <c r="C83" s="1630">
        <v>2018</v>
      </c>
      <c r="D83" s="487" t="s">
        <v>213</v>
      </c>
      <c r="E83" s="455">
        <v>164.95500000000001</v>
      </c>
      <c r="F83" s="455">
        <v>179.7285</v>
      </c>
      <c r="G83" s="455">
        <v>198.08250000000001</v>
      </c>
      <c r="H83" s="455">
        <v>176.01</v>
      </c>
      <c r="I83" s="455">
        <v>153.405</v>
      </c>
      <c r="J83" s="455">
        <v>162.92849999999999</v>
      </c>
      <c r="K83" s="455">
        <v>181.28250000000003</v>
      </c>
      <c r="L83" s="455">
        <v>160.01</v>
      </c>
      <c r="M83" s="1625">
        <v>0</v>
      </c>
    </row>
    <row r="84" spans="1:13" ht="13.5" thickBot="1">
      <c r="A84" s="488">
        <v>5</v>
      </c>
      <c r="B84" s="489" t="s">
        <v>281</v>
      </c>
      <c r="C84" s="1630">
        <v>2018</v>
      </c>
      <c r="D84" s="490" t="s">
        <v>214</v>
      </c>
      <c r="E84" s="457">
        <v>257.11349999999999</v>
      </c>
      <c r="F84" s="457">
        <v>278.649</v>
      </c>
      <c r="G84" s="457">
        <v>309.28800000000001</v>
      </c>
      <c r="H84" s="457">
        <v>273.8</v>
      </c>
      <c r="I84" s="457">
        <v>243.98850000000002</v>
      </c>
      <c r="J84" s="457">
        <v>258.69900000000001</v>
      </c>
      <c r="K84" s="457">
        <v>289.33800000000002</v>
      </c>
      <c r="L84" s="457">
        <v>254.8</v>
      </c>
      <c r="M84" s="1625">
        <v>0</v>
      </c>
    </row>
    <row r="85" spans="1:13">
      <c r="K85" s="169"/>
      <c r="L85" s="169"/>
      <c r="M85" s="169"/>
    </row>
    <row r="86" spans="1:13">
      <c r="K86" s="169"/>
      <c r="L86" s="169"/>
      <c r="M86" s="169"/>
    </row>
    <row r="87" spans="1:13">
      <c r="K87" s="169"/>
      <c r="L87" s="169"/>
      <c r="M87" s="169"/>
    </row>
    <row r="88" spans="1:13">
      <c r="K88" s="169"/>
      <c r="L88" s="169"/>
      <c r="M88" s="169"/>
    </row>
    <row r="89" spans="1:13">
      <c r="K89" s="169"/>
      <c r="L89" s="169"/>
      <c r="M89" s="169"/>
    </row>
    <row r="90" spans="1:13">
      <c r="K90" s="169"/>
      <c r="L90" s="169"/>
      <c r="M90" s="169"/>
    </row>
    <row r="91" spans="1:13">
      <c r="K91" s="169"/>
      <c r="L91" s="169"/>
      <c r="M91" s="169"/>
    </row>
    <row r="92" spans="1:13">
      <c r="K92" s="169"/>
      <c r="L92" s="169"/>
      <c r="M92" s="169"/>
    </row>
    <row r="93" spans="1:13">
      <c r="K93" s="169"/>
      <c r="L93" s="169"/>
      <c r="M93" s="169"/>
    </row>
    <row r="94" spans="1:13">
      <c r="K94" s="169"/>
      <c r="L94" s="169"/>
      <c r="M94" s="169"/>
    </row>
    <row r="95" spans="1:13">
      <c r="K95" s="169"/>
      <c r="L95" s="169"/>
      <c r="M95" s="169"/>
    </row>
    <row r="96" spans="1:13">
      <c r="K96" s="169"/>
      <c r="L96" s="169"/>
      <c r="M96" s="169"/>
    </row>
    <row r="97" spans="11:13">
      <c r="K97" s="169"/>
      <c r="L97" s="169"/>
      <c r="M97" s="169"/>
    </row>
    <row r="98" spans="11:13">
      <c r="K98" s="169"/>
      <c r="L98" s="169"/>
      <c r="M98" s="169"/>
    </row>
    <row r="99" spans="11:13">
      <c r="K99" s="169"/>
      <c r="L99" s="169"/>
      <c r="M99" s="169"/>
    </row>
    <row r="100" spans="11:13">
      <c r="K100" s="169"/>
      <c r="L100" s="169"/>
      <c r="M100" s="169"/>
    </row>
    <row r="101" spans="11:13">
      <c r="K101" s="169"/>
      <c r="L101" s="169"/>
      <c r="M101" s="169"/>
    </row>
    <row r="102" spans="11:13">
      <c r="K102" s="169"/>
      <c r="L102" s="169"/>
      <c r="M102" s="169"/>
    </row>
    <row r="103" spans="11:13">
      <c r="K103" s="169"/>
      <c r="L103" s="169"/>
      <c r="M103" s="169"/>
    </row>
    <row r="104" spans="11:13">
      <c r="K104" s="169"/>
      <c r="L104" s="169"/>
      <c r="M104" s="169"/>
    </row>
    <row r="105" spans="11:13">
      <c r="K105" s="169"/>
      <c r="L105" s="169"/>
      <c r="M105" s="169"/>
    </row>
    <row r="106" spans="11:13">
      <c r="K106" s="169"/>
      <c r="L106" s="169"/>
      <c r="M106" s="169"/>
    </row>
    <row r="107" spans="11:13">
      <c r="K107" s="169"/>
      <c r="L107" s="169"/>
      <c r="M107" s="169"/>
    </row>
    <row r="108" spans="11:13">
      <c r="K108" s="169"/>
      <c r="L108" s="169"/>
      <c r="M108" s="169"/>
    </row>
    <row r="109" spans="11:13">
      <c r="K109" s="169"/>
      <c r="L109" s="169"/>
      <c r="M109" s="169"/>
    </row>
    <row r="110" spans="11:13">
      <c r="K110" s="169"/>
      <c r="L110" s="169"/>
      <c r="M110" s="169"/>
    </row>
    <row r="111" spans="11:13">
      <c r="K111" s="169"/>
      <c r="L111" s="169"/>
      <c r="M111" s="169"/>
    </row>
    <row r="112" spans="11:13">
      <c r="K112" s="169"/>
      <c r="L112" s="169"/>
      <c r="M112" s="169"/>
    </row>
    <row r="113" spans="11:13">
      <c r="K113" s="169"/>
      <c r="L113" s="169"/>
      <c r="M113" s="169"/>
    </row>
    <row r="114" spans="11:13">
      <c r="K114" s="169"/>
      <c r="L114" s="169"/>
      <c r="M114" s="169"/>
    </row>
    <row r="115" spans="11:13">
      <c r="K115" s="169"/>
      <c r="L115" s="169"/>
      <c r="M115" s="169"/>
    </row>
    <row r="116" spans="11:13">
      <c r="K116" s="169"/>
      <c r="L116" s="169"/>
      <c r="M116" s="169"/>
    </row>
    <row r="117" spans="11:13">
      <c r="K117" s="169"/>
      <c r="L117" s="169"/>
      <c r="M117" s="169"/>
    </row>
    <row r="118" spans="11:13">
      <c r="K118" s="169"/>
      <c r="L118" s="169"/>
      <c r="M118" s="169"/>
    </row>
    <row r="119" spans="11:13">
      <c r="K119" s="169"/>
      <c r="L119" s="169"/>
      <c r="M119" s="169"/>
    </row>
    <row r="120" spans="11:13">
      <c r="K120" s="169"/>
      <c r="L120" s="169"/>
      <c r="M120" s="169"/>
    </row>
    <row r="121" spans="11:13">
      <c r="K121" s="169"/>
      <c r="L121" s="169"/>
      <c r="M121" s="169"/>
    </row>
    <row r="122" spans="11:13">
      <c r="K122" s="169"/>
      <c r="L122" s="169"/>
      <c r="M122" s="169"/>
    </row>
    <row r="123" spans="11:13">
      <c r="K123" s="169"/>
      <c r="L123" s="169"/>
      <c r="M123" s="169"/>
    </row>
    <row r="124" spans="11:13">
      <c r="K124" s="169"/>
      <c r="L124" s="169"/>
      <c r="M124" s="169"/>
    </row>
    <row r="125" spans="11:13">
      <c r="K125" s="169"/>
      <c r="L125" s="169"/>
      <c r="M125" s="169"/>
    </row>
    <row r="126" spans="11:13">
      <c r="K126" s="169"/>
      <c r="L126" s="169"/>
      <c r="M126" s="169"/>
    </row>
    <row r="127" spans="11:13">
      <c r="K127" s="169"/>
      <c r="L127" s="169"/>
      <c r="M127" s="169"/>
    </row>
    <row r="128" spans="11:13">
      <c r="K128" s="169"/>
      <c r="L128" s="169"/>
      <c r="M128" s="169"/>
    </row>
    <row r="129" spans="11:13">
      <c r="K129" s="169"/>
      <c r="L129" s="169"/>
      <c r="M129" s="169"/>
    </row>
    <row r="130" spans="11:13">
      <c r="K130" s="169"/>
      <c r="L130" s="169"/>
      <c r="M130" s="169"/>
    </row>
    <row r="131" spans="11:13">
      <c r="K131" s="169"/>
      <c r="L131" s="169"/>
      <c r="M131" s="169"/>
    </row>
    <row r="132" spans="11:13">
      <c r="K132" s="169"/>
      <c r="L132" s="169"/>
      <c r="M132" s="169"/>
    </row>
    <row r="133" spans="11:13">
      <c r="K133" s="169"/>
      <c r="L133" s="169"/>
      <c r="M133" s="169"/>
    </row>
    <row r="134" spans="11:13">
      <c r="K134" s="169"/>
      <c r="L134" s="169"/>
      <c r="M134" s="169"/>
    </row>
    <row r="135" spans="11:13">
      <c r="K135" s="169"/>
      <c r="L135" s="169"/>
      <c r="M135" s="169"/>
    </row>
    <row r="136" spans="11:13">
      <c r="K136" s="169"/>
      <c r="L136" s="169"/>
      <c r="M136" s="169"/>
    </row>
    <row r="137" spans="11:13">
      <c r="K137" s="169"/>
      <c r="L137" s="169"/>
      <c r="M137" s="169"/>
    </row>
    <row r="138" spans="11:13">
      <c r="K138" s="169"/>
      <c r="L138" s="169"/>
      <c r="M138" s="169"/>
    </row>
    <row r="139" spans="11:13">
      <c r="K139" s="169"/>
      <c r="L139" s="169"/>
      <c r="M139" s="169"/>
    </row>
    <row r="140" spans="11:13">
      <c r="K140" s="169"/>
      <c r="L140" s="169"/>
      <c r="M140" s="169"/>
    </row>
    <row r="141" spans="11:13">
      <c r="K141" s="169"/>
      <c r="L141" s="169"/>
      <c r="M141" s="169"/>
    </row>
    <row r="142" spans="11:13">
      <c r="K142" s="169"/>
      <c r="L142" s="169"/>
      <c r="M142" s="169"/>
    </row>
    <row r="143" spans="11:13">
      <c r="K143" s="169"/>
      <c r="L143" s="169"/>
      <c r="M143" s="169"/>
    </row>
    <row r="144" spans="11:13">
      <c r="K144" s="169"/>
      <c r="L144" s="169"/>
      <c r="M144" s="169"/>
    </row>
    <row r="145" spans="11:13">
      <c r="K145" s="169"/>
      <c r="L145" s="169"/>
      <c r="M145" s="169"/>
    </row>
    <row r="146" spans="11:13">
      <c r="K146" s="169"/>
      <c r="L146" s="169"/>
      <c r="M146" s="169"/>
    </row>
    <row r="147" spans="11:13">
      <c r="K147" s="169"/>
      <c r="L147" s="169"/>
      <c r="M147" s="169"/>
    </row>
    <row r="148" spans="11:13">
      <c r="K148" s="169"/>
      <c r="L148" s="169"/>
      <c r="M148" s="169"/>
    </row>
    <row r="149" spans="11:13">
      <c r="K149" s="169"/>
      <c r="L149" s="169"/>
      <c r="M149" s="169"/>
    </row>
    <row r="150" spans="11:13">
      <c r="K150" s="169"/>
      <c r="L150" s="169"/>
      <c r="M150" s="169"/>
    </row>
    <row r="151" spans="11:13">
      <c r="K151" s="169"/>
      <c r="L151" s="169"/>
      <c r="M151" s="169"/>
    </row>
    <row r="152" spans="11:13">
      <c r="K152" s="169"/>
      <c r="L152" s="169"/>
      <c r="M152" s="169"/>
    </row>
    <row r="153" spans="11:13">
      <c r="K153" s="169"/>
      <c r="L153" s="169"/>
      <c r="M153" s="169"/>
    </row>
    <row r="154" spans="11:13">
      <c r="K154" s="169"/>
      <c r="L154" s="169"/>
      <c r="M154" s="169"/>
    </row>
    <row r="155" spans="11:13">
      <c r="K155" s="169"/>
      <c r="L155" s="169"/>
      <c r="M155" s="169"/>
    </row>
    <row r="156" spans="11:13">
      <c r="K156" s="169"/>
      <c r="L156" s="169"/>
      <c r="M156" s="169"/>
    </row>
    <row r="157" spans="11:13">
      <c r="K157" s="169"/>
      <c r="L157" s="169"/>
      <c r="M157" s="169"/>
    </row>
    <row r="158" spans="11:13">
      <c r="K158" s="169"/>
      <c r="L158" s="169"/>
      <c r="M158" s="169"/>
    </row>
    <row r="159" spans="11:13">
      <c r="K159" s="169"/>
      <c r="L159" s="169"/>
      <c r="M159" s="169"/>
    </row>
    <row r="160" spans="11:13">
      <c r="K160" s="169"/>
      <c r="L160" s="169"/>
      <c r="M160" s="169"/>
    </row>
    <row r="161" spans="11:13">
      <c r="K161" s="169"/>
      <c r="L161" s="169"/>
      <c r="M161" s="169"/>
    </row>
    <row r="162" spans="11:13">
      <c r="K162" s="169"/>
      <c r="L162" s="169"/>
      <c r="M162" s="169"/>
    </row>
    <row r="163" spans="11:13">
      <c r="K163" s="169"/>
      <c r="L163" s="169"/>
      <c r="M163" s="169"/>
    </row>
    <row r="164" spans="11:13">
      <c r="K164" s="169"/>
      <c r="L164" s="169"/>
      <c r="M164" s="169"/>
    </row>
    <row r="165" spans="11:13">
      <c r="K165" s="169"/>
      <c r="L165" s="169"/>
      <c r="M165" s="169"/>
    </row>
    <row r="166" spans="11:13">
      <c r="K166" s="169"/>
      <c r="L166" s="169"/>
      <c r="M166" s="169"/>
    </row>
    <row r="167" spans="11:13">
      <c r="K167" s="169"/>
      <c r="L167" s="169"/>
      <c r="M167" s="169"/>
    </row>
  </sheetData>
  <mergeCells count="3">
    <mergeCell ref="A1:L1"/>
    <mergeCell ref="E3:H3"/>
    <mergeCell ref="I3:L3"/>
  </mergeCells>
  <pageMargins left="0.7" right="0.7" top="0.75" bottom="0.75" header="0.3" footer="0.3"/>
  <pageSetup orientation="portrait" r:id="rId1"/>
  <colBreaks count="1" manualBreakCount="1">
    <brk id="8"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C76B0-B431-4444-AE65-4E71580F0004}">
  <sheetPr>
    <tabColor theme="6"/>
  </sheetPr>
  <dimension ref="A1:L83"/>
  <sheetViews>
    <sheetView workbookViewId="0">
      <selection sqref="A1:G1"/>
    </sheetView>
  </sheetViews>
  <sheetFormatPr defaultColWidth="9" defaultRowHeight="12.75"/>
  <cols>
    <col min="1" max="1" width="8.125" style="154" customWidth="1"/>
    <col min="2" max="3" width="10" style="154" customWidth="1"/>
    <col min="4" max="4" width="9.125" style="154" customWidth="1"/>
    <col min="5" max="7" width="11.625" style="172" customWidth="1"/>
    <col min="8" max="9" width="9" style="154"/>
    <col min="10" max="10" width="10.125" style="154" customWidth="1"/>
    <col min="11" max="11" width="12.5" style="154" customWidth="1"/>
    <col min="12" max="12" width="11.375" style="154" customWidth="1"/>
    <col min="13" max="16384" width="9" style="154"/>
  </cols>
  <sheetData>
    <row r="1" spans="1:12" ht="15.75" customHeight="1" thickBot="1">
      <c r="A1" s="1879" t="s">
        <v>282</v>
      </c>
      <c r="B1" s="1880"/>
      <c r="C1" s="1880"/>
      <c r="D1" s="1880"/>
      <c r="E1" s="1880"/>
      <c r="F1" s="1880"/>
      <c r="G1" s="1881"/>
      <c r="H1" s="169"/>
      <c r="I1" s="169"/>
      <c r="J1" s="169"/>
    </row>
    <row r="2" spans="1:12" ht="26.25" thickBot="1">
      <c r="A2" s="1627"/>
      <c r="B2" s="1628"/>
      <c r="C2" s="1628"/>
      <c r="D2" s="1628"/>
      <c r="E2" s="495" t="s">
        <v>344</v>
      </c>
      <c r="F2" s="495" t="s">
        <v>345</v>
      </c>
      <c r="G2" s="495" t="s">
        <v>346</v>
      </c>
      <c r="H2" s="169"/>
      <c r="I2" s="169"/>
      <c r="J2" s="169"/>
    </row>
    <row r="3" spans="1:12" ht="26.25" thickBot="1">
      <c r="A3" s="158" t="s">
        <v>275</v>
      </c>
      <c r="B3" s="159" t="s">
        <v>276</v>
      </c>
      <c r="C3" s="1629" t="s">
        <v>283</v>
      </c>
      <c r="D3" s="160" t="s">
        <v>277</v>
      </c>
      <c r="E3" s="452" t="s">
        <v>6203</v>
      </c>
      <c r="F3" s="452" t="s">
        <v>6204</v>
      </c>
      <c r="G3" s="452" t="s">
        <v>6205</v>
      </c>
      <c r="H3" s="169"/>
      <c r="I3" s="169"/>
      <c r="J3" s="170"/>
      <c r="K3" s="171"/>
      <c r="L3" s="171"/>
    </row>
    <row r="4" spans="1:12" ht="13.5" thickBot="1">
      <c r="A4" s="435">
        <v>1</v>
      </c>
      <c r="B4" s="436" t="s">
        <v>278</v>
      </c>
      <c r="C4" s="1631">
        <v>2018</v>
      </c>
      <c r="D4" s="496" t="s">
        <v>211</v>
      </c>
      <c r="E4" s="453">
        <v>9.2925000000000004</v>
      </c>
      <c r="F4" s="453">
        <v>10.111500000000001</v>
      </c>
      <c r="G4" s="453">
        <v>10.290000000000001</v>
      </c>
      <c r="H4" s="169"/>
      <c r="I4" s="169"/>
      <c r="J4" s="169"/>
    </row>
    <row r="5" spans="1:12" ht="13.5" thickBot="1">
      <c r="A5" s="438">
        <v>1</v>
      </c>
      <c r="B5" s="161" t="s">
        <v>278</v>
      </c>
      <c r="C5" s="1631">
        <v>2018</v>
      </c>
      <c r="D5" s="491" t="s">
        <v>212</v>
      </c>
      <c r="E5" s="455">
        <v>18.626999999999999</v>
      </c>
      <c r="F5" s="455">
        <v>20.265000000000001</v>
      </c>
      <c r="G5" s="455">
        <v>20.611499999999999</v>
      </c>
      <c r="H5" s="169"/>
      <c r="I5" s="169"/>
      <c r="J5" s="169"/>
    </row>
    <row r="6" spans="1:12" ht="13.5" thickBot="1">
      <c r="A6" s="438">
        <v>1</v>
      </c>
      <c r="B6" s="161" t="s">
        <v>278</v>
      </c>
      <c r="C6" s="1631">
        <v>2018</v>
      </c>
      <c r="D6" s="491" t="s">
        <v>213</v>
      </c>
      <c r="E6" s="455">
        <v>15.7605</v>
      </c>
      <c r="F6" s="455">
        <v>17.157</v>
      </c>
      <c r="G6" s="455">
        <v>17.451000000000001</v>
      </c>
      <c r="H6" s="169"/>
      <c r="I6" s="169"/>
      <c r="J6" s="169"/>
    </row>
    <row r="7" spans="1:12" ht="13.5" thickBot="1">
      <c r="A7" s="439">
        <v>1</v>
      </c>
      <c r="B7" s="440" t="s">
        <v>278</v>
      </c>
      <c r="C7" s="1631">
        <v>2018</v>
      </c>
      <c r="D7" s="497" t="s">
        <v>214</v>
      </c>
      <c r="E7" s="457">
        <v>25.998000000000001</v>
      </c>
      <c r="F7" s="457">
        <v>28.297499999999999</v>
      </c>
      <c r="G7" s="457">
        <v>28.77</v>
      </c>
      <c r="H7" s="169"/>
      <c r="I7" s="169"/>
      <c r="J7" s="169"/>
    </row>
    <row r="8" spans="1:12" ht="13.5" thickBot="1">
      <c r="A8" s="435">
        <v>1</v>
      </c>
      <c r="B8" s="436" t="s">
        <v>279</v>
      </c>
      <c r="C8" s="1631">
        <v>2018</v>
      </c>
      <c r="D8" s="496" t="s">
        <v>211</v>
      </c>
      <c r="E8" s="453">
        <v>9.2925000000000004</v>
      </c>
      <c r="F8" s="453">
        <v>10.111500000000001</v>
      </c>
      <c r="G8" s="453">
        <v>10.290000000000001</v>
      </c>
      <c r="H8" s="169"/>
      <c r="I8" s="169"/>
      <c r="J8" s="169"/>
    </row>
    <row r="9" spans="1:12" ht="13.5" thickBot="1">
      <c r="A9" s="438">
        <v>1</v>
      </c>
      <c r="B9" s="161" t="s">
        <v>279</v>
      </c>
      <c r="C9" s="1631">
        <v>2018</v>
      </c>
      <c r="D9" s="491" t="s">
        <v>212</v>
      </c>
      <c r="E9" s="455">
        <v>18.626999999999999</v>
      </c>
      <c r="F9" s="455">
        <v>20.265000000000001</v>
      </c>
      <c r="G9" s="455">
        <v>20.611499999999999</v>
      </c>
      <c r="H9" s="169"/>
      <c r="I9" s="169"/>
      <c r="J9" s="169"/>
    </row>
    <row r="10" spans="1:12" ht="13.5" thickBot="1">
      <c r="A10" s="438">
        <v>1</v>
      </c>
      <c r="B10" s="161" t="s">
        <v>279</v>
      </c>
      <c r="C10" s="1631">
        <v>2018</v>
      </c>
      <c r="D10" s="491" t="s">
        <v>213</v>
      </c>
      <c r="E10" s="455">
        <v>15.7605</v>
      </c>
      <c r="F10" s="455">
        <v>17.157</v>
      </c>
      <c r="G10" s="455">
        <v>17.451000000000001</v>
      </c>
      <c r="H10" s="169"/>
      <c r="I10" s="169"/>
      <c r="J10" s="169"/>
    </row>
    <row r="11" spans="1:12" ht="13.5" thickBot="1">
      <c r="A11" s="439">
        <v>1</v>
      </c>
      <c r="B11" s="440" t="s">
        <v>279</v>
      </c>
      <c r="C11" s="1631">
        <v>2018</v>
      </c>
      <c r="D11" s="497" t="s">
        <v>214</v>
      </c>
      <c r="E11" s="457">
        <v>25.998000000000001</v>
      </c>
      <c r="F11" s="457">
        <v>28.297499999999999</v>
      </c>
      <c r="G11" s="457">
        <v>28.77</v>
      </c>
      <c r="H11" s="169"/>
      <c r="I11" s="169"/>
      <c r="J11" s="169"/>
    </row>
    <row r="12" spans="1:12" ht="13.5" thickBot="1">
      <c r="A12" s="435">
        <v>1</v>
      </c>
      <c r="B12" s="436" t="s">
        <v>280</v>
      </c>
      <c r="C12" s="1631">
        <v>2018</v>
      </c>
      <c r="D12" s="496" t="s">
        <v>211</v>
      </c>
      <c r="E12" s="453">
        <v>9.2925000000000004</v>
      </c>
      <c r="F12" s="453">
        <v>10.111500000000001</v>
      </c>
      <c r="G12" s="453">
        <v>10.290000000000001</v>
      </c>
      <c r="H12" s="169"/>
      <c r="I12" s="169"/>
      <c r="J12" s="169"/>
    </row>
    <row r="13" spans="1:12" ht="13.5" thickBot="1">
      <c r="A13" s="438">
        <v>1</v>
      </c>
      <c r="B13" s="161" t="s">
        <v>280</v>
      </c>
      <c r="C13" s="1631">
        <v>2018</v>
      </c>
      <c r="D13" s="491" t="s">
        <v>212</v>
      </c>
      <c r="E13" s="455">
        <v>18.626999999999999</v>
      </c>
      <c r="F13" s="455">
        <v>20.265000000000001</v>
      </c>
      <c r="G13" s="455">
        <v>20.611499999999999</v>
      </c>
      <c r="H13" s="169"/>
      <c r="I13" s="169"/>
      <c r="J13" s="169"/>
    </row>
    <row r="14" spans="1:12" ht="13.5" thickBot="1">
      <c r="A14" s="438">
        <v>1</v>
      </c>
      <c r="B14" s="161" t="s">
        <v>280</v>
      </c>
      <c r="C14" s="1631">
        <v>2018</v>
      </c>
      <c r="D14" s="491" t="s">
        <v>213</v>
      </c>
      <c r="E14" s="455">
        <v>15.7605</v>
      </c>
      <c r="F14" s="455">
        <v>17.157</v>
      </c>
      <c r="G14" s="455">
        <v>17.451000000000001</v>
      </c>
      <c r="H14" s="169"/>
      <c r="I14" s="169"/>
      <c r="J14" s="169"/>
    </row>
    <row r="15" spans="1:12" ht="13.5" thickBot="1">
      <c r="A15" s="439">
        <v>1</v>
      </c>
      <c r="B15" s="440" t="s">
        <v>280</v>
      </c>
      <c r="C15" s="1631">
        <v>2018</v>
      </c>
      <c r="D15" s="497" t="s">
        <v>214</v>
      </c>
      <c r="E15" s="457">
        <v>25.998000000000001</v>
      </c>
      <c r="F15" s="457">
        <v>28.297499999999999</v>
      </c>
      <c r="G15" s="457">
        <v>28.77</v>
      </c>
      <c r="H15" s="169"/>
      <c r="I15" s="169"/>
      <c r="J15" s="169"/>
    </row>
    <row r="16" spans="1:12" ht="13.5" thickBot="1">
      <c r="A16" s="435">
        <v>1</v>
      </c>
      <c r="B16" s="436" t="s">
        <v>281</v>
      </c>
      <c r="C16" s="1631">
        <v>2018</v>
      </c>
      <c r="D16" s="496" t="s">
        <v>211</v>
      </c>
      <c r="E16" s="453">
        <v>8.2635000000000005</v>
      </c>
      <c r="F16" s="453">
        <v>8.9880000000000013</v>
      </c>
      <c r="G16" s="453">
        <v>9.145500000000002</v>
      </c>
      <c r="H16" s="169"/>
      <c r="I16" s="169"/>
      <c r="J16" s="169"/>
    </row>
    <row r="17" spans="1:10" ht="13.5" thickBot="1">
      <c r="A17" s="438">
        <v>1</v>
      </c>
      <c r="B17" s="161" t="s">
        <v>281</v>
      </c>
      <c r="C17" s="1631">
        <v>2018</v>
      </c>
      <c r="D17" s="491" t="s">
        <v>212</v>
      </c>
      <c r="E17" s="455">
        <v>16.558499999999999</v>
      </c>
      <c r="F17" s="455">
        <v>18.0075</v>
      </c>
      <c r="G17" s="455">
        <v>18.322500000000002</v>
      </c>
      <c r="H17" s="169"/>
      <c r="I17" s="169"/>
      <c r="J17" s="169"/>
    </row>
    <row r="18" spans="1:10" ht="13.5" thickBot="1">
      <c r="A18" s="438">
        <v>1</v>
      </c>
      <c r="B18" s="161" t="s">
        <v>281</v>
      </c>
      <c r="C18" s="1631">
        <v>2018</v>
      </c>
      <c r="D18" s="491" t="s">
        <v>213</v>
      </c>
      <c r="E18" s="455">
        <v>14.007</v>
      </c>
      <c r="F18" s="455">
        <v>15.256500000000001</v>
      </c>
      <c r="G18" s="455">
        <v>15.519</v>
      </c>
      <c r="H18" s="169"/>
      <c r="I18" s="169"/>
      <c r="J18" s="169"/>
    </row>
    <row r="19" spans="1:10" ht="13.5" thickBot="1">
      <c r="A19" s="439">
        <v>1</v>
      </c>
      <c r="B19" s="440" t="s">
        <v>281</v>
      </c>
      <c r="C19" s="1631">
        <v>2018</v>
      </c>
      <c r="D19" s="497" t="s">
        <v>214</v>
      </c>
      <c r="E19" s="457">
        <v>23.110500000000002</v>
      </c>
      <c r="F19" s="457">
        <v>25.158000000000001</v>
      </c>
      <c r="G19" s="457">
        <v>25.577999999999999</v>
      </c>
      <c r="H19" s="169"/>
      <c r="I19" s="169"/>
      <c r="J19" s="169"/>
    </row>
    <row r="20" spans="1:10" ht="13.5" thickBot="1">
      <c r="A20" s="465">
        <v>2</v>
      </c>
      <c r="B20" s="466" t="s">
        <v>278</v>
      </c>
      <c r="C20" s="1631">
        <v>2018</v>
      </c>
      <c r="D20" s="498" t="s">
        <v>211</v>
      </c>
      <c r="E20" s="453">
        <v>9.2925000000000004</v>
      </c>
      <c r="F20" s="453">
        <v>10.111500000000001</v>
      </c>
      <c r="G20" s="453">
        <v>10.290000000000001</v>
      </c>
      <c r="H20" s="169"/>
      <c r="I20" s="169"/>
      <c r="J20" s="169"/>
    </row>
    <row r="21" spans="1:10" ht="13.5" thickBot="1">
      <c r="A21" s="461">
        <v>2</v>
      </c>
      <c r="B21" s="163" t="s">
        <v>278</v>
      </c>
      <c r="C21" s="1631">
        <v>2018</v>
      </c>
      <c r="D21" s="492" t="s">
        <v>212</v>
      </c>
      <c r="E21" s="455">
        <v>18.626999999999999</v>
      </c>
      <c r="F21" s="455">
        <v>20.265000000000001</v>
      </c>
      <c r="G21" s="455">
        <v>20.611499999999999</v>
      </c>
      <c r="H21" s="169"/>
      <c r="I21" s="169"/>
      <c r="J21" s="169"/>
    </row>
    <row r="22" spans="1:10" ht="13.5" thickBot="1">
      <c r="A22" s="461">
        <v>2</v>
      </c>
      <c r="B22" s="163" t="s">
        <v>278</v>
      </c>
      <c r="C22" s="1631">
        <v>2018</v>
      </c>
      <c r="D22" s="492" t="s">
        <v>213</v>
      </c>
      <c r="E22" s="455">
        <v>15.7605</v>
      </c>
      <c r="F22" s="455">
        <v>17.157</v>
      </c>
      <c r="G22" s="455">
        <v>17.451000000000001</v>
      </c>
      <c r="H22" s="169"/>
      <c r="I22" s="169"/>
      <c r="J22" s="169"/>
    </row>
    <row r="23" spans="1:10" ht="13.5" thickBot="1">
      <c r="A23" s="462">
        <v>2</v>
      </c>
      <c r="B23" s="463" t="s">
        <v>278</v>
      </c>
      <c r="C23" s="1631">
        <v>2018</v>
      </c>
      <c r="D23" s="499" t="s">
        <v>214</v>
      </c>
      <c r="E23" s="457">
        <v>25.998000000000001</v>
      </c>
      <c r="F23" s="457">
        <v>28.297499999999999</v>
      </c>
      <c r="G23" s="457">
        <v>28.77</v>
      </c>
      <c r="H23" s="169"/>
      <c r="I23" s="169"/>
      <c r="J23" s="169"/>
    </row>
    <row r="24" spans="1:10" ht="13.5" thickBot="1">
      <c r="A24" s="465">
        <v>2</v>
      </c>
      <c r="B24" s="466" t="s">
        <v>279</v>
      </c>
      <c r="C24" s="1631">
        <v>2018</v>
      </c>
      <c r="D24" s="498" t="s">
        <v>211</v>
      </c>
      <c r="E24" s="453">
        <v>9.2925000000000004</v>
      </c>
      <c r="F24" s="453">
        <v>10.111500000000001</v>
      </c>
      <c r="G24" s="453">
        <v>10.290000000000001</v>
      </c>
      <c r="H24" s="169"/>
      <c r="I24" s="169"/>
      <c r="J24" s="169"/>
    </row>
    <row r="25" spans="1:10" ht="13.5" thickBot="1">
      <c r="A25" s="461">
        <v>2</v>
      </c>
      <c r="B25" s="163" t="s">
        <v>279</v>
      </c>
      <c r="C25" s="1631">
        <v>2018</v>
      </c>
      <c r="D25" s="492" t="s">
        <v>212</v>
      </c>
      <c r="E25" s="455">
        <v>18.626999999999999</v>
      </c>
      <c r="F25" s="455">
        <v>20.265000000000001</v>
      </c>
      <c r="G25" s="455">
        <v>20.611499999999999</v>
      </c>
      <c r="H25" s="169"/>
      <c r="I25" s="169"/>
      <c r="J25" s="169"/>
    </row>
    <row r="26" spans="1:10" ht="13.5" thickBot="1">
      <c r="A26" s="461">
        <v>2</v>
      </c>
      <c r="B26" s="163" t="s">
        <v>279</v>
      </c>
      <c r="C26" s="1631">
        <v>2018</v>
      </c>
      <c r="D26" s="492" t="s">
        <v>213</v>
      </c>
      <c r="E26" s="455">
        <v>15.7605</v>
      </c>
      <c r="F26" s="455">
        <v>17.157</v>
      </c>
      <c r="G26" s="455">
        <v>17.451000000000001</v>
      </c>
      <c r="H26" s="169"/>
      <c r="I26" s="169"/>
      <c r="J26" s="169"/>
    </row>
    <row r="27" spans="1:10" ht="13.5" thickBot="1">
      <c r="A27" s="462">
        <v>2</v>
      </c>
      <c r="B27" s="463" t="s">
        <v>279</v>
      </c>
      <c r="C27" s="1631">
        <v>2018</v>
      </c>
      <c r="D27" s="499" t="s">
        <v>214</v>
      </c>
      <c r="E27" s="457">
        <v>25.998000000000001</v>
      </c>
      <c r="F27" s="457">
        <v>28.297499999999999</v>
      </c>
      <c r="G27" s="457">
        <v>28.77</v>
      </c>
      <c r="H27" s="169"/>
      <c r="I27" s="169"/>
      <c r="J27" s="169"/>
    </row>
    <row r="28" spans="1:10" ht="13.5" thickBot="1">
      <c r="A28" s="465">
        <v>2</v>
      </c>
      <c r="B28" s="466" t="s">
        <v>280</v>
      </c>
      <c r="C28" s="1631">
        <v>2018</v>
      </c>
      <c r="D28" s="498" t="s">
        <v>211</v>
      </c>
      <c r="E28" s="453">
        <v>9.2925000000000004</v>
      </c>
      <c r="F28" s="453">
        <v>10.111500000000001</v>
      </c>
      <c r="G28" s="453">
        <v>10.290000000000001</v>
      </c>
      <c r="H28" s="169"/>
      <c r="I28" s="169"/>
      <c r="J28" s="169"/>
    </row>
    <row r="29" spans="1:10" ht="13.5" thickBot="1">
      <c r="A29" s="461">
        <v>2</v>
      </c>
      <c r="B29" s="163" t="s">
        <v>280</v>
      </c>
      <c r="C29" s="1631">
        <v>2018</v>
      </c>
      <c r="D29" s="492" t="s">
        <v>212</v>
      </c>
      <c r="E29" s="455">
        <v>18.626999999999999</v>
      </c>
      <c r="F29" s="455">
        <v>20.265000000000001</v>
      </c>
      <c r="G29" s="455">
        <v>20.611499999999999</v>
      </c>
      <c r="H29" s="169"/>
      <c r="I29" s="169"/>
      <c r="J29" s="169"/>
    </row>
    <row r="30" spans="1:10" ht="13.5" thickBot="1">
      <c r="A30" s="461">
        <v>2</v>
      </c>
      <c r="B30" s="163" t="s">
        <v>280</v>
      </c>
      <c r="C30" s="1631">
        <v>2018</v>
      </c>
      <c r="D30" s="492" t="s">
        <v>213</v>
      </c>
      <c r="E30" s="455">
        <v>15.7605</v>
      </c>
      <c r="F30" s="455">
        <v>17.157</v>
      </c>
      <c r="G30" s="455">
        <v>17.451000000000001</v>
      </c>
      <c r="H30" s="169"/>
      <c r="I30" s="169"/>
      <c r="J30" s="169"/>
    </row>
    <row r="31" spans="1:10" ht="13.5" thickBot="1">
      <c r="A31" s="462">
        <v>2</v>
      </c>
      <c r="B31" s="463" t="s">
        <v>280</v>
      </c>
      <c r="C31" s="1631">
        <v>2018</v>
      </c>
      <c r="D31" s="499" t="s">
        <v>214</v>
      </c>
      <c r="E31" s="457">
        <v>25.998000000000001</v>
      </c>
      <c r="F31" s="457">
        <v>28.297499999999999</v>
      </c>
      <c r="G31" s="457">
        <v>28.77</v>
      </c>
      <c r="H31" s="169"/>
      <c r="I31" s="169"/>
      <c r="J31" s="169"/>
    </row>
    <row r="32" spans="1:10" ht="13.5" thickBot="1">
      <c r="A32" s="465">
        <v>2</v>
      </c>
      <c r="B32" s="466" t="s">
        <v>281</v>
      </c>
      <c r="C32" s="1631">
        <v>2018</v>
      </c>
      <c r="D32" s="498" t="s">
        <v>211</v>
      </c>
      <c r="E32" s="453">
        <v>8.2635000000000005</v>
      </c>
      <c r="F32" s="453">
        <v>8.9880000000000013</v>
      </c>
      <c r="G32" s="453">
        <v>9.145500000000002</v>
      </c>
      <c r="H32" s="169"/>
      <c r="I32" s="169"/>
      <c r="J32" s="169"/>
    </row>
    <row r="33" spans="1:10" ht="13.5" thickBot="1">
      <c r="A33" s="461">
        <v>2</v>
      </c>
      <c r="B33" s="163" t="s">
        <v>281</v>
      </c>
      <c r="C33" s="1631">
        <v>2018</v>
      </c>
      <c r="D33" s="492" t="s">
        <v>212</v>
      </c>
      <c r="E33" s="455">
        <v>16.558499999999999</v>
      </c>
      <c r="F33" s="455">
        <v>18.0075</v>
      </c>
      <c r="G33" s="455">
        <v>18.322500000000002</v>
      </c>
      <c r="H33" s="169"/>
      <c r="I33" s="169"/>
      <c r="J33" s="169"/>
    </row>
    <row r="34" spans="1:10" ht="13.5" thickBot="1">
      <c r="A34" s="461">
        <v>2</v>
      </c>
      <c r="B34" s="163" t="s">
        <v>281</v>
      </c>
      <c r="C34" s="1631">
        <v>2018</v>
      </c>
      <c r="D34" s="492" t="s">
        <v>213</v>
      </c>
      <c r="E34" s="455">
        <v>14.007</v>
      </c>
      <c r="F34" s="455">
        <v>15.256500000000001</v>
      </c>
      <c r="G34" s="455">
        <v>15.519</v>
      </c>
      <c r="H34" s="169"/>
      <c r="I34" s="169"/>
      <c r="J34" s="169"/>
    </row>
    <row r="35" spans="1:10" ht="13.5" thickBot="1">
      <c r="A35" s="462">
        <v>2</v>
      </c>
      <c r="B35" s="463" t="s">
        <v>281</v>
      </c>
      <c r="C35" s="1631">
        <v>2018</v>
      </c>
      <c r="D35" s="499" t="s">
        <v>214</v>
      </c>
      <c r="E35" s="457">
        <v>23.110500000000002</v>
      </c>
      <c r="F35" s="457">
        <v>25.158000000000001</v>
      </c>
      <c r="G35" s="457">
        <v>25.577999999999999</v>
      </c>
      <c r="H35" s="169"/>
      <c r="I35" s="169"/>
      <c r="J35" s="169"/>
    </row>
    <row r="36" spans="1:10" ht="13.5" thickBot="1">
      <c r="A36" s="472">
        <v>3</v>
      </c>
      <c r="B36" s="473" t="s">
        <v>278</v>
      </c>
      <c r="C36" s="1631">
        <v>2018</v>
      </c>
      <c r="D36" s="502" t="s">
        <v>211</v>
      </c>
      <c r="E36" s="453">
        <v>9.2925000000000004</v>
      </c>
      <c r="F36" s="453">
        <v>10.111500000000001</v>
      </c>
      <c r="G36" s="453">
        <v>10.290000000000001</v>
      </c>
      <c r="H36" s="169"/>
      <c r="I36" s="169"/>
      <c r="J36" s="169"/>
    </row>
    <row r="37" spans="1:10" ht="13.5" thickBot="1">
      <c r="A37" s="468">
        <v>3</v>
      </c>
      <c r="B37" s="165" t="s">
        <v>278</v>
      </c>
      <c r="C37" s="1631">
        <v>2018</v>
      </c>
      <c r="D37" s="493" t="s">
        <v>212</v>
      </c>
      <c r="E37" s="455">
        <v>18.626999999999999</v>
      </c>
      <c r="F37" s="455">
        <v>20.265000000000001</v>
      </c>
      <c r="G37" s="455">
        <v>20.611499999999999</v>
      </c>
      <c r="H37" s="169"/>
      <c r="I37" s="169"/>
      <c r="J37" s="169"/>
    </row>
    <row r="38" spans="1:10" ht="13.5" thickBot="1">
      <c r="A38" s="468">
        <v>3</v>
      </c>
      <c r="B38" s="165" t="s">
        <v>278</v>
      </c>
      <c r="C38" s="1631">
        <v>2018</v>
      </c>
      <c r="D38" s="493" t="s">
        <v>213</v>
      </c>
      <c r="E38" s="455">
        <v>15.7605</v>
      </c>
      <c r="F38" s="455">
        <v>17.157</v>
      </c>
      <c r="G38" s="455">
        <v>17.451000000000001</v>
      </c>
      <c r="H38" s="169"/>
      <c r="I38" s="169"/>
      <c r="J38" s="169"/>
    </row>
    <row r="39" spans="1:10" ht="13.5" thickBot="1">
      <c r="A39" s="469">
        <v>3</v>
      </c>
      <c r="B39" s="470" t="s">
        <v>278</v>
      </c>
      <c r="C39" s="1631">
        <v>2018</v>
      </c>
      <c r="D39" s="503" t="s">
        <v>214</v>
      </c>
      <c r="E39" s="457">
        <v>25.998000000000001</v>
      </c>
      <c r="F39" s="457">
        <v>28.297499999999999</v>
      </c>
      <c r="G39" s="457">
        <v>28.77</v>
      </c>
      <c r="H39" s="169"/>
      <c r="I39" s="169"/>
      <c r="J39" s="169"/>
    </row>
    <row r="40" spans="1:10" ht="13.5" thickBot="1">
      <c r="A40" s="472">
        <v>3</v>
      </c>
      <c r="B40" s="473" t="s">
        <v>279</v>
      </c>
      <c r="C40" s="1631">
        <v>2018</v>
      </c>
      <c r="D40" s="502" t="s">
        <v>211</v>
      </c>
      <c r="E40" s="453">
        <v>9.2925000000000004</v>
      </c>
      <c r="F40" s="453">
        <v>10.111500000000001</v>
      </c>
      <c r="G40" s="453">
        <v>10.290000000000001</v>
      </c>
      <c r="H40" s="169"/>
      <c r="I40" s="169"/>
      <c r="J40" s="169"/>
    </row>
    <row r="41" spans="1:10" ht="13.5" thickBot="1">
      <c r="A41" s="468">
        <v>3</v>
      </c>
      <c r="B41" s="165" t="s">
        <v>279</v>
      </c>
      <c r="C41" s="1631">
        <v>2018</v>
      </c>
      <c r="D41" s="493" t="s">
        <v>212</v>
      </c>
      <c r="E41" s="455">
        <v>18.626999999999999</v>
      </c>
      <c r="F41" s="455">
        <v>20.265000000000001</v>
      </c>
      <c r="G41" s="455">
        <v>20.611499999999999</v>
      </c>
      <c r="H41" s="169"/>
      <c r="I41" s="169"/>
      <c r="J41" s="169"/>
    </row>
    <row r="42" spans="1:10" ht="13.5" thickBot="1">
      <c r="A42" s="468">
        <v>3</v>
      </c>
      <c r="B42" s="165" t="s">
        <v>279</v>
      </c>
      <c r="C42" s="1631">
        <v>2018</v>
      </c>
      <c r="D42" s="493" t="s">
        <v>213</v>
      </c>
      <c r="E42" s="455">
        <v>15.7605</v>
      </c>
      <c r="F42" s="455">
        <v>17.157</v>
      </c>
      <c r="G42" s="455">
        <v>17.451000000000001</v>
      </c>
      <c r="H42" s="169"/>
      <c r="I42" s="169"/>
      <c r="J42" s="169"/>
    </row>
    <row r="43" spans="1:10" ht="13.5" thickBot="1">
      <c r="A43" s="469">
        <v>3</v>
      </c>
      <c r="B43" s="470" t="s">
        <v>279</v>
      </c>
      <c r="C43" s="1631">
        <v>2018</v>
      </c>
      <c r="D43" s="503" t="s">
        <v>214</v>
      </c>
      <c r="E43" s="457">
        <v>25.998000000000001</v>
      </c>
      <c r="F43" s="457">
        <v>28.297499999999999</v>
      </c>
      <c r="G43" s="457">
        <v>28.77</v>
      </c>
      <c r="H43" s="169"/>
      <c r="I43" s="169"/>
      <c r="J43" s="169"/>
    </row>
    <row r="44" spans="1:10" ht="13.5" thickBot="1">
      <c r="A44" s="472">
        <v>3</v>
      </c>
      <c r="B44" s="473" t="s">
        <v>280</v>
      </c>
      <c r="C44" s="1631">
        <v>2018</v>
      </c>
      <c r="D44" s="502" t="s">
        <v>211</v>
      </c>
      <c r="E44" s="453">
        <v>9.2925000000000004</v>
      </c>
      <c r="F44" s="453">
        <v>10.111500000000001</v>
      </c>
      <c r="G44" s="453">
        <v>10.290000000000001</v>
      </c>
      <c r="H44" s="169"/>
      <c r="I44" s="169"/>
      <c r="J44" s="169"/>
    </row>
    <row r="45" spans="1:10" ht="13.5" thickBot="1">
      <c r="A45" s="468">
        <v>3</v>
      </c>
      <c r="B45" s="165" t="s">
        <v>280</v>
      </c>
      <c r="C45" s="1631">
        <v>2018</v>
      </c>
      <c r="D45" s="493" t="s">
        <v>212</v>
      </c>
      <c r="E45" s="455">
        <v>18.626999999999999</v>
      </c>
      <c r="F45" s="455">
        <v>20.265000000000001</v>
      </c>
      <c r="G45" s="455">
        <v>20.611499999999999</v>
      </c>
      <c r="H45" s="169"/>
      <c r="I45" s="169"/>
      <c r="J45" s="169"/>
    </row>
    <row r="46" spans="1:10" ht="13.5" thickBot="1">
      <c r="A46" s="468">
        <v>3</v>
      </c>
      <c r="B46" s="165" t="s">
        <v>280</v>
      </c>
      <c r="C46" s="1631">
        <v>2018</v>
      </c>
      <c r="D46" s="493" t="s">
        <v>213</v>
      </c>
      <c r="E46" s="455">
        <v>15.7605</v>
      </c>
      <c r="F46" s="455">
        <v>17.157</v>
      </c>
      <c r="G46" s="455">
        <v>17.451000000000001</v>
      </c>
      <c r="H46" s="169"/>
      <c r="I46" s="169"/>
      <c r="J46" s="169"/>
    </row>
    <row r="47" spans="1:10" ht="13.5" thickBot="1">
      <c r="A47" s="469">
        <v>3</v>
      </c>
      <c r="B47" s="470" t="s">
        <v>280</v>
      </c>
      <c r="C47" s="1631">
        <v>2018</v>
      </c>
      <c r="D47" s="503" t="s">
        <v>214</v>
      </c>
      <c r="E47" s="457">
        <v>25.998000000000001</v>
      </c>
      <c r="F47" s="457">
        <v>28.297499999999999</v>
      </c>
      <c r="G47" s="457">
        <v>28.77</v>
      </c>
      <c r="H47" s="169"/>
      <c r="I47" s="169"/>
      <c r="J47" s="169"/>
    </row>
    <row r="48" spans="1:10" ht="13.5" thickBot="1">
      <c r="A48" s="472">
        <v>3</v>
      </c>
      <c r="B48" s="473" t="s">
        <v>281</v>
      </c>
      <c r="C48" s="1631">
        <v>2018</v>
      </c>
      <c r="D48" s="502" t="s">
        <v>211</v>
      </c>
      <c r="E48" s="453">
        <v>8.2635000000000005</v>
      </c>
      <c r="F48" s="453">
        <v>8.9880000000000013</v>
      </c>
      <c r="G48" s="453">
        <v>9.145500000000002</v>
      </c>
      <c r="H48" s="169"/>
      <c r="I48" s="169"/>
      <c r="J48" s="169"/>
    </row>
    <row r="49" spans="1:10" ht="13.5" thickBot="1">
      <c r="A49" s="468">
        <v>3</v>
      </c>
      <c r="B49" s="165" t="s">
        <v>281</v>
      </c>
      <c r="C49" s="1631">
        <v>2018</v>
      </c>
      <c r="D49" s="493" t="s">
        <v>212</v>
      </c>
      <c r="E49" s="455">
        <v>16.558499999999999</v>
      </c>
      <c r="F49" s="455">
        <v>18.0075</v>
      </c>
      <c r="G49" s="455">
        <v>18.322500000000002</v>
      </c>
      <c r="H49" s="169"/>
      <c r="I49" s="169"/>
      <c r="J49" s="169"/>
    </row>
    <row r="50" spans="1:10" ht="13.5" thickBot="1">
      <c r="A50" s="468">
        <v>3</v>
      </c>
      <c r="B50" s="165" t="s">
        <v>281</v>
      </c>
      <c r="C50" s="1631">
        <v>2018</v>
      </c>
      <c r="D50" s="493" t="s">
        <v>213</v>
      </c>
      <c r="E50" s="455">
        <v>14.007</v>
      </c>
      <c r="F50" s="455">
        <v>15.256500000000001</v>
      </c>
      <c r="G50" s="455">
        <v>15.519</v>
      </c>
      <c r="H50" s="169"/>
      <c r="I50" s="169"/>
      <c r="J50" s="169"/>
    </row>
    <row r="51" spans="1:10" ht="13.5" thickBot="1">
      <c r="A51" s="469">
        <v>3</v>
      </c>
      <c r="B51" s="470" t="s">
        <v>281</v>
      </c>
      <c r="C51" s="1631">
        <v>2018</v>
      </c>
      <c r="D51" s="503" t="s">
        <v>214</v>
      </c>
      <c r="E51" s="457">
        <v>23.110500000000002</v>
      </c>
      <c r="F51" s="457">
        <v>25.158000000000001</v>
      </c>
      <c r="G51" s="457">
        <v>25.577999999999999</v>
      </c>
      <c r="H51" s="169"/>
      <c r="I51" s="169"/>
      <c r="J51" s="169"/>
    </row>
    <row r="52" spans="1:10" ht="13.5" thickBot="1">
      <c r="A52" s="479">
        <v>4</v>
      </c>
      <c r="B52" s="480" t="s">
        <v>278</v>
      </c>
      <c r="C52" s="1631">
        <v>2018</v>
      </c>
      <c r="D52" s="500" t="s">
        <v>211</v>
      </c>
      <c r="E52" s="453">
        <v>9.2925000000000004</v>
      </c>
      <c r="F52" s="453">
        <v>10.111500000000001</v>
      </c>
      <c r="G52" s="453">
        <v>10.290000000000001</v>
      </c>
      <c r="H52" s="169"/>
      <c r="I52" s="169"/>
      <c r="J52" s="169"/>
    </row>
    <row r="53" spans="1:10" ht="13.5" thickBot="1">
      <c r="A53" s="475">
        <v>4</v>
      </c>
      <c r="B53" s="167" t="s">
        <v>278</v>
      </c>
      <c r="C53" s="1631">
        <v>2018</v>
      </c>
      <c r="D53" s="494" t="s">
        <v>212</v>
      </c>
      <c r="E53" s="455">
        <v>18.626999999999999</v>
      </c>
      <c r="F53" s="455">
        <v>20.265000000000001</v>
      </c>
      <c r="G53" s="455">
        <v>20.611499999999999</v>
      </c>
      <c r="H53" s="169"/>
      <c r="I53" s="169"/>
      <c r="J53" s="169"/>
    </row>
    <row r="54" spans="1:10" ht="13.5" thickBot="1">
      <c r="A54" s="475">
        <v>4</v>
      </c>
      <c r="B54" s="167" t="s">
        <v>278</v>
      </c>
      <c r="C54" s="1631">
        <v>2018</v>
      </c>
      <c r="D54" s="494" t="s">
        <v>213</v>
      </c>
      <c r="E54" s="455">
        <v>15.7605</v>
      </c>
      <c r="F54" s="455">
        <v>17.157</v>
      </c>
      <c r="G54" s="455">
        <v>17.451000000000001</v>
      </c>
      <c r="H54" s="169"/>
      <c r="I54" s="169"/>
      <c r="J54" s="169"/>
    </row>
    <row r="55" spans="1:10" ht="13.5" thickBot="1">
      <c r="A55" s="476">
        <v>4</v>
      </c>
      <c r="B55" s="477" t="s">
        <v>278</v>
      </c>
      <c r="C55" s="1631">
        <v>2018</v>
      </c>
      <c r="D55" s="501" t="s">
        <v>214</v>
      </c>
      <c r="E55" s="457">
        <v>25.998000000000001</v>
      </c>
      <c r="F55" s="457">
        <v>28.297499999999999</v>
      </c>
      <c r="G55" s="457">
        <v>28.77</v>
      </c>
      <c r="H55" s="169"/>
      <c r="I55" s="169"/>
      <c r="J55" s="169"/>
    </row>
    <row r="56" spans="1:10" ht="13.5" thickBot="1">
      <c r="A56" s="479">
        <v>4</v>
      </c>
      <c r="B56" s="480" t="s">
        <v>279</v>
      </c>
      <c r="C56" s="1631">
        <v>2018</v>
      </c>
      <c r="D56" s="500" t="s">
        <v>211</v>
      </c>
      <c r="E56" s="453">
        <v>9.2925000000000004</v>
      </c>
      <c r="F56" s="453">
        <v>10.111500000000001</v>
      </c>
      <c r="G56" s="453">
        <v>10.290000000000001</v>
      </c>
      <c r="H56" s="169"/>
      <c r="I56" s="169"/>
      <c r="J56" s="169"/>
    </row>
    <row r="57" spans="1:10" ht="13.5" thickBot="1">
      <c r="A57" s="475">
        <v>4</v>
      </c>
      <c r="B57" s="167" t="s">
        <v>279</v>
      </c>
      <c r="C57" s="1631">
        <v>2018</v>
      </c>
      <c r="D57" s="494" t="s">
        <v>212</v>
      </c>
      <c r="E57" s="455">
        <v>18.626999999999999</v>
      </c>
      <c r="F57" s="455">
        <v>20.265000000000001</v>
      </c>
      <c r="G57" s="455">
        <v>20.611499999999999</v>
      </c>
      <c r="H57" s="169"/>
      <c r="I57" s="169"/>
      <c r="J57" s="169"/>
    </row>
    <row r="58" spans="1:10" ht="13.5" thickBot="1">
      <c r="A58" s="475">
        <v>4</v>
      </c>
      <c r="B58" s="167" t="s">
        <v>279</v>
      </c>
      <c r="C58" s="1631">
        <v>2018</v>
      </c>
      <c r="D58" s="494" t="s">
        <v>213</v>
      </c>
      <c r="E58" s="455">
        <v>15.7605</v>
      </c>
      <c r="F58" s="455">
        <v>17.157</v>
      </c>
      <c r="G58" s="455">
        <v>17.451000000000001</v>
      </c>
      <c r="H58" s="169"/>
      <c r="I58" s="169"/>
      <c r="J58" s="169"/>
    </row>
    <row r="59" spans="1:10" ht="13.5" thickBot="1">
      <c r="A59" s="476">
        <v>4</v>
      </c>
      <c r="B59" s="477" t="s">
        <v>279</v>
      </c>
      <c r="C59" s="1631">
        <v>2018</v>
      </c>
      <c r="D59" s="501" t="s">
        <v>214</v>
      </c>
      <c r="E59" s="457">
        <v>25.998000000000001</v>
      </c>
      <c r="F59" s="457">
        <v>28.297499999999999</v>
      </c>
      <c r="G59" s="457">
        <v>28.77</v>
      </c>
      <c r="H59" s="169"/>
      <c r="I59" s="169"/>
      <c r="J59" s="169"/>
    </row>
    <row r="60" spans="1:10" ht="13.5" thickBot="1">
      <c r="A60" s="479">
        <v>4</v>
      </c>
      <c r="B60" s="480" t="s">
        <v>280</v>
      </c>
      <c r="C60" s="1631">
        <v>2018</v>
      </c>
      <c r="D60" s="500" t="s">
        <v>211</v>
      </c>
      <c r="E60" s="453">
        <v>9.2925000000000004</v>
      </c>
      <c r="F60" s="453">
        <v>10.111500000000001</v>
      </c>
      <c r="G60" s="453">
        <v>10.290000000000001</v>
      </c>
      <c r="H60" s="169"/>
      <c r="I60" s="169"/>
      <c r="J60" s="169"/>
    </row>
    <row r="61" spans="1:10" ht="13.5" thickBot="1">
      <c r="A61" s="475">
        <v>4</v>
      </c>
      <c r="B61" s="167" t="s">
        <v>280</v>
      </c>
      <c r="C61" s="1631">
        <v>2018</v>
      </c>
      <c r="D61" s="494" t="s">
        <v>212</v>
      </c>
      <c r="E61" s="455">
        <v>18.626999999999999</v>
      </c>
      <c r="F61" s="455">
        <v>20.265000000000001</v>
      </c>
      <c r="G61" s="455">
        <v>20.611499999999999</v>
      </c>
      <c r="H61" s="169"/>
      <c r="I61" s="169"/>
      <c r="J61" s="169"/>
    </row>
    <row r="62" spans="1:10" ht="13.5" thickBot="1">
      <c r="A62" s="475">
        <v>4</v>
      </c>
      <c r="B62" s="167" t="s">
        <v>280</v>
      </c>
      <c r="C62" s="1631">
        <v>2018</v>
      </c>
      <c r="D62" s="494" t="s">
        <v>213</v>
      </c>
      <c r="E62" s="455">
        <v>15.7605</v>
      </c>
      <c r="F62" s="455">
        <v>17.157</v>
      </c>
      <c r="G62" s="455">
        <v>17.451000000000001</v>
      </c>
      <c r="H62" s="169"/>
      <c r="I62" s="169"/>
      <c r="J62" s="169"/>
    </row>
    <row r="63" spans="1:10" ht="13.5" thickBot="1">
      <c r="A63" s="476">
        <v>4</v>
      </c>
      <c r="B63" s="477" t="s">
        <v>280</v>
      </c>
      <c r="C63" s="1631">
        <v>2018</v>
      </c>
      <c r="D63" s="501" t="s">
        <v>214</v>
      </c>
      <c r="E63" s="457">
        <v>25.998000000000001</v>
      </c>
      <c r="F63" s="457">
        <v>28.297499999999999</v>
      </c>
      <c r="G63" s="457">
        <v>28.77</v>
      </c>
      <c r="H63" s="169"/>
      <c r="I63" s="169"/>
      <c r="J63" s="169"/>
    </row>
    <row r="64" spans="1:10" ht="13.5" thickBot="1">
      <c r="A64" s="479">
        <v>4</v>
      </c>
      <c r="B64" s="480" t="s">
        <v>281</v>
      </c>
      <c r="C64" s="1631">
        <v>2018</v>
      </c>
      <c r="D64" s="500" t="s">
        <v>211</v>
      </c>
      <c r="E64" s="453">
        <v>8.2635000000000005</v>
      </c>
      <c r="F64" s="453">
        <v>8.9880000000000013</v>
      </c>
      <c r="G64" s="453">
        <v>9.145500000000002</v>
      </c>
      <c r="H64" s="169"/>
      <c r="I64" s="169"/>
      <c r="J64" s="169"/>
    </row>
    <row r="65" spans="1:10" ht="13.5" thickBot="1">
      <c r="A65" s="475">
        <v>4</v>
      </c>
      <c r="B65" s="167" t="s">
        <v>281</v>
      </c>
      <c r="C65" s="1631">
        <v>2018</v>
      </c>
      <c r="D65" s="494" t="s">
        <v>212</v>
      </c>
      <c r="E65" s="455">
        <v>16.558499999999999</v>
      </c>
      <c r="F65" s="455">
        <v>18.0075</v>
      </c>
      <c r="G65" s="455">
        <v>18.322500000000002</v>
      </c>
      <c r="H65" s="169"/>
      <c r="I65" s="169"/>
      <c r="J65" s="169"/>
    </row>
    <row r="66" spans="1:10" ht="13.5" thickBot="1">
      <c r="A66" s="475">
        <v>4</v>
      </c>
      <c r="B66" s="167" t="s">
        <v>281</v>
      </c>
      <c r="C66" s="1631">
        <v>2018</v>
      </c>
      <c r="D66" s="494" t="s">
        <v>213</v>
      </c>
      <c r="E66" s="455">
        <v>14.007</v>
      </c>
      <c r="F66" s="455">
        <v>15.256500000000001</v>
      </c>
      <c r="G66" s="455">
        <v>15.519</v>
      </c>
      <c r="H66" s="169"/>
      <c r="I66" s="169"/>
      <c r="J66" s="169"/>
    </row>
    <row r="67" spans="1:10" ht="13.5" thickBot="1">
      <c r="A67" s="476">
        <v>4</v>
      </c>
      <c r="B67" s="477" t="s">
        <v>281</v>
      </c>
      <c r="C67" s="1631">
        <v>2018</v>
      </c>
      <c r="D67" s="501" t="s">
        <v>214</v>
      </c>
      <c r="E67" s="457">
        <v>23.110500000000002</v>
      </c>
      <c r="F67" s="457">
        <v>25.158000000000001</v>
      </c>
      <c r="G67" s="457">
        <v>25.577999999999999</v>
      </c>
      <c r="H67" s="169"/>
      <c r="I67" s="169"/>
      <c r="J67" s="169"/>
    </row>
    <row r="68" spans="1:10" ht="13.5" thickBot="1">
      <c r="A68" s="482">
        <v>5</v>
      </c>
      <c r="B68" s="483" t="s">
        <v>278</v>
      </c>
      <c r="C68" s="1631">
        <v>2018</v>
      </c>
      <c r="D68" s="504" t="s">
        <v>211</v>
      </c>
      <c r="E68" s="453">
        <v>9.2925000000000004</v>
      </c>
      <c r="F68" s="453">
        <v>10.111500000000001</v>
      </c>
      <c r="G68" s="453">
        <v>10.290000000000001</v>
      </c>
      <c r="H68" s="169"/>
      <c r="I68" s="169"/>
      <c r="J68" s="169"/>
    </row>
    <row r="69" spans="1:10" ht="13.5" thickBot="1">
      <c r="A69" s="485">
        <v>5</v>
      </c>
      <c r="B69" s="486" t="s">
        <v>278</v>
      </c>
      <c r="C69" s="1631">
        <v>2018</v>
      </c>
      <c r="D69" s="505" t="s">
        <v>212</v>
      </c>
      <c r="E69" s="455">
        <v>18.626999999999999</v>
      </c>
      <c r="F69" s="455">
        <v>20.265000000000001</v>
      </c>
      <c r="G69" s="455">
        <v>20.611499999999999</v>
      </c>
      <c r="H69" s="169"/>
      <c r="I69" s="169"/>
      <c r="J69" s="169"/>
    </row>
    <row r="70" spans="1:10" ht="13.5" thickBot="1">
      <c r="A70" s="485">
        <v>5</v>
      </c>
      <c r="B70" s="486" t="s">
        <v>278</v>
      </c>
      <c r="C70" s="1631">
        <v>2018</v>
      </c>
      <c r="D70" s="505" t="s">
        <v>213</v>
      </c>
      <c r="E70" s="455">
        <v>15.7605</v>
      </c>
      <c r="F70" s="455">
        <v>17.157</v>
      </c>
      <c r="G70" s="455">
        <v>17.451000000000001</v>
      </c>
      <c r="H70" s="169"/>
      <c r="I70" s="169"/>
      <c r="J70" s="169"/>
    </row>
    <row r="71" spans="1:10" ht="13.5" thickBot="1">
      <c r="A71" s="488">
        <v>5</v>
      </c>
      <c r="B71" s="489" t="s">
        <v>278</v>
      </c>
      <c r="C71" s="1631">
        <v>2018</v>
      </c>
      <c r="D71" s="506" t="s">
        <v>214</v>
      </c>
      <c r="E71" s="457">
        <v>25.998000000000001</v>
      </c>
      <c r="F71" s="457">
        <v>28.297499999999999</v>
      </c>
      <c r="G71" s="457">
        <v>28.77</v>
      </c>
      <c r="H71" s="169"/>
      <c r="I71" s="169"/>
      <c r="J71" s="169"/>
    </row>
    <row r="72" spans="1:10" ht="13.5" thickBot="1">
      <c r="A72" s="482">
        <v>5</v>
      </c>
      <c r="B72" s="483" t="s">
        <v>279</v>
      </c>
      <c r="C72" s="1631">
        <v>2018</v>
      </c>
      <c r="D72" s="504" t="s">
        <v>211</v>
      </c>
      <c r="E72" s="453">
        <v>9.2925000000000004</v>
      </c>
      <c r="F72" s="453">
        <v>10.111500000000001</v>
      </c>
      <c r="G72" s="453">
        <v>10.290000000000001</v>
      </c>
      <c r="H72" s="169"/>
      <c r="I72" s="169"/>
      <c r="J72" s="169"/>
    </row>
    <row r="73" spans="1:10" ht="13.5" thickBot="1">
      <c r="A73" s="485">
        <v>5</v>
      </c>
      <c r="B73" s="486" t="s">
        <v>279</v>
      </c>
      <c r="C73" s="1631">
        <v>2018</v>
      </c>
      <c r="D73" s="505" t="s">
        <v>212</v>
      </c>
      <c r="E73" s="455">
        <v>18.626999999999999</v>
      </c>
      <c r="F73" s="455">
        <v>20.265000000000001</v>
      </c>
      <c r="G73" s="455">
        <v>20.611499999999999</v>
      </c>
      <c r="H73" s="169"/>
      <c r="I73" s="169"/>
      <c r="J73" s="169"/>
    </row>
    <row r="74" spans="1:10" ht="13.5" thickBot="1">
      <c r="A74" s="485">
        <v>5</v>
      </c>
      <c r="B74" s="486" t="s">
        <v>279</v>
      </c>
      <c r="C74" s="1631">
        <v>2018</v>
      </c>
      <c r="D74" s="505" t="s">
        <v>213</v>
      </c>
      <c r="E74" s="455">
        <v>15.7605</v>
      </c>
      <c r="F74" s="455">
        <v>17.157</v>
      </c>
      <c r="G74" s="455">
        <v>17.451000000000001</v>
      </c>
      <c r="H74" s="169"/>
      <c r="I74" s="169"/>
      <c r="J74" s="169"/>
    </row>
    <row r="75" spans="1:10" ht="13.5" thickBot="1">
      <c r="A75" s="488">
        <v>5</v>
      </c>
      <c r="B75" s="489" t="s">
        <v>279</v>
      </c>
      <c r="C75" s="1631">
        <v>2018</v>
      </c>
      <c r="D75" s="506" t="s">
        <v>214</v>
      </c>
      <c r="E75" s="457">
        <v>25.998000000000001</v>
      </c>
      <c r="F75" s="457">
        <v>28.297499999999999</v>
      </c>
      <c r="G75" s="457">
        <v>28.77</v>
      </c>
      <c r="H75" s="169"/>
      <c r="I75" s="169"/>
      <c r="J75" s="169"/>
    </row>
    <row r="76" spans="1:10" ht="13.5" thickBot="1">
      <c r="A76" s="482">
        <v>5</v>
      </c>
      <c r="B76" s="483" t="s">
        <v>280</v>
      </c>
      <c r="C76" s="1631">
        <v>2018</v>
      </c>
      <c r="D76" s="504" t="s">
        <v>211</v>
      </c>
      <c r="E76" s="453">
        <v>9.2925000000000004</v>
      </c>
      <c r="F76" s="453">
        <v>10.111500000000001</v>
      </c>
      <c r="G76" s="453">
        <v>10.290000000000001</v>
      </c>
      <c r="H76" s="169"/>
      <c r="I76" s="169"/>
      <c r="J76" s="169"/>
    </row>
    <row r="77" spans="1:10" ht="13.5" thickBot="1">
      <c r="A77" s="485">
        <v>5</v>
      </c>
      <c r="B77" s="486" t="s">
        <v>280</v>
      </c>
      <c r="C77" s="1631">
        <v>2018</v>
      </c>
      <c r="D77" s="505" t="s">
        <v>212</v>
      </c>
      <c r="E77" s="455">
        <v>18.626999999999999</v>
      </c>
      <c r="F77" s="455">
        <v>20.265000000000001</v>
      </c>
      <c r="G77" s="455">
        <v>20.611499999999999</v>
      </c>
      <c r="H77" s="169"/>
      <c r="I77" s="169"/>
      <c r="J77" s="169"/>
    </row>
    <row r="78" spans="1:10" ht="13.5" thickBot="1">
      <c r="A78" s="485">
        <v>5</v>
      </c>
      <c r="B78" s="486" t="s">
        <v>280</v>
      </c>
      <c r="C78" s="1631">
        <v>2018</v>
      </c>
      <c r="D78" s="505" t="s">
        <v>213</v>
      </c>
      <c r="E78" s="455">
        <v>15.7605</v>
      </c>
      <c r="F78" s="455">
        <v>17.157</v>
      </c>
      <c r="G78" s="455">
        <v>17.451000000000001</v>
      </c>
      <c r="H78" s="169"/>
      <c r="I78" s="169"/>
      <c r="J78" s="169"/>
    </row>
    <row r="79" spans="1:10" ht="13.5" thickBot="1">
      <c r="A79" s="488">
        <v>5</v>
      </c>
      <c r="B79" s="489" t="s">
        <v>280</v>
      </c>
      <c r="C79" s="1631">
        <v>2018</v>
      </c>
      <c r="D79" s="506" t="s">
        <v>214</v>
      </c>
      <c r="E79" s="457">
        <v>25.998000000000001</v>
      </c>
      <c r="F79" s="457">
        <v>28.297499999999999</v>
      </c>
      <c r="G79" s="457">
        <v>28.77</v>
      </c>
      <c r="H79" s="169"/>
      <c r="I79" s="169"/>
      <c r="J79" s="169"/>
    </row>
    <row r="80" spans="1:10" ht="13.5" thickBot="1">
      <c r="A80" s="482">
        <v>5</v>
      </c>
      <c r="B80" s="483" t="s">
        <v>281</v>
      </c>
      <c r="C80" s="1631">
        <v>2018</v>
      </c>
      <c r="D80" s="504" t="s">
        <v>211</v>
      </c>
      <c r="E80" s="453">
        <v>8.2635000000000005</v>
      </c>
      <c r="F80" s="453">
        <v>8.9880000000000013</v>
      </c>
      <c r="G80" s="453">
        <v>9.145500000000002</v>
      </c>
      <c r="H80" s="169"/>
      <c r="I80" s="169"/>
      <c r="J80" s="169"/>
    </row>
    <row r="81" spans="1:10" ht="13.5" thickBot="1">
      <c r="A81" s="485">
        <v>5</v>
      </c>
      <c r="B81" s="486" t="s">
        <v>281</v>
      </c>
      <c r="C81" s="1631">
        <v>2018</v>
      </c>
      <c r="D81" s="505" t="s">
        <v>212</v>
      </c>
      <c r="E81" s="455">
        <v>16.558499999999999</v>
      </c>
      <c r="F81" s="455">
        <v>18.0075</v>
      </c>
      <c r="G81" s="455">
        <v>18.322500000000002</v>
      </c>
      <c r="H81" s="169"/>
      <c r="I81" s="169"/>
      <c r="J81" s="169"/>
    </row>
    <row r="82" spans="1:10" ht="13.5" thickBot="1">
      <c r="A82" s="485">
        <v>5</v>
      </c>
      <c r="B82" s="486" t="s">
        <v>281</v>
      </c>
      <c r="C82" s="1631">
        <v>2018</v>
      </c>
      <c r="D82" s="505" t="s">
        <v>213</v>
      </c>
      <c r="E82" s="455">
        <v>14.007</v>
      </c>
      <c r="F82" s="455">
        <v>15.256500000000001</v>
      </c>
      <c r="G82" s="455">
        <v>15.519</v>
      </c>
      <c r="H82" s="169"/>
      <c r="I82" s="169"/>
      <c r="J82" s="169"/>
    </row>
    <row r="83" spans="1:10" ht="13.5" thickBot="1">
      <c r="A83" s="488">
        <v>5</v>
      </c>
      <c r="B83" s="489" t="s">
        <v>281</v>
      </c>
      <c r="C83" s="1631">
        <v>2018</v>
      </c>
      <c r="D83" s="506" t="s">
        <v>214</v>
      </c>
      <c r="E83" s="457">
        <v>23.110500000000002</v>
      </c>
      <c r="F83" s="457">
        <v>25.158000000000001</v>
      </c>
      <c r="G83" s="457">
        <v>25.577999999999999</v>
      </c>
      <c r="H83" s="169"/>
      <c r="I83" s="169"/>
      <c r="J83" s="169"/>
    </row>
  </sheetData>
  <mergeCells count="1">
    <mergeCell ref="A1:G1"/>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AE2C64-19A6-4D3A-AA1F-74A180B7251F}">
  <sheetPr>
    <tabColor theme="6"/>
  </sheetPr>
  <dimension ref="A1:E20"/>
  <sheetViews>
    <sheetView workbookViewId="0">
      <pane ySplit="1" topLeftCell="A2" activePane="bottomLeft" state="frozen"/>
      <selection activeCell="H14" sqref="H14"/>
      <selection pane="bottomLeft" activeCell="E13" sqref="E13"/>
    </sheetView>
  </sheetViews>
  <sheetFormatPr defaultColWidth="9" defaultRowHeight="15"/>
  <cols>
    <col min="1" max="1" width="5.875" style="141" customWidth="1"/>
    <col min="2" max="2" width="9.625" style="93" customWidth="1"/>
    <col min="3" max="3" width="20.125" style="93" customWidth="1"/>
    <col min="4" max="4" width="19" style="93" customWidth="1"/>
    <col min="5" max="5" width="10.625" style="142" customWidth="1"/>
    <col min="6" max="16384" width="9" style="93"/>
  </cols>
  <sheetData>
    <row r="1" spans="1:5" s="92" customFormat="1" ht="34.5" customHeight="1" thickBot="1">
      <c r="A1" s="89" t="s">
        <v>283</v>
      </c>
      <c r="B1" s="90" t="s">
        <v>284</v>
      </c>
      <c r="C1" s="90" t="s">
        <v>184</v>
      </c>
      <c r="D1" s="90" t="s">
        <v>285</v>
      </c>
      <c r="E1" s="91" t="s">
        <v>286</v>
      </c>
    </row>
    <row r="2" spans="1:5">
      <c r="A2" s="98">
        <v>2018</v>
      </c>
      <c r="B2" s="99" t="s">
        <v>185</v>
      </c>
      <c r="C2" s="100" t="s">
        <v>6209</v>
      </c>
      <c r="D2" s="101" t="s">
        <v>183</v>
      </c>
      <c r="E2" s="102">
        <v>9.4500000000000001E-2</v>
      </c>
    </row>
    <row r="3" spans="1:5">
      <c r="A3" s="103">
        <v>2018</v>
      </c>
      <c r="B3" s="94" t="s">
        <v>185</v>
      </c>
      <c r="C3" s="95" t="s">
        <v>6206</v>
      </c>
      <c r="D3" s="96" t="s">
        <v>183</v>
      </c>
      <c r="E3" s="97">
        <v>9.870000000000001E-2</v>
      </c>
    </row>
    <row r="4" spans="1:5">
      <c r="A4" s="103">
        <v>2018</v>
      </c>
      <c r="B4" s="94" t="s">
        <v>185</v>
      </c>
      <c r="C4" s="95" t="s">
        <v>6207</v>
      </c>
      <c r="D4" s="96" t="s">
        <v>183</v>
      </c>
      <c r="E4" s="97">
        <v>9.5549999999999996E-2</v>
      </c>
    </row>
    <row r="5" spans="1:5" ht="15.75" thickBot="1">
      <c r="A5" s="104">
        <v>2018</v>
      </c>
      <c r="B5" s="105" t="s">
        <v>185</v>
      </c>
      <c r="C5" s="106" t="s">
        <v>6208</v>
      </c>
      <c r="D5" s="107" t="s">
        <v>183</v>
      </c>
      <c r="E5" s="108">
        <v>9.4500000000000001E-2</v>
      </c>
    </row>
    <row r="6" spans="1:5">
      <c r="A6" s="98">
        <v>2018</v>
      </c>
      <c r="B6" s="113" t="s">
        <v>186</v>
      </c>
      <c r="C6" s="114" t="s">
        <v>6209</v>
      </c>
      <c r="D6" s="115" t="s">
        <v>183</v>
      </c>
      <c r="E6" s="116">
        <v>2.4150000000000001E-2</v>
      </c>
    </row>
    <row r="7" spans="1:5">
      <c r="A7" s="103">
        <v>2018</v>
      </c>
      <c r="B7" s="109" t="s">
        <v>186</v>
      </c>
      <c r="C7" s="110" t="s">
        <v>6206</v>
      </c>
      <c r="D7" s="111" t="s">
        <v>183</v>
      </c>
      <c r="E7" s="112">
        <v>2.1000000000000001E-2</v>
      </c>
    </row>
    <row r="8" spans="1:5">
      <c r="A8" s="103">
        <v>2018</v>
      </c>
      <c r="B8" s="109" t="s">
        <v>186</v>
      </c>
      <c r="C8" s="110" t="s">
        <v>6207</v>
      </c>
      <c r="D8" s="111" t="s">
        <v>183</v>
      </c>
      <c r="E8" s="112">
        <v>2.1000000000000001E-2</v>
      </c>
    </row>
    <row r="9" spans="1:5" ht="15.75" thickBot="1">
      <c r="A9" s="104">
        <v>2018</v>
      </c>
      <c r="B9" s="117" t="s">
        <v>186</v>
      </c>
      <c r="C9" s="118" t="s">
        <v>6208</v>
      </c>
      <c r="D9" s="119" t="s">
        <v>183</v>
      </c>
      <c r="E9" s="120">
        <v>2.1000000000000001E-2</v>
      </c>
    </row>
    <row r="10" spans="1:5">
      <c r="A10" s="98">
        <v>2018</v>
      </c>
      <c r="B10" s="124" t="s">
        <v>62</v>
      </c>
      <c r="C10" s="125" t="s">
        <v>6216</v>
      </c>
      <c r="D10" s="126" t="s">
        <v>187</v>
      </c>
      <c r="E10" s="127">
        <v>9.870000000000001E-2</v>
      </c>
    </row>
    <row r="11" spans="1:5">
      <c r="A11" s="103">
        <v>2018</v>
      </c>
      <c r="B11" s="128" t="s">
        <v>62</v>
      </c>
      <c r="C11" s="121" t="s">
        <v>6217</v>
      </c>
      <c r="D11" s="122" t="s">
        <v>187</v>
      </c>
      <c r="E11" s="123">
        <v>0.1008</v>
      </c>
    </row>
    <row r="12" spans="1:5">
      <c r="A12" s="103">
        <v>2018</v>
      </c>
      <c r="B12" s="128" t="s">
        <v>62</v>
      </c>
      <c r="C12" s="121" t="s">
        <v>6218</v>
      </c>
      <c r="D12" s="122" t="s">
        <v>187</v>
      </c>
      <c r="E12" s="123">
        <v>0.12495000000000001</v>
      </c>
    </row>
    <row r="13" spans="1:5">
      <c r="A13" s="103">
        <v>2018</v>
      </c>
      <c r="B13" s="128" t="s">
        <v>62</v>
      </c>
      <c r="C13" s="121" t="s">
        <v>6219</v>
      </c>
      <c r="D13" s="122" t="s">
        <v>187</v>
      </c>
      <c r="E13" s="123">
        <v>0.10185000000000001</v>
      </c>
    </row>
    <row r="14" spans="1:5" ht="15.75" thickBot="1">
      <c r="A14" s="103">
        <v>2018</v>
      </c>
      <c r="B14" s="128" t="s">
        <v>62</v>
      </c>
      <c r="C14" s="121" t="s">
        <v>6220</v>
      </c>
      <c r="D14" s="122" t="s">
        <v>187</v>
      </c>
      <c r="E14" s="123">
        <v>0.126</v>
      </c>
    </row>
    <row r="15" spans="1:5">
      <c r="A15" s="98">
        <v>2018</v>
      </c>
      <c r="B15" s="133" t="s">
        <v>67</v>
      </c>
      <c r="C15" s="134" t="s">
        <v>6210</v>
      </c>
      <c r="D15" s="135" t="s">
        <v>188</v>
      </c>
      <c r="E15" s="136">
        <v>0.26250000000000001</v>
      </c>
    </row>
    <row r="16" spans="1:5">
      <c r="A16" s="103">
        <v>2018</v>
      </c>
      <c r="B16" s="129" t="s">
        <v>67</v>
      </c>
      <c r="C16" s="130" t="s">
        <v>6211</v>
      </c>
      <c r="D16" s="131" t="s">
        <v>188</v>
      </c>
      <c r="E16" s="132">
        <v>0.27300000000000002</v>
      </c>
    </row>
    <row r="17" spans="1:5">
      <c r="A17" s="103">
        <v>2018</v>
      </c>
      <c r="B17" s="129" t="s">
        <v>67</v>
      </c>
      <c r="C17" s="130" t="s">
        <v>6212</v>
      </c>
      <c r="D17" s="131" t="s">
        <v>188</v>
      </c>
      <c r="E17" s="132">
        <v>0.36749999999999999</v>
      </c>
    </row>
    <row r="18" spans="1:5">
      <c r="A18" s="103">
        <v>2018</v>
      </c>
      <c r="B18" s="129" t="s">
        <v>67</v>
      </c>
      <c r="C18" s="130" t="s">
        <v>6213</v>
      </c>
      <c r="D18" s="131" t="s">
        <v>188</v>
      </c>
      <c r="E18" s="132">
        <v>0.32550000000000001</v>
      </c>
    </row>
    <row r="19" spans="1:5">
      <c r="A19" s="103">
        <v>2018</v>
      </c>
      <c r="B19" s="129" t="s">
        <v>67</v>
      </c>
      <c r="C19" s="130" t="s">
        <v>6214</v>
      </c>
      <c r="D19" s="131" t="s">
        <v>188</v>
      </c>
      <c r="E19" s="132">
        <v>0.34650000000000003</v>
      </c>
    </row>
    <row r="20" spans="1:5" ht="15.75" thickBot="1">
      <c r="A20" s="104">
        <v>2018</v>
      </c>
      <c r="B20" s="137" t="s">
        <v>67</v>
      </c>
      <c r="C20" s="138" t="s">
        <v>6215</v>
      </c>
      <c r="D20" s="139" t="s">
        <v>188</v>
      </c>
      <c r="E20" s="140">
        <v>0.378</v>
      </c>
    </row>
  </sheetData>
  <autoFilter ref="A1:E20" xr:uid="{00000000-0009-0000-0000-00000B000000}"/>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6"/>
  </sheetPr>
  <dimension ref="A1:B68"/>
  <sheetViews>
    <sheetView workbookViewId="0">
      <selection activeCell="B3" sqref="B3"/>
    </sheetView>
  </sheetViews>
  <sheetFormatPr defaultColWidth="9" defaultRowHeight="12.75"/>
  <cols>
    <col min="1" max="1" width="12.375" style="46" customWidth="1"/>
    <col min="2" max="2" width="25.875" style="46" customWidth="1"/>
    <col min="3" max="16384" width="9" style="40"/>
  </cols>
  <sheetData>
    <row r="1" spans="1:2" ht="41.25" customHeight="1">
      <c r="A1" s="1621"/>
      <c r="B1" s="1620" t="s">
        <v>6221</v>
      </c>
    </row>
    <row r="2" spans="1:2" ht="30" customHeight="1">
      <c r="A2" s="41" t="s">
        <v>189</v>
      </c>
      <c r="B2" s="42" t="s">
        <v>190</v>
      </c>
    </row>
    <row r="3" spans="1:2" s="45" customFormat="1">
      <c r="A3" s="43" t="s">
        <v>191</v>
      </c>
      <c r="B3" s="44">
        <v>0.05</v>
      </c>
    </row>
    <row r="4" spans="1:2" s="45" customFormat="1">
      <c r="A4" s="43" t="s">
        <v>192</v>
      </c>
      <c r="B4" s="44">
        <v>0.05</v>
      </c>
    </row>
    <row r="5" spans="1:2" s="45" customFormat="1">
      <c r="A5" s="43" t="s">
        <v>193</v>
      </c>
      <c r="B5" s="44">
        <v>0.06</v>
      </c>
    </row>
    <row r="6" spans="1:2" s="45" customFormat="1">
      <c r="A6" s="43" t="s">
        <v>194</v>
      </c>
      <c r="B6" s="44">
        <v>7.0000000000000007E-2</v>
      </c>
    </row>
    <row r="7" spans="1:2" s="45" customFormat="1">
      <c r="A7" s="43" t="s">
        <v>195</v>
      </c>
      <c r="B7" s="44">
        <v>0.09</v>
      </c>
    </row>
    <row r="8" spans="1:2" s="45" customFormat="1">
      <c r="A8" s="43" t="s">
        <v>196</v>
      </c>
      <c r="B8" s="44">
        <v>0.14000000000000001</v>
      </c>
    </row>
    <row r="9" spans="1:2" s="45" customFormat="1">
      <c r="A9" s="43" t="s">
        <v>197</v>
      </c>
      <c r="B9" s="44">
        <v>0.22</v>
      </c>
    </row>
    <row r="10" spans="1:2" s="45" customFormat="1">
      <c r="A10" s="43" t="s">
        <v>198</v>
      </c>
      <c r="B10" s="44">
        <v>0.35</v>
      </c>
    </row>
    <row r="11" spans="1:2" s="45" customFormat="1">
      <c r="A11" s="43" t="s">
        <v>199</v>
      </c>
      <c r="B11" s="44">
        <v>0.53</v>
      </c>
    </row>
    <row r="12" spans="1:2" s="45" customFormat="1">
      <c r="A12" s="43" t="s">
        <v>200</v>
      </c>
      <c r="B12" s="44">
        <v>0.9</v>
      </c>
    </row>
    <row r="13" spans="1:2" s="45" customFormat="1">
      <c r="A13" s="43" t="s">
        <v>201</v>
      </c>
      <c r="B13" s="44">
        <v>1.71</v>
      </c>
    </row>
    <row r="14" spans="1:2" s="45" customFormat="1">
      <c r="A14" s="43" t="s">
        <v>202</v>
      </c>
      <c r="B14" s="44">
        <v>2.06</v>
      </c>
    </row>
    <row r="15" spans="1:2" s="45" customFormat="1">
      <c r="A15" s="43" t="s">
        <v>203</v>
      </c>
      <c r="B15" s="44">
        <v>2.06</v>
      </c>
    </row>
    <row r="16" spans="1:2" s="45" customFormat="1">
      <c r="A16" s="43" t="s">
        <v>204</v>
      </c>
      <c r="B16" s="44">
        <v>2.06</v>
      </c>
    </row>
    <row r="17" spans="1:2" s="45" customFormat="1">
      <c r="A17" s="43" t="s">
        <v>205</v>
      </c>
      <c r="B17" s="44">
        <v>2.06</v>
      </c>
    </row>
    <row r="18" spans="1:2" s="45" customFormat="1">
      <c r="A18" s="43" t="s">
        <v>206</v>
      </c>
      <c r="B18" s="44">
        <v>2.06</v>
      </c>
    </row>
    <row r="19" spans="1:2" s="45" customFormat="1">
      <c r="A19" s="46"/>
      <c r="B19" s="47"/>
    </row>
    <row r="20" spans="1:2" s="45" customFormat="1" ht="25.5">
      <c r="A20" s="43" t="s">
        <v>207</v>
      </c>
      <c r="B20" s="48">
        <v>2.7E-2</v>
      </c>
    </row>
    <row r="21" spans="1:2" s="45" customFormat="1">
      <c r="A21" s="46"/>
      <c r="B21" s="47"/>
    </row>
    <row r="22" spans="1:2" s="45" customFormat="1">
      <c r="A22" s="43" t="s">
        <v>208</v>
      </c>
      <c r="B22" s="44">
        <v>0.2</v>
      </c>
    </row>
    <row r="23" spans="1:2" s="45" customFormat="1">
      <c r="A23" s="43" t="s">
        <v>209</v>
      </c>
      <c r="B23" s="44">
        <v>3.2000000000000001E-2</v>
      </c>
    </row>
    <row r="24" spans="1:2" s="45" customFormat="1">
      <c r="A24" s="46"/>
      <c r="B24" s="47"/>
    </row>
    <row r="25" spans="1:2" s="45" customFormat="1">
      <c r="A25" s="46"/>
      <c r="B25" s="47"/>
    </row>
    <row r="26" spans="1:2" s="45" customFormat="1">
      <c r="A26" s="46"/>
      <c r="B26" s="47"/>
    </row>
    <row r="27" spans="1:2" s="45" customFormat="1">
      <c r="A27" s="46"/>
      <c r="B27" s="47"/>
    </row>
    <row r="28" spans="1:2" s="45" customFormat="1">
      <c r="A28" s="46"/>
      <c r="B28" s="47"/>
    </row>
    <row r="29" spans="1:2" s="45" customFormat="1">
      <c r="A29" s="46"/>
      <c r="B29" s="47"/>
    </row>
    <row r="30" spans="1:2" s="45" customFormat="1">
      <c r="A30" s="46"/>
      <c r="B30" s="47"/>
    </row>
    <row r="31" spans="1:2" s="45" customFormat="1">
      <c r="A31" s="46"/>
      <c r="B31" s="47"/>
    </row>
    <row r="32" spans="1:2" s="45" customFormat="1">
      <c r="A32" s="46"/>
      <c r="B32" s="47"/>
    </row>
    <row r="33" spans="1:2" s="45" customFormat="1">
      <c r="A33" s="40"/>
      <c r="B33" s="40"/>
    </row>
    <row r="34" spans="1:2" s="45" customFormat="1">
      <c r="A34" s="40"/>
      <c r="B34" s="40"/>
    </row>
    <row r="35" spans="1:2" s="45" customFormat="1">
      <c r="A35" s="40"/>
      <c r="B35" s="40"/>
    </row>
    <row r="36" spans="1:2" s="45" customFormat="1">
      <c r="A36" s="40"/>
      <c r="B36" s="40"/>
    </row>
    <row r="37" spans="1:2" s="45" customFormat="1">
      <c r="A37" s="40"/>
      <c r="B37" s="40"/>
    </row>
    <row r="38" spans="1:2" s="45" customFormat="1">
      <c r="A38" s="40"/>
      <c r="B38" s="40"/>
    </row>
    <row r="39" spans="1:2" s="45" customFormat="1">
      <c r="A39" s="40"/>
      <c r="B39" s="40"/>
    </row>
    <row r="40" spans="1:2" s="45" customFormat="1">
      <c r="A40" s="40"/>
      <c r="B40" s="40"/>
    </row>
    <row r="41" spans="1:2" s="45" customFormat="1">
      <c r="A41" s="40"/>
      <c r="B41" s="40"/>
    </row>
    <row r="42" spans="1:2" s="45" customFormat="1">
      <c r="A42" s="40"/>
      <c r="B42" s="40"/>
    </row>
    <row r="43" spans="1:2" s="45" customFormat="1">
      <c r="A43" s="40"/>
      <c r="B43" s="40"/>
    </row>
    <row r="44" spans="1:2" s="45" customFormat="1">
      <c r="A44" s="40"/>
      <c r="B44" s="40"/>
    </row>
    <row r="45" spans="1:2" s="45" customFormat="1">
      <c r="A45" s="40"/>
      <c r="B45" s="40"/>
    </row>
    <row r="46" spans="1:2" s="45" customFormat="1">
      <c r="A46" s="40"/>
      <c r="B46" s="40"/>
    </row>
    <row r="47" spans="1:2" s="45" customFormat="1">
      <c r="A47" s="40"/>
      <c r="B47" s="40"/>
    </row>
    <row r="48" spans="1:2" s="45" customFormat="1">
      <c r="A48" s="40"/>
      <c r="B48" s="40"/>
    </row>
    <row r="49" spans="1:2">
      <c r="A49" s="40"/>
      <c r="B49" s="40"/>
    </row>
    <row r="50" spans="1:2" s="46" customFormat="1">
      <c r="A50" s="40"/>
      <c r="B50" s="40"/>
    </row>
    <row r="51" spans="1:2">
      <c r="A51" s="40"/>
      <c r="B51" s="40"/>
    </row>
    <row r="52" spans="1:2">
      <c r="A52" s="40"/>
      <c r="B52" s="40"/>
    </row>
    <row r="53" spans="1:2">
      <c r="A53" s="40"/>
      <c r="B53" s="40"/>
    </row>
    <row r="54" spans="1:2">
      <c r="A54" s="40"/>
      <c r="B54" s="40"/>
    </row>
    <row r="55" spans="1:2">
      <c r="A55" s="40"/>
      <c r="B55" s="40"/>
    </row>
    <row r="56" spans="1:2">
      <c r="A56" s="40"/>
      <c r="B56" s="40"/>
    </row>
    <row r="57" spans="1:2">
      <c r="A57" s="40"/>
      <c r="B57" s="40"/>
    </row>
    <row r="58" spans="1:2">
      <c r="A58" s="40"/>
      <c r="B58" s="40"/>
    </row>
    <row r="59" spans="1:2">
      <c r="A59" s="40"/>
      <c r="B59" s="40"/>
    </row>
    <row r="60" spans="1:2">
      <c r="A60" s="40"/>
      <c r="B60" s="40"/>
    </row>
    <row r="61" spans="1:2">
      <c r="A61" s="40"/>
      <c r="B61" s="40"/>
    </row>
    <row r="62" spans="1:2">
      <c r="A62" s="40"/>
      <c r="B62" s="40"/>
    </row>
    <row r="63" spans="1:2">
      <c r="A63" s="40"/>
      <c r="B63" s="40"/>
    </row>
    <row r="64" spans="1:2">
      <c r="A64" s="40"/>
      <c r="B64" s="40"/>
    </row>
    <row r="65" spans="1:2">
      <c r="A65" s="40"/>
      <c r="B65" s="40"/>
    </row>
    <row r="66" spans="1:2">
      <c r="A66" s="40"/>
      <c r="B66" s="40"/>
    </row>
    <row r="67" spans="1:2">
      <c r="A67" s="40"/>
      <c r="B67" s="40"/>
    </row>
    <row r="68" spans="1:2">
      <c r="A68" s="40"/>
      <c r="B68" s="40"/>
    </row>
  </sheetData>
  <customSheetViews>
    <customSheetView guid="{141C9473-79E8-40AC-A2DD-D2D896AD155D}" showPageBreaks="1" state="hidden">
      <selection activeCell="D28" sqref="D28"/>
      <pageMargins left="0.7" right="0.7" top="0.75" bottom="0.75" header="0.3" footer="0.3"/>
      <pageSetup orientation="portrait" r:id="rId1"/>
    </customSheetView>
  </customSheetViews>
  <pageMargins left="0.7" right="0.7" top="0.75" bottom="0.75" header="0.3" footer="0.3"/>
  <pageSetup orientation="portrait"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6"/>
  </sheetPr>
  <dimension ref="A1:I35"/>
  <sheetViews>
    <sheetView workbookViewId="0">
      <selection activeCell="B35" sqref="B35"/>
    </sheetView>
  </sheetViews>
  <sheetFormatPr defaultColWidth="9" defaultRowHeight="15"/>
  <cols>
    <col min="1" max="1" width="9.5" style="37" customWidth="1"/>
    <col min="2" max="2" width="7.375" style="59" customWidth="1"/>
    <col min="3" max="9" width="7.375" style="37" customWidth="1"/>
    <col min="10" max="16384" width="9" style="37"/>
  </cols>
  <sheetData>
    <row r="1" spans="1:2" ht="25.5" customHeight="1">
      <c r="A1" s="1884" t="s">
        <v>210</v>
      </c>
      <c r="B1" s="1885"/>
    </row>
    <row r="2" spans="1:2">
      <c r="A2" s="38" t="s">
        <v>211</v>
      </c>
      <c r="B2" s="49">
        <v>13.1</v>
      </c>
    </row>
    <row r="3" spans="1:2">
      <c r="A3" s="38" t="s">
        <v>212</v>
      </c>
      <c r="B3" s="49">
        <v>22.33</v>
      </c>
    </row>
    <row r="4" spans="1:2">
      <c r="A4" s="38" t="s">
        <v>213</v>
      </c>
      <c r="B4" s="49">
        <v>22.73</v>
      </c>
    </row>
    <row r="5" spans="1:2">
      <c r="A5" s="38" t="s">
        <v>214</v>
      </c>
      <c r="B5" s="49">
        <v>30.66</v>
      </c>
    </row>
    <row r="7" spans="1:2" ht="26.25" customHeight="1">
      <c r="A7" s="1884" t="s">
        <v>215</v>
      </c>
      <c r="B7" s="1885"/>
    </row>
    <row r="8" spans="1:2">
      <c r="A8" s="38" t="s">
        <v>211</v>
      </c>
      <c r="B8" s="49">
        <v>13.87</v>
      </c>
    </row>
    <row r="9" spans="1:2">
      <c r="A9" s="38" t="s">
        <v>212</v>
      </c>
      <c r="B9" s="49">
        <v>29.41</v>
      </c>
    </row>
    <row r="10" spans="1:2">
      <c r="A10" s="38" t="s">
        <v>213</v>
      </c>
      <c r="B10" s="49">
        <v>28.13</v>
      </c>
    </row>
    <row r="11" spans="1:2">
      <c r="A11" s="38" t="s">
        <v>214</v>
      </c>
      <c r="B11" s="49">
        <v>47.07</v>
      </c>
    </row>
    <row r="12" spans="1:2" s="39" customFormat="1"/>
    <row r="13" spans="1:2" ht="32.25" customHeight="1">
      <c r="A13" s="1884" t="s">
        <v>216</v>
      </c>
      <c r="B13" s="1885"/>
    </row>
    <row r="14" spans="1:2">
      <c r="A14" s="38" t="s">
        <v>211</v>
      </c>
      <c r="B14" s="49">
        <v>13.19</v>
      </c>
    </row>
    <row r="15" spans="1:2">
      <c r="A15" s="38" t="s">
        <v>212</v>
      </c>
      <c r="B15" s="49">
        <v>27.94</v>
      </c>
    </row>
    <row r="16" spans="1:2">
      <c r="A16" s="38" t="s">
        <v>213</v>
      </c>
      <c r="B16" s="49">
        <v>26.73</v>
      </c>
    </row>
    <row r="17" spans="1:9">
      <c r="A17" s="38" t="s">
        <v>214</v>
      </c>
      <c r="B17" s="49">
        <v>44.73</v>
      </c>
    </row>
    <row r="19" spans="1:9" ht="39.75" customHeight="1">
      <c r="A19" s="1886" t="s">
        <v>217</v>
      </c>
      <c r="B19" s="1886"/>
      <c r="C19" s="1886"/>
      <c r="D19" s="1886"/>
      <c r="E19" s="1886"/>
      <c r="F19" s="1886"/>
      <c r="G19" s="1886"/>
      <c r="H19" s="1886"/>
      <c r="I19" s="1886"/>
    </row>
    <row r="20" spans="1:9" ht="24" customHeight="1">
      <c r="A20" s="50" t="s">
        <v>218</v>
      </c>
      <c r="B20" s="1887" t="s">
        <v>219</v>
      </c>
      <c r="C20" s="1888"/>
      <c r="D20" s="1888"/>
      <c r="E20" s="1889"/>
      <c r="F20" s="1890" t="s">
        <v>220</v>
      </c>
      <c r="G20" s="1890"/>
      <c r="H20" s="1890"/>
      <c r="I20" s="1891"/>
    </row>
    <row r="21" spans="1:9">
      <c r="A21" s="51" t="s">
        <v>221</v>
      </c>
      <c r="B21" s="52" t="s">
        <v>211</v>
      </c>
      <c r="C21" s="52" t="s">
        <v>212</v>
      </c>
      <c r="D21" s="52" t="s">
        <v>213</v>
      </c>
      <c r="E21" s="53" t="s">
        <v>214</v>
      </c>
      <c r="F21" s="54" t="s">
        <v>211</v>
      </c>
      <c r="G21" s="52" t="s">
        <v>212</v>
      </c>
      <c r="H21" s="52" t="s">
        <v>213</v>
      </c>
      <c r="I21" s="52" t="s">
        <v>214</v>
      </c>
    </row>
    <row r="22" spans="1:9">
      <c r="A22" s="55" t="s">
        <v>222</v>
      </c>
      <c r="B22" s="56">
        <v>0.219</v>
      </c>
      <c r="C22" s="56">
        <v>0.33900000000000002</v>
      </c>
      <c r="D22" s="56">
        <v>0.245</v>
      </c>
      <c r="E22" s="57">
        <v>0.36499999999999999</v>
      </c>
      <c r="F22" s="58">
        <v>0.28599999999999998</v>
      </c>
      <c r="G22" s="56">
        <v>0.44600000000000001</v>
      </c>
      <c r="H22" s="56">
        <v>0.312</v>
      </c>
      <c r="I22" s="56">
        <v>0.47099999999999997</v>
      </c>
    </row>
    <row r="23" spans="1:9">
      <c r="A23" s="55" t="s">
        <v>192</v>
      </c>
      <c r="B23" s="56">
        <v>0.26900000000000002</v>
      </c>
      <c r="C23" s="56">
        <v>0.41499999999999998</v>
      </c>
      <c r="D23" s="56">
        <v>0.29399999999999998</v>
      </c>
      <c r="E23" s="57">
        <v>0.441</v>
      </c>
      <c r="F23" s="58">
        <v>0.39100000000000001</v>
      </c>
      <c r="G23" s="56">
        <v>0.60699999999999998</v>
      </c>
      <c r="H23" s="56">
        <v>0.41599999999999998</v>
      </c>
      <c r="I23" s="56">
        <v>0.63200000000000001</v>
      </c>
    </row>
    <row r="24" spans="1:9">
      <c r="A24" s="55" t="s">
        <v>193</v>
      </c>
      <c r="B24" s="56">
        <v>0.377</v>
      </c>
      <c r="C24" s="56">
        <v>0.59199999999999997</v>
      </c>
      <c r="D24" s="56">
        <v>0.40200000000000002</v>
      </c>
      <c r="E24" s="57">
        <v>0.61799999999999999</v>
      </c>
      <c r="F24" s="58">
        <v>0.60499999999999998</v>
      </c>
      <c r="G24" s="56">
        <v>0.95399999999999996</v>
      </c>
      <c r="H24" s="56">
        <v>0.63</v>
      </c>
      <c r="I24" s="56">
        <v>0.98</v>
      </c>
    </row>
    <row r="25" spans="1:9">
      <c r="A25" s="55" t="s">
        <v>194</v>
      </c>
      <c r="B25" s="56">
        <v>0.57599999999999996</v>
      </c>
      <c r="C25" s="56">
        <v>0.90500000000000003</v>
      </c>
      <c r="D25" s="56">
        <v>0.60099999999999998</v>
      </c>
      <c r="E25" s="57">
        <v>0.93100000000000005</v>
      </c>
      <c r="F25" s="58">
        <v>1.0589999999999999</v>
      </c>
      <c r="G25" s="56">
        <v>1.67</v>
      </c>
      <c r="H25" s="56">
        <v>1.0840000000000001</v>
      </c>
      <c r="I25" s="56">
        <v>1.6950000000000001</v>
      </c>
    </row>
    <row r="26" spans="1:9">
      <c r="A26" s="55" t="s">
        <v>195</v>
      </c>
      <c r="B26" s="56">
        <v>0.77600000000000002</v>
      </c>
      <c r="C26" s="56">
        <v>1.2290000000000001</v>
      </c>
      <c r="D26" s="56">
        <v>0.80100000000000005</v>
      </c>
      <c r="E26" s="57">
        <v>1.254</v>
      </c>
      <c r="F26" s="58">
        <v>1.4930000000000001</v>
      </c>
      <c r="G26" s="56">
        <v>2.3690000000000002</v>
      </c>
      <c r="H26" s="56">
        <v>1.518</v>
      </c>
      <c r="I26" s="56">
        <v>2.3940000000000001</v>
      </c>
    </row>
    <row r="27" spans="1:9">
      <c r="A27" s="55" t="s">
        <v>196</v>
      </c>
      <c r="B27" s="56">
        <v>1.1950000000000001</v>
      </c>
      <c r="C27" s="56">
        <v>1.883</v>
      </c>
      <c r="D27" s="56">
        <v>1.22</v>
      </c>
      <c r="E27" s="57">
        <v>1.9079999999999999</v>
      </c>
      <c r="F27" s="58">
        <v>2.4359999999999999</v>
      </c>
      <c r="G27" s="56">
        <v>3.843</v>
      </c>
      <c r="H27" s="56">
        <v>2.4609999999999999</v>
      </c>
      <c r="I27" s="56">
        <v>3.8679999999999999</v>
      </c>
    </row>
    <row r="28" spans="1:9">
      <c r="A28" s="55" t="s">
        <v>197</v>
      </c>
      <c r="B28" s="56">
        <v>1.7909999999999999</v>
      </c>
      <c r="C28" s="56">
        <v>2.8140000000000001</v>
      </c>
      <c r="D28" s="56">
        <v>1.8160000000000001</v>
      </c>
      <c r="E28" s="57">
        <v>2.84</v>
      </c>
      <c r="F28" s="58">
        <v>3.5670000000000002</v>
      </c>
      <c r="G28" s="56">
        <v>5.6280000000000001</v>
      </c>
      <c r="H28" s="56">
        <v>3.5920000000000001</v>
      </c>
      <c r="I28" s="56">
        <v>5.6529999999999996</v>
      </c>
    </row>
    <row r="29" spans="1:9">
      <c r="A29" s="55" t="s">
        <v>198</v>
      </c>
      <c r="B29" s="56">
        <v>2.56</v>
      </c>
      <c r="C29" s="56">
        <v>4.0060000000000002</v>
      </c>
      <c r="D29" s="56">
        <v>2.5859999999999999</v>
      </c>
      <c r="E29" s="57">
        <v>4.0309999999999997</v>
      </c>
      <c r="F29" s="58">
        <v>4.9720000000000004</v>
      </c>
      <c r="G29" s="56">
        <v>7.7990000000000004</v>
      </c>
      <c r="H29" s="56">
        <v>4.9980000000000002</v>
      </c>
      <c r="I29" s="56">
        <v>7.8239999999999998</v>
      </c>
    </row>
    <row r="30" spans="1:9">
      <c r="A30" s="55" t="s">
        <v>199</v>
      </c>
      <c r="B30" s="56">
        <v>3.496</v>
      </c>
      <c r="C30" s="56">
        <v>5.3920000000000003</v>
      </c>
      <c r="D30" s="56">
        <v>3.5219999999999998</v>
      </c>
      <c r="E30" s="57">
        <v>5.4169999999999998</v>
      </c>
      <c r="F30" s="58">
        <v>6.43</v>
      </c>
      <c r="G30" s="56">
        <v>9.968</v>
      </c>
      <c r="H30" s="56">
        <v>6.4550000000000001</v>
      </c>
      <c r="I30" s="56">
        <v>9.9930000000000003</v>
      </c>
    </row>
    <row r="31" spans="1:9">
      <c r="A31" s="55" t="s">
        <v>200</v>
      </c>
      <c r="B31" s="56">
        <v>4.266</v>
      </c>
      <c r="C31" s="56">
        <v>6.6479999999999997</v>
      </c>
      <c r="D31" s="56">
        <v>4.2910000000000004</v>
      </c>
      <c r="E31" s="57">
        <v>6.673</v>
      </c>
      <c r="F31" s="58">
        <v>7.32</v>
      </c>
      <c r="G31" s="56">
        <v>11.506</v>
      </c>
      <c r="H31" s="56">
        <v>7.3449999999999998</v>
      </c>
      <c r="I31" s="56">
        <v>11.531000000000001</v>
      </c>
    </row>
    <row r="32" spans="1:9">
      <c r="A32" s="55" t="s">
        <v>201</v>
      </c>
      <c r="B32" s="56">
        <v>6.26</v>
      </c>
      <c r="C32" s="56">
        <v>9.4890000000000008</v>
      </c>
      <c r="D32" s="56">
        <v>6.2850000000000001</v>
      </c>
      <c r="E32" s="57">
        <v>9.5150000000000006</v>
      </c>
      <c r="F32" s="58">
        <v>9.7750000000000004</v>
      </c>
      <c r="G32" s="56">
        <v>15.372999999999999</v>
      </c>
      <c r="H32" s="56">
        <v>9.8000000000000007</v>
      </c>
      <c r="I32" s="56">
        <v>15.398</v>
      </c>
    </row>
    <row r="33" spans="1:9">
      <c r="A33" s="55" t="s">
        <v>202</v>
      </c>
      <c r="B33" s="56">
        <v>9.0719999999999992</v>
      </c>
      <c r="C33" s="56">
        <v>12.948</v>
      </c>
      <c r="D33" s="56">
        <v>9.0969999999999995</v>
      </c>
      <c r="E33" s="57">
        <v>12.974</v>
      </c>
      <c r="F33" s="58">
        <v>12.351000000000001</v>
      </c>
      <c r="G33" s="56">
        <v>18.731999999999999</v>
      </c>
      <c r="H33" s="56">
        <v>12.375999999999999</v>
      </c>
      <c r="I33" s="56">
        <v>18.757000000000001</v>
      </c>
    </row>
    <row r="34" spans="1:9">
      <c r="A34" s="55" t="s">
        <v>203</v>
      </c>
      <c r="B34" s="56">
        <v>9.8450000000000006</v>
      </c>
      <c r="C34" s="56">
        <v>15.266999999999999</v>
      </c>
      <c r="D34" s="56">
        <v>9.8699999999999992</v>
      </c>
      <c r="E34" s="57">
        <v>15.292</v>
      </c>
      <c r="F34" s="58">
        <v>14.333</v>
      </c>
      <c r="G34" s="56">
        <v>22.466000000000001</v>
      </c>
      <c r="H34" s="56">
        <v>14.358000000000001</v>
      </c>
      <c r="I34" s="56">
        <v>22.491</v>
      </c>
    </row>
    <row r="35" spans="1:9">
      <c r="A35" s="55" t="s">
        <v>223</v>
      </c>
      <c r="B35" s="56">
        <v>13.867000000000001</v>
      </c>
      <c r="C35" s="56">
        <v>21.530999999999999</v>
      </c>
      <c r="D35" s="56">
        <v>13.893000000000001</v>
      </c>
      <c r="E35" s="57">
        <v>21.556000000000001</v>
      </c>
      <c r="F35" s="58">
        <v>16.888000000000002</v>
      </c>
      <c r="G35" s="56">
        <v>26.321999999999999</v>
      </c>
      <c r="H35" s="56">
        <v>16.913</v>
      </c>
      <c r="I35" s="56">
        <v>26.347999999999999</v>
      </c>
    </row>
  </sheetData>
  <customSheetViews>
    <customSheetView guid="{141C9473-79E8-40AC-A2DD-D2D896AD155D}" showPageBreaks="1" state="hidden">
      <selection activeCell="D28" sqref="D28"/>
      <pageMargins left="0.7" right="0.7" top="0.75" bottom="0.75" header="0.3" footer="0.3"/>
      <pageSetup orientation="portrait" r:id="rId1"/>
    </customSheetView>
  </customSheetViews>
  <mergeCells count="6">
    <mergeCell ref="A1:B1"/>
    <mergeCell ref="A7:B7"/>
    <mergeCell ref="A13:B13"/>
    <mergeCell ref="A19:I19"/>
    <mergeCell ref="B20:E20"/>
    <mergeCell ref="F20:I20"/>
  </mergeCells>
  <pageMargins left="0.7" right="0.7" top="0.75" bottom="0.75" header="0.3" footer="0.3"/>
  <pageSetup orientation="portrait"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filterMode="1">
    <tabColor rgb="FF7030A0"/>
  </sheetPr>
  <dimension ref="A1:WWA1609"/>
  <sheetViews>
    <sheetView topLeftCell="T1" workbookViewId="0">
      <pane ySplit="1" topLeftCell="A2" activePane="bottomLeft" state="frozen"/>
      <selection activeCell="D1" sqref="D1:E1048576"/>
      <selection pane="bottomLeft" activeCell="AE74" sqref="AE74"/>
    </sheetView>
  </sheetViews>
  <sheetFormatPr defaultColWidth="8.875" defaultRowHeight="12.75"/>
  <cols>
    <col min="1" max="1" width="8.875" style="574" hidden="1" customWidth="1"/>
    <col min="2" max="2" width="24.125" style="574" hidden="1" customWidth="1"/>
    <col min="3" max="3" width="7.625" style="574" hidden="1" customWidth="1"/>
    <col min="4" max="4" width="7.125" style="574" hidden="1" customWidth="1"/>
    <col min="5" max="5" width="6.875" style="574" hidden="1" customWidth="1"/>
    <col min="6" max="6" width="22.625" style="574" hidden="1" customWidth="1"/>
    <col min="7" max="7" width="7.625" style="574" hidden="1" customWidth="1"/>
    <col min="8" max="8" width="5.125" style="574" hidden="1" customWidth="1"/>
    <col min="9" max="9" width="7.375" style="574" hidden="1" customWidth="1"/>
    <col min="10" max="11" width="9" style="574" hidden="1" customWidth="1"/>
    <col min="12" max="12" width="3.625" style="574" hidden="1" customWidth="1"/>
    <col min="13" max="13" width="4.625" style="574" hidden="1" customWidth="1"/>
    <col min="14" max="15" width="7.125" style="574" hidden="1" customWidth="1"/>
    <col min="16" max="16" width="9" style="574" hidden="1" customWidth="1"/>
    <col min="17" max="17" width="12.625" style="574" hidden="1" customWidth="1"/>
    <col min="18" max="18" width="10.625" style="574" hidden="1" customWidth="1"/>
    <col min="19" max="19" width="38.125" style="574" hidden="1" customWidth="1"/>
    <col min="20" max="20" width="12.5" style="590" customWidth="1"/>
    <col min="21" max="21" width="14.625" style="590" customWidth="1"/>
    <col min="22" max="22" width="9.875" style="574" customWidth="1"/>
    <col min="23" max="23" width="11.875" style="574" customWidth="1"/>
    <col min="24" max="24" width="18.875" style="574" customWidth="1"/>
    <col min="25" max="25" width="16.625" style="574" customWidth="1"/>
    <col min="26" max="26" width="28.125" style="574" customWidth="1"/>
    <col min="27" max="27" width="8.875" style="590"/>
    <col min="28" max="28" width="15.125" style="590" customWidth="1"/>
    <col min="29" max="256" width="8.875" style="574"/>
    <col min="257" max="275" width="9" style="574" hidden="1" customWidth="1"/>
    <col min="276" max="276" width="12.5" style="574" customWidth="1"/>
    <col min="277" max="277" width="14.625" style="574" customWidth="1"/>
    <col min="278" max="278" width="9.875" style="574" customWidth="1"/>
    <col min="279" max="279" width="11.875" style="574" customWidth="1"/>
    <col min="280" max="280" width="18.875" style="574" customWidth="1"/>
    <col min="281" max="281" width="16.625" style="574" customWidth="1"/>
    <col min="282" max="282" width="28.125" style="574" customWidth="1"/>
    <col min="283" max="283" width="8.875" style="574"/>
    <col min="284" max="284" width="15.125" style="574" customWidth="1"/>
    <col min="285" max="512" width="8.875" style="574"/>
    <col min="513" max="531" width="9" style="574" hidden="1" customWidth="1"/>
    <col min="532" max="532" width="12.5" style="574" customWidth="1"/>
    <col min="533" max="533" width="14.625" style="574" customWidth="1"/>
    <col min="534" max="534" width="9.875" style="574" customWidth="1"/>
    <col min="535" max="535" width="11.875" style="574" customWidth="1"/>
    <col min="536" max="536" width="18.875" style="574" customWidth="1"/>
    <col min="537" max="537" width="16.625" style="574" customWidth="1"/>
    <col min="538" max="538" width="28.125" style="574" customWidth="1"/>
    <col min="539" max="539" width="8.875" style="574"/>
    <col min="540" max="540" width="15.125" style="574" customWidth="1"/>
    <col min="541" max="768" width="8.875" style="574"/>
    <col min="769" max="787" width="9" style="574" hidden="1" customWidth="1"/>
    <col min="788" max="788" width="12.5" style="574" customWidth="1"/>
    <col min="789" max="789" width="14.625" style="574" customWidth="1"/>
    <col min="790" max="790" width="9.875" style="574" customWidth="1"/>
    <col min="791" max="791" width="11.875" style="574" customWidth="1"/>
    <col min="792" max="792" width="18.875" style="574" customWidth="1"/>
    <col min="793" max="793" width="16.625" style="574" customWidth="1"/>
    <col min="794" max="794" width="28.125" style="574" customWidth="1"/>
    <col min="795" max="795" width="8.875" style="574"/>
    <col min="796" max="796" width="15.125" style="574" customWidth="1"/>
    <col min="797" max="1024" width="8.875" style="574"/>
    <col min="1025" max="1043" width="9" style="574" hidden="1" customWidth="1"/>
    <col min="1044" max="1044" width="12.5" style="574" customWidth="1"/>
    <col min="1045" max="1045" width="14.625" style="574" customWidth="1"/>
    <col min="1046" max="1046" width="9.875" style="574" customWidth="1"/>
    <col min="1047" max="1047" width="11.875" style="574" customWidth="1"/>
    <col min="1048" max="1048" width="18.875" style="574" customWidth="1"/>
    <col min="1049" max="1049" width="16.625" style="574" customWidth="1"/>
    <col min="1050" max="1050" width="28.125" style="574" customWidth="1"/>
    <col min="1051" max="1051" width="8.875" style="574"/>
    <col min="1052" max="1052" width="15.125" style="574" customWidth="1"/>
    <col min="1053" max="1280" width="8.875" style="574"/>
    <col min="1281" max="1299" width="9" style="574" hidden="1" customWidth="1"/>
    <col min="1300" max="1300" width="12.5" style="574" customWidth="1"/>
    <col min="1301" max="1301" width="14.625" style="574" customWidth="1"/>
    <col min="1302" max="1302" width="9.875" style="574" customWidth="1"/>
    <col min="1303" max="1303" width="11.875" style="574" customWidth="1"/>
    <col min="1304" max="1304" width="18.875" style="574" customWidth="1"/>
    <col min="1305" max="1305" width="16.625" style="574" customWidth="1"/>
    <col min="1306" max="1306" width="28.125" style="574" customWidth="1"/>
    <col min="1307" max="1307" width="8.875" style="574"/>
    <col min="1308" max="1308" width="15.125" style="574" customWidth="1"/>
    <col min="1309" max="1536" width="8.875" style="574"/>
    <col min="1537" max="1555" width="9" style="574" hidden="1" customWidth="1"/>
    <col min="1556" max="1556" width="12.5" style="574" customWidth="1"/>
    <col min="1557" max="1557" width="14.625" style="574" customWidth="1"/>
    <col min="1558" max="1558" width="9.875" style="574" customWidth="1"/>
    <col min="1559" max="1559" width="11.875" style="574" customWidth="1"/>
    <col min="1560" max="1560" width="18.875" style="574" customWidth="1"/>
    <col min="1561" max="1561" width="16.625" style="574" customWidth="1"/>
    <col min="1562" max="1562" width="28.125" style="574" customWidth="1"/>
    <col min="1563" max="1563" width="8.875" style="574"/>
    <col min="1564" max="1564" width="15.125" style="574" customWidth="1"/>
    <col min="1565" max="1792" width="8.875" style="574"/>
    <col min="1793" max="1811" width="9" style="574" hidden="1" customWidth="1"/>
    <col min="1812" max="1812" width="12.5" style="574" customWidth="1"/>
    <col min="1813" max="1813" width="14.625" style="574" customWidth="1"/>
    <col min="1814" max="1814" width="9.875" style="574" customWidth="1"/>
    <col min="1815" max="1815" width="11.875" style="574" customWidth="1"/>
    <col min="1816" max="1816" width="18.875" style="574" customWidth="1"/>
    <col min="1817" max="1817" width="16.625" style="574" customWidth="1"/>
    <col min="1818" max="1818" width="28.125" style="574" customWidth="1"/>
    <col min="1819" max="1819" width="8.875" style="574"/>
    <col min="1820" max="1820" width="15.125" style="574" customWidth="1"/>
    <col min="1821" max="2048" width="8.875" style="574"/>
    <col min="2049" max="2067" width="9" style="574" hidden="1" customWidth="1"/>
    <col min="2068" max="2068" width="12.5" style="574" customWidth="1"/>
    <col min="2069" max="2069" width="14.625" style="574" customWidth="1"/>
    <col min="2070" max="2070" width="9.875" style="574" customWidth="1"/>
    <col min="2071" max="2071" width="11.875" style="574" customWidth="1"/>
    <col min="2072" max="2072" width="18.875" style="574" customWidth="1"/>
    <col min="2073" max="2073" width="16.625" style="574" customWidth="1"/>
    <col min="2074" max="2074" width="28.125" style="574" customWidth="1"/>
    <col min="2075" max="2075" width="8.875" style="574"/>
    <col min="2076" max="2076" width="15.125" style="574" customWidth="1"/>
    <col min="2077" max="2304" width="8.875" style="574"/>
    <col min="2305" max="2323" width="9" style="574" hidden="1" customWidth="1"/>
    <col min="2324" max="2324" width="12.5" style="574" customWidth="1"/>
    <col min="2325" max="2325" width="14.625" style="574" customWidth="1"/>
    <col min="2326" max="2326" width="9.875" style="574" customWidth="1"/>
    <col min="2327" max="2327" width="11.875" style="574" customWidth="1"/>
    <col min="2328" max="2328" width="18.875" style="574" customWidth="1"/>
    <col min="2329" max="2329" width="16.625" style="574" customWidth="1"/>
    <col min="2330" max="2330" width="28.125" style="574" customWidth="1"/>
    <col min="2331" max="2331" width="8.875" style="574"/>
    <col min="2332" max="2332" width="15.125" style="574" customWidth="1"/>
    <col min="2333" max="2560" width="8.875" style="574"/>
    <col min="2561" max="2579" width="9" style="574" hidden="1" customWidth="1"/>
    <col min="2580" max="2580" width="12.5" style="574" customWidth="1"/>
    <col min="2581" max="2581" width="14.625" style="574" customWidth="1"/>
    <col min="2582" max="2582" width="9.875" style="574" customWidth="1"/>
    <col min="2583" max="2583" width="11.875" style="574" customWidth="1"/>
    <col min="2584" max="2584" width="18.875" style="574" customWidth="1"/>
    <col min="2585" max="2585" width="16.625" style="574" customWidth="1"/>
    <col min="2586" max="2586" width="28.125" style="574" customWidth="1"/>
    <col min="2587" max="2587" width="8.875" style="574"/>
    <col min="2588" max="2588" width="15.125" style="574" customWidth="1"/>
    <col min="2589" max="2816" width="8.875" style="574"/>
    <col min="2817" max="2835" width="9" style="574" hidden="1" customWidth="1"/>
    <col min="2836" max="2836" width="12.5" style="574" customWidth="1"/>
    <col min="2837" max="2837" width="14.625" style="574" customWidth="1"/>
    <col min="2838" max="2838" width="9.875" style="574" customWidth="1"/>
    <col min="2839" max="2839" width="11.875" style="574" customWidth="1"/>
    <col min="2840" max="2840" width="18.875" style="574" customWidth="1"/>
    <col min="2841" max="2841" width="16.625" style="574" customWidth="1"/>
    <col min="2842" max="2842" width="28.125" style="574" customWidth="1"/>
    <col min="2843" max="2843" width="8.875" style="574"/>
    <col min="2844" max="2844" width="15.125" style="574" customWidth="1"/>
    <col min="2845" max="3072" width="8.875" style="574"/>
    <col min="3073" max="3091" width="9" style="574" hidden="1" customWidth="1"/>
    <col min="3092" max="3092" width="12.5" style="574" customWidth="1"/>
    <col min="3093" max="3093" width="14.625" style="574" customWidth="1"/>
    <col min="3094" max="3094" width="9.875" style="574" customWidth="1"/>
    <col min="3095" max="3095" width="11.875" style="574" customWidth="1"/>
    <col min="3096" max="3096" width="18.875" style="574" customWidth="1"/>
    <col min="3097" max="3097" width="16.625" style="574" customWidth="1"/>
    <col min="3098" max="3098" width="28.125" style="574" customWidth="1"/>
    <col min="3099" max="3099" width="8.875" style="574"/>
    <col min="3100" max="3100" width="15.125" style="574" customWidth="1"/>
    <col min="3101" max="3328" width="8.875" style="574"/>
    <col min="3329" max="3347" width="9" style="574" hidden="1" customWidth="1"/>
    <col min="3348" max="3348" width="12.5" style="574" customWidth="1"/>
    <col min="3349" max="3349" width="14.625" style="574" customWidth="1"/>
    <col min="3350" max="3350" width="9.875" style="574" customWidth="1"/>
    <col min="3351" max="3351" width="11.875" style="574" customWidth="1"/>
    <col min="3352" max="3352" width="18.875" style="574" customWidth="1"/>
    <col min="3353" max="3353" width="16.625" style="574" customWidth="1"/>
    <col min="3354" max="3354" width="28.125" style="574" customWidth="1"/>
    <col min="3355" max="3355" width="8.875" style="574"/>
    <col min="3356" max="3356" width="15.125" style="574" customWidth="1"/>
    <col min="3357" max="3584" width="8.875" style="574"/>
    <col min="3585" max="3603" width="9" style="574" hidden="1" customWidth="1"/>
    <col min="3604" max="3604" width="12.5" style="574" customWidth="1"/>
    <col min="3605" max="3605" width="14.625" style="574" customWidth="1"/>
    <col min="3606" max="3606" width="9.875" style="574" customWidth="1"/>
    <col min="3607" max="3607" width="11.875" style="574" customWidth="1"/>
    <col min="3608" max="3608" width="18.875" style="574" customWidth="1"/>
    <col min="3609" max="3609" width="16.625" style="574" customWidth="1"/>
    <col min="3610" max="3610" width="28.125" style="574" customWidth="1"/>
    <col min="3611" max="3611" width="8.875" style="574"/>
    <col min="3612" max="3612" width="15.125" style="574" customWidth="1"/>
    <col min="3613" max="3840" width="8.875" style="574"/>
    <col min="3841" max="3859" width="9" style="574" hidden="1" customWidth="1"/>
    <col min="3860" max="3860" width="12.5" style="574" customWidth="1"/>
    <col min="3861" max="3861" width="14.625" style="574" customWidth="1"/>
    <col min="3862" max="3862" width="9.875" style="574" customWidth="1"/>
    <col min="3863" max="3863" width="11.875" style="574" customWidth="1"/>
    <col min="3864" max="3864" width="18.875" style="574" customWidth="1"/>
    <col min="3865" max="3865" width="16.625" style="574" customWidth="1"/>
    <col min="3866" max="3866" width="28.125" style="574" customWidth="1"/>
    <col min="3867" max="3867" width="8.875" style="574"/>
    <col min="3868" max="3868" width="15.125" style="574" customWidth="1"/>
    <col min="3869" max="4096" width="8.875" style="574"/>
    <col min="4097" max="4115" width="9" style="574" hidden="1" customWidth="1"/>
    <col min="4116" max="4116" width="12.5" style="574" customWidth="1"/>
    <col min="4117" max="4117" width="14.625" style="574" customWidth="1"/>
    <col min="4118" max="4118" width="9.875" style="574" customWidth="1"/>
    <col min="4119" max="4119" width="11.875" style="574" customWidth="1"/>
    <col min="4120" max="4120" width="18.875" style="574" customWidth="1"/>
    <col min="4121" max="4121" width="16.625" style="574" customWidth="1"/>
    <col min="4122" max="4122" width="28.125" style="574" customWidth="1"/>
    <col min="4123" max="4123" width="8.875" style="574"/>
    <col min="4124" max="4124" width="15.125" style="574" customWidth="1"/>
    <col min="4125" max="4352" width="8.875" style="574"/>
    <col min="4353" max="4371" width="9" style="574" hidden="1" customWidth="1"/>
    <col min="4372" max="4372" width="12.5" style="574" customWidth="1"/>
    <col min="4373" max="4373" width="14.625" style="574" customWidth="1"/>
    <col min="4374" max="4374" width="9.875" style="574" customWidth="1"/>
    <col min="4375" max="4375" width="11.875" style="574" customWidth="1"/>
    <col min="4376" max="4376" width="18.875" style="574" customWidth="1"/>
    <col min="4377" max="4377" width="16.625" style="574" customWidth="1"/>
    <col min="4378" max="4378" width="28.125" style="574" customWidth="1"/>
    <col min="4379" max="4379" width="8.875" style="574"/>
    <col min="4380" max="4380" width="15.125" style="574" customWidth="1"/>
    <col min="4381" max="4608" width="8.875" style="574"/>
    <col min="4609" max="4627" width="9" style="574" hidden="1" customWidth="1"/>
    <col min="4628" max="4628" width="12.5" style="574" customWidth="1"/>
    <col min="4629" max="4629" width="14.625" style="574" customWidth="1"/>
    <col min="4630" max="4630" width="9.875" style="574" customWidth="1"/>
    <col min="4631" max="4631" width="11.875" style="574" customWidth="1"/>
    <col min="4632" max="4632" width="18.875" style="574" customWidth="1"/>
    <col min="4633" max="4633" width="16.625" style="574" customWidth="1"/>
    <col min="4634" max="4634" width="28.125" style="574" customWidth="1"/>
    <col min="4635" max="4635" width="8.875" style="574"/>
    <col min="4636" max="4636" width="15.125" style="574" customWidth="1"/>
    <col min="4637" max="4864" width="8.875" style="574"/>
    <col min="4865" max="4883" width="9" style="574" hidden="1" customWidth="1"/>
    <col min="4884" max="4884" width="12.5" style="574" customWidth="1"/>
    <col min="4885" max="4885" width="14.625" style="574" customWidth="1"/>
    <col min="4886" max="4886" width="9.875" style="574" customWidth="1"/>
    <col min="4887" max="4887" width="11.875" style="574" customWidth="1"/>
    <col min="4888" max="4888" width="18.875" style="574" customWidth="1"/>
    <col min="4889" max="4889" width="16.625" style="574" customWidth="1"/>
    <col min="4890" max="4890" width="28.125" style="574" customWidth="1"/>
    <col min="4891" max="4891" width="8.875" style="574"/>
    <col min="4892" max="4892" width="15.125" style="574" customWidth="1"/>
    <col min="4893" max="5120" width="8.875" style="574"/>
    <col min="5121" max="5139" width="9" style="574" hidden="1" customWidth="1"/>
    <col min="5140" max="5140" width="12.5" style="574" customWidth="1"/>
    <col min="5141" max="5141" width="14.625" style="574" customWidth="1"/>
    <col min="5142" max="5142" width="9.875" style="574" customWidth="1"/>
    <col min="5143" max="5143" width="11.875" style="574" customWidth="1"/>
    <col min="5144" max="5144" width="18.875" style="574" customWidth="1"/>
    <col min="5145" max="5145" width="16.625" style="574" customWidth="1"/>
    <col min="5146" max="5146" width="28.125" style="574" customWidth="1"/>
    <col min="5147" max="5147" width="8.875" style="574"/>
    <col min="5148" max="5148" width="15.125" style="574" customWidth="1"/>
    <col min="5149" max="5376" width="8.875" style="574"/>
    <col min="5377" max="5395" width="9" style="574" hidden="1" customWidth="1"/>
    <col min="5396" max="5396" width="12.5" style="574" customWidth="1"/>
    <col min="5397" max="5397" width="14.625" style="574" customWidth="1"/>
    <col min="5398" max="5398" width="9.875" style="574" customWidth="1"/>
    <col min="5399" max="5399" width="11.875" style="574" customWidth="1"/>
    <col min="5400" max="5400" width="18.875" style="574" customWidth="1"/>
    <col min="5401" max="5401" width="16.625" style="574" customWidth="1"/>
    <col min="5402" max="5402" width="28.125" style="574" customWidth="1"/>
    <col min="5403" max="5403" width="8.875" style="574"/>
    <col min="5404" max="5404" width="15.125" style="574" customWidth="1"/>
    <col min="5405" max="5632" width="8.875" style="574"/>
    <col min="5633" max="5651" width="9" style="574" hidden="1" customWidth="1"/>
    <col min="5652" max="5652" width="12.5" style="574" customWidth="1"/>
    <col min="5653" max="5653" width="14.625" style="574" customWidth="1"/>
    <col min="5654" max="5654" width="9.875" style="574" customWidth="1"/>
    <col min="5655" max="5655" width="11.875" style="574" customWidth="1"/>
    <col min="5656" max="5656" width="18.875" style="574" customWidth="1"/>
    <col min="5657" max="5657" width="16.625" style="574" customWidth="1"/>
    <col min="5658" max="5658" width="28.125" style="574" customWidth="1"/>
    <col min="5659" max="5659" width="8.875" style="574"/>
    <col min="5660" max="5660" width="15.125" style="574" customWidth="1"/>
    <col min="5661" max="5888" width="8.875" style="574"/>
    <col min="5889" max="5907" width="9" style="574" hidden="1" customWidth="1"/>
    <col min="5908" max="5908" width="12.5" style="574" customWidth="1"/>
    <col min="5909" max="5909" width="14.625" style="574" customWidth="1"/>
    <col min="5910" max="5910" width="9.875" style="574" customWidth="1"/>
    <col min="5911" max="5911" width="11.875" style="574" customWidth="1"/>
    <col min="5912" max="5912" width="18.875" style="574" customWidth="1"/>
    <col min="5913" max="5913" width="16.625" style="574" customWidth="1"/>
    <col min="5914" max="5914" width="28.125" style="574" customWidth="1"/>
    <col min="5915" max="5915" width="8.875" style="574"/>
    <col min="5916" max="5916" width="15.125" style="574" customWidth="1"/>
    <col min="5917" max="6144" width="8.875" style="574"/>
    <col min="6145" max="6163" width="9" style="574" hidden="1" customWidth="1"/>
    <col min="6164" max="6164" width="12.5" style="574" customWidth="1"/>
    <col min="6165" max="6165" width="14.625" style="574" customWidth="1"/>
    <col min="6166" max="6166" width="9.875" style="574" customWidth="1"/>
    <col min="6167" max="6167" width="11.875" style="574" customWidth="1"/>
    <col min="6168" max="6168" width="18.875" style="574" customWidth="1"/>
    <col min="6169" max="6169" width="16.625" style="574" customWidth="1"/>
    <col min="6170" max="6170" width="28.125" style="574" customWidth="1"/>
    <col min="6171" max="6171" width="8.875" style="574"/>
    <col min="6172" max="6172" width="15.125" style="574" customWidth="1"/>
    <col min="6173" max="6400" width="8.875" style="574"/>
    <col min="6401" max="6419" width="9" style="574" hidden="1" customWidth="1"/>
    <col min="6420" max="6420" width="12.5" style="574" customWidth="1"/>
    <col min="6421" max="6421" width="14.625" style="574" customWidth="1"/>
    <col min="6422" max="6422" width="9.875" style="574" customWidth="1"/>
    <col min="6423" max="6423" width="11.875" style="574" customWidth="1"/>
    <col min="6424" max="6424" width="18.875" style="574" customWidth="1"/>
    <col min="6425" max="6425" width="16.625" style="574" customWidth="1"/>
    <col min="6426" max="6426" width="28.125" style="574" customWidth="1"/>
    <col min="6427" max="6427" width="8.875" style="574"/>
    <col min="6428" max="6428" width="15.125" style="574" customWidth="1"/>
    <col min="6429" max="6656" width="8.875" style="574"/>
    <col min="6657" max="6675" width="9" style="574" hidden="1" customWidth="1"/>
    <col min="6676" max="6676" width="12.5" style="574" customWidth="1"/>
    <col min="6677" max="6677" width="14.625" style="574" customWidth="1"/>
    <col min="6678" max="6678" width="9.875" style="574" customWidth="1"/>
    <col min="6679" max="6679" width="11.875" style="574" customWidth="1"/>
    <col min="6680" max="6680" width="18.875" style="574" customWidth="1"/>
    <col min="6681" max="6681" width="16.625" style="574" customWidth="1"/>
    <col min="6682" max="6682" width="28.125" style="574" customWidth="1"/>
    <col min="6683" max="6683" width="8.875" style="574"/>
    <col min="6684" max="6684" width="15.125" style="574" customWidth="1"/>
    <col min="6685" max="6912" width="8.875" style="574"/>
    <col min="6913" max="6931" width="9" style="574" hidden="1" customWidth="1"/>
    <col min="6932" max="6932" width="12.5" style="574" customWidth="1"/>
    <col min="6933" max="6933" width="14.625" style="574" customWidth="1"/>
    <col min="6934" max="6934" width="9.875" style="574" customWidth="1"/>
    <col min="6935" max="6935" width="11.875" style="574" customWidth="1"/>
    <col min="6936" max="6936" width="18.875" style="574" customWidth="1"/>
    <col min="6937" max="6937" width="16.625" style="574" customWidth="1"/>
    <col min="6938" max="6938" width="28.125" style="574" customWidth="1"/>
    <col min="6939" max="6939" width="8.875" style="574"/>
    <col min="6940" max="6940" width="15.125" style="574" customWidth="1"/>
    <col min="6941" max="7168" width="8.875" style="574"/>
    <col min="7169" max="7187" width="9" style="574" hidden="1" customWidth="1"/>
    <col min="7188" max="7188" width="12.5" style="574" customWidth="1"/>
    <col min="7189" max="7189" width="14.625" style="574" customWidth="1"/>
    <col min="7190" max="7190" width="9.875" style="574" customWidth="1"/>
    <col min="7191" max="7191" width="11.875" style="574" customWidth="1"/>
    <col min="7192" max="7192" width="18.875" style="574" customWidth="1"/>
    <col min="7193" max="7193" width="16.625" style="574" customWidth="1"/>
    <col min="7194" max="7194" width="28.125" style="574" customWidth="1"/>
    <col min="7195" max="7195" width="8.875" style="574"/>
    <col min="7196" max="7196" width="15.125" style="574" customWidth="1"/>
    <col min="7197" max="7424" width="8.875" style="574"/>
    <col min="7425" max="7443" width="9" style="574" hidden="1" customWidth="1"/>
    <col min="7444" max="7444" width="12.5" style="574" customWidth="1"/>
    <col min="7445" max="7445" width="14.625" style="574" customWidth="1"/>
    <col min="7446" max="7446" width="9.875" style="574" customWidth="1"/>
    <col min="7447" max="7447" width="11.875" style="574" customWidth="1"/>
    <col min="7448" max="7448" width="18.875" style="574" customWidth="1"/>
    <col min="7449" max="7449" width="16.625" style="574" customWidth="1"/>
    <col min="7450" max="7450" width="28.125" style="574" customWidth="1"/>
    <col min="7451" max="7451" width="8.875" style="574"/>
    <col min="7452" max="7452" width="15.125" style="574" customWidth="1"/>
    <col min="7453" max="7680" width="8.875" style="574"/>
    <col min="7681" max="7699" width="9" style="574" hidden="1" customWidth="1"/>
    <col min="7700" max="7700" width="12.5" style="574" customWidth="1"/>
    <col min="7701" max="7701" width="14.625" style="574" customWidth="1"/>
    <col min="7702" max="7702" width="9.875" style="574" customWidth="1"/>
    <col min="7703" max="7703" width="11.875" style="574" customWidth="1"/>
    <col min="7704" max="7704" width="18.875" style="574" customWidth="1"/>
    <col min="7705" max="7705" width="16.625" style="574" customWidth="1"/>
    <col min="7706" max="7706" width="28.125" style="574" customWidth="1"/>
    <col min="7707" max="7707" width="8.875" style="574"/>
    <col min="7708" max="7708" width="15.125" style="574" customWidth="1"/>
    <col min="7709" max="7936" width="8.875" style="574"/>
    <col min="7937" max="7955" width="9" style="574" hidden="1" customWidth="1"/>
    <col min="7956" max="7956" width="12.5" style="574" customWidth="1"/>
    <col min="7957" max="7957" width="14.625" style="574" customWidth="1"/>
    <col min="7958" max="7958" width="9.875" style="574" customWidth="1"/>
    <col min="7959" max="7959" width="11.875" style="574" customWidth="1"/>
    <col min="7960" max="7960" width="18.875" style="574" customWidth="1"/>
    <col min="7961" max="7961" width="16.625" style="574" customWidth="1"/>
    <col min="7962" max="7962" width="28.125" style="574" customWidth="1"/>
    <col min="7963" max="7963" width="8.875" style="574"/>
    <col min="7964" max="7964" width="15.125" style="574" customWidth="1"/>
    <col min="7965" max="8192" width="8.875" style="574"/>
    <col min="8193" max="8211" width="9" style="574" hidden="1" customWidth="1"/>
    <col min="8212" max="8212" width="12.5" style="574" customWidth="1"/>
    <col min="8213" max="8213" width="14.625" style="574" customWidth="1"/>
    <col min="8214" max="8214" width="9.875" style="574" customWidth="1"/>
    <col min="8215" max="8215" width="11.875" style="574" customWidth="1"/>
    <col min="8216" max="8216" width="18.875" style="574" customWidth="1"/>
    <col min="8217" max="8217" width="16.625" style="574" customWidth="1"/>
    <col min="8218" max="8218" width="28.125" style="574" customWidth="1"/>
    <col min="8219" max="8219" width="8.875" style="574"/>
    <col min="8220" max="8220" width="15.125" style="574" customWidth="1"/>
    <col min="8221" max="8448" width="8.875" style="574"/>
    <col min="8449" max="8467" width="9" style="574" hidden="1" customWidth="1"/>
    <col min="8468" max="8468" width="12.5" style="574" customWidth="1"/>
    <col min="8469" max="8469" width="14.625" style="574" customWidth="1"/>
    <col min="8470" max="8470" width="9.875" style="574" customWidth="1"/>
    <col min="8471" max="8471" width="11.875" style="574" customWidth="1"/>
    <col min="8472" max="8472" width="18.875" style="574" customWidth="1"/>
    <col min="8473" max="8473" width="16.625" style="574" customWidth="1"/>
    <col min="8474" max="8474" width="28.125" style="574" customWidth="1"/>
    <col min="8475" max="8475" width="8.875" style="574"/>
    <col min="8476" max="8476" width="15.125" style="574" customWidth="1"/>
    <col min="8477" max="8704" width="8.875" style="574"/>
    <col min="8705" max="8723" width="9" style="574" hidden="1" customWidth="1"/>
    <col min="8724" max="8724" width="12.5" style="574" customWidth="1"/>
    <col min="8725" max="8725" width="14.625" style="574" customWidth="1"/>
    <col min="8726" max="8726" width="9.875" style="574" customWidth="1"/>
    <col min="8727" max="8727" width="11.875" style="574" customWidth="1"/>
    <col min="8728" max="8728" width="18.875" style="574" customWidth="1"/>
    <col min="8729" max="8729" width="16.625" style="574" customWidth="1"/>
    <col min="8730" max="8730" width="28.125" style="574" customWidth="1"/>
    <col min="8731" max="8731" width="8.875" style="574"/>
    <col min="8732" max="8732" width="15.125" style="574" customWidth="1"/>
    <col min="8733" max="8960" width="8.875" style="574"/>
    <col min="8961" max="8979" width="9" style="574" hidden="1" customWidth="1"/>
    <col min="8980" max="8980" width="12.5" style="574" customWidth="1"/>
    <col min="8981" max="8981" width="14.625" style="574" customWidth="1"/>
    <col min="8982" max="8982" width="9.875" style="574" customWidth="1"/>
    <col min="8983" max="8983" width="11.875" style="574" customWidth="1"/>
    <col min="8984" max="8984" width="18.875" style="574" customWidth="1"/>
    <col min="8985" max="8985" width="16.625" style="574" customWidth="1"/>
    <col min="8986" max="8986" width="28.125" style="574" customWidth="1"/>
    <col min="8987" max="8987" width="8.875" style="574"/>
    <col min="8988" max="8988" width="15.125" style="574" customWidth="1"/>
    <col min="8989" max="9216" width="8.875" style="574"/>
    <col min="9217" max="9235" width="9" style="574" hidden="1" customWidth="1"/>
    <col min="9236" max="9236" width="12.5" style="574" customWidth="1"/>
    <col min="9237" max="9237" width="14.625" style="574" customWidth="1"/>
    <col min="9238" max="9238" width="9.875" style="574" customWidth="1"/>
    <col min="9239" max="9239" width="11.875" style="574" customWidth="1"/>
    <col min="9240" max="9240" width="18.875" style="574" customWidth="1"/>
    <col min="9241" max="9241" width="16.625" style="574" customWidth="1"/>
    <col min="9242" max="9242" width="28.125" style="574" customWidth="1"/>
    <col min="9243" max="9243" width="8.875" style="574"/>
    <col min="9244" max="9244" width="15.125" style="574" customWidth="1"/>
    <col min="9245" max="9472" width="8.875" style="574"/>
    <col min="9473" max="9491" width="9" style="574" hidden="1" customWidth="1"/>
    <col min="9492" max="9492" width="12.5" style="574" customWidth="1"/>
    <col min="9493" max="9493" width="14.625" style="574" customWidth="1"/>
    <col min="9494" max="9494" width="9.875" style="574" customWidth="1"/>
    <col min="9495" max="9495" width="11.875" style="574" customWidth="1"/>
    <col min="9496" max="9496" width="18.875" style="574" customWidth="1"/>
    <col min="9497" max="9497" width="16.625" style="574" customWidth="1"/>
    <col min="9498" max="9498" width="28.125" style="574" customWidth="1"/>
    <col min="9499" max="9499" width="8.875" style="574"/>
    <col min="9500" max="9500" width="15.125" style="574" customWidth="1"/>
    <col min="9501" max="9728" width="8.875" style="574"/>
    <col min="9729" max="9747" width="9" style="574" hidden="1" customWidth="1"/>
    <col min="9748" max="9748" width="12.5" style="574" customWidth="1"/>
    <col min="9749" max="9749" width="14.625" style="574" customWidth="1"/>
    <col min="9750" max="9750" width="9.875" style="574" customWidth="1"/>
    <col min="9751" max="9751" width="11.875" style="574" customWidth="1"/>
    <col min="9752" max="9752" width="18.875" style="574" customWidth="1"/>
    <col min="9753" max="9753" width="16.625" style="574" customWidth="1"/>
    <col min="9754" max="9754" width="28.125" style="574" customWidth="1"/>
    <col min="9755" max="9755" width="8.875" style="574"/>
    <col min="9756" max="9756" width="15.125" style="574" customWidth="1"/>
    <col min="9757" max="9984" width="8.875" style="574"/>
    <col min="9985" max="10003" width="9" style="574" hidden="1" customWidth="1"/>
    <col min="10004" max="10004" width="12.5" style="574" customWidth="1"/>
    <col min="10005" max="10005" width="14.625" style="574" customWidth="1"/>
    <col min="10006" max="10006" width="9.875" style="574" customWidth="1"/>
    <col min="10007" max="10007" width="11.875" style="574" customWidth="1"/>
    <col min="10008" max="10008" width="18.875" style="574" customWidth="1"/>
    <col min="10009" max="10009" width="16.625" style="574" customWidth="1"/>
    <col min="10010" max="10010" width="28.125" style="574" customWidth="1"/>
    <col min="10011" max="10011" width="8.875" style="574"/>
    <col min="10012" max="10012" width="15.125" style="574" customWidth="1"/>
    <col min="10013" max="10240" width="8.875" style="574"/>
    <col min="10241" max="10259" width="9" style="574" hidden="1" customWidth="1"/>
    <col min="10260" max="10260" width="12.5" style="574" customWidth="1"/>
    <col min="10261" max="10261" width="14.625" style="574" customWidth="1"/>
    <col min="10262" max="10262" width="9.875" style="574" customWidth="1"/>
    <col min="10263" max="10263" width="11.875" style="574" customWidth="1"/>
    <col min="10264" max="10264" width="18.875" style="574" customWidth="1"/>
    <col min="10265" max="10265" width="16.625" style="574" customWidth="1"/>
    <col min="10266" max="10266" width="28.125" style="574" customWidth="1"/>
    <col min="10267" max="10267" width="8.875" style="574"/>
    <col min="10268" max="10268" width="15.125" style="574" customWidth="1"/>
    <col min="10269" max="10496" width="8.875" style="574"/>
    <col min="10497" max="10515" width="9" style="574" hidden="1" customWidth="1"/>
    <col min="10516" max="10516" width="12.5" style="574" customWidth="1"/>
    <col min="10517" max="10517" width="14.625" style="574" customWidth="1"/>
    <col min="10518" max="10518" width="9.875" style="574" customWidth="1"/>
    <col min="10519" max="10519" width="11.875" style="574" customWidth="1"/>
    <col min="10520" max="10520" width="18.875" style="574" customWidth="1"/>
    <col min="10521" max="10521" width="16.625" style="574" customWidth="1"/>
    <col min="10522" max="10522" width="28.125" style="574" customWidth="1"/>
    <col min="10523" max="10523" width="8.875" style="574"/>
    <col min="10524" max="10524" width="15.125" style="574" customWidth="1"/>
    <col min="10525" max="10752" width="8.875" style="574"/>
    <col min="10753" max="10771" width="9" style="574" hidden="1" customWidth="1"/>
    <col min="10772" max="10772" width="12.5" style="574" customWidth="1"/>
    <col min="10773" max="10773" width="14.625" style="574" customWidth="1"/>
    <col min="10774" max="10774" width="9.875" style="574" customWidth="1"/>
    <col min="10775" max="10775" width="11.875" style="574" customWidth="1"/>
    <col min="10776" max="10776" width="18.875" style="574" customWidth="1"/>
    <col min="10777" max="10777" width="16.625" style="574" customWidth="1"/>
    <col min="10778" max="10778" width="28.125" style="574" customWidth="1"/>
    <col min="10779" max="10779" width="8.875" style="574"/>
    <col min="10780" max="10780" width="15.125" style="574" customWidth="1"/>
    <col min="10781" max="11008" width="8.875" style="574"/>
    <col min="11009" max="11027" width="9" style="574" hidden="1" customWidth="1"/>
    <col min="11028" max="11028" width="12.5" style="574" customWidth="1"/>
    <col min="11029" max="11029" width="14.625" style="574" customWidth="1"/>
    <col min="11030" max="11030" width="9.875" style="574" customWidth="1"/>
    <col min="11031" max="11031" width="11.875" style="574" customWidth="1"/>
    <col min="11032" max="11032" width="18.875" style="574" customWidth="1"/>
    <col min="11033" max="11033" width="16.625" style="574" customWidth="1"/>
    <col min="11034" max="11034" width="28.125" style="574" customWidth="1"/>
    <col min="11035" max="11035" width="8.875" style="574"/>
    <col min="11036" max="11036" width="15.125" style="574" customWidth="1"/>
    <col min="11037" max="11264" width="8.875" style="574"/>
    <col min="11265" max="11283" width="9" style="574" hidden="1" customWidth="1"/>
    <col min="11284" max="11284" width="12.5" style="574" customWidth="1"/>
    <col min="11285" max="11285" width="14.625" style="574" customWidth="1"/>
    <col min="11286" max="11286" width="9.875" style="574" customWidth="1"/>
    <col min="11287" max="11287" width="11.875" style="574" customWidth="1"/>
    <col min="11288" max="11288" width="18.875" style="574" customWidth="1"/>
    <col min="11289" max="11289" width="16.625" style="574" customWidth="1"/>
    <col min="11290" max="11290" width="28.125" style="574" customWidth="1"/>
    <col min="11291" max="11291" width="8.875" style="574"/>
    <col min="11292" max="11292" width="15.125" style="574" customWidth="1"/>
    <col min="11293" max="11520" width="8.875" style="574"/>
    <col min="11521" max="11539" width="9" style="574" hidden="1" customWidth="1"/>
    <col min="11540" max="11540" width="12.5" style="574" customWidth="1"/>
    <col min="11541" max="11541" width="14.625" style="574" customWidth="1"/>
    <col min="11542" max="11542" width="9.875" style="574" customWidth="1"/>
    <col min="11543" max="11543" width="11.875" style="574" customWidth="1"/>
    <col min="11544" max="11544" width="18.875" style="574" customWidth="1"/>
    <col min="11545" max="11545" width="16.625" style="574" customWidth="1"/>
    <col min="11546" max="11546" width="28.125" style="574" customWidth="1"/>
    <col min="11547" max="11547" width="8.875" style="574"/>
    <col min="11548" max="11548" width="15.125" style="574" customWidth="1"/>
    <col min="11549" max="11776" width="8.875" style="574"/>
    <col min="11777" max="11795" width="9" style="574" hidden="1" customWidth="1"/>
    <col min="11796" max="11796" width="12.5" style="574" customWidth="1"/>
    <col min="11797" max="11797" width="14.625" style="574" customWidth="1"/>
    <col min="11798" max="11798" width="9.875" style="574" customWidth="1"/>
    <col min="11799" max="11799" width="11.875" style="574" customWidth="1"/>
    <col min="11800" max="11800" width="18.875" style="574" customWidth="1"/>
    <col min="11801" max="11801" width="16.625" style="574" customWidth="1"/>
    <col min="11802" max="11802" width="28.125" style="574" customWidth="1"/>
    <col min="11803" max="11803" width="8.875" style="574"/>
    <col min="11804" max="11804" width="15.125" style="574" customWidth="1"/>
    <col min="11805" max="12032" width="8.875" style="574"/>
    <col min="12033" max="12051" width="9" style="574" hidden="1" customWidth="1"/>
    <col min="12052" max="12052" width="12.5" style="574" customWidth="1"/>
    <col min="12053" max="12053" width="14.625" style="574" customWidth="1"/>
    <col min="12054" max="12054" width="9.875" style="574" customWidth="1"/>
    <col min="12055" max="12055" width="11.875" style="574" customWidth="1"/>
    <col min="12056" max="12056" width="18.875" style="574" customWidth="1"/>
    <col min="12057" max="12057" width="16.625" style="574" customWidth="1"/>
    <col min="12058" max="12058" width="28.125" style="574" customWidth="1"/>
    <col min="12059" max="12059" width="8.875" style="574"/>
    <col min="12060" max="12060" width="15.125" style="574" customWidth="1"/>
    <col min="12061" max="12288" width="8.875" style="574"/>
    <col min="12289" max="12307" width="9" style="574" hidden="1" customWidth="1"/>
    <col min="12308" max="12308" width="12.5" style="574" customWidth="1"/>
    <col min="12309" max="12309" width="14.625" style="574" customWidth="1"/>
    <col min="12310" max="12310" width="9.875" style="574" customWidth="1"/>
    <col min="12311" max="12311" width="11.875" style="574" customWidth="1"/>
    <col min="12312" max="12312" width="18.875" style="574" customWidth="1"/>
    <col min="12313" max="12313" width="16.625" style="574" customWidth="1"/>
    <col min="12314" max="12314" width="28.125" style="574" customWidth="1"/>
    <col min="12315" max="12315" width="8.875" style="574"/>
    <col min="12316" max="12316" width="15.125" style="574" customWidth="1"/>
    <col min="12317" max="12544" width="8.875" style="574"/>
    <col min="12545" max="12563" width="9" style="574" hidden="1" customWidth="1"/>
    <col min="12564" max="12564" width="12.5" style="574" customWidth="1"/>
    <col min="12565" max="12565" width="14.625" style="574" customWidth="1"/>
    <col min="12566" max="12566" width="9.875" style="574" customWidth="1"/>
    <col min="12567" max="12567" width="11.875" style="574" customWidth="1"/>
    <col min="12568" max="12568" width="18.875" style="574" customWidth="1"/>
    <col min="12569" max="12569" width="16.625" style="574" customWidth="1"/>
    <col min="12570" max="12570" width="28.125" style="574" customWidth="1"/>
    <col min="12571" max="12571" width="8.875" style="574"/>
    <col min="12572" max="12572" width="15.125" style="574" customWidth="1"/>
    <col min="12573" max="12800" width="8.875" style="574"/>
    <col min="12801" max="12819" width="9" style="574" hidden="1" customWidth="1"/>
    <col min="12820" max="12820" width="12.5" style="574" customWidth="1"/>
    <col min="12821" max="12821" width="14.625" style="574" customWidth="1"/>
    <col min="12822" max="12822" width="9.875" style="574" customWidth="1"/>
    <col min="12823" max="12823" width="11.875" style="574" customWidth="1"/>
    <col min="12824" max="12824" width="18.875" style="574" customWidth="1"/>
    <col min="12825" max="12825" width="16.625" style="574" customWidth="1"/>
    <col min="12826" max="12826" width="28.125" style="574" customWidth="1"/>
    <col min="12827" max="12827" width="8.875" style="574"/>
    <col min="12828" max="12828" width="15.125" style="574" customWidth="1"/>
    <col min="12829" max="13056" width="8.875" style="574"/>
    <col min="13057" max="13075" width="9" style="574" hidden="1" customWidth="1"/>
    <col min="13076" max="13076" width="12.5" style="574" customWidth="1"/>
    <col min="13077" max="13077" width="14.625" style="574" customWidth="1"/>
    <col min="13078" max="13078" width="9.875" style="574" customWidth="1"/>
    <col min="13079" max="13079" width="11.875" style="574" customWidth="1"/>
    <col min="13080" max="13080" width="18.875" style="574" customWidth="1"/>
    <col min="13081" max="13081" width="16.625" style="574" customWidth="1"/>
    <col min="13082" max="13082" width="28.125" style="574" customWidth="1"/>
    <col min="13083" max="13083" width="8.875" style="574"/>
    <col min="13084" max="13084" width="15.125" style="574" customWidth="1"/>
    <col min="13085" max="13312" width="8.875" style="574"/>
    <col min="13313" max="13331" width="9" style="574" hidden="1" customWidth="1"/>
    <col min="13332" max="13332" width="12.5" style="574" customWidth="1"/>
    <col min="13333" max="13333" width="14.625" style="574" customWidth="1"/>
    <col min="13334" max="13334" width="9.875" style="574" customWidth="1"/>
    <col min="13335" max="13335" width="11.875" style="574" customWidth="1"/>
    <col min="13336" max="13336" width="18.875" style="574" customWidth="1"/>
    <col min="13337" max="13337" width="16.625" style="574" customWidth="1"/>
    <col min="13338" max="13338" width="28.125" style="574" customWidth="1"/>
    <col min="13339" max="13339" width="8.875" style="574"/>
    <col min="13340" max="13340" width="15.125" style="574" customWidth="1"/>
    <col min="13341" max="13568" width="8.875" style="574"/>
    <col min="13569" max="13587" width="9" style="574" hidden="1" customWidth="1"/>
    <col min="13588" max="13588" width="12.5" style="574" customWidth="1"/>
    <col min="13589" max="13589" width="14.625" style="574" customWidth="1"/>
    <col min="13590" max="13590" width="9.875" style="574" customWidth="1"/>
    <col min="13591" max="13591" width="11.875" style="574" customWidth="1"/>
    <col min="13592" max="13592" width="18.875" style="574" customWidth="1"/>
    <col min="13593" max="13593" width="16.625" style="574" customWidth="1"/>
    <col min="13594" max="13594" width="28.125" style="574" customWidth="1"/>
    <col min="13595" max="13595" width="8.875" style="574"/>
    <col min="13596" max="13596" width="15.125" style="574" customWidth="1"/>
    <col min="13597" max="13824" width="8.875" style="574"/>
    <col min="13825" max="13843" width="9" style="574" hidden="1" customWidth="1"/>
    <col min="13844" max="13844" width="12.5" style="574" customWidth="1"/>
    <col min="13845" max="13845" width="14.625" style="574" customWidth="1"/>
    <col min="13846" max="13846" width="9.875" style="574" customWidth="1"/>
    <col min="13847" max="13847" width="11.875" style="574" customWidth="1"/>
    <col min="13848" max="13848" width="18.875" style="574" customWidth="1"/>
    <col min="13849" max="13849" width="16.625" style="574" customWidth="1"/>
    <col min="13850" max="13850" width="28.125" style="574" customWidth="1"/>
    <col min="13851" max="13851" width="8.875" style="574"/>
    <col min="13852" max="13852" width="15.125" style="574" customWidth="1"/>
    <col min="13853" max="14080" width="8.875" style="574"/>
    <col min="14081" max="14099" width="9" style="574" hidden="1" customWidth="1"/>
    <col min="14100" max="14100" width="12.5" style="574" customWidth="1"/>
    <col min="14101" max="14101" width="14.625" style="574" customWidth="1"/>
    <col min="14102" max="14102" width="9.875" style="574" customWidth="1"/>
    <col min="14103" max="14103" width="11.875" style="574" customWidth="1"/>
    <col min="14104" max="14104" width="18.875" style="574" customWidth="1"/>
    <col min="14105" max="14105" width="16.625" style="574" customWidth="1"/>
    <col min="14106" max="14106" width="28.125" style="574" customWidth="1"/>
    <col min="14107" max="14107" width="8.875" style="574"/>
    <col min="14108" max="14108" width="15.125" style="574" customWidth="1"/>
    <col min="14109" max="14336" width="8.875" style="574"/>
    <col min="14337" max="14355" width="9" style="574" hidden="1" customWidth="1"/>
    <col min="14356" max="14356" width="12.5" style="574" customWidth="1"/>
    <col min="14357" max="14357" width="14.625" style="574" customWidth="1"/>
    <col min="14358" max="14358" width="9.875" style="574" customWidth="1"/>
    <col min="14359" max="14359" width="11.875" style="574" customWidth="1"/>
    <col min="14360" max="14360" width="18.875" style="574" customWidth="1"/>
    <col min="14361" max="14361" width="16.625" style="574" customWidth="1"/>
    <col min="14362" max="14362" width="28.125" style="574" customWidth="1"/>
    <col min="14363" max="14363" width="8.875" style="574"/>
    <col min="14364" max="14364" width="15.125" style="574" customWidth="1"/>
    <col min="14365" max="14592" width="8.875" style="574"/>
    <col min="14593" max="14611" width="9" style="574" hidden="1" customWidth="1"/>
    <col min="14612" max="14612" width="12.5" style="574" customWidth="1"/>
    <col min="14613" max="14613" width="14.625" style="574" customWidth="1"/>
    <col min="14614" max="14614" width="9.875" style="574" customWidth="1"/>
    <col min="14615" max="14615" width="11.875" style="574" customWidth="1"/>
    <col min="14616" max="14616" width="18.875" style="574" customWidth="1"/>
    <col min="14617" max="14617" width="16.625" style="574" customWidth="1"/>
    <col min="14618" max="14618" width="28.125" style="574" customWidth="1"/>
    <col min="14619" max="14619" width="8.875" style="574"/>
    <col min="14620" max="14620" width="15.125" style="574" customWidth="1"/>
    <col min="14621" max="14848" width="8.875" style="574"/>
    <col min="14849" max="14867" width="9" style="574" hidden="1" customWidth="1"/>
    <col min="14868" max="14868" width="12.5" style="574" customWidth="1"/>
    <col min="14869" max="14869" width="14.625" style="574" customWidth="1"/>
    <col min="14870" max="14870" width="9.875" style="574" customWidth="1"/>
    <col min="14871" max="14871" width="11.875" style="574" customWidth="1"/>
    <col min="14872" max="14872" width="18.875" style="574" customWidth="1"/>
    <col min="14873" max="14873" width="16.625" style="574" customWidth="1"/>
    <col min="14874" max="14874" width="28.125" style="574" customWidth="1"/>
    <col min="14875" max="14875" width="8.875" style="574"/>
    <col min="14876" max="14876" width="15.125" style="574" customWidth="1"/>
    <col min="14877" max="15104" width="8.875" style="574"/>
    <col min="15105" max="15123" width="9" style="574" hidden="1" customWidth="1"/>
    <col min="15124" max="15124" width="12.5" style="574" customWidth="1"/>
    <col min="15125" max="15125" width="14.625" style="574" customWidth="1"/>
    <col min="15126" max="15126" width="9.875" style="574" customWidth="1"/>
    <col min="15127" max="15127" width="11.875" style="574" customWidth="1"/>
    <col min="15128" max="15128" width="18.875" style="574" customWidth="1"/>
    <col min="15129" max="15129" width="16.625" style="574" customWidth="1"/>
    <col min="15130" max="15130" width="28.125" style="574" customWidth="1"/>
    <col min="15131" max="15131" width="8.875" style="574"/>
    <col min="15132" max="15132" width="15.125" style="574" customWidth="1"/>
    <col min="15133" max="15360" width="8.875" style="574"/>
    <col min="15361" max="15379" width="9" style="574" hidden="1" customWidth="1"/>
    <col min="15380" max="15380" width="12.5" style="574" customWidth="1"/>
    <col min="15381" max="15381" width="14.625" style="574" customWidth="1"/>
    <col min="15382" max="15382" width="9.875" style="574" customWidth="1"/>
    <col min="15383" max="15383" width="11.875" style="574" customWidth="1"/>
    <col min="15384" max="15384" width="18.875" style="574" customWidth="1"/>
    <col min="15385" max="15385" width="16.625" style="574" customWidth="1"/>
    <col min="15386" max="15386" width="28.125" style="574" customWidth="1"/>
    <col min="15387" max="15387" width="8.875" style="574"/>
    <col min="15388" max="15388" width="15.125" style="574" customWidth="1"/>
    <col min="15389" max="15616" width="8.875" style="574"/>
    <col min="15617" max="15635" width="9" style="574" hidden="1" customWidth="1"/>
    <col min="15636" max="15636" width="12.5" style="574" customWidth="1"/>
    <col min="15637" max="15637" width="14.625" style="574" customWidth="1"/>
    <col min="15638" max="15638" width="9.875" style="574" customWidth="1"/>
    <col min="15639" max="15639" width="11.875" style="574" customWidth="1"/>
    <col min="15640" max="15640" width="18.875" style="574" customWidth="1"/>
    <col min="15641" max="15641" width="16.625" style="574" customWidth="1"/>
    <col min="15642" max="15642" width="28.125" style="574" customWidth="1"/>
    <col min="15643" max="15643" width="8.875" style="574"/>
    <col min="15644" max="15644" width="15.125" style="574" customWidth="1"/>
    <col min="15645" max="15872" width="8.875" style="574"/>
    <col min="15873" max="15891" width="9" style="574" hidden="1" customWidth="1"/>
    <col min="15892" max="15892" width="12.5" style="574" customWidth="1"/>
    <col min="15893" max="15893" width="14.625" style="574" customWidth="1"/>
    <col min="15894" max="15894" width="9.875" style="574" customWidth="1"/>
    <col min="15895" max="15895" width="11.875" style="574" customWidth="1"/>
    <col min="15896" max="15896" width="18.875" style="574" customWidth="1"/>
    <col min="15897" max="15897" width="16.625" style="574" customWidth="1"/>
    <col min="15898" max="15898" width="28.125" style="574" customWidth="1"/>
    <col min="15899" max="15899" width="8.875" style="574"/>
    <col min="15900" max="15900" width="15.125" style="574" customWidth="1"/>
    <col min="15901" max="16128" width="8.875" style="574"/>
    <col min="16129" max="16147" width="9" style="574" hidden="1" customWidth="1"/>
    <col min="16148" max="16148" width="12.5" style="574" customWidth="1"/>
    <col min="16149" max="16149" width="14.625" style="574" customWidth="1"/>
    <col min="16150" max="16150" width="9.875" style="574" customWidth="1"/>
    <col min="16151" max="16151" width="11.875" style="574" customWidth="1"/>
    <col min="16152" max="16152" width="18.875" style="574" customWidth="1"/>
    <col min="16153" max="16153" width="16.625" style="574" customWidth="1"/>
    <col min="16154" max="16154" width="28.125" style="574" customWidth="1"/>
    <col min="16155" max="16155" width="8.875" style="574"/>
    <col min="16156" max="16156" width="15.125" style="574" customWidth="1"/>
    <col min="16157" max="16384" width="8.875" style="574"/>
  </cols>
  <sheetData>
    <row r="1" spans="1:28" s="565" customFormat="1" ht="51" customHeight="1">
      <c r="A1" s="560" t="s">
        <v>443</v>
      </c>
      <c r="B1" s="560" t="s">
        <v>442</v>
      </c>
      <c r="C1" s="560" t="s">
        <v>448</v>
      </c>
      <c r="D1" s="560" t="s">
        <v>449</v>
      </c>
      <c r="E1" s="560" t="s">
        <v>452</v>
      </c>
      <c r="F1" s="560" t="s">
        <v>453</v>
      </c>
      <c r="G1" s="560" t="s">
        <v>454</v>
      </c>
      <c r="H1" s="560" t="s">
        <v>455</v>
      </c>
      <c r="I1" s="560" t="s">
        <v>456</v>
      </c>
      <c r="J1" s="560" t="s">
        <v>457</v>
      </c>
      <c r="K1" s="560" t="s">
        <v>458</v>
      </c>
      <c r="L1" s="560" t="s">
        <v>459</v>
      </c>
      <c r="M1" s="560" t="s">
        <v>460</v>
      </c>
      <c r="N1" s="560" t="s">
        <v>462</v>
      </c>
      <c r="O1" s="560" t="s">
        <v>463</v>
      </c>
      <c r="P1" s="560" t="s">
        <v>464</v>
      </c>
      <c r="Q1" s="561" t="s">
        <v>444</v>
      </c>
      <c r="R1" s="561" t="s">
        <v>450</v>
      </c>
      <c r="S1" s="561" t="s">
        <v>451</v>
      </c>
      <c r="T1" s="562" t="s">
        <v>445</v>
      </c>
      <c r="U1" s="562" t="s">
        <v>446</v>
      </c>
      <c r="V1" s="562" t="s">
        <v>447</v>
      </c>
      <c r="W1" s="563" t="s">
        <v>1332</v>
      </c>
      <c r="X1" s="563" t="s">
        <v>1333</v>
      </c>
      <c r="Y1" s="563" t="s">
        <v>290</v>
      </c>
      <c r="Z1" s="564" t="s">
        <v>1334</v>
      </c>
      <c r="AA1" s="591" t="s">
        <v>461</v>
      </c>
      <c r="AB1" s="592" t="s">
        <v>465</v>
      </c>
    </row>
    <row r="2" spans="1:28" hidden="1">
      <c r="A2" s="566" t="s">
        <v>1335</v>
      </c>
      <c r="B2" s="566" t="s">
        <v>466</v>
      </c>
      <c r="C2" s="566" t="s">
        <v>471</v>
      </c>
      <c r="D2" s="566" t="s">
        <v>472</v>
      </c>
      <c r="E2" s="566" t="s">
        <v>473</v>
      </c>
      <c r="F2" s="566" t="s">
        <v>474</v>
      </c>
      <c r="G2" s="567">
        <v>0</v>
      </c>
      <c r="H2" s="566" t="s">
        <v>561</v>
      </c>
      <c r="I2" s="568">
        <v>2</v>
      </c>
      <c r="J2" s="569">
        <v>51</v>
      </c>
      <c r="K2" s="569">
        <v>51</v>
      </c>
      <c r="L2" s="566"/>
      <c r="M2" s="566" t="s">
        <v>476</v>
      </c>
      <c r="N2" s="570">
        <v>1008</v>
      </c>
      <c r="O2" s="566"/>
      <c r="P2" s="566" t="s">
        <v>477</v>
      </c>
      <c r="Q2" s="568">
        <v>909678</v>
      </c>
      <c r="R2" s="568">
        <v>25</v>
      </c>
      <c r="S2" s="566" t="s">
        <v>1336</v>
      </c>
      <c r="T2" s="571" t="s">
        <v>467</v>
      </c>
      <c r="U2" s="571" t="s">
        <v>550</v>
      </c>
      <c r="V2" s="571" t="s">
        <v>469</v>
      </c>
      <c r="W2" s="572" t="s">
        <v>1274</v>
      </c>
      <c r="X2" s="571" t="s">
        <v>1337</v>
      </c>
      <c r="Y2" s="571" t="s">
        <v>1338</v>
      </c>
      <c r="Z2" s="566" t="s">
        <v>1339</v>
      </c>
      <c r="AA2" s="573">
        <v>1008</v>
      </c>
      <c r="AB2" s="571"/>
    </row>
    <row r="3" spans="1:28" hidden="1">
      <c r="A3" s="566" t="s">
        <v>1335</v>
      </c>
      <c r="B3" s="566" t="s">
        <v>466</v>
      </c>
      <c r="C3" s="566" t="s">
        <v>471</v>
      </c>
      <c r="D3" s="566" t="s">
        <v>472</v>
      </c>
      <c r="E3" s="566" t="s">
        <v>473</v>
      </c>
      <c r="F3" s="566" t="s">
        <v>474</v>
      </c>
      <c r="G3" s="567">
        <v>0</v>
      </c>
      <c r="H3" s="566" t="s">
        <v>564</v>
      </c>
      <c r="I3" s="568">
        <v>2</v>
      </c>
      <c r="J3" s="569">
        <v>51</v>
      </c>
      <c r="K3" s="569">
        <v>51</v>
      </c>
      <c r="L3" s="566"/>
      <c r="M3" s="566" t="s">
        <v>476</v>
      </c>
      <c r="N3" s="570">
        <v>1044</v>
      </c>
      <c r="O3" s="566"/>
      <c r="P3" s="566" t="s">
        <v>477</v>
      </c>
      <c r="Q3" s="568">
        <v>909678</v>
      </c>
      <c r="R3" s="568">
        <v>26</v>
      </c>
      <c r="S3" s="566" t="s">
        <v>1340</v>
      </c>
      <c r="T3" s="571" t="s">
        <v>467</v>
      </c>
      <c r="U3" s="571" t="s">
        <v>550</v>
      </c>
      <c r="V3" s="571" t="s">
        <v>469</v>
      </c>
      <c r="W3" s="572" t="s">
        <v>1275</v>
      </c>
      <c r="X3" s="571" t="s">
        <v>1337</v>
      </c>
      <c r="Y3" s="571" t="s">
        <v>1338</v>
      </c>
      <c r="Z3" s="566" t="s">
        <v>1341</v>
      </c>
      <c r="AA3" s="573">
        <v>1044</v>
      </c>
      <c r="AB3" s="571"/>
    </row>
    <row r="4" spans="1:28" hidden="1">
      <c r="A4" s="566" t="s">
        <v>1335</v>
      </c>
      <c r="B4" s="566" t="s">
        <v>466</v>
      </c>
      <c r="C4" s="566" t="s">
        <v>487</v>
      </c>
      <c r="D4" s="566" t="s">
        <v>472</v>
      </c>
      <c r="E4" s="566" t="s">
        <v>473</v>
      </c>
      <c r="F4" s="566" t="s">
        <v>489</v>
      </c>
      <c r="G4" s="567">
        <v>50</v>
      </c>
      <c r="H4" s="566" t="s">
        <v>566</v>
      </c>
      <c r="I4" s="568">
        <v>2</v>
      </c>
      <c r="J4" s="569">
        <v>51</v>
      </c>
      <c r="K4" s="569">
        <v>51</v>
      </c>
      <c r="L4" s="566"/>
      <c r="M4" s="566" t="s">
        <v>476</v>
      </c>
      <c r="N4" s="570">
        <v>1080</v>
      </c>
      <c r="O4" s="566"/>
      <c r="P4" s="566" t="s">
        <v>477</v>
      </c>
      <c r="Q4" s="568">
        <v>909678</v>
      </c>
      <c r="R4" s="568">
        <v>28</v>
      </c>
      <c r="S4" s="566" t="s">
        <v>1342</v>
      </c>
      <c r="T4" s="571" t="s">
        <v>467</v>
      </c>
      <c r="U4" s="571" t="s">
        <v>550</v>
      </c>
      <c r="V4" s="571" t="s">
        <v>469</v>
      </c>
      <c r="W4" s="572" t="s">
        <v>485</v>
      </c>
      <c r="X4" s="571" t="s">
        <v>1337</v>
      </c>
      <c r="Y4" s="571" t="s">
        <v>1338</v>
      </c>
      <c r="Z4" s="566" t="s">
        <v>1343</v>
      </c>
      <c r="AA4" s="573">
        <v>1080</v>
      </c>
      <c r="AB4" s="571"/>
    </row>
    <row r="5" spans="1:28" hidden="1">
      <c r="A5" s="566" t="s">
        <v>1335</v>
      </c>
      <c r="B5" s="566" t="s">
        <v>466</v>
      </c>
      <c r="C5" s="566" t="s">
        <v>487</v>
      </c>
      <c r="D5" s="566" t="s">
        <v>472</v>
      </c>
      <c r="E5" s="566" t="s">
        <v>473</v>
      </c>
      <c r="F5" s="566" t="s">
        <v>489</v>
      </c>
      <c r="G5" s="567">
        <v>50</v>
      </c>
      <c r="H5" s="566" t="s">
        <v>568</v>
      </c>
      <c r="I5" s="568">
        <v>2</v>
      </c>
      <c r="J5" s="569">
        <v>51</v>
      </c>
      <c r="K5" s="569">
        <v>51</v>
      </c>
      <c r="L5" s="566"/>
      <c r="M5" s="566" t="s">
        <v>476</v>
      </c>
      <c r="N5" s="570">
        <v>1116</v>
      </c>
      <c r="O5" s="566"/>
      <c r="P5" s="566" t="s">
        <v>477</v>
      </c>
      <c r="Q5" s="568">
        <v>909678</v>
      </c>
      <c r="R5" s="568">
        <v>29</v>
      </c>
      <c r="S5" s="566" t="s">
        <v>1344</v>
      </c>
      <c r="T5" s="571" t="s">
        <v>467</v>
      </c>
      <c r="U5" s="571" t="s">
        <v>550</v>
      </c>
      <c r="V5" s="571" t="s">
        <v>469</v>
      </c>
      <c r="W5" s="572" t="s">
        <v>491</v>
      </c>
      <c r="X5" s="571" t="s">
        <v>1337</v>
      </c>
      <c r="Y5" s="571" t="s">
        <v>1338</v>
      </c>
      <c r="Z5" s="566" t="s">
        <v>1345</v>
      </c>
      <c r="AA5" s="573">
        <v>1116</v>
      </c>
      <c r="AB5" s="571"/>
    </row>
    <row r="6" spans="1:28" hidden="1">
      <c r="A6" s="566" t="s">
        <v>1335</v>
      </c>
      <c r="B6" s="566" t="s">
        <v>466</v>
      </c>
      <c r="C6" s="566" t="s">
        <v>487</v>
      </c>
      <c r="D6" s="566" t="s">
        <v>472</v>
      </c>
      <c r="E6" s="566" t="s">
        <v>473</v>
      </c>
      <c r="F6" s="566" t="s">
        <v>489</v>
      </c>
      <c r="G6" s="567">
        <v>50</v>
      </c>
      <c r="H6" s="566" t="s">
        <v>570</v>
      </c>
      <c r="I6" s="568">
        <v>2</v>
      </c>
      <c r="J6" s="569">
        <v>51</v>
      </c>
      <c r="K6" s="569">
        <v>51</v>
      </c>
      <c r="L6" s="566"/>
      <c r="M6" s="566" t="s">
        <v>476</v>
      </c>
      <c r="N6" s="570">
        <v>1152</v>
      </c>
      <c r="O6" s="566"/>
      <c r="P6" s="566" t="s">
        <v>477</v>
      </c>
      <c r="Q6" s="568">
        <v>909678</v>
      </c>
      <c r="R6" s="568">
        <v>30</v>
      </c>
      <c r="S6" s="566" t="s">
        <v>1346</v>
      </c>
      <c r="T6" s="571" t="s">
        <v>467</v>
      </c>
      <c r="U6" s="571" t="s">
        <v>550</v>
      </c>
      <c r="V6" s="571" t="s">
        <v>469</v>
      </c>
      <c r="W6" s="572" t="s">
        <v>495</v>
      </c>
      <c r="X6" s="571" t="s">
        <v>1337</v>
      </c>
      <c r="Y6" s="571" t="s">
        <v>1338</v>
      </c>
      <c r="Z6" s="566" t="s">
        <v>1347</v>
      </c>
      <c r="AA6" s="573">
        <v>1152</v>
      </c>
      <c r="AB6" s="571"/>
    </row>
    <row r="7" spans="1:28" hidden="1">
      <c r="A7" s="566" t="s">
        <v>1335</v>
      </c>
      <c r="B7" s="566" t="s">
        <v>466</v>
      </c>
      <c r="C7" s="566" t="s">
        <v>487</v>
      </c>
      <c r="D7" s="566" t="s">
        <v>472</v>
      </c>
      <c r="E7" s="566" t="s">
        <v>473</v>
      </c>
      <c r="F7" s="566" t="s">
        <v>489</v>
      </c>
      <c r="G7" s="567">
        <v>50</v>
      </c>
      <c r="H7" s="566" t="s">
        <v>573</v>
      </c>
      <c r="I7" s="568">
        <v>2</v>
      </c>
      <c r="J7" s="569">
        <v>51</v>
      </c>
      <c r="K7" s="569">
        <v>51</v>
      </c>
      <c r="L7" s="566"/>
      <c r="M7" s="566" t="s">
        <v>476</v>
      </c>
      <c r="N7" s="570">
        <v>1188</v>
      </c>
      <c r="O7" s="566"/>
      <c r="P7" s="566" t="s">
        <v>477</v>
      </c>
      <c r="Q7" s="568">
        <v>909678</v>
      </c>
      <c r="R7" s="568">
        <v>31</v>
      </c>
      <c r="S7" s="566" t="s">
        <v>1348</v>
      </c>
      <c r="T7" s="571" t="s">
        <v>467</v>
      </c>
      <c r="U7" s="571" t="s">
        <v>550</v>
      </c>
      <c r="V7" s="571" t="s">
        <v>469</v>
      </c>
      <c r="W7" s="572" t="s">
        <v>1276</v>
      </c>
      <c r="X7" s="571" t="s">
        <v>1337</v>
      </c>
      <c r="Y7" s="571" t="s">
        <v>1338</v>
      </c>
      <c r="Z7" s="566" t="s">
        <v>1349</v>
      </c>
      <c r="AA7" s="573">
        <v>1188</v>
      </c>
      <c r="AB7" s="571"/>
    </row>
    <row r="8" spans="1:28" hidden="1">
      <c r="A8" s="566" t="s">
        <v>1335</v>
      </c>
      <c r="B8" s="566" t="s">
        <v>466</v>
      </c>
      <c r="C8" s="566" t="s">
        <v>487</v>
      </c>
      <c r="D8" s="566" t="s">
        <v>472</v>
      </c>
      <c r="E8" s="566" t="s">
        <v>473</v>
      </c>
      <c r="F8" s="566" t="s">
        <v>489</v>
      </c>
      <c r="G8" s="567">
        <v>50</v>
      </c>
      <c r="H8" s="566" t="s">
        <v>576</v>
      </c>
      <c r="I8" s="568">
        <v>2</v>
      </c>
      <c r="J8" s="569">
        <v>51</v>
      </c>
      <c r="K8" s="569">
        <v>51</v>
      </c>
      <c r="L8" s="566"/>
      <c r="M8" s="566" t="s">
        <v>476</v>
      </c>
      <c r="N8" s="570">
        <v>1224</v>
      </c>
      <c r="O8" s="566"/>
      <c r="P8" s="566" t="s">
        <v>477</v>
      </c>
      <c r="Q8" s="568">
        <v>909678</v>
      </c>
      <c r="R8" s="568">
        <v>32</v>
      </c>
      <c r="S8" s="566" t="s">
        <v>1350</v>
      </c>
      <c r="T8" s="571" t="s">
        <v>467</v>
      </c>
      <c r="U8" s="571" t="s">
        <v>550</v>
      </c>
      <c r="V8" s="571" t="s">
        <v>469</v>
      </c>
      <c r="W8" s="572" t="s">
        <v>1277</v>
      </c>
      <c r="X8" s="571" t="s">
        <v>1337</v>
      </c>
      <c r="Y8" s="571" t="s">
        <v>1338</v>
      </c>
      <c r="Z8" s="566" t="s">
        <v>1351</v>
      </c>
      <c r="AA8" s="573">
        <v>1224</v>
      </c>
      <c r="AB8" s="571"/>
    </row>
    <row r="9" spans="1:28" hidden="1">
      <c r="A9" s="566" t="s">
        <v>1335</v>
      </c>
      <c r="B9" s="566" t="s">
        <v>466</v>
      </c>
      <c r="C9" s="566" t="s">
        <v>471</v>
      </c>
      <c r="D9" s="566" t="s">
        <v>472</v>
      </c>
      <c r="E9" s="566" t="s">
        <v>473</v>
      </c>
      <c r="F9" s="566" t="s">
        <v>474</v>
      </c>
      <c r="G9" s="567">
        <v>0</v>
      </c>
      <c r="H9" s="566" t="s">
        <v>1352</v>
      </c>
      <c r="I9" s="568">
        <v>2</v>
      </c>
      <c r="J9" s="569">
        <v>51</v>
      </c>
      <c r="K9" s="569">
        <v>51</v>
      </c>
      <c r="L9" s="566"/>
      <c r="M9" s="566" t="s">
        <v>476</v>
      </c>
      <c r="N9" s="570">
        <v>1260</v>
      </c>
      <c r="O9" s="566"/>
      <c r="P9" s="566" t="s">
        <v>477</v>
      </c>
      <c r="Q9" s="568">
        <v>909678</v>
      </c>
      <c r="R9" s="568">
        <v>27</v>
      </c>
      <c r="S9" s="566" t="s">
        <v>1353</v>
      </c>
      <c r="T9" s="571" t="s">
        <v>467</v>
      </c>
      <c r="U9" s="571" t="s">
        <v>550</v>
      </c>
      <c r="V9" s="571" t="s">
        <v>469</v>
      </c>
      <c r="W9" s="572" t="s">
        <v>1354</v>
      </c>
      <c r="X9" s="571" t="s">
        <v>1337</v>
      </c>
      <c r="Y9" s="571" t="s">
        <v>1338</v>
      </c>
      <c r="Z9" s="566" t="s">
        <v>1355</v>
      </c>
      <c r="AA9" s="573">
        <v>1260</v>
      </c>
      <c r="AB9" s="571"/>
    </row>
    <row r="10" spans="1:28" hidden="1">
      <c r="A10" s="566" t="s">
        <v>1335</v>
      </c>
      <c r="B10" s="566" t="s">
        <v>466</v>
      </c>
      <c r="C10" s="566" t="s">
        <v>487</v>
      </c>
      <c r="D10" s="566" t="s">
        <v>472</v>
      </c>
      <c r="E10" s="566" t="s">
        <v>473</v>
      </c>
      <c r="F10" s="566" t="s">
        <v>489</v>
      </c>
      <c r="G10" s="567">
        <v>50</v>
      </c>
      <c r="H10" s="566" t="s">
        <v>1356</v>
      </c>
      <c r="I10" s="568">
        <v>2</v>
      </c>
      <c r="J10" s="569">
        <v>51</v>
      </c>
      <c r="K10" s="569">
        <v>51</v>
      </c>
      <c r="L10" s="566"/>
      <c r="M10" s="566" t="s">
        <v>476</v>
      </c>
      <c r="N10" s="570">
        <v>1296</v>
      </c>
      <c r="O10" s="566"/>
      <c r="P10" s="566" t="s">
        <v>477</v>
      </c>
      <c r="Q10" s="568">
        <v>909678</v>
      </c>
      <c r="R10" s="568">
        <v>33</v>
      </c>
      <c r="S10" s="566" t="s">
        <v>1357</v>
      </c>
      <c r="T10" s="571" t="s">
        <v>467</v>
      </c>
      <c r="U10" s="571" t="s">
        <v>550</v>
      </c>
      <c r="V10" s="571" t="s">
        <v>469</v>
      </c>
      <c r="W10" s="572" t="s">
        <v>1358</v>
      </c>
      <c r="X10" s="571" t="s">
        <v>1337</v>
      </c>
      <c r="Y10" s="571" t="s">
        <v>1338</v>
      </c>
      <c r="Z10" s="566" t="s">
        <v>1359</v>
      </c>
      <c r="AA10" s="573">
        <v>1296</v>
      </c>
      <c r="AB10" s="571"/>
    </row>
    <row r="11" spans="1:28" hidden="1">
      <c r="A11" s="566" t="s">
        <v>1335</v>
      </c>
      <c r="B11" s="566" t="s">
        <v>466</v>
      </c>
      <c r="C11" s="566" t="s">
        <v>471</v>
      </c>
      <c r="D11" s="566" t="s">
        <v>472</v>
      </c>
      <c r="E11" s="566" t="s">
        <v>473</v>
      </c>
      <c r="F11" s="566" t="s">
        <v>474</v>
      </c>
      <c r="G11" s="567">
        <v>0</v>
      </c>
      <c r="H11" s="566" t="s">
        <v>593</v>
      </c>
      <c r="I11" s="568">
        <v>1</v>
      </c>
      <c r="J11" s="569">
        <v>51</v>
      </c>
      <c r="K11" s="569">
        <v>51</v>
      </c>
      <c r="L11" s="566"/>
      <c r="M11" s="566" t="s">
        <v>476</v>
      </c>
      <c r="N11" s="570">
        <v>900</v>
      </c>
      <c r="O11" s="566"/>
      <c r="P11" s="566" t="s">
        <v>477</v>
      </c>
      <c r="Q11" s="568">
        <v>909678</v>
      </c>
      <c r="R11" s="568">
        <v>22</v>
      </c>
      <c r="S11" s="566" t="s">
        <v>1360</v>
      </c>
      <c r="T11" s="571" t="s">
        <v>467</v>
      </c>
      <c r="U11" s="571" t="s">
        <v>550</v>
      </c>
      <c r="V11" s="571" t="s">
        <v>469</v>
      </c>
      <c r="W11" s="572" t="s">
        <v>509</v>
      </c>
      <c r="X11" s="571" t="s">
        <v>1337</v>
      </c>
      <c r="Y11" s="571" t="s">
        <v>1338</v>
      </c>
      <c r="Z11" s="566" t="s">
        <v>1361</v>
      </c>
      <c r="AA11" s="573">
        <v>900</v>
      </c>
      <c r="AB11" s="571"/>
    </row>
    <row r="12" spans="1:28" hidden="1">
      <c r="A12" s="566" t="s">
        <v>1335</v>
      </c>
      <c r="B12" s="566" t="s">
        <v>466</v>
      </c>
      <c r="C12" s="566" t="s">
        <v>471</v>
      </c>
      <c r="D12" s="566" t="s">
        <v>472</v>
      </c>
      <c r="E12" s="566" t="s">
        <v>473</v>
      </c>
      <c r="F12" s="566" t="s">
        <v>474</v>
      </c>
      <c r="G12" s="567">
        <v>0</v>
      </c>
      <c r="H12" s="566" t="s">
        <v>595</v>
      </c>
      <c r="I12" s="568">
        <v>2</v>
      </c>
      <c r="J12" s="569">
        <v>51</v>
      </c>
      <c r="K12" s="569">
        <v>51</v>
      </c>
      <c r="L12" s="566"/>
      <c r="M12" s="566" t="s">
        <v>476</v>
      </c>
      <c r="N12" s="570">
        <v>936</v>
      </c>
      <c r="O12" s="566"/>
      <c r="P12" s="566" t="s">
        <v>477</v>
      </c>
      <c r="Q12" s="568">
        <v>909678</v>
      </c>
      <c r="R12" s="568">
        <v>23</v>
      </c>
      <c r="S12" s="566" t="s">
        <v>1362</v>
      </c>
      <c r="T12" s="571" t="s">
        <v>467</v>
      </c>
      <c r="U12" s="571" t="s">
        <v>550</v>
      </c>
      <c r="V12" s="571" t="s">
        <v>469</v>
      </c>
      <c r="W12" s="572" t="s">
        <v>512</v>
      </c>
      <c r="X12" s="571" t="s">
        <v>1337</v>
      </c>
      <c r="Y12" s="571" t="s">
        <v>1338</v>
      </c>
      <c r="Z12" s="566" t="s">
        <v>1363</v>
      </c>
      <c r="AA12" s="573">
        <v>936</v>
      </c>
      <c r="AB12" s="571"/>
    </row>
    <row r="13" spans="1:28" hidden="1">
      <c r="A13" s="566" t="s">
        <v>1335</v>
      </c>
      <c r="B13" s="566" t="s">
        <v>466</v>
      </c>
      <c r="C13" s="566" t="s">
        <v>471</v>
      </c>
      <c r="D13" s="566" t="s">
        <v>472</v>
      </c>
      <c r="E13" s="566" t="s">
        <v>473</v>
      </c>
      <c r="F13" s="566" t="s">
        <v>474</v>
      </c>
      <c r="G13" s="567">
        <v>0</v>
      </c>
      <c r="H13" s="566" t="s">
        <v>597</v>
      </c>
      <c r="I13" s="568">
        <v>2</v>
      </c>
      <c r="J13" s="569">
        <v>51</v>
      </c>
      <c r="K13" s="569">
        <v>51</v>
      </c>
      <c r="L13" s="566"/>
      <c r="M13" s="566" t="s">
        <v>476</v>
      </c>
      <c r="N13" s="570">
        <v>972</v>
      </c>
      <c r="O13" s="566"/>
      <c r="P13" s="566" t="s">
        <v>477</v>
      </c>
      <c r="Q13" s="568">
        <v>909678</v>
      </c>
      <c r="R13" s="568">
        <v>24</v>
      </c>
      <c r="S13" s="566" t="s">
        <v>1364</v>
      </c>
      <c r="T13" s="571" t="s">
        <v>467</v>
      </c>
      <c r="U13" s="571" t="s">
        <v>550</v>
      </c>
      <c r="V13" s="571" t="s">
        <v>469</v>
      </c>
      <c r="W13" s="572" t="s">
        <v>514</v>
      </c>
      <c r="X13" s="571" t="s">
        <v>1337</v>
      </c>
      <c r="Y13" s="571" t="s">
        <v>1338</v>
      </c>
      <c r="Z13" s="566" t="s">
        <v>1365</v>
      </c>
      <c r="AA13" s="573">
        <v>972</v>
      </c>
      <c r="AB13" s="571"/>
    </row>
    <row r="14" spans="1:28" hidden="1">
      <c r="A14" s="566" t="s">
        <v>1335</v>
      </c>
      <c r="B14" s="566" t="s">
        <v>466</v>
      </c>
      <c r="C14" s="566" t="s">
        <v>471</v>
      </c>
      <c r="D14" s="566" t="s">
        <v>472</v>
      </c>
      <c r="E14" s="566" t="s">
        <v>473</v>
      </c>
      <c r="F14" s="566" t="s">
        <v>474</v>
      </c>
      <c r="G14" s="567">
        <v>0</v>
      </c>
      <c r="H14" s="566" t="s">
        <v>561</v>
      </c>
      <c r="I14" s="568">
        <v>2</v>
      </c>
      <c r="J14" s="569">
        <v>75</v>
      </c>
      <c r="K14" s="569">
        <v>75</v>
      </c>
      <c r="L14" s="566"/>
      <c r="M14" s="566" t="s">
        <v>476</v>
      </c>
      <c r="N14" s="570">
        <v>1548</v>
      </c>
      <c r="O14" s="566"/>
      <c r="P14" s="566" t="s">
        <v>477</v>
      </c>
      <c r="Q14" s="568">
        <v>909678</v>
      </c>
      <c r="R14" s="568">
        <v>40</v>
      </c>
      <c r="S14" s="566" t="s">
        <v>1366</v>
      </c>
      <c r="T14" s="571" t="s">
        <v>467</v>
      </c>
      <c r="U14" s="571" t="s">
        <v>550</v>
      </c>
      <c r="V14" s="571" t="s">
        <v>469</v>
      </c>
      <c r="W14" s="572" t="s">
        <v>1274</v>
      </c>
      <c r="X14" s="571" t="s">
        <v>1337</v>
      </c>
      <c r="Y14" s="571" t="s">
        <v>1367</v>
      </c>
      <c r="Z14" s="566" t="s">
        <v>1368</v>
      </c>
      <c r="AA14" s="573">
        <v>1548</v>
      </c>
      <c r="AB14" s="571"/>
    </row>
    <row r="15" spans="1:28" hidden="1">
      <c r="A15" s="566" t="s">
        <v>1335</v>
      </c>
      <c r="B15" s="566" t="s">
        <v>466</v>
      </c>
      <c r="C15" s="566" t="s">
        <v>471</v>
      </c>
      <c r="D15" s="566" t="s">
        <v>472</v>
      </c>
      <c r="E15" s="566" t="s">
        <v>473</v>
      </c>
      <c r="F15" s="566" t="s">
        <v>474</v>
      </c>
      <c r="G15" s="567">
        <v>0</v>
      </c>
      <c r="H15" s="566" t="s">
        <v>564</v>
      </c>
      <c r="I15" s="568">
        <v>2</v>
      </c>
      <c r="J15" s="569">
        <v>75</v>
      </c>
      <c r="K15" s="569">
        <v>75</v>
      </c>
      <c r="L15" s="566"/>
      <c r="M15" s="566" t="s">
        <v>476</v>
      </c>
      <c r="N15" s="570">
        <v>1584</v>
      </c>
      <c r="O15" s="566"/>
      <c r="P15" s="566" t="s">
        <v>477</v>
      </c>
      <c r="Q15" s="568">
        <v>909678</v>
      </c>
      <c r="R15" s="568">
        <v>41</v>
      </c>
      <c r="S15" s="566" t="s">
        <v>1369</v>
      </c>
      <c r="T15" s="571" t="s">
        <v>467</v>
      </c>
      <c r="U15" s="571" t="s">
        <v>550</v>
      </c>
      <c r="V15" s="571" t="s">
        <v>469</v>
      </c>
      <c r="W15" s="572" t="s">
        <v>1275</v>
      </c>
      <c r="X15" s="571" t="s">
        <v>1337</v>
      </c>
      <c r="Y15" s="571" t="s">
        <v>1367</v>
      </c>
      <c r="Z15" s="566" t="s">
        <v>1370</v>
      </c>
      <c r="AA15" s="573">
        <v>1584</v>
      </c>
      <c r="AB15" s="571"/>
    </row>
    <row r="16" spans="1:28" hidden="1">
      <c r="A16" s="566" t="s">
        <v>1335</v>
      </c>
      <c r="B16" s="566" t="s">
        <v>466</v>
      </c>
      <c r="C16" s="566" t="s">
        <v>487</v>
      </c>
      <c r="D16" s="566" t="s">
        <v>472</v>
      </c>
      <c r="E16" s="566" t="s">
        <v>473</v>
      </c>
      <c r="F16" s="566" t="s">
        <v>489</v>
      </c>
      <c r="G16" s="567">
        <v>50</v>
      </c>
      <c r="H16" s="566" t="s">
        <v>573</v>
      </c>
      <c r="I16" s="568">
        <v>2</v>
      </c>
      <c r="J16" s="569">
        <v>75</v>
      </c>
      <c r="K16" s="569">
        <v>75</v>
      </c>
      <c r="L16" s="566"/>
      <c r="M16" s="566" t="s">
        <v>476</v>
      </c>
      <c r="N16" s="570">
        <v>1620</v>
      </c>
      <c r="O16" s="566"/>
      <c r="P16" s="566" t="s">
        <v>477</v>
      </c>
      <c r="Q16" s="568">
        <v>909678</v>
      </c>
      <c r="R16" s="568">
        <v>43</v>
      </c>
      <c r="S16" s="566" t="s">
        <v>1371</v>
      </c>
      <c r="T16" s="571" t="s">
        <v>467</v>
      </c>
      <c r="U16" s="571" t="s">
        <v>550</v>
      </c>
      <c r="V16" s="571" t="s">
        <v>469</v>
      </c>
      <c r="W16" s="572" t="s">
        <v>1276</v>
      </c>
      <c r="X16" s="571" t="s">
        <v>1337</v>
      </c>
      <c r="Y16" s="571" t="s">
        <v>1367</v>
      </c>
      <c r="Z16" s="566" t="s">
        <v>1372</v>
      </c>
      <c r="AA16" s="573">
        <v>1620</v>
      </c>
      <c r="AB16" s="571"/>
    </row>
    <row r="17" spans="1:28" hidden="1">
      <c r="A17" s="566" t="s">
        <v>1335</v>
      </c>
      <c r="B17" s="566" t="s">
        <v>466</v>
      </c>
      <c r="C17" s="566" t="s">
        <v>487</v>
      </c>
      <c r="D17" s="566" t="s">
        <v>472</v>
      </c>
      <c r="E17" s="566" t="s">
        <v>473</v>
      </c>
      <c r="F17" s="566" t="s">
        <v>489</v>
      </c>
      <c r="G17" s="567">
        <v>50</v>
      </c>
      <c r="H17" s="566" t="s">
        <v>576</v>
      </c>
      <c r="I17" s="568">
        <v>2</v>
      </c>
      <c r="J17" s="569">
        <v>75</v>
      </c>
      <c r="K17" s="569">
        <v>75</v>
      </c>
      <c r="L17" s="566"/>
      <c r="M17" s="566" t="s">
        <v>476</v>
      </c>
      <c r="N17" s="570">
        <v>1656</v>
      </c>
      <c r="O17" s="566"/>
      <c r="P17" s="566" t="s">
        <v>477</v>
      </c>
      <c r="Q17" s="568">
        <v>909678</v>
      </c>
      <c r="R17" s="568">
        <v>44</v>
      </c>
      <c r="S17" s="566" t="s">
        <v>1373</v>
      </c>
      <c r="T17" s="571" t="s">
        <v>467</v>
      </c>
      <c r="U17" s="571" t="s">
        <v>550</v>
      </c>
      <c r="V17" s="571" t="s">
        <v>469</v>
      </c>
      <c r="W17" s="572" t="s">
        <v>1277</v>
      </c>
      <c r="X17" s="571" t="s">
        <v>1337</v>
      </c>
      <c r="Y17" s="571" t="s">
        <v>1367</v>
      </c>
      <c r="Z17" s="566" t="s">
        <v>1374</v>
      </c>
      <c r="AA17" s="573">
        <v>1656</v>
      </c>
      <c r="AB17" s="571"/>
    </row>
    <row r="18" spans="1:28" hidden="1">
      <c r="A18" s="566" t="s">
        <v>1335</v>
      </c>
      <c r="B18" s="566" t="s">
        <v>466</v>
      </c>
      <c r="C18" s="566" t="s">
        <v>471</v>
      </c>
      <c r="D18" s="566" t="s">
        <v>472</v>
      </c>
      <c r="E18" s="566" t="s">
        <v>473</v>
      </c>
      <c r="F18" s="566" t="s">
        <v>474</v>
      </c>
      <c r="G18" s="567">
        <v>0</v>
      </c>
      <c r="H18" s="566" t="s">
        <v>1352</v>
      </c>
      <c r="I18" s="568">
        <v>2</v>
      </c>
      <c r="J18" s="569">
        <v>75</v>
      </c>
      <c r="K18" s="569">
        <v>75</v>
      </c>
      <c r="L18" s="566"/>
      <c r="M18" s="566" t="s">
        <v>476</v>
      </c>
      <c r="N18" s="570">
        <v>1692</v>
      </c>
      <c r="O18" s="566"/>
      <c r="P18" s="566" t="s">
        <v>477</v>
      </c>
      <c r="Q18" s="568">
        <v>909678</v>
      </c>
      <c r="R18" s="568">
        <v>42</v>
      </c>
      <c r="S18" s="566" t="s">
        <v>1375</v>
      </c>
      <c r="T18" s="571" t="s">
        <v>467</v>
      </c>
      <c r="U18" s="571" t="s">
        <v>550</v>
      </c>
      <c r="V18" s="571" t="s">
        <v>469</v>
      </c>
      <c r="W18" s="572" t="s">
        <v>1354</v>
      </c>
      <c r="X18" s="571" t="s">
        <v>1337</v>
      </c>
      <c r="Y18" s="571" t="s">
        <v>1367</v>
      </c>
      <c r="Z18" s="566" t="s">
        <v>1376</v>
      </c>
      <c r="AA18" s="573">
        <v>1692</v>
      </c>
      <c r="AB18" s="571"/>
    </row>
    <row r="19" spans="1:28" hidden="1">
      <c r="A19" s="566" t="s">
        <v>1335</v>
      </c>
      <c r="B19" s="566" t="s">
        <v>466</v>
      </c>
      <c r="C19" s="566" t="s">
        <v>487</v>
      </c>
      <c r="D19" s="566" t="s">
        <v>472</v>
      </c>
      <c r="E19" s="566" t="s">
        <v>473</v>
      </c>
      <c r="F19" s="566" t="s">
        <v>489</v>
      </c>
      <c r="G19" s="567">
        <v>50</v>
      </c>
      <c r="H19" s="566" t="s">
        <v>1356</v>
      </c>
      <c r="I19" s="568">
        <v>2</v>
      </c>
      <c r="J19" s="569">
        <v>75</v>
      </c>
      <c r="K19" s="569">
        <v>75</v>
      </c>
      <c r="L19" s="566"/>
      <c r="M19" s="566" t="s">
        <v>476</v>
      </c>
      <c r="N19" s="570">
        <v>1728</v>
      </c>
      <c r="O19" s="566"/>
      <c r="P19" s="566" t="s">
        <v>477</v>
      </c>
      <c r="Q19" s="568">
        <v>909678</v>
      </c>
      <c r="R19" s="568">
        <v>45</v>
      </c>
      <c r="S19" s="566" t="s">
        <v>1377</v>
      </c>
      <c r="T19" s="571" t="s">
        <v>467</v>
      </c>
      <c r="U19" s="571" t="s">
        <v>550</v>
      </c>
      <c r="V19" s="571" t="s">
        <v>469</v>
      </c>
      <c r="W19" s="572" t="s">
        <v>1358</v>
      </c>
      <c r="X19" s="571" t="s">
        <v>1337</v>
      </c>
      <c r="Y19" s="571" t="s">
        <v>1367</v>
      </c>
      <c r="Z19" s="566" t="s">
        <v>1378</v>
      </c>
      <c r="AA19" s="573">
        <v>1728</v>
      </c>
      <c r="AB19" s="571"/>
    </row>
    <row r="20" spans="1:28" hidden="1">
      <c r="A20" s="566" t="s">
        <v>1335</v>
      </c>
      <c r="B20" s="566" t="s">
        <v>466</v>
      </c>
      <c r="C20" s="566" t="s">
        <v>553</v>
      </c>
      <c r="D20" s="566" t="s">
        <v>472</v>
      </c>
      <c r="E20" s="566" t="s">
        <v>473</v>
      </c>
      <c r="F20" s="566" t="s">
        <v>554</v>
      </c>
      <c r="G20" s="567">
        <v>13</v>
      </c>
      <c r="H20" s="566" t="s">
        <v>555</v>
      </c>
      <c r="I20" s="568">
        <v>2</v>
      </c>
      <c r="J20" s="569">
        <v>22</v>
      </c>
      <c r="K20" s="569">
        <v>22</v>
      </c>
      <c r="L20" s="569">
        <v>17</v>
      </c>
      <c r="M20" s="566" t="s">
        <v>476</v>
      </c>
      <c r="N20" s="570">
        <v>126</v>
      </c>
      <c r="O20" s="566"/>
      <c r="P20" s="566" t="s">
        <v>477</v>
      </c>
      <c r="Q20" s="568">
        <v>909678</v>
      </c>
      <c r="R20" s="568">
        <v>9</v>
      </c>
      <c r="S20" s="566" t="s">
        <v>1379</v>
      </c>
      <c r="T20" s="571" t="s">
        <v>467</v>
      </c>
      <c r="U20" s="571" t="s">
        <v>550</v>
      </c>
      <c r="V20" s="571" t="s">
        <v>469</v>
      </c>
      <c r="W20" s="572" t="s">
        <v>551</v>
      </c>
      <c r="X20" s="571" t="s">
        <v>1380</v>
      </c>
      <c r="Y20" s="571" t="s">
        <v>1338</v>
      </c>
      <c r="Z20" s="566" t="s">
        <v>552</v>
      </c>
      <c r="AA20" s="573">
        <v>126</v>
      </c>
      <c r="AB20" s="571">
        <v>260052</v>
      </c>
    </row>
    <row r="21" spans="1:28" hidden="1">
      <c r="A21" s="566" t="s">
        <v>1335</v>
      </c>
      <c r="B21" s="566" t="s">
        <v>466</v>
      </c>
      <c r="C21" s="566" t="s">
        <v>553</v>
      </c>
      <c r="D21" s="566" t="s">
        <v>472</v>
      </c>
      <c r="E21" s="566" t="s">
        <v>473</v>
      </c>
      <c r="F21" s="566" t="s">
        <v>554</v>
      </c>
      <c r="G21" s="567">
        <v>16</v>
      </c>
      <c r="H21" s="566" t="s">
        <v>558</v>
      </c>
      <c r="I21" s="568">
        <v>2</v>
      </c>
      <c r="J21" s="569">
        <v>22</v>
      </c>
      <c r="K21" s="569">
        <v>22</v>
      </c>
      <c r="L21" s="569">
        <v>17</v>
      </c>
      <c r="M21" s="566" t="s">
        <v>476</v>
      </c>
      <c r="N21" s="570">
        <v>297</v>
      </c>
      <c r="O21" s="566"/>
      <c r="P21" s="566" t="s">
        <v>477</v>
      </c>
      <c r="Q21" s="568">
        <v>909678</v>
      </c>
      <c r="R21" s="568">
        <v>4</v>
      </c>
      <c r="S21" s="566" t="s">
        <v>1381</v>
      </c>
      <c r="T21" s="571" t="s">
        <v>467</v>
      </c>
      <c r="U21" s="571" t="s">
        <v>550</v>
      </c>
      <c r="V21" s="571" t="s">
        <v>469</v>
      </c>
      <c r="W21" s="572" t="s">
        <v>556</v>
      </c>
      <c r="X21" s="571" t="s">
        <v>1380</v>
      </c>
      <c r="Y21" s="571" t="s">
        <v>1338</v>
      </c>
      <c r="Z21" s="566" t="s">
        <v>557</v>
      </c>
      <c r="AA21" s="573">
        <v>297</v>
      </c>
      <c r="AB21" s="571">
        <v>260196</v>
      </c>
    </row>
    <row r="22" spans="1:28" hidden="1">
      <c r="A22" s="566" t="s">
        <v>1335</v>
      </c>
      <c r="B22" s="566" t="s">
        <v>466</v>
      </c>
      <c r="C22" s="566" t="s">
        <v>471</v>
      </c>
      <c r="D22" s="566" t="s">
        <v>472</v>
      </c>
      <c r="E22" s="566" t="s">
        <v>473</v>
      </c>
      <c r="F22" s="566" t="s">
        <v>474</v>
      </c>
      <c r="G22" s="567">
        <v>0</v>
      </c>
      <c r="H22" s="566" t="s">
        <v>561</v>
      </c>
      <c r="I22" s="568">
        <v>2</v>
      </c>
      <c r="J22" s="569">
        <v>3</v>
      </c>
      <c r="K22" s="569">
        <v>3</v>
      </c>
      <c r="L22" s="566"/>
      <c r="M22" s="566" t="s">
        <v>476</v>
      </c>
      <c r="N22" s="570">
        <v>468</v>
      </c>
      <c r="O22" s="566"/>
      <c r="P22" s="566" t="s">
        <v>477</v>
      </c>
      <c r="Q22" s="568">
        <v>909678</v>
      </c>
      <c r="R22" s="568">
        <v>10</v>
      </c>
      <c r="S22" s="566" t="s">
        <v>1382</v>
      </c>
      <c r="T22" s="571" t="s">
        <v>467</v>
      </c>
      <c r="U22" s="571" t="s">
        <v>550</v>
      </c>
      <c r="V22" s="571" t="s">
        <v>469</v>
      </c>
      <c r="W22" s="572" t="s">
        <v>1274</v>
      </c>
      <c r="X22" s="571" t="s">
        <v>1380</v>
      </c>
      <c r="Y22" s="571" t="s">
        <v>1338</v>
      </c>
      <c r="Z22" s="566" t="s">
        <v>560</v>
      </c>
      <c r="AA22" s="573">
        <v>468</v>
      </c>
      <c r="AB22" s="571"/>
    </row>
    <row r="23" spans="1:28" hidden="1">
      <c r="A23" s="566" t="s">
        <v>1335</v>
      </c>
      <c r="B23" s="566" t="s">
        <v>466</v>
      </c>
      <c r="C23" s="566" t="s">
        <v>471</v>
      </c>
      <c r="D23" s="566" t="s">
        <v>472</v>
      </c>
      <c r="E23" s="566" t="s">
        <v>473</v>
      </c>
      <c r="F23" s="566" t="s">
        <v>474</v>
      </c>
      <c r="G23" s="567">
        <v>0</v>
      </c>
      <c r="H23" s="566" t="s">
        <v>564</v>
      </c>
      <c r="I23" s="568">
        <v>2</v>
      </c>
      <c r="J23" s="569">
        <v>3</v>
      </c>
      <c r="K23" s="569">
        <v>3</v>
      </c>
      <c r="L23" s="566"/>
      <c r="M23" s="566" t="s">
        <v>476</v>
      </c>
      <c r="N23" s="570">
        <v>540</v>
      </c>
      <c r="O23" s="566"/>
      <c r="P23" s="566" t="s">
        <v>477</v>
      </c>
      <c r="Q23" s="568">
        <v>909678</v>
      </c>
      <c r="R23" s="568">
        <v>15</v>
      </c>
      <c r="S23" s="566" t="s">
        <v>483</v>
      </c>
      <c r="T23" s="571" t="s">
        <v>467</v>
      </c>
      <c r="U23" s="571" t="s">
        <v>550</v>
      </c>
      <c r="V23" s="571" t="s">
        <v>469</v>
      </c>
      <c r="W23" s="572" t="s">
        <v>1275</v>
      </c>
      <c r="X23" s="571" t="s">
        <v>1380</v>
      </c>
      <c r="Y23" s="571" t="s">
        <v>1338</v>
      </c>
      <c r="Z23" s="566" t="s">
        <v>563</v>
      </c>
      <c r="AA23" s="573">
        <v>540</v>
      </c>
      <c r="AB23" s="571"/>
    </row>
    <row r="24" spans="1:28" hidden="1">
      <c r="A24" s="566" t="s">
        <v>1335</v>
      </c>
      <c r="B24" s="566" t="s">
        <v>466</v>
      </c>
      <c r="C24" s="566" t="s">
        <v>487</v>
      </c>
      <c r="D24" s="566" t="s">
        <v>472</v>
      </c>
      <c r="E24" s="566" t="s">
        <v>473</v>
      </c>
      <c r="F24" s="566" t="s">
        <v>489</v>
      </c>
      <c r="G24" s="567">
        <v>50</v>
      </c>
      <c r="H24" s="566" t="s">
        <v>566</v>
      </c>
      <c r="I24" s="568">
        <v>2</v>
      </c>
      <c r="J24" s="569">
        <v>3</v>
      </c>
      <c r="K24" s="569">
        <v>3</v>
      </c>
      <c r="L24" s="566"/>
      <c r="M24" s="566" t="s">
        <v>476</v>
      </c>
      <c r="N24" s="570">
        <v>576</v>
      </c>
      <c r="O24" s="566"/>
      <c r="P24" s="566" t="s">
        <v>477</v>
      </c>
      <c r="Q24" s="568">
        <v>909678</v>
      </c>
      <c r="R24" s="568">
        <v>16</v>
      </c>
      <c r="S24" s="566" t="s">
        <v>488</v>
      </c>
      <c r="T24" s="571" t="s">
        <v>467</v>
      </c>
      <c r="U24" s="571" t="s">
        <v>550</v>
      </c>
      <c r="V24" s="571" t="s">
        <v>469</v>
      </c>
      <c r="W24" s="572" t="s">
        <v>485</v>
      </c>
      <c r="X24" s="571" t="s">
        <v>1380</v>
      </c>
      <c r="Y24" s="571" t="s">
        <v>1338</v>
      </c>
      <c r="Z24" s="566" t="s">
        <v>565</v>
      </c>
      <c r="AA24" s="573">
        <v>576</v>
      </c>
      <c r="AB24" s="571"/>
    </row>
    <row r="25" spans="1:28" hidden="1">
      <c r="A25" s="566" t="s">
        <v>1335</v>
      </c>
      <c r="B25" s="566" t="s">
        <v>466</v>
      </c>
      <c r="C25" s="566" t="s">
        <v>487</v>
      </c>
      <c r="D25" s="566" t="s">
        <v>472</v>
      </c>
      <c r="E25" s="566" t="s">
        <v>473</v>
      </c>
      <c r="F25" s="566" t="s">
        <v>489</v>
      </c>
      <c r="G25" s="567">
        <v>50</v>
      </c>
      <c r="H25" s="566" t="s">
        <v>568</v>
      </c>
      <c r="I25" s="568">
        <v>2</v>
      </c>
      <c r="J25" s="569">
        <v>3</v>
      </c>
      <c r="K25" s="569">
        <v>3</v>
      </c>
      <c r="L25" s="566"/>
      <c r="M25" s="566" t="s">
        <v>476</v>
      </c>
      <c r="N25" s="570">
        <v>612</v>
      </c>
      <c r="O25" s="566"/>
      <c r="P25" s="566" t="s">
        <v>477</v>
      </c>
      <c r="Q25" s="568">
        <v>909678</v>
      </c>
      <c r="R25" s="568">
        <v>17</v>
      </c>
      <c r="S25" s="566" t="s">
        <v>493</v>
      </c>
      <c r="T25" s="571" t="s">
        <v>467</v>
      </c>
      <c r="U25" s="571" t="s">
        <v>550</v>
      </c>
      <c r="V25" s="571" t="s">
        <v>469</v>
      </c>
      <c r="W25" s="572" t="s">
        <v>491</v>
      </c>
      <c r="X25" s="571" t="s">
        <v>1380</v>
      </c>
      <c r="Y25" s="571" t="s">
        <v>1338</v>
      </c>
      <c r="Z25" s="566" t="s">
        <v>567</v>
      </c>
      <c r="AA25" s="573">
        <v>612</v>
      </c>
      <c r="AB25" s="571"/>
    </row>
    <row r="26" spans="1:28" hidden="1">
      <c r="A26" s="566" t="s">
        <v>1335</v>
      </c>
      <c r="B26" s="566" t="s">
        <v>466</v>
      </c>
      <c r="C26" s="566" t="s">
        <v>487</v>
      </c>
      <c r="D26" s="566" t="s">
        <v>472</v>
      </c>
      <c r="E26" s="566" t="s">
        <v>473</v>
      </c>
      <c r="F26" s="566" t="s">
        <v>489</v>
      </c>
      <c r="G26" s="567">
        <v>50</v>
      </c>
      <c r="H26" s="566" t="s">
        <v>570</v>
      </c>
      <c r="I26" s="568">
        <v>2</v>
      </c>
      <c r="J26" s="569">
        <v>3</v>
      </c>
      <c r="K26" s="569">
        <v>3</v>
      </c>
      <c r="L26" s="566"/>
      <c r="M26" s="566" t="s">
        <v>476</v>
      </c>
      <c r="N26" s="570">
        <v>648</v>
      </c>
      <c r="O26" s="566"/>
      <c r="P26" s="566" t="s">
        <v>477</v>
      </c>
      <c r="Q26" s="568">
        <v>909678</v>
      </c>
      <c r="R26" s="568">
        <v>18</v>
      </c>
      <c r="S26" s="566" t="s">
        <v>497</v>
      </c>
      <c r="T26" s="571" t="s">
        <v>467</v>
      </c>
      <c r="U26" s="571" t="s">
        <v>550</v>
      </c>
      <c r="V26" s="571" t="s">
        <v>469</v>
      </c>
      <c r="W26" s="572" t="s">
        <v>495</v>
      </c>
      <c r="X26" s="571" t="s">
        <v>1380</v>
      </c>
      <c r="Y26" s="571" t="s">
        <v>1338</v>
      </c>
      <c r="Z26" s="566" t="s">
        <v>569</v>
      </c>
      <c r="AA26" s="573">
        <v>648</v>
      </c>
      <c r="AB26" s="571"/>
    </row>
    <row r="27" spans="1:28" hidden="1">
      <c r="A27" s="566" t="s">
        <v>1335</v>
      </c>
      <c r="B27" s="566" t="s">
        <v>466</v>
      </c>
      <c r="C27" s="566" t="s">
        <v>487</v>
      </c>
      <c r="D27" s="566" t="s">
        <v>472</v>
      </c>
      <c r="E27" s="566" t="s">
        <v>473</v>
      </c>
      <c r="F27" s="566" t="s">
        <v>489</v>
      </c>
      <c r="G27" s="567">
        <v>50</v>
      </c>
      <c r="H27" s="566" t="s">
        <v>573</v>
      </c>
      <c r="I27" s="568">
        <v>2</v>
      </c>
      <c r="J27" s="569">
        <v>3</v>
      </c>
      <c r="K27" s="569">
        <v>3</v>
      </c>
      <c r="L27" s="566"/>
      <c r="M27" s="566" t="s">
        <v>476</v>
      </c>
      <c r="N27" s="570">
        <v>720</v>
      </c>
      <c r="O27" s="566"/>
      <c r="P27" s="566" t="s">
        <v>477</v>
      </c>
      <c r="Q27" s="568">
        <v>909678</v>
      </c>
      <c r="R27" s="568">
        <v>19</v>
      </c>
      <c r="S27" s="566" t="s">
        <v>502</v>
      </c>
      <c r="T27" s="571" t="s">
        <v>467</v>
      </c>
      <c r="U27" s="571" t="s">
        <v>550</v>
      </c>
      <c r="V27" s="571" t="s">
        <v>469</v>
      </c>
      <c r="W27" s="572" t="s">
        <v>1276</v>
      </c>
      <c r="X27" s="571" t="s">
        <v>1380</v>
      </c>
      <c r="Y27" s="571" t="s">
        <v>1338</v>
      </c>
      <c r="Z27" s="566" t="s">
        <v>572</v>
      </c>
      <c r="AA27" s="573">
        <v>720</v>
      </c>
      <c r="AB27" s="571"/>
    </row>
    <row r="28" spans="1:28" hidden="1">
      <c r="A28" s="566" t="s">
        <v>1335</v>
      </c>
      <c r="B28" s="566" t="s">
        <v>466</v>
      </c>
      <c r="C28" s="566" t="s">
        <v>487</v>
      </c>
      <c r="D28" s="566" t="s">
        <v>472</v>
      </c>
      <c r="E28" s="566" t="s">
        <v>473</v>
      </c>
      <c r="F28" s="566" t="s">
        <v>489</v>
      </c>
      <c r="G28" s="567">
        <v>50</v>
      </c>
      <c r="H28" s="566" t="s">
        <v>576</v>
      </c>
      <c r="I28" s="568">
        <v>2</v>
      </c>
      <c r="J28" s="569">
        <v>3</v>
      </c>
      <c r="K28" s="569">
        <v>3</v>
      </c>
      <c r="L28" s="566"/>
      <c r="M28" s="566" t="s">
        <v>476</v>
      </c>
      <c r="N28" s="570">
        <v>792</v>
      </c>
      <c r="O28" s="566"/>
      <c r="P28" s="566" t="s">
        <v>477</v>
      </c>
      <c r="Q28" s="568">
        <v>909678</v>
      </c>
      <c r="R28" s="568">
        <v>21</v>
      </c>
      <c r="S28" s="566" t="s">
        <v>507</v>
      </c>
      <c r="T28" s="571" t="s">
        <v>467</v>
      </c>
      <c r="U28" s="571" t="s">
        <v>550</v>
      </c>
      <c r="V28" s="571" t="s">
        <v>469</v>
      </c>
      <c r="W28" s="572" t="s">
        <v>1277</v>
      </c>
      <c r="X28" s="571" t="s">
        <v>1380</v>
      </c>
      <c r="Y28" s="571" t="s">
        <v>1338</v>
      </c>
      <c r="Z28" s="566" t="s">
        <v>575</v>
      </c>
      <c r="AA28" s="573">
        <v>792</v>
      </c>
      <c r="AB28" s="571"/>
    </row>
    <row r="29" spans="1:28" hidden="1">
      <c r="A29" s="566" t="s">
        <v>1335</v>
      </c>
      <c r="B29" s="566" t="s">
        <v>466</v>
      </c>
      <c r="C29" s="566" t="s">
        <v>471</v>
      </c>
      <c r="D29" s="566" t="s">
        <v>472</v>
      </c>
      <c r="E29" s="566" t="s">
        <v>473</v>
      </c>
      <c r="F29" s="566" t="s">
        <v>474</v>
      </c>
      <c r="G29" s="567">
        <v>0</v>
      </c>
      <c r="H29" s="566" t="s">
        <v>1352</v>
      </c>
      <c r="I29" s="568">
        <v>2</v>
      </c>
      <c r="J29" s="569">
        <v>3</v>
      </c>
      <c r="K29" s="569">
        <v>3</v>
      </c>
      <c r="L29" s="566"/>
      <c r="M29" s="566" t="s">
        <v>476</v>
      </c>
      <c r="N29" s="570">
        <v>828</v>
      </c>
      <c r="O29" s="566"/>
      <c r="P29" s="566" t="s">
        <v>477</v>
      </c>
      <c r="Q29" s="568">
        <v>909678</v>
      </c>
      <c r="R29" s="568">
        <v>46</v>
      </c>
      <c r="S29" s="566" t="s">
        <v>1383</v>
      </c>
      <c r="T29" s="571" t="s">
        <v>467</v>
      </c>
      <c r="U29" s="571" t="s">
        <v>550</v>
      </c>
      <c r="V29" s="571" t="s">
        <v>469</v>
      </c>
      <c r="W29" s="572" t="s">
        <v>1354</v>
      </c>
      <c r="X29" s="571" t="s">
        <v>1380</v>
      </c>
      <c r="Y29" s="571" t="s">
        <v>1338</v>
      </c>
      <c r="Z29" s="566" t="s">
        <v>1384</v>
      </c>
      <c r="AA29" s="573">
        <v>828</v>
      </c>
      <c r="AB29" s="571"/>
    </row>
    <row r="30" spans="1:28" hidden="1">
      <c r="A30" s="566" t="s">
        <v>1335</v>
      </c>
      <c r="B30" s="566" t="s">
        <v>466</v>
      </c>
      <c r="C30" s="566" t="s">
        <v>487</v>
      </c>
      <c r="D30" s="566" t="s">
        <v>472</v>
      </c>
      <c r="E30" s="566" t="s">
        <v>473</v>
      </c>
      <c r="F30" s="566" t="s">
        <v>489</v>
      </c>
      <c r="G30" s="567">
        <v>50</v>
      </c>
      <c r="H30" s="566" t="s">
        <v>1356</v>
      </c>
      <c r="I30" s="568">
        <v>2</v>
      </c>
      <c r="J30" s="569">
        <v>3</v>
      </c>
      <c r="K30" s="569">
        <v>3</v>
      </c>
      <c r="L30" s="566"/>
      <c r="M30" s="566" t="s">
        <v>476</v>
      </c>
      <c r="N30" s="570">
        <v>864</v>
      </c>
      <c r="O30" s="566"/>
      <c r="P30" s="566" t="s">
        <v>477</v>
      </c>
      <c r="Q30" s="568">
        <v>909678</v>
      </c>
      <c r="R30" s="568">
        <v>47</v>
      </c>
      <c r="S30" s="566" t="s">
        <v>1385</v>
      </c>
      <c r="T30" s="571" t="s">
        <v>467</v>
      </c>
      <c r="U30" s="571" t="s">
        <v>550</v>
      </c>
      <c r="V30" s="571" t="s">
        <v>469</v>
      </c>
      <c r="W30" s="572" t="s">
        <v>1358</v>
      </c>
      <c r="X30" s="571" t="s">
        <v>1380</v>
      </c>
      <c r="Y30" s="571" t="s">
        <v>1338</v>
      </c>
      <c r="Z30" s="566" t="s">
        <v>1386</v>
      </c>
      <c r="AA30" s="573">
        <v>864</v>
      </c>
      <c r="AB30" s="571"/>
    </row>
    <row r="31" spans="1:28" hidden="1">
      <c r="A31" s="566" t="s">
        <v>1335</v>
      </c>
      <c r="B31" s="566" t="s">
        <v>466</v>
      </c>
      <c r="C31" s="566" t="s">
        <v>553</v>
      </c>
      <c r="D31" s="566" t="s">
        <v>472</v>
      </c>
      <c r="E31" s="566" t="s">
        <v>473</v>
      </c>
      <c r="F31" s="566" t="s">
        <v>554</v>
      </c>
      <c r="G31" s="567">
        <v>13</v>
      </c>
      <c r="H31" s="566" t="s">
        <v>579</v>
      </c>
      <c r="I31" s="568">
        <v>2</v>
      </c>
      <c r="J31" s="569">
        <v>22</v>
      </c>
      <c r="K31" s="569">
        <v>22</v>
      </c>
      <c r="L31" s="569">
        <v>17</v>
      </c>
      <c r="M31" s="566" t="s">
        <v>476</v>
      </c>
      <c r="N31" s="570">
        <v>177</v>
      </c>
      <c r="O31" s="566"/>
      <c r="P31" s="566" t="s">
        <v>477</v>
      </c>
      <c r="Q31" s="568">
        <v>909678</v>
      </c>
      <c r="R31" s="568">
        <v>1</v>
      </c>
      <c r="S31" s="566" t="s">
        <v>1387</v>
      </c>
      <c r="T31" s="571" t="s">
        <v>467</v>
      </c>
      <c r="U31" s="571" t="s">
        <v>550</v>
      </c>
      <c r="V31" s="571" t="s">
        <v>469</v>
      </c>
      <c r="W31" s="572" t="s">
        <v>577</v>
      </c>
      <c r="X31" s="571" t="s">
        <v>1380</v>
      </c>
      <c r="Y31" s="571" t="s">
        <v>1338</v>
      </c>
      <c r="Z31" s="566" t="s">
        <v>578</v>
      </c>
      <c r="AA31" s="573">
        <v>177</v>
      </c>
      <c r="AB31" s="571">
        <v>260076</v>
      </c>
    </row>
    <row r="32" spans="1:28" hidden="1">
      <c r="A32" s="566" t="s">
        <v>1335</v>
      </c>
      <c r="B32" s="566" t="s">
        <v>466</v>
      </c>
      <c r="C32" s="566" t="s">
        <v>553</v>
      </c>
      <c r="D32" s="566" t="s">
        <v>472</v>
      </c>
      <c r="E32" s="566" t="s">
        <v>473</v>
      </c>
      <c r="F32" s="566" t="s">
        <v>554</v>
      </c>
      <c r="G32" s="567">
        <v>13</v>
      </c>
      <c r="H32" s="566" t="s">
        <v>582</v>
      </c>
      <c r="I32" s="568">
        <v>2</v>
      </c>
      <c r="J32" s="569">
        <v>22</v>
      </c>
      <c r="K32" s="569">
        <v>22</v>
      </c>
      <c r="L32" s="569">
        <v>17</v>
      </c>
      <c r="M32" s="566" t="s">
        <v>476</v>
      </c>
      <c r="N32" s="570">
        <v>201</v>
      </c>
      <c r="O32" s="566"/>
      <c r="P32" s="566" t="s">
        <v>477</v>
      </c>
      <c r="Q32" s="568">
        <v>909678</v>
      </c>
      <c r="R32" s="568">
        <v>2</v>
      </c>
      <c r="S32" s="566" t="s">
        <v>1388</v>
      </c>
      <c r="T32" s="571" t="s">
        <v>467</v>
      </c>
      <c r="U32" s="571" t="s">
        <v>550</v>
      </c>
      <c r="V32" s="571" t="s">
        <v>469</v>
      </c>
      <c r="W32" s="572" t="s">
        <v>580</v>
      </c>
      <c r="X32" s="571" t="s">
        <v>1380</v>
      </c>
      <c r="Y32" s="571" t="s">
        <v>1338</v>
      </c>
      <c r="Z32" s="566" t="s">
        <v>581</v>
      </c>
      <c r="AA32" s="573">
        <v>201</v>
      </c>
      <c r="AB32" s="571">
        <v>260100</v>
      </c>
    </row>
    <row r="33" spans="1:28" hidden="1">
      <c r="A33" s="566" t="s">
        <v>1335</v>
      </c>
      <c r="B33" s="566" t="s">
        <v>466</v>
      </c>
      <c r="C33" s="566" t="s">
        <v>553</v>
      </c>
      <c r="D33" s="566" t="s">
        <v>472</v>
      </c>
      <c r="E33" s="566" t="s">
        <v>473</v>
      </c>
      <c r="F33" s="566" t="s">
        <v>554</v>
      </c>
      <c r="G33" s="567">
        <v>16</v>
      </c>
      <c r="H33" s="566" t="s">
        <v>585</v>
      </c>
      <c r="I33" s="568">
        <v>2</v>
      </c>
      <c r="J33" s="569">
        <v>22</v>
      </c>
      <c r="K33" s="569">
        <v>22</v>
      </c>
      <c r="L33" s="569">
        <v>17</v>
      </c>
      <c r="M33" s="566" t="s">
        <v>476</v>
      </c>
      <c r="N33" s="570">
        <v>225</v>
      </c>
      <c r="O33" s="566"/>
      <c r="P33" s="566" t="s">
        <v>477</v>
      </c>
      <c r="Q33" s="568">
        <v>909678</v>
      </c>
      <c r="R33" s="568">
        <v>12</v>
      </c>
      <c r="S33" s="566" t="s">
        <v>1389</v>
      </c>
      <c r="T33" s="571" t="s">
        <v>467</v>
      </c>
      <c r="U33" s="571" t="s">
        <v>550</v>
      </c>
      <c r="V33" s="571" t="s">
        <v>469</v>
      </c>
      <c r="W33" s="572" t="s">
        <v>583</v>
      </c>
      <c r="X33" s="571" t="s">
        <v>1380</v>
      </c>
      <c r="Y33" s="571" t="s">
        <v>1338</v>
      </c>
      <c r="Z33" s="566" t="s">
        <v>584</v>
      </c>
      <c r="AA33" s="573">
        <v>225</v>
      </c>
      <c r="AB33" s="571">
        <v>260124</v>
      </c>
    </row>
    <row r="34" spans="1:28" hidden="1">
      <c r="A34" s="566" t="s">
        <v>1335</v>
      </c>
      <c r="B34" s="566" t="s">
        <v>466</v>
      </c>
      <c r="C34" s="566" t="s">
        <v>553</v>
      </c>
      <c r="D34" s="566" t="s">
        <v>472</v>
      </c>
      <c r="E34" s="566" t="s">
        <v>473</v>
      </c>
      <c r="F34" s="566" t="s">
        <v>554</v>
      </c>
      <c r="G34" s="567">
        <v>16</v>
      </c>
      <c r="H34" s="566" t="s">
        <v>588</v>
      </c>
      <c r="I34" s="568">
        <v>2</v>
      </c>
      <c r="J34" s="569">
        <v>22</v>
      </c>
      <c r="K34" s="569">
        <v>22</v>
      </c>
      <c r="L34" s="569">
        <v>17</v>
      </c>
      <c r="M34" s="566" t="s">
        <v>476</v>
      </c>
      <c r="N34" s="570">
        <v>249</v>
      </c>
      <c r="O34" s="566"/>
      <c r="P34" s="566" t="s">
        <v>477</v>
      </c>
      <c r="Q34" s="568">
        <v>909678</v>
      </c>
      <c r="R34" s="568">
        <v>3</v>
      </c>
      <c r="S34" s="566" t="s">
        <v>1390</v>
      </c>
      <c r="T34" s="571" t="s">
        <v>467</v>
      </c>
      <c r="U34" s="571" t="s">
        <v>550</v>
      </c>
      <c r="V34" s="571" t="s">
        <v>469</v>
      </c>
      <c r="W34" s="572" t="s">
        <v>586</v>
      </c>
      <c r="X34" s="571" t="s">
        <v>1380</v>
      </c>
      <c r="Y34" s="571" t="s">
        <v>1338</v>
      </c>
      <c r="Z34" s="566" t="s">
        <v>587</v>
      </c>
      <c r="AA34" s="573">
        <v>249</v>
      </c>
      <c r="AB34" s="571">
        <v>260148</v>
      </c>
    </row>
    <row r="35" spans="1:28" hidden="1">
      <c r="A35" s="566" t="s">
        <v>1335</v>
      </c>
      <c r="B35" s="566" t="s">
        <v>466</v>
      </c>
      <c r="C35" s="566" t="s">
        <v>553</v>
      </c>
      <c r="D35" s="566" t="s">
        <v>472</v>
      </c>
      <c r="E35" s="566" t="s">
        <v>473</v>
      </c>
      <c r="F35" s="566" t="s">
        <v>554</v>
      </c>
      <c r="G35" s="567">
        <v>16</v>
      </c>
      <c r="H35" s="566" t="s">
        <v>591</v>
      </c>
      <c r="I35" s="568">
        <v>2</v>
      </c>
      <c r="J35" s="569">
        <v>22</v>
      </c>
      <c r="K35" s="569">
        <v>22</v>
      </c>
      <c r="L35" s="569">
        <v>17</v>
      </c>
      <c r="M35" s="566" t="s">
        <v>476</v>
      </c>
      <c r="N35" s="570">
        <v>273</v>
      </c>
      <c r="O35" s="566"/>
      <c r="P35" s="566" t="s">
        <v>477</v>
      </c>
      <c r="Q35" s="568">
        <v>909678</v>
      </c>
      <c r="R35" s="568">
        <v>13</v>
      </c>
      <c r="S35" s="566" t="s">
        <v>1391</v>
      </c>
      <c r="T35" s="571" t="s">
        <v>467</v>
      </c>
      <c r="U35" s="571" t="s">
        <v>550</v>
      </c>
      <c r="V35" s="571" t="s">
        <v>469</v>
      </c>
      <c r="W35" s="572" t="s">
        <v>589</v>
      </c>
      <c r="X35" s="571" t="s">
        <v>1380</v>
      </c>
      <c r="Y35" s="571" t="s">
        <v>1338</v>
      </c>
      <c r="Z35" s="566" t="s">
        <v>590</v>
      </c>
      <c r="AA35" s="573">
        <v>273</v>
      </c>
      <c r="AB35" s="571">
        <v>260172</v>
      </c>
    </row>
    <row r="36" spans="1:28" hidden="1">
      <c r="A36" s="566" t="s">
        <v>1335</v>
      </c>
      <c r="B36" s="566" t="s">
        <v>466</v>
      </c>
      <c r="C36" s="566" t="s">
        <v>471</v>
      </c>
      <c r="D36" s="566" t="s">
        <v>472</v>
      </c>
      <c r="E36" s="566" t="s">
        <v>473</v>
      </c>
      <c r="F36" s="566" t="s">
        <v>474</v>
      </c>
      <c r="G36" s="567">
        <v>0</v>
      </c>
      <c r="H36" s="566" t="s">
        <v>593</v>
      </c>
      <c r="I36" s="568">
        <v>1</v>
      </c>
      <c r="J36" s="569">
        <v>3</v>
      </c>
      <c r="K36" s="569">
        <v>3</v>
      </c>
      <c r="L36" s="566"/>
      <c r="M36" s="566" t="s">
        <v>476</v>
      </c>
      <c r="N36" s="570">
        <v>324</v>
      </c>
      <c r="O36" s="566"/>
      <c r="P36" s="566" t="s">
        <v>477</v>
      </c>
      <c r="Q36" s="568">
        <v>909678</v>
      </c>
      <c r="R36" s="568">
        <v>5</v>
      </c>
      <c r="S36" s="566" t="s">
        <v>1392</v>
      </c>
      <c r="T36" s="571" t="s">
        <v>467</v>
      </c>
      <c r="U36" s="571" t="s">
        <v>550</v>
      </c>
      <c r="V36" s="571" t="s">
        <v>469</v>
      </c>
      <c r="W36" s="572" t="s">
        <v>509</v>
      </c>
      <c r="X36" s="571" t="s">
        <v>1380</v>
      </c>
      <c r="Y36" s="571" t="s">
        <v>1338</v>
      </c>
      <c r="Z36" s="566" t="s">
        <v>592</v>
      </c>
      <c r="AA36" s="573">
        <v>324</v>
      </c>
      <c r="AB36" s="571"/>
    </row>
    <row r="37" spans="1:28" hidden="1">
      <c r="A37" s="566" t="s">
        <v>1335</v>
      </c>
      <c r="B37" s="566" t="s">
        <v>466</v>
      </c>
      <c r="C37" s="566" t="s">
        <v>471</v>
      </c>
      <c r="D37" s="566" t="s">
        <v>472</v>
      </c>
      <c r="E37" s="566" t="s">
        <v>473</v>
      </c>
      <c r="F37" s="566" t="s">
        <v>474</v>
      </c>
      <c r="G37" s="567">
        <v>0</v>
      </c>
      <c r="H37" s="566" t="s">
        <v>595</v>
      </c>
      <c r="I37" s="568">
        <v>2</v>
      </c>
      <c r="J37" s="569">
        <v>3</v>
      </c>
      <c r="K37" s="569">
        <v>3</v>
      </c>
      <c r="L37" s="566"/>
      <c r="M37" s="566" t="s">
        <v>476</v>
      </c>
      <c r="N37" s="570">
        <v>360</v>
      </c>
      <c r="O37" s="566"/>
      <c r="P37" s="566" t="s">
        <v>477</v>
      </c>
      <c r="Q37" s="568">
        <v>909678</v>
      </c>
      <c r="R37" s="568">
        <v>6</v>
      </c>
      <c r="S37" s="566" t="s">
        <v>1393</v>
      </c>
      <c r="T37" s="571" t="s">
        <v>467</v>
      </c>
      <c r="U37" s="571" t="s">
        <v>550</v>
      </c>
      <c r="V37" s="571" t="s">
        <v>469</v>
      </c>
      <c r="W37" s="572" t="s">
        <v>512</v>
      </c>
      <c r="X37" s="571" t="s">
        <v>1380</v>
      </c>
      <c r="Y37" s="571" t="s">
        <v>1338</v>
      </c>
      <c r="Z37" s="566" t="s">
        <v>594</v>
      </c>
      <c r="AA37" s="573">
        <v>360</v>
      </c>
      <c r="AB37" s="571"/>
    </row>
    <row r="38" spans="1:28" hidden="1">
      <c r="A38" s="566" t="s">
        <v>1335</v>
      </c>
      <c r="B38" s="566" t="s">
        <v>466</v>
      </c>
      <c r="C38" s="566" t="s">
        <v>471</v>
      </c>
      <c r="D38" s="566" t="s">
        <v>472</v>
      </c>
      <c r="E38" s="566" t="s">
        <v>473</v>
      </c>
      <c r="F38" s="566" t="s">
        <v>474</v>
      </c>
      <c r="G38" s="567">
        <v>0</v>
      </c>
      <c r="H38" s="566" t="s">
        <v>597</v>
      </c>
      <c r="I38" s="568">
        <v>2</v>
      </c>
      <c r="J38" s="569">
        <v>3</v>
      </c>
      <c r="K38" s="569">
        <v>3</v>
      </c>
      <c r="L38" s="566"/>
      <c r="M38" s="566" t="s">
        <v>476</v>
      </c>
      <c r="N38" s="570">
        <v>396</v>
      </c>
      <c r="O38" s="566"/>
      <c r="P38" s="566" t="s">
        <v>477</v>
      </c>
      <c r="Q38" s="568">
        <v>909678</v>
      </c>
      <c r="R38" s="568">
        <v>14</v>
      </c>
      <c r="S38" s="566" t="s">
        <v>1394</v>
      </c>
      <c r="T38" s="571" t="s">
        <v>467</v>
      </c>
      <c r="U38" s="571" t="s">
        <v>550</v>
      </c>
      <c r="V38" s="571" t="s">
        <v>469</v>
      </c>
      <c r="W38" s="572" t="s">
        <v>514</v>
      </c>
      <c r="X38" s="571" t="s">
        <v>1380</v>
      </c>
      <c r="Y38" s="571" t="s">
        <v>1338</v>
      </c>
      <c r="Z38" s="566" t="s">
        <v>596</v>
      </c>
      <c r="AA38" s="573">
        <v>396</v>
      </c>
      <c r="AB38" s="571"/>
    </row>
    <row r="39" spans="1:28" hidden="1">
      <c r="A39" s="566" t="s">
        <v>1335</v>
      </c>
      <c r="B39" s="566" t="s">
        <v>466</v>
      </c>
      <c r="C39" s="566" t="s">
        <v>471</v>
      </c>
      <c r="D39" s="566" t="s">
        <v>472</v>
      </c>
      <c r="E39" s="566" t="s">
        <v>473</v>
      </c>
      <c r="F39" s="566" t="s">
        <v>474</v>
      </c>
      <c r="G39" s="567">
        <v>0</v>
      </c>
      <c r="H39" s="566" t="s">
        <v>561</v>
      </c>
      <c r="I39" s="568">
        <v>2</v>
      </c>
      <c r="J39" s="569">
        <v>27</v>
      </c>
      <c r="K39" s="569">
        <v>27</v>
      </c>
      <c r="L39" s="566"/>
      <c r="M39" s="566" t="s">
        <v>476</v>
      </c>
      <c r="N39" s="570">
        <v>1332</v>
      </c>
      <c r="O39" s="566"/>
      <c r="P39" s="566" t="s">
        <v>477</v>
      </c>
      <c r="Q39" s="568">
        <v>909678</v>
      </c>
      <c r="R39" s="568">
        <v>34</v>
      </c>
      <c r="S39" s="566" t="s">
        <v>1395</v>
      </c>
      <c r="T39" s="571" t="s">
        <v>467</v>
      </c>
      <c r="U39" s="571" t="s">
        <v>550</v>
      </c>
      <c r="V39" s="571" t="s">
        <v>469</v>
      </c>
      <c r="W39" s="572" t="s">
        <v>1274</v>
      </c>
      <c r="X39" s="571" t="s">
        <v>1380</v>
      </c>
      <c r="Y39" s="571" t="s">
        <v>1367</v>
      </c>
      <c r="Z39" s="566" t="s">
        <v>1396</v>
      </c>
      <c r="AA39" s="573">
        <v>1332</v>
      </c>
      <c r="AB39" s="571"/>
    </row>
    <row r="40" spans="1:28" hidden="1">
      <c r="A40" s="566" t="s">
        <v>1335</v>
      </c>
      <c r="B40" s="566" t="s">
        <v>466</v>
      </c>
      <c r="C40" s="566" t="s">
        <v>471</v>
      </c>
      <c r="D40" s="566" t="s">
        <v>472</v>
      </c>
      <c r="E40" s="566" t="s">
        <v>473</v>
      </c>
      <c r="F40" s="566" t="s">
        <v>474</v>
      </c>
      <c r="G40" s="567">
        <v>0</v>
      </c>
      <c r="H40" s="566" t="s">
        <v>564</v>
      </c>
      <c r="I40" s="568">
        <v>2</v>
      </c>
      <c r="J40" s="569">
        <v>27</v>
      </c>
      <c r="K40" s="569">
        <v>27</v>
      </c>
      <c r="L40" s="566"/>
      <c r="M40" s="566" t="s">
        <v>476</v>
      </c>
      <c r="N40" s="570">
        <v>1368</v>
      </c>
      <c r="O40" s="566"/>
      <c r="P40" s="566" t="s">
        <v>477</v>
      </c>
      <c r="Q40" s="568">
        <v>909678</v>
      </c>
      <c r="R40" s="568">
        <v>35</v>
      </c>
      <c r="S40" s="566" t="s">
        <v>1397</v>
      </c>
      <c r="T40" s="571" t="s">
        <v>467</v>
      </c>
      <c r="U40" s="571" t="s">
        <v>550</v>
      </c>
      <c r="V40" s="571" t="s">
        <v>469</v>
      </c>
      <c r="W40" s="572" t="s">
        <v>1275</v>
      </c>
      <c r="X40" s="571" t="s">
        <v>1380</v>
      </c>
      <c r="Y40" s="571" t="s">
        <v>1367</v>
      </c>
      <c r="Z40" s="566" t="s">
        <v>1398</v>
      </c>
      <c r="AA40" s="573">
        <v>1368</v>
      </c>
      <c r="AB40" s="571"/>
    </row>
    <row r="41" spans="1:28" hidden="1">
      <c r="A41" s="566" t="s">
        <v>1335</v>
      </c>
      <c r="B41" s="566" t="s">
        <v>466</v>
      </c>
      <c r="C41" s="566" t="s">
        <v>487</v>
      </c>
      <c r="D41" s="566" t="s">
        <v>472</v>
      </c>
      <c r="E41" s="566" t="s">
        <v>473</v>
      </c>
      <c r="F41" s="566" t="s">
        <v>489</v>
      </c>
      <c r="G41" s="567">
        <v>50</v>
      </c>
      <c r="H41" s="566" t="s">
        <v>573</v>
      </c>
      <c r="I41" s="568">
        <v>2</v>
      </c>
      <c r="J41" s="569">
        <v>27</v>
      </c>
      <c r="K41" s="569">
        <v>27</v>
      </c>
      <c r="L41" s="566"/>
      <c r="M41" s="566" t="s">
        <v>476</v>
      </c>
      <c r="N41" s="570">
        <v>1404</v>
      </c>
      <c r="O41" s="566"/>
      <c r="P41" s="566" t="s">
        <v>477</v>
      </c>
      <c r="Q41" s="568">
        <v>909678</v>
      </c>
      <c r="R41" s="568">
        <v>37</v>
      </c>
      <c r="S41" s="566" t="s">
        <v>1399</v>
      </c>
      <c r="T41" s="571" t="s">
        <v>467</v>
      </c>
      <c r="U41" s="571" t="s">
        <v>550</v>
      </c>
      <c r="V41" s="571" t="s">
        <v>469</v>
      </c>
      <c r="W41" s="572" t="s">
        <v>1276</v>
      </c>
      <c r="X41" s="571" t="s">
        <v>1380</v>
      </c>
      <c r="Y41" s="571" t="s">
        <v>1367</v>
      </c>
      <c r="Z41" s="566" t="s">
        <v>1400</v>
      </c>
      <c r="AA41" s="573">
        <v>1404</v>
      </c>
      <c r="AB41" s="571"/>
    </row>
    <row r="42" spans="1:28" hidden="1">
      <c r="A42" s="566" t="s">
        <v>1335</v>
      </c>
      <c r="B42" s="566" t="s">
        <v>466</v>
      </c>
      <c r="C42" s="566" t="s">
        <v>487</v>
      </c>
      <c r="D42" s="566" t="s">
        <v>472</v>
      </c>
      <c r="E42" s="566" t="s">
        <v>473</v>
      </c>
      <c r="F42" s="566" t="s">
        <v>489</v>
      </c>
      <c r="G42" s="567">
        <v>50</v>
      </c>
      <c r="H42" s="566" t="s">
        <v>576</v>
      </c>
      <c r="I42" s="568">
        <v>2</v>
      </c>
      <c r="J42" s="569">
        <v>27</v>
      </c>
      <c r="K42" s="569">
        <v>27</v>
      </c>
      <c r="L42" s="566"/>
      <c r="M42" s="566" t="s">
        <v>476</v>
      </c>
      <c r="N42" s="570">
        <v>1440</v>
      </c>
      <c r="O42" s="566"/>
      <c r="P42" s="566" t="s">
        <v>477</v>
      </c>
      <c r="Q42" s="568">
        <v>909678</v>
      </c>
      <c r="R42" s="568">
        <v>38</v>
      </c>
      <c r="S42" s="566" t="s">
        <v>1401</v>
      </c>
      <c r="T42" s="571" t="s">
        <v>467</v>
      </c>
      <c r="U42" s="571" t="s">
        <v>550</v>
      </c>
      <c r="V42" s="571" t="s">
        <v>469</v>
      </c>
      <c r="W42" s="572" t="s">
        <v>1277</v>
      </c>
      <c r="X42" s="571" t="s">
        <v>1380</v>
      </c>
      <c r="Y42" s="571" t="s">
        <v>1367</v>
      </c>
      <c r="Z42" s="566" t="s">
        <v>1402</v>
      </c>
      <c r="AA42" s="573">
        <v>1440</v>
      </c>
      <c r="AB42" s="571"/>
    </row>
    <row r="43" spans="1:28" hidden="1">
      <c r="A43" s="566" t="s">
        <v>1335</v>
      </c>
      <c r="B43" s="566" t="s">
        <v>466</v>
      </c>
      <c r="C43" s="566" t="s">
        <v>471</v>
      </c>
      <c r="D43" s="566" t="s">
        <v>472</v>
      </c>
      <c r="E43" s="566" t="s">
        <v>473</v>
      </c>
      <c r="F43" s="566" t="s">
        <v>474</v>
      </c>
      <c r="G43" s="567">
        <v>0</v>
      </c>
      <c r="H43" s="566" t="s">
        <v>1352</v>
      </c>
      <c r="I43" s="568">
        <v>2</v>
      </c>
      <c r="J43" s="569">
        <v>27</v>
      </c>
      <c r="K43" s="569">
        <v>27</v>
      </c>
      <c r="L43" s="566"/>
      <c r="M43" s="566" t="s">
        <v>476</v>
      </c>
      <c r="N43" s="570">
        <v>1476</v>
      </c>
      <c r="O43" s="566"/>
      <c r="P43" s="566" t="s">
        <v>477</v>
      </c>
      <c r="Q43" s="568">
        <v>909678</v>
      </c>
      <c r="R43" s="568">
        <v>36</v>
      </c>
      <c r="S43" s="566" t="s">
        <v>1403</v>
      </c>
      <c r="T43" s="571" t="s">
        <v>467</v>
      </c>
      <c r="U43" s="571" t="s">
        <v>550</v>
      </c>
      <c r="V43" s="571" t="s">
        <v>469</v>
      </c>
      <c r="W43" s="572" t="s">
        <v>1354</v>
      </c>
      <c r="X43" s="571" t="s">
        <v>1380</v>
      </c>
      <c r="Y43" s="571" t="s">
        <v>1367</v>
      </c>
      <c r="Z43" s="566" t="s">
        <v>1404</v>
      </c>
      <c r="AA43" s="573">
        <v>1476</v>
      </c>
      <c r="AB43" s="571"/>
    </row>
    <row r="44" spans="1:28" hidden="1">
      <c r="A44" s="566" t="s">
        <v>1335</v>
      </c>
      <c r="B44" s="566" t="s">
        <v>466</v>
      </c>
      <c r="C44" s="566" t="s">
        <v>487</v>
      </c>
      <c r="D44" s="566" t="s">
        <v>472</v>
      </c>
      <c r="E44" s="566" t="s">
        <v>473</v>
      </c>
      <c r="F44" s="566" t="s">
        <v>489</v>
      </c>
      <c r="G44" s="567">
        <v>50</v>
      </c>
      <c r="H44" s="566" t="s">
        <v>1356</v>
      </c>
      <c r="I44" s="568">
        <v>2</v>
      </c>
      <c r="J44" s="569">
        <v>27</v>
      </c>
      <c r="K44" s="569">
        <v>27</v>
      </c>
      <c r="L44" s="566"/>
      <c r="M44" s="566" t="s">
        <v>476</v>
      </c>
      <c r="N44" s="570">
        <v>1512</v>
      </c>
      <c r="O44" s="566"/>
      <c r="P44" s="566" t="s">
        <v>477</v>
      </c>
      <c r="Q44" s="568">
        <v>909678</v>
      </c>
      <c r="R44" s="568">
        <v>39</v>
      </c>
      <c r="S44" s="566" t="s">
        <v>1405</v>
      </c>
      <c r="T44" s="571" t="s">
        <v>467</v>
      </c>
      <c r="U44" s="571" t="s">
        <v>550</v>
      </c>
      <c r="V44" s="571" t="s">
        <v>469</v>
      </c>
      <c r="W44" s="572" t="s">
        <v>1358</v>
      </c>
      <c r="X44" s="571" t="s">
        <v>1380</v>
      </c>
      <c r="Y44" s="571" t="s">
        <v>1367</v>
      </c>
      <c r="Z44" s="566" t="s">
        <v>1406</v>
      </c>
      <c r="AA44" s="573">
        <v>1512</v>
      </c>
      <c r="AB44" s="571"/>
    </row>
    <row r="45" spans="1:28" hidden="1">
      <c r="A45" s="566" t="s">
        <v>1335</v>
      </c>
      <c r="B45" s="566" t="s">
        <v>466</v>
      </c>
      <c r="C45" s="566" t="s">
        <v>471</v>
      </c>
      <c r="D45" s="566" t="s">
        <v>472</v>
      </c>
      <c r="E45" s="566" t="s">
        <v>473</v>
      </c>
      <c r="F45" s="566" t="s">
        <v>474</v>
      </c>
      <c r="G45" s="567">
        <v>0</v>
      </c>
      <c r="H45" s="566" t="s">
        <v>559</v>
      </c>
      <c r="I45" s="568">
        <v>2</v>
      </c>
      <c r="J45" s="569">
        <v>3</v>
      </c>
      <c r="K45" s="569">
        <v>3</v>
      </c>
      <c r="L45" s="566"/>
      <c r="M45" s="566" t="s">
        <v>476</v>
      </c>
      <c r="N45" s="570">
        <v>432</v>
      </c>
      <c r="O45" s="566"/>
      <c r="P45" s="566" t="s">
        <v>477</v>
      </c>
      <c r="Q45" s="568">
        <v>909678</v>
      </c>
      <c r="R45" s="568">
        <v>7</v>
      </c>
      <c r="S45" s="566" t="s">
        <v>1407</v>
      </c>
      <c r="T45" s="575" t="s">
        <v>1408</v>
      </c>
      <c r="U45" s="575" t="s">
        <v>550</v>
      </c>
      <c r="V45" s="575" t="s">
        <v>469</v>
      </c>
      <c r="W45" s="576" t="s">
        <v>470</v>
      </c>
      <c r="X45" s="575" t="s">
        <v>1380</v>
      </c>
      <c r="Y45" s="575" t="s">
        <v>1338</v>
      </c>
      <c r="Z45" s="576" t="s">
        <v>1409</v>
      </c>
      <c r="AA45" s="577">
        <v>432</v>
      </c>
      <c r="AB45" s="575"/>
    </row>
    <row r="46" spans="1:28" hidden="1">
      <c r="A46" s="566" t="s">
        <v>1335</v>
      </c>
      <c r="B46" s="566" t="s">
        <v>466</v>
      </c>
      <c r="C46" s="566" t="s">
        <v>471</v>
      </c>
      <c r="D46" s="566" t="s">
        <v>472</v>
      </c>
      <c r="E46" s="566" t="s">
        <v>473</v>
      </c>
      <c r="F46" s="566" t="s">
        <v>474</v>
      </c>
      <c r="G46" s="567">
        <v>0</v>
      </c>
      <c r="H46" s="566" t="s">
        <v>562</v>
      </c>
      <c r="I46" s="568">
        <v>2</v>
      </c>
      <c r="J46" s="569">
        <v>3</v>
      </c>
      <c r="K46" s="569">
        <v>3</v>
      </c>
      <c r="L46" s="566"/>
      <c r="M46" s="566" t="s">
        <v>476</v>
      </c>
      <c r="N46" s="570">
        <v>504</v>
      </c>
      <c r="O46" s="566"/>
      <c r="P46" s="566" t="s">
        <v>477</v>
      </c>
      <c r="Q46" s="568">
        <v>909678</v>
      </c>
      <c r="R46" s="568">
        <v>8</v>
      </c>
      <c r="S46" s="566" t="s">
        <v>1410</v>
      </c>
      <c r="T46" s="575" t="s">
        <v>1408</v>
      </c>
      <c r="U46" s="575" t="s">
        <v>550</v>
      </c>
      <c r="V46" s="575" t="s">
        <v>469</v>
      </c>
      <c r="W46" s="576" t="s">
        <v>480</v>
      </c>
      <c r="X46" s="575" t="s">
        <v>1380</v>
      </c>
      <c r="Y46" s="575" t="s">
        <v>1338</v>
      </c>
      <c r="Z46" s="576" t="s">
        <v>1411</v>
      </c>
      <c r="AA46" s="577">
        <v>504</v>
      </c>
      <c r="AB46" s="575"/>
    </row>
    <row r="47" spans="1:28" hidden="1">
      <c r="A47" s="566" t="s">
        <v>1335</v>
      </c>
      <c r="B47" s="566" t="s">
        <v>466</v>
      </c>
      <c r="C47" s="566" t="s">
        <v>487</v>
      </c>
      <c r="D47" s="566" t="s">
        <v>472</v>
      </c>
      <c r="E47" s="566" t="s">
        <v>473</v>
      </c>
      <c r="F47" s="566" t="s">
        <v>489</v>
      </c>
      <c r="G47" s="567">
        <v>50</v>
      </c>
      <c r="H47" s="566" t="s">
        <v>571</v>
      </c>
      <c r="I47" s="568">
        <v>2</v>
      </c>
      <c r="J47" s="569">
        <v>3</v>
      </c>
      <c r="K47" s="569">
        <v>3</v>
      </c>
      <c r="L47" s="566"/>
      <c r="M47" s="566" t="s">
        <v>476</v>
      </c>
      <c r="N47" s="570">
        <v>684</v>
      </c>
      <c r="O47" s="566"/>
      <c r="P47" s="566" t="s">
        <v>477</v>
      </c>
      <c r="Q47" s="568">
        <v>909678</v>
      </c>
      <c r="R47" s="568">
        <v>11</v>
      </c>
      <c r="S47" s="566" t="s">
        <v>1412</v>
      </c>
      <c r="T47" s="575" t="s">
        <v>1408</v>
      </c>
      <c r="U47" s="575" t="s">
        <v>550</v>
      </c>
      <c r="V47" s="575" t="s">
        <v>469</v>
      </c>
      <c r="W47" s="576" t="s">
        <v>499</v>
      </c>
      <c r="X47" s="575" t="s">
        <v>1380</v>
      </c>
      <c r="Y47" s="575" t="s">
        <v>1338</v>
      </c>
      <c r="Z47" s="576" t="s">
        <v>1413</v>
      </c>
      <c r="AA47" s="577">
        <v>684</v>
      </c>
      <c r="AB47" s="575"/>
    </row>
    <row r="48" spans="1:28" hidden="1">
      <c r="A48" s="566" t="s">
        <v>1335</v>
      </c>
      <c r="B48" s="566" t="s">
        <v>466</v>
      </c>
      <c r="C48" s="566" t="s">
        <v>487</v>
      </c>
      <c r="D48" s="566" t="s">
        <v>472</v>
      </c>
      <c r="E48" s="566" t="s">
        <v>473</v>
      </c>
      <c r="F48" s="566" t="s">
        <v>489</v>
      </c>
      <c r="G48" s="567">
        <v>50</v>
      </c>
      <c r="H48" s="566" t="s">
        <v>574</v>
      </c>
      <c r="I48" s="568">
        <v>2</v>
      </c>
      <c r="J48" s="569">
        <v>3</v>
      </c>
      <c r="K48" s="569">
        <v>3</v>
      </c>
      <c r="L48" s="566"/>
      <c r="M48" s="566" t="s">
        <v>476</v>
      </c>
      <c r="N48" s="570">
        <v>756</v>
      </c>
      <c r="O48" s="566"/>
      <c r="P48" s="566" t="s">
        <v>477</v>
      </c>
      <c r="Q48" s="568">
        <v>909678</v>
      </c>
      <c r="R48" s="568">
        <v>20</v>
      </c>
      <c r="S48" s="566" t="s">
        <v>1414</v>
      </c>
      <c r="T48" s="575" t="s">
        <v>1408</v>
      </c>
      <c r="U48" s="575" t="s">
        <v>550</v>
      </c>
      <c r="V48" s="575" t="s">
        <v>469</v>
      </c>
      <c r="W48" s="576" t="s">
        <v>504</v>
      </c>
      <c r="X48" s="575" t="s">
        <v>1380</v>
      </c>
      <c r="Y48" s="575" t="s">
        <v>1338</v>
      </c>
      <c r="Z48" s="576" t="s">
        <v>1415</v>
      </c>
      <c r="AA48" s="577">
        <v>756</v>
      </c>
      <c r="AB48" s="575"/>
    </row>
    <row r="49" spans="1:28" hidden="1">
      <c r="A49" s="566" t="s">
        <v>1335</v>
      </c>
      <c r="B49" s="566" t="s">
        <v>466</v>
      </c>
      <c r="C49" s="566" t="s">
        <v>471</v>
      </c>
      <c r="D49" s="566" t="s">
        <v>472</v>
      </c>
      <c r="E49" s="566" t="s">
        <v>473</v>
      </c>
      <c r="F49" s="566" t="s">
        <v>474</v>
      </c>
      <c r="G49" s="567">
        <v>0</v>
      </c>
      <c r="H49" s="566" t="s">
        <v>561</v>
      </c>
      <c r="I49" s="568">
        <v>2</v>
      </c>
      <c r="J49" s="569">
        <v>49</v>
      </c>
      <c r="K49" s="569">
        <v>49</v>
      </c>
      <c r="L49" s="566"/>
      <c r="M49" s="566" t="s">
        <v>476</v>
      </c>
      <c r="N49" s="570">
        <v>1006</v>
      </c>
      <c r="O49" s="566"/>
      <c r="P49" s="566" t="s">
        <v>477</v>
      </c>
      <c r="Q49" s="568">
        <v>909678</v>
      </c>
      <c r="R49" s="568">
        <v>25</v>
      </c>
      <c r="S49" s="566" t="s">
        <v>1336</v>
      </c>
      <c r="T49" s="578" t="s">
        <v>779</v>
      </c>
      <c r="U49" s="578" t="s">
        <v>550</v>
      </c>
      <c r="V49" s="578" t="s">
        <v>469</v>
      </c>
      <c r="W49" s="579" t="s">
        <v>1274</v>
      </c>
      <c r="X49" s="578" t="s">
        <v>1337</v>
      </c>
      <c r="Y49" s="578" t="s">
        <v>1338</v>
      </c>
      <c r="Z49" s="580" t="s">
        <v>1416</v>
      </c>
      <c r="AA49" s="581">
        <v>1006</v>
      </c>
      <c r="AB49" s="578"/>
    </row>
    <row r="50" spans="1:28" hidden="1">
      <c r="A50" s="566" t="s">
        <v>1335</v>
      </c>
      <c r="B50" s="566" t="s">
        <v>466</v>
      </c>
      <c r="C50" s="566" t="s">
        <v>471</v>
      </c>
      <c r="D50" s="566" t="s">
        <v>472</v>
      </c>
      <c r="E50" s="566" t="s">
        <v>473</v>
      </c>
      <c r="F50" s="566" t="s">
        <v>474</v>
      </c>
      <c r="G50" s="567">
        <v>0</v>
      </c>
      <c r="H50" s="566" t="s">
        <v>564</v>
      </c>
      <c r="I50" s="568">
        <v>2</v>
      </c>
      <c r="J50" s="569">
        <v>49</v>
      </c>
      <c r="K50" s="569">
        <v>49</v>
      </c>
      <c r="L50" s="566"/>
      <c r="M50" s="566" t="s">
        <v>476</v>
      </c>
      <c r="N50" s="570">
        <v>1042</v>
      </c>
      <c r="O50" s="566"/>
      <c r="P50" s="566" t="s">
        <v>477</v>
      </c>
      <c r="Q50" s="568">
        <v>909678</v>
      </c>
      <c r="R50" s="568">
        <v>26</v>
      </c>
      <c r="S50" s="566" t="s">
        <v>1340</v>
      </c>
      <c r="T50" s="578" t="s">
        <v>779</v>
      </c>
      <c r="U50" s="578" t="s">
        <v>550</v>
      </c>
      <c r="V50" s="578" t="s">
        <v>469</v>
      </c>
      <c r="W50" s="579" t="s">
        <v>1275</v>
      </c>
      <c r="X50" s="578" t="s">
        <v>1337</v>
      </c>
      <c r="Y50" s="578" t="s">
        <v>1338</v>
      </c>
      <c r="Z50" s="580" t="s">
        <v>1417</v>
      </c>
      <c r="AA50" s="581">
        <v>1042</v>
      </c>
      <c r="AB50" s="578"/>
    </row>
    <row r="51" spans="1:28" hidden="1">
      <c r="A51" s="566" t="s">
        <v>1335</v>
      </c>
      <c r="B51" s="566" t="s">
        <v>466</v>
      </c>
      <c r="C51" s="566" t="s">
        <v>487</v>
      </c>
      <c r="D51" s="566" t="s">
        <v>472</v>
      </c>
      <c r="E51" s="566" t="s">
        <v>473</v>
      </c>
      <c r="F51" s="566" t="s">
        <v>489</v>
      </c>
      <c r="G51" s="567">
        <v>50</v>
      </c>
      <c r="H51" s="566" t="s">
        <v>566</v>
      </c>
      <c r="I51" s="568">
        <v>2</v>
      </c>
      <c r="J51" s="569">
        <v>49</v>
      </c>
      <c r="K51" s="569">
        <v>49</v>
      </c>
      <c r="L51" s="566"/>
      <c r="M51" s="566" t="s">
        <v>476</v>
      </c>
      <c r="N51" s="570">
        <v>1078</v>
      </c>
      <c r="O51" s="566"/>
      <c r="P51" s="566" t="s">
        <v>477</v>
      </c>
      <c r="Q51" s="568">
        <v>909678</v>
      </c>
      <c r="R51" s="568">
        <v>28</v>
      </c>
      <c r="S51" s="566" t="s">
        <v>1342</v>
      </c>
      <c r="T51" s="578" t="s">
        <v>779</v>
      </c>
      <c r="U51" s="578" t="s">
        <v>550</v>
      </c>
      <c r="V51" s="578" t="s">
        <v>469</v>
      </c>
      <c r="W51" s="579" t="s">
        <v>485</v>
      </c>
      <c r="X51" s="578" t="s">
        <v>1337</v>
      </c>
      <c r="Y51" s="578" t="s">
        <v>1338</v>
      </c>
      <c r="Z51" s="580" t="s">
        <v>1418</v>
      </c>
      <c r="AA51" s="581">
        <v>1078</v>
      </c>
      <c r="AB51" s="578"/>
    </row>
    <row r="52" spans="1:28" hidden="1">
      <c r="A52" s="566" t="s">
        <v>1335</v>
      </c>
      <c r="B52" s="566" t="s">
        <v>466</v>
      </c>
      <c r="C52" s="566" t="s">
        <v>487</v>
      </c>
      <c r="D52" s="566" t="s">
        <v>472</v>
      </c>
      <c r="E52" s="566" t="s">
        <v>473</v>
      </c>
      <c r="F52" s="566" t="s">
        <v>489</v>
      </c>
      <c r="G52" s="567">
        <v>50</v>
      </c>
      <c r="H52" s="566" t="s">
        <v>568</v>
      </c>
      <c r="I52" s="568">
        <v>2</v>
      </c>
      <c r="J52" s="569">
        <v>49</v>
      </c>
      <c r="K52" s="569">
        <v>49</v>
      </c>
      <c r="L52" s="566"/>
      <c r="M52" s="566" t="s">
        <v>476</v>
      </c>
      <c r="N52" s="570">
        <v>1114</v>
      </c>
      <c r="O52" s="566"/>
      <c r="P52" s="566" t="s">
        <v>477</v>
      </c>
      <c r="Q52" s="568">
        <v>909678</v>
      </c>
      <c r="R52" s="568">
        <v>29</v>
      </c>
      <c r="S52" s="566" t="s">
        <v>1344</v>
      </c>
      <c r="T52" s="578" t="s">
        <v>779</v>
      </c>
      <c r="U52" s="578" t="s">
        <v>550</v>
      </c>
      <c r="V52" s="578" t="s">
        <v>469</v>
      </c>
      <c r="W52" s="579" t="s">
        <v>491</v>
      </c>
      <c r="X52" s="578" t="s">
        <v>1337</v>
      </c>
      <c r="Y52" s="578" t="s">
        <v>1338</v>
      </c>
      <c r="Z52" s="580" t="s">
        <v>1419</v>
      </c>
      <c r="AA52" s="581">
        <v>1114</v>
      </c>
      <c r="AB52" s="578"/>
    </row>
    <row r="53" spans="1:28" hidden="1">
      <c r="A53" s="566" t="s">
        <v>1335</v>
      </c>
      <c r="B53" s="566" t="s">
        <v>466</v>
      </c>
      <c r="C53" s="566" t="s">
        <v>487</v>
      </c>
      <c r="D53" s="566" t="s">
        <v>472</v>
      </c>
      <c r="E53" s="566" t="s">
        <v>473</v>
      </c>
      <c r="F53" s="566" t="s">
        <v>489</v>
      </c>
      <c r="G53" s="567">
        <v>50</v>
      </c>
      <c r="H53" s="566" t="s">
        <v>570</v>
      </c>
      <c r="I53" s="568">
        <v>2</v>
      </c>
      <c r="J53" s="569">
        <v>49</v>
      </c>
      <c r="K53" s="569">
        <v>49</v>
      </c>
      <c r="L53" s="566"/>
      <c r="M53" s="566" t="s">
        <v>476</v>
      </c>
      <c r="N53" s="570">
        <v>1150</v>
      </c>
      <c r="O53" s="566"/>
      <c r="P53" s="566" t="s">
        <v>477</v>
      </c>
      <c r="Q53" s="568">
        <v>909678</v>
      </c>
      <c r="R53" s="568">
        <v>30</v>
      </c>
      <c r="S53" s="566" t="s">
        <v>1346</v>
      </c>
      <c r="T53" s="578" t="s">
        <v>779</v>
      </c>
      <c r="U53" s="578" t="s">
        <v>550</v>
      </c>
      <c r="V53" s="578" t="s">
        <v>469</v>
      </c>
      <c r="W53" s="579" t="s">
        <v>495</v>
      </c>
      <c r="X53" s="578" t="s">
        <v>1337</v>
      </c>
      <c r="Y53" s="578" t="s">
        <v>1338</v>
      </c>
      <c r="Z53" s="580" t="s">
        <v>1420</v>
      </c>
      <c r="AA53" s="581">
        <v>1150</v>
      </c>
      <c r="AB53" s="578"/>
    </row>
    <row r="54" spans="1:28" hidden="1">
      <c r="A54" s="566" t="s">
        <v>1335</v>
      </c>
      <c r="B54" s="566" t="s">
        <v>466</v>
      </c>
      <c r="C54" s="566" t="s">
        <v>487</v>
      </c>
      <c r="D54" s="566" t="s">
        <v>472</v>
      </c>
      <c r="E54" s="566" t="s">
        <v>473</v>
      </c>
      <c r="F54" s="566" t="s">
        <v>489</v>
      </c>
      <c r="G54" s="567">
        <v>50</v>
      </c>
      <c r="H54" s="566" t="s">
        <v>573</v>
      </c>
      <c r="I54" s="568">
        <v>2</v>
      </c>
      <c r="J54" s="569">
        <v>49</v>
      </c>
      <c r="K54" s="569">
        <v>49</v>
      </c>
      <c r="L54" s="566"/>
      <c r="M54" s="566" t="s">
        <v>476</v>
      </c>
      <c r="N54" s="570">
        <v>1186</v>
      </c>
      <c r="O54" s="566"/>
      <c r="P54" s="566" t="s">
        <v>477</v>
      </c>
      <c r="Q54" s="568">
        <v>909678</v>
      </c>
      <c r="R54" s="568">
        <v>31</v>
      </c>
      <c r="S54" s="566" t="s">
        <v>1348</v>
      </c>
      <c r="T54" s="578" t="s">
        <v>779</v>
      </c>
      <c r="U54" s="578" t="s">
        <v>550</v>
      </c>
      <c r="V54" s="578" t="s">
        <v>469</v>
      </c>
      <c r="W54" s="579" t="s">
        <v>1276</v>
      </c>
      <c r="X54" s="578" t="s">
        <v>1337</v>
      </c>
      <c r="Y54" s="578" t="s">
        <v>1338</v>
      </c>
      <c r="Z54" s="580" t="s">
        <v>1421</v>
      </c>
      <c r="AA54" s="581">
        <v>1186</v>
      </c>
      <c r="AB54" s="578"/>
    </row>
    <row r="55" spans="1:28" hidden="1">
      <c r="A55" s="566" t="s">
        <v>1335</v>
      </c>
      <c r="B55" s="566" t="s">
        <v>466</v>
      </c>
      <c r="C55" s="566" t="s">
        <v>487</v>
      </c>
      <c r="D55" s="566" t="s">
        <v>472</v>
      </c>
      <c r="E55" s="566" t="s">
        <v>473</v>
      </c>
      <c r="F55" s="566" t="s">
        <v>489</v>
      </c>
      <c r="G55" s="567">
        <v>50</v>
      </c>
      <c r="H55" s="566" t="s">
        <v>576</v>
      </c>
      <c r="I55" s="568">
        <v>2</v>
      </c>
      <c r="J55" s="569">
        <v>49</v>
      </c>
      <c r="K55" s="569">
        <v>49</v>
      </c>
      <c r="L55" s="566"/>
      <c r="M55" s="566" t="s">
        <v>476</v>
      </c>
      <c r="N55" s="570">
        <v>1222</v>
      </c>
      <c r="O55" s="566"/>
      <c r="P55" s="566" t="s">
        <v>477</v>
      </c>
      <c r="Q55" s="568">
        <v>909678</v>
      </c>
      <c r="R55" s="568">
        <v>32</v>
      </c>
      <c r="S55" s="566" t="s">
        <v>1350</v>
      </c>
      <c r="T55" s="578" t="s">
        <v>779</v>
      </c>
      <c r="U55" s="578" t="s">
        <v>550</v>
      </c>
      <c r="V55" s="578" t="s">
        <v>469</v>
      </c>
      <c r="W55" s="579" t="s">
        <v>1277</v>
      </c>
      <c r="X55" s="578" t="s">
        <v>1337</v>
      </c>
      <c r="Y55" s="578" t="s">
        <v>1338</v>
      </c>
      <c r="Z55" s="580" t="s">
        <v>1422</v>
      </c>
      <c r="AA55" s="581">
        <v>1222</v>
      </c>
      <c r="AB55" s="578"/>
    </row>
    <row r="56" spans="1:28" hidden="1">
      <c r="A56" s="566" t="s">
        <v>1335</v>
      </c>
      <c r="B56" s="566" t="s">
        <v>466</v>
      </c>
      <c r="C56" s="566" t="s">
        <v>471</v>
      </c>
      <c r="D56" s="566" t="s">
        <v>472</v>
      </c>
      <c r="E56" s="566" t="s">
        <v>473</v>
      </c>
      <c r="F56" s="566" t="s">
        <v>474</v>
      </c>
      <c r="G56" s="567">
        <v>0</v>
      </c>
      <c r="H56" s="566" t="s">
        <v>1352</v>
      </c>
      <c r="I56" s="568">
        <v>2</v>
      </c>
      <c r="J56" s="569">
        <v>49</v>
      </c>
      <c r="K56" s="569">
        <v>49</v>
      </c>
      <c r="L56" s="566"/>
      <c r="M56" s="566" t="s">
        <v>476</v>
      </c>
      <c r="N56" s="570">
        <v>1258</v>
      </c>
      <c r="O56" s="566"/>
      <c r="P56" s="566" t="s">
        <v>477</v>
      </c>
      <c r="Q56" s="568">
        <v>909678</v>
      </c>
      <c r="R56" s="568">
        <v>27</v>
      </c>
      <c r="S56" s="566" t="s">
        <v>1353</v>
      </c>
      <c r="T56" s="578" t="s">
        <v>779</v>
      </c>
      <c r="U56" s="578" t="s">
        <v>550</v>
      </c>
      <c r="V56" s="578" t="s">
        <v>469</v>
      </c>
      <c r="W56" s="579" t="s">
        <v>1354</v>
      </c>
      <c r="X56" s="578" t="s">
        <v>1337</v>
      </c>
      <c r="Y56" s="578" t="s">
        <v>1338</v>
      </c>
      <c r="Z56" s="580" t="s">
        <v>1423</v>
      </c>
      <c r="AA56" s="581">
        <v>1258</v>
      </c>
      <c r="AB56" s="578"/>
    </row>
    <row r="57" spans="1:28" hidden="1">
      <c r="A57" s="566" t="s">
        <v>1335</v>
      </c>
      <c r="B57" s="566" t="s">
        <v>466</v>
      </c>
      <c r="C57" s="566" t="s">
        <v>487</v>
      </c>
      <c r="D57" s="566" t="s">
        <v>472</v>
      </c>
      <c r="E57" s="566" t="s">
        <v>473</v>
      </c>
      <c r="F57" s="566" t="s">
        <v>489</v>
      </c>
      <c r="G57" s="567">
        <v>50</v>
      </c>
      <c r="H57" s="566" t="s">
        <v>1356</v>
      </c>
      <c r="I57" s="568">
        <v>2</v>
      </c>
      <c r="J57" s="569">
        <v>49</v>
      </c>
      <c r="K57" s="569">
        <v>49</v>
      </c>
      <c r="L57" s="566"/>
      <c r="M57" s="566" t="s">
        <v>476</v>
      </c>
      <c r="N57" s="570">
        <v>1294</v>
      </c>
      <c r="O57" s="566"/>
      <c r="P57" s="566" t="s">
        <v>477</v>
      </c>
      <c r="Q57" s="568">
        <v>909678</v>
      </c>
      <c r="R57" s="568">
        <v>33</v>
      </c>
      <c r="S57" s="566" t="s">
        <v>1357</v>
      </c>
      <c r="T57" s="578" t="s">
        <v>779</v>
      </c>
      <c r="U57" s="578" t="s">
        <v>550</v>
      </c>
      <c r="V57" s="578" t="s">
        <v>469</v>
      </c>
      <c r="W57" s="579" t="s">
        <v>1358</v>
      </c>
      <c r="X57" s="578" t="s">
        <v>1337</v>
      </c>
      <c r="Y57" s="578" t="s">
        <v>1338</v>
      </c>
      <c r="Z57" s="580" t="s">
        <v>1424</v>
      </c>
      <c r="AA57" s="581">
        <v>1294</v>
      </c>
      <c r="AB57" s="578"/>
    </row>
    <row r="58" spans="1:28" hidden="1">
      <c r="A58" s="566" t="s">
        <v>1335</v>
      </c>
      <c r="B58" s="566" t="s">
        <v>466</v>
      </c>
      <c r="C58" s="566" t="s">
        <v>471</v>
      </c>
      <c r="D58" s="566" t="s">
        <v>472</v>
      </c>
      <c r="E58" s="566" t="s">
        <v>473</v>
      </c>
      <c r="F58" s="566" t="s">
        <v>474</v>
      </c>
      <c r="G58" s="567">
        <v>0</v>
      </c>
      <c r="H58" s="566" t="s">
        <v>593</v>
      </c>
      <c r="I58" s="568">
        <v>1</v>
      </c>
      <c r="J58" s="569">
        <v>49</v>
      </c>
      <c r="K58" s="569">
        <v>49</v>
      </c>
      <c r="L58" s="566"/>
      <c r="M58" s="566" t="s">
        <v>476</v>
      </c>
      <c r="N58" s="570">
        <v>898</v>
      </c>
      <c r="O58" s="566"/>
      <c r="P58" s="566" t="s">
        <v>477</v>
      </c>
      <c r="Q58" s="568">
        <v>909678</v>
      </c>
      <c r="R58" s="568">
        <v>22</v>
      </c>
      <c r="S58" s="566" t="s">
        <v>1360</v>
      </c>
      <c r="T58" s="578" t="s">
        <v>779</v>
      </c>
      <c r="U58" s="578" t="s">
        <v>550</v>
      </c>
      <c r="V58" s="578" t="s">
        <v>469</v>
      </c>
      <c r="W58" s="579" t="s">
        <v>509</v>
      </c>
      <c r="X58" s="578" t="s">
        <v>1337</v>
      </c>
      <c r="Y58" s="578" t="s">
        <v>1338</v>
      </c>
      <c r="Z58" s="580" t="s">
        <v>1425</v>
      </c>
      <c r="AA58" s="581">
        <v>898</v>
      </c>
      <c r="AB58" s="578"/>
    </row>
    <row r="59" spans="1:28" hidden="1">
      <c r="A59" s="566" t="s">
        <v>1335</v>
      </c>
      <c r="B59" s="566" t="s">
        <v>466</v>
      </c>
      <c r="C59" s="566" t="s">
        <v>471</v>
      </c>
      <c r="D59" s="566" t="s">
        <v>472</v>
      </c>
      <c r="E59" s="566" t="s">
        <v>473</v>
      </c>
      <c r="F59" s="566" t="s">
        <v>474</v>
      </c>
      <c r="G59" s="567">
        <v>0</v>
      </c>
      <c r="H59" s="566" t="s">
        <v>595</v>
      </c>
      <c r="I59" s="568">
        <v>2</v>
      </c>
      <c r="J59" s="569">
        <v>49</v>
      </c>
      <c r="K59" s="569">
        <v>49</v>
      </c>
      <c r="L59" s="566"/>
      <c r="M59" s="566" t="s">
        <v>476</v>
      </c>
      <c r="N59" s="570">
        <v>934</v>
      </c>
      <c r="O59" s="566"/>
      <c r="P59" s="566" t="s">
        <v>477</v>
      </c>
      <c r="Q59" s="568">
        <v>909678</v>
      </c>
      <c r="R59" s="568">
        <v>23</v>
      </c>
      <c r="S59" s="566" t="s">
        <v>1362</v>
      </c>
      <c r="T59" s="578" t="s">
        <v>779</v>
      </c>
      <c r="U59" s="578" t="s">
        <v>550</v>
      </c>
      <c r="V59" s="578" t="s">
        <v>469</v>
      </c>
      <c r="W59" s="579" t="s">
        <v>512</v>
      </c>
      <c r="X59" s="578" t="s">
        <v>1337</v>
      </c>
      <c r="Y59" s="578" t="s">
        <v>1338</v>
      </c>
      <c r="Z59" s="580" t="s">
        <v>1426</v>
      </c>
      <c r="AA59" s="581">
        <v>934</v>
      </c>
      <c r="AB59" s="578"/>
    </row>
    <row r="60" spans="1:28" hidden="1">
      <c r="A60" s="566" t="s">
        <v>1335</v>
      </c>
      <c r="B60" s="566" t="s">
        <v>466</v>
      </c>
      <c r="C60" s="566" t="s">
        <v>471</v>
      </c>
      <c r="D60" s="566" t="s">
        <v>472</v>
      </c>
      <c r="E60" s="566" t="s">
        <v>473</v>
      </c>
      <c r="F60" s="566" t="s">
        <v>474</v>
      </c>
      <c r="G60" s="567">
        <v>0</v>
      </c>
      <c r="H60" s="566" t="s">
        <v>597</v>
      </c>
      <c r="I60" s="568">
        <v>2</v>
      </c>
      <c r="J60" s="569">
        <v>49</v>
      </c>
      <c r="K60" s="569">
        <v>49</v>
      </c>
      <c r="L60" s="566"/>
      <c r="M60" s="566" t="s">
        <v>476</v>
      </c>
      <c r="N60" s="570">
        <v>970</v>
      </c>
      <c r="O60" s="566"/>
      <c r="P60" s="566" t="s">
        <v>477</v>
      </c>
      <c r="Q60" s="568">
        <v>909678</v>
      </c>
      <c r="R60" s="568">
        <v>24</v>
      </c>
      <c r="S60" s="566" t="s">
        <v>1364</v>
      </c>
      <c r="T60" s="578" t="s">
        <v>779</v>
      </c>
      <c r="U60" s="578" t="s">
        <v>550</v>
      </c>
      <c r="V60" s="578" t="s">
        <v>469</v>
      </c>
      <c r="W60" s="579" t="s">
        <v>514</v>
      </c>
      <c r="X60" s="578" t="s">
        <v>1337</v>
      </c>
      <c r="Y60" s="578" t="s">
        <v>1338</v>
      </c>
      <c r="Z60" s="580" t="s">
        <v>1427</v>
      </c>
      <c r="AA60" s="581">
        <v>970</v>
      </c>
      <c r="AB60" s="578"/>
    </row>
    <row r="61" spans="1:28" hidden="1">
      <c r="A61" s="566" t="s">
        <v>1335</v>
      </c>
      <c r="B61" s="566" t="s">
        <v>466</v>
      </c>
      <c r="C61" s="566" t="s">
        <v>471</v>
      </c>
      <c r="D61" s="566" t="s">
        <v>472</v>
      </c>
      <c r="E61" s="566" t="s">
        <v>473</v>
      </c>
      <c r="F61" s="566" t="s">
        <v>474</v>
      </c>
      <c r="G61" s="567">
        <v>0</v>
      </c>
      <c r="H61" s="566" t="s">
        <v>561</v>
      </c>
      <c r="I61" s="568">
        <v>2</v>
      </c>
      <c r="J61" s="569">
        <v>73</v>
      </c>
      <c r="K61" s="569">
        <v>73</v>
      </c>
      <c r="L61" s="566"/>
      <c r="M61" s="566" t="s">
        <v>476</v>
      </c>
      <c r="N61" s="570">
        <v>1546</v>
      </c>
      <c r="O61" s="566"/>
      <c r="P61" s="566" t="s">
        <v>477</v>
      </c>
      <c r="Q61" s="568">
        <v>909678</v>
      </c>
      <c r="R61" s="568">
        <v>40</v>
      </c>
      <c r="S61" s="566" t="s">
        <v>1366</v>
      </c>
      <c r="T61" s="578" t="s">
        <v>779</v>
      </c>
      <c r="U61" s="578" t="s">
        <v>550</v>
      </c>
      <c r="V61" s="578" t="s">
        <v>469</v>
      </c>
      <c r="W61" s="579" t="s">
        <v>1274</v>
      </c>
      <c r="X61" s="578" t="s">
        <v>1337</v>
      </c>
      <c r="Y61" s="578" t="s">
        <v>1367</v>
      </c>
      <c r="Z61" s="580" t="s">
        <v>1428</v>
      </c>
      <c r="AA61" s="581">
        <v>1546</v>
      </c>
      <c r="AB61" s="578"/>
    </row>
    <row r="62" spans="1:28" hidden="1">
      <c r="A62" s="566" t="s">
        <v>1335</v>
      </c>
      <c r="B62" s="566" t="s">
        <v>466</v>
      </c>
      <c r="C62" s="566" t="s">
        <v>471</v>
      </c>
      <c r="D62" s="566" t="s">
        <v>472</v>
      </c>
      <c r="E62" s="566" t="s">
        <v>473</v>
      </c>
      <c r="F62" s="566" t="s">
        <v>474</v>
      </c>
      <c r="G62" s="567">
        <v>0</v>
      </c>
      <c r="H62" s="566" t="s">
        <v>564</v>
      </c>
      <c r="I62" s="568">
        <v>2</v>
      </c>
      <c r="J62" s="569">
        <v>73</v>
      </c>
      <c r="K62" s="569">
        <v>73</v>
      </c>
      <c r="L62" s="566"/>
      <c r="M62" s="566" t="s">
        <v>476</v>
      </c>
      <c r="N62" s="570">
        <v>1582</v>
      </c>
      <c r="O62" s="566"/>
      <c r="P62" s="566" t="s">
        <v>477</v>
      </c>
      <c r="Q62" s="568">
        <v>909678</v>
      </c>
      <c r="R62" s="568">
        <v>41</v>
      </c>
      <c r="S62" s="566" t="s">
        <v>1369</v>
      </c>
      <c r="T62" s="578" t="s">
        <v>779</v>
      </c>
      <c r="U62" s="578" t="s">
        <v>550</v>
      </c>
      <c r="V62" s="578" t="s">
        <v>469</v>
      </c>
      <c r="W62" s="579" t="s">
        <v>1275</v>
      </c>
      <c r="X62" s="578" t="s">
        <v>1337</v>
      </c>
      <c r="Y62" s="578" t="s">
        <v>1367</v>
      </c>
      <c r="Z62" s="580" t="s">
        <v>1429</v>
      </c>
      <c r="AA62" s="581">
        <v>1582</v>
      </c>
      <c r="AB62" s="578"/>
    </row>
    <row r="63" spans="1:28" hidden="1">
      <c r="A63" s="566" t="s">
        <v>1335</v>
      </c>
      <c r="B63" s="566" t="s">
        <v>466</v>
      </c>
      <c r="C63" s="566" t="s">
        <v>487</v>
      </c>
      <c r="D63" s="566" t="s">
        <v>472</v>
      </c>
      <c r="E63" s="566" t="s">
        <v>473</v>
      </c>
      <c r="F63" s="566" t="s">
        <v>489</v>
      </c>
      <c r="G63" s="567">
        <v>50</v>
      </c>
      <c r="H63" s="566" t="s">
        <v>573</v>
      </c>
      <c r="I63" s="568">
        <v>2</v>
      </c>
      <c r="J63" s="569">
        <v>73</v>
      </c>
      <c r="K63" s="569">
        <v>73</v>
      </c>
      <c r="L63" s="566"/>
      <c r="M63" s="566" t="s">
        <v>476</v>
      </c>
      <c r="N63" s="570">
        <v>1618</v>
      </c>
      <c r="O63" s="566"/>
      <c r="P63" s="566" t="s">
        <v>477</v>
      </c>
      <c r="Q63" s="568">
        <v>909678</v>
      </c>
      <c r="R63" s="568">
        <v>43</v>
      </c>
      <c r="S63" s="566" t="s">
        <v>1371</v>
      </c>
      <c r="T63" s="578" t="s">
        <v>779</v>
      </c>
      <c r="U63" s="578" t="s">
        <v>550</v>
      </c>
      <c r="V63" s="578" t="s">
        <v>469</v>
      </c>
      <c r="W63" s="579" t="s">
        <v>1276</v>
      </c>
      <c r="X63" s="578" t="s">
        <v>1337</v>
      </c>
      <c r="Y63" s="578" t="s">
        <v>1367</v>
      </c>
      <c r="Z63" s="580" t="s">
        <v>1430</v>
      </c>
      <c r="AA63" s="581">
        <v>1618</v>
      </c>
      <c r="AB63" s="578"/>
    </row>
    <row r="64" spans="1:28" hidden="1">
      <c r="A64" s="566" t="s">
        <v>1335</v>
      </c>
      <c r="B64" s="566" t="s">
        <v>466</v>
      </c>
      <c r="C64" s="566" t="s">
        <v>487</v>
      </c>
      <c r="D64" s="566" t="s">
        <v>472</v>
      </c>
      <c r="E64" s="566" t="s">
        <v>473</v>
      </c>
      <c r="F64" s="566" t="s">
        <v>489</v>
      </c>
      <c r="G64" s="567">
        <v>50</v>
      </c>
      <c r="H64" s="566" t="s">
        <v>576</v>
      </c>
      <c r="I64" s="568">
        <v>2</v>
      </c>
      <c r="J64" s="569">
        <v>73</v>
      </c>
      <c r="K64" s="569">
        <v>73</v>
      </c>
      <c r="L64" s="566"/>
      <c r="M64" s="566" t="s">
        <v>476</v>
      </c>
      <c r="N64" s="570">
        <v>1654</v>
      </c>
      <c r="O64" s="566"/>
      <c r="P64" s="566" t="s">
        <v>477</v>
      </c>
      <c r="Q64" s="568">
        <v>909678</v>
      </c>
      <c r="R64" s="568">
        <v>44</v>
      </c>
      <c r="S64" s="566" t="s">
        <v>1373</v>
      </c>
      <c r="T64" s="578" t="s">
        <v>779</v>
      </c>
      <c r="U64" s="578" t="s">
        <v>550</v>
      </c>
      <c r="V64" s="578" t="s">
        <v>469</v>
      </c>
      <c r="W64" s="579" t="s">
        <v>1277</v>
      </c>
      <c r="X64" s="578" t="s">
        <v>1337</v>
      </c>
      <c r="Y64" s="578" t="s">
        <v>1367</v>
      </c>
      <c r="Z64" s="580" t="s">
        <v>1431</v>
      </c>
      <c r="AA64" s="581">
        <v>1654</v>
      </c>
      <c r="AB64" s="578"/>
    </row>
    <row r="65" spans="1:28" hidden="1">
      <c r="A65" s="566" t="s">
        <v>1335</v>
      </c>
      <c r="B65" s="566" t="s">
        <v>466</v>
      </c>
      <c r="C65" s="566" t="s">
        <v>471</v>
      </c>
      <c r="D65" s="566" t="s">
        <v>472</v>
      </c>
      <c r="E65" s="566" t="s">
        <v>473</v>
      </c>
      <c r="F65" s="566" t="s">
        <v>474</v>
      </c>
      <c r="G65" s="567">
        <v>0</v>
      </c>
      <c r="H65" s="566" t="s">
        <v>1352</v>
      </c>
      <c r="I65" s="568">
        <v>2</v>
      </c>
      <c r="J65" s="569">
        <v>73</v>
      </c>
      <c r="K65" s="569">
        <v>73</v>
      </c>
      <c r="L65" s="566"/>
      <c r="M65" s="566" t="s">
        <v>476</v>
      </c>
      <c r="N65" s="570">
        <v>1690</v>
      </c>
      <c r="O65" s="566"/>
      <c r="P65" s="566" t="s">
        <v>477</v>
      </c>
      <c r="Q65" s="568">
        <v>909678</v>
      </c>
      <c r="R65" s="568">
        <v>42</v>
      </c>
      <c r="S65" s="566" t="s">
        <v>1375</v>
      </c>
      <c r="T65" s="578" t="s">
        <v>779</v>
      </c>
      <c r="U65" s="578" t="s">
        <v>550</v>
      </c>
      <c r="V65" s="578" t="s">
        <v>469</v>
      </c>
      <c r="W65" s="579" t="s">
        <v>1354</v>
      </c>
      <c r="X65" s="578" t="s">
        <v>1337</v>
      </c>
      <c r="Y65" s="578" t="s">
        <v>1367</v>
      </c>
      <c r="Z65" s="580" t="s">
        <v>1432</v>
      </c>
      <c r="AA65" s="581">
        <v>1690</v>
      </c>
      <c r="AB65" s="578"/>
    </row>
    <row r="66" spans="1:28" hidden="1">
      <c r="A66" s="566" t="s">
        <v>1335</v>
      </c>
      <c r="B66" s="566" t="s">
        <v>466</v>
      </c>
      <c r="C66" s="566" t="s">
        <v>487</v>
      </c>
      <c r="D66" s="566" t="s">
        <v>472</v>
      </c>
      <c r="E66" s="566" t="s">
        <v>473</v>
      </c>
      <c r="F66" s="566" t="s">
        <v>489</v>
      </c>
      <c r="G66" s="567">
        <v>50</v>
      </c>
      <c r="H66" s="566" t="s">
        <v>1356</v>
      </c>
      <c r="I66" s="568">
        <v>2</v>
      </c>
      <c r="J66" s="569">
        <v>73</v>
      </c>
      <c r="K66" s="569">
        <v>73</v>
      </c>
      <c r="L66" s="566"/>
      <c r="M66" s="566" t="s">
        <v>476</v>
      </c>
      <c r="N66" s="570">
        <v>1726</v>
      </c>
      <c r="O66" s="566"/>
      <c r="P66" s="566" t="s">
        <v>477</v>
      </c>
      <c r="Q66" s="568">
        <v>909678</v>
      </c>
      <c r="R66" s="568">
        <v>45</v>
      </c>
      <c r="S66" s="566" t="s">
        <v>1377</v>
      </c>
      <c r="T66" s="578" t="s">
        <v>779</v>
      </c>
      <c r="U66" s="578" t="s">
        <v>550</v>
      </c>
      <c r="V66" s="578" t="s">
        <v>469</v>
      </c>
      <c r="W66" s="579" t="s">
        <v>1358</v>
      </c>
      <c r="X66" s="578" t="s">
        <v>1337</v>
      </c>
      <c r="Y66" s="578" t="s">
        <v>1367</v>
      </c>
      <c r="Z66" s="580" t="s">
        <v>1433</v>
      </c>
      <c r="AA66" s="581">
        <v>1726</v>
      </c>
      <c r="AB66" s="578"/>
    </row>
    <row r="67" spans="1:28">
      <c r="A67" s="566" t="s">
        <v>1335</v>
      </c>
      <c r="B67" s="566" t="s">
        <v>466</v>
      </c>
      <c r="C67" s="566" t="s">
        <v>553</v>
      </c>
      <c r="D67" s="566" t="s">
        <v>472</v>
      </c>
      <c r="E67" s="566" t="s">
        <v>473</v>
      </c>
      <c r="F67" s="566" t="s">
        <v>554</v>
      </c>
      <c r="G67" s="567">
        <v>13</v>
      </c>
      <c r="H67" s="566" t="s">
        <v>821</v>
      </c>
      <c r="I67" s="568">
        <v>2</v>
      </c>
      <c r="J67" s="569">
        <v>22</v>
      </c>
      <c r="K67" s="569">
        <v>22</v>
      </c>
      <c r="L67" s="569">
        <v>17</v>
      </c>
      <c r="M67" s="566" t="s">
        <v>476</v>
      </c>
      <c r="N67" s="570">
        <v>124</v>
      </c>
      <c r="O67" s="566"/>
      <c r="P67" s="566" t="s">
        <v>477</v>
      </c>
      <c r="Q67" s="568">
        <v>909678</v>
      </c>
      <c r="R67" s="568">
        <v>9</v>
      </c>
      <c r="S67" s="566" t="s">
        <v>1379</v>
      </c>
      <c r="T67" s="578" t="s">
        <v>779</v>
      </c>
      <c r="U67" s="578" t="s">
        <v>550</v>
      </c>
      <c r="V67" s="578" t="s">
        <v>469</v>
      </c>
      <c r="W67" s="579" t="s">
        <v>551</v>
      </c>
      <c r="X67" s="578" t="s">
        <v>1380</v>
      </c>
      <c r="Y67" s="578" t="s">
        <v>1338</v>
      </c>
      <c r="Z67" s="580" t="s">
        <v>820</v>
      </c>
      <c r="AA67" s="581">
        <v>124</v>
      </c>
      <c r="AB67" s="578">
        <v>260050</v>
      </c>
    </row>
    <row r="68" spans="1:28">
      <c r="A68" s="566" t="s">
        <v>1335</v>
      </c>
      <c r="B68" s="566" t="s">
        <v>466</v>
      </c>
      <c r="C68" s="566" t="s">
        <v>553</v>
      </c>
      <c r="D68" s="566" t="s">
        <v>472</v>
      </c>
      <c r="E68" s="566" t="s">
        <v>473</v>
      </c>
      <c r="F68" s="566" t="s">
        <v>554</v>
      </c>
      <c r="G68" s="567">
        <v>16</v>
      </c>
      <c r="H68" s="566" t="s">
        <v>823</v>
      </c>
      <c r="I68" s="568">
        <v>2</v>
      </c>
      <c r="J68" s="569">
        <v>22</v>
      </c>
      <c r="K68" s="569">
        <v>22</v>
      </c>
      <c r="L68" s="569">
        <v>17</v>
      </c>
      <c r="M68" s="566" t="s">
        <v>476</v>
      </c>
      <c r="N68" s="570">
        <v>295</v>
      </c>
      <c r="O68" s="566"/>
      <c r="P68" s="566" t="s">
        <v>477</v>
      </c>
      <c r="Q68" s="568">
        <v>909678</v>
      </c>
      <c r="R68" s="568">
        <v>4</v>
      </c>
      <c r="S68" s="566" t="s">
        <v>1381</v>
      </c>
      <c r="T68" s="578" t="s">
        <v>779</v>
      </c>
      <c r="U68" s="578" t="s">
        <v>550</v>
      </c>
      <c r="V68" s="578" t="s">
        <v>469</v>
      </c>
      <c r="W68" s="579" t="s">
        <v>556</v>
      </c>
      <c r="X68" s="578" t="s">
        <v>1380</v>
      </c>
      <c r="Y68" s="578" t="s">
        <v>1338</v>
      </c>
      <c r="Z68" s="580" t="s">
        <v>822</v>
      </c>
      <c r="AA68" s="581">
        <v>295</v>
      </c>
      <c r="AB68" s="578">
        <v>260194</v>
      </c>
    </row>
    <row r="69" spans="1:28">
      <c r="A69" s="566" t="s">
        <v>1335</v>
      </c>
      <c r="B69" s="566" t="s">
        <v>466</v>
      </c>
      <c r="C69" s="566" t="s">
        <v>471</v>
      </c>
      <c r="D69" s="566" t="s">
        <v>472</v>
      </c>
      <c r="E69" s="566" t="s">
        <v>473</v>
      </c>
      <c r="F69" s="566" t="s">
        <v>474</v>
      </c>
      <c r="G69" s="567">
        <v>0</v>
      </c>
      <c r="H69" s="566" t="s">
        <v>561</v>
      </c>
      <c r="I69" s="568">
        <v>2</v>
      </c>
      <c r="J69" s="569">
        <v>1</v>
      </c>
      <c r="K69" s="569">
        <v>1</v>
      </c>
      <c r="L69" s="566"/>
      <c r="M69" s="566" t="s">
        <v>476</v>
      </c>
      <c r="N69" s="570">
        <v>466</v>
      </c>
      <c r="O69" s="566"/>
      <c r="P69" s="566" t="s">
        <v>477</v>
      </c>
      <c r="Q69" s="568">
        <v>909678</v>
      </c>
      <c r="R69" s="568">
        <v>10</v>
      </c>
      <c r="S69" s="566" t="s">
        <v>1382</v>
      </c>
      <c r="T69" s="578" t="s">
        <v>779</v>
      </c>
      <c r="U69" s="578" t="s">
        <v>550</v>
      </c>
      <c r="V69" s="578" t="s">
        <v>469</v>
      </c>
      <c r="W69" s="579" t="s">
        <v>1274</v>
      </c>
      <c r="X69" s="578" t="s">
        <v>1380</v>
      </c>
      <c r="Y69" s="578" t="s">
        <v>1338</v>
      </c>
      <c r="Z69" s="580" t="s">
        <v>824</v>
      </c>
      <c r="AA69" s="581">
        <v>466</v>
      </c>
      <c r="AB69" s="578"/>
    </row>
    <row r="70" spans="1:28">
      <c r="A70" s="566" t="s">
        <v>1335</v>
      </c>
      <c r="B70" s="566" t="s">
        <v>466</v>
      </c>
      <c r="C70" s="566" t="s">
        <v>471</v>
      </c>
      <c r="D70" s="566" t="s">
        <v>472</v>
      </c>
      <c r="E70" s="566" t="s">
        <v>473</v>
      </c>
      <c r="F70" s="566" t="s">
        <v>474</v>
      </c>
      <c r="G70" s="567">
        <v>0</v>
      </c>
      <c r="H70" s="566" t="s">
        <v>564</v>
      </c>
      <c r="I70" s="568">
        <v>2</v>
      </c>
      <c r="J70" s="569">
        <v>1</v>
      </c>
      <c r="K70" s="569">
        <v>1</v>
      </c>
      <c r="L70" s="566"/>
      <c r="M70" s="566" t="s">
        <v>476</v>
      </c>
      <c r="N70" s="570">
        <v>538</v>
      </c>
      <c r="O70" s="566"/>
      <c r="P70" s="566" t="s">
        <v>477</v>
      </c>
      <c r="Q70" s="568">
        <v>909678</v>
      </c>
      <c r="R70" s="568">
        <v>15</v>
      </c>
      <c r="S70" s="566" t="s">
        <v>483</v>
      </c>
      <c r="T70" s="578" t="s">
        <v>779</v>
      </c>
      <c r="U70" s="578" t="s">
        <v>550</v>
      </c>
      <c r="V70" s="578" t="s">
        <v>469</v>
      </c>
      <c r="W70" s="579" t="s">
        <v>1275</v>
      </c>
      <c r="X70" s="578" t="s">
        <v>1380</v>
      </c>
      <c r="Y70" s="578" t="s">
        <v>1338</v>
      </c>
      <c r="Z70" s="580" t="s">
        <v>825</v>
      </c>
      <c r="AA70" s="581">
        <v>538</v>
      </c>
      <c r="AB70" s="578"/>
    </row>
    <row r="71" spans="1:28">
      <c r="A71" s="566" t="s">
        <v>1335</v>
      </c>
      <c r="B71" s="566" t="s">
        <v>466</v>
      </c>
      <c r="C71" s="566" t="s">
        <v>487</v>
      </c>
      <c r="D71" s="566" t="s">
        <v>472</v>
      </c>
      <c r="E71" s="566" t="s">
        <v>473</v>
      </c>
      <c r="F71" s="566" t="s">
        <v>489</v>
      </c>
      <c r="G71" s="567">
        <v>50</v>
      </c>
      <c r="H71" s="566" t="s">
        <v>566</v>
      </c>
      <c r="I71" s="568">
        <v>2</v>
      </c>
      <c r="J71" s="569">
        <v>1</v>
      </c>
      <c r="K71" s="569">
        <v>1</v>
      </c>
      <c r="L71" s="566"/>
      <c r="M71" s="566" t="s">
        <v>476</v>
      </c>
      <c r="N71" s="570">
        <v>574</v>
      </c>
      <c r="O71" s="566"/>
      <c r="P71" s="566" t="s">
        <v>477</v>
      </c>
      <c r="Q71" s="568">
        <v>909678</v>
      </c>
      <c r="R71" s="568">
        <v>16</v>
      </c>
      <c r="S71" s="566" t="s">
        <v>488</v>
      </c>
      <c r="T71" s="578" t="s">
        <v>779</v>
      </c>
      <c r="U71" s="578" t="s">
        <v>550</v>
      </c>
      <c r="V71" s="578" t="s">
        <v>469</v>
      </c>
      <c r="W71" s="579" t="s">
        <v>485</v>
      </c>
      <c r="X71" s="578" t="s">
        <v>1380</v>
      </c>
      <c r="Y71" s="578" t="s">
        <v>1338</v>
      </c>
      <c r="Z71" s="580" t="s">
        <v>826</v>
      </c>
      <c r="AA71" s="581">
        <v>574</v>
      </c>
      <c r="AB71" s="578"/>
    </row>
    <row r="72" spans="1:28">
      <c r="A72" s="566" t="s">
        <v>1335</v>
      </c>
      <c r="B72" s="566" t="s">
        <v>466</v>
      </c>
      <c r="C72" s="566" t="s">
        <v>487</v>
      </c>
      <c r="D72" s="566" t="s">
        <v>472</v>
      </c>
      <c r="E72" s="566" t="s">
        <v>473</v>
      </c>
      <c r="F72" s="566" t="s">
        <v>489</v>
      </c>
      <c r="G72" s="567">
        <v>50</v>
      </c>
      <c r="H72" s="566" t="s">
        <v>568</v>
      </c>
      <c r="I72" s="568">
        <v>2</v>
      </c>
      <c r="J72" s="569">
        <v>1</v>
      </c>
      <c r="K72" s="569">
        <v>1</v>
      </c>
      <c r="L72" s="566"/>
      <c r="M72" s="566" t="s">
        <v>476</v>
      </c>
      <c r="N72" s="570">
        <v>610</v>
      </c>
      <c r="O72" s="566"/>
      <c r="P72" s="566" t="s">
        <v>477</v>
      </c>
      <c r="Q72" s="568">
        <v>909678</v>
      </c>
      <c r="R72" s="568">
        <v>17</v>
      </c>
      <c r="S72" s="566" t="s">
        <v>493</v>
      </c>
      <c r="T72" s="578" t="s">
        <v>779</v>
      </c>
      <c r="U72" s="578" t="s">
        <v>550</v>
      </c>
      <c r="V72" s="578" t="s">
        <v>469</v>
      </c>
      <c r="W72" s="579" t="s">
        <v>491</v>
      </c>
      <c r="X72" s="578" t="s">
        <v>1380</v>
      </c>
      <c r="Y72" s="578" t="s">
        <v>1338</v>
      </c>
      <c r="Z72" s="580" t="s">
        <v>827</v>
      </c>
      <c r="AA72" s="581">
        <v>610</v>
      </c>
      <c r="AB72" s="578"/>
    </row>
    <row r="73" spans="1:28">
      <c r="A73" s="566" t="s">
        <v>1335</v>
      </c>
      <c r="B73" s="566" t="s">
        <v>466</v>
      </c>
      <c r="C73" s="566" t="s">
        <v>487</v>
      </c>
      <c r="D73" s="566" t="s">
        <v>472</v>
      </c>
      <c r="E73" s="566" t="s">
        <v>473</v>
      </c>
      <c r="F73" s="566" t="s">
        <v>489</v>
      </c>
      <c r="G73" s="567">
        <v>50</v>
      </c>
      <c r="H73" s="566" t="s">
        <v>570</v>
      </c>
      <c r="I73" s="568">
        <v>2</v>
      </c>
      <c r="J73" s="569">
        <v>1</v>
      </c>
      <c r="K73" s="569">
        <v>1</v>
      </c>
      <c r="L73" s="566"/>
      <c r="M73" s="566" t="s">
        <v>476</v>
      </c>
      <c r="N73" s="570">
        <v>646</v>
      </c>
      <c r="O73" s="566"/>
      <c r="P73" s="566" t="s">
        <v>477</v>
      </c>
      <c r="Q73" s="568">
        <v>909678</v>
      </c>
      <c r="R73" s="568">
        <v>18</v>
      </c>
      <c r="S73" s="566" t="s">
        <v>497</v>
      </c>
      <c r="T73" s="578" t="s">
        <v>779</v>
      </c>
      <c r="U73" s="578" t="s">
        <v>550</v>
      </c>
      <c r="V73" s="578" t="s">
        <v>469</v>
      </c>
      <c r="W73" s="579" t="s">
        <v>495</v>
      </c>
      <c r="X73" s="578" t="s">
        <v>1380</v>
      </c>
      <c r="Y73" s="578" t="s">
        <v>1338</v>
      </c>
      <c r="Z73" s="580" t="s">
        <v>828</v>
      </c>
      <c r="AA73" s="581">
        <v>646</v>
      </c>
      <c r="AB73" s="578"/>
    </row>
    <row r="74" spans="1:28">
      <c r="A74" s="566" t="s">
        <v>1335</v>
      </c>
      <c r="B74" s="566" t="s">
        <v>466</v>
      </c>
      <c r="C74" s="566" t="s">
        <v>487</v>
      </c>
      <c r="D74" s="566" t="s">
        <v>472</v>
      </c>
      <c r="E74" s="566" t="s">
        <v>473</v>
      </c>
      <c r="F74" s="566" t="s">
        <v>489</v>
      </c>
      <c r="G74" s="567">
        <v>50</v>
      </c>
      <c r="H74" s="566" t="s">
        <v>573</v>
      </c>
      <c r="I74" s="568">
        <v>2</v>
      </c>
      <c r="J74" s="569">
        <v>1</v>
      </c>
      <c r="K74" s="569">
        <v>1</v>
      </c>
      <c r="L74" s="566"/>
      <c r="M74" s="566" t="s">
        <v>476</v>
      </c>
      <c r="N74" s="570">
        <v>718</v>
      </c>
      <c r="O74" s="566"/>
      <c r="P74" s="566" t="s">
        <v>477</v>
      </c>
      <c r="Q74" s="568">
        <v>909678</v>
      </c>
      <c r="R74" s="568">
        <v>19</v>
      </c>
      <c r="S74" s="566" t="s">
        <v>502</v>
      </c>
      <c r="T74" s="578" t="s">
        <v>779</v>
      </c>
      <c r="U74" s="578" t="s">
        <v>550</v>
      </c>
      <c r="V74" s="578" t="s">
        <v>469</v>
      </c>
      <c r="W74" s="579" t="s">
        <v>1276</v>
      </c>
      <c r="X74" s="578" t="s">
        <v>1380</v>
      </c>
      <c r="Y74" s="578" t="s">
        <v>1338</v>
      </c>
      <c r="Z74" s="580" t="s">
        <v>829</v>
      </c>
      <c r="AA74" s="581">
        <v>718</v>
      </c>
      <c r="AB74" s="578"/>
    </row>
    <row r="75" spans="1:28">
      <c r="A75" s="566" t="s">
        <v>1335</v>
      </c>
      <c r="B75" s="566" t="s">
        <v>466</v>
      </c>
      <c r="C75" s="566" t="s">
        <v>487</v>
      </c>
      <c r="D75" s="566" t="s">
        <v>472</v>
      </c>
      <c r="E75" s="566" t="s">
        <v>473</v>
      </c>
      <c r="F75" s="566" t="s">
        <v>489</v>
      </c>
      <c r="G75" s="567">
        <v>50</v>
      </c>
      <c r="H75" s="566" t="s">
        <v>576</v>
      </c>
      <c r="I75" s="568">
        <v>2</v>
      </c>
      <c r="J75" s="569">
        <v>1</v>
      </c>
      <c r="K75" s="569">
        <v>1</v>
      </c>
      <c r="L75" s="566"/>
      <c r="M75" s="566" t="s">
        <v>476</v>
      </c>
      <c r="N75" s="570">
        <v>790</v>
      </c>
      <c r="O75" s="566"/>
      <c r="P75" s="566" t="s">
        <v>477</v>
      </c>
      <c r="Q75" s="568">
        <v>909678</v>
      </c>
      <c r="R75" s="568">
        <v>21</v>
      </c>
      <c r="S75" s="566" t="s">
        <v>507</v>
      </c>
      <c r="T75" s="578" t="s">
        <v>779</v>
      </c>
      <c r="U75" s="578" t="s">
        <v>550</v>
      </c>
      <c r="V75" s="578" t="s">
        <v>469</v>
      </c>
      <c r="W75" s="579" t="s">
        <v>1277</v>
      </c>
      <c r="X75" s="578" t="s">
        <v>1380</v>
      </c>
      <c r="Y75" s="578" t="s">
        <v>1338</v>
      </c>
      <c r="Z75" s="580" t="s">
        <v>830</v>
      </c>
      <c r="AA75" s="581">
        <v>790</v>
      </c>
      <c r="AB75" s="578"/>
    </row>
    <row r="76" spans="1:28">
      <c r="A76" s="566" t="s">
        <v>1335</v>
      </c>
      <c r="B76" s="566" t="s">
        <v>466</v>
      </c>
      <c r="C76" s="566" t="s">
        <v>471</v>
      </c>
      <c r="D76" s="566" t="s">
        <v>472</v>
      </c>
      <c r="E76" s="566" t="s">
        <v>473</v>
      </c>
      <c r="F76" s="566" t="s">
        <v>474</v>
      </c>
      <c r="G76" s="567">
        <v>0</v>
      </c>
      <c r="H76" s="566" t="s">
        <v>1352</v>
      </c>
      <c r="I76" s="568">
        <v>2</v>
      </c>
      <c r="J76" s="569">
        <v>1</v>
      </c>
      <c r="K76" s="569">
        <v>1</v>
      </c>
      <c r="L76" s="566"/>
      <c r="M76" s="566" t="s">
        <v>476</v>
      </c>
      <c r="N76" s="570">
        <v>826</v>
      </c>
      <c r="O76" s="566"/>
      <c r="P76" s="566" t="s">
        <v>477</v>
      </c>
      <c r="Q76" s="568">
        <v>909678</v>
      </c>
      <c r="R76" s="568">
        <v>46</v>
      </c>
      <c r="S76" s="566" t="s">
        <v>1383</v>
      </c>
      <c r="T76" s="578" t="s">
        <v>779</v>
      </c>
      <c r="U76" s="578" t="s">
        <v>550</v>
      </c>
      <c r="V76" s="578" t="s">
        <v>469</v>
      </c>
      <c r="W76" s="579" t="s">
        <v>1354</v>
      </c>
      <c r="X76" s="578" t="s">
        <v>1380</v>
      </c>
      <c r="Y76" s="578" t="s">
        <v>1338</v>
      </c>
      <c r="Z76" s="580" t="s">
        <v>1434</v>
      </c>
      <c r="AA76" s="581">
        <v>826</v>
      </c>
      <c r="AB76" s="578"/>
    </row>
    <row r="77" spans="1:28">
      <c r="A77" s="566" t="s">
        <v>1335</v>
      </c>
      <c r="B77" s="566" t="s">
        <v>466</v>
      </c>
      <c r="C77" s="566" t="s">
        <v>487</v>
      </c>
      <c r="D77" s="566" t="s">
        <v>472</v>
      </c>
      <c r="E77" s="566" t="s">
        <v>473</v>
      </c>
      <c r="F77" s="566" t="s">
        <v>489</v>
      </c>
      <c r="G77" s="567">
        <v>50</v>
      </c>
      <c r="H77" s="566" t="s">
        <v>1356</v>
      </c>
      <c r="I77" s="568">
        <v>2</v>
      </c>
      <c r="J77" s="569">
        <v>1</v>
      </c>
      <c r="K77" s="569">
        <v>1</v>
      </c>
      <c r="L77" s="566"/>
      <c r="M77" s="566" t="s">
        <v>476</v>
      </c>
      <c r="N77" s="570">
        <v>862</v>
      </c>
      <c r="O77" s="566"/>
      <c r="P77" s="566" t="s">
        <v>477</v>
      </c>
      <c r="Q77" s="568">
        <v>909678</v>
      </c>
      <c r="R77" s="568">
        <v>47</v>
      </c>
      <c r="S77" s="566" t="s">
        <v>1385</v>
      </c>
      <c r="T77" s="578" t="s">
        <v>779</v>
      </c>
      <c r="U77" s="578" t="s">
        <v>550</v>
      </c>
      <c r="V77" s="578" t="s">
        <v>469</v>
      </c>
      <c r="W77" s="579" t="s">
        <v>1358</v>
      </c>
      <c r="X77" s="578" t="s">
        <v>1380</v>
      </c>
      <c r="Y77" s="578" t="s">
        <v>1338</v>
      </c>
      <c r="Z77" s="580" t="s">
        <v>1435</v>
      </c>
      <c r="AA77" s="581">
        <v>862</v>
      </c>
      <c r="AB77" s="578"/>
    </row>
    <row r="78" spans="1:28">
      <c r="A78" s="566" t="s">
        <v>1335</v>
      </c>
      <c r="B78" s="566" t="s">
        <v>466</v>
      </c>
      <c r="C78" s="566" t="s">
        <v>553</v>
      </c>
      <c r="D78" s="566" t="s">
        <v>472</v>
      </c>
      <c r="E78" s="566" t="s">
        <v>473</v>
      </c>
      <c r="F78" s="566" t="s">
        <v>554</v>
      </c>
      <c r="G78" s="567">
        <v>13</v>
      </c>
      <c r="H78" s="566" t="s">
        <v>476</v>
      </c>
      <c r="I78" s="568">
        <v>2</v>
      </c>
      <c r="J78" s="569">
        <v>22</v>
      </c>
      <c r="K78" s="569">
        <v>22</v>
      </c>
      <c r="L78" s="569">
        <v>17</v>
      </c>
      <c r="M78" s="566" t="s">
        <v>476</v>
      </c>
      <c r="N78" s="570">
        <v>175</v>
      </c>
      <c r="O78" s="566"/>
      <c r="P78" s="566" t="s">
        <v>477</v>
      </c>
      <c r="Q78" s="568">
        <v>909678</v>
      </c>
      <c r="R78" s="568">
        <v>1</v>
      </c>
      <c r="S78" s="566" t="s">
        <v>1387</v>
      </c>
      <c r="T78" s="578" t="s">
        <v>779</v>
      </c>
      <c r="U78" s="578" t="s">
        <v>550</v>
      </c>
      <c r="V78" s="578" t="s">
        <v>469</v>
      </c>
      <c r="W78" s="579" t="s">
        <v>577</v>
      </c>
      <c r="X78" s="578" t="s">
        <v>1380</v>
      </c>
      <c r="Y78" s="578" t="s">
        <v>1338</v>
      </c>
      <c r="Z78" s="580" t="s">
        <v>831</v>
      </c>
      <c r="AA78" s="581">
        <v>175</v>
      </c>
      <c r="AB78" s="578">
        <v>260074</v>
      </c>
    </row>
    <row r="79" spans="1:28">
      <c r="A79" s="566" t="s">
        <v>1335</v>
      </c>
      <c r="B79" s="566" t="s">
        <v>466</v>
      </c>
      <c r="C79" s="566" t="s">
        <v>553</v>
      </c>
      <c r="D79" s="566" t="s">
        <v>472</v>
      </c>
      <c r="E79" s="566" t="s">
        <v>473</v>
      </c>
      <c r="F79" s="566" t="s">
        <v>554</v>
      </c>
      <c r="G79" s="567">
        <v>13</v>
      </c>
      <c r="H79" s="566" t="s">
        <v>833</v>
      </c>
      <c r="I79" s="568">
        <v>2</v>
      </c>
      <c r="J79" s="569">
        <v>22</v>
      </c>
      <c r="K79" s="569">
        <v>22</v>
      </c>
      <c r="L79" s="569">
        <v>17</v>
      </c>
      <c r="M79" s="566" t="s">
        <v>476</v>
      </c>
      <c r="N79" s="570">
        <v>199</v>
      </c>
      <c r="O79" s="566"/>
      <c r="P79" s="566" t="s">
        <v>477</v>
      </c>
      <c r="Q79" s="568">
        <v>909678</v>
      </c>
      <c r="R79" s="568">
        <v>2</v>
      </c>
      <c r="S79" s="566" t="s">
        <v>1388</v>
      </c>
      <c r="T79" s="578" t="s">
        <v>779</v>
      </c>
      <c r="U79" s="578" t="s">
        <v>550</v>
      </c>
      <c r="V79" s="578" t="s">
        <v>469</v>
      </c>
      <c r="W79" s="579" t="s">
        <v>580</v>
      </c>
      <c r="X79" s="578" t="s">
        <v>1380</v>
      </c>
      <c r="Y79" s="578" t="s">
        <v>1338</v>
      </c>
      <c r="Z79" s="580" t="s">
        <v>832</v>
      </c>
      <c r="AA79" s="581">
        <v>199</v>
      </c>
      <c r="AB79" s="578">
        <v>260098</v>
      </c>
    </row>
    <row r="80" spans="1:28">
      <c r="A80" s="566" t="s">
        <v>1335</v>
      </c>
      <c r="B80" s="566" t="s">
        <v>466</v>
      </c>
      <c r="C80" s="566" t="s">
        <v>553</v>
      </c>
      <c r="D80" s="566" t="s">
        <v>472</v>
      </c>
      <c r="E80" s="566" t="s">
        <v>473</v>
      </c>
      <c r="F80" s="566" t="s">
        <v>554</v>
      </c>
      <c r="G80" s="567">
        <v>16</v>
      </c>
      <c r="H80" s="566" t="s">
        <v>835</v>
      </c>
      <c r="I80" s="568">
        <v>1</v>
      </c>
      <c r="J80" s="569">
        <v>22</v>
      </c>
      <c r="K80" s="569">
        <v>22</v>
      </c>
      <c r="L80" s="569">
        <v>17</v>
      </c>
      <c r="M80" s="566" t="s">
        <v>476</v>
      </c>
      <c r="N80" s="570">
        <v>223</v>
      </c>
      <c r="O80" s="566"/>
      <c r="P80" s="566" t="s">
        <v>477</v>
      </c>
      <c r="Q80" s="568">
        <v>909678</v>
      </c>
      <c r="R80" s="568">
        <v>12</v>
      </c>
      <c r="S80" s="566" t="s">
        <v>1389</v>
      </c>
      <c r="T80" s="578" t="s">
        <v>779</v>
      </c>
      <c r="U80" s="578" t="s">
        <v>550</v>
      </c>
      <c r="V80" s="578" t="s">
        <v>469</v>
      </c>
      <c r="W80" s="579" t="s">
        <v>583</v>
      </c>
      <c r="X80" s="578" t="s">
        <v>1380</v>
      </c>
      <c r="Y80" s="578" t="s">
        <v>1338</v>
      </c>
      <c r="Z80" s="580" t="s">
        <v>834</v>
      </c>
      <c r="AA80" s="581">
        <v>223</v>
      </c>
      <c r="AB80" s="578">
        <v>260122</v>
      </c>
    </row>
    <row r="81" spans="1:28">
      <c r="A81" s="566" t="s">
        <v>1335</v>
      </c>
      <c r="B81" s="566" t="s">
        <v>466</v>
      </c>
      <c r="C81" s="566" t="s">
        <v>553</v>
      </c>
      <c r="D81" s="566" t="s">
        <v>472</v>
      </c>
      <c r="E81" s="566" t="s">
        <v>473</v>
      </c>
      <c r="F81" s="566" t="s">
        <v>554</v>
      </c>
      <c r="G81" s="567">
        <v>16</v>
      </c>
      <c r="H81" s="566" t="s">
        <v>837</v>
      </c>
      <c r="I81" s="568">
        <v>2</v>
      </c>
      <c r="J81" s="569">
        <v>22</v>
      </c>
      <c r="K81" s="569">
        <v>22</v>
      </c>
      <c r="L81" s="569">
        <v>17</v>
      </c>
      <c r="M81" s="566" t="s">
        <v>476</v>
      </c>
      <c r="N81" s="570">
        <v>247</v>
      </c>
      <c r="O81" s="566"/>
      <c r="P81" s="566" t="s">
        <v>477</v>
      </c>
      <c r="Q81" s="568">
        <v>909678</v>
      </c>
      <c r="R81" s="568">
        <v>3</v>
      </c>
      <c r="S81" s="566" t="s">
        <v>1390</v>
      </c>
      <c r="T81" s="578" t="s">
        <v>779</v>
      </c>
      <c r="U81" s="578" t="s">
        <v>550</v>
      </c>
      <c r="V81" s="578" t="s">
        <v>469</v>
      </c>
      <c r="W81" s="579" t="s">
        <v>586</v>
      </c>
      <c r="X81" s="578" t="s">
        <v>1380</v>
      </c>
      <c r="Y81" s="578" t="s">
        <v>1338</v>
      </c>
      <c r="Z81" s="580" t="s">
        <v>836</v>
      </c>
      <c r="AA81" s="581">
        <v>247</v>
      </c>
      <c r="AB81" s="578">
        <v>260146</v>
      </c>
    </row>
    <row r="82" spans="1:28">
      <c r="A82" s="566" t="s">
        <v>1335</v>
      </c>
      <c r="B82" s="566" t="s">
        <v>466</v>
      </c>
      <c r="C82" s="566" t="s">
        <v>553</v>
      </c>
      <c r="D82" s="566" t="s">
        <v>472</v>
      </c>
      <c r="E82" s="566" t="s">
        <v>473</v>
      </c>
      <c r="F82" s="566" t="s">
        <v>554</v>
      </c>
      <c r="G82" s="567">
        <v>16</v>
      </c>
      <c r="H82" s="566" t="s">
        <v>839</v>
      </c>
      <c r="I82" s="568">
        <v>1</v>
      </c>
      <c r="J82" s="569">
        <v>22</v>
      </c>
      <c r="K82" s="569">
        <v>22</v>
      </c>
      <c r="L82" s="569">
        <v>17</v>
      </c>
      <c r="M82" s="566" t="s">
        <v>476</v>
      </c>
      <c r="N82" s="570">
        <v>271</v>
      </c>
      <c r="O82" s="566"/>
      <c r="P82" s="566" t="s">
        <v>477</v>
      </c>
      <c r="Q82" s="568">
        <v>909678</v>
      </c>
      <c r="R82" s="568">
        <v>13</v>
      </c>
      <c r="S82" s="566" t="s">
        <v>1391</v>
      </c>
      <c r="T82" s="578" t="s">
        <v>779</v>
      </c>
      <c r="U82" s="578" t="s">
        <v>550</v>
      </c>
      <c r="V82" s="578" t="s">
        <v>469</v>
      </c>
      <c r="W82" s="579" t="s">
        <v>589</v>
      </c>
      <c r="X82" s="578" t="s">
        <v>1380</v>
      </c>
      <c r="Y82" s="578" t="s">
        <v>1338</v>
      </c>
      <c r="Z82" s="580" t="s">
        <v>838</v>
      </c>
      <c r="AA82" s="581">
        <v>271</v>
      </c>
      <c r="AB82" s="578">
        <v>260170</v>
      </c>
    </row>
    <row r="83" spans="1:28">
      <c r="A83" s="566" t="s">
        <v>1335</v>
      </c>
      <c r="B83" s="566" t="s">
        <v>466</v>
      </c>
      <c r="C83" s="566" t="s">
        <v>471</v>
      </c>
      <c r="D83" s="566" t="s">
        <v>472</v>
      </c>
      <c r="E83" s="566" t="s">
        <v>473</v>
      </c>
      <c r="F83" s="566" t="s">
        <v>474</v>
      </c>
      <c r="G83" s="567">
        <v>0</v>
      </c>
      <c r="H83" s="566" t="s">
        <v>593</v>
      </c>
      <c r="I83" s="568">
        <v>1</v>
      </c>
      <c r="J83" s="569">
        <v>1</v>
      </c>
      <c r="K83" s="569">
        <v>1</v>
      </c>
      <c r="L83" s="566"/>
      <c r="M83" s="566" t="s">
        <v>476</v>
      </c>
      <c r="N83" s="570">
        <v>322</v>
      </c>
      <c r="O83" s="566"/>
      <c r="P83" s="566" t="s">
        <v>477</v>
      </c>
      <c r="Q83" s="568">
        <v>909678</v>
      </c>
      <c r="R83" s="568">
        <v>5</v>
      </c>
      <c r="S83" s="566" t="s">
        <v>1392</v>
      </c>
      <c r="T83" s="578" t="s">
        <v>779</v>
      </c>
      <c r="U83" s="578" t="s">
        <v>550</v>
      </c>
      <c r="V83" s="578" t="s">
        <v>469</v>
      </c>
      <c r="W83" s="579" t="s">
        <v>509</v>
      </c>
      <c r="X83" s="578" t="s">
        <v>1380</v>
      </c>
      <c r="Y83" s="578" t="s">
        <v>1338</v>
      </c>
      <c r="Z83" s="580" t="s">
        <v>840</v>
      </c>
      <c r="AA83" s="581">
        <v>322</v>
      </c>
      <c r="AB83" s="578"/>
    </row>
    <row r="84" spans="1:28">
      <c r="A84" s="566" t="s">
        <v>1335</v>
      </c>
      <c r="B84" s="566" t="s">
        <v>466</v>
      </c>
      <c r="C84" s="566" t="s">
        <v>471</v>
      </c>
      <c r="D84" s="566" t="s">
        <v>472</v>
      </c>
      <c r="E84" s="566" t="s">
        <v>473</v>
      </c>
      <c r="F84" s="566" t="s">
        <v>474</v>
      </c>
      <c r="G84" s="567">
        <v>0</v>
      </c>
      <c r="H84" s="566" t="s">
        <v>595</v>
      </c>
      <c r="I84" s="568">
        <v>2</v>
      </c>
      <c r="J84" s="569">
        <v>1</v>
      </c>
      <c r="K84" s="569">
        <v>1</v>
      </c>
      <c r="L84" s="566"/>
      <c r="M84" s="566" t="s">
        <v>476</v>
      </c>
      <c r="N84" s="570">
        <v>358</v>
      </c>
      <c r="O84" s="566"/>
      <c r="P84" s="566" t="s">
        <v>477</v>
      </c>
      <c r="Q84" s="568">
        <v>909678</v>
      </c>
      <c r="R84" s="568">
        <v>6</v>
      </c>
      <c r="S84" s="566" t="s">
        <v>1393</v>
      </c>
      <c r="T84" s="578" t="s">
        <v>779</v>
      </c>
      <c r="U84" s="578" t="s">
        <v>550</v>
      </c>
      <c r="V84" s="578" t="s">
        <v>469</v>
      </c>
      <c r="W84" s="579" t="s">
        <v>512</v>
      </c>
      <c r="X84" s="578" t="s">
        <v>1380</v>
      </c>
      <c r="Y84" s="578" t="s">
        <v>1338</v>
      </c>
      <c r="Z84" s="580" t="s">
        <v>841</v>
      </c>
      <c r="AA84" s="581">
        <v>358</v>
      </c>
      <c r="AB84" s="578"/>
    </row>
    <row r="85" spans="1:28">
      <c r="A85" s="566" t="s">
        <v>1335</v>
      </c>
      <c r="B85" s="566" t="s">
        <v>466</v>
      </c>
      <c r="C85" s="566" t="s">
        <v>471</v>
      </c>
      <c r="D85" s="566" t="s">
        <v>472</v>
      </c>
      <c r="E85" s="566" t="s">
        <v>473</v>
      </c>
      <c r="F85" s="566" t="s">
        <v>474</v>
      </c>
      <c r="G85" s="567">
        <v>0</v>
      </c>
      <c r="H85" s="566" t="s">
        <v>597</v>
      </c>
      <c r="I85" s="568">
        <v>2</v>
      </c>
      <c r="J85" s="569">
        <v>1</v>
      </c>
      <c r="K85" s="569">
        <v>1</v>
      </c>
      <c r="L85" s="566"/>
      <c r="M85" s="566" t="s">
        <v>476</v>
      </c>
      <c r="N85" s="570">
        <v>394</v>
      </c>
      <c r="O85" s="566"/>
      <c r="P85" s="566" t="s">
        <v>477</v>
      </c>
      <c r="Q85" s="568">
        <v>909678</v>
      </c>
      <c r="R85" s="568">
        <v>14</v>
      </c>
      <c r="S85" s="566" t="s">
        <v>1394</v>
      </c>
      <c r="T85" s="578" t="s">
        <v>779</v>
      </c>
      <c r="U85" s="578" t="s">
        <v>550</v>
      </c>
      <c r="V85" s="578" t="s">
        <v>469</v>
      </c>
      <c r="W85" s="579" t="s">
        <v>514</v>
      </c>
      <c r="X85" s="578" t="s">
        <v>1380</v>
      </c>
      <c r="Y85" s="578" t="s">
        <v>1338</v>
      </c>
      <c r="Z85" s="580" t="s">
        <v>842</v>
      </c>
      <c r="AA85" s="581">
        <v>394</v>
      </c>
      <c r="AB85" s="578"/>
    </row>
    <row r="86" spans="1:28" hidden="1">
      <c r="A86" s="566" t="s">
        <v>1335</v>
      </c>
      <c r="B86" s="566" t="s">
        <v>466</v>
      </c>
      <c r="C86" s="566" t="s">
        <v>471</v>
      </c>
      <c r="D86" s="566" t="s">
        <v>472</v>
      </c>
      <c r="E86" s="566" t="s">
        <v>473</v>
      </c>
      <c r="F86" s="566" t="s">
        <v>474</v>
      </c>
      <c r="G86" s="567">
        <v>0</v>
      </c>
      <c r="H86" s="566" t="s">
        <v>561</v>
      </c>
      <c r="I86" s="568">
        <v>2</v>
      </c>
      <c r="J86" s="569">
        <v>25</v>
      </c>
      <c r="K86" s="569">
        <v>25</v>
      </c>
      <c r="L86" s="566"/>
      <c r="M86" s="566" t="s">
        <v>476</v>
      </c>
      <c r="N86" s="570">
        <v>1330</v>
      </c>
      <c r="O86" s="566"/>
      <c r="P86" s="566" t="s">
        <v>477</v>
      </c>
      <c r="Q86" s="568">
        <v>909678</v>
      </c>
      <c r="R86" s="568">
        <v>34</v>
      </c>
      <c r="S86" s="566" t="s">
        <v>1395</v>
      </c>
      <c r="T86" s="578" t="s">
        <v>779</v>
      </c>
      <c r="U86" s="578" t="s">
        <v>550</v>
      </c>
      <c r="V86" s="578" t="s">
        <v>469</v>
      </c>
      <c r="W86" s="579" t="s">
        <v>1274</v>
      </c>
      <c r="X86" s="578" t="s">
        <v>1380</v>
      </c>
      <c r="Y86" s="578" t="s">
        <v>1367</v>
      </c>
      <c r="Z86" s="580" t="s">
        <v>1436</v>
      </c>
      <c r="AA86" s="581">
        <v>1330</v>
      </c>
      <c r="AB86" s="578"/>
    </row>
    <row r="87" spans="1:28" hidden="1">
      <c r="A87" s="566" t="s">
        <v>1335</v>
      </c>
      <c r="B87" s="566" t="s">
        <v>466</v>
      </c>
      <c r="C87" s="566" t="s">
        <v>471</v>
      </c>
      <c r="D87" s="566" t="s">
        <v>472</v>
      </c>
      <c r="E87" s="566" t="s">
        <v>473</v>
      </c>
      <c r="F87" s="566" t="s">
        <v>474</v>
      </c>
      <c r="G87" s="567">
        <v>0</v>
      </c>
      <c r="H87" s="566" t="s">
        <v>564</v>
      </c>
      <c r="I87" s="568">
        <v>2</v>
      </c>
      <c r="J87" s="569">
        <v>25</v>
      </c>
      <c r="K87" s="569">
        <v>25</v>
      </c>
      <c r="L87" s="566"/>
      <c r="M87" s="566" t="s">
        <v>476</v>
      </c>
      <c r="N87" s="570">
        <v>1366</v>
      </c>
      <c r="O87" s="566"/>
      <c r="P87" s="566" t="s">
        <v>477</v>
      </c>
      <c r="Q87" s="568">
        <v>909678</v>
      </c>
      <c r="R87" s="568">
        <v>35</v>
      </c>
      <c r="S87" s="566" t="s">
        <v>1397</v>
      </c>
      <c r="T87" s="578" t="s">
        <v>779</v>
      </c>
      <c r="U87" s="578" t="s">
        <v>550</v>
      </c>
      <c r="V87" s="578" t="s">
        <v>469</v>
      </c>
      <c r="W87" s="579" t="s">
        <v>1275</v>
      </c>
      <c r="X87" s="578" t="s">
        <v>1380</v>
      </c>
      <c r="Y87" s="578" t="s">
        <v>1367</v>
      </c>
      <c r="Z87" s="580" t="s">
        <v>1437</v>
      </c>
      <c r="AA87" s="581">
        <v>1366</v>
      </c>
      <c r="AB87" s="578"/>
    </row>
    <row r="88" spans="1:28" hidden="1">
      <c r="A88" s="566" t="s">
        <v>1335</v>
      </c>
      <c r="B88" s="566" t="s">
        <v>466</v>
      </c>
      <c r="C88" s="566" t="s">
        <v>487</v>
      </c>
      <c r="D88" s="566" t="s">
        <v>472</v>
      </c>
      <c r="E88" s="566" t="s">
        <v>473</v>
      </c>
      <c r="F88" s="566" t="s">
        <v>489</v>
      </c>
      <c r="G88" s="567">
        <v>50</v>
      </c>
      <c r="H88" s="566" t="s">
        <v>573</v>
      </c>
      <c r="I88" s="568">
        <v>2</v>
      </c>
      <c r="J88" s="569">
        <v>25</v>
      </c>
      <c r="K88" s="569">
        <v>25</v>
      </c>
      <c r="L88" s="566"/>
      <c r="M88" s="566" t="s">
        <v>476</v>
      </c>
      <c r="N88" s="570">
        <v>1402</v>
      </c>
      <c r="O88" s="566"/>
      <c r="P88" s="566" t="s">
        <v>477</v>
      </c>
      <c r="Q88" s="568">
        <v>909678</v>
      </c>
      <c r="R88" s="568">
        <v>37</v>
      </c>
      <c r="S88" s="566" t="s">
        <v>1399</v>
      </c>
      <c r="T88" s="578" t="s">
        <v>779</v>
      </c>
      <c r="U88" s="578" t="s">
        <v>550</v>
      </c>
      <c r="V88" s="578" t="s">
        <v>469</v>
      </c>
      <c r="W88" s="579" t="s">
        <v>1276</v>
      </c>
      <c r="X88" s="578" t="s">
        <v>1380</v>
      </c>
      <c r="Y88" s="578" t="s">
        <v>1367</v>
      </c>
      <c r="Z88" s="580" t="s">
        <v>1438</v>
      </c>
      <c r="AA88" s="581">
        <v>1402</v>
      </c>
      <c r="AB88" s="578"/>
    </row>
    <row r="89" spans="1:28" hidden="1">
      <c r="A89" s="566" t="s">
        <v>1335</v>
      </c>
      <c r="B89" s="566" t="s">
        <v>466</v>
      </c>
      <c r="C89" s="566" t="s">
        <v>487</v>
      </c>
      <c r="D89" s="566" t="s">
        <v>472</v>
      </c>
      <c r="E89" s="566" t="s">
        <v>473</v>
      </c>
      <c r="F89" s="566" t="s">
        <v>489</v>
      </c>
      <c r="G89" s="567">
        <v>50</v>
      </c>
      <c r="H89" s="566" t="s">
        <v>576</v>
      </c>
      <c r="I89" s="568">
        <v>2</v>
      </c>
      <c r="J89" s="569">
        <v>25</v>
      </c>
      <c r="K89" s="569">
        <v>25</v>
      </c>
      <c r="L89" s="566"/>
      <c r="M89" s="566" t="s">
        <v>476</v>
      </c>
      <c r="N89" s="570">
        <v>1438</v>
      </c>
      <c r="O89" s="566"/>
      <c r="P89" s="566" t="s">
        <v>477</v>
      </c>
      <c r="Q89" s="568">
        <v>909678</v>
      </c>
      <c r="R89" s="568">
        <v>38</v>
      </c>
      <c r="S89" s="566" t="s">
        <v>1401</v>
      </c>
      <c r="T89" s="578" t="s">
        <v>779</v>
      </c>
      <c r="U89" s="578" t="s">
        <v>550</v>
      </c>
      <c r="V89" s="578" t="s">
        <v>469</v>
      </c>
      <c r="W89" s="579" t="s">
        <v>1277</v>
      </c>
      <c r="X89" s="578" t="s">
        <v>1380</v>
      </c>
      <c r="Y89" s="578" t="s">
        <v>1367</v>
      </c>
      <c r="Z89" s="580" t="s">
        <v>1439</v>
      </c>
      <c r="AA89" s="581">
        <v>1438</v>
      </c>
      <c r="AB89" s="578"/>
    </row>
    <row r="90" spans="1:28" hidden="1">
      <c r="A90" s="566" t="s">
        <v>1335</v>
      </c>
      <c r="B90" s="566" t="s">
        <v>466</v>
      </c>
      <c r="C90" s="566" t="s">
        <v>471</v>
      </c>
      <c r="D90" s="566" t="s">
        <v>472</v>
      </c>
      <c r="E90" s="566" t="s">
        <v>473</v>
      </c>
      <c r="F90" s="566" t="s">
        <v>474</v>
      </c>
      <c r="G90" s="567">
        <v>0</v>
      </c>
      <c r="H90" s="566" t="s">
        <v>1352</v>
      </c>
      <c r="I90" s="568">
        <v>2</v>
      </c>
      <c r="J90" s="569">
        <v>25</v>
      </c>
      <c r="K90" s="569">
        <v>25</v>
      </c>
      <c r="L90" s="566"/>
      <c r="M90" s="566" t="s">
        <v>476</v>
      </c>
      <c r="N90" s="570">
        <v>1474</v>
      </c>
      <c r="O90" s="566"/>
      <c r="P90" s="566" t="s">
        <v>477</v>
      </c>
      <c r="Q90" s="568">
        <v>909678</v>
      </c>
      <c r="R90" s="568">
        <v>36</v>
      </c>
      <c r="S90" s="566" t="s">
        <v>1403</v>
      </c>
      <c r="T90" s="578" t="s">
        <v>779</v>
      </c>
      <c r="U90" s="578" t="s">
        <v>550</v>
      </c>
      <c r="V90" s="578" t="s">
        <v>469</v>
      </c>
      <c r="W90" s="579" t="s">
        <v>1354</v>
      </c>
      <c r="X90" s="578" t="s">
        <v>1380</v>
      </c>
      <c r="Y90" s="578" t="s">
        <v>1367</v>
      </c>
      <c r="Z90" s="580" t="s">
        <v>1440</v>
      </c>
      <c r="AA90" s="581">
        <v>1474</v>
      </c>
      <c r="AB90" s="578"/>
    </row>
    <row r="91" spans="1:28" hidden="1">
      <c r="A91" s="566" t="s">
        <v>1335</v>
      </c>
      <c r="B91" s="566" t="s">
        <v>466</v>
      </c>
      <c r="C91" s="566" t="s">
        <v>487</v>
      </c>
      <c r="D91" s="566" t="s">
        <v>472</v>
      </c>
      <c r="E91" s="566" t="s">
        <v>473</v>
      </c>
      <c r="F91" s="566" t="s">
        <v>489</v>
      </c>
      <c r="G91" s="567">
        <v>50</v>
      </c>
      <c r="H91" s="566" t="s">
        <v>1356</v>
      </c>
      <c r="I91" s="568">
        <v>2</v>
      </c>
      <c r="J91" s="569">
        <v>25</v>
      </c>
      <c r="K91" s="569">
        <v>25</v>
      </c>
      <c r="L91" s="566"/>
      <c r="M91" s="566" t="s">
        <v>476</v>
      </c>
      <c r="N91" s="570">
        <v>1510</v>
      </c>
      <c r="O91" s="566"/>
      <c r="P91" s="566" t="s">
        <v>477</v>
      </c>
      <c r="Q91" s="568">
        <v>909678</v>
      </c>
      <c r="R91" s="568">
        <v>39</v>
      </c>
      <c r="S91" s="566" t="s">
        <v>1405</v>
      </c>
      <c r="T91" s="578" t="s">
        <v>779</v>
      </c>
      <c r="U91" s="578" t="s">
        <v>550</v>
      </c>
      <c r="V91" s="578" t="s">
        <v>469</v>
      </c>
      <c r="W91" s="579" t="s">
        <v>1358</v>
      </c>
      <c r="X91" s="578" t="s">
        <v>1380</v>
      </c>
      <c r="Y91" s="578" t="s">
        <v>1367</v>
      </c>
      <c r="Z91" s="580" t="s">
        <v>1441</v>
      </c>
      <c r="AA91" s="581">
        <v>1510</v>
      </c>
      <c r="AB91" s="578"/>
    </row>
    <row r="92" spans="1:28" hidden="1">
      <c r="A92" s="566" t="s">
        <v>1335</v>
      </c>
      <c r="B92" s="566" t="s">
        <v>466</v>
      </c>
      <c r="C92" s="566" t="s">
        <v>471</v>
      </c>
      <c r="D92" s="566" t="s">
        <v>472</v>
      </c>
      <c r="E92" s="566" t="s">
        <v>473</v>
      </c>
      <c r="F92" s="566" t="s">
        <v>474</v>
      </c>
      <c r="G92" s="567">
        <v>0</v>
      </c>
      <c r="H92" s="566" t="s">
        <v>559</v>
      </c>
      <c r="I92" s="568">
        <v>2</v>
      </c>
      <c r="J92" s="569">
        <v>1</v>
      </c>
      <c r="K92" s="569">
        <v>1</v>
      </c>
      <c r="L92" s="566"/>
      <c r="M92" s="566" t="s">
        <v>476</v>
      </c>
      <c r="N92" s="570">
        <v>430</v>
      </c>
      <c r="O92" s="566"/>
      <c r="P92" s="566" t="s">
        <v>477</v>
      </c>
      <c r="Q92" s="568">
        <v>909678</v>
      </c>
      <c r="R92" s="568">
        <v>7</v>
      </c>
      <c r="S92" s="566" t="s">
        <v>1407</v>
      </c>
      <c r="T92" s="575" t="s">
        <v>1442</v>
      </c>
      <c r="U92" s="575" t="s">
        <v>550</v>
      </c>
      <c r="V92" s="575" t="s">
        <v>469</v>
      </c>
      <c r="W92" s="576" t="s">
        <v>470</v>
      </c>
      <c r="X92" s="575" t="s">
        <v>1380</v>
      </c>
      <c r="Y92" s="575" t="s">
        <v>1338</v>
      </c>
      <c r="Z92" s="576" t="s">
        <v>1443</v>
      </c>
      <c r="AA92" s="577">
        <v>430</v>
      </c>
      <c r="AB92" s="575"/>
    </row>
    <row r="93" spans="1:28" hidden="1">
      <c r="A93" s="566" t="s">
        <v>1335</v>
      </c>
      <c r="B93" s="566" t="s">
        <v>466</v>
      </c>
      <c r="C93" s="566" t="s">
        <v>471</v>
      </c>
      <c r="D93" s="566" t="s">
        <v>472</v>
      </c>
      <c r="E93" s="566" t="s">
        <v>473</v>
      </c>
      <c r="F93" s="566" t="s">
        <v>474</v>
      </c>
      <c r="G93" s="567">
        <v>0</v>
      </c>
      <c r="H93" s="566" t="s">
        <v>562</v>
      </c>
      <c r="I93" s="568">
        <v>2</v>
      </c>
      <c r="J93" s="569">
        <v>1</v>
      </c>
      <c r="K93" s="569">
        <v>1</v>
      </c>
      <c r="L93" s="566"/>
      <c r="M93" s="566" t="s">
        <v>476</v>
      </c>
      <c r="N93" s="570">
        <v>502</v>
      </c>
      <c r="O93" s="566"/>
      <c r="P93" s="566" t="s">
        <v>477</v>
      </c>
      <c r="Q93" s="568">
        <v>909678</v>
      </c>
      <c r="R93" s="568">
        <v>8</v>
      </c>
      <c r="S93" s="566" t="s">
        <v>1410</v>
      </c>
      <c r="T93" s="575" t="s">
        <v>1442</v>
      </c>
      <c r="U93" s="575" t="s">
        <v>550</v>
      </c>
      <c r="V93" s="575" t="s">
        <v>469</v>
      </c>
      <c r="W93" s="576" t="s">
        <v>480</v>
      </c>
      <c r="X93" s="575" t="s">
        <v>1380</v>
      </c>
      <c r="Y93" s="575" t="s">
        <v>1338</v>
      </c>
      <c r="Z93" s="576" t="s">
        <v>1444</v>
      </c>
      <c r="AA93" s="577">
        <v>502</v>
      </c>
      <c r="AB93" s="575"/>
    </row>
    <row r="94" spans="1:28" hidden="1">
      <c r="A94" s="566" t="s">
        <v>1335</v>
      </c>
      <c r="B94" s="566" t="s">
        <v>466</v>
      </c>
      <c r="C94" s="566" t="s">
        <v>487</v>
      </c>
      <c r="D94" s="566" t="s">
        <v>472</v>
      </c>
      <c r="E94" s="566" t="s">
        <v>473</v>
      </c>
      <c r="F94" s="566" t="s">
        <v>489</v>
      </c>
      <c r="G94" s="567">
        <v>50</v>
      </c>
      <c r="H94" s="566" t="s">
        <v>571</v>
      </c>
      <c r="I94" s="568">
        <v>2</v>
      </c>
      <c r="J94" s="569">
        <v>1</v>
      </c>
      <c r="K94" s="569">
        <v>1</v>
      </c>
      <c r="L94" s="566"/>
      <c r="M94" s="566" t="s">
        <v>476</v>
      </c>
      <c r="N94" s="570">
        <v>682</v>
      </c>
      <c r="O94" s="566"/>
      <c r="P94" s="566" t="s">
        <v>477</v>
      </c>
      <c r="Q94" s="568">
        <v>909678</v>
      </c>
      <c r="R94" s="568">
        <v>11</v>
      </c>
      <c r="S94" s="566" t="s">
        <v>1412</v>
      </c>
      <c r="T94" s="575" t="s">
        <v>1442</v>
      </c>
      <c r="U94" s="575" t="s">
        <v>550</v>
      </c>
      <c r="V94" s="575" t="s">
        <v>469</v>
      </c>
      <c r="W94" s="576" t="s">
        <v>499</v>
      </c>
      <c r="X94" s="575" t="s">
        <v>1380</v>
      </c>
      <c r="Y94" s="575" t="s">
        <v>1338</v>
      </c>
      <c r="Z94" s="576" t="s">
        <v>1445</v>
      </c>
      <c r="AA94" s="577">
        <v>682</v>
      </c>
      <c r="AB94" s="575"/>
    </row>
    <row r="95" spans="1:28" hidden="1">
      <c r="A95" s="566" t="s">
        <v>1335</v>
      </c>
      <c r="B95" s="566" t="s">
        <v>466</v>
      </c>
      <c r="C95" s="566" t="s">
        <v>487</v>
      </c>
      <c r="D95" s="566" t="s">
        <v>472</v>
      </c>
      <c r="E95" s="566" t="s">
        <v>473</v>
      </c>
      <c r="F95" s="566" t="s">
        <v>489</v>
      </c>
      <c r="G95" s="567">
        <v>50</v>
      </c>
      <c r="H95" s="566" t="s">
        <v>574</v>
      </c>
      <c r="I95" s="568">
        <v>2</v>
      </c>
      <c r="J95" s="569">
        <v>1</v>
      </c>
      <c r="K95" s="569">
        <v>1</v>
      </c>
      <c r="L95" s="566"/>
      <c r="M95" s="566" t="s">
        <v>476</v>
      </c>
      <c r="N95" s="570">
        <v>754</v>
      </c>
      <c r="O95" s="566"/>
      <c r="P95" s="566" t="s">
        <v>477</v>
      </c>
      <c r="Q95" s="568">
        <v>909678</v>
      </c>
      <c r="R95" s="568">
        <v>20</v>
      </c>
      <c r="S95" s="566" t="s">
        <v>1414</v>
      </c>
      <c r="T95" s="575" t="s">
        <v>1442</v>
      </c>
      <c r="U95" s="575" t="s">
        <v>550</v>
      </c>
      <c r="V95" s="575" t="s">
        <v>469</v>
      </c>
      <c r="W95" s="576" t="s">
        <v>504</v>
      </c>
      <c r="X95" s="575" t="s">
        <v>1380</v>
      </c>
      <c r="Y95" s="575" t="s">
        <v>1338</v>
      </c>
      <c r="Z95" s="576" t="s">
        <v>1446</v>
      </c>
      <c r="AA95" s="577">
        <v>754</v>
      </c>
      <c r="AB95" s="575"/>
    </row>
    <row r="96" spans="1:28" hidden="1">
      <c r="A96" s="566" t="s">
        <v>1335</v>
      </c>
      <c r="B96" s="566" t="s">
        <v>466</v>
      </c>
      <c r="C96" s="566" t="s">
        <v>471</v>
      </c>
      <c r="D96" s="566" t="s">
        <v>472</v>
      </c>
      <c r="E96" s="566" t="s">
        <v>473</v>
      </c>
      <c r="F96" s="566" t="s">
        <v>474</v>
      </c>
      <c r="G96" s="567">
        <v>0</v>
      </c>
      <c r="H96" s="566" t="s">
        <v>561</v>
      </c>
      <c r="I96" s="568">
        <v>2</v>
      </c>
      <c r="J96" s="569">
        <v>50</v>
      </c>
      <c r="K96" s="569">
        <v>50</v>
      </c>
      <c r="L96" s="566"/>
      <c r="M96" s="566" t="s">
        <v>476</v>
      </c>
      <c r="N96" s="570">
        <v>1007</v>
      </c>
      <c r="O96" s="566"/>
      <c r="P96" s="566" t="s">
        <v>477</v>
      </c>
      <c r="Q96" s="568">
        <v>909678</v>
      </c>
      <c r="R96" s="568">
        <v>25</v>
      </c>
      <c r="S96" s="566" t="s">
        <v>1336</v>
      </c>
      <c r="T96" s="582" t="s">
        <v>253</v>
      </c>
      <c r="U96" s="582" t="s">
        <v>550</v>
      </c>
      <c r="V96" s="582" t="s">
        <v>469</v>
      </c>
      <c r="W96" s="583" t="s">
        <v>1274</v>
      </c>
      <c r="X96" s="582" t="s">
        <v>1337</v>
      </c>
      <c r="Y96" s="582" t="s">
        <v>1338</v>
      </c>
      <c r="Z96" s="584" t="s">
        <v>1447</v>
      </c>
      <c r="AA96" s="585">
        <v>1007</v>
      </c>
      <c r="AB96" s="582"/>
    </row>
    <row r="97" spans="1:28" hidden="1">
      <c r="A97" s="566" t="s">
        <v>1335</v>
      </c>
      <c r="B97" s="566" t="s">
        <v>466</v>
      </c>
      <c r="C97" s="566" t="s">
        <v>471</v>
      </c>
      <c r="D97" s="566" t="s">
        <v>472</v>
      </c>
      <c r="E97" s="566" t="s">
        <v>473</v>
      </c>
      <c r="F97" s="566" t="s">
        <v>474</v>
      </c>
      <c r="G97" s="567">
        <v>0</v>
      </c>
      <c r="H97" s="566" t="s">
        <v>564</v>
      </c>
      <c r="I97" s="568">
        <v>2</v>
      </c>
      <c r="J97" s="569">
        <v>50</v>
      </c>
      <c r="K97" s="569">
        <v>50</v>
      </c>
      <c r="L97" s="566"/>
      <c r="M97" s="566" t="s">
        <v>476</v>
      </c>
      <c r="N97" s="570">
        <v>1043</v>
      </c>
      <c r="O97" s="566"/>
      <c r="P97" s="566" t="s">
        <v>477</v>
      </c>
      <c r="Q97" s="568">
        <v>909678</v>
      </c>
      <c r="R97" s="568">
        <v>26</v>
      </c>
      <c r="S97" s="566" t="s">
        <v>1340</v>
      </c>
      <c r="T97" s="582" t="s">
        <v>253</v>
      </c>
      <c r="U97" s="582" t="s">
        <v>550</v>
      </c>
      <c r="V97" s="582" t="s">
        <v>469</v>
      </c>
      <c r="W97" s="583" t="s">
        <v>1275</v>
      </c>
      <c r="X97" s="582" t="s">
        <v>1337</v>
      </c>
      <c r="Y97" s="582" t="s">
        <v>1338</v>
      </c>
      <c r="Z97" s="584" t="s">
        <v>1448</v>
      </c>
      <c r="AA97" s="585">
        <v>1043</v>
      </c>
      <c r="AB97" s="582"/>
    </row>
    <row r="98" spans="1:28" hidden="1">
      <c r="A98" s="566" t="s">
        <v>1335</v>
      </c>
      <c r="B98" s="566" t="s">
        <v>466</v>
      </c>
      <c r="C98" s="566" t="s">
        <v>487</v>
      </c>
      <c r="D98" s="566" t="s">
        <v>472</v>
      </c>
      <c r="E98" s="566" t="s">
        <v>473</v>
      </c>
      <c r="F98" s="566" t="s">
        <v>489</v>
      </c>
      <c r="G98" s="567">
        <v>50</v>
      </c>
      <c r="H98" s="566" t="s">
        <v>566</v>
      </c>
      <c r="I98" s="568">
        <v>2</v>
      </c>
      <c r="J98" s="569">
        <v>50</v>
      </c>
      <c r="K98" s="569">
        <v>50</v>
      </c>
      <c r="L98" s="566"/>
      <c r="M98" s="566" t="s">
        <v>476</v>
      </c>
      <c r="N98" s="570">
        <v>1079</v>
      </c>
      <c r="O98" s="566"/>
      <c r="P98" s="566" t="s">
        <v>477</v>
      </c>
      <c r="Q98" s="568">
        <v>909678</v>
      </c>
      <c r="R98" s="568">
        <v>28</v>
      </c>
      <c r="S98" s="566" t="s">
        <v>1342</v>
      </c>
      <c r="T98" s="582" t="s">
        <v>253</v>
      </c>
      <c r="U98" s="582" t="s">
        <v>550</v>
      </c>
      <c r="V98" s="582" t="s">
        <v>469</v>
      </c>
      <c r="W98" s="583" t="s">
        <v>485</v>
      </c>
      <c r="X98" s="582" t="s">
        <v>1337</v>
      </c>
      <c r="Y98" s="582" t="s">
        <v>1338</v>
      </c>
      <c r="Z98" s="584" t="s">
        <v>1449</v>
      </c>
      <c r="AA98" s="585">
        <v>1079</v>
      </c>
      <c r="AB98" s="582"/>
    </row>
    <row r="99" spans="1:28" hidden="1">
      <c r="A99" s="566" t="s">
        <v>1335</v>
      </c>
      <c r="B99" s="566" t="s">
        <v>466</v>
      </c>
      <c r="C99" s="566" t="s">
        <v>487</v>
      </c>
      <c r="D99" s="566" t="s">
        <v>472</v>
      </c>
      <c r="E99" s="566" t="s">
        <v>473</v>
      </c>
      <c r="F99" s="566" t="s">
        <v>489</v>
      </c>
      <c r="G99" s="567">
        <v>50</v>
      </c>
      <c r="H99" s="566" t="s">
        <v>568</v>
      </c>
      <c r="I99" s="568">
        <v>2</v>
      </c>
      <c r="J99" s="569">
        <v>50</v>
      </c>
      <c r="K99" s="569">
        <v>50</v>
      </c>
      <c r="L99" s="566"/>
      <c r="M99" s="566" t="s">
        <v>476</v>
      </c>
      <c r="N99" s="570">
        <v>1115</v>
      </c>
      <c r="O99" s="566"/>
      <c r="P99" s="566" t="s">
        <v>477</v>
      </c>
      <c r="Q99" s="568">
        <v>909678</v>
      </c>
      <c r="R99" s="568">
        <v>29</v>
      </c>
      <c r="S99" s="566" t="s">
        <v>1344</v>
      </c>
      <c r="T99" s="582" t="s">
        <v>253</v>
      </c>
      <c r="U99" s="582" t="s">
        <v>550</v>
      </c>
      <c r="V99" s="582" t="s">
        <v>469</v>
      </c>
      <c r="W99" s="583" t="s">
        <v>491</v>
      </c>
      <c r="X99" s="582" t="s">
        <v>1337</v>
      </c>
      <c r="Y99" s="582" t="s">
        <v>1338</v>
      </c>
      <c r="Z99" s="584" t="s">
        <v>1450</v>
      </c>
      <c r="AA99" s="585">
        <v>1115</v>
      </c>
      <c r="AB99" s="582"/>
    </row>
    <row r="100" spans="1:28" hidden="1">
      <c r="A100" s="566" t="s">
        <v>1335</v>
      </c>
      <c r="B100" s="566" t="s">
        <v>466</v>
      </c>
      <c r="C100" s="566" t="s">
        <v>487</v>
      </c>
      <c r="D100" s="566" t="s">
        <v>472</v>
      </c>
      <c r="E100" s="566" t="s">
        <v>473</v>
      </c>
      <c r="F100" s="566" t="s">
        <v>489</v>
      </c>
      <c r="G100" s="567">
        <v>50</v>
      </c>
      <c r="H100" s="566" t="s">
        <v>570</v>
      </c>
      <c r="I100" s="568">
        <v>2</v>
      </c>
      <c r="J100" s="569">
        <v>50</v>
      </c>
      <c r="K100" s="569">
        <v>50</v>
      </c>
      <c r="L100" s="566"/>
      <c r="M100" s="566" t="s">
        <v>476</v>
      </c>
      <c r="N100" s="570">
        <v>1151</v>
      </c>
      <c r="O100" s="566"/>
      <c r="P100" s="566" t="s">
        <v>477</v>
      </c>
      <c r="Q100" s="568">
        <v>909678</v>
      </c>
      <c r="R100" s="568">
        <v>30</v>
      </c>
      <c r="S100" s="566" t="s">
        <v>1346</v>
      </c>
      <c r="T100" s="582" t="s">
        <v>253</v>
      </c>
      <c r="U100" s="582" t="s">
        <v>550</v>
      </c>
      <c r="V100" s="582" t="s">
        <v>469</v>
      </c>
      <c r="W100" s="583" t="s">
        <v>495</v>
      </c>
      <c r="X100" s="582" t="s">
        <v>1337</v>
      </c>
      <c r="Y100" s="582" t="s">
        <v>1338</v>
      </c>
      <c r="Z100" s="584" t="s">
        <v>1451</v>
      </c>
      <c r="AA100" s="585">
        <v>1151</v>
      </c>
      <c r="AB100" s="582"/>
    </row>
    <row r="101" spans="1:28" hidden="1">
      <c r="A101" s="566" t="s">
        <v>1335</v>
      </c>
      <c r="B101" s="566" t="s">
        <v>466</v>
      </c>
      <c r="C101" s="566" t="s">
        <v>487</v>
      </c>
      <c r="D101" s="566" t="s">
        <v>472</v>
      </c>
      <c r="E101" s="566" t="s">
        <v>473</v>
      </c>
      <c r="F101" s="566" t="s">
        <v>489</v>
      </c>
      <c r="G101" s="567">
        <v>50</v>
      </c>
      <c r="H101" s="566" t="s">
        <v>573</v>
      </c>
      <c r="I101" s="568">
        <v>2</v>
      </c>
      <c r="J101" s="569">
        <v>50</v>
      </c>
      <c r="K101" s="569">
        <v>50</v>
      </c>
      <c r="L101" s="566"/>
      <c r="M101" s="566" t="s">
        <v>476</v>
      </c>
      <c r="N101" s="570">
        <v>1187</v>
      </c>
      <c r="O101" s="566"/>
      <c r="P101" s="566" t="s">
        <v>477</v>
      </c>
      <c r="Q101" s="568">
        <v>909678</v>
      </c>
      <c r="R101" s="568">
        <v>31</v>
      </c>
      <c r="S101" s="566" t="s">
        <v>1348</v>
      </c>
      <c r="T101" s="582" t="s">
        <v>253</v>
      </c>
      <c r="U101" s="582" t="s">
        <v>550</v>
      </c>
      <c r="V101" s="582" t="s">
        <v>469</v>
      </c>
      <c r="W101" s="583" t="s">
        <v>1276</v>
      </c>
      <c r="X101" s="582" t="s">
        <v>1337</v>
      </c>
      <c r="Y101" s="582" t="s">
        <v>1338</v>
      </c>
      <c r="Z101" s="584" t="s">
        <v>1452</v>
      </c>
      <c r="AA101" s="585">
        <v>1187</v>
      </c>
      <c r="AB101" s="582"/>
    </row>
    <row r="102" spans="1:28" hidden="1">
      <c r="A102" s="566" t="s">
        <v>1335</v>
      </c>
      <c r="B102" s="566" t="s">
        <v>466</v>
      </c>
      <c r="C102" s="566" t="s">
        <v>487</v>
      </c>
      <c r="D102" s="566" t="s">
        <v>472</v>
      </c>
      <c r="E102" s="566" t="s">
        <v>473</v>
      </c>
      <c r="F102" s="566" t="s">
        <v>489</v>
      </c>
      <c r="G102" s="567">
        <v>50</v>
      </c>
      <c r="H102" s="566" t="s">
        <v>576</v>
      </c>
      <c r="I102" s="568">
        <v>2</v>
      </c>
      <c r="J102" s="569">
        <v>50</v>
      </c>
      <c r="K102" s="569">
        <v>50</v>
      </c>
      <c r="L102" s="566"/>
      <c r="M102" s="566" t="s">
        <v>476</v>
      </c>
      <c r="N102" s="570">
        <v>1223</v>
      </c>
      <c r="O102" s="566"/>
      <c r="P102" s="566" t="s">
        <v>477</v>
      </c>
      <c r="Q102" s="568">
        <v>909678</v>
      </c>
      <c r="R102" s="568">
        <v>32</v>
      </c>
      <c r="S102" s="566" t="s">
        <v>1350</v>
      </c>
      <c r="T102" s="582" t="s">
        <v>253</v>
      </c>
      <c r="U102" s="582" t="s">
        <v>550</v>
      </c>
      <c r="V102" s="582" t="s">
        <v>469</v>
      </c>
      <c r="W102" s="583" t="s">
        <v>1277</v>
      </c>
      <c r="X102" s="582" t="s">
        <v>1337</v>
      </c>
      <c r="Y102" s="582" t="s">
        <v>1338</v>
      </c>
      <c r="Z102" s="584" t="s">
        <v>1453</v>
      </c>
      <c r="AA102" s="585">
        <v>1223</v>
      </c>
      <c r="AB102" s="582"/>
    </row>
    <row r="103" spans="1:28" hidden="1">
      <c r="A103" s="566" t="s">
        <v>1335</v>
      </c>
      <c r="B103" s="566" t="s">
        <v>466</v>
      </c>
      <c r="C103" s="566" t="s">
        <v>471</v>
      </c>
      <c r="D103" s="566" t="s">
        <v>472</v>
      </c>
      <c r="E103" s="566" t="s">
        <v>473</v>
      </c>
      <c r="F103" s="566" t="s">
        <v>474</v>
      </c>
      <c r="G103" s="567">
        <v>0</v>
      </c>
      <c r="H103" s="566" t="s">
        <v>1352</v>
      </c>
      <c r="I103" s="568">
        <v>2</v>
      </c>
      <c r="J103" s="569">
        <v>50</v>
      </c>
      <c r="K103" s="569">
        <v>50</v>
      </c>
      <c r="L103" s="566"/>
      <c r="M103" s="566" t="s">
        <v>476</v>
      </c>
      <c r="N103" s="570">
        <v>1259</v>
      </c>
      <c r="O103" s="566"/>
      <c r="P103" s="566" t="s">
        <v>477</v>
      </c>
      <c r="Q103" s="568">
        <v>909678</v>
      </c>
      <c r="R103" s="568">
        <v>27</v>
      </c>
      <c r="S103" s="566" t="s">
        <v>1353</v>
      </c>
      <c r="T103" s="582" t="s">
        <v>253</v>
      </c>
      <c r="U103" s="582" t="s">
        <v>550</v>
      </c>
      <c r="V103" s="582" t="s">
        <v>469</v>
      </c>
      <c r="W103" s="583" t="s">
        <v>1354</v>
      </c>
      <c r="X103" s="582" t="s">
        <v>1337</v>
      </c>
      <c r="Y103" s="582" t="s">
        <v>1338</v>
      </c>
      <c r="Z103" s="584" t="s">
        <v>1454</v>
      </c>
      <c r="AA103" s="585">
        <v>1259</v>
      </c>
      <c r="AB103" s="582"/>
    </row>
    <row r="104" spans="1:28" hidden="1">
      <c r="A104" s="566" t="s">
        <v>1335</v>
      </c>
      <c r="B104" s="566" t="s">
        <v>466</v>
      </c>
      <c r="C104" s="566" t="s">
        <v>487</v>
      </c>
      <c r="D104" s="566" t="s">
        <v>472</v>
      </c>
      <c r="E104" s="566" t="s">
        <v>473</v>
      </c>
      <c r="F104" s="566" t="s">
        <v>489</v>
      </c>
      <c r="G104" s="567">
        <v>50</v>
      </c>
      <c r="H104" s="566" t="s">
        <v>1356</v>
      </c>
      <c r="I104" s="568">
        <v>2</v>
      </c>
      <c r="J104" s="569">
        <v>50</v>
      </c>
      <c r="K104" s="569">
        <v>50</v>
      </c>
      <c r="L104" s="566"/>
      <c r="M104" s="566" t="s">
        <v>476</v>
      </c>
      <c r="N104" s="570">
        <v>1295</v>
      </c>
      <c r="O104" s="566"/>
      <c r="P104" s="566" t="s">
        <v>477</v>
      </c>
      <c r="Q104" s="568">
        <v>909678</v>
      </c>
      <c r="R104" s="568">
        <v>33</v>
      </c>
      <c r="S104" s="566" t="s">
        <v>1357</v>
      </c>
      <c r="T104" s="582" t="s">
        <v>253</v>
      </c>
      <c r="U104" s="582" t="s">
        <v>550</v>
      </c>
      <c r="V104" s="582" t="s">
        <v>469</v>
      </c>
      <c r="W104" s="583" t="s">
        <v>1358</v>
      </c>
      <c r="X104" s="582" t="s">
        <v>1337</v>
      </c>
      <c r="Y104" s="582" t="s">
        <v>1338</v>
      </c>
      <c r="Z104" s="584" t="s">
        <v>1455</v>
      </c>
      <c r="AA104" s="585">
        <v>1295</v>
      </c>
      <c r="AB104" s="582"/>
    </row>
    <row r="105" spans="1:28" hidden="1">
      <c r="A105" s="566" t="s">
        <v>1335</v>
      </c>
      <c r="B105" s="566" t="s">
        <v>466</v>
      </c>
      <c r="C105" s="566" t="s">
        <v>471</v>
      </c>
      <c r="D105" s="566" t="s">
        <v>472</v>
      </c>
      <c r="E105" s="566" t="s">
        <v>473</v>
      </c>
      <c r="F105" s="566" t="s">
        <v>474</v>
      </c>
      <c r="G105" s="567">
        <v>0</v>
      </c>
      <c r="H105" s="566" t="s">
        <v>593</v>
      </c>
      <c r="I105" s="568">
        <v>1</v>
      </c>
      <c r="J105" s="569">
        <v>50</v>
      </c>
      <c r="K105" s="569">
        <v>50</v>
      </c>
      <c r="L105" s="566"/>
      <c r="M105" s="566" t="s">
        <v>476</v>
      </c>
      <c r="N105" s="570">
        <v>899</v>
      </c>
      <c r="O105" s="566"/>
      <c r="P105" s="566" t="s">
        <v>477</v>
      </c>
      <c r="Q105" s="568">
        <v>909678</v>
      </c>
      <c r="R105" s="568">
        <v>22</v>
      </c>
      <c r="S105" s="566" t="s">
        <v>1360</v>
      </c>
      <c r="T105" s="582" t="s">
        <v>253</v>
      </c>
      <c r="U105" s="582" t="s">
        <v>550</v>
      </c>
      <c r="V105" s="582" t="s">
        <v>469</v>
      </c>
      <c r="W105" s="583" t="s">
        <v>509</v>
      </c>
      <c r="X105" s="582" t="s">
        <v>1337</v>
      </c>
      <c r="Y105" s="582" t="s">
        <v>1338</v>
      </c>
      <c r="Z105" s="584" t="s">
        <v>1456</v>
      </c>
      <c r="AA105" s="585">
        <v>899</v>
      </c>
      <c r="AB105" s="582"/>
    </row>
    <row r="106" spans="1:28" hidden="1">
      <c r="A106" s="566" t="s">
        <v>1335</v>
      </c>
      <c r="B106" s="566" t="s">
        <v>466</v>
      </c>
      <c r="C106" s="566" t="s">
        <v>471</v>
      </c>
      <c r="D106" s="566" t="s">
        <v>472</v>
      </c>
      <c r="E106" s="566" t="s">
        <v>473</v>
      </c>
      <c r="F106" s="566" t="s">
        <v>474</v>
      </c>
      <c r="G106" s="567">
        <v>0</v>
      </c>
      <c r="H106" s="566" t="s">
        <v>595</v>
      </c>
      <c r="I106" s="568">
        <v>2</v>
      </c>
      <c r="J106" s="569">
        <v>50</v>
      </c>
      <c r="K106" s="569">
        <v>50</v>
      </c>
      <c r="L106" s="566"/>
      <c r="M106" s="566" t="s">
        <v>476</v>
      </c>
      <c r="N106" s="570">
        <v>935</v>
      </c>
      <c r="O106" s="566"/>
      <c r="P106" s="566" t="s">
        <v>477</v>
      </c>
      <c r="Q106" s="568">
        <v>909678</v>
      </c>
      <c r="R106" s="568">
        <v>23</v>
      </c>
      <c r="S106" s="566" t="s">
        <v>1362</v>
      </c>
      <c r="T106" s="582" t="s">
        <v>253</v>
      </c>
      <c r="U106" s="582" t="s">
        <v>550</v>
      </c>
      <c r="V106" s="582" t="s">
        <v>469</v>
      </c>
      <c r="W106" s="583" t="s">
        <v>512</v>
      </c>
      <c r="X106" s="582" t="s">
        <v>1337</v>
      </c>
      <c r="Y106" s="582" t="s">
        <v>1338</v>
      </c>
      <c r="Z106" s="584" t="s">
        <v>1457</v>
      </c>
      <c r="AA106" s="585">
        <v>935</v>
      </c>
      <c r="AB106" s="582"/>
    </row>
    <row r="107" spans="1:28" hidden="1">
      <c r="A107" s="566" t="s">
        <v>1335</v>
      </c>
      <c r="B107" s="566" t="s">
        <v>466</v>
      </c>
      <c r="C107" s="566" t="s">
        <v>471</v>
      </c>
      <c r="D107" s="566" t="s">
        <v>472</v>
      </c>
      <c r="E107" s="566" t="s">
        <v>473</v>
      </c>
      <c r="F107" s="566" t="s">
        <v>474</v>
      </c>
      <c r="G107" s="567">
        <v>0</v>
      </c>
      <c r="H107" s="566" t="s">
        <v>597</v>
      </c>
      <c r="I107" s="568">
        <v>2</v>
      </c>
      <c r="J107" s="569">
        <v>50</v>
      </c>
      <c r="K107" s="569">
        <v>50</v>
      </c>
      <c r="L107" s="566"/>
      <c r="M107" s="566" t="s">
        <v>476</v>
      </c>
      <c r="N107" s="570">
        <v>971</v>
      </c>
      <c r="O107" s="566"/>
      <c r="P107" s="566" t="s">
        <v>477</v>
      </c>
      <c r="Q107" s="568">
        <v>909678</v>
      </c>
      <c r="R107" s="568">
        <v>24</v>
      </c>
      <c r="S107" s="566" t="s">
        <v>1364</v>
      </c>
      <c r="T107" s="582" t="s">
        <v>253</v>
      </c>
      <c r="U107" s="582" t="s">
        <v>550</v>
      </c>
      <c r="V107" s="582" t="s">
        <v>469</v>
      </c>
      <c r="W107" s="583" t="s">
        <v>514</v>
      </c>
      <c r="X107" s="582" t="s">
        <v>1337</v>
      </c>
      <c r="Y107" s="582" t="s">
        <v>1338</v>
      </c>
      <c r="Z107" s="584" t="s">
        <v>1458</v>
      </c>
      <c r="AA107" s="585">
        <v>971</v>
      </c>
      <c r="AB107" s="582"/>
    </row>
    <row r="108" spans="1:28" hidden="1">
      <c r="A108" s="566" t="s">
        <v>1335</v>
      </c>
      <c r="B108" s="566" t="s">
        <v>466</v>
      </c>
      <c r="C108" s="566" t="s">
        <v>471</v>
      </c>
      <c r="D108" s="566" t="s">
        <v>472</v>
      </c>
      <c r="E108" s="566" t="s">
        <v>473</v>
      </c>
      <c r="F108" s="566" t="s">
        <v>474</v>
      </c>
      <c r="G108" s="567">
        <v>0</v>
      </c>
      <c r="H108" s="566" t="s">
        <v>561</v>
      </c>
      <c r="I108" s="568">
        <v>2</v>
      </c>
      <c r="J108" s="569">
        <v>74</v>
      </c>
      <c r="K108" s="569">
        <v>74</v>
      </c>
      <c r="L108" s="566"/>
      <c r="M108" s="566" t="s">
        <v>476</v>
      </c>
      <c r="N108" s="570">
        <v>1547</v>
      </c>
      <c r="O108" s="566"/>
      <c r="P108" s="566" t="s">
        <v>477</v>
      </c>
      <c r="Q108" s="568">
        <v>909678</v>
      </c>
      <c r="R108" s="568">
        <v>40</v>
      </c>
      <c r="S108" s="566" t="s">
        <v>1366</v>
      </c>
      <c r="T108" s="582" t="s">
        <v>253</v>
      </c>
      <c r="U108" s="582" t="s">
        <v>550</v>
      </c>
      <c r="V108" s="582" t="s">
        <v>469</v>
      </c>
      <c r="W108" s="583" t="s">
        <v>1274</v>
      </c>
      <c r="X108" s="582" t="s">
        <v>1337</v>
      </c>
      <c r="Y108" s="582" t="s">
        <v>1367</v>
      </c>
      <c r="Z108" s="584" t="s">
        <v>1459</v>
      </c>
      <c r="AA108" s="585">
        <v>1547</v>
      </c>
      <c r="AB108" s="582"/>
    </row>
    <row r="109" spans="1:28" hidden="1">
      <c r="A109" s="566" t="s">
        <v>1335</v>
      </c>
      <c r="B109" s="566" t="s">
        <v>466</v>
      </c>
      <c r="C109" s="566" t="s">
        <v>471</v>
      </c>
      <c r="D109" s="566" t="s">
        <v>472</v>
      </c>
      <c r="E109" s="566" t="s">
        <v>473</v>
      </c>
      <c r="F109" s="566" t="s">
        <v>474</v>
      </c>
      <c r="G109" s="567">
        <v>0</v>
      </c>
      <c r="H109" s="566" t="s">
        <v>564</v>
      </c>
      <c r="I109" s="568">
        <v>2</v>
      </c>
      <c r="J109" s="569">
        <v>74</v>
      </c>
      <c r="K109" s="569">
        <v>74</v>
      </c>
      <c r="L109" s="566"/>
      <c r="M109" s="566" t="s">
        <v>476</v>
      </c>
      <c r="N109" s="570">
        <v>1583</v>
      </c>
      <c r="O109" s="566"/>
      <c r="P109" s="566" t="s">
        <v>477</v>
      </c>
      <c r="Q109" s="568">
        <v>909678</v>
      </c>
      <c r="R109" s="568">
        <v>41</v>
      </c>
      <c r="S109" s="566" t="s">
        <v>1369</v>
      </c>
      <c r="T109" s="582" t="s">
        <v>253</v>
      </c>
      <c r="U109" s="582" t="s">
        <v>550</v>
      </c>
      <c r="V109" s="582" t="s">
        <v>469</v>
      </c>
      <c r="W109" s="583" t="s">
        <v>1275</v>
      </c>
      <c r="X109" s="582" t="s">
        <v>1337</v>
      </c>
      <c r="Y109" s="582" t="s">
        <v>1367</v>
      </c>
      <c r="Z109" s="584" t="s">
        <v>1460</v>
      </c>
      <c r="AA109" s="585">
        <v>1583</v>
      </c>
      <c r="AB109" s="582"/>
    </row>
    <row r="110" spans="1:28" hidden="1">
      <c r="A110" s="566" t="s">
        <v>1335</v>
      </c>
      <c r="B110" s="566" t="s">
        <v>466</v>
      </c>
      <c r="C110" s="566" t="s">
        <v>487</v>
      </c>
      <c r="D110" s="566" t="s">
        <v>472</v>
      </c>
      <c r="E110" s="566" t="s">
        <v>473</v>
      </c>
      <c r="F110" s="566" t="s">
        <v>489</v>
      </c>
      <c r="G110" s="567">
        <v>50</v>
      </c>
      <c r="H110" s="566" t="s">
        <v>573</v>
      </c>
      <c r="I110" s="568">
        <v>2</v>
      </c>
      <c r="J110" s="569">
        <v>74</v>
      </c>
      <c r="K110" s="569">
        <v>74</v>
      </c>
      <c r="L110" s="566"/>
      <c r="M110" s="566" t="s">
        <v>476</v>
      </c>
      <c r="N110" s="570">
        <v>1619</v>
      </c>
      <c r="O110" s="566"/>
      <c r="P110" s="566" t="s">
        <v>477</v>
      </c>
      <c r="Q110" s="568">
        <v>909678</v>
      </c>
      <c r="R110" s="568">
        <v>43</v>
      </c>
      <c r="S110" s="566" t="s">
        <v>1371</v>
      </c>
      <c r="T110" s="582" t="s">
        <v>253</v>
      </c>
      <c r="U110" s="582" t="s">
        <v>550</v>
      </c>
      <c r="V110" s="582" t="s">
        <v>469</v>
      </c>
      <c r="W110" s="583" t="s">
        <v>1276</v>
      </c>
      <c r="X110" s="582" t="s">
        <v>1337</v>
      </c>
      <c r="Y110" s="582" t="s">
        <v>1367</v>
      </c>
      <c r="Z110" s="584" t="s">
        <v>1461</v>
      </c>
      <c r="AA110" s="585">
        <v>1619</v>
      </c>
      <c r="AB110" s="582"/>
    </row>
    <row r="111" spans="1:28" hidden="1">
      <c r="A111" s="566" t="s">
        <v>1335</v>
      </c>
      <c r="B111" s="566" t="s">
        <v>466</v>
      </c>
      <c r="C111" s="566" t="s">
        <v>487</v>
      </c>
      <c r="D111" s="566" t="s">
        <v>472</v>
      </c>
      <c r="E111" s="566" t="s">
        <v>473</v>
      </c>
      <c r="F111" s="566" t="s">
        <v>489</v>
      </c>
      <c r="G111" s="567">
        <v>50</v>
      </c>
      <c r="H111" s="566" t="s">
        <v>576</v>
      </c>
      <c r="I111" s="568">
        <v>2</v>
      </c>
      <c r="J111" s="569">
        <v>74</v>
      </c>
      <c r="K111" s="569">
        <v>74</v>
      </c>
      <c r="L111" s="566"/>
      <c r="M111" s="566" t="s">
        <v>476</v>
      </c>
      <c r="N111" s="570">
        <v>1655</v>
      </c>
      <c r="O111" s="566"/>
      <c r="P111" s="566" t="s">
        <v>477</v>
      </c>
      <c r="Q111" s="568">
        <v>909678</v>
      </c>
      <c r="R111" s="568">
        <v>44</v>
      </c>
      <c r="S111" s="566" t="s">
        <v>1373</v>
      </c>
      <c r="T111" s="582" t="s">
        <v>253</v>
      </c>
      <c r="U111" s="582" t="s">
        <v>550</v>
      </c>
      <c r="V111" s="582" t="s">
        <v>469</v>
      </c>
      <c r="W111" s="583" t="s">
        <v>1277</v>
      </c>
      <c r="X111" s="582" t="s">
        <v>1337</v>
      </c>
      <c r="Y111" s="582" t="s">
        <v>1367</v>
      </c>
      <c r="Z111" s="584" t="s">
        <v>1462</v>
      </c>
      <c r="AA111" s="585">
        <v>1655</v>
      </c>
      <c r="AB111" s="582"/>
    </row>
    <row r="112" spans="1:28" hidden="1">
      <c r="A112" s="566" t="s">
        <v>1335</v>
      </c>
      <c r="B112" s="566" t="s">
        <v>466</v>
      </c>
      <c r="C112" s="566" t="s">
        <v>471</v>
      </c>
      <c r="D112" s="566" t="s">
        <v>472</v>
      </c>
      <c r="E112" s="566" t="s">
        <v>473</v>
      </c>
      <c r="F112" s="566" t="s">
        <v>474</v>
      </c>
      <c r="G112" s="567">
        <v>0</v>
      </c>
      <c r="H112" s="566" t="s">
        <v>1352</v>
      </c>
      <c r="I112" s="568">
        <v>2</v>
      </c>
      <c r="J112" s="569">
        <v>74</v>
      </c>
      <c r="K112" s="569">
        <v>74</v>
      </c>
      <c r="L112" s="566"/>
      <c r="M112" s="566" t="s">
        <v>476</v>
      </c>
      <c r="N112" s="570">
        <v>1691</v>
      </c>
      <c r="O112" s="566"/>
      <c r="P112" s="566" t="s">
        <v>477</v>
      </c>
      <c r="Q112" s="568">
        <v>909678</v>
      </c>
      <c r="R112" s="568">
        <v>42</v>
      </c>
      <c r="S112" s="566" t="s">
        <v>1375</v>
      </c>
      <c r="T112" s="582" t="s">
        <v>253</v>
      </c>
      <c r="U112" s="582" t="s">
        <v>550</v>
      </c>
      <c r="V112" s="582" t="s">
        <v>469</v>
      </c>
      <c r="W112" s="583" t="s">
        <v>1354</v>
      </c>
      <c r="X112" s="582" t="s">
        <v>1337</v>
      </c>
      <c r="Y112" s="582" t="s">
        <v>1367</v>
      </c>
      <c r="Z112" s="584" t="s">
        <v>1463</v>
      </c>
      <c r="AA112" s="585">
        <v>1691</v>
      </c>
      <c r="AB112" s="582"/>
    </row>
    <row r="113" spans="1:28" hidden="1">
      <c r="A113" s="566" t="s">
        <v>1335</v>
      </c>
      <c r="B113" s="566" t="s">
        <v>466</v>
      </c>
      <c r="C113" s="566" t="s">
        <v>487</v>
      </c>
      <c r="D113" s="566" t="s">
        <v>472</v>
      </c>
      <c r="E113" s="566" t="s">
        <v>473</v>
      </c>
      <c r="F113" s="566" t="s">
        <v>489</v>
      </c>
      <c r="G113" s="567">
        <v>50</v>
      </c>
      <c r="H113" s="566" t="s">
        <v>1356</v>
      </c>
      <c r="I113" s="568">
        <v>2</v>
      </c>
      <c r="J113" s="569">
        <v>74</v>
      </c>
      <c r="K113" s="569">
        <v>74</v>
      </c>
      <c r="L113" s="566"/>
      <c r="M113" s="566" t="s">
        <v>476</v>
      </c>
      <c r="N113" s="570">
        <v>1727</v>
      </c>
      <c r="O113" s="566"/>
      <c r="P113" s="566" t="s">
        <v>477</v>
      </c>
      <c r="Q113" s="568">
        <v>909678</v>
      </c>
      <c r="R113" s="568">
        <v>45</v>
      </c>
      <c r="S113" s="566" t="s">
        <v>1377</v>
      </c>
      <c r="T113" s="582" t="s">
        <v>253</v>
      </c>
      <c r="U113" s="582" t="s">
        <v>550</v>
      </c>
      <c r="V113" s="582" t="s">
        <v>469</v>
      </c>
      <c r="W113" s="583" t="s">
        <v>1358</v>
      </c>
      <c r="X113" s="582" t="s">
        <v>1337</v>
      </c>
      <c r="Y113" s="582" t="s">
        <v>1367</v>
      </c>
      <c r="Z113" s="584" t="s">
        <v>1464</v>
      </c>
      <c r="AA113" s="585">
        <v>1727</v>
      </c>
      <c r="AB113" s="582"/>
    </row>
    <row r="114" spans="1:28" hidden="1">
      <c r="A114" s="566" t="s">
        <v>1335</v>
      </c>
      <c r="B114" s="566" t="s">
        <v>466</v>
      </c>
      <c r="C114" s="566" t="s">
        <v>553</v>
      </c>
      <c r="D114" s="566" t="s">
        <v>472</v>
      </c>
      <c r="E114" s="566" t="s">
        <v>473</v>
      </c>
      <c r="F114" s="566" t="s">
        <v>554</v>
      </c>
      <c r="G114" s="567">
        <v>13</v>
      </c>
      <c r="H114" s="566" t="s">
        <v>1052</v>
      </c>
      <c r="I114" s="568">
        <v>2</v>
      </c>
      <c r="J114" s="569">
        <v>22</v>
      </c>
      <c r="K114" s="569">
        <v>22</v>
      </c>
      <c r="L114" s="569">
        <v>17</v>
      </c>
      <c r="M114" s="566" t="s">
        <v>476</v>
      </c>
      <c r="N114" s="570">
        <v>125</v>
      </c>
      <c r="O114" s="566"/>
      <c r="P114" s="566" t="s">
        <v>477</v>
      </c>
      <c r="Q114" s="568">
        <v>909678</v>
      </c>
      <c r="R114" s="568">
        <v>9</v>
      </c>
      <c r="S114" s="566" t="s">
        <v>1379</v>
      </c>
      <c r="T114" s="582" t="s">
        <v>257</v>
      </c>
      <c r="U114" s="582" t="s">
        <v>550</v>
      </c>
      <c r="V114" s="582" t="s">
        <v>469</v>
      </c>
      <c r="W114" s="583" t="s">
        <v>551</v>
      </c>
      <c r="X114" s="582" t="s">
        <v>1380</v>
      </c>
      <c r="Y114" s="582" t="s">
        <v>1338</v>
      </c>
      <c r="Z114" s="584" t="s">
        <v>1051</v>
      </c>
      <c r="AA114" s="585">
        <v>125</v>
      </c>
      <c r="AB114" s="582">
        <v>260051</v>
      </c>
    </row>
    <row r="115" spans="1:28" hidden="1">
      <c r="A115" s="566" t="s">
        <v>1335</v>
      </c>
      <c r="B115" s="566" t="s">
        <v>466</v>
      </c>
      <c r="C115" s="566" t="s">
        <v>553</v>
      </c>
      <c r="D115" s="566" t="s">
        <v>472</v>
      </c>
      <c r="E115" s="566" t="s">
        <v>473</v>
      </c>
      <c r="F115" s="566" t="s">
        <v>554</v>
      </c>
      <c r="G115" s="567">
        <v>16</v>
      </c>
      <c r="H115" s="566" t="s">
        <v>1054</v>
      </c>
      <c r="I115" s="568">
        <v>2</v>
      </c>
      <c r="J115" s="569">
        <v>22</v>
      </c>
      <c r="K115" s="569">
        <v>22</v>
      </c>
      <c r="L115" s="569">
        <v>17</v>
      </c>
      <c r="M115" s="566" t="s">
        <v>476</v>
      </c>
      <c r="N115" s="570">
        <v>296</v>
      </c>
      <c r="O115" s="566"/>
      <c r="P115" s="566" t="s">
        <v>477</v>
      </c>
      <c r="Q115" s="568">
        <v>909678</v>
      </c>
      <c r="R115" s="568">
        <v>4</v>
      </c>
      <c r="S115" s="566" t="s">
        <v>1381</v>
      </c>
      <c r="T115" s="582" t="s">
        <v>257</v>
      </c>
      <c r="U115" s="582" t="s">
        <v>550</v>
      </c>
      <c r="V115" s="582" t="s">
        <v>469</v>
      </c>
      <c r="W115" s="583" t="s">
        <v>556</v>
      </c>
      <c r="X115" s="582" t="s">
        <v>1380</v>
      </c>
      <c r="Y115" s="582" t="s">
        <v>1338</v>
      </c>
      <c r="Z115" s="584" t="s">
        <v>1053</v>
      </c>
      <c r="AA115" s="585">
        <v>296</v>
      </c>
      <c r="AB115" s="582">
        <v>260195</v>
      </c>
    </row>
    <row r="116" spans="1:28" hidden="1">
      <c r="A116" s="566" t="s">
        <v>1335</v>
      </c>
      <c r="B116" s="566" t="s">
        <v>466</v>
      </c>
      <c r="C116" s="566" t="s">
        <v>471</v>
      </c>
      <c r="D116" s="566" t="s">
        <v>472</v>
      </c>
      <c r="E116" s="566" t="s">
        <v>473</v>
      </c>
      <c r="F116" s="566" t="s">
        <v>474</v>
      </c>
      <c r="G116" s="567">
        <v>0</v>
      </c>
      <c r="H116" s="566" t="s">
        <v>561</v>
      </c>
      <c r="I116" s="568">
        <v>2</v>
      </c>
      <c r="J116" s="569">
        <v>2</v>
      </c>
      <c r="K116" s="569">
        <v>2</v>
      </c>
      <c r="L116" s="566"/>
      <c r="M116" s="566" t="s">
        <v>476</v>
      </c>
      <c r="N116" s="570">
        <v>467</v>
      </c>
      <c r="O116" s="566"/>
      <c r="P116" s="566" t="s">
        <v>477</v>
      </c>
      <c r="Q116" s="568">
        <v>909678</v>
      </c>
      <c r="R116" s="568">
        <v>10</v>
      </c>
      <c r="S116" s="566" t="s">
        <v>1382</v>
      </c>
      <c r="T116" s="582" t="s">
        <v>253</v>
      </c>
      <c r="U116" s="582" t="s">
        <v>550</v>
      </c>
      <c r="V116" s="582" t="s">
        <v>469</v>
      </c>
      <c r="W116" s="583" t="s">
        <v>1274</v>
      </c>
      <c r="X116" s="582" t="s">
        <v>1380</v>
      </c>
      <c r="Y116" s="582" t="s">
        <v>1338</v>
      </c>
      <c r="Z116" s="584" t="s">
        <v>1055</v>
      </c>
      <c r="AA116" s="585">
        <v>467</v>
      </c>
      <c r="AB116" s="582"/>
    </row>
    <row r="117" spans="1:28" hidden="1">
      <c r="A117" s="566" t="s">
        <v>1335</v>
      </c>
      <c r="B117" s="566" t="s">
        <v>466</v>
      </c>
      <c r="C117" s="566" t="s">
        <v>471</v>
      </c>
      <c r="D117" s="566" t="s">
        <v>472</v>
      </c>
      <c r="E117" s="566" t="s">
        <v>473</v>
      </c>
      <c r="F117" s="566" t="s">
        <v>474</v>
      </c>
      <c r="G117" s="567">
        <v>0</v>
      </c>
      <c r="H117" s="566" t="s">
        <v>564</v>
      </c>
      <c r="I117" s="568">
        <v>2</v>
      </c>
      <c r="J117" s="569">
        <v>2</v>
      </c>
      <c r="K117" s="569">
        <v>2</v>
      </c>
      <c r="L117" s="566"/>
      <c r="M117" s="566" t="s">
        <v>476</v>
      </c>
      <c r="N117" s="570">
        <v>539</v>
      </c>
      <c r="O117" s="566"/>
      <c r="P117" s="566" t="s">
        <v>477</v>
      </c>
      <c r="Q117" s="568">
        <v>909678</v>
      </c>
      <c r="R117" s="568">
        <v>15</v>
      </c>
      <c r="S117" s="566" t="s">
        <v>483</v>
      </c>
      <c r="T117" s="582" t="s">
        <v>253</v>
      </c>
      <c r="U117" s="582" t="s">
        <v>550</v>
      </c>
      <c r="V117" s="582" t="s">
        <v>469</v>
      </c>
      <c r="W117" s="583" t="s">
        <v>1275</v>
      </c>
      <c r="X117" s="582" t="s">
        <v>1380</v>
      </c>
      <c r="Y117" s="582" t="s">
        <v>1338</v>
      </c>
      <c r="Z117" s="584" t="s">
        <v>1056</v>
      </c>
      <c r="AA117" s="585">
        <v>539</v>
      </c>
      <c r="AB117" s="582"/>
    </row>
    <row r="118" spans="1:28" hidden="1">
      <c r="A118" s="566" t="s">
        <v>1335</v>
      </c>
      <c r="B118" s="566" t="s">
        <v>466</v>
      </c>
      <c r="C118" s="566" t="s">
        <v>487</v>
      </c>
      <c r="D118" s="566" t="s">
        <v>472</v>
      </c>
      <c r="E118" s="566" t="s">
        <v>473</v>
      </c>
      <c r="F118" s="566" t="s">
        <v>489</v>
      </c>
      <c r="G118" s="567">
        <v>50</v>
      </c>
      <c r="H118" s="566" t="s">
        <v>566</v>
      </c>
      <c r="I118" s="568">
        <v>2</v>
      </c>
      <c r="J118" s="569">
        <v>2</v>
      </c>
      <c r="K118" s="569">
        <v>2</v>
      </c>
      <c r="L118" s="566"/>
      <c r="M118" s="566" t="s">
        <v>476</v>
      </c>
      <c r="N118" s="570">
        <v>575</v>
      </c>
      <c r="O118" s="566"/>
      <c r="P118" s="566" t="s">
        <v>477</v>
      </c>
      <c r="Q118" s="568">
        <v>909678</v>
      </c>
      <c r="R118" s="568">
        <v>16</v>
      </c>
      <c r="S118" s="566" t="s">
        <v>488</v>
      </c>
      <c r="T118" s="582" t="s">
        <v>253</v>
      </c>
      <c r="U118" s="582" t="s">
        <v>550</v>
      </c>
      <c r="V118" s="582" t="s">
        <v>469</v>
      </c>
      <c r="W118" s="583" t="s">
        <v>485</v>
      </c>
      <c r="X118" s="582" t="s">
        <v>1380</v>
      </c>
      <c r="Y118" s="582" t="s">
        <v>1338</v>
      </c>
      <c r="Z118" s="584" t="s">
        <v>1057</v>
      </c>
      <c r="AA118" s="585">
        <v>575</v>
      </c>
      <c r="AB118" s="582"/>
    </row>
    <row r="119" spans="1:28" hidden="1">
      <c r="A119" s="566" t="s">
        <v>1335</v>
      </c>
      <c r="B119" s="566" t="s">
        <v>466</v>
      </c>
      <c r="C119" s="566" t="s">
        <v>487</v>
      </c>
      <c r="D119" s="566" t="s">
        <v>472</v>
      </c>
      <c r="E119" s="566" t="s">
        <v>473</v>
      </c>
      <c r="F119" s="566" t="s">
        <v>489</v>
      </c>
      <c r="G119" s="567">
        <v>50</v>
      </c>
      <c r="H119" s="566" t="s">
        <v>568</v>
      </c>
      <c r="I119" s="568">
        <v>2</v>
      </c>
      <c r="J119" s="569">
        <v>2</v>
      </c>
      <c r="K119" s="569">
        <v>2</v>
      </c>
      <c r="L119" s="566"/>
      <c r="M119" s="566" t="s">
        <v>476</v>
      </c>
      <c r="N119" s="570">
        <v>611</v>
      </c>
      <c r="O119" s="566"/>
      <c r="P119" s="566" t="s">
        <v>477</v>
      </c>
      <c r="Q119" s="568">
        <v>909678</v>
      </c>
      <c r="R119" s="568">
        <v>17</v>
      </c>
      <c r="S119" s="566" t="s">
        <v>493</v>
      </c>
      <c r="T119" s="582" t="s">
        <v>253</v>
      </c>
      <c r="U119" s="582" t="s">
        <v>550</v>
      </c>
      <c r="V119" s="582" t="s">
        <v>469</v>
      </c>
      <c r="W119" s="583" t="s">
        <v>491</v>
      </c>
      <c r="X119" s="582" t="s">
        <v>1380</v>
      </c>
      <c r="Y119" s="582" t="s">
        <v>1338</v>
      </c>
      <c r="Z119" s="584" t="s">
        <v>1058</v>
      </c>
      <c r="AA119" s="585">
        <v>611</v>
      </c>
      <c r="AB119" s="582"/>
    </row>
    <row r="120" spans="1:28" hidden="1">
      <c r="A120" s="566" t="s">
        <v>1335</v>
      </c>
      <c r="B120" s="566" t="s">
        <v>466</v>
      </c>
      <c r="C120" s="566" t="s">
        <v>487</v>
      </c>
      <c r="D120" s="566" t="s">
        <v>472</v>
      </c>
      <c r="E120" s="566" t="s">
        <v>473</v>
      </c>
      <c r="F120" s="566" t="s">
        <v>489</v>
      </c>
      <c r="G120" s="567">
        <v>50</v>
      </c>
      <c r="H120" s="566" t="s">
        <v>570</v>
      </c>
      <c r="I120" s="568">
        <v>2</v>
      </c>
      <c r="J120" s="569">
        <v>2</v>
      </c>
      <c r="K120" s="569">
        <v>2</v>
      </c>
      <c r="L120" s="566"/>
      <c r="M120" s="566" t="s">
        <v>476</v>
      </c>
      <c r="N120" s="570">
        <v>647</v>
      </c>
      <c r="O120" s="566"/>
      <c r="P120" s="566" t="s">
        <v>477</v>
      </c>
      <c r="Q120" s="568">
        <v>909678</v>
      </c>
      <c r="R120" s="568">
        <v>18</v>
      </c>
      <c r="S120" s="566" t="s">
        <v>497</v>
      </c>
      <c r="T120" s="582" t="s">
        <v>253</v>
      </c>
      <c r="U120" s="582" t="s">
        <v>550</v>
      </c>
      <c r="V120" s="582" t="s">
        <v>469</v>
      </c>
      <c r="W120" s="583" t="s">
        <v>495</v>
      </c>
      <c r="X120" s="582" t="s">
        <v>1380</v>
      </c>
      <c r="Y120" s="582" t="s">
        <v>1338</v>
      </c>
      <c r="Z120" s="584" t="s">
        <v>1059</v>
      </c>
      <c r="AA120" s="585">
        <v>647</v>
      </c>
      <c r="AB120" s="582"/>
    </row>
    <row r="121" spans="1:28" hidden="1">
      <c r="A121" s="566" t="s">
        <v>1335</v>
      </c>
      <c r="B121" s="566" t="s">
        <v>466</v>
      </c>
      <c r="C121" s="566" t="s">
        <v>487</v>
      </c>
      <c r="D121" s="566" t="s">
        <v>472</v>
      </c>
      <c r="E121" s="566" t="s">
        <v>473</v>
      </c>
      <c r="F121" s="566" t="s">
        <v>489</v>
      </c>
      <c r="G121" s="567">
        <v>50</v>
      </c>
      <c r="H121" s="566" t="s">
        <v>573</v>
      </c>
      <c r="I121" s="568">
        <v>2</v>
      </c>
      <c r="J121" s="569">
        <v>2</v>
      </c>
      <c r="K121" s="569">
        <v>2</v>
      </c>
      <c r="L121" s="566"/>
      <c r="M121" s="566" t="s">
        <v>476</v>
      </c>
      <c r="N121" s="570">
        <v>719</v>
      </c>
      <c r="O121" s="566"/>
      <c r="P121" s="566" t="s">
        <v>477</v>
      </c>
      <c r="Q121" s="568">
        <v>909678</v>
      </c>
      <c r="R121" s="568">
        <v>19</v>
      </c>
      <c r="S121" s="566" t="s">
        <v>502</v>
      </c>
      <c r="T121" s="582" t="s">
        <v>253</v>
      </c>
      <c r="U121" s="582" t="s">
        <v>550</v>
      </c>
      <c r="V121" s="582" t="s">
        <v>469</v>
      </c>
      <c r="W121" s="583" t="s">
        <v>1276</v>
      </c>
      <c r="X121" s="582" t="s">
        <v>1380</v>
      </c>
      <c r="Y121" s="582" t="s">
        <v>1338</v>
      </c>
      <c r="Z121" s="584" t="s">
        <v>1060</v>
      </c>
      <c r="AA121" s="585">
        <v>719</v>
      </c>
      <c r="AB121" s="582"/>
    </row>
    <row r="122" spans="1:28" hidden="1">
      <c r="A122" s="566" t="s">
        <v>1335</v>
      </c>
      <c r="B122" s="566" t="s">
        <v>466</v>
      </c>
      <c r="C122" s="566" t="s">
        <v>487</v>
      </c>
      <c r="D122" s="566" t="s">
        <v>472</v>
      </c>
      <c r="E122" s="566" t="s">
        <v>473</v>
      </c>
      <c r="F122" s="566" t="s">
        <v>489</v>
      </c>
      <c r="G122" s="567">
        <v>50</v>
      </c>
      <c r="H122" s="566" t="s">
        <v>576</v>
      </c>
      <c r="I122" s="568">
        <v>2</v>
      </c>
      <c r="J122" s="569">
        <v>2</v>
      </c>
      <c r="K122" s="569">
        <v>2</v>
      </c>
      <c r="L122" s="566"/>
      <c r="M122" s="566" t="s">
        <v>476</v>
      </c>
      <c r="N122" s="570">
        <v>791</v>
      </c>
      <c r="O122" s="566"/>
      <c r="P122" s="566" t="s">
        <v>477</v>
      </c>
      <c r="Q122" s="568">
        <v>909678</v>
      </c>
      <c r="R122" s="568">
        <v>21</v>
      </c>
      <c r="S122" s="566" t="s">
        <v>507</v>
      </c>
      <c r="T122" s="582" t="s">
        <v>253</v>
      </c>
      <c r="U122" s="582" t="s">
        <v>550</v>
      </c>
      <c r="V122" s="582" t="s">
        <v>469</v>
      </c>
      <c r="W122" s="583" t="s">
        <v>1277</v>
      </c>
      <c r="X122" s="582" t="s">
        <v>1380</v>
      </c>
      <c r="Y122" s="582" t="s">
        <v>1338</v>
      </c>
      <c r="Z122" s="584" t="s">
        <v>1061</v>
      </c>
      <c r="AA122" s="585">
        <v>791</v>
      </c>
      <c r="AB122" s="582"/>
    </row>
    <row r="123" spans="1:28" hidden="1">
      <c r="A123" s="566" t="s">
        <v>1335</v>
      </c>
      <c r="B123" s="566" t="s">
        <v>466</v>
      </c>
      <c r="C123" s="566" t="s">
        <v>471</v>
      </c>
      <c r="D123" s="566" t="s">
        <v>472</v>
      </c>
      <c r="E123" s="566" t="s">
        <v>473</v>
      </c>
      <c r="F123" s="566" t="s">
        <v>474</v>
      </c>
      <c r="G123" s="567">
        <v>0</v>
      </c>
      <c r="H123" s="566" t="s">
        <v>1352</v>
      </c>
      <c r="I123" s="568">
        <v>2</v>
      </c>
      <c r="J123" s="569">
        <v>2</v>
      </c>
      <c r="K123" s="569">
        <v>2</v>
      </c>
      <c r="L123" s="566"/>
      <c r="M123" s="566" t="s">
        <v>476</v>
      </c>
      <c r="N123" s="570">
        <v>827</v>
      </c>
      <c r="O123" s="566"/>
      <c r="P123" s="566" t="s">
        <v>477</v>
      </c>
      <c r="Q123" s="568">
        <v>909678</v>
      </c>
      <c r="R123" s="568">
        <v>46</v>
      </c>
      <c r="S123" s="566" t="s">
        <v>1383</v>
      </c>
      <c r="T123" s="582" t="s">
        <v>253</v>
      </c>
      <c r="U123" s="582" t="s">
        <v>550</v>
      </c>
      <c r="V123" s="582" t="s">
        <v>469</v>
      </c>
      <c r="W123" s="583" t="s">
        <v>1354</v>
      </c>
      <c r="X123" s="582" t="s">
        <v>1380</v>
      </c>
      <c r="Y123" s="582" t="s">
        <v>1338</v>
      </c>
      <c r="Z123" s="584" t="s">
        <v>1465</v>
      </c>
      <c r="AA123" s="585">
        <v>827</v>
      </c>
      <c r="AB123" s="582"/>
    </row>
    <row r="124" spans="1:28" hidden="1">
      <c r="A124" s="566" t="s">
        <v>1335</v>
      </c>
      <c r="B124" s="566" t="s">
        <v>466</v>
      </c>
      <c r="C124" s="566" t="s">
        <v>487</v>
      </c>
      <c r="D124" s="566" t="s">
        <v>472</v>
      </c>
      <c r="E124" s="566" t="s">
        <v>473</v>
      </c>
      <c r="F124" s="566" t="s">
        <v>489</v>
      </c>
      <c r="G124" s="567">
        <v>50</v>
      </c>
      <c r="H124" s="566" t="s">
        <v>1356</v>
      </c>
      <c r="I124" s="568">
        <v>2</v>
      </c>
      <c r="J124" s="569">
        <v>2</v>
      </c>
      <c r="K124" s="569">
        <v>2</v>
      </c>
      <c r="L124" s="566"/>
      <c r="M124" s="566" t="s">
        <v>476</v>
      </c>
      <c r="N124" s="570">
        <v>863</v>
      </c>
      <c r="O124" s="566"/>
      <c r="P124" s="566" t="s">
        <v>477</v>
      </c>
      <c r="Q124" s="568">
        <v>909678</v>
      </c>
      <c r="R124" s="568">
        <v>47</v>
      </c>
      <c r="S124" s="566" t="s">
        <v>1385</v>
      </c>
      <c r="T124" s="582" t="s">
        <v>253</v>
      </c>
      <c r="U124" s="582" t="s">
        <v>550</v>
      </c>
      <c r="V124" s="582" t="s">
        <v>469</v>
      </c>
      <c r="W124" s="583" t="s">
        <v>1358</v>
      </c>
      <c r="X124" s="582" t="s">
        <v>1380</v>
      </c>
      <c r="Y124" s="582" t="s">
        <v>1338</v>
      </c>
      <c r="Z124" s="584" t="s">
        <v>1466</v>
      </c>
      <c r="AA124" s="585">
        <v>863</v>
      </c>
      <c r="AB124" s="582"/>
    </row>
    <row r="125" spans="1:28" hidden="1">
      <c r="A125" s="566" t="s">
        <v>1335</v>
      </c>
      <c r="B125" s="566" t="s">
        <v>466</v>
      </c>
      <c r="C125" s="566" t="s">
        <v>553</v>
      </c>
      <c r="D125" s="566" t="s">
        <v>472</v>
      </c>
      <c r="E125" s="566" t="s">
        <v>473</v>
      </c>
      <c r="F125" s="566" t="s">
        <v>554</v>
      </c>
      <c r="G125" s="567">
        <v>13</v>
      </c>
      <c r="H125" s="566" t="s">
        <v>1063</v>
      </c>
      <c r="I125" s="568">
        <v>2</v>
      </c>
      <c r="J125" s="569">
        <v>22</v>
      </c>
      <c r="K125" s="569">
        <v>22</v>
      </c>
      <c r="L125" s="569">
        <v>17</v>
      </c>
      <c r="M125" s="566" t="s">
        <v>476</v>
      </c>
      <c r="N125" s="570">
        <v>176</v>
      </c>
      <c r="O125" s="566"/>
      <c r="P125" s="566" t="s">
        <v>477</v>
      </c>
      <c r="Q125" s="568">
        <v>909678</v>
      </c>
      <c r="R125" s="568">
        <v>1</v>
      </c>
      <c r="S125" s="566" t="s">
        <v>1387</v>
      </c>
      <c r="T125" s="582" t="s">
        <v>257</v>
      </c>
      <c r="U125" s="582" t="s">
        <v>550</v>
      </c>
      <c r="V125" s="582" t="s">
        <v>469</v>
      </c>
      <c r="W125" s="583" t="s">
        <v>577</v>
      </c>
      <c r="X125" s="582" t="s">
        <v>1380</v>
      </c>
      <c r="Y125" s="582" t="s">
        <v>1338</v>
      </c>
      <c r="Z125" s="584" t="s">
        <v>1062</v>
      </c>
      <c r="AA125" s="585">
        <v>176</v>
      </c>
      <c r="AB125" s="582">
        <v>260075</v>
      </c>
    </row>
    <row r="126" spans="1:28" hidden="1">
      <c r="A126" s="566" t="s">
        <v>1335</v>
      </c>
      <c r="B126" s="566" t="s">
        <v>466</v>
      </c>
      <c r="C126" s="566" t="s">
        <v>553</v>
      </c>
      <c r="D126" s="566" t="s">
        <v>472</v>
      </c>
      <c r="E126" s="566" t="s">
        <v>473</v>
      </c>
      <c r="F126" s="566" t="s">
        <v>554</v>
      </c>
      <c r="G126" s="567">
        <v>13</v>
      </c>
      <c r="H126" s="566" t="s">
        <v>1065</v>
      </c>
      <c r="I126" s="568">
        <v>2</v>
      </c>
      <c r="J126" s="569">
        <v>22</v>
      </c>
      <c r="K126" s="569">
        <v>22</v>
      </c>
      <c r="L126" s="569">
        <v>17</v>
      </c>
      <c r="M126" s="566" t="s">
        <v>476</v>
      </c>
      <c r="N126" s="570">
        <v>200</v>
      </c>
      <c r="O126" s="566"/>
      <c r="P126" s="566" t="s">
        <v>477</v>
      </c>
      <c r="Q126" s="568">
        <v>909678</v>
      </c>
      <c r="R126" s="568">
        <v>2</v>
      </c>
      <c r="S126" s="566" t="s">
        <v>1388</v>
      </c>
      <c r="T126" s="582" t="s">
        <v>257</v>
      </c>
      <c r="U126" s="582" t="s">
        <v>550</v>
      </c>
      <c r="V126" s="582" t="s">
        <v>469</v>
      </c>
      <c r="W126" s="583" t="s">
        <v>580</v>
      </c>
      <c r="X126" s="582" t="s">
        <v>1380</v>
      </c>
      <c r="Y126" s="582" t="s">
        <v>1338</v>
      </c>
      <c r="Z126" s="584" t="s">
        <v>1064</v>
      </c>
      <c r="AA126" s="585">
        <v>200</v>
      </c>
      <c r="AB126" s="582">
        <v>260099</v>
      </c>
    </row>
    <row r="127" spans="1:28" hidden="1">
      <c r="A127" s="566" t="s">
        <v>1335</v>
      </c>
      <c r="B127" s="566" t="s">
        <v>466</v>
      </c>
      <c r="C127" s="566" t="s">
        <v>553</v>
      </c>
      <c r="D127" s="566" t="s">
        <v>472</v>
      </c>
      <c r="E127" s="566" t="s">
        <v>473</v>
      </c>
      <c r="F127" s="566" t="s">
        <v>554</v>
      </c>
      <c r="G127" s="567">
        <v>16</v>
      </c>
      <c r="H127" s="566" t="s">
        <v>1067</v>
      </c>
      <c r="I127" s="568">
        <v>2</v>
      </c>
      <c r="J127" s="569">
        <v>22</v>
      </c>
      <c r="K127" s="569">
        <v>22</v>
      </c>
      <c r="L127" s="569">
        <v>17</v>
      </c>
      <c r="M127" s="566" t="s">
        <v>476</v>
      </c>
      <c r="N127" s="570">
        <v>224</v>
      </c>
      <c r="O127" s="566"/>
      <c r="P127" s="566" t="s">
        <v>477</v>
      </c>
      <c r="Q127" s="568">
        <v>909678</v>
      </c>
      <c r="R127" s="568">
        <v>12</v>
      </c>
      <c r="S127" s="566" t="s">
        <v>1389</v>
      </c>
      <c r="T127" s="582" t="s">
        <v>257</v>
      </c>
      <c r="U127" s="582" t="s">
        <v>550</v>
      </c>
      <c r="V127" s="582" t="s">
        <v>469</v>
      </c>
      <c r="W127" s="583" t="s">
        <v>583</v>
      </c>
      <c r="X127" s="582" t="s">
        <v>1380</v>
      </c>
      <c r="Y127" s="582" t="s">
        <v>1338</v>
      </c>
      <c r="Z127" s="584" t="s">
        <v>1066</v>
      </c>
      <c r="AA127" s="585">
        <v>224</v>
      </c>
      <c r="AB127" s="582">
        <v>260123</v>
      </c>
    </row>
    <row r="128" spans="1:28" hidden="1">
      <c r="A128" s="566" t="s">
        <v>1335</v>
      </c>
      <c r="B128" s="566" t="s">
        <v>466</v>
      </c>
      <c r="C128" s="566" t="s">
        <v>553</v>
      </c>
      <c r="D128" s="566" t="s">
        <v>472</v>
      </c>
      <c r="E128" s="566" t="s">
        <v>473</v>
      </c>
      <c r="F128" s="566" t="s">
        <v>554</v>
      </c>
      <c r="G128" s="567">
        <v>16</v>
      </c>
      <c r="H128" s="566" t="s">
        <v>1069</v>
      </c>
      <c r="I128" s="568">
        <v>2</v>
      </c>
      <c r="J128" s="569">
        <v>22</v>
      </c>
      <c r="K128" s="569">
        <v>22</v>
      </c>
      <c r="L128" s="569">
        <v>17</v>
      </c>
      <c r="M128" s="566" t="s">
        <v>476</v>
      </c>
      <c r="N128" s="570">
        <v>248</v>
      </c>
      <c r="O128" s="566"/>
      <c r="P128" s="566" t="s">
        <v>477</v>
      </c>
      <c r="Q128" s="568">
        <v>909678</v>
      </c>
      <c r="R128" s="568">
        <v>3</v>
      </c>
      <c r="S128" s="566" t="s">
        <v>1390</v>
      </c>
      <c r="T128" s="582" t="s">
        <v>257</v>
      </c>
      <c r="U128" s="582" t="s">
        <v>550</v>
      </c>
      <c r="V128" s="582" t="s">
        <v>469</v>
      </c>
      <c r="W128" s="583" t="s">
        <v>586</v>
      </c>
      <c r="X128" s="582" t="s">
        <v>1380</v>
      </c>
      <c r="Y128" s="582" t="s">
        <v>1338</v>
      </c>
      <c r="Z128" s="584" t="s">
        <v>1068</v>
      </c>
      <c r="AA128" s="585">
        <v>248</v>
      </c>
      <c r="AB128" s="582">
        <v>260147</v>
      </c>
    </row>
    <row r="129" spans="1:28" hidden="1">
      <c r="A129" s="566" t="s">
        <v>1335</v>
      </c>
      <c r="B129" s="566" t="s">
        <v>466</v>
      </c>
      <c r="C129" s="566" t="s">
        <v>553</v>
      </c>
      <c r="D129" s="566" t="s">
        <v>472</v>
      </c>
      <c r="E129" s="566" t="s">
        <v>473</v>
      </c>
      <c r="F129" s="566" t="s">
        <v>554</v>
      </c>
      <c r="G129" s="567">
        <v>16</v>
      </c>
      <c r="H129" s="566" t="s">
        <v>1071</v>
      </c>
      <c r="I129" s="568">
        <v>2</v>
      </c>
      <c r="J129" s="569">
        <v>22</v>
      </c>
      <c r="K129" s="569">
        <v>22</v>
      </c>
      <c r="L129" s="569">
        <v>17</v>
      </c>
      <c r="M129" s="566" t="s">
        <v>476</v>
      </c>
      <c r="N129" s="570">
        <v>272</v>
      </c>
      <c r="O129" s="566"/>
      <c r="P129" s="566" t="s">
        <v>477</v>
      </c>
      <c r="Q129" s="568">
        <v>909678</v>
      </c>
      <c r="R129" s="568">
        <v>13</v>
      </c>
      <c r="S129" s="566" t="s">
        <v>1391</v>
      </c>
      <c r="T129" s="582" t="s">
        <v>257</v>
      </c>
      <c r="U129" s="582" t="s">
        <v>550</v>
      </c>
      <c r="V129" s="582" t="s">
        <v>469</v>
      </c>
      <c r="W129" s="583" t="s">
        <v>589</v>
      </c>
      <c r="X129" s="582" t="s">
        <v>1380</v>
      </c>
      <c r="Y129" s="582" t="s">
        <v>1338</v>
      </c>
      <c r="Z129" s="584" t="s">
        <v>1070</v>
      </c>
      <c r="AA129" s="585">
        <v>272</v>
      </c>
      <c r="AB129" s="582">
        <v>260171</v>
      </c>
    </row>
    <row r="130" spans="1:28" hidden="1">
      <c r="A130" s="566" t="s">
        <v>1335</v>
      </c>
      <c r="B130" s="566" t="s">
        <v>466</v>
      </c>
      <c r="C130" s="566" t="s">
        <v>471</v>
      </c>
      <c r="D130" s="566" t="s">
        <v>472</v>
      </c>
      <c r="E130" s="566" t="s">
        <v>473</v>
      </c>
      <c r="F130" s="566" t="s">
        <v>474</v>
      </c>
      <c r="G130" s="567">
        <v>0</v>
      </c>
      <c r="H130" s="566" t="s">
        <v>593</v>
      </c>
      <c r="I130" s="568">
        <v>1</v>
      </c>
      <c r="J130" s="569">
        <v>2</v>
      </c>
      <c r="K130" s="569">
        <v>2</v>
      </c>
      <c r="L130" s="566"/>
      <c r="M130" s="566" t="s">
        <v>476</v>
      </c>
      <c r="N130" s="570">
        <v>323</v>
      </c>
      <c r="O130" s="566"/>
      <c r="P130" s="566" t="s">
        <v>477</v>
      </c>
      <c r="Q130" s="568">
        <v>909678</v>
      </c>
      <c r="R130" s="568">
        <v>5</v>
      </c>
      <c r="S130" s="566" t="s">
        <v>1392</v>
      </c>
      <c r="T130" s="582" t="s">
        <v>253</v>
      </c>
      <c r="U130" s="582" t="s">
        <v>550</v>
      </c>
      <c r="V130" s="582" t="s">
        <v>469</v>
      </c>
      <c r="W130" s="583" t="s">
        <v>509</v>
      </c>
      <c r="X130" s="582" t="s">
        <v>1380</v>
      </c>
      <c r="Y130" s="582" t="s">
        <v>1338</v>
      </c>
      <c r="Z130" s="584" t="s">
        <v>1072</v>
      </c>
      <c r="AA130" s="585">
        <v>323</v>
      </c>
      <c r="AB130" s="582"/>
    </row>
    <row r="131" spans="1:28" hidden="1">
      <c r="A131" s="566" t="s">
        <v>1335</v>
      </c>
      <c r="B131" s="566" t="s">
        <v>466</v>
      </c>
      <c r="C131" s="566" t="s">
        <v>471</v>
      </c>
      <c r="D131" s="566" t="s">
        <v>472</v>
      </c>
      <c r="E131" s="566" t="s">
        <v>473</v>
      </c>
      <c r="F131" s="566" t="s">
        <v>474</v>
      </c>
      <c r="G131" s="567">
        <v>0</v>
      </c>
      <c r="H131" s="566" t="s">
        <v>595</v>
      </c>
      <c r="I131" s="568">
        <v>2</v>
      </c>
      <c r="J131" s="569">
        <v>2</v>
      </c>
      <c r="K131" s="569">
        <v>2</v>
      </c>
      <c r="L131" s="566"/>
      <c r="M131" s="566" t="s">
        <v>476</v>
      </c>
      <c r="N131" s="570">
        <v>359</v>
      </c>
      <c r="O131" s="566"/>
      <c r="P131" s="566" t="s">
        <v>477</v>
      </c>
      <c r="Q131" s="568">
        <v>909678</v>
      </c>
      <c r="R131" s="568">
        <v>6</v>
      </c>
      <c r="S131" s="566" t="s">
        <v>1393</v>
      </c>
      <c r="T131" s="582" t="s">
        <v>253</v>
      </c>
      <c r="U131" s="582" t="s">
        <v>550</v>
      </c>
      <c r="V131" s="582" t="s">
        <v>469</v>
      </c>
      <c r="W131" s="583" t="s">
        <v>512</v>
      </c>
      <c r="X131" s="582" t="s">
        <v>1380</v>
      </c>
      <c r="Y131" s="582" t="s">
        <v>1338</v>
      </c>
      <c r="Z131" s="584" t="s">
        <v>1073</v>
      </c>
      <c r="AA131" s="585">
        <v>359</v>
      </c>
      <c r="AB131" s="582"/>
    </row>
    <row r="132" spans="1:28" hidden="1">
      <c r="A132" s="566" t="s">
        <v>1335</v>
      </c>
      <c r="B132" s="566" t="s">
        <v>466</v>
      </c>
      <c r="C132" s="566" t="s">
        <v>471</v>
      </c>
      <c r="D132" s="566" t="s">
        <v>472</v>
      </c>
      <c r="E132" s="566" t="s">
        <v>473</v>
      </c>
      <c r="F132" s="566" t="s">
        <v>474</v>
      </c>
      <c r="G132" s="567">
        <v>0</v>
      </c>
      <c r="H132" s="566" t="s">
        <v>597</v>
      </c>
      <c r="I132" s="568">
        <v>2</v>
      </c>
      <c r="J132" s="569">
        <v>2</v>
      </c>
      <c r="K132" s="569">
        <v>2</v>
      </c>
      <c r="L132" s="566"/>
      <c r="M132" s="566" t="s">
        <v>476</v>
      </c>
      <c r="N132" s="570">
        <v>395</v>
      </c>
      <c r="O132" s="566"/>
      <c r="P132" s="566" t="s">
        <v>477</v>
      </c>
      <c r="Q132" s="568">
        <v>909678</v>
      </c>
      <c r="R132" s="568">
        <v>14</v>
      </c>
      <c r="S132" s="566" t="s">
        <v>1394</v>
      </c>
      <c r="T132" s="582" t="s">
        <v>253</v>
      </c>
      <c r="U132" s="582" t="s">
        <v>550</v>
      </c>
      <c r="V132" s="582" t="s">
        <v>469</v>
      </c>
      <c r="W132" s="583" t="s">
        <v>514</v>
      </c>
      <c r="X132" s="582" t="s">
        <v>1380</v>
      </c>
      <c r="Y132" s="582" t="s">
        <v>1338</v>
      </c>
      <c r="Z132" s="584" t="s">
        <v>1074</v>
      </c>
      <c r="AA132" s="585">
        <v>395</v>
      </c>
      <c r="AB132" s="582"/>
    </row>
    <row r="133" spans="1:28" hidden="1">
      <c r="A133" s="566" t="s">
        <v>1335</v>
      </c>
      <c r="B133" s="566" t="s">
        <v>466</v>
      </c>
      <c r="C133" s="566" t="s">
        <v>471</v>
      </c>
      <c r="D133" s="566" t="s">
        <v>472</v>
      </c>
      <c r="E133" s="566" t="s">
        <v>473</v>
      </c>
      <c r="F133" s="566" t="s">
        <v>474</v>
      </c>
      <c r="G133" s="567">
        <v>0</v>
      </c>
      <c r="H133" s="566" t="s">
        <v>561</v>
      </c>
      <c r="I133" s="568">
        <v>2</v>
      </c>
      <c r="J133" s="569">
        <v>26</v>
      </c>
      <c r="K133" s="569">
        <v>26</v>
      </c>
      <c r="L133" s="566"/>
      <c r="M133" s="566" t="s">
        <v>476</v>
      </c>
      <c r="N133" s="570">
        <v>1331</v>
      </c>
      <c r="O133" s="566"/>
      <c r="P133" s="566" t="s">
        <v>477</v>
      </c>
      <c r="Q133" s="568">
        <v>909678</v>
      </c>
      <c r="R133" s="568">
        <v>34</v>
      </c>
      <c r="S133" s="566" t="s">
        <v>1395</v>
      </c>
      <c r="T133" s="582" t="s">
        <v>253</v>
      </c>
      <c r="U133" s="582" t="s">
        <v>550</v>
      </c>
      <c r="V133" s="582" t="s">
        <v>469</v>
      </c>
      <c r="W133" s="583" t="s">
        <v>1274</v>
      </c>
      <c r="X133" s="582" t="s">
        <v>1380</v>
      </c>
      <c r="Y133" s="582" t="s">
        <v>1367</v>
      </c>
      <c r="Z133" s="584" t="s">
        <v>1467</v>
      </c>
      <c r="AA133" s="585">
        <v>1331</v>
      </c>
      <c r="AB133" s="582"/>
    </row>
    <row r="134" spans="1:28" hidden="1">
      <c r="A134" s="566" t="s">
        <v>1335</v>
      </c>
      <c r="B134" s="566" t="s">
        <v>466</v>
      </c>
      <c r="C134" s="566" t="s">
        <v>471</v>
      </c>
      <c r="D134" s="566" t="s">
        <v>472</v>
      </c>
      <c r="E134" s="566" t="s">
        <v>473</v>
      </c>
      <c r="F134" s="566" t="s">
        <v>474</v>
      </c>
      <c r="G134" s="567">
        <v>0</v>
      </c>
      <c r="H134" s="566" t="s">
        <v>564</v>
      </c>
      <c r="I134" s="568">
        <v>2</v>
      </c>
      <c r="J134" s="569">
        <v>26</v>
      </c>
      <c r="K134" s="569">
        <v>26</v>
      </c>
      <c r="L134" s="566"/>
      <c r="M134" s="566" t="s">
        <v>476</v>
      </c>
      <c r="N134" s="570">
        <v>1367</v>
      </c>
      <c r="O134" s="566"/>
      <c r="P134" s="566" t="s">
        <v>477</v>
      </c>
      <c r="Q134" s="568">
        <v>909678</v>
      </c>
      <c r="R134" s="568">
        <v>35</v>
      </c>
      <c r="S134" s="566" t="s">
        <v>1397</v>
      </c>
      <c r="T134" s="582" t="s">
        <v>253</v>
      </c>
      <c r="U134" s="582" t="s">
        <v>550</v>
      </c>
      <c r="V134" s="582" t="s">
        <v>469</v>
      </c>
      <c r="W134" s="583" t="s">
        <v>1275</v>
      </c>
      <c r="X134" s="582" t="s">
        <v>1380</v>
      </c>
      <c r="Y134" s="582" t="s">
        <v>1367</v>
      </c>
      <c r="Z134" s="584" t="s">
        <v>1468</v>
      </c>
      <c r="AA134" s="585">
        <v>1367</v>
      </c>
      <c r="AB134" s="582"/>
    </row>
    <row r="135" spans="1:28" hidden="1">
      <c r="A135" s="566" t="s">
        <v>1335</v>
      </c>
      <c r="B135" s="566" t="s">
        <v>466</v>
      </c>
      <c r="C135" s="566" t="s">
        <v>487</v>
      </c>
      <c r="D135" s="566" t="s">
        <v>472</v>
      </c>
      <c r="E135" s="566" t="s">
        <v>473</v>
      </c>
      <c r="F135" s="566" t="s">
        <v>489</v>
      </c>
      <c r="G135" s="567">
        <v>50</v>
      </c>
      <c r="H135" s="566" t="s">
        <v>573</v>
      </c>
      <c r="I135" s="568">
        <v>2</v>
      </c>
      <c r="J135" s="569">
        <v>26</v>
      </c>
      <c r="K135" s="569">
        <v>26</v>
      </c>
      <c r="L135" s="566"/>
      <c r="M135" s="566" t="s">
        <v>476</v>
      </c>
      <c r="N135" s="570">
        <v>1403</v>
      </c>
      <c r="O135" s="566"/>
      <c r="P135" s="566" t="s">
        <v>477</v>
      </c>
      <c r="Q135" s="568">
        <v>909678</v>
      </c>
      <c r="R135" s="568">
        <v>37</v>
      </c>
      <c r="S135" s="566" t="s">
        <v>1399</v>
      </c>
      <c r="T135" s="582" t="s">
        <v>253</v>
      </c>
      <c r="U135" s="582" t="s">
        <v>550</v>
      </c>
      <c r="V135" s="582" t="s">
        <v>469</v>
      </c>
      <c r="W135" s="583" t="s">
        <v>1276</v>
      </c>
      <c r="X135" s="582" t="s">
        <v>1380</v>
      </c>
      <c r="Y135" s="582" t="s">
        <v>1367</v>
      </c>
      <c r="Z135" s="584" t="s">
        <v>1469</v>
      </c>
      <c r="AA135" s="585">
        <v>1403</v>
      </c>
      <c r="AB135" s="582"/>
    </row>
    <row r="136" spans="1:28" hidden="1">
      <c r="A136" s="566" t="s">
        <v>1335</v>
      </c>
      <c r="B136" s="566" t="s">
        <v>466</v>
      </c>
      <c r="C136" s="566" t="s">
        <v>487</v>
      </c>
      <c r="D136" s="566" t="s">
        <v>472</v>
      </c>
      <c r="E136" s="566" t="s">
        <v>473</v>
      </c>
      <c r="F136" s="566" t="s">
        <v>489</v>
      </c>
      <c r="G136" s="567">
        <v>50</v>
      </c>
      <c r="H136" s="566" t="s">
        <v>576</v>
      </c>
      <c r="I136" s="568">
        <v>2</v>
      </c>
      <c r="J136" s="569">
        <v>26</v>
      </c>
      <c r="K136" s="569">
        <v>26</v>
      </c>
      <c r="L136" s="566"/>
      <c r="M136" s="566" t="s">
        <v>476</v>
      </c>
      <c r="N136" s="570">
        <v>1439</v>
      </c>
      <c r="O136" s="566"/>
      <c r="P136" s="566" t="s">
        <v>477</v>
      </c>
      <c r="Q136" s="568">
        <v>909678</v>
      </c>
      <c r="R136" s="568">
        <v>38</v>
      </c>
      <c r="S136" s="566" t="s">
        <v>1401</v>
      </c>
      <c r="T136" s="582" t="s">
        <v>253</v>
      </c>
      <c r="U136" s="582" t="s">
        <v>550</v>
      </c>
      <c r="V136" s="582" t="s">
        <v>469</v>
      </c>
      <c r="W136" s="583" t="s">
        <v>1277</v>
      </c>
      <c r="X136" s="582" t="s">
        <v>1380</v>
      </c>
      <c r="Y136" s="582" t="s">
        <v>1367</v>
      </c>
      <c r="Z136" s="584" t="s">
        <v>1470</v>
      </c>
      <c r="AA136" s="585">
        <v>1439</v>
      </c>
      <c r="AB136" s="582"/>
    </row>
    <row r="137" spans="1:28" hidden="1">
      <c r="A137" s="566" t="s">
        <v>1335</v>
      </c>
      <c r="B137" s="566" t="s">
        <v>466</v>
      </c>
      <c r="C137" s="566" t="s">
        <v>471</v>
      </c>
      <c r="D137" s="566" t="s">
        <v>472</v>
      </c>
      <c r="E137" s="566" t="s">
        <v>473</v>
      </c>
      <c r="F137" s="566" t="s">
        <v>474</v>
      </c>
      <c r="G137" s="567">
        <v>0</v>
      </c>
      <c r="H137" s="566" t="s">
        <v>1352</v>
      </c>
      <c r="I137" s="568">
        <v>2</v>
      </c>
      <c r="J137" s="569">
        <v>26</v>
      </c>
      <c r="K137" s="569">
        <v>26</v>
      </c>
      <c r="L137" s="566"/>
      <c r="M137" s="566" t="s">
        <v>476</v>
      </c>
      <c r="N137" s="570">
        <v>1475</v>
      </c>
      <c r="O137" s="566"/>
      <c r="P137" s="566" t="s">
        <v>477</v>
      </c>
      <c r="Q137" s="568">
        <v>909678</v>
      </c>
      <c r="R137" s="568">
        <v>36</v>
      </c>
      <c r="S137" s="566" t="s">
        <v>1403</v>
      </c>
      <c r="T137" s="582" t="s">
        <v>253</v>
      </c>
      <c r="U137" s="582" t="s">
        <v>550</v>
      </c>
      <c r="V137" s="582" t="s">
        <v>469</v>
      </c>
      <c r="W137" s="583" t="s">
        <v>1354</v>
      </c>
      <c r="X137" s="582" t="s">
        <v>1380</v>
      </c>
      <c r="Y137" s="582" t="s">
        <v>1367</v>
      </c>
      <c r="Z137" s="584" t="s">
        <v>1471</v>
      </c>
      <c r="AA137" s="585">
        <v>1475</v>
      </c>
      <c r="AB137" s="582"/>
    </row>
    <row r="138" spans="1:28" hidden="1">
      <c r="A138" s="566" t="s">
        <v>1335</v>
      </c>
      <c r="B138" s="566" t="s">
        <v>466</v>
      </c>
      <c r="C138" s="566" t="s">
        <v>487</v>
      </c>
      <c r="D138" s="566" t="s">
        <v>472</v>
      </c>
      <c r="E138" s="566" t="s">
        <v>473</v>
      </c>
      <c r="F138" s="566" t="s">
        <v>489</v>
      </c>
      <c r="G138" s="567">
        <v>50</v>
      </c>
      <c r="H138" s="566" t="s">
        <v>1356</v>
      </c>
      <c r="I138" s="568">
        <v>2</v>
      </c>
      <c r="J138" s="569">
        <v>26</v>
      </c>
      <c r="K138" s="569">
        <v>26</v>
      </c>
      <c r="L138" s="566"/>
      <c r="M138" s="566" t="s">
        <v>476</v>
      </c>
      <c r="N138" s="570">
        <v>1511</v>
      </c>
      <c r="O138" s="566"/>
      <c r="P138" s="566" t="s">
        <v>477</v>
      </c>
      <c r="Q138" s="568">
        <v>909678</v>
      </c>
      <c r="R138" s="568">
        <v>39</v>
      </c>
      <c r="S138" s="566" t="s">
        <v>1405</v>
      </c>
      <c r="T138" s="582" t="s">
        <v>253</v>
      </c>
      <c r="U138" s="582" t="s">
        <v>550</v>
      </c>
      <c r="V138" s="582" t="s">
        <v>469</v>
      </c>
      <c r="W138" s="583" t="s">
        <v>1358</v>
      </c>
      <c r="X138" s="582" t="s">
        <v>1380</v>
      </c>
      <c r="Y138" s="582" t="s">
        <v>1367</v>
      </c>
      <c r="Z138" s="584" t="s">
        <v>1472</v>
      </c>
      <c r="AA138" s="585">
        <v>1511</v>
      </c>
      <c r="AB138" s="582"/>
    </row>
    <row r="139" spans="1:28" hidden="1">
      <c r="A139" s="566" t="s">
        <v>1335</v>
      </c>
      <c r="B139" s="566" t="s">
        <v>466</v>
      </c>
      <c r="C139" s="566" t="s">
        <v>471</v>
      </c>
      <c r="D139" s="566" t="s">
        <v>472</v>
      </c>
      <c r="E139" s="566" t="s">
        <v>473</v>
      </c>
      <c r="F139" s="566" t="s">
        <v>474</v>
      </c>
      <c r="G139" s="567">
        <v>0</v>
      </c>
      <c r="H139" s="566" t="s">
        <v>559</v>
      </c>
      <c r="I139" s="568">
        <v>2</v>
      </c>
      <c r="J139" s="569">
        <v>2</v>
      </c>
      <c r="K139" s="569">
        <v>2</v>
      </c>
      <c r="L139" s="566"/>
      <c r="M139" s="566" t="s">
        <v>476</v>
      </c>
      <c r="N139" s="570">
        <v>431</v>
      </c>
      <c r="O139" s="566"/>
      <c r="P139" s="566" t="s">
        <v>477</v>
      </c>
      <c r="Q139" s="568">
        <v>909678</v>
      </c>
      <c r="R139" s="568">
        <v>7</v>
      </c>
      <c r="S139" s="566" t="s">
        <v>1407</v>
      </c>
      <c r="T139" s="575" t="s">
        <v>1473</v>
      </c>
      <c r="U139" s="575" t="s">
        <v>550</v>
      </c>
      <c r="V139" s="575" t="s">
        <v>469</v>
      </c>
      <c r="W139" s="576" t="s">
        <v>470</v>
      </c>
      <c r="X139" s="575" t="s">
        <v>1380</v>
      </c>
      <c r="Y139" s="575" t="s">
        <v>1338</v>
      </c>
      <c r="Z139" s="576" t="s">
        <v>1474</v>
      </c>
      <c r="AA139" s="577">
        <v>431</v>
      </c>
      <c r="AB139" s="575"/>
    </row>
    <row r="140" spans="1:28" hidden="1">
      <c r="A140" s="566" t="s">
        <v>1335</v>
      </c>
      <c r="B140" s="566" t="s">
        <v>466</v>
      </c>
      <c r="C140" s="566" t="s">
        <v>471</v>
      </c>
      <c r="D140" s="566" t="s">
        <v>472</v>
      </c>
      <c r="E140" s="566" t="s">
        <v>473</v>
      </c>
      <c r="F140" s="566" t="s">
        <v>474</v>
      </c>
      <c r="G140" s="567">
        <v>0</v>
      </c>
      <c r="H140" s="566" t="s">
        <v>562</v>
      </c>
      <c r="I140" s="568">
        <v>2</v>
      </c>
      <c r="J140" s="569">
        <v>2</v>
      </c>
      <c r="K140" s="569">
        <v>2</v>
      </c>
      <c r="L140" s="566"/>
      <c r="M140" s="566" t="s">
        <v>476</v>
      </c>
      <c r="N140" s="570">
        <v>503</v>
      </c>
      <c r="O140" s="566"/>
      <c r="P140" s="566" t="s">
        <v>477</v>
      </c>
      <c r="Q140" s="568">
        <v>909678</v>
      </c>
      <c r="R140" s="568">
        <v>8</v>
      </c>
      <c r="S140" s="566" t="s">
        <v>1410</v>
      </c>
      <c r="T140" s="575" t="s">
        <v>1473</v>
      </c>
      <c r="U140" s="575" t="s">
        <v>550</v>
      </c>
      <c r="V140" s="575" t="s">
        <v>469</v>
      </c>
      <c r="W140" s="576" t="s">
        <v>480</v>
      </c>
      <c r="X140" s="575" t="s">
        <v>1380</v>
      </c>
      <c r="Y140" s="575" t="s">
        <v>1338</v>
      </c>
      <c r="Z140" s="576" t="s">
        <v>1475</v>
      </c>
      <c r="AA140" s="577">
        <v>503</v>
      </c>
      <c r="AB140" s="575"/>
    </row>
    <row r="141" spans="1:28" hidden="1">
      <c r="A141" s="566" t="s">
        <v>1335</v>
      </c>
      <c r="B141" s="566" t="s">
        <v>466</v>
      </c>
      <c r="C141" s="566" t="s">
        <v>487</v>
      </c>
      <c r="D141" s="566" t="s">
        <v>472</v>
      </c>
      <c r="E141" s="566" t="s">
        <v>473</v>
      </c>
      <c r="F141" s="566" t="s">
        <v>489</v>
      </c>
      <c r="G141" s="567">
        <v>50</v>
      </c>
      <c r="H141" s="566" t="s">
        <v>571</v>
      </c>
      <c r="I141" s="568">
        <v>2</v>
      </c>
      <c r="J141" s="569">
        <v>2</v>
      </c>
      <c r="K141" s="569">
        <v>2</v>
      </c>
      <c r="L141" s="566"/>
      <c r="M141" s="566" t="s">
        <v>476</v>
      </c>
      <c r="N141" s="570">
        <v>683</v>
      </c>
      <c r="O141" s="566"/>
      <c r="P141" s="566" t="s">
        <v>477</v>
      </c>
      <c r="Q141" s="568">
        <v>909678</v>
      </c>
      <c r="R141" s="568">
        <v>11</v>
      </c>
      <c r="S141" s="566" t="s">
        <v>1412</v>
      </c>
      <c r="T141" s="575" t="s">
        <v>1473</v>
      </c>
      <c r="U141" s="575" t="s">
        <v>550</v>
      </c>
      <c r="V141" s="575" t="s">
        <v>469</v>
      </c>
      <c r="W141" s="576" t="s">
        <v>499</v>
      </c>
      <c r="X141" s="575" t="s">
        <v>1380</v>
      </c>
      <c r="Y141" s="575" t="s">
        <v>1338</v>
      </c>
      <c r="Z141" s="576" t="s">
        <v>1476</v>
      </c>
      <c r="AA141" s="577">
        <v>683</v>
      </c>
      <c r="AB141" s="575"/>
    </row>
    <row r="142" spans="1:28" hidden="1">
      <c r="A142" s="566" t="s">
        <v>1335</v>
      </c>
      <c r="B142" s="566" t="s">
        <v>466</v>
      </c>
      <c r="C142" s="566" t="s">
        <v>487</v>
      </c>
      <c r="D142" s="566" t="s">
        <v>472</v>
      </c>
      <c r="E142" s="566" t="s">
        <v>473</v>
      </c>
      <c r="F142" s="566" t="s">
        <v>489</v>
      </c>
      <c r="G142" s="567">
        <v>50</v>
      </c>
      <c r="H142" s="566" t="s">
        <v>574</v>
      </c>
      <c r="I142" s="568">
        <v>2</v>
      </c>
      <c r="J142" s="569">
        <v>2</v>
      </c>
      <c r="K142" s="569">
        <v>2</v>
      </c>
      <c r="L142" s="566"/>
      <c r="M142" s="566" t="s">
        <v>476</v>
      </c>
      <c r="N142" s="570">
        <v>755</v>
      </c>
      <c r="O142" s="566"/>
      <c r="P142" s="566" t="s">
        <v>477</v>
      </c>
      <c r="Q142" s="568">
        <v>909678</v>
      </c>
      <c r="R142" s="568">
        <v>20</v>
      </c>
      <c r="S142" s="566" t="s">
        <v>1414</v>
      </c>
      <c r="T142" s="575" t="s">
        <v>1473</v>
      </c>
      <c r="U142" s="575" t="s">
        <v>550</v>
      </c>
      <c r="V142" s="575" t="s">
        <v>469</v>
      </c>
      <c r="W142" s="576" t="s">
        <v>504</v>
      </c>
      <c r="X142" s="575" t="s">
        <v>1380</v>
      </c>
      <c r="Y142" s="575" t="s">
        <v>1338</v>
      </c>
      <c r="Z142" s="576" t="s">
        <v>1477</v>
      </c>
      <c r="AA142" s="577">
        <v>755</v>
      </c>
      <c r="AB142" s="575"/>
    </row>
    <row r="143" spans="1:28" hidden="1">
      <c r="A143" s="566" t="s">
        <v>1335</v>
      </c>
      <c r="B143" s="566" t="s">
        <v>466</v>
      </c>
      <c r="C143" s="566" t="s">
        <v>471</v>
      </c>
      <c r="D143" s="566" t="s">
        <v>472</v>
      </c>
      <c r="E143" s="566" t="s">
        <v>473</v>
      </c>
      <c r="F143" s="566" t="s">
        <v>474</v>
      </c>
      <c r="G143" s="567">
        <v>0</v>
      </c>
      <c r="H143" s="566" t="s">
        <v>561</v>
      </c>
      <c r="I143" s="568">
        <v>2</v>
      </c>
      <c r="J143" s="569">
        <v>54</v>
      </c>
      <c r="K143" s="569">
        <v>54</v>
      </c>
      <c r="L143" s="566"/>
      <c r="M143" s="566" t="s">
        <v>476</v>
      </c>
      <c r="N143" s="570">
        <v>1011</v>
      </c>
      <c r="O143" s="566"/>
      <c r="P143" s="566" t="s">
        <v>477</v>
      </c>
      <c r="Q143" s="568">
        <v>909678</v>
      </c>
      <c r="R143" s="568">
        <v>25</v>
      </c>
      <c r="S143" s="566" t="s">
        <v>1336</v>
      </c>
      <c r="T143" s="571" t="s">
        <v>467</v>
      </c>
      <c r="U143" s="571" t="s">
        <v>550</v>
      </c>
      <c r="V143" s="571" t="s">
        <v>517</v>
      </c>
      <c r="W143" s="572" t="s">
        <v>1274</v>
      </c>
      <c r="X143" s="571" t="s">
        <v>1337</v>
      </c>
      <c r="Y143" s="571" t="s">
        <v>1338</v>
      </c>
      <c r="Z143" s="566" t="s">
        <v>1478</v>
      </c>
      <c r="AA143" s="573">
        <v>1011</v>
      </c>
      <c r="AB143" s="571"/>
    </row>
    <row r="144" spans="1:28" hidden="1">
      <c r="A144" s="566" t="s">
        <v>1335</v>
      </c>
      <c r="B144" s="566" t="s">
        <v>466</v>
      </c>
      <c r="C144" s="566" t="s">
        <v>471</v>
      </c>
      <c r="D144" s="566" t="s">
        <v>472</v>
      </c>
      <c r="E144" s="566" t="s">
        <v>473</v>
      </c>
      <c r="F144" s="566" t="s">
        <v>474</v>
      </c>
      <c r="G144" s="567">
        <v>0</v>
      </c>
      <c r="H144" s="566" t="s">
        <v>564</v>
      </c>
      <c r="I144" s="568">
        <v>2</v>
      </c>
      <c r="J144" s="569">
        <v>54</v>
      </c>
      <c r="K144" s="569">
        <v>54</v>
      </c>
      <c r="L144" s="566"/>
      <c r="M144" s="566" t="s">
        <v>476</v>
      </c>
      <c r="N144" s="570">
        <v>1047</v>
      </c>
      <c r="O144" s="566"/>
      <c r="P144" s="566" t="s">
        <v>477</v>
      </c>
      <c r="Q144" s="568">
        <v>909678</v>
      </c>
      <c r="R144" s="568">
        <v>26</v>
      </c>
      <c r="S144" s="566" t="s">
        <v>1340</v>
      </c>
      <c r="T144" s="571" t="s">
        <v>467</v>
      </c>
      <c r="U144" s="571" t="s">
        <v>550</v>
      </c>
      <c r="V144" s="571" t="s">
        <v>517</v>
      </c>
      <c r="W144" s="572" t="s">
        <v>1275</v>
      </c>
      <c r="X144" s="571" t="s">
        <v>1337</v>
      </c>
      <c r="Y144" s="571" t="s">
        <v>1338</v>
      </c>
      <c r="Z144" s="566" t="s">
        <v>1479</v>
      </c>
      <c r="AA144" s="573">
        <v>1047</v>
      </c>
      <c r="AB144" s="571"/>
    </row>
    <row r="145" spans="1:28" hidden="1">
      <c r="A145" s="566" t="s">
        <v>1335</v>
      </c>
      <c r="B145" s="566" t="s">
        <v>466</v>
      </c>
      <c r="C145" s="566" t="s">
        <v>487</v>
      </c>
      <c r="D145" s="566" t="s">
        <v>472</v>
      </c>
      <c r="E145" s="566" t="s">
        <v>473</v>
      </c>
      <c r="F145" s="566" t="s">
        <v>489</v>
      </c>
      <c r="G145" s="567">
        <v>50</v>
      </c>
      <c r="H145" s="566" t="s">
        <v>566</v>
      </c>
      <c r="I145" s="568">
        <v>2</v>
      </c>
      <c r="J145" s="569">
        <v>54</v>
      </c>
      <c r="K145" s="569">
        <v>54</v>
      </c>
      <c r="L145" s="566"/>
      <c r="M145" s="566" t="s">
        <v>476</v>
      </c>
      <c r="N145" s="570">
        <v>1083</v>
      </c>
      <c r="O145" s="566"/>
      <c r="P145" s="566" t="s">
        <v>477</v>
      </c>
      <c r="Q145" s="568">
        <v>909678</v>
      </c>
      <c r="R145" s="568">
        <v>28</v>
      </c>
      <c r="S145" s="566" t="s">
        <v>1342</v>
      </c>
      <c r="T145" s="571" t="s">
        <v>467</v>
      </c>
      <c r="U145" s="571" t="s">
        <v>550</v>
      </c>
      <c r="V145" s="571" t="s">
        <v>517</v>
      </c>
      <c r="W145" s="572" t="s">
        <v>485</v>
      </c>
      <c r="X145" s="571" t="s">
        <v>1337</v>
      </c>
      <c r="Y145" s="571" t="s">
        <v>1338</v>
      </c>
      <c r="Z145" s="566" t="s">
        <v>1480</v>
      </c>
      <c r="AA145" s="573">
        <v>1083</v>
      </c>
      <c r="AB145" s="571"/>
    </row>
    <row r="146" spans="1:28" hidden="1">
      <c r="A146" s="566" t="s">
        <v>1335</v>
      </c>
      <c r="B146" s="566" t="s">
        <v>466</v>
      </c>
      <c r="C146" s="566" t="s">
        <v>487</v>
      </c>
      <c r="D146" s="566" t="s">
        <v>472</v>
      </c>
      <c r="E146" s="566" t="s">
        <v>473</v>
      </c>
      <c r="F146" s="566" t="s">
        <v>489</v>
      </c>
      <c r="G146" s="567">
        <v>50</v>
      </c>
      <c r="H146" s="566" t="s">
        <v>568</v>
      </c>
      <c r="I146" s="568">
        <v>2</v>
      </c>
      <c r="J146" s="569">
        <v>54</v>
      </c>
      <c r="K146" s="569">
        <v>54</v>
      </c>
      <c r="L146" s="566"/>
      <c r="M146" s="566" t="s">
        <v>476</v>
      </c>
      <c r="N146" s="570">
        <v>1119</v>
      </c>
      <c r="O146" s="566"/>
      <c r="P146" s="566" t="s">
        <v>477</v>
      </c>
      <c r="Q146" s="568">
        <v>909678</v>
      </c>
      <c r="R146" s="568">
        <v>29</v>
      </c>
      <c r="S146" s="566" t="s">
        <v>1344</v>
      </c>
      <c r="T146" s="571" t="s">
        <v>467</v>
      </c>
      <c r="U146" s="571" t="s">
        <v>550</v>
      </c>
      <c r="V146" s="571" t="s">
        <v>517</v>
      </c>
      <c r="W146" s="572" t="s">
        <v>491</v>
      </c>
      <c r="X146" s="571" t="s">
        <v>1337</v>
      </c>
      <c r="Y146" s="571" t="s">
        <v>1338</v>
      </c>
      <c r="Z146" s="566" t="s">
        <v>1481</v>
      </c>
      <c r="AA146" s="573">
        <v>1119</v>
      </c>
      <c r="AB146" s="571"/>
    </row>
    <row r="147" spans="1:28" hidden="1">
      <c r="A147" s="566" t="s">
        <v>1335</v>
      </c>
      <c r="B147" s="566" t="s">
        <v>466</v>
      </c>
      <c r="C147" s="566" t="s">
        <v>487</v>
      </c>
      <c r="D147" s="566" t="s">
        <v>472</v>
      </c>
      <c r="E147" s="566" t="s">
        <v>473</v>
      </c>
      <c r="F147" s="566" t="s">
        <v>489</v>
      </c>
      <c r="G147" s="567">
        <v>50</v>
      </c>
      <c r="H147" s="566" t="s">
        <v>570</v>
      </c>
      <c r="I147" s="568">
        <v>2</v>
      </c>
      <c r="J147" s="569">
        <v>54</v>
      </c>
      <c r="K147" s="569">
        <v>54</v>
      </c>
      <c r="L147" s="566"/>
      <c r="M147" s="566" t="s">
        <v>476</v>
      </c>
      <c r="N147" s="570">
        <v>1155</v>
      </c>
      <c r="O147" s="566"/>
      <c r="P147" s="566" t="s">
        <v>477</v>
      </c>
      <c r="Q147" s="568">
        <v>909678</v>
      </c>
      <c r="R147" s="568">
        <v>30</v>
      </c>
      <c r="S147" s="566" t="s">
        <v>1346</v>
      </c>
      <c r="T147" s="571" t="s">
        <v>467</v>
      </c>
      <c r="U147" s="571" t="s">
        <v>550</v>
      </c>
      <c r="V147" s="571" t="s">
        <v>517</v>
      </c>
      <c r="W147" s="572" t="s">
        <v>495</v>
      </c>
      <c r="X147" s="571" t="s">
        <v>1337</v>
      </c>
      <c r="Y147" s="571" t="s">
        <v>1338</v>
      </c>
      <c r="Z147" s="566" t="s">
        <v>1482</v>
      </c>
      <c r="AA147" s="573">
        <v>1155</v>
      </c>
      <c r="AB147" s="571"/>
    </row>
    <row r="148" spans="1:28" hidden="1">
      <c r="A148" s="566" t="s">
        <v>1335</v>
      </c>
      <c r="B148" s="566" t="s">
        <v>466</v>
      </c>
      <c r="C148" s="566" t="s">
        <v>487</v>
      </c>
      <c r="D148" s="566" t="s">
        <v>472</v>
      </c>
      <c r="E148" s="566" t="s">
        <v>473</v>
      </c>
      <c r="F148" s="566" t="s">
        <v>489</v>
      </c>
      <c r="G148" s="567">
        <v>50</v>
      </c>
      <c r="H148" s="566" t="s">
        <v>573</v>
      </c>
      <c r="I148" s="568">
        <v>2</v>
      </c>
      <c r="J148" s="569">
        <v>54</v>
      </c>
      <c r="K148" s="569">
        <v>54</v>
      </c>
      <c r="L148" s="566"/>
      <c r="M148" s="566" t="s">
        <v>476</v>
      </c>
      <c r="N148" s="570">
        <v>1191</v>
      </c>
      <c r="O148" s="566"/>
      <c r="P148" s="566" t="s">
        <v>477</v>
      </c>
      <c r="Q148" s="568">
        <v>909678</v>
      </c>
      <c r="R148" s="568">
        <v>31</v>
      </c>
      <c r="S148" s="566" t="s">
        <v>1348</v>
      </c>
      <c r="T148" s="571" t="s">
        <v>467</v>
      </c>
      <c r="U148" s="571" t="s">
        <v>550</v>
      </c>
      <c r="V148" s="571" t="s">
        <v>517</v>
      </c>
      <c r="W148" s="572" t="s">
        <v>1276</v>
      </c>
      <c r="X148" s="571" t="s">
        <v>1337</v>
      </c>
      <c r="Y148" s="571" t="s">
        <v>1338</v>
      </c>
      <c r="Z148" s="566" t="s">
        <v>1483</v>
      </c>
      <c r="AA148" s="573">
        <v>1191</v>
      </c>
      <c r="AB148" s="571"/>
    </row>
    <row r="149" spans="1:28" hidden="1">
      <c r="A149" s="566" t="s">
        <v>1335</v>
      </c>
      <c r="B149" s="566" t="s">
        <v>466</v>
      </c>
      <c r="C149" s="566" t="s">
        <v>487</v>
      </c>
      <c r="D149" s="566" t="s">
        <v>472</v>
      </c>
      <c r="E149" s="566" t="s">
        <v>473</v>
      </c>
      <c r="F149" s="566" t="s">
        <v>489</v>
      </c>
      <c r="G149" s="567">
        <v>50</v>
      </c>
      <c r="H149" s="566" t="s">
        <v>576</v>
      </c>
      <c r="I149" s="568">
        <v>2</v>
      </c>
      <c r="J149" s="569">
        <v>54</v>
      </c>
      <c r="K149" s="569">
        <v>54</v>
      </c>
      <c r="L149" s="566"/>
      <c r="M149" s="566" t="s">
        <v>476</v>
      </c>
      <c r="N149" s="570">
        <v>1227</v>
      </c>
      <c r="O149" s="566"/>
      <c r="P149" s="566" t="s">
        <v>477</v>
      </c>
      <c r="Q149" s="568">
        <v>909678</v>
      </c>
      <c r="R149" s="568">
        <v>32</v>
      </c>
      <c r="S149" s="566" t="s">
        <v>1350</v>
      </c>
      <c r="T149" s="571" t="s">
        <v>467</v>
      </c>
      <c r="U149" s="571" t="s">
        <v>550</v>
      </c>
      <c r="V149" s="571" t="s">
        <v>517</v>
      </c>
      <c r="W149" s="572" t="s">
        <v>1277</v>
      </c>
      <c r="X149" s="571" t="s">
        <v>1337</v>
      </c>
      <c r="Y149" s="571" t="s">
        <v>1338</v>
      </c>
      <c r="Z149" s="566" t="s">
        <v>1484</v>
      </c>
      <c r="AA149" s="573">
        <v>1227</v>
      </c>
      <c r="AB149" s="571"/>
    </row>
    <row r="150" spans="1:28" hidden="1">
      <c r="A150" s="566" t="s">
        <v>1335</v>
      </c>
      <c r="B150" s="566" t="s">
        <v>466</v>
      </c>
      <c r="C150" s="566" t="s">
        <v>471</v>
      </c>
      <c r="D150" s="566" t="s">
        <v>472</v>
      </c>
      <c r="E150" s="566" t="s">
        <v>473</v>
      </c>
      <c r="F150" s="566" t="s">
        <v>474</v>
      </c>
      <c r="G150" s="567">
        <v>0</v>
      </c>
      <c r="H150" s="566" t="s">
        <v>1352</v>
      </c>
      <c r="I150" s="568">
        <v>2</v>
      </c>
      <c r="J150" s="569">
        <v>54</v>
      </c>
      <c r="K150" s="569">
        <v>54</v>
      </c>
      <c r="L150" s="566"/>
      <c r="M150" s="566" t="s">
        <v>476</v>
      </c>
      <c r="N150" s="570">
        <v>1263</v>
      </c>
      <c r="O150" s="566"/>
      <c r="P150" s="566" t="s">
        <v>477</v>
      </c>
      <c r="Q150" s="568">
        <v>909678</v>
      </c>
      <c r="R150" s="568">
        <v>27</v>
      </c>
      <c r="S150" s="566" t="s">
        <v>1353</v>
      </c>
      <c r="T150" s="571" t="s">
        <v>467</v>
      </c>
      <c r="U150" s="571" t="s">
        <v>550</v>
      </c>
      <c r="V150" s="571" t="s">
        <v>517</v>
      </c>
      <c r="W150" s="572" t="s">
        <v>1354</v>
      </c>
      <c r="X150" s="571" t="s">
        <v>1337</v>
      </c>
      <c r="Y150" s="571" t="s">
        <v>1338</v>
      </c>
      <c r="Z150" s="566" t="s">
        <v>1485</v>
      </c>
      <c r="AA150" s="573">
        <v>1263</v>
      </c>
      <c r="AB150" s="571"/>
    </row>
    <row r="151" spans="1:28" hidden="1">
      <c r="A151" s="566" t="s">
        <v>1335</v>
      </c>
      <c r="B151" s="566" t="s">
        <v>466</v>
      </c>
      <c r="C151" s="566" t="s">
        <v>487</v>
      </c>
      <c r="D151" s="566" t="s">
        <v>472</v>
      </c>
      <c r="E151" s="566" t="s">
        <v>473</v>
      </c>
      <c r="F151" s="566" t="s">
        <v>489</v>
      </c>
      <c r="G151" s="567">
        <v>50</v>
      </c>
      <c r="H151" s="566" t="s">
        <v>1356</v>
      </c>
      <c r="I151" s="568">
        <v>2</v>
      </c>
      <c r="J151" s="569">
        <v>54</v>
      </c>
      <c r="K151" s="569">
        <v>54</v>
      </c>
      <c r="L151" s="566"/>
      <c r="M151" s="566" t="s">
        <v>476</v>
      </c>
      <c r="N151" s="570">
        <v>1299</v>
      </c>
      <c r="O151" s="566"/>
      <c r="P151" s="566" t="s">
        <v>477</v>
      </c>
      <c r="Q151" s="568">
        <v>909678</v>
      </c>
      <c r="R151" s="568">
        <v>33</v>
      </c>
      <c r="S151" s="566" t="s">
        <v>1357</v>
      </c>
      <c r="T151" s="571" t="s">
        <v>467</v>
      </c>
      <c r="U151" s="571" t="s">
        <v>550</v>
      </c>
      <c r="V151" s="571" t="s">
        <v>517</v>
      </c>
      <c r="W151" s="572" t="s">
        <v>1358</v>
      </c>
      <c r="X151" s="571" t="s">
        <v>1337</v>
      </c>
      <c r="Y151" s="571" t="s">
        <v>1338</v>
      </c>
      <c r="Z151" s="566" t="s">
        <v>1486</v>
      </c>
      <c r="AA151" s="573">
        <v>1299</v>
      </c>
      <c r="AB151" s="571"/>
    </row>
    <row r="152" spans="1:28" hidden="1">
      <c r="A152" s="566" t="s">
        <v>1335</v>
      </c>
      <c r="B152" s="566" t="s">
        <v>466</v>
      </c>
      <c r="C152" s="566" t="s">
        <v>471</v>
      </c>
      <c r="D152" s="566" t="s">
        <v>472</v>
      </c>
      <c r="E152" s="566" t="s">
        <v>473</v>
      </c>
      <c r="F152" s="566" t="s">
        <v>474</v>
      </c>
      <c r="G152" s="567">
        <v>0</v>
      </c>
      <c r="H152" s="566" t="s">
        <v>593</v>
      </c>
      <c r="I152" s="568">
        <v>1</v>
      </c>
      <c r="J152" s="569">
        <v>54</v>
      </c>
      <c r="K152" s="569">
        <v>54</v>
      </c>
      <c r="L152" s="566"/>
      <c r="M152" s="566" t="s">
        <v>476</v>
      </c>
      <c r="N152" s="570">
        <v>903</v>
      </c>
      <c r="O152" s="566"/>
      <c r="P152" s="566" t="s">
        <v>477</v>
      </c>
      <c r="Q152" s="568">
        <v>909678</v>
      </c>
      <c r="R152" s="568">
        <v>22</v>
      </c>
      <c r="S152" s="566" t="s">
        <v>1360</v>
      </c>
      <c r="T152" s="571" t="s">
        <v>467</v>
      </c>
      <c r="U152" s="571" t="s">
        <v>550</v>
      </c>
      <c r="V152" s="571" t="s">
        <v>517</v>
      </c>
      <c r="W152" s="572" t="s">
        <v>509</v>
      </c>
      <c r="X152" s="571" t="s">
        <v>1337</v>
      </c>
      <c r="Y152" s="571" t="s">
        <v>1338</v>
      </c>
      <c r="Z152" s="566" t="s">
        <v>1487</v>
      </c>
      <c r="AA152" s="573">
        <v>903</v>
      </c>
      <c r="AB152" s="571"/>
    </row>
    <row r="153" spans="1:28" hidden="1">
      <c r="A153" s="566" t="s">
        <v>1335</v>
      </c>
      <c r="B153" s="566" t="s">
        <v>466</v>
      </c>
      <c r="C153" s="566" t="s">
        <v>471</v>
      </c>
      <c r="D153" s="566" t="s">
        <v>472</v>
      </c>
      <c r="E153" s="566" t="s">
        <v>473</v>
      </c>
      <c r="F153" s="566" t="s">
        <v>474</v>
      </c>
      <c r="G153" s="567">
        <v>0</v>
      </c>
      <c r="H153" s="566" t="s">
        <v>595</v>
      </c>
      <c r="I153" s="568">
        <v>2</v>
      </c>
      <c r="J153" s="569">
        <v>54</v>
      </c>
      <c r="K153" s="569">
        <v>54</v>
      </c>
      <c r="L153" s="566"/>
      <c r="M153" s="566" t="s">
        <v>476</v>
      </c>
      <c r="N153" s="570">
        <v>939</v>
      </c>
      <c r="O153" s="566"/>
      <c r="P153" s="566" t="s">
        <v>477</v>
      </c>
      <c r="Q153" s="568">
        <v>909678</v>
      </c>
      <c r="R153" s="568">
        <v>23</v>
      </c>
      <c r="S153" s="566" t="s">
        <v>1362</v>
      </c>
      <c r="T153" s="571" t="s">
        <v>467</v>
      </c>
      <c r="U153" s="571" t="s">
        <v>550</v>
      </c>
      <c r="V153" s="571" t="s">
        <v>517</v>
      </c>
      <c r="W153" s="572" t="s">
        <v>512</v>
      </c>
      <c r="X153" s="571" t="s">
        <v>1337</v>
      </c>
      <c r="Y153" s="571" t="s">
        <v>1338</v>
      </c>
      <c r="Z153" s="566" t="s">
        <v>1488</v>
      </c>
      <c r="AA153" s="573">
        <v>939</v>
      </c>
      <c r="AB153" s="571"/>
    </row>
    <row r="154" spans="1:28" hidden="1">
      <c r="A154" s="566" t="s">
        <v>1335</v>
      </c>
      <c r="B154" s="566" t="s">
        <v>466</v>
      </c>
      <c r="C154" s="566" t="s">
        <v>471</v>
      </c>
      <c r="D154" s="566" t="s">
        <v>472</v>
      </c>
      <c r="E154" s="566" t="s">
        <v>473</v>
      </c>
      <c r="F154" s="566" t="s">
        <v>474</v>
      </c>
      <c r="G154" s="567">
        <v>0</v>
      </c>
      <c r="H154" s="566" t="s">
        <v>597</v>
      </c>
      <c r="I154" s="568">
        <v>2</v>
      </c>
      <c r="J154" s="569">
        <v>54</v>
      </c>
      <c r="K154" s="569">
        <v>54</v>
      </c>
      <c r="L154" s="566"/>
      <c r="M154" s="566" t="s">
        <v>476</v>
      </c>
      <c r="N154" s="570">
        <v>975</v>
      </c>
      <c r="O154" s="566"/>
      <c r="P154" s="566" t="s">
        <v>477</v>
      </c>
      <c r="Q154" s="568">
        <v>909678</v>
      </c>
      <c r="R154" s="568">
        <v>24</v>
      </c>
      <c r="S154" s="566" t="s">
        <v>1364</v>
      </c>
      <c r="T154" s="571" t="s">
        <v>467</v>
      </c>
      <c r="U154" s="571" t="s">
        <v>550</v>
      </c>
      <c r="V154" s="571" t="s">
        <v>517</v>
      </c>
      <c r="W154" s="572" t="s">
        <v>514</v>
      </c>
      <c r="X154" s="571" t="s">
        <v>1337</v>
      </c>
      <c r="Y154" s="571" t="s">
        <v>1338</v>
      </c>
      <c r="Z154" s="566" t="s">
        <v>1489</v>
      </c>
      <c r="AA154" s="573">
        <v>975</v>
      </c>
      <c r="AB154" s="571"/>
    </row>
    <row r="155" spans="1:28" hidden="1">
      <c r="A155" s="566" t="s">
        <v>1335</v>
      </c>
      <c r="B155" s="566" t="s">
        <v>466</v>
      </c>
      <c r="C155" s="566" t="s">
        <v>471</v>
      </c>
      <c r="D155" s="566" t="s">
        <v>472</v>
      </c>
      <c r="E155" s="566" t="s">
        <v>473</v>
      </c>
      <c r="F155" s="566" t="s">
        <v>474</v>
      </c>
      <c r="G155" s="567">
        <v>0</v>
      </c>
      <c r="H155" s="566" t="s">
        <v>561</v>
      </c>
      <c r="I155" s="568">
        <v>2</v>
      </c>
      <c r="J155" s="569">
        <v>78</v>
      </c>
      <c r="K155" s="569">
        <v>78</v>
      </c>
      <c r="L155" s="566"/>
      <c r="M155" s="566" t="s">
        <v>476</v>
      </c>
      <c r="N155" s="570">
        <v>1551</v>
      </c>
      <c r="O155" s="566"/>
      <c r="P155" s="566" t="s">
        <v>477</v>
      </c>
      <c r="Q155" s="568">
        <v>909678</v>
      </c>
      <c r="R155" s="568">
        <v>40</v>
      </c>
      <c r="S155" s="566" t="s">
        <v>1366</v>
      </c>
      <c r="T155" s="571" t="s">
        <v>467</v>
      </c>
      <c r="U155" s="571" t="s">
        <v>550</v>
      </c>
      <c r="V155" s="571" t="s">
        <v>517</v>
      </c>
      <c r="W155" s="572" t="s">
        <v>1274</v>
      </c>
      <c r="X155" s="571" t="s">
        <v>1337</v>
      </c>
      <c r="Y155" s="571" t="s">
        <v>1367</v>
      </c>
      <c r="Z155" s="566" t="s">
        <v>1490</v>
      </c>
      <c r="AA155" s="573">
        <v>1551</v>
      </c>
      <c r="AB155" s="571"/>
    </row>
    <row r="156" spans="1:28" hidden="1">
      <c r="A156" s="566" t="s">
        <v>1335</v>
      </c>
      <c r="B156" s="566" t="s">
        <v>466</v>
      </c>
      <c r="C156" s="566" t="s">
        <v>471</v>
      </c>
      <c r="D156" s="566" t="s">
        <v>472</v>
      </c>
      <c r="E156" s="566" t="s">
        <v>473</v>
      </c>
      <c r="F156" s="566" t="s">
        <v>474</v>
      </c>
      <c r="G156" s="567">
        <v>0</v>
      </c>
      <c r="H156" s="566" t="s">
        <v>564</v>
      </c>
      <c r="I156" s="568">
        <v>2</v>
      </c>
      <c r="J156" s="569">
        <v>78</v>
      </c>
      <c r="K156" s="569">
        <v>78</v>
      </c>
      <c r="L156" s="566"/>
      <c r="M156" s="566" t="s">
        <v>476</v>
      </c>
      <c r="N156" s="570">
        <v>1587</v>
      </c>
      <c r="O156" s="566"/>
      <c r="P156" s="566" t="s">
        <v>477</v>
      </c>
      <c r="Q156" s="568">
        <v>909678</v>
      </c>
      <c r="R156" s="568">
        <v>41</v>
      </c>
      <c r="S156" s="566" t="s">
        <v>1369</v>
      </c>
      <c r="T156" s="571" t="s">
        <v>467</v>
      </c>
      <c r="U156" s="571" t="s">
        <v>550</v>
      </c>
      <c r="V156" s="571" t="s">
        <v>517</v>
      </c>
      <c r="W156" s="572" t="s">
        <v>1275</v>
      </c>
      <c r="X156" s="571" t="s">
        <v>1337</v>
      </c>
      <c r="Y156" s="571" t="s">
        <v>1367</v>
      </c>
      <c r="Z156" s="566" t="s">
        <v>1491</v>
      </c>
      <c r="AA156" s="573">
        <v>1587</v>
      </c>
      <c r="AB156" s="571"/>
    </row>
    <row r="157" spans="1:28" hidden="1">
      <c r="A157" s="566" t="s">
        <v>1335</v>
      </c>
      <c r="B157" s="566" t="s">
        <v>466</v>
      </c>
      <c r="C157" s="566" t="s">
        <v>487</v>
      </c>
      <c r="D157" s="566" t="s">
        <v>472</v>
      </c>
      <c r="E157" s="566" t="s">
        <v>473</v>
      </c>
      <c r="F157" s="566" t="s">
        <v>489</v>
      </c>
      <c r="G157" s="567">
        <v>50</v>
      </c>
      <c r="H157" s="566" t="s">
        <v>573</v>
      </c>
      <c r="I157" s="568">
        <v>2</v>
      </c>
      <c r="J157" s="569">
        <v>78</v>
      </c>
      <c r="K157" s="569">
        <v>78</v>
      </c>
      <c r="L157" s="566"/>
      <c r="M157" s="566" t="s">
        <v>476</v>
      </c>
      <c r="N157" s="570">
        <v>1623</v>
      </c>
      <c r="O157" s="566"/>
      <c r="P157" s="566" t="s">
        <v>477</v>
      </c>
      <c r="Q157" s="568">
        <v>909678</v>
      </c>
      <c r="R157" s="568">
        <v>43</v>
      </c>
      <c r="S157" s="566" t="s">
        <v>1371</v>
      </c>
      <c r="T157" s="571" t="s">
        <v>467</v>
      </c>
      <c r="U157" s="571" t="s">
        <v>550</v>
      </c>
      <c r="V157" s="571" t="s">
        <v>517</v>
      </c>
      <c r="W157" s="572" t="s">
        <v>1276</v>
      </c>
      <c r="X157" s="571" t="s">
        <v>1337</v>
      </c>
      <c r="Y157" s="571" t="s">
        <v>1367</v>
      </c>
      <c r="Z157" s="566" t="s">
        <v>1492</v>
      </c>
      <c r="AA157" s="573">
        <v>1623</v>
      </c>
      <c r="AB157" s="571"/>
    </row>
    <row r="158" spans="1:28" hidden="1">
      <c r="A158" s="566" t="s">
        <v>1335</v>
      </c>
      <c r="B158" s="566" t="s">
        <v>466</v>
      </c>
      <c r="C158" s="566" t="s">
        <v>487</v>
      </c>
      <c r="D158" s="566" t="s">
        <v>472</v>
      </c>
      <c r="E158" s="566" t="s">
        <v>473</v>
      </c>
      <c r="F158" s="566" t="s">
        <v>489</v>
      </c>
      <c r="G158" s="567">
        <v>50</v>
      </c>
      <c r="H158" s="566" t="s">
        <v>576</v>
      </c>
      <c r="I158" s="568">
        <v>2</v>
      </c>
      <c r="J158" s="569">
        <v>78</v>
      </c>
      <c r="K158" s="569">
        <v>78</v>
      </c>
      <c r="L158" s="566"/>
      <c r="M158" s="566" t="s">
        <v>476</v>
      </c>
      <c r="N158" s="570">
        <v>1659</v>
      </c>
      <c r="O158" s="566"/>
      <c r="P158" s="566" t="s">
        <v>477</v>
      </c>
      <c r="Q158" s="568">
        <v>909678</v>
      </c>
      <c r="R158" s="568">
        <v>44</v>
      </c>
      <c r="S158" s="566" t="s">
        <v>1373</v>
      </c>
      <c r="T158" s="571" t="s">
        <v>467</v>
      </c>
      <c r="U158" s="571" t="s">
        <v>550</v>
      </c>
      <c r="V158" s="571" t="s">
        <v>517</v>
      </c>
      <c r="W158" s="572" t="s">
        <v>1277</v>
      </c>
      <c r="X158" s="571" t="s">
        <v>1337</v>
      </c>
      <c r="Y158" s="571" t="s">
        <v>1367</v>
      </c>
      <c r="Z158" s="566" t="s">
        <v>1493</v>
      </c>
      <c r="AA158" s="573">
        <v>1659</v>
      </c>
      <c r="AB158" s="571"/>
    </row>
    <row r="159" spans="1:28" hidden="1">
      <c r="A159" s="566" t="s">
        <v>1335</v>
      </c>
      <c r="B159" s="566" t="s">
        <v>466</v>
      </c>
      <c r="C159" s="566" t="s">
        <v>471</v>
      </c>
      <c r="D159" s="566" t="s">
        <v>472</v>
      </c>
      <c r="E159" s="566" t="s">
        <v>473</v>
      </c>
      <c r="F159" s="566" t="s">
        <v>474</v>
      </c>
      <c r="G159" s="567">
        <v>0</v>
      </c>
      <c r="H159" s="566" t="s">
        <v>1352</v>
      </c>
      <c r="I159" s="568">
        <v>2</v>
      </c>
      <c r="J159" s="569">
        <v>78</v>
      </c>
      <c r="K159" s="569">
        <v>78</v>
      </c>
      <c r="L159" s="566"/>
      <c r="M159" s="566" t="s">
        <v>476</v>
      </c>
      <c r="N159" s="570">
        <v>1695</v>
      </c>
      <c r="O159" s="566"/>
      <c r="P159" s="566" t="s">
        <v>477</v>
      </c>
      <c r="Q159" s="568">
        <v>909678</v>
      </c>
      <c r="R159" s="568">
        <v>42</v>
      </c>
      <c r="S159" s="566" t="s">
        <v>1375</v>
      </c>
      <c r="T159" s="571" t="s">
        <v>467</v>
      </c>
      <c r="U159" s="571" t="s">
        <v>550</v>
      </c>
      <c r="V159" s="571" t="s">
        <v>517</v>
      </c>
      <c r="W159" s="572" t="s">
        <v>1354</v>
      </c>
      <c r="X159" s="571" t="s">
        <v>1337</v>
      </c>
      <c r="Y159" s="571" t="s">
        <v>1367</v>
      </c>
      <c r="Z159" s="566" t="s">
        <v>1494</v>
      </c>
      <c r="AA159" s="573">
        <v>1695</v>
      </c>
      <c r="AB159" s="571"/>
    </row>
    <row r="160" spans="1:28" hidden="1">
      <c r="A160" s="566" t="s">
        <v>1335</v>
      </c>
      <c r="B160" s="566" t="s">
        <v>466</v>
      </c>
      <c r="C160" s="566" t="s">
        <v>487</v>
      </c>
      <c r="D160" s="566" t="s">
        <v>472</v>
      </c>
      <c r="E160" s="566" t="s">
        <v>473</v>
      </c>
      <c r="F160" s="566" t="s">
        <v>489</v>
      </c>
      <c r="G160" s="567">
        <v>50</v>
      </c>
      <c r="H160" s="566" t="s">
        <v>1356</v>
      </c>
      <c r="I160" s="568">
        <v>2</v>
      </c>
      <c r="J160" s="569">
        <v>78</v>
      </c>
      <c r="K160" s="569">
        <v>78</v>
      </c>
      <c r="L160" s="566"/>
      <c r="M160" s="566" t="s">
        <v>476</v>
      </c>
      <c r="N160" s="570">
        <v>1731</v>
      </c>
      <c r="O160" s="566"/>
      <c r="P160" s="566" t="s">
        <v>477</v>
      </c>
      <c r="Q160" s="568">
        <v>909678</v>
      </c>
      <c r="R160" s="568">
        <v>45</v>
      </c>
      <c r="S160" s="566" t="s">
        <v>1377</v>
      </c>
      <c r="T160" s="571" t="s">
        <v>467</v>
      </c>
      <c r="U160" s="571" t="s">
        <v>550</v>
      </c>
      <c r="V160" s="571" t="s">
        <v>517</v>
      </c>
      <c r="W160" s="572" t="s">
        <v>1358</v>
      </c>
      <c r="X160" s="571" t="s">
        <v>1337</v>
      </c>
      <c r="Y160" s="571" t="s">
        <v>1367</v>
      </c>
      <c r="Z160" s="566" t="s">
        <v>1495</v>
      </c>
      <c r="AA160" s="573">
        <v>1731</v>
      </c>
      <c r="AB160" s="571"/>
    </row>
    <row r="161" spans="1:28" hidden="1">
      <c r="A161" s="566" t="s">
        <v>1335</v>
      </c>
      <c r="B161" s="566" t="s">
        <v>466</v>
      </c>
      <c r="C161" s="566" t="s">
        <v>553</v>
      </c>
      <c r="D161" s="566" t="s">
        <v>472</v>
      </c>
      <c r="E161" s="566" t="s">
        <v>473</v>
      </c>
      <c r="F161" s="566" t="s">
        <v>554</v>
      </c>
      <c r="G161" s="567">
        <v>13</v>
      </c>
      <c r="H161" s="566" t="s">
        <v>599</v>
      </c>
      <c r="I161" s="568">
        <v>2</v>
      </c>
      <c r="J161" s="569">
        <v>22</v>
      </c>
      <c r="K161" s="569">
        <v>22</v>
      </c>
      <c r="L161" s="569">
        <v>17</v>
      </c>
      <c r="M161" s="566" t="s">
        <v>476</v>
      </c>
      <c r="N161" s="570">
        <v>156</v>
      </c>
      <c r="O161" s="566"/>
      <c r="P161" s="566" t="s">
        <v>477</v>
      </c>
      <c r="Q161" s="568">
        <v>909678</v>
      </c>
      <c r="R161" s="568">
        <v>9</v>
      </c>
      <c r="S161" s="566" t="s">
        <v>1379</v>
      </c>
      <c r="T161" s="571" t="s">
        <v>467</v>
      </c>
      <c r="U161" s="571" t="s">
        <v>550</v>
      </c>
      <c r="V161" s="571" t="s">
        <v>517</v>
      </c>
      <c r="W161" s="572" t="s">
        <v>551</v>
      </c>
      <c r="X161" s="571" t="s">
        <v>1380</v>
      </c>
      <c r="Y161" s="571" t="s">
        <v>1338</v>
      </c>
      <c r="Z161" s="566" t="s">
        <v>598</v>
      </c>
      <c r="AA161" s="573">
        <v>156</v>
      </c>
      <c r="AB161" s="571">
        <v>260055</v>
      </c>
    </row>
    <row r="162" spans="1:28" hidden="1">
      <c r="A162" s="566" t="s">
        <v>1335</v>
      </c>
      <c r="B162" s="566" t="s">
        <v>466</v>
      </c>
      <c r="C162" s="566" t="s">
        <v>553</v>
      </c>
      <c r="D162" s="566" t="s">
        <v>472</v>
      </c>
      <c r="E162" s="566" t="s">
        <v>473</v>
      </c>
      <c r="F162" s="566" t="s">
        <v>554</v>
      </c>
      <c r="G162" s="567">
        <v>16</v>
      </c>
      <c r="H162" s="566" t="s">
        <v>601</v>
      </c>
      <c r="I162" s="568">
        <v>2</v>
      </c>
      <c r="J162" s="569">
        <v>22</v>
      </c>
      <c r="K162" s="569">
        <v>22</v>
      </c>
      <c r="L162" s="569">
        <v>17</v>
      </c>
      <c r="M162" s="566" t="s">
        <v>476</v>
      </c>
      <c r="N162" s="570">
        <v>300</v>
      </c>
      <c r="O162" s="566"/>
      <c r="P162" s="566" t="s">
        <v>477</v>
      </c>
      <c r="Q162" s="568">
        <v>909678</v>
      </c>
      <c r="R162" s="568">
        <v>4</v>
      </c>
      <c r="S162" s="566" t="s">
        <v>1381</v>
      </c>
      <c r="T162" s="571" t="s">
        <v>467</v>
      </c>
      <c r="U162" s="571" t="s">
        <v>550</v>
      </c>
      <c r="V162" s="571" t="s">
        <v>517</v>
      </c>
      <c r="W162" s="572" t="s">
        <v>556</v>
      </c>
      <c r="X162" s="571" t="s">
        <v>1380</v>
      </c>
      <c r="Y162" s="571" t="s">
        <v>1338</v>
      </c>
      <c r="Z162" s="566" t="s">
        <v>600</v>
      </c>
      <c r="AA162" s="573">
        <v>300</v>
      </c>
      <c r="AB162" s="571">
        <v>260199</v>
      </c>
    </row>
    <row r="163" spans="1:28" hidden="1">
      <c r="A163" s="566" t="s">
        <v>1335</v>
      </c>
      <c r="B163" s="566" t="s">
        <v>466</v>
      </c>
      <c r="C163" s="566" t="s">
        <v>471</v>
      </c>
      <c r="D163" s="566" t="s">
        <v>472</v>
      </c>
      <c r="E163" s="566" t="s">
        <v>473</v>
      </c>
      <c r="F163" s="566" t="s">
        <v>474</v>
      </c>
      <c r="G163" s="567">
        <v>0</v>
      </c>
      <c r="H163" s="566" t="s">
        <v>561</v>
      </c>
      <c r="I163" s="568">
        <v>2</v>
      </c>
      <c r="J163" s="569">
        <v>6</v>
      </c>
      <c r="K163" s="569">
        <v>6</v>
      </c>
      <c r="L163" s="566"/>
      <c r="M163" s="566" t="s">
        <v>476</v>
      </c>
      <c r="N163" s="570">
        <v>471</v>
      </c>
      <c r="O163" s="566"/>
      <c r="P163" s="566" t="s">
        <v>477</v>
      </c>
      <c r="Q163" s="568">
        <v>909678</v>
      </c>
      <c r="R163" s="568">
        <v>10</v>
      </c>
      <c r="S163" s="566" t="s">
        <v>1382</v>
      </c>
      <c r="T163" s="571" t="s">
        <v>467</v>
      </c>
      <c r="U163" s="571" t="s">
        <v>550</v>
      </c>
      <c r="V163" s="571" t="s">
        <v>517</v>
      </c>
      <c r="W163" s="572" t="s">
        <v>1274</v>
      </c>
      <c r="X163" s="571" t="s">
        <v>1380</v>
      </c>
      <c r="Y163" s="571" t="s">
        <v>1338</v>
      </c>
      <c r="Z163" s="566" t="s">
        <v>602</v>
      </c>
      <c r="AA163" s="573">
        <v>471</v>
      </c>
      <c r="AB163" s="571"/>
    </row>
    <row r="164" spans="1:28" hidden="1">
      <c r="A164" s="566" t="s">
        <v>1335</v>
      </c>
      <c r="B164" s="566" t="s">
        <v>466</v>
      </c>
      <c r="C164" s="566" t="s">
        <v>471</v>
      </c>
      <c r="D164" s="566" t="s">
        <v>472</v>
      </c>
      <c r="E164" s="566" t="s">
        <v>473</v>
      </c>
      <c r="F164" s="566" t="s">
        <v>474</v>
      </c>
      <c r="G164" s="567">
        <v>0</v>
      </c>
      <c r="H164" s="566" t="s">
        <v>564</v>
      </c>
      <c r="I164" s="568">
        <v>2</v>
      </c>
      <c r="J164" s="569">
        <v>6</v>
      </c>
      <c r="K164" s="569">
        <v>6</v>
      </c>
      <c r="L164" s="566"/>
      <c r="M164" s="566" t="s">
        <v>476</v>
      </c>
      <c r="N164" s="570">
        <v>543</v>
      </c>
      <c r="O164" s="566"/>
      <c r="P164" s="566" t="s">
        <v>477</v>
      </c>
      <c r="Q164" s="568">
        <v>909678</v>
      </c>
      <c r="R164" s="568">
        <v>15</v>
      </c>
      <c r="S164" s="566" t="s">
        <v>483</v>
      </c>
      <c r="T164" s="571" t="s">
        <v>467</v>
      </c>
      <c r="U164" s="571" t="s">
        <v>550</v>
      </c>
      <c r="V164" s="571" t="s">
        <v>517</v>
      </c>
      <c r="W164" s="572" t="s">
        <v>1275</v>
      </c>
      <c r="X164" s="571" t="s">
        <v>1380</v>
      </c>
      <c r="Y164" s="571" t="s">
        <v>1338</v>
      </c>
      <c r="Z164" s="566" t="s">
        <v>603</v>
      </c>
      <c r="AA164" s="573">
        <v>543</v>
      </c>
      <c r="AB164" s="571"/>
    </row>
    <row r="165" spans="1:28" hidden="1">
      <c r="A165" s="566" t="s">
        <v>1335</v>
      </c>
      <c r="B165" s="566" t="s">
        <v>466</v>
      </c>
      <c r="C165" s="566" t="s">
        <v>487</v>
      </c>
      <c r="D165" s="566" t="s">
        <v>472</v>
      </c>
      <c r="E165" s="566" t="s">
        <v>473</v>
      </c>
      <c r="F165" s="566" t="s">
        <v>489</v>
      </c>
      <c r="G165" s="567">
        <v>50</v>
      </c>
      <c r="H165" s="566" t="s">
        <v>566</v>
      </c>
      <c r="I165" s="568">
        <v>2</v>
      </c>
      <c r="J165" s="569">
        <v>6</v>
      </c>
      <c r="K165" s="569">
        <v>6</v>
      </c>
      <c r="L165" s="566"/>
      <c r="M165" s="566" t="s">
        <v>476</v>
      </c>
      <c r="N165" s="570">
        <v>579</v>
      </c>
      <c r="O165" s="566"/>
      <c r="P165" s="566" t="s">
        <v>477</v>
      </c>
      <c r="Q165" s="568">
        <v>909678</v>
      </c>
      <c r="R165" s="568">
        <v>16</v>
      </c>
      <c r="S165" s="566" t="s">
        <v>488</v>
      </c>
      <c r="T165" s="571" t="s">
        <v>467</v>
      </c>
      <c r="U165" s="571" t="s">
        <v>550</v>
      </c>
      <c r="V165" s="571" t="s">
        <v>517</v>
      </c>
      <c r="W165" s="572" t="s">
        <v>485</v>
      </c>
      <c r="X165" s="571" t="s">
        <v>1380</v>
      </c>
      <c r="Y165" s="571" t="s">
        <v>1338</v>
      </c>
      <c r="Z165" s="566" t="s">
        <v>604</v>
      </c>
      <c r="AA165" s="573">
        <v>579</v>
      </c>
      <c r="AB165" s="571"/>
    </row>
    <row r="166" spans="1:28" hidden="1">
      <c r="A166" s="566" t="s">
        <v>1335</v>
      </c>
      <c r="B166" s="566" t="s">
        <v>466</v>
      </c>
      <c r="C166" s="566" t="s">
        <v>487</v>
      </c>
      <c r="D166" s="566" t="s">
        <v>472</v>
      </c>
      <c r="E166" s="566" t="s">
        <v>473</v>
      </c>
      <c r="F166" s="566" t="s">
        <v>489</v>
      </c>
      <c r="G166" s="567">
        <v>50</v>
      </c>
      <c r="H166" s="566" t="s">
        <v>568</v>
      </c>
      <c r="I166" s="568">
        <v>2</v>
      </c>
      <c r="J166" s="569">
        <v>6</v>
      </c>
      <c r="K166" s="569">
        <v>6</v>
      </c>
      <c r="L166" s="566"/>
      <c r="M166" s="566" t="s">
        <v>476</v>
      </c>
      <c r="N166" s="570">
        <v>615</v>
      </c>
      <c r="O166" s="566"/>
      <c r="P166" s="566" t="s">
        <v>477</v>
      </c>
      <c r="Q166" s="568">
        <v>909678</v>
      </c>
      <c r="R166" s="568">
        <v>17</v>
      </c>
      <c r="S166" s="566" t="s">
        <v>493</v>
      </c>
      <c r="T166" s="571" t="s">
        <v>467</v>
      </c>
      <c r="U166" s="571" t="s">
        <v>550</v>
      </c>
      <c r="V166" s="571" t="s">
        <v>517</v>
      </c>
      <c r="W166" s="572" t="s">
        <v>491</v>
      </c>
      <c r="X166" s="571" t="s">
        <v>1380</v>
      </c>
      <c r="Y166" s="571" t="s">
        <v>1338</v>
      </c>
      <c r="Z166" s="566" t="s">
        <v>605</v>
      </c>
      <c r="AA166" s="573">
        <v>615</v>
      </c>
      <c r="AB166" s="571"/>
    </row>
    <row r="167" spans="1:28" hidden="1">
      <c r="A167" s="566" t="s">
        <v>1335</v>
      </c>
      <c r="B167" s="566" t="s">
        <v>466</v>
      </c>
      <c r="C167" s="566" t="s">
        <v>487</v>
      </c>
      <c r="D167" s="566" t="s">
        <v>472</v>
      </c>
      <c r="E167" s="566" t="s">
        <v>473</v>
      </c>
      <c r="F167" s="566" t="s">
        <v>489</v>
      </c>
      <c r="G167" s="567">
        <v>50</v>
      </c>
      <c r="H167" s="566" t="s">
        <v>570</v>
      </c>
      <c r="I167" s="568">
        <v>2</v>
      </c>
      <c r="J167" s="569">
        <v>6</v>
      </c>
      <c r="K167" s="569">
        <v>6</v>
      </c>
      <c r="L167" s="566"/>
      <c r="M167" s="566" t="s">
        <v>476</v>
      </c>
      <c r="N167" s="570">
        <v>651</v>
      </c>
      <c r="O167" s="566"/>
      <c r="P167" s="566" t="s">
        <v>477</v>
      </c>
      <c r="Q167" s="568">
        <v>909678</v>
      </c>
      <c r="R167" s="568">
        <v>18</v>
      </c>
      <c r="S167" s="566" t="s">
        <v>497</v>
      </c>
      <c r="T167" s="571" t="s">
        <v>467</v>
      </c>
      <c r="U167" s="571" t="s">
        <v>550</v>
      </c>
      <c r="V167" s="571" t="s">
        <v>517</v>
      </c>
      <c r="W167" s="572" t="s">
        <v>495</v>
      </c>
      <c r="X167" s="571" t="s">
        <v>1380</v>
      </c>
      <c r="Y167" s="571" t="s">
        <v>1338</v>
      </c>
      <c r="Z167" s="566" t="s">
        <v>606</v>
      </c>
      <c r="AA167" s="573">
        <v>651</v>
      </c>
      <c r="AB167" s="571"/>
    </row>
    <row r="168" spans="1:28" hidden="1">
      <c r="A168" s="566" t="s">
        <v>1335</v>
      </c>
      <c r="B168" s="566" t="s">
        <v>466</v>
      </c>
      <c r="C168" s="566" t="s">
        <v>487</v>
      </c>
      <c r="D168" s="566" t="s">
        <v>472</v>
      </c>
      <c r="E168" s="566" t="s">
        <v>473</v>
      </c>
      <c r="F168" s="566" t="s">
        <v>489</v>
      </c>
      <c r="G168" s="567">
        <v>50</v>
      </c>
      <c r="H168" s="566" t="s">
        <v>573</v>
      </c>
      <c r="I168" s="568">
        <v>2</v>
      </c>
      <c r="J168" s="569">
        <v>6</v>
      </c>
      <c r="K168" s="569">
        <v>6</v>
      </c>
      <c r="L168" s="566"/>
      <c r="M168" s="566" t="s">
        <v>476</v>
      </c>
      <c r="N168" s="570">
        <v>723</v>
      </c>
      <c r="O168" s="566"/>
      <c r="P168" s="566" t="s">
        <v>477</v>
      </c>
      <c r="Q168" s="568">
        <v>909678</v>
      </c>
      <c r="R168" s="568">
        <v>19</v>
      </c>
      <c r="S168" s="566" t="s">
        <v>502</v>
      </c>
      <c r="T168" s="571" t="s">
        <v>467</v>
      </c>
      <c r="U168" s="571" t="s">
        <v>550</v>
      </c>
      <c r="V168" s="571" t="s">
        <v>517</v>
      </c>
      <c r="W168" s="572" t="s">
        <v>1276</v>
      </c>
      <c r="X168" s="571" t="s">
        <v>1380</v>
      </c>
      <c r="Y168" s="571" t="s">
        <v>1338</v>
      </c>
      <c r="Z168" s="566" t="s">
        <v>607</v>
      </c>
      <c r="AA168" s="573">
        <v>723</v>
      </c>
      <c r="AB168" s="571"/>
    </row>
    <row r="169" spans="1:28" hidden="1">
      <c r="A169" s="566" t="s">
        <v>1335</v>
      </c>
      <c r="B169" s="566" t="s">
        <v>466</v>
      </c>
      <c r="C169" s="566" t="s">
        <v>487</v>
      </c>
      <c r="D169" s="566" t="s">
        <v>472</v>
      </c>
      <c r="E169" s="566" t="s">
        <v>473</v>
      </c>
      <c r="F169" s="566" t="s">
        <v>489</v>
      </c>
      <c r="G169" s="567">
        <v>50</v>
      </c>
      <c r="H169" s="566" t="s">
        <v>576</v>
      </c>
      <c r="I169" s="568">
        <v>2</v>
      </c>
      <c r="J169" s="569">
        <v>6</v>
      </c>
      <c r="K169" s="569">
        <v>6</v>
      </c>
      <c r="L169" s="566"/>
      <c r="M169" s="566" t="s">
        <v>476</v>
      </c>
      <c r="N169" s="570">
        <v>795</v>
      </c>
      <c r="O169" s="566"/>
      <c r="P169" s="566" t="s">
        <v>477</v>
      </c>
      <c r="Q169" s="568">
        <v>909678</v>
      </c>
      <c r="R169" s="568">
        <v>21</v>
      </c>
      <c r="S169" s="566" t="s">
        <v>507</v>
      </c>
      <c r="T169" s="571" t="s">
        <v>467</v>
      </c>
      <c r="U169" s="571" t="s">
        <v>550</v>
      </c>
      <c r="V169" s="571" t="s">
        <v>517</v>
      </c>
      <c r="W169" s="572" t="s">
        <v>1277</v>
      </c>
      <c r="X169" s="571" t="s">
        <v>1380</v>
      </c>
      <c r="Y169" s="571" t="s">
        <v>1338</v>
      </c>
      <c r="Z169" s="566" t="s">
        <v>608</v>
      </c>
      <c r="AA169" s="573">
        <v>795</v>
      </c>
      <c r="AB169" s="571"/>
    </row>
    <row r="170" spans="1:28" hidden="1">
      <c r="A170" s="566" t="s">
        <v>1335</v>
      </c>
      <c r="B170" s="566" t="s">
        <v>466</v>
      </c>
      <c r="C170" s="566" t="s">
        <v>471</v>
      </c>
      <c r="D170" s="566" t="s">
        <v>472</v>
      </c>
      <c r="E170" s="566" t="s">
        <v>473</v>
      </c>
      <c r="F170" s="566" t="s">
        <v>474</v>
      </c>
      <c r="G170" s="567">
        <v>0</v>
      </c>
      <c r="H170" s="566" t="s">
        <v>1352</v>
      </c>
      <c r="I170" s="568">
        <v>2</v>
      </c>
      <c r="J170" s="569">
        <v>6</v>
      </c>
      <c r="K170" s="569">
        <v>6</v>
      </c>
      <c r="L170" s="566"/>
      <c r="M170" s="566" t="s">
        <v>476</v>
      </c>
      <c r="N170" s="570">
        <v>831</v>
      </c>
      <c r="O170" s="566"/>
      <c r="P170" s="566" t="s">
        <v>477</v>
      </c>
      <c r="Q170" s="568">
        <v>909678</v>
      </c>
      <c r="R170" s="568">
        <v>46</v>
      </c>
      <c r="S170" s="566" t="s">
        <v>1383</v>
      </c>
      <c r="T170" s="571" t="s">
        <v>467</v>
      </c>
      <c r="U170" s="571" t="s">
        <v>550</v>
      </c>
      <c r="V170" s="571" t="s">
        <v>517</v>
      </c>
      <c r="W170" s="572" t="s">
        <v>1354</v>
      </c>
      <c r="X170" s="571" t="s">
        <v>1380</v>
      </c>
      <c r="Y170" s="571" t="s">
        <v>1338</v>
      </c>
      <c r="Z170" s="566" t="s">
        <v>1496</v>
      </c>
      <c r="AA170" s="573">
        <v>831</v>
      </c>
      <c r="AB170" s="571"/>
    </row>
    <row r="171" spans="1:28" hidden="1">
      <c r="A171" s="566" t="s">
        <v>1335</v>
      </c>
      <c r="B171" s="566" t="s">
        <v>466</v>
      </c>
      <c r="C171" s="566" t="s">
        <v>487</v>
      </c>
      <c r="D171" s="566" t="s">
        <v>472</v>
      </c>
      <c r="E171" s="566" t="s">
        <v>473</v>
      </c>
      <c r="F171" s="566" t="s">
        <v>489</v>
      </c>
      <c r="G171" s="567">
        <v>50</v>
      </c>
      <c r="H171" s="566" t="s">
        <v>1356</v>
      </c>
      <c r="I171" s="568">
        <v>2</v>
      </c>
      <c r="J171" s="569">
        <v>6</v>
      </c>
      <c r="K171" s="569">
        <v>6</v>
      </c>
      <c r="L171" s="566"/>
      <c r="M171" s="566" t="s">
        <v>476</v>
      </c>
      <c r="N171" s="570">
        <v>867</v>
      </c>
      <c r="O171" s="566"/>
      <c r="P171" s="566" t="s">
        <v>477</v>
      </c>
      <c r="Q171" s="568">
        <v>909678</v>
      </c>
      <c r="R171" s="568">
        <v>47</v>
      </c>
      <c r="S171" s="566" t="s">
        <v>1385</v>
      </c>
      <c r="T171" s="571" t="s">
        <v>467</v>
      </c>
      <c r="U171" s="571" t="s">
        <v>550</v>
      </c>
      <c r="V171" s="571" t="s">
        <v>517</v>
      </c>
      <c r="W171" s="572" t="s">
        <v>1358</v>
      </c>
      <c r="X171" s="571" t="s">
        <v>1380</v>
      </c>
      <c r="Y171" s="571" t="s">
        <v>1338</v>
      </c>
      <c r="Z171" s="566" t="s">
        <v>1497</v>
      </c>
      <c r="AA171" s="573">
        <v>867</v>
      </c>
      <c r="AB171" s="571"/>
    </row>
    <row r="172" spans="1:28" hidden="1">
      <c r="A172" s="566" t="s">
        <v>1335</v>
      </c>
      <c r="B172" s="566" t="s">
        <v>466</v>
      </c>
      <c r="C172" s="566" t="s">
        <v>553</v>
      </c>
      <c r="D172" s="566" t="s">
        <v>472</v>
      </c>
      <c r="E172" s="566" t="s">
        <v>473</v>
      </c>
      <c r="F172" s="566" t="s">
        <v>554</v>
      </c>
      <c r="G172" s="567">
        <v>13</v>
      </c>
      <c r="H172" s="566" t="s">
        <v>610</v>
      </c>
      <c r="I172" s="568">
        <v>2</v>
      </c>
      <c r="J172" s="569">
        <v>22</v>
      </c>
      <c r="K172" s="569">
        <v>22</v>
      </c>
      <c r="L172" s="569">
        <v>17</v>
      </c>
      <c r="M172" s="566" t="s">
        <v>476</v>
      </c>
      <c r="N172" s="570">
        <v>180</v>
      </c>
      <c r="O172" s="566"/>
      <c r="P172" s="566" t="s">
        <v>477</v>
      </c>
      <c r="Q172" s="568">
        <v>909678</v>
      </c>
      <c r="R172" s="568">
        <v>1</v>
      </c>
      <c r="S172" s="566" t="s">
        <v>1387</v>
      </c>
      <c r="T172" s="571" t="s">
        <v>467</v>
      </c>
      <c r="U172" s="571" t="s">
        <v>550</v>
      </c>
      <c r="V172" s="571" t="s">
        <v>517</v>
      </c>
      <c r="W172" s="572" t="s">
        <v>577</v>
      </c>
      <c r="X172" s="571" t="s">
        <v>1380</v>
      </c>
      <c r="Y172" s="571" t="s">
        <v>1338</v>
      </c>
      <c r="Z172" s="566" t="s">
        <v>609</v>
      </c>
      <c r="AA172" s="573">
        <v>180</v>
      </c>
      <c r="AB172" s="571">
        <v>260079</v>
      </c>
    </row>
    <row r="173" spans="1:28" hidden="1">
      <c r="A173" s="566" t="s">
        <v>1335</v>
      </c>
      <c r="B173" s="566" t="s">
        <v>466</v>
      </c>
      <c r="C173" s="566" t="s">
        <v>553</v>
      </c>
      <c r="D173" s="566" t="s">
        <v>472</v>
      </c>
      <c r="E173" s="566" t="s">
        <v>473</v>
      </c>
      <c r="F173" s="566" t="s">
        <v>554</v>
      </c>
      <c r="G173" s="567">
        <v>13</v>
      </c>
      <c r="H173" s="566" t="s">
        <v>612</v>
      </c>
      <c r="I173" s="568">
        <v>2</v>
      </c>
      <c r="J173" s="569">
        <v>22</v>
      </c>
      <c r="K173" s="569">
        <v>22</v>
      </c>
      <c r="L173" s="569">
        <v>17</v>
      </c>
      <c r="M173" s="566" t="s">
        <v>476</v>
      </c>
      <c r="N173" s="570">
        <v>204</v>
      </c>
      <c r="O173" s="566"/>
      <c r="P173" s="566" t="s">
        <v>477</v>
      </c>
      <c r="Q173" s="568">
        <v>909678</v>
      </c>
      <c r="R173" s="568">
        <v>2</v>
      </c>
      <c r="S173" s="566" t="s">
        <v>1388</v>
      </c>
      <c r="T173" s="571" t="s">
        <v>467</v>
      </c>
      <c r="U173" s="571" t="s">
        <v>550</v>
      </c>
      <c r="V173" s="571" t="s">
        <v>517</v>
      </c>
      <c r="W173" s="572" t="s">
        <v>580</v>
      </c>
      <c r="X173" s="571" t="s">
        <v>1380</v>
      </c>
      <c r="Y173" s="571" t="s">
        <v>1338</v>
      </c>
      <c r="Z173" s="566" t="s">
        <v>611</v>
      </c>
      <c r="AA173" s="573">
        <v>204</v>
      </c>
      <c r="AB173" s="571">
        <v>260103</v>
      </c>
    </row>
    <row r="174" spans="1:28" hidden="1">
      <c r="A174" s="566" t="s">
        <v>1335</v>
      </c>
      <c r="B174" s="566" t="s">
        <v>466</v>
      </c>
      <c r="C174" s="566" t="s">
        <v>553</v>
      </c>
      <c r="D174" s="566" t="s">
        <v>472</v>
      </c>
      <c r="E174" s="566" t="s">
        <v>473</v>
      </c>
      <c r="F174" s="566" t="s">
        <v>554</v>
      </c>
      <c r="G174" s="567">
        <v>16</v>
      </c>
      <c r="H174" s="566" t="s">
        <v>614</v>
      </c>
      <c r="I174" s="568">
        <v>2</v>
      </c>
      <c r="J174" s="569">
        <v>22</v>
      </c>
      <c r="K174" s="569">
        <v>22</v>
      </c>
      <c r="L174" s="569">
        <v>17</v>
      </c>
      <c r="M174" s="566" t="s">
        <v>476</v>
      </c>
      <c r="N174" s="570">
        <v>228</v>
      </c>
      <c r="O174" s="566"/>
      <c r="P174" s="566" t="s">
        <v>477</v>
      </c>
      <c r="Q174" s="568">
        <v>909678</v>
      </c>
      <c r="R174" s="568">
        <v>12</v>
      </c>
      <c r="S174" s="566" t="s">
        <v>1389</v>
      </c>
      <c r="T174" s="571" t="s">
        <v>467</v>
      </c>
      <c r="U174" s="571" t="s">
        <v>550</v>
      </c>
      <c r="V174" s="571" t="s">
        <v>517</v>
      </c>
      <c r="W174" s="572" t="s">
        <v>583</v>
      </c>
      <c r="X174" s="571" t="s">
        <v>1380</v>
      </c>
      <c r="Y174" s="571" t="s">
        <v>1338</v>
      </c>
      <c r="Z174" s="566" t="s">
        <v>613</v>
      </c>
      <c r="AA174" s="573">
        <v>228</v>
      </c>
      <c r="AB174" s="571">
        <v>260127</v>
      </c>
    </row>
    <row r="175" spans="1:28" hidden="1">
      <c r="A175" s="566" t="s">
        <v>1335</v>
      </c>
      <c r="B175" s="566" t="s">
        <v>466</v>
      </c>
      <c r="C175" s="566" t="s">
        <v>553</v>
      </c>
      <c r="D175" s="566" t="s">
        <v>472</v>
      </c>
      <c r="E175" s="566" t="s">
        <v>473</v>
      </c>
      <c r="F175" s="566" t="s">
        <v>554</v>
      </c>
      <c r="G175" s="567">
        <v>16</v>
      </c>
      <c r="H175" s="566" t="s">
        <v>616</v>
      </c>
      <c r="I175" s="568">
        <v>2</v>
      </c>
      <c r="J175" s="569">
        <v>22</v>
      </c>
      <c r="K175" s="569">
        <v>22</v>
      </c>
      <c r="L175" s="569">
        <v>17</v>
      </c>
      <c r="M175" s="566" t="s">
        <v>476</v>
      </c>
      <c r="N175" s="570">
        <v>252</v>
      </c>
      <c r="O175" s="566"/>
      <c r="P175" s="566" t="s">
        <v>477</v>
      </c>
      <c r="Q175" s="568">
        <v>909678</v>
      </c>
      <c r="R175" s="568">
        <v>3</v>
      </c>
      <c r="S175" s="566" t="s">
        <v>1390</v>
      </c>
      <c r="T175" s="571" t="s">
        <v>467</v>
      </c>
      <c r="U175" s="571" t="s">
        <v>550</v>
      </c>
      <c r="V175" s="571" t="s">
        <v>517</v>
      </c>
      <c r="W175" s="572" t="s">
        <v>586</v>
      </c>
      <c r="X175" s="571" t="s">
        <v>1380</v>
      </c>
      <c r="Y175" s="571" t="s">
        <v>1338</v>
      </c>
      <c r="Z175" s="566" t="s">
        <v>615</v>
      </c>
      <c r="AA175" s="573">
        <v>252</v>
      </c>
      <c r="AB175" s="571">
        <v>260151</v>
      </c>
    </row>
    <row r="176" spans="1:28" hidden="1">
      <c r="A176" s="566" t="s">
        <v>1335</v>
      </c>
      <c r="B176" s="566" t="s">
        <v>466</v>
      </c>
      <c r="C176" s="566" t="s">
        <v>553</v>
      </c>
      <c r="D176" s="566" t="s">
        <v>472</v>
      </c>
      <c r="E176" s="566" t="s">
        <v>473</v>
      </c>
      <c r="F176" s="566" t="s">
        <v>554</v>
      </c>
      <c r="G176" s="567">
        <v>16</v>
      </c>
      <c r="H176" s="566" t="s">
        <v>618</v>
      </c>
      <c r="I176" s="568">
        <v>2</v>
      </c>
      <c r="J176" s="569">
        <v>22</v>
      </c>
      <c r="K176" s="569">
        <v>22</v>
      </c>
      <c r="L176" s="569">
        <v>17</v>
      </c>
      <c r="M176" s="566" t="s">
        <v>476</v>
      </c>
      <c r="N176" s="570">
        <v>276</v>
      </c>
      <c r="O176" s="566"/>
      <c r="P176" s="566" t="s">
        <v>477</v>
      </c>
      <c r="Q176" s="568">
        <v>909678</v>
      </c>
      <c r="R176" s="568">
        <v>13</v>
      </c>
      <c r="S176" s="566" t="s">
        <v>1391</v>
      </c>
      <c r="T176" s="571" t="s">
        <v>467</v>
      </c>
      <c r="U176" s="571" t="s">
        <v>550</v>
      </c>
      <c r="V176" s="571" t="s">
        <v>517</v>
      </c>
      <c r="W176" s="572" t="s">
        <v>589</v>
      </c>
      <c r="X176" s="571" t="s">
        <v>1380</v>
      </c>
      <c r="Y176" s="571" t="s">
        <v>1338</v>
      </c>
      <c r="Z176" s="566" t="s">
        <v>617</v>
      </c>
      <c r="AA176" s="573">
        <v>276</v>
      </c>
      <c r="AB176" s="571">
        <v>260175</v>
      </c>
    </row>
    <row r="177" spans="1:28" hidden="1">
      <c r="A177" s="566" t="s">
        <v>1335</v>
      </c>
      <c r="B177" s="566" t="s">
        <v>466</v>
      </c>
      <c r="C177" s="566" t="s">
        <v>471</v>
      </c>
      <c r="D177" s="566" t="s">
        <v>472</v>
      </c>
      <c r="E177" s="566" t="s">
        <v>473</v>
      </c>
      <c r="F177" s="566" t="s">
        <v>474</v>
      </c>
      <c r="G177" s="567">
        <v>0</v>
      </c>
      <c r="H177" s="566" t="s">
        <v>593</v>
      </c>
      <c r="I177" s="568">
        <v>1</v>
      </c>
      <c r="J177" s="569">
        <v>6</v>
      </c>
      <c r="K177" s="569">
        <v>6</v>
      </c>
      <c r="L177" s="566"/>
      <c r="M177" s="566" t="s">
        <v>476</v>
      </c>
      <c r="N177" s="570">
        <v>327</v>
      </c>
      <c r="O177" s="566"/>
      <c r="P177" s="566" t="s">
        <v>477</v>
      </c>
      <c r="Q177" s="568">
        <v>909678</v>
      </c>
      <c r="R177" s="568">
        <v>5</v>
      </c>
      <c r="S177" s="566" t="s">
        <v>1392</v>
      </c>
      <c r="T177" s="571" t="s">
        <v>467</v>
      </c>
      <c r="U177" s="571" t="s">
        <v>550</v>
      </c>
      <c r="V177" s="571" t="s">
        <v>517</v>
      </c>
      <c r="W177" s="572" t="s">
        <v>509</v>
      </c>
      <c r="X177" s="571" t="s">
        <v>1380</v>
      </c>
      <c r="Y177" s="571" t="s">
        <v>1338</v>
      </c>
      <c r="Z177" s="566" t="s">
        <v>619</v>
      </c>
      <c r="AA177" s="573">
        <v>327</v>
      </c>
      <c r="AB177" s="571"/>
    </row>
    <row r="178" spans="1:28" hidden="1">
      <c r="A178" s="566" t="s">
        <v>1335</v>
      </c>
      <c r="B178" s="566" t="s">
        <v>466</v>
      </c>
      <c r="C178" s="566" t="s">
        <v>471</v>
      </c>
      <c r="D178" s="566" t="s">
        <v>472</v>
      </c>
      <c r="E178" s="566" t="s">
        <v>473</v>
      </c>
      <c r="F178" s="566" t="s">
        <v>474</v>
      </c>
      <c r="G178" s="567">
        <v>0</v>
      </c>
      <c r="H178" s="566" t="s">
        <v>595</v>
      </c>
      <c r="I178" s="568">
        <v>2</v>
      </c>
      <c r="J178" s="569">
        <v>6</v>
      </c>
      <c r="K178" s="569">
        <v>6</v>
      </c>
      <c r="L178" s="566"/>
      <c r="M178" s="566" t="s">
        <v>476</v>
      </c>
      <c r="N178" s="570">
        <v>363</v>
      </c>
      <c r="O178" s="566"/>
      <c r="P178" s="566" t="s">
        <v>477</v>
      </c>
      <c r="Q178" s="568">
        <v>909678</v>
      </c>
      <c r="R178" s="568">
        <v>6</v>
      </c>
      <c r="S178" s="566" t="s">
        <v>1393</v>
      </c>
      <c r="T178" s="571" t="s">
        <v>467</v>
      </c>
      <c r="U178" s="571" t="s">
        <v>550</v>
      </c>
      <c r="V178" s="571" t="s">
        <v>517</v>
      </c>
      <c r="W178" s="572" t="s">
        <v>512</v>
      </c>
      <c r="X178" s="571" t="s">
        <v>1380</v>
      </c>
      <c r="Y178" s="571" t="s">
        <v>1338</v>
      </c>
      <c r="Z178" s="566" t="s">
        <v>620</v>
      </c>
      <c r="AA178" s="573">
        <v>363</v>
      </c>
      <c r="AB178" s="571"/>
    </row>
    <row r="179" spans="1:28" hidden="1">
      <c r="A179" s="566" t="s">
        <v>1335</v>
      </c>
      <c r="B179" s="566" t="s">
        <v>466</v>
      </c>
      <c r="C179" s="566" t="s">
        <v>471</v>
      </c>
      <c r="D179" s="566" t="s">
        <v>472</v>
      </c>
      <c r="E179" s="566" t="s">
        <v>473</v>
      </c>
      <c r="F179" s="566" t="s">
        <v>474</v>
      </c>
      <c r="G179" s="567">
        <v>0</v>
      </c>
      <c r="H179" s="566" t="s">
        <v>597</v>
      </c>
      <c r="I179" s="568">
        <v>2</v>
      </c>
      <c r="J179" s="569">
        <v>6</v>
      </c>
      <c r="K179" s="569">
        <v>6</v>
      </c>
      <c r="L179" s="566"/>
      <c r="M179" s="566" t="s">
        <v>476</v>
      </c>
      <c r="N179" s="570">
        <v>399</v>
      </c>
      <c r="O179" s="566"/>
      <c r="P179" s="566" t="s">
        <v>477</v>
      </c>
      <c r="Q179" s="568">
        <v>909678</v>
      </c>
      <c r="R179" s="568">
        <v>14</v>
      </c>
      <c r="S179" s="566" t="s">
        <v>1394</v>
      </c>
      <c r="T179" s="571" t="s">
        <v>467</v>
      </c>
      <c r="U179" s="571" t="s">
        <v>550</v>
      </c>
      <c r="V179" s="571" t="s">
        <v>517</v>
      </c>
      <c r="W179" s="572" t="s">
        <v>514</v>
      </c>
      <c r="X179" s="571" t="s">
        <v>1380</v>
      </c>
      <c r="Y179" s="571" t="s">
        <v>1338</v>
      </c>
      <c r="Z179" s="566" t="s">
        <v>621</v>
      </c>
      <c r="AA179" s="573">
        <v>399</v>
      </c>
      <c r="AB179" s="571"/>
    </row>
    <row r="180" spans="1:28" hidden="1">
      <c r="A180" s="566" t="s">
        <v>1335</v>
      </c>
      <c r="B180" s="566" t="s">
        <v>466</v>
      </c>
      <c r="C180" s="566" t="s">
        <v>471</v>
      </c>
      <c r="D180" s="566" t="s">
        <v>472</v>
      </c>
      <c r="E180" s="566" t="s">
        <v>473</v>
      </c>
      <c r="F180" s="566" t="s">
        <v>474</v>
      </c>
      <c r="G180" s="567">
        <v>0</v>
      </c>
      <c r="H180" s="566" t="s">
        <v>561</v>
      </c>
      <c r="I180" s="568">
        <v>2</v>
      </c>
      <c r="J180" s="569">
        <v>30</v>
      </c>
      <c r="K180" s="569">
        <v>30</v>
      </c>
      <c r="L180" s="566"/>
      <c r="M180" s="566" t="s">
        <v>476</v>
      </c>
      <c r="N180" s="570">
        <v>1335</v>
      </c>
      <c r="O180" s="566"/>
      <c r="P180" s="566" t="s">
        <v>477</v>
      </c>
      <c r="Q180" s="568">
        <v>909678</v>
      </c>
      <c r="R180" s="568">
        <v>34</v>
      </c>
      <c r="S180" s="566" t="s">
        <v>1395</v>
      </c>
      <c r="T180" s="571" t="s">
        <v>467</v>
      </c>
      <c r="U180" s="571" t="s">
        <v>550</v>
      </c>
      <c r="V180" s="571" t="s">
        <v>517</v>
      </c>
      <c r="W180" s="572" t="s">
        <v>1274</v>
      </c>
      <c r="X180" s="571" t="s">
        <v>1380</v>
      </c>
      <c r="Y180" s="571" t="s">
        <v>1367</v>
      </c>
      <c r="Z180" s="566" t="s">
        <v>1498</v>
      </c>
      <c r="AA180" s="573">
        <v>1335</v>
      </c>
      <c r="AB180" s="571"/>
    </row>
    <row r="181" spans="1:28" hidden="1">
      <c r="A181" s="566" t="s">
        <v>1335</v>
      </c>
      <c r="B181" s="566" t="s">
        <v>466</v>
      </c>
      <c r="C181" s="566" t="s">
        <v>471</v>
      </c>
      <c r="D181" s="566" t="s">
        <v>472</v>
      </c>
      <c r="E181" s="566" t="s">
        <v>473</v>
      </c>
      <c r="F181" s="566" t="s">
        <v>474</v>
      </c>
      <c r="G181" s="567">
        <v>0</v>
      </c>
      <c r="H181" s="566" t="s">
        <v>564</v>
      </c>
      <c r="I181" s="568">
        <v>2</v>
      </c>
      <c r="J181" s="569">
        <v>30</v>
      </c>
      <c r="K181" s="569">
        <v>30</v>
      </c>
      <c r="L181" s="566"/>
      <c r="M181" s="566" t="s">
        <v>476</v>
      </c>
      <c r="N181" s="570">
        <v>1371</v>
      </c>
      <c r="O181" s="566"/>
      <c r="P181" s="566" t="s">
        <v>477</v>
      </c>
      <c r="Q181" s="568">
        <v>909678</v>
      </c>
      <c r="R181" s="568">
        <v>35</v>
      </c>
      <c r="S181" s="566" t="s">
        <v>1397</v>
      </c>
      <c r="T181" s="571" t="s">
        <v>467</v>
      </c>
      <c r="U181" s="571" t="s">
        <v>550</v>
      </c>
      <c r="V181" s="571" t="s">
        <v>517</v>
      </c>
      <c r="W181" s="572" t="s">
        <v>1275</v>
      </c>
      <c r="X181" s="571" t="s">
        <v>1380</v>
      </c>
      <c r="Y181" s="571" t="s">
        <v>1367</v>
      </c>
      <c r="Z181" s="566" t="s">
        <v>1499</v>
      </c>
      <c r="AA181" s="573">
        <v>1371</v>
      </c>
      <c r="AB181" s="571"/>
    </row>
    <row r="182" spans="1:28" hidden="1">
      <c r="A182" s="566" t="s">
        <v>1335</v>
      </c>
      <c r="B182" s="566" t="s">
        <v>466</v>
      </c>
      <c r="C182" s="566" t="s">
        <v>487</v>
      </c>
      <c r="D182" s="566" t="s">
        <v>472</v>
      </c>
      <c r="E182" s="566" t="s">
        <v>473</v>
      </c>
      <c r="F182" s="566" t="s">
        <v>489</v>
      </c>
      <c r="G182" s="567">
        <v>50</v>
      </c>
      <c r="H182" s="566" t="s">
        <v>573</v>
      </c>
      <c r="I182" s="568">
        <v>2</v>
      </c>
      <c r="J182" s="569">
        <v>30</v>
      </c>
      <c r="K182" s="569">
        <v>30</v>
      </c>
      <c r="L182" s="566"/>
      <c r="M182" s="566" t="s">
        <v>476</v>
      </c>
      <c r="N182" s="570">
        <v>1407</v>
      </c>
      <c r="O182" s="566"/>
      <c r="P182" s="566" t="s">
        <v>477</v>
      </c>
      <c r="Q182" s="568">
        <v>909678</v>
      </c>
      <c r="R182" s="568">
        <v>37</v>
      </c>
      <c r="S182" s="566" t="s">
        <v>1399</v>
      </c>
      <c r="T182" s="571" t="s">
        <v>467</v>
      </c>
      <c r="U182" s="571" t="s">
        <v>550</v>
      </c>
      <c r="V182" s="571" t="s">
        <v>517</v>
      </c>
      <c r="W182" s="572" t="s">
        <v>1276</v>
      </c>
      <c r="X182" s="571" t="s">
        <v>1380</v>
      </c>
      <c r="Y182" s="571" t="s">
        <v>1367</v>
      </c>
      <c r="Z182" s="566" t="s">
        <v>1500</v>
      </c>
      <c r="AA182" s="573">
        <v>1407</v>
      </c>
      <c r="AB182" s="571"/>
    </row>
    <row r="183" spans="1:28" hidden="1">
      <c r="A183" s="566" t="s">
        <v>1335</v>
      </c>
      <c r="B183" s="566" t="s">
        <v>466</v>
      </c>
      <c r="C183" s="566" t="s">
        <v>487</v>
      </c>
      <c r="D183" s="566" t="s">
        <v>472</v>
      </c>
      <c r="E183" s="566" t="s">
        <v>473</v>
      </c>
      <c r="F183" s="566" t="s">
        <v>489</v>
      </c>
      <c r="G183" s="567">
        <v>50</v>
      </c>
      <c r="H183" s="566" t="s">
        <v>576</v>
      </c>
      <c r="I183" s="568">
        <v>2</v>
      </c>
      <c r="J183" s="569">
        <v>30</v>
      </c>
      <c r="K183" s="569">
        <v>30</v>
      </c>
      <c r="L183" s="566"/>
      <c r="M183" s="566" t="s">
        <v>476</v>
      </c>
      <c r="N183" s="570">
        <v>1443</v>
      </c>
      <c r="O183" s="566"/>
      <c r="P183" s="566" t="s">
        <v>477</v>
      </c>
      <c r="Q183" s="568">
        <v>909678</v>
      </c>
      <c r="R183" s="568">
        <v>38</v>
      </c>
      <c r="S183" s="566" t="s">
        <v>1401</v>
      </c>
      <c r="T183" s="571" t="s">
        <v>467</v>
      </c>
      <c r="U183" s="571" t="s">
        <v>550</v>
      </c>
      <c r="V183" s="571" t="s">
        <v>517</v>
      </c>
      <c r="W183" s="572" t="s">
        <v>1277</v>
      </c>
      <c r="X183" s="571" t="s">
        <v>1380</v>
      </c>
      <c r="Y183" s="571" t="s">
        <v>1367</v>
      </c>
      <c r="Z183" s="566" t="s">
        <v>1501</v>
      </c>
      <c r="AA183" s="573">
        <v>1443</v>
      </c>
      <c r="AB183" s="571"/>
    </row>
    <row r="184" spans="1:28" hidden="1">
      <c r="A184" s="566" t="s">
        <v>1335</v>
      </c>
      <c r="B184" s="566" t="s">
        <v>466</v>
      </c>
      <c r="C184" s="566" t="s">
        <v>471</v>
      </c>
      <c r="D184" s="566" t="s">
        <v>472</v>
      </c>
      <c r="E184" s="566" t="s">
        <v>473</v>
      </c>
      <c r="F184" s="566" t="s">
        <v>474</v>
      </c>
      <c r="G184" s="567">
        <v>0</v>
      </c>
      <c r="H184" s="566" t="s">
        <v>1352</v>
      </c>
      <c r="I184" s="568">
        <v>2</v>
      </c>
      <c r="J184" s="569">
        <v>30</v>
      </c>
      <c r="K184" s="569">
        <v>30</v>
      </c>
      <c r="L184" s="566"/>
      <c r="M184" s="566" t="s">
        <v>476</v>
      </c>
      <c r="N184" s="570">
        <v>1479</v>
      </c>
      <c r="O184" s="566"/>
      <c r="P184" s="566" t="s">
        <v>477</v>
      </c>
      <c r="Q184" s="568">
        <v>909678</v>
      </c>
      <c r="R184" s="568">
        <v>36</v>
      </c>
      <c r="S184" s="566" t="s">
        <v>1403</v>
      </c>
      <c r="T184" s="571" t="s">
        <v>467</v>
      </c>
      <c r="U184" s="571" t="s">
        <v>550</v>
      </c>
      <c r="V184" s="571" t="s">
        <v>517</v>
      </c>
      <c r="W184" s="572" t="s">
        <v>1354</v>
      </c>
      <c r="X184" s="571" t="s">
        <v>1380</v>
      </c>
      <c r="Y184" s="571" t="s">
        <v>1367</v>
      </c>
      <c r="Z184" s="566" t="s">
        <v>1502</v>
      </c>
      <c r="AA184" s="573">
        <v>1479</v>
      </c>
      <c r="AB184" s="571"/>
    </row>
    <row r="185" spans="1:28" hidden="1">
      <c r="A185" s="566" t="s">
        <v>1335</v>
      </c>
      <c r="B185" s="566" t="s">
        <v>466</v>
      </c>
      <c r="C185" s="566" t="s">
        <v>487</v>
      </c>
      <c r="D185" s="566" t="s">
        <v>472</v>
      </c>
      <c r="E185" s="566" t="s">
        <v>473</v>
      </c>
      <c r="F185" s="566" t="s">
        <v>489</v>
      </c>
      <c r="G185" s="567">
        <v>50</v>
      </c>
      <c r="H185" s="566" t="s">
        <v>1356</v>
      </c>
      <c r="I185" s="568">
        <v>2</v>
      </c>
      <c r="J185" s="569">
        <v>30</v>
      </c>
      <c r="K185" s="569">
        <v>30</v>
      </c>
      <c r="L185" s="566"/>
      <c r="M185" s="566" t="s">
        <v>476</v>
      </c>
      <c r="N185" s="570">
        <v>1515</v>
      </c>
      <c r="O185" s="566"/>
      <c r="P185" s="566" t="s">
        <v>477</v>
      </c>
      <c r="Q185" s="568">
        <v>909678</v>
      </c>
      <c r="R185" s="568">
        <v>39</v>
      </c>
      <c r="S185" s="566" t="s">
        <v>1405</v>
      </c>
      <c r="T185" s="571" t="s">
        <v>467</v>
      </c>
      <c r="U185" s="571" t="s">
        <v>550</v>
      </c>
      <c r="V185" s="571" t="s">
        <v>517</v>
      </c>
      <c r="W185" s="572" t="s">
        <v>1358</v>
      </c>
      <c r="X185" s="571" t="s">
        <v>1380</v>
      </c>
      <c r="Y185" s="571" t="s">
        <v>1367</v>
      </c>
      <c r="Z185" s="566" t="s">
        <v>1503</v>
      </c>
      <c r="AA185" s="573">
        <v>1515</v>
      </c>
      <c r="AB185" s="571"/>
    </row>
    <row r="186" spans="1:28" hidden="1">
      <c r="A186" s="566" t="s">
        <v>1335</v>
      </c>
      <c r="B186" s="566" t="s">
        <v>466</v>
      </c>
      <c r="C186" s="566" t="s">
        <v>471</v>
      </c>
      <c r="D186" s="566" t="s">
        <v>472</v>
      </c>
      <c r="E186" s="566" t="s">
        <v>473</v>
      </c>
      <c r="F186" s="566" t="s">
        <v>474</v>
      </c>
      <c r="G186" s="567">
        <v>0</v>
      </c>
      <c r="H186" s="566" t="s">
        <v>559</v>
      </c>
      <c r="I186" s="568">
        <v>2</v>
      </c>
      <c r="J186" s="569">
        <v>6</v>
      </c>
      <c r="K186" s="569">
        <v>6</v>
      </c>
      <c r="L186" s="566"/>
      <c r="M186" s="566" t="s">
        <v>476</v>
      </c>
      <c r="N186" s="570">
        <v>435</v>
      </c>
      <c r="O186" s="566"/>
      <c r="P186" s="566" t="s">
        <v>477</v>
      </c>
      <c r="Q186" s="568">
        <v>909678</v>
      </c>
      <c r="R186" s="568">
        <v>7</v>
      </c>
      <c r="S186" s="566" t="s">
        <v>1407</v>
      </c>
      <c r="T186" s="575" t="s">
        <v>1408</v>
      </c>
      <c r="U186" s="575" t="s">
        <v>550</v>
      </c>
      <c r="V186" s="575" t="s">
        <v>517</v>
      </c>
      <c r="W186" s="576" t="s">
        <v>470</v>
      </c>
      <c r="X186" s="575" t="s">
        <v>1380</v>
      </c>
      <c r="Y186" s="575" t="s">
        <v>1338</v>
      </c>
      <c r="Z186" s="576" t="s">
        <v>1504</v>
      </c>
      <c r="AA186" s="577">
        <v>435</v>
      </c>
      <c r="AB186" s="575"/>
    </row>
    <row r="187" spans="1:28" hidden="1">
      <c r="A187" s="566" t="s">
        <v>1335</v>
      </c>
      <c r="B187" s="566" t="s">
        <v>466</v>
      </c>
      <c r="C187" s="566" t="s">
        <v>471</v>
      </c>
      <c r="D187" s="566" t="s">
        <v>472</v>
      </c>
      <c r="E187" s="566" t="s">
        <v>473</v>
      </c>
      <c r="F187" s="566" t="s">
        <v>474</v>
      </c>
      <c r="G187" s="567">
        <v>0</v>
      </c>
      <c r="H187" s="566" t="s">
        <v>562</v>
      </c>
      <c r="I187" s="568">
        <v>2</v>
      </c>
      <c r="J187" s="569">
        <v>6</v>
      </c>
      <c r="K187" s="569">
        <v>6</v>
      </c>
      <c r="L187" s="566"/>
      <c r="M187" s="566" t="s">
        <v>476</v>
      </c>
      <c r="N187" s="570">
        <v>507</v>
      </c>
      <c r="O187" s="566"/>
      <c r="P187" s="566" t="s">
        <v>477</v>
      </c>
      <c r="Q187" s="568">
        <v>909678</v>
      </c>
      <c r="R187" s="568">
        <v>8</v>
      </c>
      <c r="S187" s="566" t="s">
        <v>1410</v>
      </c>
      <c r="T187" s="575" t="s">
        <v>1408</v>
      </c>
      <c r="U187" s="575" t="s">
        <v>550</v>
      </c>
      <c r="V187" s="575" t="s">
        <v>517</v>
      </c>
      <c r="W187" s="576" t="s">
        <v>480</v>
      </c>
      <c r="X187" s="575" t="s">
        <v>1380</v>
      </c>
      <c r="Y187" s="575" t="s">
        <v>1338</v>
      </c>
      <c r="Z187" s="576" t="s">
        <v>1505</v>
      </c>
      <c r="AA187" s="577">
        <v>507</v>
      </c>
      <c r="AB187" s="575"/>
    </row>
    <row r="188" spans="1:28" hidden="1">
      <c r="A188" s="566" t="s">
        <v>1335</v>
      </c>
      <c r="B188" s="566" t="s">
        <v>466</v>
      </c>
      <c r="C188" s="566" t="s">
        <v>487</v>
      </c>
      <c r="D188" s="566" t="s">
        <v>472</v>
      </c>
      <c r="E188" s="566" t="s">
        <v>473</v>
      </c>
      <c r="F188" s="566" t="s">
        <v>489</v>
      </c>
      <c r="G188" s="567">
        <v>50</v>
      </c>
      <c r="H188" s="566" t="s">
        <v>571</v>
      </c>
      <c r="I188" s="568">
        <v>2</v>
      </c>
      <c r="J188" s="569">
        <v>6</v>
      </c>
      <c r="K188" s="569">
        <v>6</v>
      </c>
      <c r="L188" s="566"/>
      <c r="M188" s="566" t="s">
        <v>476</v>
      </c>
      <c r="N188" s="570">
        <v>687</v>
      </c>
      <c r="O188" s="566"/>
      <c r="P188" s="566" t="s">
        <v>477</v>
      </c>
      <c r="Q188" s="568">
        <v>909678</v>
      </c>
      <c r="R188" s="568">
        <v>11</v>
      </c>
      <c r="S188" s="566" t="s">
        <v>1412</v>
      </c>
      <c r="T188" s="575" t="s">
        <v>1408</v>
      </c>
      <c r="U188" s="575" t="s">
        <v>550</v>
      </c>
      <c r="V188" s="575" t="s">
        <v>517</v>
      </c>
      <c r="W188" s="576" t="s">
        <v>499</v>
      </c>
      <c r="X188" s="575" t="s">
        <v>1380</v>
      </c>
      <c r="Y188" s="575" t="s">
        <v>1338</v>
      </c>
      <c r="Z188" s="576" t="s">
        <v>1506</v>
      </c>
      <c r="AA188" s="577">
        <v>687</v>
      </c>
      <c r="AB188" s="575"/>
    </row>
    <row r="189" spans="1:28" hidden="1">
      <c r="A189" s="566" t="s">
        <v>1335</v>
      </c>
      <c r="B189" s="566" t="s">
        <v>466</v>
      </c>
      <c r="C189" s="566" t="s">
        <v>487</v>
      </c>
      <c r="D189" s="566" t="s">
        <v>472</v>
      </c>
      <c r="E189" s="566" t="s">
        <v>473</v>
      </c>
      <c r="F189" s="566" t="s">
        <v>489</v>
      </c>
      <c r="G189" s="567">
        <v>50</v>
      </c>
      <c r="H189" s="566" t="s">
        <v>574</v>
      </c>
      <c r="I189" s="568">
        <v>2</v>
      </c>
      <c r="J189" s="569">
        <v>6</v>
      </c>
      <c r="K189" s="569">
        <v>6</v>
      </c>
      <c r="L189" s="566"/>
      <c r="M189" s="566" t="s">
        <v>476</v>
      </c>
      <c r="N189" s="570">
        <v>759</v>
      </c>
      <c r="O189" s="566"/>
      <c r="P189" s="566" t="s">
        <v>477</v>
      </c>
      <c r="Q189" s="568">
        <v>909678</v>
      </c>
      <c r="R189" s="568">
        <v>20</v>
      </c>
      <c r="S189" s="566" t="s">
        <v>1414</v>
      </c>
      <c r="T189" s="575" t="s">
        <v>1408</v>
      </c>
      <c r="U189" s="575" t="s">
        <v>550</v>
      </c>
      <c r="V189" s="575" t="s">
        <v>517</v>
      </c>
      <c r="W189" s="576" t="s">
        <v>504</v>
      </c>
      <c r="X189" s="575" t="s">
        <v>1380</v>
      </c>
      <c r="Y189" s="575" t="s">
        <v>1338</v>
      </c>
      <c r="Z189" s="576" t="s">
        <v>1507</v>
      </c>
      <c r="AA189" s="577">
        <v>759</v>
      </c>
      <c r="AB189" s="575"/>
    </row>
    <row r="190" spans="1:28" hidden="1">
      <c r="A190" s="566" t="s">
        <v>1335</v>
      </c>
      <c r="B190" s="566" t="s">
        <v>466</v>
      </c>
      <c r="C190" s="566" t="s">
        <v>471</v>
      </c>
      <c r="D190" s="566" t="s">
        <v>472</v>
      </c>
      <c r="E190" s="566" t="s">
        <v>473</v>
      </c>
      <c r="F190" s="566" t="s">
        <v>474</v>
      </c>
      <c r="G190" s="567">
        <v>0</v>
      </c>
      <c r="H190" s="566" t="s">
        <v>561</v>
      </c>
      <c r="I190" s="568">
        <v>2</v>
      </c>
      <c r="J190" s="569">
        <v>52</v>
      </c>
      <c r="K190" s="569">
        <v>52</v>
      </c>
      <c r="L190" s="566"/>
      <c r="M190" s="566" t="s">
        <v>476</v>
      </c>
      <c r="N190" s="570">
        <v>1009</v>
      </c>
      <c r="O190" s="566"/>
      <c r="P190" s="566" t="s">
        <v>477</v>
      </c>
      <c r="Q190" s="568">
        <v>909678</v>
      </c>
      <c r="R190" s="568">
        <v>25</v>
      </c>
      <c r="S190" s="566" t="s">
        <v>1336</v>
      </c>
      <c r="T190" s="578" t="s">
        <v>779</v>
      </c>
      <c r="U190" s="578" t="s">
        <v>550</v>
      </c>
      <c r="V190" s="578" t="s">
        <v>517</v>
      </c>
      <c r="W190" s="579" t="s">
        <v>1274</v>
      </c>
      <c r="X190" s="578" t="s">
        <v>1337</v>
      </c>
      <c r="Y190" s="578" t="s">
        <v>1338</v>
      </c>
      <c r="Z190" s="580" t="s">
        <v>1508</v>
      </c>
      <c r="AA190" s="581">
        <v>1009</v>
      </c>
      <c r="AB190" s="578"/>
    </row>
    <row r="191" spans="1:28" hidden="1">
      <c r="A191" s="566" t="s">
        <v>1335</v>
      </c>
      <c r="B191" s="566" t="s">
        <v>466</v>
      </c>
      <c r="C191" s="566" t="s">
        <v>471</v>
      </c>
      <c r="D191" s="566" t="s">
        <v>472</v>
      </c>
      <c r="E191" s="566" t="s">
        <v>473</v>
      </c>
      <c r="F191" s="566" t="s">
        <v>474</v>
      </c>
      <c r="G191" s="567">
        <v>0</v>
      </c>
      <c r="H191" s="566" t="s">
        <v>564</v>
      </c>
      <c r="I191" s="568">
        <v>2</v>
      </c>
      <c r="J191" s="569">
        <v>52</v>
      </c>
      <c r="K191" s="569">
        <v>52</v>
      </c>
      <c r="L191" s="566"/>
      <c r="M191" s="566" t="s">
        <v>476</v>
      </c>
      <c r="N191" s="570">
        <v>1045</v>
      </c>
      <c r="O191" s="566"/>
      <c r="P191" s="566" t="s">
        <v>477</v>
      </c>
      <c r="Q191" s="568">
        <v>909678</v>
      </c>
      <c r="R191" s="568">
        <v>26</v>
      </c>
      <c r="S191" s="566" t="s">
        <v>1340</v>
      </c>
      <c r="T191" s="578" t="s">
        <v>779</v>
      </c>
      <c r="U191" s="578" t="s">
        <v>550</v>
      </c>
      <c r="V191" s="578" t="s">
        <v>517</v>
      </c>
      <c r="W191" s="579" t="s">
        <v>1275</v>
      </c>
      <c r="X191" s="578" t="s">
        <v>1337</v>
      </c>
      <c r="Y191" s="578" t="s">
        <v>1338</v>
      </c>
      <c r="Z191" s="580" t="s">
        <v>1509</v>
      </c>
      <c r="AA191" s="581">
        <v>1045</v>
      </c>
      <c r="AB191" s="578"/>
    </row>
    <row r="192" spans="1:28" hidden="1">
      <c r="A192" s="566" t="s">
        <v>1335</v>
      </c>
      <c r="B192" s="566" t="s">
        <v>466</v>
      </c>
      <c r="C192" s="566" t="s">
        <v>487</v>
      </c>
      <c r="D192" s="566" t="s">
        <v>472</v>
      </c>
      <c r="E192" s="566" t="s">
        <v>473</v>
      </c>
      <c r="F192" s="566" t="s">
        <v>489</v>
      </c>
      <c r="G192" s="567">
        <v>50</v>
      </c>
      <c r="H192" s="566" t="s">
        <v>566</v>
      </c>
      <c r="I192" s="568">
        <v>2</v>
      </c>
      <c r="J192" s="569">
        <v>52</v>
      </c>
      <c r="K192" s="569">
        <v>52</v>
      </c>
      <c r="L192" s="566"/>
      <c r="M192" s="566" t="s">
        <v>476</v>
      </c>
      <c r="N192" s="570">
        <v>1081</v>
      </c>
      <c r="O192" s="566"/>
      <c r="P192" s="566" t="s">
        <v>477</v>
      </c>
      <c r="Q192" s="568">
        <v>909678</v>
      </c>
      <c r="R192" s="568">
        <v>28</v>
      </c>
      <c r="S192" s="566" t="s">
        <v>1342</v>
      </c>
      <c r="T192" s="578" t="s">
        <v>779</v>
      </c>
      <c r="U192" s="578" t="s">
        <v>550</v>
      </c>
      <c r="V192" s="578" t="s">
        <v>517</v>
      </c>
      <c r="W192" s="579" t="s">
        <v>485</v>
      </c>
      <c r="X192" s="578" t="s">
        <v>1337</v>
      </c>
      <c r="Y192" s="578" t="s">
        <v>1338</v>
      </c>
      <c r="Z192" s="580" t="s">
        <v>1510</v>
      </c>
      <c r="AA192" s="581">
        <v>1081</v>
      </c>
      <c r="AB192" s="578"/>
    </row>
    <row r="193" spans="1:28" hidden="1">
      <c r="A193" s="566" t="s">
        <v>1335</v>
      </c>
      <c r="B193" s="566" t="s">
        <v>466</v>
      </c>
      <c r="C193" s="566" t="s">
        <v>487</v>
      </c>
      <c r="D193" s="566" t="s">
        <v>472</v>
      </c>
      <c r="E193" s="566" t="s">
        <v>473</v>
      </c>
      <c r="F193" s="566" t="s">
        <v>489</v>
      </c>
      <c r="G193" s="567">
        <v>50</v>
      </c>
      <c r="H193" s="566" t="s">
        <v>568</v>
      </c>
      <c r="I193" s="568">
        <v>2</v>
      </c>
      <c r="J193" s="569">
        <v>52</v>
      </c>
      <c r="K193" s="569">
        <v>52</v>
      </c>
      <c r="L193" s="566"/>
      <c r="M193" s="566" t="s">
        <v>476</v>
      </c>
      <c r="N193" s="570">
        <v>1117</v>
      </c>
      <c r="O193" s="566"/>
      <c r="P193" s="566" t="s">
        <v>477</v>
      </c>
      <c r="Q193" s="568">
        <v>909678</v>
      </c>
      <c r="R193" s="568">
        <v>29</v>
      </c>
      <c r="S193" s="566" t="s">
        <v>1344</v>
      </c>
      <c r="T193" s="578" t="s">
        <v>779</v>
      </c>
      <c r="U193" s="578" t="s">
        <v>550</v>
      </c>
      <c r="V193" s="578" t="s">
        <v>517</v>
      </c>
      <c r="W193" s="579" t="s">
        <v>491</v>
      </c>
      <c r="X193" s="578" t="s">
        <v>1337</v>
      </c>
      <c r="Y193" s="578" t="s">
        <v>1338</v>
      </c>
      <c r="Z193" s="580" t="s">
        <v>1511</v>
      </c>
      <c r="AA193" s="581">
        <v>1117</v>
      </c>
      <c r="AB193" s="578"/>
    </row>
    <row r="194" spans="1:28" hidden="1">
      <c r="A194" s="566" t="s">
        <v>1335</v>
      </c>
      <c r="B194" s="566" t="s">
        <v>466</v>
      </c>
      <c r="C194" s="566" t="s">
        <v>487</v>
      </c>
      <c r="D194" s="566" t="s">
        <v>472</v>
      </c>
      <c r="E194" s="566" t="s">
        <v>473</v>
      </c>
      <c r="F194" s="566" t="s">
        <v>489</v>
      </c>
      <c r="G194" s="567">
        <v>50</v>
      </c>
      <c r="H194" s="566" t="s">
        <v>570</v>
      </c>
      <c r="I194" s="568">
        <v>2</v>
      </c>
      <c r="J194" s="569">
        <v>52</v>
      </c>
      <c r="K194" s="569">
        <v>52</v>
      </c>
      <c r="L194" s="566"/>
      <c r="M194" s="566" t="s">
        <v>476</v>
      </c>
      <c r="N194" s="570">
        <v>1153</v>
      </c>
      <c r="O194" s="566"/>
      <c r="P194" s="566" t="s">
        <v>477</v>
      </c>
      <c r="Q194" s="568">
        <v>909678</v>
      </c>
      <c r="R194" s="568">
        <v>30</v>
      </c>
      <c r="S194" s="566" t="s">
        <v>1346</v>
      </c>
      <c r="T194" s="578" t="s">
        <v>779</v>
      </c>
      <c r="U194" s="578" t="s">
        <v>550</v>
      </c>
      <c r="V194" s="578" t="s">
        <v>517</v>
      </c>
      <c r="W194" s="579" t="s">
        <v>495</v>
      </c>
      <c r="X194" s="578" t="s">
        <v>1337</v>
      </c>
      <c r="Y194" s="578" t="s">
        <v>1338</v>
      </c>
      <c r="Z194" s="580" t="s">
        <v>1512</v>
      </c>
      <c r="AA194" s="581">
        <v>1153</v>
      </c>
      <c r="AB194" s="578"/>
    </row>
    <row r="195" spans="1:28" hidden="1">
      <c r="A195" s="566" t="s">
        <v>1335</v>
      </c>
      <c r="B195" s="566" t="s">
        <v>466</v>
      </c>
      <c r="C195" s="566" t="s">
        <v>487</v>
      </c>
      <c r="D195" s="566" t="s">
        <v>472</v>
      </c>
      <c r="E195" s="566" t="s">
        <v>473</v>
      </c>
      <c r="F195" s="566" t="s">
        <v>489</v>
      </c>
      <c r="G195" s="567">
        <v>50</v>
      </c>
      <c r="H195" s="566" t="s">
        <v>573</v>
      </c>
      <c r="I195" s="568">
        <v>2</v>
      </c>
      <c r="J195" s="569">
        <v>52</v>
      </c>
      <c r="K195" s="569">
        <v>52</v>
      </c>
      <c r="L195" s="566"/>
      <c r="M195" s="566" t="s">
        <v>476</v>
      </c>
      <c r="N195" s="570">
        <v>1189</v>
      </c>
      <c r="O195" s="566"/>
      <c r="P195" s="566" t="s">
        <v>477</v>
      </c>
      <c r="Q195" s="568">
        <v>909678</v>
      </c>
      <c r="R195" s="568">
        <v>31</v>
      </c>
      <c r="S195" s="566" t="s">
        <v>1348</v>
      </c>
      <c r="T195" s="578" t="s">
        <v>779</v>
      </c>
      <c r="U195" s="578" t="s">
        <v>550</v>
      </c>
      <c r="V195" s="578" t="s">
        <v>517</v>
      </c>
      <c r="W195" s="579" t="s">
        <v>1276</v>
      </c>
      <c r="X195" s="578" t="s">
        <v>1337</v>
      </c>
      <c r="Y195" s="578" t="s">
        <v>1338</v>
      </c>
      <c r="Z195" s="580" t="s">
        <v>1513</v>
      </c>
      <c r="AA195" s="581">
        <v>1189</v>
      </c>
      <c r="AB195" s="578"/>
    </row>
    <row r="196" spans="1:28" hidden="1">
      <c r="A196" s="566" t="s">
        <v>1335</v>
      </c>
      <c r="B196" s="566" t="s">
        <v>466</v>
      </c>
      <c r="C196" s="566" t="s">
        <v>487</v>
      </c>
      <c r="D196" s="566" t="s">
        <v>472</v>
      </c>
      <c r="E196" s="566" t="s">
        <v>473</v>
      </c>
      <c r="F196" s="566" t="s">
        <v>489</v>
      </c>
      <c r="G196" s="567">
        <v>50</v>
      </c>
      <c r="H196" s="566" t="s">
        <v>576</v>
      </c>
      <c r="I196" s="568">
        <v>2</v>
      </c>
      <c r="J196" s="569">
        <v>52</v>
      </c>
      <c r="K196" s="569">
        <v>52</v>
      </c>
      <c r="L196" s="566"/>
      <c r="M196" s="566" t="s">
        <v>476</v>
      </c>
      <c r="N196" s="570">
        <v>1225</v>
      </c>
      <c r="O196" s="566"/>
      <c r="P196" s="566" t="s">
        <v>477</v>
      </c>
      <c r="Q196" s="568">
        <v>909678</v>
      </c>
      <c r="R196" s="568">
        <v>32</v>
      </c>
      <c r="S196" s="566" t="s">
        <v>1350</v>
      </c>
      <c r="T196" s="578" t="s">
        <v>779</v>
      </c>
      <c r="U196" s="578" t="s">
        <v>550</v>
      </c>
      <c r="V196" s="578" t="s">
        <v>517</v>
      </c>
      <c r="W196" s="579" t="s">
        <v>1277</v>
      </c>
      <c r="X196" s="578" t="s">
        <v>1337</v>
      </c>
      <c r="Y196" s="578" t="s">
        <v>1338</v>
      </c>
      <c r="Z196" s="580" t="s">
        <v>1514</v>
      </c>
      <c r="AA196" s="581">
        <v>1225</v>
      </c>
      <c r="AB196" s="578"/>
    </row>
    <row r="197" spans="1:28" hidden="1">
      <c r="A197" s="566" t="s">
        <v>1335</v>
      </c>
      <c r="B197" s="566" t="s">
        <v>466</v>
      </c>
      <c r="C197" s="566" t="s">
        <v>471</v>
      </c>
      <c r="D197" s="566" t="s">
        <v>472</v>
      </c>
      <c r="E197" s="566" t="s">
        <v>473</v>
      </c>
      <c r="F197" s="566" t="s">
        <v>474</v>
      </c>
      <c r="G197" s="567">
        <v>0</v>
      </c>
      <c r="H197" s="566" t="s">
        <v>1352</v>
      </c>
      <c r="I197" s="568">
        <v>2</v>
      </c>
      <c r="J197" s="569">
        <v>52</v>
      </c>
      <c r="K197" s="569">
        <v>52</v>
      </c>
      <c r="L197" s="566"/>
      <c r="M197" s="566" t="s">
        <v>476</v>
      </c>
      <c r="N197" s="570">
        <v>1261</v>
      </c>
      <c r="O197" s="566"/>
      <c r="P197" s="566" t="s">
        <v>477</v>
      </c>
      <c r="Q197" s="568">
        <v>909678</v>
      </c>
      <c r="R197" s="568">
        <v>27</v>
      </c>
      <c r="S197" s="566" t="s">
        <v>1353</v>
      </c>
      <c r="T197" s="578" t="s">
        <v>779</v>
      </c>
      <c r="U197" s="578" t="s">
        <v>550</v>
      </c>
      <c r="V197" s="578" t="s">
        <v>517</v>
      </c>
      <c r="W197" s="579" t="s">
        <v>1354</v>
      </c>
      <c r="X197" s="578" t="s">
        <v>1337</v>
      </c>
      <c r="Y197" s="578" t="s">
        <v>1338</v>
      </c>
      <c r="Z197" s="580" t="s">
        <v>1515</v>
      </c>
      <c r="AA197" s="581">
        <v>1261</v>
      </c>
      <c r="AB197" s="578"/>
    </row>
    <row r="198" spans="1:28" hidden="1">
      <c r="A198" s="566" t="s">
        <v>1335</v>
      </c>
      <c r="B198" s="566" t="s">
        <v>466</v>
      </c>
      <c r="C198" s="566" t="s">
        <v>487</v>
      </c>
      <c r="D198" s="566" t="s">
        <v>472</v>
      </c>
      <c r="E198" s="566" t="s">
        <v>473</v>
      </c>
      <c r="F198" s="566" t="s">
        <v>489</v>
      </c>
      <c r="G198" s="567">
        <v>50</v>
      </c>
      <c r="H198" s="566" t="s">
        <v>1356</v>
      </c>
      <c r="I198" s="568">
        <v>2</v>
      </c>
      <c r="J198" s="569">
        <v>52</v>
      </c>
      <c r="K198" s="569">
        <v>52</v>
      </c>
      <c r="L198" s="566"/>
      <c r="M198" s="566" t="s">
        <v>476</v>
      </c>
      <c r="N198" s="570">
        <v>1297</v>
      </c>
      <c r="O198" s="566"/>
      <c r="P198" s="566" t="s">
        <v>477</v>
      </c>
      <c r="Q198" s="568">
        <v>909678</v>
      </c>
      <c r="R198" s="568">
        <v>33</v>
      </c>
      <c r="S198" s="566" t="s">
        <v>1357</v>
      </c>
      <c r="T198" s="578" t="s">
        <v>779</v>
      </c>
      <c r="U198" s="578" t="s">
        <v>550</v>
      </c>
      <c r="V198" s="578" t="s">
        <v>517</v>
      </c>
      <c r="W198" s="579" t="s">
        <v>1358</v>
      </c>
      <c r="X198" s="578" t="s">
        <v>1337</v>
      </c>
      <c r="Y198" s="578" t="s">
        <v>1338</v>
      </c>
      <c r="Z198" s="580" t="s">
        <v>1516</v>
      </c>
      <c r="AA198" s="581">
        <v>1297</v>
      </c>
      <c r="AB198" s="578"/>
    </row>
    <row r="199" spans="1:28" hidden="1">
      <c r="A199" s="566" t="s">
        <v>1335</v>
      </c>
      <c r="B199" s="566" t="s">
        <v>466</v>
      </c>
      <c r="C199" s="566" t="s">
        <v>471</v>
      </c>
      <c r="D199" s="566" t="s">
        <v>472</v>
      </c>
      <c r="E199" s="566" t="s">
        <v>473</v>
      </c>
      <c r="F199" s="566" t="s">
        <v>474</v>
      </c>
      <c r="G199" s="567">
        <v>0</v>
      </c>
      <c r="H199" s="566" t="s">
        <v>593</v>
      </c>
      <c r="I199" s="568">
        <v>1</v>
      </c>
      <c r="J199" s="569">
        <v>52</v>
      </c>
      <c r="K199" s="569">
        <v>52</v>
      </c>
      <c r="L199" s="566"/>
      <c r="M199" s="566" t="s">
        <v>476</v>
      </c>
      <c r="N199" s="570">
        <v>901</v>
      </c>
      <c r="O199" s="566"/>
      <c r="P199" s="566" t="s">
        <v>477</v>
      </c>
      <c r="Q199" s="568">
        <v>909678</v>
      </c>
      <c r="R199" s="568">
        <v>22</v>
      </c>
      <c r="S199" s="566" t="s">
        <v>1360</v>
      </c>
      <c r="T199" s="578" t="s">
        <v>779</v>
      </c>
      <c r="U199" s="578" t="s">
        <v>550</v>
      </c>
      <c r="V199" s="578" t="s">
        <v>517</v>
      </c>
      <c r="W199" s="579" t="s">
        <v>509</v>
      </c>
      <c r="X199" s="578" t="s">
        <v>1337</v>
      </c>
      <c r="Y199" s="578" t="s">
        <v>1338</v>
      </c>
      <c r="Z199" s="580" t="s">
        <v>1517</v>
      </c>
      <c r="AA199" s="581">
        <v>901</v>
      </c>
      <c r="AB199" s="578"/>
    </row>
    <row r="200" spans="1:28" hidden="1">
      <c r="A200" s="566" t="s">
        <v>1335</v>
      </c>
      <c r="B200" s="566" t="s">
        <v>466</v>
      </c>
      <c r="C200" s="566" t="s">
        <v>471</v>
      </c>
      <c r="D200" s="566" t="s">
        <v>472</v>
      </c>
      <c r="E200" s="566" t="s">
        <v>473</v>
      </c>
      <c r="F200" s="566" t="s">
        <v>474</v>
      </c>
      <c r="G200" s="567">
        <v>0</v>
      </c>
      <c r="H200" s="566" t="s">
        <v>595</v>
      </c>
      <c r="I200" s="568">
        <v>2</v>
      </c>
      <c r="J200" s="569">
        <v>52</v>
      </c>
      <c r="K200" s="569">
        <v>52</v>
      </c>
      <c r="L200" s="566"/>
      <c r="M200" s="566" t="s">
        <v>476</v>
      </c>
      <c r="N200" s="570">
        <v>937</v>
      </c>
      <c r="O200" s="566"/>
      <c r="P200" s="566" t="s">
        <v>477</v>
      </c>
      <c r="Q200" s="568">
        <v>909678</v>
      </c>
      <c r="R200" s="568">
        <v>23</v>
      </c>
      <c r="S200" s="566" t="s">
        <v>1362</v>
      </c>
      <c r="T200" s="578" t="s">
        <v>779</v>
      </c>
      <c r="U200" s="578" t="s">
        <v>550</v>
      </c>
      <c r="V200" s="578" t="s">
        <v>517</v>
      </c>
      <c r="W200" s="579" t="s">
        <v>512</v>
      </c>
      <c r="X200" s="578" t="s">
        <v>1337</v>
      </c>
      <c r="Y200" s="578" t="s">
        <v>1338</v>
      </c>
      <c r="Z200" s="580" t="s">
        <v>1518</v>
      </c>
      <c r="AA200" s="581">
        <v>937</v>
      </c>
      <c r="AB200" s="578"/>
    </row>
    <row r="201" spans="1:28" hidden="1">
      <c r="A201" s="566" t="s">
        <v>1335</v>
      </c>
      <c r="B201" s="566" t="s">
        <v>466</v>
      </c>
      <c r="C201" s="566" t="s">
        <v>471</v>
      </c>
      <c r="D201" s="566" t="s">
        <v>472</v>
      </c>
      <c r="E201" s="566" t="s">
        <v>473</v>
      </c>
      <c r="F201" s="566" t="s">
        <v>474</v>
      </c>
      <c r="G201" s="567">
        <v>0</v>
      </c>
      <c r="H201" s="566" t="s">
        <v>597</v>
      </c>
      <c r="I201" s="568">
        <v>2</v>
      </c>
      <c r="J201" s="569">
        <v>52</v>
      </c>
      <c r="K201" s="569">
        <v>52</v>
      </c>
      <c r="L201" s="566"/>
      <c r="M201" s="566" t="s">
        <v>476</v>
      </c>
      <c r="N201" s="570">
        <v>973</v>
      </c>
      <c r="O201" s="566"/>
      <c r="P201" s="566" t="s">
        <v>477</v>
      </c>
      <c r="Q201" s="568">
        <v>909678</v>
      </c>
      <c r="R201" s="568">
        <v>24</v>
      </c>
      <c r="S201" s="566" t="s">
        <v>1364</v>
      </c>
      <c r="T201" s="578" t="s">
        <v>779</v>
      </c>
      <c r="U201" s="578" t="s">
        <v>550</v>
      </c>
      <c r="V201" s="578" t="s">
        <v>517</v>
      </c>
      <c r="W201" s="579" t="s">
        <v>514</v>
      </c>
      <c r="X201" s="578" t="s">
        <v>1337</v>
      </c>
      <c r="Y201" s="578" t="s">
        <v>1338</v>
      </c>
      <c r="Z201" s="580" t="s">
        <v>1519</v>
      </c>
      <c r="AA201" s="581">
        <v>973</v>
      </c>
      <c r="AB201" s="578"/>
    </row>
    <row r="202" spans="1:28" hidden="1">
      <c r="A202" s="566" t="s">
        <v>1335</v>
      </c>
      <c r="B202" s="566" t="s">
        <v>466</v>
      </c>
      <c r="C202" s="566" t="s">
        <v>471</v>
      </c>
      <c r="D202" s="566" t="s">
        <v>472</v>
      </c>
      <c r="E202" s="566" t="s">
        <v>473</v>
      </c>
      <c r="F202" s="566" t="s">
        <v>474</v>
      </c>
      <c r="G202" s="567">
        <v>0</v>
      </c>
      <c r="H202" s="566" t="s">
        <v>561</v>
      </c>
      <c r="I202" s="568">
        <v>2</v>
      </c>
      <c r="J202" s="569">
        <v>76</v>
      </c>
      <c r="K202" s="569">
        <v>76</v>
      </c>
      <c r="L202" s="566"/>
      <c r="M202" s="566" t="s">
        <v>476</v>
      </c>
      <c r="N202" s="570">
        <v>1549</v>
      </c>
      <c r="O202" s="566"/>
      <c r="P202" s="566" t="s">
        <v>477</v>
      </c>
      <c r="Q202" s="568">
        <v>909678</v>
      </c>
      <c r="R202" s="568">
        <v>40</v>
      </c>
      <c r="S202" s="566" t="s">
        <v>1366</v>
      </c>
      <c r="T202" s="578" t="s">
        <v>779</v>
      </c>
      <c r="U202" s="578" t="s">
        <v>550</v>
      </c>
      <c r="V202" s="578" t="s">
        <v>517</v>
      </c>
      <c r="W202" s="579" t="s">
        <v>1274</v>
      </c>
      <c r="X202" s="578" t="s">
        <v>1337</v>
      </c>
      <c r="Y202" s="578" t="s">
        <v>1367</v>
      </c>
      <c r="Z202" s="580" t="s">
        <v>1520</v>
      </c>
      <c r="AA202" s="581">
        <v>1549</v>
      </c>
      <c r="AB202" s="578"/>
    </row>
    <row r="203" spans="1:28" hidden="1">
      <c r="A203" s="566" t="s">
        <v>1335</v>
      </c>
      <c r="B203" s="566" t="s">
        <v>466</v>
      </c>
      <c r="C203" s="566" t="s">
        <v>471</v>
      </c>
      <c r="D203" s="566" t="s">
        <v>472</v>
      </c>
      <c r="E203" s="566" t="s">
        <v>473</v>
      </c>
      <c r="F203" s="566" t="s">
        <v>474</v>
      </c>
      <c r="G203" s="567">
        <v>0</v>
      </c>
      <c r="H203" s="566" t="s">
        <v>564</v>
      </c>
      <c r="I203" s="568">
        <v>2</v>
      </c>
      <c r="J203" s="569">
        <v>76</v>
      </c>
      <c r="K203" s="569">
        <v>76</v>
      </c>
      <c r="L203" s="566"/>
      <c r="M203" s="566" t="s">
        <v>476</v>
      </c>
      <c r="N203" s="570">
        <v>1585</v>
      </c>
      <c r="O203" s="566"/>
      <c r="P203" s="566" t="s">
        <v>477</v>
      </c>
      <c r="Q203" s="568">
        <v>909678</v>
      </c>
      <c r="R203" s="568">
        <v>41</v>
      </c>
      <c r="S203" s="566" t="s">
        <v>1369</v>
      </c>
      <c r="T203" s="578" t="s">
        <v>779</v>
      </c>
      <c r="U203" s="578" t="s">
        <v>550</v>
      </c>
      <c r="V203" s="578" t="s">
        <v>517</v>
      </c>
      <c r="W203" s="579" t="s">
        <v>1275</v>
      </c>
      <c r="X203" s="578" t="s">
        <v>1337</v>
      </c>
      <c r="Y203" s="578" t="s">
        <v>1367</v>
      </c>
      <c r="Z203" s="580" t="s">
        <v>1521</v>
      </c>
      <c r="AA203" s="581">
        <v>1585</v>
      </c>
      <c r="AB203" s="578"/>
    </row>
    <row r="204" spans="1:28" hidden="1">
      <c r="A204" s="566" t="s">
        <v>1335</v>
      </c>
      <c r="B204" s="566" t="s">
        <v>466</v>
      </c>
      <c r="C204" s="566" t="s">
        <v>487</v>
      </c>
      <c r="D204" s="566" t="s">
        <v>472</v>
      </c>
      <c r="E204" s="566" t="s">
        <v>473</v>
      </c>
      <c r="F204" s="566" t="s">
        <v>489</v>
      </c>
      <c r="G204" s="567">
        <v>50</v>
      </c>
      <c r="H204" s="566" t="s">
        <v>573</v>
      </c>
      <c r="I204" s="568">
        <v>2</v>
      </c>
      <c r="J204" s="569">
        <v>76</v>
      </c>
      <c r="K204" s="569">
        <v>76</v>
      </c>
      <c r="L204" s="566"/>
      <c r="M204" s="566" t="s">
        <v>476</v>
      </c>
      <c r="N204" s="570">
        <v>1621</v>
      </c>
      <c r="O204" s="566"/>
      <c r="P204" s="566" t="s">
        <v>477</v>
      </c>
      <c r="Q204" s="568">
        <v>909678</v>
      </c>
      <c r="R204" s="568">
        <v>43</v>
      </c>
      <c r="S204" s="566" t="s">
        <v>1371</v>
      </c>
      <c r="T204" s="578" t="s">
        <v>779</v>
      </c>
      <c r="U204" s="578" t="s">
        <v>550</v>
      </c>
      <c r="V204" s="578" t="s">
        <v>517</v>
      </c>
      <c r="W204" s="579" t="s">
        <v>1276</v>
      </c>
      <c r="X204" s="578" t="s">
        <v>1337</v>
      </c>
      <c r="Y204" s="578" t="s">
        <v>1367</v>
      </c>
      <c r="Z204" s="580" t="s">
        <v>1522</v>
      </c>
      <c r="AA204" s="581">
        <v>1621</v>
      </c>
      <c r="AB204" s="578"/>
    </row>
    <row r="205" spans="1:28" hidden="1">
      <c r="A205" s="566" t="s">
        <v>1335</v>
      </c>
      <c r="B205" s="566" t="s">
        <v>466</v>
      </c>
      <c r="C205" s="566" t="s">
        <v>487</v>
      </c>
      <c r="D205" s="566" t="s">
        <v>472</v>
      </c>
      <c r="E205" s="566" t="s">
        <v>473</v>
      </c>
      <c r="F205" s="566" t="s">
        <v>489</v>
      </c>
      <c r="G205" s="567">
        <v>50</v>
      </c>
      <c r="H205" s="566" t="s">
        <v>576</v>
      </c>
      <c r="I205" s="568">
        <v>2</v>
      </c>
      <c r="J205" s="569">
        <v>76</v>
      </c>
      <c r="K205" s="569">
        <v>76</v>
      </c>
      <c r="L205" s="566"/>
      <c r="M205" s="566" t="s">
        <v>476</v>
      </c>
      <c r="N205" s="570">
        <v>1657</v>
      </c>
      <c r="O205" s="566"/>
      <c r="P205" s="566" t="s">
        <v>477</v>
      </c>
      <c r="Q205" s="568">
        <v>909678</v>
      </c>
      <c r="R205" s="568">
        <v>44</v>
      </c>
      <c r="S205" s="566" t="s">
        <v>1373</v>
      </c>
      <c r="T205" s="578" t="s">
        <v>779</v>
      </c>
      <c r="U205" s="578" t="s">
        <v>550</v>
      </c>
      <c r="V205" s="578" t="s">
        <v>517</v>
      </c>
      <c r="W205" s="579" t="s">
        <v>1277</v>
      </c>
      <c r="X205" s="578" t="s">
        <v>1337</v>
      </c>
      <c r="Y205" s="578" t="s">
        <v>1367</v>
      </c>
      <c r="Z205" s="580" t="s">
        <v>1523</v>
      </c>
      <c r="AA205" s="581">
        <v>1657</v>
      </c>
      <c r="AB205" s="578"/>
    </row>
    <row r="206" spans="1:28" hidden="1">
      <c r="A206" s="566" t="s">
        <v>1335</v>
      </c>
      <c r="B206" s="566" t="s">
        <v>466</v>
      </c>
      <c r="C206" s="566" t="s">
        <v>471</v>
      </c>
      <c r="D206" s="566" t="s">
        <v>472</v>
      </c>
      <c r="E206" s="566" t="s">
        <v>473</v>
      </c>
      <c r="F206" s="566" t="s">
        <v>474</v>
      </c>
      <c r="G206" s="567">
        <v>0</v>
      </c>
      <c r="H206" s="566" t="s">
        <v>1352</v>
      </c>
      <c r="I206" s="568">
        <v>2</v>
      </c>
      <c r="J206" s="569">
        <v>76</v>
      </c>
      <c r="K206" s="569">
        <v>76</v>
      </c>
      <c r="L206" s="566"/>
      <c r="M206" s="566" t="s">
        <v>476</v>
      </c>
      <c r="N206" s="570">
        <v>1693</v>
      </c>
      <c r="O206" s="566"/>
      <c r="P206" s="566" t="s">
        <v>477</v>
      </c>
      <c r="Q206" s="568">
        <v>909678</v>
      </c>
      <c r="R206" s="568">
        <v>42</v>
      </c>
      <c r="S206" s="566" t="s">
        <v>1375</v>
      </c>
      <c r="T206" s="578" t="s">
        <v>779</v>
      </c>
      <c r="U206" s="578" t="s">
        <v>550</v>
      </c>
      <c r="V206" s="578" t="s">
        <v>517</v>
      </c>
      <c r="W206" s="579" t="s">
        <v>1354</v>
      </c>
      <c r="X206" s="578" t="s">
        <v>1337</v>
      </c>
      <c r="Y206" s="578" t="s">
        <v>1367</v>
      </c>
      <c r="Z206" s="580" t="s">
        <v>1524</v>
      </c>
      <c r="AA206" s="581">
        <v>1693</v>
      </c>
      <c r="AB206" s="578"/>
    </row>
    <row r="207" spans="1:28" hidden="1">
      <c r="A207" s="566" t="s">
        <v>1335</v>
      </c>
      <c r="B207" s="566" t="s">
        <v>466</v>
      </c>
      <c r="C207" s="566" t="s">
        <v>487</v>
      </c>
      <c r="D207" s="566" t="s">
        <v>472</v>
      </c>
      <c r="E207" s="566" t="s">
        <v>473</v>
      </c>
      <c r="F207" s="566" t="s">
        <v>489</v>
      </c>
      <c r="G207" s="567">
        <v>50</v>
      </c>
      <c r="H207" s="566" t="s">
        <v>1356</v>
      </c>
      <c r="I207" s="568">
        <v>2</v>
      </c>
      <c r="J207" s="569">
        <v>76</v>
      </c>
      <c r="K207" s="569">
        <v>76</v>
      </c>
      <c r="L207" s="566"/>
      <c r="M207" s="566" t="s">
        <v>476</v>
      </c>
      <c r="N207" s="570">
        <v>1729</v>
      </c>
      <c r="O207" s="566"/>
      <c r="P207" s="566" t="s">
        <v>477</v>
      </c>
      <c r="Q207" s="568">
        <v>909678</v>
      </c>
      <c r="R207" s="568">
        <v>45</v>
      </c>
      <c r="S207" s="566" t="s">
        <v>1377</v>
      </c>
      <c r="T207" s="578" t="s">
        <v>779</v>
      </c>
      <c r="U207" s="578" t="s">
        <v>550</v>
      </c>
      <c r="V207" s="578" t="s">
        <v>517</v>
      </c>
      <c r="W207" s="579" t="s">
        <v>1358</v>
      </c>
      <c r="X207" s="578" t="s">
        <v>1337</v>
      </c>
      <c r="Y207" s="578" t="s">
        <v>1367</v>
      </c>
      <c r="Z207" s="580" t="s">
        <v>1525</v>
      </c>
      <c r="AA207" s="581">
        <v>1729</v>
      </c>
      <c r="AB207" s="578"/>
    </row>
    <row r="208" spans="1:28" hidden="1">
      <c r="A208" s="566" t="s">
        <v>1335</v>
      </c>
      <c r="B208" s="566" t="s">
        <v>466</v>
      </c>
      <c r="C208" s="566" t="s">
        <v>553</v>
      </c>
      <c r="D208" s="566" t="s">
        <v>472</v>
      </c>
      <c r="E208" s="566" t="s">
        <v>473</v>
      </c>
      <c r="F208" s="566" t="s">
        <v>554</v>
      </c>
      <c r="G208" s="567">
        <v>13</v>
      </c>
      <c r="H208" s="566" t="s">
        <v>844</v>
      </c>
      <c r="I208" s="568">
        <v>2</v>
      </c>
      <c r="J208" s="569">
        <v>22</v>
      </c>
      <c r="K208" s="569">
        <v>22</v>
      </c>
      <c r="L208" s="569">
        <v>17</v>
      </c>
      <c r="M208" s="566" t="s">
        <v>476</v>
      </c>
      <c r="N208" s="570">
        <v>154</v>
      </c>
      <c r="O208" s="566"/>
      <c r="P208" s="566" t="s">
        <v>477</v>
      </c>
      <c r="Q208" s="568">
        <v>909678</v>
      </c>
      <c r="R208" s="568">
        <v>9</v>
      </c>
      <c r="S208" s="566" t="s">
        <v>1379</v>
      </c>
      <c r="T208" s="578" t="s">
        <v>779</v>
      </c>
      <c r="U208" s="578" t="s">
        <v>550</v>
      </c>
      <c r="V208" s="578" t="s">
        <v>517</v>
      </c>
      <c r="W208" s="579" t="s">
        <v>551</v>
      </c>
      <c r="X208" s="578" t="s">
        <v>1380</v>
      </c>
      <c r="Y208" s="578" t="s">
        <v>1338</v>
      </c>
      <c r="Z208" s="580" t="s">
        <v>843</v>
      </c>
      <c r="AA208" s="581">
        <v>154</v>
      </c>
      <c r="AB208" s="578">
        <v>260053</v>
      </c>
    </row>
    <row r="209" spans="1:28" hidden="1">
      <c r="A209" s="566" t="s">
        <v>1335</v>
      </c>
      <c r="B209" s="566" t="s">
        <v>466</v>
      </c>
      <c r="C209" s="566" t="s">
        <v>553</v>
      </c>
      <c r="D209" s="566" t="s">
        <v>472</v>
      </c>
      <c r="E209" s="566" t="s">
        <v>473</v>
      </c>
      <c r="F209" s="566" t="s">
        <v>554</v>
      </c>
      <c r="G209" s="567">
        <v>16</v>
      </c>
      <c r="H209" s="566" t="s">
        <v>846</v>
      </c>
      <c r="I209" s="568">
        <v>2</v>
      </c>
      <c r="J209" s="569">
        <v>22</v>
      </c>
      <c r="K209" s="569">
        <v>22</v>
      </c>
      <c r="L209" s="569">
        <v>17</v>
      </c>
      <c r="M209" s="566" t="s">
        <v>476</v>
      </c>
      <c r="N209" s="570">
        <v>298</v>
      </c>
      <c r="O209" s="566"/>
      <c r="P209" s="566" t="s">
        <v>477</v>
      </c>
      <c r="Q209" s="568">
        <v>909678</v>
      </c>
      <c r="R209" s="568">
        <v>4</v>
      </c>
      <c r="S209" s="566" t="s">
        <v>1381</v>
      </c>
      <c r="T209" s="578" t="s">
        <v>779</v>
      </c>
      <c r="U209" s="578" t="s">
        <v>550</v>
      </c>
      <c r="V209" s="578" t="s">
        <v>517</v>
      </c>
      <c r="W209" s="579" t="s">
        <v>556</v>
      </c>
      <c r="X209" s="578" t="s">
        <v>1380</v>
      </c>
      <c r="Y209" s="578" t="s">
        <v>1338</v>
      </c>
      <c r="Z209" s="580" t="s">
        <v>845</v>
      </c>
      <c r="AA209" s="581">
        <v>298</v>
      </c>
      <c r="AB209" s="578">
        <v>260197</v>
      </c>
    </row>
    <row r="210" spans="1:28" hidden="1">
      <c r="A210" s="566" t="s">
        <v>1335</v>
      </c>
      <c r="B210" s="566" t="s">
        <v>466</v>
      </c>
      <c r="C210" s="566" t="s">
        <v>471</v>
      </c>
      <c r="D210" s="566" t="s">
        <v>472</v>
      </c>
      <c r="E210" s="566" t="s">
        <v>473</v>
      </c>
      <c r="F210" s="566" t="s">
        <v>474</v>
      </c>
      <c r="G210" s="567">
        <v>0</v>
      </c>
      <c r="H210" s="566" t="s">
        <v>561</v>
      </c>
      <c r="I210" s="568">
        <v>2</v>
      </c>
      <c r="J210" s="569">
        <v>4</v>
      </c>
      <c r="K210" s="569">
        <v>4</v>
      </c>
      <c r="L210" s="566"/>
      <c r="M210" s="566" t="s">
        <v>476</v>
      </c>
      <c r="N210" s="570">
        <v>469</v>
      </c>
      <c r="O210" s="566"/>
      <c r="P210" s="566" t="s">
        <v>477</v>
      </c>
      <c r="Q210" s="568">
        <v>909678</v>
      </c>
      <c r="R210" s="568">
        <v>10</v>
      </c>
      <c r="S210" s="566" t="s">
        <v>1382</v>
      </c>
      <c r="T210" s="578" t="s">
        <v>779</v>
      </c>
      <c r="U210" s="578" t="s">
        <v>550</v>
      </c>
      <c r="V210" s="578" t="s">
        <v>517</v>
      </c>
      <c r="W210" s="579" t="s">
        <v>1274</v>
      </c>
      <c r="X210" s="578" t="s">
        <v>1380</v>
      </c>
      <c r="Y210" s="578" t="s">
        <v>1338</v>
      </c>
      <c r="Z210" s="580" t="s">
        <v>847</v>
      </c>
      <c r="AA210" s="581">
        <v>469</v>
      </c>
      <c r="AB210" s="578"/>
    </row>
    <row r="211" spans="1:28" hidden="1">
      <c r="A211" s="566" t="s">
        <v>1335</v>
      </c>
      <c r="B211" s="566" t="s">
        <v>466</v>
      </c>
      <c r="C211" s="566" t="s">
        <v>471</v>
      </c>
      <c r="D211" s="566" t="s">
        <v>472</v>
      </c>
      <c r="E211" s="566" t="s">
        <v>473</v>
      </c>
      <c r="F211" s="566" t="s">
        <v>474</v>
      </c>
      <c r="G211" s="567">
        <v>0</v>
      </c>
      <c r="H211" s="566" t="s">
        <v>564</v>
      </c>
      <c r="I211" s="568">
        <v>2</v>
      </c>
      <c r="J211" s="569">
        <v>4</v>
      </c>
      <c r="K211" s="569">
        <v>4</v>
      </c>
      <c r="L211" s="566"/>
      <c r="M211" s="566" t="s">
        <v>476</v>
      </c>
      <c r="N211" s="570">
        <v>541</v>
      </c>
      <c r="O211" s="566"/>
      <c r="P211" s="566" t="s">
        <v>477</v>
      </c>
      <c r="Q211" s="568">
        <v>909678</v>
      </c>
      <c r="R211" s="568">
        <v>15</v>
      </c>
      <c r="S211" s="566" t="s">
        <v>483</v>
      </c>
      <c r="T211" s="578" t="s">
        <v>779</v>
      </c>
      <c r="U211" s="578" t="s">
        <v>550</v>
      </c>
      <c r="V211" s="578" t="s">
        <v>517</v>
      </c>
      <c r="W211" s="579" t="s">
        <v>1275</v>
      </c>
      <c r="X211" s="578" t="s">
        <v>1380</v>
      </c>
      <c r="Y211" s="578" t="s">
        <v>1338</v>
      </c>
      <c r="Z211" s="580" t="s">
        <v>848</v>
      </c>
      <c r="AA211" s="581">
        <v>541</v>
      </c>
      <c r="AB211" s="578"/>
    </row>
    <row r="212" spans="1:28" hidden="1">
      <c r="A212" s="566" t="s">
        <v>1335</v>
      </c>
      <c r="B212" s="566" t="s">
        <v>466</v>
      </c>
      <c r="C212" s="566" t="s">
        <v>487</v>
      </c>
      <c r="D212" s="566" t="s">
        <v>472</v>
      </c>
      <c r="E212" s="566" t="s">
        <v>473</v>
      </c>
      <c r="F212" s="566" t="s">
        <v>489</v>
      </c>
      <c r="G212" s="567">
        <v>50</v>
      </c>
      <c r="H212" s="566" t="s">
        <v>566</v>
      </c>
      <c r="I212" s="568">
        <v>2</v>
      </c>
      <c r="J212" s="569">
        <v>4</v>
      </c>
      <c r="K212" s="569">
        <v>4</v>
      </c>
      <c r="L212" s="566"/>
      <c r="M212" s="566" t="s">
        <v>476</v>
      </c>
      <c r="N212" s="570">
        <v>577</v>
      </c>
      <c r="O212" s="566"/>
      <c r="P212" s="566" t="s">
        <v>477</v>
      </c>
      <c r="Q212" s="568">
        <v>909678</v>
      </c>
      <c r="R212" s="568">
        <v>16</v>
      </c>
      <c r="S212" s="566" t="s">
        <v>488</v>
      </c>
      <c r="T212" s="578" t="s">
        <v>779</v>
      </c>
      <c r="U212" s="578" t="s">
        <v>550</v>
      </c>
      <c r="V212" s="578" t="s">
        <v>517</v>
      </c>
      <c r="W212" s="579" t="s">
        <v>485</v>
      </c>
      <c r="X212" s="578" t="s">
        <v>1380</v>
      </c>
      <c r="Y212" s="578" t="s">
        <v>1338</v>
      </c>
      <c r="Z212" s="580" t="s">
        <v>849</v>
      </c>
      <c r="AA212" s="581">
        <v>577</v>
      </c>
      <c r="AB212" s="578"/>
    </row>
    <row r="213" spans="1:28" hidden="1">
      <c r="A213" s="566" t="s">
        <v>1335</v>
      </c>
      <c r="B213" s="566" t="s">
        <v>466</v>
      </c>
      <c r="C213" s="566" t="s">
        <v>487</v>
      </c>
      <c r="D213" s="566" t="s">
        <v>472</v>
      </c>
      <c r="E213" s="566" t="s">
        <v>473</v>
      </c>
      <c r="F213" s="566" t="s">
        <v>489</v>
      </c>
      <c r="G213" s="567">
        <v>50</v>
      </c>
      <c r="H213" s="566" t="s">
        <v>568</v>
      </c>
      <c r="I213" s="568">
        <v>2</v>
      </c>
      <c r="J213" s="569">
        <v>4</v>
      </c>
      <c r="K213" s="569">
        <v>4</v>
      </c>
      <c r="L213" s="566"/>
      <c r="M213" s="566" t="s">
        <v>476</v>
      </c>
      <c r="N213" s="570">
        <v>613</v>
      </c>
      <c r="O213" s="566"/>
      <c r="P213" s="566" t="s">
        <v>477</v>
      </c>
      <c r="Q213" s="568">
        <v>909678</v>
      </c>
      <c r="R213" s="568">
        <v>17</v>
      </c>
      <c r="S213" s="566" t="s">
        <v>493</v>
      </c>
      <c r="T213" s="578" t="s">
        <v>779</v>
      </c>
      <c r="U213" s="578" t="s">
        <v>550</v>
      </c>
      <c r="V213" s="578" t="s">
        <v>517</v>
      </c>
      <c r="W213" s="579" t="s">
        <v>491</v>
      </c>
      <c r="X213" s="578" t="s">
        <v>1380</v>
      </c>
      <c r="Y213" s="578" t="s">
        <v>1338</v>
      </c>
      <c r="Z213" s="580" t="s">
        <v>850</v>
      </c>
      <c r="AA213" s="581">
        <v>613</v>
      </c>
      <c r="AB213" s="578"/>
    </row>
    <row r="214" spans="1:28" hidden="1">
      <c r="A214" s="566" t="s">
        <v>1335</v>
      </c>
      <c r="B214" s="566" t="s">
        <v>466</v>
      </c>
      <c r="C214" s="566" t="s">
        <v>487</v>
      </c>
      <c r="D214" s="566" t="s">
        <v>472</v>
      </c>
      <c r="E214" s="566" t="s">
        <v>473</v>
      </c>
      <c r="F214" s="566" t="s">
        <v>489</v>
      </c>
      <c r="G214" s="567">
        <v>50</v>
      </c>
      <c r="H214" s="566" t="s">
        <v>570</v>
      </c>
      <c r="I214" s="568">
        <v>2</v>
      </c>
      <c r="J214" s="569">
        <v>4</v>
      </c>
      <c r="K214" s="569">
        <v>4</v>
      </c>
      <c r="L214" s="566"/>
      <c r="M214" s="566" t="s">
        <v>476</v>
      </c>
      <c r="N214" s="570">
        <v>649</v>
      </c>
      <c r="O214" s="566"/>
      <c r="P214" s="566" t="s">
        <v>477</v>
      </c>
      <c r="Q214" s="568">
        <v>909678</v>
      </c>
      <c r="R214" s="568">
        <v>18</v>
      </c>
      <c r="S214" s="566" t="s">
        <v>497</v>
      </c>
      <c r="T214" s="578" t="s">
        <v>779</v>
      </c>
      <c r="U214" s="578" t="s">
        <v>550</v>
      </c>
      <c r="V214" s="578" t="s">
        <v>517</v>
      </c>
      <c r="W214" s="579" t="s">
        <v>495</v>
      </c>
      <c r="X214" s="578" t="s">
        <v>1380</v>
      </c>
      <c r="Y214" s="578" t="s">
        <v>1338</v>
      </c>
      <c r="Z214" s="580" t="s">
        <v>851</v>
      </c>
      <c r="AA214" s="581">
        <v>649</v>
      </c>
      <c r="AB214" s="578"/>
    </row>
    <row r="215" spans="1:28" hidden="1">
      <c r="A215" s="566" t="s">
        <v>1335</v>
      </c>
      <c r="B215" s="566" t="s">
        <v>466</v>
      </c>
      <c r="C215" s="566" t="s">
        <v>487</v>
      </c>
      <c r="D215" s="566" t="s">
        <v>472</v>
      </c>
      <c r="E215" s="566" t="s">
        <v>473</v>
      </c>
      <c r="F215" s="566" t="s">
        <v>489</v>
      </c>
      <c r="G215" s="567">
        <v>50</v>
      </c>
      <c r="H215" s="566" t="s">
        <v>573</v>
      </c>
      <c r="I215" s="568">
        <v>2</v>
      </c>
      <c r="J215" s="569">
        <v>4</v>
      </c>
      <c r="K215" s="569">
        <v>4</v>
      </c>
      <c r="L215" s="566"/>
      <c r="M215" s="566" t="s">
        <v>476</v>
      </c>
      <c r="N215" s="570">
        <v>721</v>
      </c>
      <c r="O215" s="566"/>
      <c r="P215" s="566" t="s">
        <v>477</v>
      </c>
      <c r="Q215" s="568">
        <v>909678</v>
      </c>
      <c r="R215" s="568">
        <v>19</v>
      </c>
      <c r="S215" s="566" t="s">
        <v>502</v>
      </c>
      <c r="T215" s="578" t="s">
        <v>779</v>
      </c>
      <c r="U215" s="578" t="s">
        <v>550</v>
      </c>
      <c r="V215" s="578" t="s">
        <v>517</v>
      </c>
      <c r="W215" s="579" t="s">
        <v>1276</v>
      </c>
      <c r="X215" s="578" t="s">
        <v>1380</v>
      </c>
      <c r="Y215" s="578" t="s">
        <v>1338</v>
      </c>
      <c r="Z215" s="580" t="s">
        <v>852</v>
      </c>
      <c r="AA215" s="581">
        <v>721</v>
      </c>
      <c r="AB215" s="578"/>
    </row>
    <row r="216" spans="1:28" hidden="1">
      <c r="A216" s="566" t="s">
        <v>1335</v>
      </c>
      <c r="B216" s="566" t="s">
        <v>466</v>
      </c>
      <c r="C216" s="566" t="s">
        <v>487</v>
      </c>
      <c r="D216" s="566" t="s">
        <v>472</v>
      </c>
      <c r="E216" s="566" t="s">
        <v>473</v>
      </c>
      <c r="F216" s="566" t="s">
        <v>489</v>
      </c>
      <c r="G216" s="567">
        <v>50</v>
      </c>
      <c r="H216" s="566" t="s">
        <v>576</v>
      </c>
      <c r="I216" s="568">
        <v>2</v>
      </c>
      <c r="J216" s="569">
        <v>4</v>
      </c>
      <c r="K216" s="569">
        <v>4</v>
      </c>
      <c r="L216" s="566"/>
      <c r="M216" s="566" t="s">
        <v>476</v>
      </c>
      <c r="N216" s="570">
        <v>793</v>
      </c>
      <c r="O216" s="566"/>
      <c r="P216" s="566" t="s">
        <v>477</v>
      </c>
      <c r="Q216" s="568">
        <v>909678</v>
      </c>
      <c r="R216" s="568">
        <v>21</v>
      </c>
      <c r="S216" s="566" t="s">
        <v>507</v>
      </c>
      <c r="T216" s="578" t="s">
        <v>779</v>
      </c>
      <c r="U216" s="578" t="s">
        <v>550</v>
      </c>
      <c r="V216" s="578" t="s">
        <v>517</v>
      </c>
      <c r="W216" s="579" t="s">
        <v>1277</v>
      </c>
      <c r="X216" s="578" t="s">
        <v>1380</v>
      </c>
      <c r="Y216" s="578" t="s">
        <v>1338</v>
      </c>
      <c r="Z216" s="580" t="s">
        <v>853</v>
      </c>
      <c r="AA216" s="581">
        <v>793</v>
      </c>
      <c r="AB216" s="578"/>
    </row>
    <row r="217" spans="1:28" hidden="1">
      <c r="A217" s="566" t="s">
        <v>1335</v>
      </c>
      <c r="B217" s="566" t="s">
        <v>466</v>
      </c>
      <c r="C217" s="566" t="s">
        <v>471</v>
      </c>
      <c r="D217" s="566" t="s">
        <v>472</v>
      </c>
      <c r="E217" s="566" t="s">
        <v>473</v>
      </c>
      <c r="F217" s="566" t="s">
        <v>474</v>
      </c>
      <c r="G217" s="567">
        <v>0</v>
      </c>
      <c r="H217" s="566" t="s">
        <v>1352</v>
      </c>
      <c r="I217" s="568">
        <v>2</v>
      </c>
      <c r="J217" s="569">
        <v>4</v>
      </c>
      <c r="K217" s="569">
        <v>4</v>
      </c>
      <c r="L217" s="566"/>
      <c r="M217" s="566" t="s">
        <v>476</v>
      </c>
      <c r="N217" s="570">
        <v>829</v>
      </c>
      <c r="O217" s="566"/>
      <c r="P217" s="566" t="s">
        <v>477</v>
      </c>
      <c r="Q217" s="568">
        <v>909678</v>
      </c>
      <c r="R217" s="568">
        <v>46</v>
      </c>
      <c r="S217" s="566" t="s">
        <v>1383</v>
      </c>
      <c r="T217" s="578" t="s">
        <v>779</v>
      </c>
      <c r="U217" s="578" t="s">
        <v>550</v>
      </c>
      <c r="V217" s="578" t="s">
        <v>517</v>
      </c>
      <c r="W217" s="579" t="s">
        <v>1354</v>
      </c>
      <c r="X217" s="578" t="s">
        <v>1380</v>
      </c>
      <c r="Y217" s="578" t="s">
        <v>1338</v>
      </c>
      <c r="Z217" s="580" t="s">
        <v>1526</v>
      </c>
      <c r="AA217" s="581">
        <v>829</v>
      </c>
      <c r="AB217" s="578"/>
    </row>
    <row r="218" spans="1:28" hidden="1">
      <c r="A218" s="566" t="s">
        <v>1335</v>
      </c>
      <c r="B218" s="566" t="s">
        <v>466</v>
      </c>
      <c r="C218" s="566" t="s">
        <v>487</v>
      </c>
      <c r="D218" s="566" t="s">
        <v>472</v>
      </c>
      <c r="E218" s="566" t="s">
        <v>473</v>
      </c>
      <c r="F218" s="566" t="s">
        <v>489</v>
      </c>
      <c r="G218" s="567">
        <v>50</v>
      </c>
      <c r="H218" s="566" t="s">
        <v>1356</v>
      </c>
      <c r="I218" s="568">
        <v>2</v>
      </c>
      <c r="J218" s="569">
        <v>4</v>
      </c>
      <c r="K218" s="569">
        <v>4</v>
      </c>
      <c r="L218" s="566"/>
      <c r="M218" s="566" t="s">
        <v>476</v>
      </c>
      <c r="N218" s="570">
        <v>865</v>
      </c>
      <c r="O218" s="566"/>
      <c r="P218" s="566" t="s">
        <v>477</v>
      </c>
      <c r="Q218" s="568">
        <v>909678</v>
      </c>
      <c r="R218" s="568">
        <v>47</v>
      </c>
      <c r="S218" s="566" t="s">
        <v>1385</v>
      </c>
      <c r="T218" s="578" t="s">
        <v>779</v>
      </c>
      <c r="U218" s="578" t="s">
        <v>550</v>
      </c>
      <c r="V218" s="578" t="s">
        <v>517</v>
      </c>
      <c r="W218" s="579" t="s">
        <v>1358</v>
      </c>
      <c r="X218" s="578" t="s">
        <v>1380</v>
      </c>
      <c r="Y218" s="578" t="s">
        <v>1338</v>
      </c>
      <c r="Z218" s="580" t="s">
        <v>1527</v>
      </c>
      <c r="AA218" s="581">
        <v>865</v>
      </c>
      <c r="AB218" s="578"/>
    </row>
    <row r="219" spans="1:28" hidden="1">
      <c r="A219" s="566" t="s">
        <v>1335</v>
      </c>
      <c r="B219" s="566" t="s">
        <v>466</v>
      </c>
      <c r="C219" s="566" t="s">
        <v>553</v>
      </c>
      <c r="D219" s="566" t="s">
        <v>472</v>
      </c>
      <c r="E219" s="566" t="s">
        <v>473</v>
      </c>
      <c r="F219" s="566" t="s">
        <v>554</v>
      </c>
      <c r="G219" s="567">
        <v>13</v>
      </c>
      <c r="H219" s="566" t="s">
        <v>855</v>
      </c>
      <c r="I219" s="568">
        <v>2</v>
      </c>
      <c r="J219" s="569">
        <v>22</v>
      </c>
      <c r="K219" s="569">
        <v>22</v>
      </c>
      <c r="L219" s="569">
        <v>17</v>
      </c>
      <c r="M219" s="566" t="s">
        <v>476</v>
      </c>
      <c r="N219" s="570">
        <v>178</v>
      </c>
      <c r="O219" s="566"/>
      <c r="P219" s="566" t="s">
        <v>477</v>
      </c>
      <c r="Q219" s="568">
        <v>909678</v>
      </c>
      <c r="R219" s="568">
        <v>1</v>
      </c>
      <c r="S219" s="566" t="s">
        <v>1387</v>
      </c>
      <c r="T219" s="578" t="s">
        <v>779</v>
      </c>
      <c r="U219" s="578" t="s">
        <v>550</v>
      </c>
      <c r="V219" s="578" t="s">
        <v>517</v>
      </c>
      <c r="W219" s="579" t="s">
        <v>577</v>
      </c>
      <c r="X219" s="578" t="s">
        <v>1380</v>
      </c>
      <c r="Y219" s="578" t="s">
        <v>1338</v>
      </c>
      <c r="Z219" s="580" t="s">
        <v>854</v>
      </c>
      <c r="AA219" s="581">
        <v>178</v>
      </c>
      <c r="AB219" s="578">
        <v>260077</v>
      </c>
    </row>
    <row r="220" spans="1:28" hidden="1">
      <c r="A220" s="566" t="s">
        <v>1335</v>
      </c>
      <c r="B220" s="566" t="s">
        <v>466</v>
      </c>
      <c r="C220" s="566" t="s">
        <v>553</v>
      </c>
      <c r="D220" s="566" t="s">
        <v>472</v>
      </c>
      <c r="E220" s="566" t="s">
        <v>473</v>
      </c>
      <c r="F220" s="566" t="s">
        <v>554</v>
      </c>
      <c r="G220" s="567">
        <v>13</v>
      </c>
      <c r="H220" s="566" t="s">
        <v>857</v>
      </c>
      <c r="I220" s="568">
        <v>2</v>
      </c>
      <c r="J220" s="569">
        <v>22</v>
      </c>
      <c r="K220" s="569">
        <v>22</v>
      </c>
      <c r="L220" s="569">
        <v>17</v>
      </c>
      <c r="M220" s="566" t="s">
        <v>476</v>
      </c>
      <c r="N220" s="570">
        <v>202</v>
      </c>
      <c r="O220" s="566"/>
      <c r="P220" s="566" t="s">
        <v>477</v>
      </c>
      <c r="Q220" s="568">
        <v>909678</v>
      </c>
      <c r="R220" s="568">
        <v>2</v>
      </c>
      <c r="S220" s="566" t="s">
        <v>1388</v>
      </c>
      <c r="T220" s="578" t="s">
        <v>779</v>
      </c>
      <c r="U220" s="578" t="s">
        <v>550</v>
      </c>
      <c r="V220" s="578" t="s">
        <v>517</v>
      </c>
      <c r="W220" s="579" t="s">
        <v>580</v>
      </c>
      <c r="X220" s="578" t="s">
        <v>1380</v>
      </c>
      <c r="Y220" s="578" t="s">
        <v>1338</v>
      </c>
      <c r="Z220" s="580" t="s">
        <v>856</v>
      </c>
      <c r="AA220" s="581">
        <v>202</v>
      </c>
      <c r="AB220" s="578">
        <v>260101</v>
      </c>
    </row>
    <row r="221" spans="1:28" hidden="1">
      <c r="A221" s="566" t="s">
        <v>1335</v>
      </c>
      <c r="B221" s="566" t="s">
        <v>466</v>
      </c>
      <c r="C221" s="566" t="s">
        <v>553</v>
      </c>
      <c r="D221" s="566" t="s">
        <v>472</v>
      </c>
      <c r="E221" s="566" t="s">
        <v>473</v>
      </c>
      <c r="F221" s="566" t="s">
        <v>554</v>
      </c>
      <c r="G221" s="567">
        <v>16</v>
      </c>
      <c r="H221" s="566" t="s">
        <v>859</v>
      </c>
      <c r="I221" s="568">
        <v>2</v>
      </c>
      <c r="J221" s="569">
        <v>22</v>
      </c>
      <c r="K221" s="569">
        <v>22</v>
      </c>
      <c r="L221" s="569">
        <v>17</v>
      </c>
      <c r="M221" s="566" t="s">
        <v>476</v>
      </c>
      <c r="N221" s="570">
        <v>226</v>
      </c>
      <c r="O221" s="566"/>
      <c r="P221" s="566" t="s">
        <v>477</v>
      </c>
      <c r="Q221" s="568">
        <v>909678</v>
      </c>
      <c r="R221" s="568">
        <v>12</v>
      </c>
      <c r="S221" s="566" t="s">
        <v>1389</v>
      </c>
      <c r="T221" s="578" t="s">
        <v>779</v>
      </c>
      <c r="U221" s="578" t="s">
        <v>550</v>
      </c>
      <c r="V221" s="578" t="s">
        <v>517</v>
      </c>
      <c r="W221" s="579" t="s">
        <v>583</v>
      </c>
      <c r="X221" s="578" t="s">
        <v>1380</v>
      </c>
      <c r="Y221" s="578" t="s">
        <v>1338</v>
      </c>
      <c r="Z221" s="580" t="s">
        <v>858</v>
      </c>
      <c r="AA221" s="581">
        <v>226</v>
      </c>
      <c r="AB221" s="578">
        <v>260125</v>
      </c>
    </row>
    <row r="222" spans="1:28" hidden="1">
      <c r="A222" s="566" t="s">
        <v>1335</v>
      </c>
      <c r="B222" s="566" t="s">
        <v>466</v>
      </c>
      <c r="C222" s="566" t="s">
        <v>553</v>
      </c>
      <c r="D222" s="566" t="s">
        <v>472</v>
      </c>
      <c r="E222" s="566" t="s">
        <v>473</v>
      </c>
      <c r="F222" s="566" t="s">
        <v>554</v>
      </c>
      <c r="G222" s="567">
        <v>16</v>
      </c>
      <c r="H222" s="566" t="s">
        <v>861</v>
      </c>
      <c r="I222" s="568">
        <v>2</v>
      </c>
      <c r="J222" s="569">
        <v>22</v>
      </c>
      <c r="K222" s="569">
        <v>22</v>
      </c>
      <c r="L222" s="569">
        <v>17</v>
      </c>
      <c r="M222" s="566" t="s">
        <v>476</v>
      </c>
      <c r="N222" s="570">
        <v>250</v>
      </c>
      <c r="O222" s="566"/>
      <c r="P222" s="566" t="s">
        <v>477</v>
      </c>
      <c r="Q222" s="568">
        <v>909678</v>
      </c>
      <c r="R222" s="568">
        <v>3</v>
      </c>
      <c r="S222" s="566" t="s">
        <v>1390</v>
      </c>
      <c r="T222" s="578" t="s">
        <v>779</v>
      </c>
      <c r="U222" s="578" t="s">
        <v>550</v>
      </c>
      <c r="V222" s="578" t="s">
        <v>517</v>
      </c>
      <c r="W222" s="579" t="s">
        <v>586</v>
      </c>
      <c r="X222" s="578" t="s">
        <v>1380</v>
      </c>
      <c r="Y222" s="578" t="s">
        <v>1338</v>
      </c>
      <c r="Z222" s="580" t="s">
        <v>860</v>
      </c>
      <c r="AA222" s="581">
        <v>250</v>
      </c>
      <c r="AB222" s="578">
        <v>260149</v>
      </c>
    </row>
    <row r="223" spans="1:28" hidden="1">
      <c r="A223" s="566" t="s">
        <v>1335</v>
      </c>
      <c r="B223" s="566" t="s">
        <v>466</v>
      </c>
      <c r="C223" s="566" t="s">
        <v>553</v>
      </c>
      <c r="D223" s="566" t="s">
        <v>472</v>
      </c>
      <c r="E223" s="566" t="s">
        <v>473</v>
      </c>
      <c r="F223" s="566" t="s">
        <v>554</v>
      </c>
      <c r="G223" s="567">
        <v>16</v>
      </c>
      <c r="H223" s="566" t="s">
        <v>863</v>
      </c>
      <c r="I223" s="568">
        <v>2</v>
      </c>
      <c r="J223" s="569">
        <v>22</v>
      </c>
      <c r="K223" s="569">
        <v>22</v>
      </c>
      <c r="L223" s="569">
        <v>17</v>
      </c>
      <c r="M223" s="566" t="s">
        <v>476</v>
      </c>
      <c r="N223" s="570">
        <v>274</v>
      </c>
      <c r="O223" s="566"/>
      <c r="P223" s="566" t="s">
        <v>477</v>
      </c>
      <c r="Q223" s="568">
        <v>909678</v>
      </c>
      <c r="R223" s="568">
        <v>13</v>
      </c>
      <c r="S223" s="566" t="s">
        <v>1391</v>
      </c>
      <c r="T223" s="578" t="s">
        <v>779</v>
      </c>
      <c r="U223" s="578" t="s">
        <v>550</v>
      </c>
      <c r="V223" s="578" t="s">
        <v>517</v>
      </c>
      <c r="W223" s="579" t="s">
        <v>589</v>
      </c>
      <c r="X223" s="578" t="s">
        <v>1380</v>
      </c>
      <c r="Y223" s="578" t="s">
        <v>1338</v>
      </c>
      <c r="Z223" s="580" t="s">
        <v>862</v>
      </c>
      <c r="AA223" s="581">
        <v>274</v>
      </c>
      <c r="AB223" s="578">
        <v>260173</v>
      </c>
    </row>
    <row r="224" spans="1:28" hidden="1">
      <c r="A224" s="566" t="s">
        <v>1335</v>
      </c>
      <c r="B224" s="566" t="s">
        <v>466</v>
      </c>
      <c r="C224" s="566" t="s">
        <v>471</v>
      </c>
      <c r="D224" s="566" t="s">
        <v>472</v>
      </c>
      <c r="E224" s="566" t="s">
        <v>473</v>
      </c>
      <c r="F224" s="566" t="s">
        <v>474</v>
      </c>
      <c r="G224" s="567">
        <v>0</v>
      </c>
      <c r="H224" s="566" t="s">
        <v>593</v>
      </c>
      <c r="I224" s="568">
        <v>1</v>
      </c>
      <c r="J224" s="569">
        <v>4</v>
      </c>
      <c r="K224" s="569">
        <v>4</v>
      </c>
      <c r="L224" s="566"/>
      <c r="M224" s="566" t="s">
        <v>476</v>
      </c>
      <c r="N224" s="570">
        <v>325</v>
      </c>
      <c r="O224" s="566"/>
      <c r="P224" s="566" t="s">
        <v>477</v>
      </c>
      <c r="Q224" s="568">
        <v>909678</v>
      </c>
      <c r="R224" s="568">
        <v>5</v>
      </c>
      <c r="S224" s="566" t="s">
        <v>1392</v>
      </c>
      <c r="T224" s="578" t="s">
        <v>779</v>
      </c>
      <c r="U224" s="578" t="s">
        <v>550</v>
      </c>
      <c r="V224" s="578" t="s">
        <v>517</v>
      </c>
      <c r="W224" s="579" t="s">
        <v>509</v>
      </c>
      <c r="X224" s="578" t="s">
        <v>1380</v>
      </c>
      <c r="Y224" s="578" t="s">
        <v>1338</v>
      </c>
      <c r="Z224" s="580" t="s">
        <v>864</v>
      </c>
      <c r="AA224" s="581">
        <v>325</v>
      </c>
      <c r="AB224" s="578"/>
    </row>
    <row r="225" spans="1:28" hidden="1">
      <c r="A225" s="566" t="s">
        <v>1335</v>
      </c>
      <c r="B225" s="566" t="s">
        <v>466</v>
      </c>
      <c r="C225" s="566" t="s">
        <v>471</v>
      </c>
      <c r="D225" s="566" t="s">
        <v>472</v>
      </c>
      <c r="E225" s="566" t="s">
        <v>473</v>
      </c>
      <c r="F225" s="566" t="s">
        <v>474</v>
      </c>
      <c r="G225" s="567">
        <v>0</v>
      </c>
      <c r="H225" s="566" t="s">
        <v>595</v>
      </c>
      <c r="I225" s="568">
        <v>2</v>
      </c>
      <c r="J225" s="569">
        <v>4</v>
      </c>
      <c r="K225" s="569">
        <v>4</v>
      </c>
      <c r="L225" s="566"/>
      <c r="M225" s="566" t="s">
        <v>476</v>
      </c>
      <c r="N225" s="570">
        <v>361</v>
      </c>
      <c r="O225" s="566"/>
      <c r="P225" s="566" t="s">
        <v>477</v>
      </c>
      <c r="Q225" s="568">
        <v>909678</v>
      </c>
      <c r="R225" s="568">
        <v>6</v>
      </c>
      <c r="S225" s="566" t="s">
        <v>1393</v>
      </c>
      <c r="T225" s="578" t="s">
        <v>779</v>
      </c>
      <c r="U225" s="578" t="s">
        <v>550</v>
      </c>
      <c r="V225" s="578" t="s">
        <v>517</v>
      </c>
      <c r="W225" s="579" t="s">
        <v>512</v>
      </c>
      <c r="X225" s="578" t="s">
        <v>1380</v>
      </c>
      <c r="Y225" s="578" t="s">
        <v>1338</v>
      </c>
      <c r="Z225" s="580" t="s">
        <v>865</v>
      </c>
      <c r="AA225" s="581">
        <v>361</v>
      </c>
      <c r="AB225" s="578"/>
    </row>
    <row r="226" spans="1:28" hidden="1">
      <c r="A226" s="566" t="s">
        <v>1335</v>
      </c>
      <c r="B226" s="566" t="s">
        <v>466</v>
      </c>
      <c r="C226" s="566" t="s">
        <v>471</v>
      </c>
      <c r="D226" s="566" t="s">
        <v>472</v>
      </c>
      <c r="E226" s="566" t="s">
        <v>473</v>
      </c>
      <c r="F226" s="566" t="s">
        <v>474</v>
      </c>
      <c r="G226" s="567">
        <v>0</v>
      </c>
      <c r="H226" s="566" t="s">
        <v>597</v>
      </c>
      <c r="I226" s="568">
        <v>2</v>
      </c>
      <c r="J226" s="569">
        <v>4</v>
      </c>
      <c r="K226" s="569">
        <v>4</v>
      </c>
      <c r="L226" s="566"/>
      <c r="M226" s="566" t="s">
        <v>476</v>
      </c>
      <c r="N226" s="570">
        <v>397</v>
      </c>
      <c r="O226" s="566"/>
      <c r="P226" s="566" t="s">
        <v>477</v>
      </c>
      <c r="Q226" s="568">
        <v>909678</v>
      </c>
      <c r="R226" s="568">
        <v>14</v>
      </c>
      <c r="S226" s="566" t="s">
        <v>1394</v>
      </c>
      <c r="T226" s="578" t="s">
        <v>779</v>
      </c>
      <c r="U226" s="578" t="s">
        <v>550</v>
      </c>
      <c r="V226" s="578" t="s">
        <v>517</v>
      </c>
      <c r="W226" s="579" t="s">
        <v>514</v>
      </c>
      <c r="X226" s="578" t="s">
        <v>1380</v>
      </c>
      <c r="Y226" s="578" t="s">
        <v>1338</v>
      </c>
      <c r="Z226" s="580" t="s">
        <v>866</v>
      </c>
      <c r="AA226" s="581">
        <v>397</v>
      </c>
      <c r="AB226" s="578"/>
    </row>
    <row r="227" spans="1:28" hidden="1">
      <c r="A227" s="566" t="s">
        <v>1335</v>
      </c>
      <c r="B227" s="566" t="s">
        <v>466</v>
      </c>
      <c r="C227" s="566" t="s">
        <v>471</v>
      </c>
      <c r="D227" s="566" t="s">
        <v>472</v>
      </c>
      <c r="E227" s="566" t="s">
        <v>473</v>
      </c>
      <c r="F227" s="566" t="s">
        <v>474</v>
      </c>
      <c r="G227" s="567">
        <v>0</v>
      </c>
      <c r="H227" s="566" t="s">
        <v>561</v>
      </c>
      <c r="I227" s="568">
        <v>2</v>
      </c>
      <c r="J227" s="569">
        <v>28</v>
      </c>
      <c r="K227" s="569">
        <v>28</v>
      </c>
      <c r="L227" s="566"/>
      <c r="M227" s="566" t="s">
        <v>476</v>
      </c>
      <c r="N227" s="570">
        <v>1333</v>
      </c>
      <c r="O227" s="566"/>
      <c r="P227" s="566" t="s">
        <v>477</v>
      </c>
      <c r="Q227" s="568">
        <v>909678</v>
      </c>
      <c r="R227" s="568">
        <v>34</v>
      </c>
      <c r="S227" s="566" t="s">
        <v>1395</v>
      </c>
      <c r="T227" s="578" t="s">
        <v>779</v>
      </c>
      <c r="U227" s="578" t="s">
        <v>550</v>
      </c>
      <c r="V227" s="578" t="s">
        <v>517</v>
      </c>
      <c r="W227" s="579" t="s">
        <v>1274</v>
      </c>
      <c r="X227" s="578" t="s">
        <v>1380</v>
      </c>
      <c r="Y227" s="578" t="s">
        <v>1367</v>
      </c>
      <c r="Z227" s="580" t="s">
        <v>1528</v>
      </c>
      <c r="AA227" s="581">
        <v>1333</v>
      </c>
      <c r="AB227" s="578"/>
    </row>
    <row r="228" spans="1:28" hidden="1">
      <c r="A228" s="566" t="s">
        <v>1335</v>
      </c>
      <c r="B228" s="566" t="s">
        <v>466</v>
      </c>
      <c r="C228" s="566" t="s">
        <v>471</v>
      </c>
      <c r="D228" s="566" t="s">
        <v>472</v>
      </c>
      <c r="E228" s="566" t="s">
        <v>473</v>
      </c>
      <c r="F228" s="566" t="s">
        <v>474</v>
      </c>
      <c r="G228" s="567">
        <v>0</v>
      </c>
      <c r="H228" s="566" t="s">
        <v>564</v>
      </c>
      <c r="I228" s="568">
        <v>2</v>
      </c>
      <c r="J228" s="569">
        <v>28</v>
      </c>
      <c r="K228" s="569">
        <v>28</v>
      </c>
      <c r="L228" s="566"/>
      <c r="M228" s="566" t="s">
        <v>476</v>
      </c>
      <c r="N228" s="570">
        <v>1369</v>
      </c>
      <c r="O228" s="566"/>
      <c r="P228" s="566" t="s">
        <v>477</v>
      </c>
      <c r="Q228" s="568">
        <v>909678</v>
      </c>
      <c r="R228" s="568">
        <v>35</v>
      </c>
      <c r="S228" s="566" t="s">
        <v>1397</v>
      </c>
      <c r="T228" s="578" t="s">
        <v>779</v>
      </c>
      <c r="U228" s="578" t="s">
        <v>550</v>
      </c>
      <c r="V228" s="578" t="s">
        <v>517</v>
      </c>
      <c r="W228" s="579" t="s">
        <v>1275</v>
      </c>
      <c r="X228" s="578" t="s">
        <v>1380</v>
      </c>
      <c r="Y228" s="578" t="s">
        <v>1367</v>
      </c>
      <c r="Z228" s="580" t="s">
        <v>1529</v>
      </c>
      <c r="AA228" s="581">
        <v>1369</v>
      </c>
      <c r="AB228" s="578"/>
    </row>
    <row r="229" spans="1:28" hidden="1">
      <c r="A229" s="566" t="s">
        <v>1335</v>
      </c>
      <c r="B229" s="566" t="s">
        <v>466</v>
      </c>
      <c r="C229" s="566" t="s">
        <v>487</v>
      </c>
      <c r="D229" s="566" t="s">
        <v>472</v>
      </c>
      <c r="E229" s="566" t="s">
        <v>473</v>
      </c>
      <c r="F229" s="566" t="s">
        <v>489</v>
      </c>
      <c r="G229" s="567">
        <v>50</v>
      </c>
      <c r="H229" s="566" t="s">
        <v>573</v>
      </c>
      <c r="I229" s="568">
        <v>2</v>
      </c>
      <c r="J229" s="569">
        <v>28</v>
      </c>
      <c r="K229" s="569">
        <v>28</v>
      </c>
      <c r="L229" s="566"/>
      <c r="M229" s="566" t="s">
        <v>476</v>
      </c>
      <c r="N229" s="570">
        <v>1405</v>
      </c>
      <c r="O229" s="566"/>
      <c r="P229" s="566" t="s">
        <v>477</v>
      </c>
      <c r="Q229" s="568">
        <v>909678</v>
      </c>
      <c r="R229" s="568">
        <v>37</v>
      </c>
      <c r="S229" s="566" t="s">
        <v>1399</v>
      </c>
      <c r="T229" s="578" t="s">
        <v>779</v>
      </c>
      <c r="U229" s="578" t="s">
        <v>550</v>
      </c>
      <c r="V229" s="578" t="s">
        <v>517</v>
      </c>
      <c r="W229" s="579" t="s">
        <v>1276</v>
      </c>
      <c r="X229" s="578" t="s">
        <v>1380</v>
      </c>
      <c r="Y229" s="578" t="s">
        <v>1367</v>
      </c>
      <c r="Z229" s="580" t="s">
        <v>1530</v>
      </c>
      <c r="AA229" s="581">
        <v>1405</v>
      </c>
      <c r="AB229" s="578"/>
    </row>
    <row r="230" spans="1:28" hidden="1">
      <c r="A230" s="566" t="s">
        <v>1335</v>
      </c>
      <c r="B230" s="566" t="s">
        <v>466</v>
      </c>
      <c r="C230" s="566" t="s">
        <v>487</v>
      </c>
      <c r="D230" s="566" t="s">
        <v>472</v>
      </c>
      <c r="E230" s="566" t="s">
        <v>473</v>
      </c>
      <c r="F230" s="566" t="s">
        <v>489</v>
      </c>
      <c r="G230" s="567">
        <v>50</v>
      </c>
      <c r="H230" s="566" t="s">
        <v>576</v>
      </c>
      <c r="I230" s="568">
        <v>2</v>
      </c>
      <c r="J230" s="569">
        <v>28</v>
      </c>
      <c r="K230" s="569">
        <v>28</v>
      </c>
      <c r="L230" s="566"/>
      <c r="M230" s="566" t="s">
        <v>476</v>
      </c>
      <c r="N230" s="570">
        <v>1441</v>
      </c>
      <c r="O230" s="566"/>
      <c r="P230" s="566" t="s">
        <v>477</v>
      </c>
      <c r="Q230" s="568">
        <v>909678</v>
      </c>
      <c r="R230" s="568">
        <v>38</v>
      </c>
      <c r="S230" s="566" t="s">
        <v>1401</v>
      </c>
      <c r="T230" s="578" t="s">
        <v>779</v>
      </c>
      <c r="U230" s="578" t="s">
        <v>550</v>
      </c>
      <c r="V230" s="578" t="s">
        <v>517</v>
      </c>
      <c r="W230" s="579" t="s">
        <v>1277</v>
      </c>
      <c r="X230" s="578" t="s">
        <v>1380</v>
      </c>
      <c r="Y230" s="578" t="s">
        <v>1367</v>
      </c>
      <c r="Z230" s="580" t="s">
        <v>1531</v>
      </c>
      <c r="AA230" s="581">
        <v>1441</v>
      </c>
      <c r="AB230" s="578"/>
    </row>
    <row r="231" spans="1:28" hidden="1">
      <c r="A231" s="566" t="s">
        <v>1335</v>
      </c>
      <c r="B231" s="566" t="s">
        <v>466</v>
      </c>
      <c r="C231" s="566" t="s">
        <v>471</v>
      </c>
      <c r="D231" s="566" t="s">
        <v>472</v>
      </c>
      <c r="E231" s="566" t="s">
        <v>473</v>
      </c>
      <c r="F231" s="566" t="s">
        <v>474</v>
      </c>
      <c r="G231" s="567">
        <v>0</v>
      </c>
      <c r="H231" s="566" t="s">
        <v>1352</v>
      </c>
      <c r="I231" s="568">
        <v>2</v>
      </c>
      <c r="J231" s="569">
        <v>28</v>
      </c>
      <c r="K231" s="569">
        <v>28</v>
      </c>
      <c r="L231" s="566"/>
      <c r="M231" s="566" t="s">
        <v>476</v>
      </c>
      <c r="N231" s="570">
        <v>1477</v>
      </c>
      <c r="O231" s="566"/>
      <c r="P231" s="566" t="s">
        <v>477</v>
      </c>
      <c r="Q231" s="568">
        <v>909678</v>
      </c>
      <c r="R231" s="568">
        <v>36</v>
      </c>
      <c r="S231" s="566" t="s">
        <v>1403</v>
      </c>
      <c r="T231" s="578" t="s">
        <v>779</v>
      </c>
      <c r="U231" s="578" t="s">
        <v>550</v>
      </c>
      <c r="V231" s="578" t="s">
        <v>517</v>
      </c>
      <c r="W231" s="579" t="s">
        <v>1354</v>
      </c>
      <c r="X231" s="578" t="s">
        <v>1380</v>
      </c>
      <c r="Y231" s="578" t="s">
        <v>1367</v>
      </c>
      <c r="Z231" s="580" t="s">
        <v>1532</v>
      </c>
      <c r="AA231" s="581">
        <v>1477</v>
      </c>
      <c r="AB231" s="578"/>
    </row>
    <row r="232" spans="1:28" hidden="1">
      <c r="A232" s="566" t="s">
        <v>1335</v>
      </c>
      <c r="B232" s="566" t="s">
        <v>466</v>
      </c>
      <c r="C232" s="566" t="s">
        <v>487</v>
      </c>
      <c r="D232" s="566" t="s">
        <v>472</v>
      </c>
      <c r="E232" s="566" t="s">
        <v>473</v>
      </c>
      <c r="F232" s="566" t="s">
        <v>489</v>
      </c>
      <c r="G232" s="567">
        <v>50</v>
      </c>
      <c r="H232" s="566" t="s">
        <v>1356</v>
      </c>
      <c r="I232" s="568">
        <v>2</v>
      </c>
      <c r="J232" s="569">
        <v>28</v>
      </c>
      <c r="K232" s="569">
        <v>28</v>
      </c>
      <c r="L232" s="566"/>
      <c r="M232" s="566" t="s">
        <v>476</v>
      </c>
      <c r="N232" s="570">
        <v>1513</v>
      </c>
      <c r="O232" s="566"/>
      <c r="P232" s="566" t="s">
        <v>477</v>
      </c>
      <c r="Q232" s="568">
        <v>909678</v>
      </c>
      <c r="R232" s="568">
        <v>39</v>
      </c>
      <c r="S232" s="566" t="s">
        <v>1405</v>
      </c>
      <c r="T232" s="578" t="s">
        <v>779</v>
      </c>
      <c r="U232" s="578" t="s">
        <v>550</v>
      </c>
      <c r="V232" s="578" t="s">
        <v>517</v>
      </c>
      <c r="W232" s="579" t="s">
        <v>1358</v>
      </c>
      <c r="X232" s="578" t="s">
        <v>1380</v>
      </c>
      <c r="Y232" s="578" t="s">
        <v>1367</v>
      </c>
      <c r="Z232" s="580" t="s">
        <v>1533</v>
      </c>
      <c r="AA232" s="581">
        <v>1513</v>
      </c>
      <c r="AB232" s="578"/>
    </row>
    <row r="233" spans="1:28" hidden="1">
      <c r="A233" s="566" t="s">
        <v>1335</v>
      </c>
      <c r="B233" s="566" t="s">
        <v>466</v>
      </c>
      <c r="C233" s="566" t="s">
        <v>471</v>
      </c>
      <c r="D233" s="566" t="s">
        <v>472</v>
      </c>
      <c r="E233" s="566" t="s">
        <v>473</v>
      </c>
      <c r="F233" s="566" t="s">
        <v>474</v>
      </c>
      <c r="G233" s="567">
        <v>0</v>
      </c>
      <c r="H233" s="566" t="s">
        <v>559</v>
      </c>
      <c r="I233" s="568">
        <v>2</v>
      </c>
      <c r="J233" s="569">
        <v>4</v>
      </c>
      <c r="K233" s="569">
        <v>4</v>
      </c>
      <c r="L233" s="566"/>
      <c r="M233" s="566" t="s">
        <v>476</v>
      </c>
      <c r="N233" s="570">
        <v>433</v>
      </c>
      <c r="O233" s="566"/>
      <c r="P233" s="566" t="s">
        <v>477</v>
      </c>
      <c r="Q233" s="568">
        <v>909678</v>
      </c>
      <c r="R233" s="568">
        <v>7</v>
      </c>
      <c r="S233" s="566" t="s">
        <v>1407</v>
      </c>
      <c r="T233" s="575" t="s">
        <v>1442</v>
      </c>
      <c r="U233" s="575" t="s">
        <v>550</v>
      </c>
      <c r="V233" s="575" t="s">
        <v>517</v>
      </c>
      <c r="W233" s="576" t="s">
        <v>470</v>
      </c>
      <c r="X233" s="575" t="s">
        <v>1380</v>
      </c>
      <c r="Y233" s="575" t="s">
        <v>1338</v>
      </c>
      <c r="Z233" s="576" t="s">
        <v>1534</v>
      </c>
      <c r="AA233" s="577">
        <v>433</v>
      </c>
      <c r="AB233" s="575"/>
    </row>
    <row r="234" spans="1:28" hidden="1">
      <c r="A234" s="566" t="s">
        <v>1335</v>
      </c>
      <c r="B234" s="566" t="s">
        <v>466</v>
      </c>
      <c r="C234" s="566" t="s">
        <v>471</v>
      </c>
      <c r="D234" s="566" t="s">
        <v>472</v>
      </c>
      <c r="E234" s="566" t="s">
        <v>473</v>
      </c>
      <c r="F234" s="566" t="s">
        <v>474</v>
      </c>
      <c r="G234" s="567">
        <v>0</v>
      </c>
      <c r="H234" s="566" t="s">
        <v>562</v>
      </c>
      <c r="I234" s="568">
        <v>2</v>
      </c>
      <c r="J234" s="569">
        <v>4</v>
      </c>
      <c r="K234" s="569">
        <v>4</v>
      </c>
      <c r="L234" s="566"/>
      <c r="M234" s="566" t="s">
        <v>476</v>
      </c>
      <c r="N234" s="570">
        <v>505</v>
      </c>
      <c r="O234" s="566"/>
      <c r="P234" s="566" t="s">
        <v>477</v>
      </c>
      <c r="Q234" s="568">
        <v>909678</v>
      </c>
      <c r="R234" s="568">
        <v>8</v>
      </c>
      <c r="S234" s="566" t="s">
        <v>1410</v>
      </c>
      <c r="T234" s="575" t="s">
        <v>1442</v>
      </c>
      <c r="U234" s="575" t="s">
        <v>550</v>
      </c>
      <c r="V234" s="575" t="s">
        <v>517</v>
      </c>
      <c r="W234" s="576" t="s">
        <v>480</v>
      </c>
      <c r="X234" s="575" t="s">
        <v>1380</v>
      </c>
      <c r="Y234" s="575" t="s">
        <v>1338</v>
      </c>
      <c r="Z234" s="576" t="s">
        <v>1535</v>
      </c>
      <c r="AA234" s="577">
        <v>505</v>
      </c>
      <c r="AB234" s="575"/>
    </row>
    <row r="235" spans="1:28" hidden="1">
      <c r="A235" s="566" t="s">
        <v>1335</v>
      </c>
      <c r="B235" s="566" t="s">
        <v>466</v>
      </c>
      <c r="C235" s="566" t="s">
        <v>487</v>
      </c>
      <c r="D235" s="566" t="s">
        <v>472</v>
      </c>
      <c r="E235" s="566" t="s">
        <v>473</v>
      </c>
      <c r="F235" s="566" t="s">
        <v>489</v>
      </c>
      <c r="G235" s="567">
        <v>50</v>
      </c>
      <c r="H235" s="566" t="s">
        <v>571</v>
      </c>
      <c r="I235" s="568">
        <v>2</v>
      </c>
      <c r="J235" s="569">
        <v>4</v>
      </c>
      <c r="K235" s="569">
        <v>4</v>
      </c>
      <c r="L235" s="566"/>
      <c r="M235" s="566" t="s">
        <v>476</v>
      </c>
      <c r="N235" s="570">
        <v>685</v>
      </c>
      <c r="O235" s="566"/>
      <c r="P235" s="566" t="s">
        <v>477</v>
      </c>
      <c r="Q235" s="568">
        <v>909678</v>
      </c>
      <c r="R235" s="568">
        <v>11</v>
      </c>
      <c r="S235" s="566" t="s">
        <v>1412</v>
      </c>
      <c r="T235" s="575" t="s">
        <v>1442</v>
      </c>
      <c r="U235" s="575" t="s">
        <v>550</v>
      </c>
      <c r="V235" s="575" t="s">
        <v>517</v>
      </c>
      <c r="W235" s="576" t="s">
        <v>499</v>
      </c>
      <c r="X235" s="575" t="s">
        <v>1380</v>
      </c>
      <c r="Y235" s="575" t="s">
        <v>1338</v>
      </c>
      <c r="Z235" s="576" t="s">
        <v>1536</v>
      </c>
      <c r="AA235" s="577">
        <v>685</v>
      </c>
      <c r="AB235" s="575"/>
    </row>
    <row r="236" spans="1:28" hidden="1">
      <c r="A236" s="566" t="s">
        <v>1335</v>
      </c>
      <c r="B236" s="566" t="s">
        <v>466</v>
      </c>
      <c r="C236" s="566" t="s">
        <v>487</v>
      </c>
      <c r="D236" s="566" t="s">
        <v>472</v>
      </c>
      <c r="E236" s="566" t="s">
        <v>473</v>
      </c>
      <c r="F236" s="566" t="s">
        <v>489</v>
      </c>
      <c r="G236" s="567">
        <v>50</v>
      </c>
      <c r="H236" s="566" t="s">
        <v>574</v>
      </c>
      <c r="I236" s="568">
        <v>2</v>
      </c>
      <c r="J236" s="569">
        <v>4</v>
      </c>
      <c r="K236" s="569">
        <v>4</v>
      </c>
      <c r="L236" s="566"/>
      <c r="M236" s="566" t="s">
        <v>476</v>
      </c>
      <c r="N236" s="570">
        <v>757</v>
      </c>
      <c r="O236" s="566"/>
      <c r="P236" s="566" t="s">
        <v>477</v>
      </c>
      <c r="Q236" s="568">
        <v>909678</v>
      </c>
      <c r="R236" s="568">
        <v>20</v>
      </c>
      <c r="S236" s="566" t="s">
        <v>1414</v>
      </c>
      <c r="T236" s="575" t="s">
        <v>1442</v>
      </c>
      <c r="U236" s="575" t="s">
        <v>550</v>
      </c>
      <c r="V236" s="575" t="s">
        <v>517</v>
      </c>
      <c r="W236" s="576" t="s">
        <v>504</v>
      </c>
      <c r="X236" s="575" t="s">
        <v>1380</v>
      </c>
      <c r="Y236" s="575" t="s">
        <v>1338</v>
      </c>
      <c r="Z236" s="576" t="s">
        <v>1537</v>
      </c>
      <c r="AA236" s="577">
        <v>757</v>
      </c>
      <c r="AB236" s="575"/>
    </row>
    <row r="237" spans="1:28" hidden="1">
      <c r="A237" s="566" t="s">
        <v>1335</v>
      </c>
      <c r="B237" s="566" t="s">
        <v>466</v>
      </c>
      <c r="C237" s="566" t="s">
        <v>471</v>
      </c>
      <c r="D237" s="566" t="s">
        <v>472</v>
      </c>
      <c r="E237" s="566" t="s">
        <v>473</v>
      </c>
      <c r="F237" s="566" t="s">
        <v>474</v>
      </c>
      <c r="G237" s="567">
        <v>0</v>
      </c>
      <c r="H237" s="566" t="s">
        <v>561</v>
      </c>
      <c r="I237" s="568">
        <v>2</v>
      </c>
      <c r="J237" s="569">
        <v>53</v>
      </c>
      <c r="K237" s="569">
        <v>53</v>
      </c>
      <c r="L237" s="566"/>
      <c r="M237" s="566" t="s">
        <v>476</v>
      </c>
      <c r="N237" s="570">
        <v>1010</v>
      </c>
      <c r="O237" s="566"/>
      <c r="P237" s="566" t="s">
        <v>477</v>
      </c>
      <c r="Q237" s="568">
        <v>909678</v>
      </c>
      <c r="R237" s="568">
        <v>25</v>
      </c>
      <c r="S237" s="566" t="s">
        <v>1336</v>
      </c>
      <c r="T237" s="582" t="s">
        <v>253</v>
      </c>
      <c r="U237" s="582" t="s">
        <v>550</v>
      </c>
      <c r="V237" s="582" t="s">
        <v>517</v>
      </c>
      <c r="W237" s="583" t="s">
        <v>1274</v>
      </c>
      <c r="X237" s="582" t="s">
        <v>1337</v>
      </c>
      <c r="Y237" s="582" t="s">
        <v>1338</v>
      </c>
      <c r="Z237" s="584" t="s">
        <v>1538</v>
      </c>
      <c r="AA237" s="585">
        <v>1010</v>
      </c>
      <c r="AB237" s="582"/>
    </row>
    <row r="238" spans="1:28" hidden="1">
      <c r="A238" s="566" t="s">
        <v>1335</v>
      </c>
      <c r="B238" s="566" t="s">
        <v>466</v>
      </c>
      <c r="C238" s="566" t="s">
        <v>471</v>
      </c>
      <c r="D238" s="566" t="s">
        <v>472</v>
      </c>
      <c r="E238" s="566" t="s">
        <v>473</v>
      </c>
      <c r="F238" s="566" t="s">
        <v>474</v>
      </c>
      <c r="G238" s="567">
        <v>0</v>
      </c>
      <c r="H238" s="566" t="s">
        <v>564</v>
      </c>
      <c r="I238" s="568">
        <v>2</v>
      </c>
      <c r="J238" s="569">
        <v>53</v>
      </c>
      <c r="K238" s="569">
        <v>53</v>
      </c>
      <c r="L238" s="566"/>
      <c r="M238" s="566" t="s">
        <v>476</v>
      </c>
      <c r="N238" s="570">
        <v>1046</v>
      </c>
      <c r="O238" s="566"/>
      <c r="P238" s="566" t="s">
        <v>477</v>
      </c>
      <c r="Q238" s="568">
        <v>909678</v>
      </c>
      <c r="R238" s="568">
        <v>26</v>
      </c>
      <c r="S238" s="566" t="s">
        <v>1340</v>
      </c>
      <c r="T238" s="582" t="s">
        <v>253</v>
      </c>
      <c r="U238" s="582" t="s">
        <v>550</v>
      </c>
      <c r="V238" s="582" t="s">
        <v>517</v>
      </c>
      <c r="W238" s="583" t="s">
        <v>1275</v>
      </c>
      <c r="X238" s="582" t="s">
        <v>1337</v>
      </c>
      <c r="Y238" s="582" t="s">
        <v>1338</v>
      </c>
      <c r="Z238" s="584" t="s">
        <v>1539</v>
      </c>
      <c r="AA238" s="585">
        <v>1046</v>
      </c>
      <c r="AB238" s="582"/>
    </row>
    <row r="239" spans="1:28" hidden="1">
      <c r="A239" s="566" t="s">
        <v>1335</v>
      </c>
      <c r="B239" s="566" t="s">
        <v>466</v>
      </c>
      <c r="C239" s="566" t="s">
        <v>487</v>
      </c>
      <c r="D239" s="566" t="s">
        <v>472</v>
      </c>
      <c r="E239" s="566" t="s">
        <v>473</v>
      </c>
      <c r="F239" s="566" t="s">
        <v>489</v>
      </c>
      <c r="G239" s="567">
        <v>50</v>
      </c>
      <c r="H239" s="566" t="s">
        <v>566</v>
      </c>
      <c r="I239" s="568">
        <v>2</v>
      </c>
      <c r="J239" s="569">
        <v>53</v>
      </c>
      <c r="K239" s="569">
        <v>53</v>
      </c>
      <c r="L239" s="566"/>
      <c r="M239" s="566" t="s">
        <v>476</v>
      </c>
      <c r="N239" s="570">
        <v>1082</v>
      </c>
      <c r="O239" s="566"/>
      <c r="P239" s="566" t="s">
        <v>477</v>
      </c>
      <c r="Q239" s="568">
        <v>909678</v>
      </c>
      <c r="R239" s="568">
        <v>28</v>
      </c>
      <c r="S239" s="566" t="s">
        <v>1342</v>
      </c>
      <c r="T239" s="582" t="s">
        <v>253</v>
      </c>
      <c r="U239" s="582" t="s">
        <v>550</v>
      </c>
      <c r="V239" s="582" t="s">
        <v>517</v>
      </c>
      <c r="W239" s="583" t="s">
        <v>485</v>
      </c>
      <c r="X239" s="582" t="s">
        <v>1337</v>
      </c>
      <c r="Y239" s="582" t="s">
        <v>1338</v>
      </c>
      <c r="Z239" s="584" t="s">
        <v>1540</v>
      </c>
      <c r="AA239" s="585">
        <v>1082</v>
      </c>
      <c r="AB239" s="582"/>
    </row>
    <row r="240" spans="1:28" hidden="1">
      <c r="A240" s="566" t="s">
        <v>1335</v>
      </c>
      <c r="B240" s="566" t="s">
        <v>466</v>
      </c>
      <c r="C240" s="566" t="s">
        <v>487</v>
      </c>
      <c r="D240" s="566" t="s">
        <v>472</v>
      </c>
      <c r="E240" s="566" t="s">
        <v>473</v>
      </c>
      <c r="F240" s="566" t="s">
        <v>489</v>
      </c>
      <c r="G240" s="567">
        <v>50</v>
      </c>
      <c r="H240" s="566" t="s">
        <v>568</v>
      </c>
      <c r="I240" s="568">
        <v>2</v>
      </c>
      <c r="J240" s="569">
        <v>53</v>
      </c>
      <c r="K240" s="569">
        <v>53</v>
      </c>
      <c r="L240" s="566"/>
      <c r="M240" s="566" t="s">
        <v>476</v>
      </c>
      <c r="N240" s="570">
        <v>1118</v>
      </c>
      <c r="O240" s="566"/>
      <c r="P240" s="566" t="s">
        <v>477</v>
      </c>
      <c r="Q240" s="568">
        <v>909678</v>
      </c>
      <c r="R240" s="568">
        <v>29</v>
      </c>
      <c r="S240" s="566" t="s">
        <v>1344</v>
      </c>
      <c r="T240" s="582" t="s">
        <v>253</v>
      </c>
      <c r="U240" s="582" t="s">
        <v>550</v>
      </c>
      <c r="V240" s="582" t="s">
        <v>517</v>
      </c>
      <c r="W240" s="583" t="s">
        <v>491</v>
      </c>
      <c r="X240" s="582" t="s">
        <v>1337</v>
      </c>
      <c r="Y240" s="582" t="s">
        <v>1338</v>
      </c>
      <c r="Z240" s="584" t="s">
        <v>1541</v>
      </c>
      <c r="AA240" s="585">
        <v>1118</v>
      </c>
      <c r="AB240" s="582"/>
    </row>
    <row r="241" spans="1:28" hidden="1">
      <c r="A241" s="566" t="s">
        <v>1335</v>
      </c>
      <c r="B241" s="566" t="s">
        <v>466</v>
      </c>
      <c r="C241" s="566" t="s">
        <v>487</v>
      </c>
      <c r="D241" s="566" t="s">
        <v>472</v>
      </c>
      <c r="E241" s="566" t="s">
        <v>473</v>
      </c>
      <c r="F241" s="566" t="s">
        <v>489</v>
      </c>
      <c r="G241" s="567">
        <v>50</v>
      </c>
      <c r="H241" s="566" t="s">
        <v>570</v>
      </c>
      <c r="I241" s="568">
        <v>2</v>
      </c>
      <c r="J241" s="569">
        <v>53</v>
      </c>
      <c r="K241" s="569">
        <v>53</v>
      </c>
      <c r="L241" s="566"/>
      <c r="M241" s="566" t="s">
        <v>476</v>
      </c>
      <c r="N241" s="570">
        <v>1154</v>
      </c>
      <c r="O241" s="566"/>
      <c r="P241" s="566" t="s">
        <v>477</v>
      </c>
      <c r="Q241" s="568">
        <v>909678</v>
      </c>
      <c r="R241" s="568">
        <v>30</v>
      </c>
      <c r="S241" s="566" t="s">
        <v>1346</v>
      </c>
      <c r="T241" s="582" t="s">
        <v>253</v>
      </c>
      <c r="U241" s="582" t="s">
        <v>550</v>
      </c>
      <c r="V241" s="582" t="s">
        <v>517</v>
      </c>
      <c r="W241" s="583" t="s">
        <v>495</v>
      </c>
      <c r="X241" s="582" t="s">
        <v>1337</v>
      </c>
      <c r="Y241" s="582" t="s">
        <v>1338</v>
      </c>
      <c r="Z241" s="584" t="s">
        <v>1542</v>
      </c>
      <c r="AA241" s="585">
        <v>1154</v>
      </c>
      <c r="AB241" s="582"/>
    </row>
    <row r="242" spans="1:28" hidden="1">
      <c r="A242" s="566" t="s">
        <v>1335</v>
      </c>
      <c r="B242" s="566" t="s">
        <v>466</v>
      </c>
      <c r="C242" s="566" t="s">
        <v>487</v>
      </c>
      <c r="D242" s="566" t="s">
        <v>472</v>
      </c>
      <c r="E242" s="566" t="s">
        <v>473</v>
      </c>
      <c r="F242" s="566" t="s">
        <v>489</v>
      </c>
      <c r="G242" s="567">
        <v>50</v>
      </c>
      <c r="H242" s="566" t="s">
        <v>573</v>
      </c>
      <c r="I242" s="568">
        <v>2</v>
      </c>
      <c r="J242" s="569">
        <v>53</v>
      </c>
      <c r="K242" s="569">
        <v>53</v>
      </c>
      <c r="L242" s="566"/>
      <c r="M242" s="566" t="s">
        <v>476</v>
      </c>
      <c r="N242" s="570">
        <v>1190</v>
      </c>
      <c r="O242" s="566"/>
      <c r="P242" s="566" t="s">
        <v>477</v>
      </c>
      <c r="Q242" s="568">
        <v>909678</v>
      </c>
      <c r="R242" s="568">
        <v>31</v>
      </c>
      <c r="S242" s="566" t="s">
        <v>1348</v>
      </c>
      <c r="T242" s="582" t="s">
        <v>253</v>
      </c>
      <c r="U242" s="582" t="s">
        <v>550</v>
      </c>
      <c r="V242" s="582" t="s">
        <v>517</v>
      </c>
      <c r="W242" s="583" t="s">
        <v>1276</v>
      </c>
      <c r="X242" s="582" t="s">
        <v>1337</v>
      </c>
      <c r="Y242" s="582" t="s">
        <v>1338</v>
      </c>
      <c r="Z242" s="584" t="s">
        <v>1543</v>
      </c>
      <c r="AA242" s="585">
        <v>1190</v>
      </c>
      <c r="AB242" s="582"/>
    </row>
    <row r="243" spans="1:28" hidden="1">
      <c r="A243" s="566" t="s">
        <v>1335</v>
      </c>
      <c r="B243" s="566" t="s">
        <v>466</v>
      </c>
      <c r="C243" s="566" t="s">
        <v>487</v>
      </c>
      <c r="D243" s="566" t="s">
        <v>472</v>
      </c>
      <c r="E243" s="566" t="s">
        <v>473</v>
      </c>
      <c r="F243" s="566" t="s">
        <v>489</v>
      </c>
      <c r="G243" s="567">
        <v>50</v>
      </c>
      <c r="H243" s="566" t="s">
        <v>576</v>
      </c>
      <c r="I243" s="568">
        <v>2</v>
      </c>
      <c r="J243" s="569">
        <v>53</v>
      </c>
      <c r="K243" s="569">
        <v>53</v>
      </c>
      <c r="L243" s="566"/>
      <c r="M243" s="566" t="s">
        <v>476</v>
      </c>
      <c r="N243" s="570">
        <v>1226</v>
      </c>
      <c r="O243" s="566"/>
      <c r="P243" s="566" t="s">
        <v>477</v>
      </c>
      <c r="Q243" s="568">
        <v>909678</v>
      </c>
      <c r="R243" s="568">
        <v>32</v>
      </c>
      <c r="S243" s="566" t="s">
        <v>1350</v>
      </c>
      <c r="T243" s="582" t="s">
        <v>253</v>
      </c>
      <c r="U243" s="582" t="s">
        <v>550</v>
      </c>
      <c r="V243" s="582" t="s">
        <v>517</v>
      </c>
      <c r="W243" s="583" t="s">
        <v>1277</v>
      </c>
      <c r="X243" s="582" t="s">
        <v>1337</v>
      </c>
      <c r="Y243" s="582" t="s">
        <v>1338</v>
      </c>
      <c r="Z243" s="584" t="s">
        <v>1544</v>
      </c>
      <c r="AA243" s="585">
        <v>1226</v>
      </c>
      <c r="AB243" s="582"/>
    </row>
    <row r="244" spans="1:28" hidden="1">
      <c r="A244" s="566" t="s">
        <v>1335</v>
      </c>
      <c r="B244" s="566" t="s">
        <v>466</v>
      </c>
      <c r="C244" s="566" t="s">
        <v>471</v>
      </c>
      <c r="D244" s="566" t="s">
        <v>472</v>
      </c>
      <c r="E244" s="566" t="s">
        <v>473</v>
      </c>
      <c r="F244" s="566" t="s">
        <v>474</v>
      </c>
      <c r="G244" s="567">
        <v>0</v>
      </c>
      <c r="H244" s="566" t="s">
        <v>1352</v>
      </c>
      <c r="I244" s="568">
        <v>2</v>
      </c>
      <c r="J244" s="569">
        <v>53</v>
      </c>
      <c r="K244" s="569">
        <v>53</v>
      </c>
      <c r="L244" s="566"/>
      <c r="M244" s="566" t="s">
        <v>476</v>
      </c>
      <c r="N244" s="570">
        <v>1262</v>
      </c>
      <c r="O244" s="566"/>
      <c r="P244" s="566" t="s">
        <v>477</v>
      </c>
      <c r="Q244" s="568">
        <v>909678</v>
      </c>
      <c r="R244" s="568">
        <v>27</v>
      </c>
      <c r="S244" s="566" t="s">
        <v>1353</v>
      </c>
      <c r="T244" s="582" t="s">
        <v>253</v>
      </c>
      <c r="U244" s="582" t="s">
        <v>550</v>
      </c>
      <c r="V244" s="582" t="s">
        <v>517</v>
      </c>
      <c r="W244" s="583" t="s">
        <v>1354</v>
      </c>
      <c r="X244" s="582" t="s">
        <v>1337</v>
      </c>
      <c r="Y244" s="582" t="s">
        <v>1338</v>
      </c>
      <c r="Z244" s="584" t="s">
        <v>1545</v>
      </c>
      <c r="AA244" s="585">
        <v>1262</v>
      </c>
      <c r="AB244" s="582"/>
    </row>
    <row r="245" spans="1:28" hidden="1">
      <c r="A245" s="566" t="s">
        <v>1335</v>
      </c>
      <c r="B245" s="566" t="s">
        <v>466</v>
      </c>
      <c r="C245" s="566" t="s">
        <v>487</v>
      </c>
      <c r="D245" s="566" t="s">
        <v>472</v>
      </c>
      <c r="E245" s="566" t="s">
        <v>473</v>
      </c>
      <c r="F245" s="566" t="s">
        <v>489</v>
      </c>
      <c r="G245" s="567">
        <v>50</v>
      </c>
      <c r="H245" s="566" t="s">
        <v>1356</v>
      </c>
      <c r="I245" s="568">
        <v>2</v>
      </c>
      <c r="J245" s="569">
        <v>53</v>
      </c>
      <c r="K245" s="569">
        <v>53</v>
      </c>
      <c r="L245" s="566"/>
      <c r="M245" s="566" t="s">
        <v>476</v>
      </c>
      <c r="N245" s="570">
        <v>1298</v>
      </c>
      <c r="O245" s="566"/>
      <c r="P245" s="566" t="s">
        <v>477</v>
      </c>
      <c r="Q245" s="568">
        <v>909678</v>
      </c>
      <c r="R245" s="568">
        <v>33</v>
      </c>
      <c r="S245" s="566" t="s">
        <v>1357</v>
      </c>
      <c r="T245" s="582" t="s">
        <v>253</v>
      </c>
      <c r="U245" s="582" t="s">
        <v>550</v>
      </c>
      <c r="V245" s="582" t="s">
        <v>517</v>
      </c>
      <c r="W245" s="583" t="s">
        <v>1358</v>
      </c>
      <c r="X245" s="582" t="s">
        <v>1337</v>
      </c>
      <c r="Y245" s="582" t="s">
        <v>1338</v>
      </c>
      <c r="Z245" s="584" t="s">
        <v>1546</v>
      </c>
      <c r="AA245" s="585">
        <v>1298</v>
      </c>
      <c r="AB245" s="582"/>
    </row>
    <row r="246" spans="1:28" hidden="1">
      <c r="A246" s="566" t="s">
        <v>1335</v>
      </c>
      <c r="B246" s="566" t="s">
        <v>466</v>
      </c>
      <c r="C246" s="566" t="s">
        <v>471</v>
      </c>
      <c r="D246" s="566" t="s">
        <v>472</v>
      </c>
      <c r="E246" s="566" t="s">
        <v>473</v>
      </c>
      <c r="F246" s="566" t="s">
        <v>474</v>
      </c>
      <c r="G246" s="567">
        <v>0</v>
      </c>
      <c r="H246" s="566" t="s">
        <v>593</v>
      </c>
      <c r="I246" s="568">
        <v>1</v>
      </c>
      <c r="J246" s="569">
        <v>53</v>
      </c>
      <c r="K246" s="569">
        <v>53</v>
      </c>
      <c r="L246" s="566"/>
      <c r="M246" s="566" t="s">
        <v>476</v>
      </c>
      <c r="N246" s="570">
        <v>902</v>
      </c>
      <c r="O246" s="566"/>
      <c r="P246" s="566" t="s">
        <v>477</v>
      </c>
      <c r="Q246" s="568">
        <v>909678</v>
      </c>
      <c r="R246" s="568">
        <v>22</v>
      </c>
      <c r="S246" s="566" t="s">
        <v>1360</v>
      </c>
      <c r="T246" s="582" t="s">
        <v>253</v>
      </c>
      <c r="U246" s="582" t="s">
        <v>550</v>
      </c>
      <c r="V246" s="582" t="s">
        <v>517</v>
      </c>
      <c r="W246" s="583" t="s">
        <v>509</v>
      </c>
      <c r="X246" s="582" t="s">
        <v>1337</v>
      </c>
      <c r="Y246" s="582" t="s">
        <v>1338</v>
      </c>
      <c r="Z246" s="584" t="s">
        <v>1547</v>
      </c>
      <c r="AA246" s="585">
        <v>902</v>
      </c>
      <c r="AB246" s="582"/>
    </row>
    <row r="247" spans="1:28" hidden="1">
      <c r="A247" s="566" t="s">
        <v>1335</v>
      </c>
      <c r="B247" s="566" t="s">
        <v>466</v>
      </c>
      <c r="C247" s="566" t="s">
        <v>471</v>
      </c>
      <c r="D247" s="566" t="s">
        <v>472</v>
      </c>
      <c r="E247" s="566" t="s">
        <v>473</v>
      </c>
      <c r="F247" s="566" t="s">
        <v>474</v>
      </c>
      <c r="G247" s="567">
        <v>0</v>
      </c>
      <c r="H247" s="566" t="s">
        <v>595</v>
      </c>
      <c r="I247" s="568">
        <v>2</v>
      </c>
      <c r="J247" s="569">
        <v>53</v>
      </c>
      <c r="K247" s="569">
        <v>53</v>
      </c>
      <c r="L247" s="566"/>
      <c r="M247" s="566" t="s">
        <v>476</v>
      </c>
      <c r="N247" s="570">
        <v>938</v>
      </c>
      <c r="O247" s="566"/>
      <c r="P247" s="566" t="s">
        <v>477</v>
      </c>
      <c r="Q247" s="568">
        <v>909678</v>
      </c>
      <c r="R247" s="568">
        <v>23</v>
      </c>
      <c r="S247" s="566" t="s">
        <v>1362</v>
      </c>
      <c r="T247" s="582" t="s">
        <v>253</v>
      </c>
      <c r="U247" s="582" t="s">
        <v>550</v>
      </c>
      <c r="V247" s="582" t="s">
        <v>517</v>
      </c>
      <c r="W247" s="583" t="s">
        <v>512</v>
      </c>
      <c r="X247" s="582" t="s">
        <v>1337</v>
      </c>
      <c r="Y247" s="582" t="s">
        <v>1338</v>
      </c>
      <c r="Z247" s="584" t="s">
        <v>1548</v>
      </c>
      <c r="AA247" s="585">
        <v>938</v>
      </c>
      <c r="AB247" s="582"/>
    </row>
    <row r="248" spans="1:28" hidden="1">
      <c r="A248" s="566" t="s">
        <v>1335</v>
      </c>
      <c r="B248" s="566" t="s">
        <v>466</v>
      </c>
      <c r="C248" s="566" t="s">
        <v>471</v>
      </c>
      <c r="D248" s="566" t="s">
        <v>472</v>
      </c>
      <c r="E248" s="566" t="s">
        <v>473</v>
      </c>
      <c r="F248" s="566" t="s">
        <v>474</v>
      </c>
      <c r="G248" s="567">
        <v>0</v>
      </c>
      <c r="H248" s="566" t="s">
        <v>597</v>
      </c>
      <c r="I248" s="568">
        <v>2</v>
      </c>
      <c r="J248" s="569">
        <v>53</v>
      </c>
      <c r="K248" s="569">
        <v>53</v>
      </c>
      <c r="L248" s="566"/>
      <c r="M248" s="566" t="s">
        <v>476</v>
      </c>
      <c r="N248" s="570">
        <v>974</v>
      </c>
      <c r="O248" s="566"/>
      <c r="P248" s="566" t="s">
        <v>477</v>
      </c>
      <c r="Q248" s="568">
        <v>909678</v>
      </c>
      <c r="R248" s="568">
        <v>24</v>
      </c>
      <c r="S248" s="566" t="s">
        <v>1364</v>
      </c>
      <c r="T248" s="582" t="s">
        <v>253</v>
      </c>
      <c r="U248" s="582" t="s">
        <v>550</v>
      </c>
      <c r="V248" s="582" t="s">
        <v>517</v>
      </c>
      <c r="W248" s="583" t="s">
        <v>514</v>
      </c>
      <c r="X248" s="582" t="s">
        <v>1337</v>
      </c>
      <c r="Y248" s="582" t="s">
        <v>1338</v>
      </c>
      <c r="Z248" s="584" t="s">
        <v>1549</v>
      </c>
      <c r="AA248" s="585">
        <v>974</v>
      </c>
      <c r="AB248" s="582"/>
    </row>
    <row r="249" spans="1:28" hidden="1">
      <c r="A249" s="566" t="s">
        <v>1335</v>
      </c>
      <c r="B249" s="566" t="s">
        <v>466</v>
      </c>
      <c r="C249" s="566" t="s">
        <v>471</v>
      </c>
      <c r="D249" s="566" t="s">
        <v>472</v>
      </c>
      <c r="E249" s="566" t="s">
        <v>473</v>
      </c>
      <c r="F249" s="566" t="s">
        <v>474</v>
      </c>
      <c r="G249" s="567">
        <v>0</v>
      </c>
      <c r="H249" s="566" t="s">
        <v>561</v>
      </c>
      <c r="I249" s="568">
        <v>2</v>
      </c>
      <c r="J249" s="569">
        <v>77</v>
      </c>
      <c r="K249" s="569">
        <v>77</v>
      </c>
      <c r="L249" s="566"/>
      <c r="M249" s="566" t="s">
        <v>476</v>
      </c>
      <c r="N249" s="570">
        <v>1550</v>
      </c>
      <c r="O249" s="566"/>
      <c r="P249" s="566" t="s">
        <v>477</v>
      </c>
      <c r="Q249" s="568">
        <v>909678</v>
      </c>
      <c r="R249" s="568">
        <v>40</v>
      </c>
      <c r="S249" s="566" t="s">
        <v>1366</v>
      </c>
      <c r="T249" s="582" t="s">
        <v>253</v>
      </c>
      <c r="U249" s="582" t="s">
        <v>550</v>
      </c>
      <c r="V249" s="582" t="s">
        <v>517</v>
      </c>
      <c r="W249" s="583" t="s">
        <v>1274</v>
      </c>
      <c r="X249" s="582" t="s">
        <v>1337</v>
      </c>
      <c r="Y249" s="582" t="s">
        <v>1367</v>
      </c>
      <c r="Z249" s="584" t="s">
        <v>1550</v>
      </c>
      <c r="AA249" s="585">
        <v>1550</v>
      </c>
      <c r="AB249" s="582"/>
    </row>
    <row r="250" spans="1:28" hidden="1">
      <c r="A250" s="566" t="s">
        <v>1335</v>
      </c>
      <c r="B250" s="566" t="s">
        <v>466</v>
      </c>
      <c r="C250" s="566" t="s">
        <v>471</v>
      </c>
      <c r="D250" s="566" t="s">
        <v>472</v>
      </c>
      <c r="E250" s="566" t="s">
        <v>473</v>
      </c>
      <c r="F250" s="566" t="s">
        <v>474</v>
      </c>
      <c r="G250" s="567">
        <v>0</v>
      </c>
      <c r="H250" s="566" t="s">
        <v>564</v>
      </c>
      <c r="I250" s="568">
        <v>2</v>
      </c>
      <c r="J250" s="569">
        <v>77</v>
      </c>
      <c r="K250" s="569">
        <v>77</v>
      </c>
      <c r="L250" s="566"/>
      <c r="M250" s="566" t="s">
        <v>476</v>
      </c>
      <c r="N250" s="570">
        <v>1586</v>
      </c>
      <c r="O250" s="566"/>
      <c r="P250" s="566" t="s">
        <v>477</v>
      </c>
      <c r="Q250" s="568">
        <v>909678</v>
      </c>
      <c r="R250" s="568">
        <v>41</v>
      </c>
      <c r="S250" s="566" t="s">
        <v>1369</v>
      </c>
      <c r="T250" s="582" t="s">
        <v>253</v>
      </c>
      <c r="U250" s="582" t="s">
        <v>550</v>
      </c>
      <c r="V250" s="582" t="s">
        <v>517</v>
      </c>
      <c r="W250" s="583" t="s">
        <v>1275</v>
      </c>
      <c r="X250" s="582" t="s">
        <v>1337</v>
      </c>
      <c r="Y250" s="582" t="s">
        <v>1367</v>
      </c>
      <c r="Z250" s="584" t="s">
        <v>1551</v>
      </c>
      <c r="AA250" s="585">
        <v>1586</v>
      </c>
      <c r="AB250" s="582"/>
    </row>
    <row r="251" spans="1:28" hidden="1">
      <c r="A251" s="566" t="s">
        <v>1335</v>
      </c>
      <c r="B251" s="566" t="s">
        <v>466</v>
      </c>
      <c r="C251" s="566" t="s">
        <v>487</v>
      </c>
      <c r="D251" s="566" t="s">
        <v>472</v>
      </c>
      <c r="E251" s="566" t="s">
        <v>473</v>
      </c>
      <c r="F251" s="566" t="s">
        <v>489</v>
      </c>
      <c r="G251" s="567">
        <v>50</v>
      </c>
      <c r="H251" s="566" t="s">
        <v>573</v>
      </c>
      <c r="I251" s="568">
        <v>2</v>
      </c>
      <c r="J251" s="569">
        <v>77</v>
      </c>
      <c r="K251" s="569">
        <v>77</v>
      </c>
      <c r="L251" s="566"/>
      <c r="M251" s="566" t="s">
        <v>476</v>
      </c>
      <c r="N251" s="570">
        <v>1622</v>
      </c>
      <c r="O251" s="566"/>
      <c r="P251" s="566" t="s">
        <v>477</v>
      </c>
      <c r="Q251" s="568">
        <v>909678</v>
      </c>
      <c r="R251" s="568">
        <v>43</v>
      </c>
      <c r="S251" s="566" t="s">
        <v>1371</v>
      </c>
      <c r="T251" s="582" t="s">
        <v>253</v>
      </c>
      <c r="U251" s="582" t="s">
        <v>550</v>
      </c>
      <c r="V251" s="582" t="s">
        <v>517</v>
      </c>
      <c r="W251" s="583" t="s">
        <v>1276</v>
      </c>
      <c r="X251" s="582" t="s">
        <v>1337</v>
      </c>
      <c r="Y251" s="582" t="s">
        <v>1367</v>
      </c>
      <c r="Z251" s="584" t="s">
        <v>1552</v>
      </c>
      <c r="AA251" s="585">
        <v>1622</v>
      </c>
      <c r="AB251" s="582"/>
    </row>
    <row r="252" spans="1:28" hidden="1">
      <c r="A252" s="566" t="s">
        <v>1335</v>
      </c>
      <c r="B252" s="566" t="s">
        <v>466</v>
      </c>
      <c r="C252" s="566" t="s">
        <v>487</v>
      </c>
      <c r="D252" s="566" t="s">
        <v>472</v>
      </c>
      <c r="E252" s="566" t="s">
        <v>473</v>
      </c>
      <c r="F252" s="566" t="s">
        <v>489</v>
      </c>
      <c r="G252" s="567">
        <v>50</v>
      </c>
      <c r="H252" s="566" t="s">
        <v>576</v>
      </c>
      <c r="I252" s="568">
        <v>2</v>
      </c>
      <c r="J252" s="569">
        <v>77</v>
      </c>
      <c r="K252" s="569">
        <v>77</v>
      </c>
      <c r="L252" s="566"/>
      <c r="M252" s="566" t="s">
        <v>476</v>
      </c>
      <c r="N252" s="570">
        <v>1658</v>
      </c>
      <c r="O252" s="566"/>
      <c r="P252" s="566" t="s">
        <v>477</v>
      </c>
      <c r="Q252" s="568">
        <v>909678</v>
      </c>
      <c r="R252" s="568">
        <v>44</v>
      </c>
      <c r="S252" s="566" t="s">
        <v>1373</v>
      </c>
      <c r="T252" s="582" t="s">
        <v>253</v>
      </c>
      <c r="U252" s="582" t="s">
        <v>550</v>
      </c>
      <c r="V252" s="582" t="s">
        <v>517</v>
      </c>
      <c r="W252" s="583" t="s">
        <v>1277</v>
      </c>
      <c r="X252" s="582" t="s">
        <v>1337</v>
      </c>
      <c r="Y252" s="582" t="s">
        <v>1367</v>
      </c>
      <c r="Z252" s="584" t="s">
        <v>1553</v>
      </c>
      <c r="AA252" s="585">
        <v>1658</v>
      </c>
      <c r="AB252" s="582"/>
    </row>
    <row r="253" spans="1:28" hidden="1">
      <c r="A253" s="566" t="s">
        <v>1335</v>
      </c>
      <c r="B253" s="566" t="s">
        <v>466</v>
      </c>
      <c r="C253" s="566" t="s">
        <v>471</v>
      </c>
      <c r="D253" s="566" t="s">
        <v>472</v>
      </c>
      <c r="E253" s="566" t="s">
        <v>473</v>
      </c>
      <c r="F253" s="566" t="s">
        <v>474</v>
      </c>
      <c r="G253" s="567">
        <v>0</v>
      </c>
      <c r="H253" s="566" t="s">
        <v>1352</v>
      </c>
      <c r="I253" s="568">
        <v>2</v>
      </c>
      <c r="J253" s="569">
        <v>77</v>
      </c>
      <c r="K253" s="569">
        <v>77</v>
      </c>
      <c r="L253" s="566"/>
      <c r="M253" s="566" t="s">
        <v>476</v>
      </c>
      <c r="N253" s="570">
        <v>1694</v>
      </c>
      <c r="O253" s="566"/>
      <c r="P253" s="566" t="s">
        <v>477</v>
      </c>
      <c r="Q253" s="568">
        <v>909678</v>
      </c>
      <c r="R253" s="568">
        <v>42</v>
      </c>
      <c r="S253" s="566" t="s">
        <v>1375</v>
      </c>
      <c r="T253" s="582" t="s">
        <v>253</v>
      </c>
      <c r="U253" s="582" t="s">
        <v>550</v>
      </c>
      <c r="V253" s="582" t="s">
        <v>517</v>
      </c>
      <c r="W253" s="583" t="s">
        <v>1354</v>
      </c>
      <c r="X253" s="582" t="s">
        <v>1337</v>
      </c>
      <c r="Y253" s="582" t="s">
        <v>1367</v>
      </c>
      <c r="Z253" s="584" t="s">
        <v>1554</v>
      </c>
      <c r="AA253" s="585">
        <v>1694</v>
      </c>
      <c r="AB253" s="582"/>
    </row>
    <row r="254" spans="1:28" hidden="1">
      <c r="A254" s="566" t="s">
        <v>1335</v>
      </c>
      <c r="B254" s="566" t="s">
        <v>466</v>
      </c>
      <c r="C254" s="566" t="s">
        <v>487</v>
      </c>
      <c r="D254" s="566" t="s">
        <v>472</v>
      </c>
      <c r="E254" s="566" t="s">
        <v>473</v>
      </c>
      <c r="F254" s="566" t="s">
        <v>489</v>
      </c>
      <c r="G254" s="567">
        <v>50</v>
      </c>
      <c r="H254" s="566" t="s">
        <v>1356</v>
      </c>
      <c r="I254" s="568">
        <v>2</v>
      </c>
      <c r="J254" s="569">
        <v>77</v>
      </c>
      <c r="K254" s="569">
        <v>77</v>
      </c>
      <c r="L254" s="566"/>
      <c r="M254" s="566" t="s">
        <v>476</v>
      </c>
      <c r="N254" s="570">
        <v>1730</v>
      </c>
      <c r="O254" s="566"/>
      <c r="P254" s="566" t="s">
        <v>477</v>
      </c>
      <c r="Q254" s="568">
        <v>909678</v>
      </c>
      <c r="R254" s="568">
        <v>45</v>
      </c>
      <c r="S254" s="566" t="s">
        <v>1377</v>
      </c>
      <c r="T254" s="582" t="s">
        <v>253</v>
      </c>
      <c r="U254" s="582" t="s">
        <v>550</v>
      </c>
      <c r="V254" s="582" t="s">
        <v>517</v>
      </c>
      <c r="W254" s="583" t="s">
        <v>1358</v>
      </c>
      <c r="X254" s="582" t="s">
        <v>1337</v>
      </c>
      <c r="Y254" s="582" t="s">
        <v>1367</v>
      </c>
      <c r="Z254" s="584" t="s">
        <v>1555</v>
      </c>
      <c r="AA254" s="585">
        <v>1730</v>
      </c>
      <c r="AB254" s="582"/>
    </row>
    <row r="255" spans="1:28" hidden="1">
      <c r="A255" s="566" t="s">
        <v>1335</v>
      </c>
      <c r="B255" s="566" t="s">
        <v>466</v>
      </c>
      <c r="C255" s="566" t="s">
        <v>553</v>
      </c>
      <c r="D255" s="566" t="s">
        <v>472</v>
      </c>
      <c r="E255" s="566" t="s">
        <v>473</v>
      </c>
      <c r="F255" s="566" t="s">
        <v>554</v>
      </c>
      <c r="G255" s="567">
        <v>13</v>
      </c>
      <c r="H255" s="566" t="s">
        <v>1076</v>
      </c>
      <c r="I255" s="568">
        <v>2</v>
      </c>
      <c r="J255" s="569">
        <v>22</v>
      </c>
      <c r="K255" s="569">
        <v>22</v>
      </c>
      <c r="L255" s="569">
        <v>17</v>
      </c>
      <c r="M255" s="566" t="s">
        <v>476</v>
      </c>
      <c r="N255" s="570">
        <v>155</v>
      </c>
      <c r="O255" s="566"/>
      <c r="P255" s="566" t="s">
        <v>477</v>
      </c>
      <c r="Q255" s="568">
        <v>909678</v>
      </c>
      <c r="R255" s="568">
        <v>9</v>
      </c>
      <c r="S255" s="566" t="s">
        <v>1379</v>
      </c>
      <c r="T255" s="582" t="s">
        <v>257</v>
      </c>
      <c r="U255" s="582" t="s">
        <v>550</v>
      </c>
      <c r="V255" s="582" t="s">
        <v>517</v>
      </c>
      <c r="W255" s="583" t="s">
        <v>551</v>
      </c>
      <c r="X255" s="582" t="s">
        <v>1380</v>
      </c>
      <c r="Y255" s="582" t="s">
        <v>1338</v>
      </c>
      <c r="Z255" s="584" t="s">
        <v>1075</v>
      </c>
      <c r="AA255" s="585">
        <v>155</v>
      </c>
      <c r="AB255" s="582">
        <v>260054</v>
      </c>
    </row>
    <row r="256" spans="1:28" hidden="1">
      <c r="A256" s="566" t="s">
        <v>1335</v>
      </c>
      <c r="B256" s="566" t="s">
        <v>466</v>
      </c>
      <c r="C256" s="566" t="s">
        <v>553</v>
      </c>
      <c r="D256" s="566" t="s">
        <v>472</v>
      </c>
      <c r="E256" s="566" t="s">
        <v>473</v>
      </c>
      <c r="F256" s="566" t="s">
        <v>554</v>
      </c>
      <c r="G256" s="567">
        <v>16</v>
      </c>
      <c r="H256" s="566" t="s">
        <v>1078</v>
      </c>
      <c r="I256" s="568">
        <v>2</v>
      </c>
      <c r="J256" s="569">
        <v>22</v>
      </c>
      <c r="K256" s="569">
        <v>22</v>
      </c>
      <c r="L256" s="569">
        <v>17</v>
      </c>
      <c r="M256" s="566" t="s">
        <v>476</v>
      </c>
      <c r="N256" s="570">
        <v>299</v>
      </c>
      <c r="O256" s="566"/>
      <c r="P256" s="566" t="s">
        <v>477</v>
      </c>
      <c r="Q256" s="568">
        <v>909678</v>
      </c>
      <c r="R256" s="568">
        <v>4</v>
      </c>
      <c r="S256" s="566" t="s">
        <v>1381</v>
      </c>
      <c r="T256" s="582" t="s">
        <v>257</v>
      </c>
      <c r="U256" s="582" t="s">
        <v>550</v>
      </c>
      <c r="V256" s="582" t="s">
        <v>517</v>
      </c>
      <c r="W256" s="583" t="s">
        <v>556</v>
      </c>
      <c r="X256" s="582" t="s">
        <v>1380</v>
      </c>
      <c r="Y256" s="582" t="s">
        <v>1338</v>
      </c>
      <c r="Z256" s="584" t="s">
        <v>1077</v>
      </c>
      <c r="AA256" s="585">
        <v>299</v>
      </c>
      <c r="AB256" s="582">
        <v>260198</v>
      </c>
    </row>
    <row r="257" spans="1:28" hidden="1">
      <c r="A257" s="566" t="s">
        <v>1335</v>
      </c>
      <c r="B257" s="566" t="s">
        <v>466</v>
      </c>
      <c r="C257" s="566" t="s">
        <v>471</v>
      </c>
      <c r="D257" s="566" t="s">
        <v>472</v>
      </c>
      <c r="E257" s="566" t="s">
        <v>473</v>
      </c>
      <c r="F257" s="566" t="s">
        <v>474</v>
      </c>
      <c r="G257" s="567">
        <v>0</v>
      </c>
      <c r="H257" s="566" t="s">
        <v>561</v>
      </c>
      <c r="I257" s="568">
        <v>2</v>
      </c>
      <c r="J257" s="569">
        <v>5</v>
      </c>
      <c r="K257" s="569">
        <v>5</v>
      </c>
      <c r="L257" s="566"/>
      <c r="M257" s="566" t="s">
        <v>476</v>
      </c>
      <c r="N257" s="570">
        <v>470</v>
      </c>
      <c r="O257" s="566"/>
      <c r="P257" s="566" t="s">
        <v>477</v>
      </c>
      <c r="Q257" s="568">
        <v>909678</v>
      </c>
      <c r="R257" s="568">
        <v>10</v>
      </c>
      <c r="S257" s="566" t="s">
        <v>1382</v>
      </c>
      <c r="T257" s="582" t="s">
        <v>253</v>
      </c>
      <c r="U257" s="582" t="s">
        <v>550</v>
      </c>
      <c r="V257" s="582" t="s">
        <v>517</v>
      </c>
      <c r="W257" s="583" t="s">
        <v>1274</v>
      </c>
      <c r="X257" s="582" t="s">
        <v>1380</v>
      </c>
      <c r="Y257" s="582" t="s">
        <v>1338</v>
      </c>
      <c r="Z257" s="584" t="s">
        <v>1079</v>
      </c>
      <c r="AA257" s="585">
        <v>470</v>
      </c>
      <c r="AB257" s="582"/>
    </row>
    <row r="258" spans="1:28" hidden="1">
      <c r="A258" s="566" t="s">
        <v>1335</v>
      </c>
      <c r="B258" s="566" t="s">
        <v>466</v>
      </c>
      <c r="C258" s="566" t="s">
        <v>471</v>
      </c>
      <c r="D258" s="566" t="s">
        <v>472</v>
      </c>
      <c r="E258" s="566" t="s">
        <v>473</v>
      </c>
      <c r="F258" s="566" t="s">
        <v>474</v>
      </c>
      <c r="G258" s="567">
        <v>0</v>
      </c>
      <c r="H258" s="566" t="s">
        <v>564</v>
      </c>
      <c r="I258" s="568">
        <v>2</v>
      </c>
      <c r="J258" s="569">
        <v>5</v>
      </c>
      <c r="K258" s="569">
        <v>5</v>
      </c>
      <c r="L258" s="566"/>
      <c r="M258" s="566" t="s">
        <v>476</v>
      </c>
      <c r="N258" s="570">
        <v>542</v>
      </c>
      <c r="O258" s="566"/>
      <c r="P258" s="566" t="s">
        <v>477</v>
      </c>
      <c r="Q258" s="568">
        <v>909678</v>
      </c>
      <c r="R258" s="568">
        <v>15</v>
      </c>
      <c r="S258" s="566" t="s">
        <v>483</v>
      </c>
      <c r="T258" s="582" t="s">
        <v>253</v>
      </c>
      <c r="U258" s="582" t="s">
        <v>550</v>
      </c>
      <c r="V258" s="582" t="s">
        <v>517</v>
      </c>
      <c r="W258" s="583" t="s">
        <v>1275</v>
      </c>
      <c r="X258" s="582" t="s">
        <v>1380</v>
      </c>
      <c r="Y258" s="582" t="s">
        <v>1338</v>
      </c>
      <c r="Z258" s="584" t="s">
        <v>1080</v>
      </c>
      <c r="AA258" s="585">
        <v>542</v>
      </c>
      <c r="AB258" s="582"/>
    </row>
    <row r="259" spans="1:28" hidden="1">
      <c r="A259" s="566" t="s">
        <v>1335</v>
      </c>
      <c r="B259" s="566" t="s">
        <v>466</v>
      </c>
      <c r="C259" s="566" t="s">
        <v>487</v>
      </c>
      <c r="D259" s="566" t="s">
        <v>472</v>
      </c>
      <c r="E259" s="566" t="s">
        <v>473</v>
      </c>
      <c r="F259" s="566" t="s">
        <v>489</v>
      </c>
      <c r="G259" s="567">
        <v>50</v>
      </c>
      <c r="H259" s="566" t="s">
        <v>566</v>
      </c>
      <c r="I259" s="568">
        <v>2</v>
      </c>
      <c r="J259" s="569">
        <v>5</v>
      </c>
      <c r="K259" s="569">
        <v>5</v>
      </c>
      <c r="L259" s="566"/>
      <c r="M259" s="566" t="s">
        <v>476</v>
      </c>
      <c r="N259" s="570">
        <v>578</v>
      </c>
      <c r="O259" s="566"/>
      <c r="P259" s="566" t="s">
        <v>477</v>
      </c>
      <c r="Q259" s="568">
        <v>909678</v>
      </c>
      <c r="R259" s="568">
        <v>16</v>
      </c>
      <c r="S259" s="566" t="s">
        <v>488</v>
      </c>
      <c r="T259" s="582" t="s">
        <v>253</v>
      </c>
      <c r="U259" s="582" t="s">
        <v>550</v>
      </c>
      <c r="V259" s="582" t="s">
        <v>517</v>
      </c>
      <c r="W259" s="583" t="s">
        <v>485</v>
      </c>
      <c r="X259" s="582" t="s">
        <v>1380</v>
      </c>
      <c r="Y259" s="582" t="s">
        <v>1338</v>
      </c>
      <c r="Z259" s="584" t="s">
        <v>1081</v>
      </c>
      <c r="AA259" s="585">
        <v>578</v>
      </c>
      <c r="AB259" s="582"/>
    </row>
    <row r="260" spans="1:28" hidden="1">
      <c r="A260" s="566" t="s">
        <v>1335</v>
      </c>
      <c r="B260" s="566" t="s">
        <v>466</v>
      </c>
      <c r="C260" s="566" t="s">
        <v>487</v>
      </c>
      <c r="D260" s="566" t="s">
        <v>472</v>
      </c>
      <c r="E260" s="566" t="s">
        <v>473</v>
      </c>
      <c r="F260" s="566" t="s">
        <v>489</v>
      </c>
      <c r="G260" s="567">
        <v>50</v>
      </c>
      <c r="H260" s="566" t="s">
        <v>568</v>
      </c>
      <c r="I260" s="568">
        <v>2</v>
      </c>
      <c r="J260" s="569">
        <v>5</v>
      </c>
      <c r="K260" s="569">
        <v>5</v>
      </c>
      <c r="L260" s="566"/>
      <c r="M260" s="566" t="s">
        <v>476</v>
      </c>
      <c r="N260" s="570">
        <v>614</v>
      </c>
      <c r="O260" s="566"/>
      <c r="P260" s="566" t="s">
        <v>477</v>
      </c>
      <c r="Q260" s="568">
        <v>909678</v>
      </c>
      <c r="R260" s="568">
        <v>17</v>
      </c>
      <c r="S260" s="566" t="s">
        <v>493</v>
      </c>
      <c r="T260" s="582" t="s">
        <v>253</v>
      </c>
      <c r="U260" s="582" t="s">
        <v>550</v>
      </c>
      <c r="V260" s="582" t="s">
        <v>517</v>
      </c>
      <c r="W260" s="583" t="s">
        <v>491</v>
      </c>
      <c r="X260" s="582" t="s">
        <v>1380</v>
      </c>
      <c r="Y260" s="582" t="s">
        <v>1338</v>
      </c>
      <c r="Z260" s="584" t="s">
        <v>1082</v>
      </c>
      <c r="AA260" s="585">
        <v>614</v>
      </c>
      <c r="AB260" s="582"/>
    </row>
    <row r="261" spans="1:28" hidden="1">
      <c r="A261" s="566" t="s">
        <v>1335</v>
      </c>
      <c r="B261" s="566" t="s">
        <v>466</v>
      </c>
      <c r="C261" s="566" t="s">
        <v>487</v>
      </c>
      <c r="D261" s="566" t="s">
        <v>472</v>
      </c>
      <c r="E261" s="566" t="s">
        <v>473</v>
      </c>
      <c r="F261" s="566" t="s">
        <v>489</v>
      </c>
      <c r="G261" s="567">
        <v>50</v>
      </c>
      <c r="H261" s="566" t="s">
        <v>570</v>
      </c>
      <c r="I261" s="568">
        <v>2</v>
      </c>
      <c r="J261" s="569">
        <v>5</v>
      </c>
      <c r="K261" s="569">
        <v>5</v>
      </c>
      <c r="L261" s="566"/>
      <c r="M261" s="566" t="s">
        <v>476</v>
      </c>
      <c r="N261" s="570">
        <v>650</v>
      </c>
      <c r="O261" s="566"/>
      <c r="P261" s="566" t="s">
        <v>477</v>
      </c>
      <c r="Q261" s="568">
        <v>909678</v>
      </c>
      <c r="R261" s="568">
        <v>18</v>
      </c>
      <c r="S261" s="566" t="s">
        <v>497</v>
      </c>
      <c r="T261" s="582" t="s">
        <v>253</v>
      </c>
      <c r="U261" s="582" t="s">
        <v>550</v>
      </c>
      <c r="V261" s="582" t="s">
        <v>517</v>
      </c>
      <c r="W261" s="583" t="s">
        <v>495</v>
      </c>
      <c r="X261" s="582" t="s">
        <v>1380</v>
      </c>
      <c r="Y261" s="582" t="s">
        <v>1338</v>
      </c>
      <c r="Z261" s="584" t="s">
        <v>1083</v>
      </c>
      <c r="AA261" s="585">
        <v>650</v>
      </c>
      <c r="AB261" s="582"/>
    </row>
    <row r="262" spans="1:28" hidden="1">
      <c r="A262" s="566" t="s">
        <v>1335</v>
      </c>
      <c r="B262" s="566" t="s">
        <v>466</v>
      </c>
      <c r="C262" s="566" t="s">
        <v>487</v>
      </c>
      <c r="D262" s="566" t="s">
        <v>472</v>
      </c>
      <c r="E262" s="566" t="s">
        <v>473</v>
      </c>
      <c r="F262" s="566" t="s">
        <v>489</v>
      </c>
      <c r="G262" s="567">
        <v>50</v>
      </c>
      <c r="H262" s="566" t="s">
        <v>573</v>
      </c>
      <c r="I262" s="568">
        <v>2</v>
      </c>
      <c r="J262" s="569">
        <v>5</v>
      </c>
      <c r="K262" s="569">
        <v>5</v>
      </c>
      <c r="L262" s="566"/>
      <c r="M262" s="566" t="s">
        <v>476</v>
      </c>
      <c r="N262" s="570">
        <v>722</v>
      </c>
      <c r="O262" s="566"/>
      <c r="P262" s="566" t="s">
        <v>477</v>
      </c>
      <c r="Q262" s="568">
        <v>909678</v>
      </c>
      <c r="R262" s="568">
        <v>19</v>
      </c>
      <c r="S262" s="566" t="s">
        <v>502</v>
      </c>
      <c r="T262" s="582" t="s">
        <v>253</v>
      </c>
      <c r="U262" s="582" t="s">
        <v>550</v>
      </c>
      <c r="V262" s="582" t="s">
        <v>517</v>
      </c>
      <c r="W262" s="583" t="s">
        <v>1276</v>
      </c>
      <c r="X262" s="582" t="s">
        <v>1380</v>
      </c>
      <c r="Y262" s="582" t="s">
        <v>1338</v>
      </c>
      <c r="Z262" s="584" t="s">
        <v>1084</v>
      </c>
      <c r="AA262" s="585">
        <v>722</v>
      </c>
      <c r="AB262" s="582"/>
    </row>
    <row r="263" spans="1:28" hidden="1">
      <c r="A263" s="566" t="s">
        <v>1335</v>
      </c>
      <c r="B263" s="566" t="s">
        <v>466</v>
      </c>
      <c r="C263" s="566" t="s">
        <v>487</v>
      </c>
      <c r="D263" s="566" t="s">
        <v>472</v>
      </c>
      <c r="E263" s="566" t="s">
        <v>473</v>
      </c>
      <c r="F263" s="566" t="s">
        <v>489</v>
      </c>
      <c r="G263" s="567">
        <v>50</v>
      </c>
      <c r="H263" s="566" t="s">
        <v>576</v>
      </c>
      <c r="I263" s="568">
        <v>2</v>
      </c>
      <c r="J263" s="569">
        <v>5</v>
      </c>
      <c r="K263" s="569">
        <v>5</v>
      </c>
      <c r="L263" s="566"/>
      <c r="M263" s="566" t="s">
        <v>476</v>
      </c>
      <c r="N263" s="570">
        <v>794</v>
      </c>
      <c r="O263" s="566"/>
      <c r="P263" s="566" t="s">
        <v>477</v>
      </c>
      <c r="Q263" s="568">
        <v>909678</v>
      </c>
      <c r="R263" s="568">
        <v>21</v>
      </c>
      <c r="S263" s="566" t="s">
        <v>507</v>
      </c>
      <c r="T263" s="582" t="s">
        <v>253</v>
      </c>
      <c r="U263" s="582" t="s">
        <v>550</v>
      </c>
      <c r="V263" s="582" t="s">
        <v>517</v>
      </c>
      <c r="W263" s="583" t="s">
        <v>1277</v>
      </c>
      <c r="X263" s="582" t="s">
        <v>1380</v>
      </c>
      <c r="Y263" s="582" t="s">
        <v>1338</v>
      </c>
      <c r="Z263" s="584" t="s">
        <v>1085</v>
      </c>
      <c r="AA263" s="585">
        <v>794</v>
      </c>
      <c r="AB263" s="582"/>
    </row>
    <row r="264" spans="1:28" hidden="1">
      <c r="A264" s="566" t="s">
        <v>1335</v>
      </c>
      <c r="B264" s="566" t="s">
        <v>466</v>
      </c>
      <c r="C264" s="566" t="s">
        <v>471</v>
      </c>
      <c r="D264" s="566" t="s">
        <v>472</v>
      </c>
      <c r="E264" s="566" t="s">
        <v>473</v>
      </c>
      <c r="F264" s="566" t="s">
        <v>474</v>
      </c>
      <c r="G264" s="567">
        <v>0</v>
      </c>
      <c r="H264" s="566" t="s">
        <v>1352</v>
      </c>
      <c r="I264" s="568">
        <v>2</v>
      </c>
      <c r="J264" s="569">
        <v>5</v>
      </c>
      <c r="K264" s="569">
        <v>5</v>
      </c>
      <c r="L264" s="566"/>
      <c r="M264" s="566" t="s">
        <v>476</v>
      </c>
      <c r="N264" s="570">
        <v>830</v>
      </c>
      <c r="O264" s="566"/>
      <c r="P264" s="566" t="s">
        <v>477</v>
      </c>
      <c r="Q264" s="568">
        <v>909678</v>
      </c>
      <c r="R264" s="568">
        <v>46</v>
      </c>
      <c r="S264" s="566" t="s">
        <v>1383</v>
      </c>
      <c r="T264" s="582" t="s">
        <v>253</v>
      </c>
      <c r="U264" s="582" t="s">
        <v>550</v>
      </c>
      <c r="V264" s="582" t="s">
        <v>517</v>
      </c>
      <c r="W264" s="583" t="s">
        <v>1354</v>
      </c>
      <c r="X264" s="582" t="s">
        <v>1380</v>
      </c>
      <c r="Y264" s="582" t="s">
        <v>1338</v>
      </c>
      <c r="Z264" s="584" t="s">
        <v>1556</v>
      </c>
      <c r="AA264" s="585">
        <v>830</v>
      </c>
      <c r="AB264" s="582"/>
    </row>
    <row r="265" spans="1:28" hidden="1">
      <c r="A265" s="566" t="s">
        <v>1335</v>
      </c>
      <c r="B265" s="566" t="s">
        <v>466</v>
      </c>
      <c r="C265" s="566" t="s">
        <v>487</v>
      </c>
      <c r="D265" s="566" t="s">
        <v>472</v>
      </c>
      <c r="E265" s="566" t="s">
        <v>473</v>
      </c>
      <c r="F265" s="566" t="s">
        <v>489</v>
      </c>
      <c r="G265" s="567">
        <v>50</v>
      </c>
      <c r="H265" s="566" t="s">
        <v>1356</v>
      </c>
      <c r="I265" s="568">
        <v>2</v>
      </c>
      <c r="J265" s="569">
        <v>5</v>
      </c>
      <c r="K265" s="569">
        <v>5</v>
      </c>
      <c r="L265" s="566"/>
      <c r="M265" s="566" t="s">
        <v>476</v>
      </c>
      <c r="N265" s="570">
        <v>866</v>
      </c>
      <c r="O265" s="566"/>
      <c r="P265" s="566" t="s">
        <v>477</v>
      </c>
      <c r="Q265" s="568">
        <v>909678</v>
      </c>
      <c r="R265" s="568">
        <v>47</v>
      </c>
      <c r="S265" s="566" t="s">
        <v>1385</v>
      </c>
      <c r="T265" s="582" t="s">
        <v>253</v>
      </c>
      <c r="U265" s="582" t="s">
        <v>550</v>
      </c>
      <c r="V265" s="582" t="s">
        <v>517</v>
      </c>
      <c r="W265" s="583" t="s">
        <v>1358</v>
      </c>
      <c r="X265" s="582" t="s">
        <v>1380</v>
      </c>
      <c r="Y265" s="582" t="s">
        <v>1338</v>
      </c>
      <c r="Z265" s="584" t="s">
        <v>1557</v>
      </c>
      <c r="AA265" s="585">
        <v>866</v>
      </c>
      <c r="AB265" s="582"/>
    </row>
    <row r="266" spans="1:28" hidden="1">
      <c r="A266" s="566" t="s">
        <v>1335</v>
      </c>
      <c r="B266" s="566" t="s">
        <v>466</v>
      </c>
      <c r="C266" s="566" t="s">
        <v>553</v>
      </c>
      <c r="D266" s="566" t="s">
        <v>472</v>
      </c>
      <c r="E266" s="566" t="s">
        <v>473</v>
      </c>
      <c r="F266" s="566" t="s">
        <v>554</v>
      </c>
      <c r="G266" s="567">
        <v>13</v>
      </c>
      <c r="H266" s="566" t="s">
        <v>1087</v>
      </c>
      <c r="I266" s="568">
        <v>2</v>
      </c>
      <c r="J266" s="569">
        <v>22</v>
      </c>
      <c r="K266" s="569">
        <v>22</v>
      </c>
      <c r="L266" s="569">
        <v>17</v>
      </c>
      <c r="M266" s="566" t="s">
        <v>476</v>
      </c>
      <c r="N266" s="570">
        <v>179</v>
      </c>
      <c r="O266" s="566"/>
      <c r="P266" s="566" t="s">
        <v>477</v>
      </c>
      <c r="Q266" s="568">
        <v>909678</v>
      </c>
      <c r="R266" s="568">
        <v>1</v>
      </c>
      <c r="S266" s="566" t="s">
        <v>1387</v>
      </c>
      <c r="T266" s="582" t="s">
        <v>257</v>
      </c>
      <c r="U266" s="582" t="s">
        <v>550</v>
      </c>
      <c r="V266" s="582" t="s">
        <v>517</v>
      </c>
      <c r="W266" s="583" t="s">
        <v>577</v>
      </c>
      <c r="X266" s="582" t="s">
        <v>1380</v>
      </c>
      <c r="Y266" s="582" t="s">
        <v>1338</v>
      </c>
      <c r="Z266" s="584" t="s">
        <v>1086</v>
      </c>
      <c r="AA266" s="585">
        <v>179</v>
      </c>
      <c r="AB266" s="582">
        <v>260078</v>
      </c>
    </row>
    <row r="267" spans="1:28" hidden="1">
      <c r="A267" s="566" t="s">
        <v>1335</v>
      </c>
      <c r="B267" s="566" t="s">
        <v>466</v>
      </c>
      <c r="C267" s="566" t="s">
        <v>553</v>
      </c>
      <c r="D267" s="566" t="s">
        <v>472</v>
      </c>
      <c r="E267" s="566" t="s">
        <v>473</v>
      </c>
      <c r="F267" s="566" t="s">
        <v>554</v>
      </c>
      <c r="G267" s="567">
        <v>13</v>
      </c>
      <c r="H267" s="566" t="s">
        <v>1089</v>
      </c>
      <c r="I267" s="568">
        <v>2</v>
      </c>
      <c r="J267" s="569">
        <v>22</v>
      </c>
      <c r="K267" s="569">
        <v>22</v>
      </c>
      <c r="L267" s="569">
        <v>17</v>
      </c>
      <c r="M267" s="566" t="s">
        <v>476</v>
      </c>
      <c r="N267" s="570">
        <v>203</v>
      </c>
      <c r="O267" s="566"/>
      <c r="P267" s="566" t="s">
        <v>477</v>
      </c>
      <c r="Q267" s="568">
        <v>909678</v>
      </c>
      <c r="R267" s="568">
        <v>2</v>
      </c>
      <c r="S267" s="566" t="s">
        <v>1388</v>
      </c>
      <c r="T267" s="582" t="s">
        <v>257</v>
      </c>
      <c r="U267" s="582" t="s">
        <v>550</v>
      </c>
      <c r="V267" s="582" t="s">
        <v>517</v>
      </c>
      <c r="W267" s="583" t="s">
        <v>580</v>
      </c>
      <c r="X267" s="582" t="s">
        <v>1380</v>
      </c>
      <c r="Y267" s="582" t="s">
        <v>1338</v>
      </c>
      <c r="Z267" s="584" t="s">
        <v>1088</v>
      </c>
      <c r="AA267" s="585">
        <v>203</v>
      </c>
      <c r="AB267" s="582">
        <v>260102</v>
      </c>
    </row>
    <row r="268" spans="1:28" hidden="1">
      <c r="A268" s="566" t="s">
        <v>1335</v>
      </c>
      <c r="B268" s="566" t="s">
        <v>466</v>
      </c>
      <c r="C268" s="566" t="s">
        <v>553</v>
      </c>
      <c r="D268" s="566" t="s">
        <v>472</v>
      </c>
      <c r="E268" s="566" t="s">
        <v>473</v>
      </c>
      <c r="F268" s="566" t="s">
        <v>554</v>
      </c>
      <c r="G268" s="567">
        <v>16</v>
      </c>
      <c r="H268" s="566" t="s">
        <v>1091</v>
      </c>
      <c r="I268" s="568">
        <v>2</v>
      </c>
      <c r="J268" s="569">
        <v>22</v>
      </c>
      <c r="K268" s="569">
        <v>22</v>
      </c>
      <c r="L268" s="569">
        <v>17</v>
      </c>
      <c r="M268" s="566" t="s">
        <v>476</v>
      </c>
      <c r="N268" s="570">
        <v>227</v>
      </c>
      <c r="O268" s="566"/>
      <c r="P268" s="566" t="s">
        <v>477</v>
      </c>
      <c r="Q268" s="568">
        <v>909678</v>
      </c>
      <c r="R268" s="568">
        <v>12</v>
      </c>
      <c r="S268" s="566" t="s">
        <v>1389</v>
      </c>
      <c r="T268" s="582" t="s">
        <v>257</v>
      </c>
      <c r="U268" s="582" t="s">
        <v>550</v>
      </c>
      <c r="V268" s="582" t="s">
        <v>517</v>
      </c>
      <c r="W268" s="583" t="s">
        <v>583</v>
      </c>
      <c r="X268" s="582" t="s">
        <v>1380</v>
      </c>
      <c r="Y268" s="582" t="s">
        <v>1338</v>
      </c>
      <c r="Z268" s="584" t="s">
        <v>1090</v>
      </c>
      <c r="AA268" s="585">
        <v>227</v>
      </c>
      <c r="AB268" s="582">
        <v>260126</v>
      </c>
    </row>
    <row r="269" spans="1:28" hidden="1">
      <c r="A269" s="566" t="s">
        <v>1335</v>
      </c>
      <c r="B269" s="566" t="s">
        <v>466</v>
      </c>
      <c r="C269" s="566" t="s">
        <v>553</v>
      </c>
      <c r="D269" s="566" t="s">
        <v>472</v>
      </c>
      <c r="E269" s="566" t="s">
        <v>473</v>
      </c>
      <c r="F269" s="566" t="s">
        <v>554</v>
      </c>
      <c r="G269" s="567">
        <v>16</v>
      </c>
      <c r="H269" s="566" t="s">
        <v>1093</v>
      </c>
      <c r="I269" s="568">
        <v>2</v>
      </c>
      <c r="J269" s="569">
        <v>22</v>
      </c>
      <c r="K269" s="569">
        <v>22</v>
      </c>
      <c r="L269" s="569">
        <v>17</v>
      </c>
      <c r="M269" s="566" t="s">
        <v>476</v>
      </c>
      <c r="N269" s="570">
        <v>251</v>
      </c>
      <c r="O269" s="566"/>
      <c r="P269" s="566" t="s">
        <v>477</v>
      </c>
      <c r="Q269" s="568">
        <v>909678</v>
      </c>
      <c r="R269" s="568">
        <v>3</v>
      </c>
      <c r="S269" s="566" t="s">
        <v>1390</v>
      </c>
      <c r="T269" s="582" t="s">
        <v>257</v>
      </c>
      <c r="U269" s="582" t="s">
        <v>550</v>
      </c>
      <c r="V269" s="582" t="s">
        <v>517</v>
      </c>
      <c r="W269" s="583" t="s">
        <v>586</v>
      </c>
      <c r="X269" s="582" t="s">
        <v>1380</v>
      </c>
      <c r="Y269" s="582" t="s">
        <v>1338</v>
      </c>
      <c r="Z269" s="584" t="s">
        <v>1092</v>
      </c>
      <c r="AA269" s="585">
        <v>251</v>
      </c>
      <c r="AB269" s="582">
        <v>260150</v>
      </c>
    </row>
    <row r="270" spans="1:28" hidden="1">
      <c r="A270" s="566" t="s">
        <v>1335</v>
      </c>
      <c r="B270" s="566" t="s">
        <v>466</v>
      </c>
      <c r="C270" s="566" t="s">
        <v>553</v>
      </c>
      <c r="D270" s="566" t="s">
        <v>472</v>
      </c>
      <c r="E270" s="566" t="s">
        <v>473</v>
      </c>
      <c r="F270" s="566" t="s">
        <v>554</v>
      </c>
      <c r="G270" s="567">
        <v>16</v>
      </c>
      <c r="H270" s="566" t="s">
        <v>1095</v>
      </c>
      <c r="I270" s="568">
        <v>2</v>
      </c>
      <c r="J270" s="569">
        <v>22</v>
      </c>
      <c r="K270" s="569">
        <v>22</v>
      </c>
      <c r="L270" s="569">
        <v>17</v>
      </c>
      <c r="M270" s="566" t="s">
        <v>476</v>
      </c>
      <c r="N270" s="570">
        <v>275</v>
      </c>
      <c r="O270" s="566"/>
      <c r="P270" s="566" t="s">
        <v>477</v>
      </c>
      <c r="Q270" s="568">
        <v>909678</v>
      </c>
      <c r="R270" s="568">
        <v>13</v>
      </c>
      <c r="S270" s="566" t="s">
        <v>1391</v>
      </c>
      <c r="T270" s="582" t="s">
        <v>257</v>
      </c>
      <c r="U270" s="582" t="s">
        <v>550</v>
      </c>
      <c r="V270" s="582" t="s">
        <v>517</v>
      </c>
      <c r="W270" s="583" t="s">
        <v>589</v>
      </c>
      <c r="X270" s="582" t="s">
        <v>1380</v>
      </c>
      <c r="Y270" s="582" t="s">
        <v>1338</v>
      </c>
      <c r="Z270" s="584" t="s">
        <v>1094</v>
      </c>
      <c r="AA270" s="585">
        <v>275</v>
      </c>
      <c r="AB270" s="582">
        <v>260174</v>
      </c>
    </row>
    <row r="271" spans="1:28" hidden="1">
      <c r="A271" s="566" t="s">
        <v>1335</v>
      </c>
      <c r="B271" s="566" t="s">
        <v>466</v>
      </c>
      <c r="C271" s="566" t="s">
        <v>471</v>
      </c>
      <c r="D271" s="566" t="s">
        <v>472</v>
      </c>
      <c r="E271" s="566" t="s">
        <v>473</v>
      </c>
      <c r="F271" s="566" t="s">
        <v>474</v>
      </c>
      <c r="G271" s="567">
        <v>0</v>
      </c>
      <c r="H271" s="566" t="s">
        <v>593</v>
      </c>
      <c r="I271" s="568">
        <v>1</v>
      </c>
      <c r="J271" s="569">
        <v>5</v>
      </c>
      <c r="K271" s="569">
        <v>5</v>
      </c>
      <c r="L271" s="566"/>
      <c r="M271" s="566" t="s">
        <v>476</v>
      </c>
      <c r="N271" s="570">
        <v>326</v>
      </c>
      <c r="O271" s="566"/>
      <c r="P271" s="566" t="s">
        <v>477</v>
      </c>
      <c r="Q271" s="568">
        <v>909678</v>
      </c>
      <c r="R271" s="568">
        <v>5</v>
      </c>
      <c r="S271" s="566" t="s">
        <v>1392</v>
      </c>
      <c r="T271" s="582" t="s">
        <v>253</v>
      </c>
      <c r="U271" s="582" t="s">
        <v>550</v>
      </c>
      <c r="V271" s="582" t="s">
        <v>517</v>
      </c>
      <c r="W271" s="583" t="s">
        <v>509</v>
      </c>
      <c r="X271" s="582" t="s">
        <v>1380</v>
      </c>
      <c r="Y271" s="582" t="s">
        <v>1338</v>
      </c>
      <c r="Z271" s="584" t="s">
        <v>1096</v>
      </c>
      <c r="AA271" s="585">
        <v>326</v>
      </c>
      <c r="AB271" s="582"/>
    </row>
    <row r="272" spans="1:28" hidden="1">
      <c r="A272" s="566" t="s">
        <v>1335</v>
      </c>
      <c r="B272" s="566" t="s">
        <v>466</v>
      </c>
      <c r="C272" s="566" t="s">
        <v>471</v>
      </c>
      <c r="D272" s="566" t="s">
        <v>472</v>
      </c>
      <c r="E272" s="566" t="s">
        <v>473</v>
      </c>
      <c r="F272" s="566" t="s">
        <v>474</v>
      </c>
      <c r="G272" s="567">
        <v>0</v>
      </c>
      <c r="H272" s="566" t="s">
        <v>595</v>
      </c>
      <c r="I272" s="568">
        <v>2</v>
      </c>
      <c r="J272" s="569">
        <v>5</v>
      </c>
      <c r="K272" s="569">
        <v>5</v>
      </c>
      <c r="L272" s="566"/>
      <c r="M272" s="566" t="s">
        <v>476</v>
      </c>
      <c r="N272" s="570">
        <v>362</v>
      </c>
      <c r="O272" s="566"/>
      <c r="P272" s="566" t="s">
        <v>477</v>
      </c>
      <c r="Q272" s="568">
        <v>909678</v>
      </c>
      <c r="R272" s="568">
        <v>6</v>
      </c>
      <c r="S272" s="566" t="s">
        <v>1393</v>
      </c>
      <c r="T272" s="582" t="s">
        <v>253</v>
      </c>
      <c r="U272" s="582" t="s">
        <v>550</v>
      </c>
      <c r="V272" s="582" t="s">
        <v>517</v>
      </c>
      <c r="W272" s="583" t="s">
        <v>512</v>
      </c>
      <c r="X272" s="582" t="s">
        <v>1380</v>
      </c>
      <c r="Y272" s="582" t="s">
        <v>1338</v>
      </c>
      <c r="Z272" s="584" t="s">
        <v>1097</v>
      </c>
      <c r="AA272" s="585">
        <v>362</v>
      </c>
      <c r="AB272" s="582"/>
    </row>
    <row r="273" spans="1:28" hidden="1">
      <c r="A273" s="566" t="s">
        <v>1335</v>
      </c>
      <c r="B273" s="566" t="s">
        <v>466</v>
      </c>
      <c r="C273" s="566" t="s">
        <v>471</v>
      </c>
      <c r="D273" s="566" t="s">
        <v>472</v>
      </c>
      <c r="E273" s="566" t="s">
        <v>473</v>
      </c>
      <c r="F273" s="566" t="s">
        <v>474</v>
      </c>
      <c r="G273" s="567">
        <v>0</v>
      </c>
      <c r="H273" s="566" t="s">
        <v>597</v>
      </c>
      <c r="I273" s="568">
        <v>2</v>
      </c>
      <c r="J273" s="569">
        <v>5</v>
      </c>
      <c r="K273" s="569">
        <v>5</v>
      </c>
      <c r="L273" s="566"/>
      <c r="M273" s="566" t="s">
        <v>476</v>
      </c>
      <c r="N273" s="570">
        <v>398</v>
      </c>
      <c r="O273" s="566"/>
      <c r="P273" s="566" t="s">
        <v>477</v>
      </c>
      <c r="Q273" s="568">
        <v>909678</v>
      </c>
      <c r="R273" s="568">
        <v>14</v>
      </c>
      <c r="S273" s="566" t="s">
        <v>1394</v>
      </c>
      <c r="T273" s="582" t="s">
        <v>253</v>
      </c>
      <c r="U273" s="582" t="s">
        <v>550</v>
      </c>
      <c r="V273" s="582" t="s">
        <v>517</v>
      </c>
      <c r="W273" s="583" t="s">
        <v>514</v>
      </c>
      <c r="X273" s="582" t="s">
        <v>1380</v>
      </c>
      <c r="Y273" s="582" t="s">
        <v>1338</v>
      </c>
      <c r="Z273" s="584" t="s">
        <v>1098</v>
      </c>
      <c r="AA273" s="585">
        <v>398</v>
      </c>
      <c r="AB273" s="582"/>
    </row>
    <row r="274" spans="1:28" hidden="1">
      <c r="A274" s="566" t="s">
        <v>1335</v>
      </c>
      <c r="B274" s="566" t="s">
        <v>466</v>
      </c>
      <c r="C274" s="566" t="s">
        <v>471</v>
      </c>
      <c r="D274" s="566" t="s">
        <v>472</v>
      </c>
      <c r="E274" s="566" t="s">
        <v>473</v>
      </c>
      <c r="F274" s="566" t="s">
        <v>474</v>
      </c>
      <c r="G274" s="567">
        <v>0</v>
      </c>
      <c r="H274" s="566" t="s">
        <v>561</v>
      </c>
      <c r="I274" s="568">
        <v>2</v>
      </c>
      <c r="J274" s="569">
        <v>29</v>
      </c>
      <c r="K274" s="569">
        <v>29</v>
      </c>
      <c r="L274" s="566"/>
      <c r="M274" s="566" t="s">
        <v>476</v>
      </c>
      <c r="N274" s="570">
        <v>1334</v>
      </c>
      <c r="O274" s="566"/>
      <c r="P274" s="566" t="s">
        <v>477</v>
      </c>
      <c r="Q274" s="568">
        <v>909678</v>
      </c>
      <c r="R274" s="568">
        <v>34</v>
      </c>
      <c r="S274" s="566" t="s">
        <v>1395</v>
      </c>
      <c r="T274" s="582" t="s">
        <v>253</v>
      </c>
      <c r="U274" s="582" t="s">
        <v>550</v>
      </c>
      <c r="V274" s="582" t="s">
        <v>517</v>
      </c>
      <c r="W274" s="583" t="s">
        <v>1274</v>
      </c>
      <c r="X274" s="582" t="s">
        <v>1380</v>
      </c>
      <c r="Y274" s="582" t="s">
        <v>1367</v>
      </c>
      <c r="Z274" s="584" t="s">
        <v>1558</v>
      </c>
      <c r="AA274" s="585">
        <v>1334</v>
      </c>
      <c r="AB274" s="582"/>
    </row>
    <row r="275" spans="1:28" hidden="1">
      <c r="A275" s="566" t="s">
        <v>1335</v>
      </c>
      <c r="B275" s="566" t="s">
        <v>466</v>
      </c>
      <c r="C275" s="566" t="s">
        <v>471</v>
      </c>
      <c r="D275" s="566" t="s">
        <v>472</v>
      </c>
      <c r="E275" s="566" t="s">
        <v>473</v>
      </c>
      <c r="F275" s="566" t="s">
        <v>474</v>
      </c>
      <c r="G275" s="567">
        <v>0</v>
      </c>
      <c r="H275" s="566" t="s">
        <v>564</v>
      </c>
      <c r="I275" s="568">
        <v>2</v>
      </c>
      <c r="J275" s="569">
        <v>29</v>
      </c>
      <c r="K275" s="569">
        <v>29</v>
      </c>
      <c r="L275" s="566"/>
      <c r="M275" s="566" t="s">
        <v>476</v>
      </c>
      <c r="N275" s="570">
        <v>1370</v>
      </c>
      <c r="O275" s="566"/>
      <c r="P275" s="566" t="s">
        <v>477</v>
      </c>
      <c r="Q275" s="568">
        <v>909678</v>
      </c>
      <c r="R275" s="568">
        <v>35</v>
      </c>
      <c r="S275" s="566" t="s">
        <v>1397</v>
      </c>
      <c r="T275" s="582" t="s">
        <v>253</v>
      </c>
      <c r="U275" s="582" t="s">
        <v>550</v>
      </c>
      <c r="V275" s="582" t="s">
        <v>517</v>
      </c>
      <c r="W275" s="583" t="s">
        <v>1275</v>
      </c>
      <c r="X275" s="582" t="s">
        <v>1380</v>
      </c>
      <c r="Y275" s="582" t="s">
        <v>1367</v>
      </c>
      <c r="Z275" s="584" t="s">
        <v>1559</v>
      </c>
      <c r="AA275" s="585">
        <v>1370</v>
      </c>
      <c r="AB275" s="582"/>
    </row>
    <row r="276" spans="1:28" hidden="1">
      <c r="A276" s="566" t="s">
        <v>1335</v>
      </c>
      <c r="B276" s="566" t="s">
        <v>466</v>
      </c>
      <c r="C276" s="566" t="s">
        <v>487</v>
      </c>
      <c r="D276" s="566" t="s">
        <v>472</v>
      </c>
      <c r="E276" s="566" t="s">
        <v>473</v>
      </c>
      <c r="F276" s="566" t="s">
        <v>489</v>
      </c>
      <c r="G276" s="567">
        <v>50</v>
      </c>
      <c r="H276" s="566" t="s">
        <v>573</v>
      </c>
      <c r="I276" s="568">
        <v>2</v>
      </c>
      <c r="J276" s="569">
        <v>29</v>
      </c>
      <c r="K276" s="569">
        <v>29</v>
      </c>
      <c r="L276" s="566"/>
      <c r="M276" s="566" t="s">
        <v>476</v>
      </c>
      <c r="N276" s="570">
        <v>1406</v>
      </c>
      <c r="O276" s="566"/>
      <c r="P276" s="566" t="s">
        <v>477</v>
      </c>
      <c r="Q276" s="568">
        <v>909678</v>
      </c>
      <c r="R276" s="568">
        <v>37</v>
      </c>
      <c r="S276" s="566" t="s">
        <v>1399</v>
      </c>
      <c r="T276" s="582" t="s">
        <v>253</v>
      </c>
      <c r="U276" s="582" t="s">
        <v>550</v>
      </c>
      <c r="V276" s="582" t="s">
        <v>517</v>
      </c>
      <c r="W276" s="583" t="s">
        <v>1276</v>
      </c>
      <c r="X276" s="582" t="s">
        <v>1380</v>
      </c>
      <c r="Y276" s="582" t="s">
        <v>1367</v>
      </c>
      <c r="Z276" s="584" t="s">
        <v>1560</v>
      </c>
      <c r="AA276" s="585">
        <v>1406</v>
      </c>
      <c r="AB276" s="582"/>
    </row>
    <row r="277" spans="1:28" hidden="1">
      <c r="A277" s="566" t="s">
        <v>1335</v>
      </c>
      <c r="B277" s="566" t="s">
        <v>466</v>
      </c>
      <c r="C277" s="566" t="s">
        <v>487</v>
      </c>
      <c r="D277" s="566" t="s">
        <v>472</v>
      </c>
      <c r="E277" s="566" t="s">
        <v>473</v>
      </c>
      <c r="F277" s="566" t="s">
        <v>489</v>
      </c>
      <c r="G277" s="567">
        <v>50</v>
      </c>
      <c r="H277" s="566" t="s">
        <v>576</v>
      </c>
      <c r="I277" s="568">
        <v>2</v>
      </c>
      <c r="J277" s="569">
        <v>29</v>
      </c>
      <c r="K277" s="569">
        <v>29</v>
      </c>
      <c r="L277" s="566"/>
      <c r="M277" s="566" t="s">
        <v>476</v>
      </c>
      <c r="N277" s="570">
        <v>1442</v>
      </c>
      <c r="O277" s="566"/>
      <c r="P277" s="566" t="s">
        <v>477</v>
      </c>
      <c r="Q277" s="568">
        <v>909678</v>
      </c>
      <c r="R277" s="568">
        <v>38</v>
      </c>
      <c r="S277" s="566" t="s">
        <v>1401</v>
      </c>
      <c r="T277" s="582" t="s">
        <v>253</v>
      </c>
      <c r="U277" s="582" t="s">
        <v>550</v>
      </c>
      <c r="V277" s="582" t="s">
        <v>517</v>
      </c>
      <c r="W277" s="583" t="s">
        <v>1277</v>
      </c>
      <c r="X277" s="582" t="s">
        <v>1380</v>
      </c>
      <c r="Y277" s="582" t="s">
        <v>1367</v>
      </c>
      <c r="Z277" s="584" t="s">
        <v>1561</v>
      </c>
      <c r="AA277" s="585">
        <v>1442</v>
      </c>
      <c r="AB277" s="582"/>
    </row>
    <row r="278" spans="1:28" hidden="1">
      <c r="A278" s="566" t="s">
        <v>1335</v>
      </c>
      <c r="B278" s="566" t="s">
        <v>466</v>
      </c>
      <c r="C278" s="566" t="s">
        <v>471</v>
      </c>
      <c r="D278" s="566" t="s">
        <v>472</v>
      </c>
      <c r="E278" s="566" t="s">
        <v>473</v>
      </c>
      <c r="F278" s="566" t="s">
        <v>474</v>
      </c>
      <c r="G278" s="567">
        <v>0</v>
      </c>
      <c r="H278" s="566" t="s">
        <v>1352</v>
      </c>
      <c r="I278" s="568">
        <v>2</v>
      </c>
      <c r="J278" s="569">
        <v>29</v>
      </c>
      <c r="K278" s="569">
        <v>29</v>
      </c>
      <c r="L278" s="566"/>
      <c r="M278" s="566" t="s">
        <v>476</v>
      </c>
      <c r="N278" s="570">
        <v>1478</v>
      </c>
      <c r="O278" s="566"/>
      <c r="P278" s="566" t="s">
        <v>477</v>
      </c>
      <c r="Q278" s="568">
        <v>909678</v>
      </c>
      <c r="R278" s="568">
        <v>36</v>
      </c>
      <c r="S278" s="566" t="s">
        <v>1403</v>
      </c>
      <c r="T278" s="582" t="s">
        <v>253</v>
      </c>
      <c r="U278" s="582" t="s">
        <v>550</v>
      </c>
      <c r="V278" s="582" t="s">
        <v>517</v>
      </c>
      <c r="W278" s="583" t="s">
        <v>1354</v>
      </c>
      <c r="X278" s="582" t="s">
        <v>1380</v>
      </c>
      <c r="Y278" s="582" t="s">
        <v>1367</v>
      </c>
      <c r="Z278" s="584" t="s">
        <v>1562</v>
      </c>
      <c r="AA278" s="585">
        <v>1478</v>
      </c>
      <c r="AB278" s="582"/>
    </row>
    <row r="279" spans="1:28" hidden="1">
      <c r="A279" s="566" t="s">
        <v>1335</v>
      </c>
      <c r="B279" s="566" t="s">
        <v>466</v>
      </c>
      <c r="C279" s="566" t="s">
        <v>487</v>
      </c>
      <c r="D279" s="566" t="s">
        <v>472</v>
      </c>
      <c r="E279" s="566" t="s">
        <v>473</v>
      </c>
      <c r="F279" s="566" t="s">
        <v>489</v>
      </c>
      <c r="G279" s="567">
        <v>50</v>
      </c>
      <c r="H279" s="566" t="s">
        <v>1356</v>
      </c>
      <c r="I279" s="568">
        <v>2</v>
      </c>
      <c r="J279" s="569">
        <v>29</v>
      </c>
      <c r="K279" s="569">
        <v>29</v>
      </c>
      <c r="L279" s="566"/>
      <c r="M279" s="566" t="s">
        <v>476</v>
      </c>
      <c r="N279" s="570">
        <v>1514</v>
      </c>
      <c r="O279" s="566"/>
      <c r="P279" s="566" t="s">
        <v>477</v>
      </c>
      <c r="Q279" s="568">
        <v>909678</v>
      </c>
      <c r="R279" s="568">
        <v>39</v>
      </c>
      <c r="S279" s="566" t="s">
        <v>1405</v>
      </c>
      <c r="T279" s="582" t="s">
        <v>253</v>
      </c>
      <c r="U279" s="582" t="s">
        <v>550</v>
      </c>
      <c r="V279" s="582" t="s">
        <v>517</v>
      </c>
      <c r="W279" s="583" t="s">
        <v>1358</v>
      </c>
      <c r="X279" s="582" t="s">
        <v>1380</v>
      </c>
      <c r="Y279" s="582" t="s">
        <v>1367</v>
      </c>
      <c r="Z279" s="584" t="s">
        <v>1563</v>
      </c>
      <c r="AA279" s="585">
        <v>1514</v>
      </c>
      <c r="AB279" s="582"/>
    </row>
    <row r="280" spans="1:28" hidden="1">
      <c r="A280" s="566" t="s">
        <v>1335</v>
      </c>
      <c r="B280" s="566" t="s">
        <v>466</v>
      </c>
      <c r="C280" s="566" t="s">
        <v>471</v>
      </c>
      <c r="D280" s="566" t="s">
        <v>472</v>
      </c>
      <c r="E280" s="566" t="s">
        <v>473</v>
      </c>
      <c r="F280" s="566" t="s">
        <v>474</v>
      </c>
      <c r="G280" s="567">
        <v>0</v>
      </c>
      <c r="H280" s="566" t="s">
        <v>559</v>
      </c>
      <c r="I280" s="568">
        <v>2</v>
      </c>
      <c r="J280" s="569">
        <v>5</v>
      </c>
      <c r="K280" s="569">
        <v>5</v>
      </c>
      <c r="L280" s="566"/>
      <c r="M280" s="566" t="s">
        <v>476</v>
      </c>
      <c r="N280" s="570">
        <v>434</v>
      </c>
      <c r="O280" s="566"/>
      <c r="P280" s="566" t="s">
        <v>477</v>
      </c>
      <c r="Q280" s="568">
        <v>909678</v>
      </c>
      <c r="R280" s="568">
        <v>7</v>
      </c>
      <c r="S280" s="566" t="s">
        <v>1407</v>
      </c>
      <c r="T280" s="575" t="s">
        <v>1473</v>
      </c>
      <c r="U280" s="575" t="s">
        <v>550</v>
      </c>
      <c r="V280" s="575" t="s">
        <v>517</v>
      </c>
      <c r="W280" s="576" t="s">
        <v>470</v>
      </c>
      <c r="X280" s="575" t="s">
        <v>1380</v>
      </c>
      <c r="Y280" s="575" t="s">
        <v>1338</v>
      </c>
      <c r="Z280" s="576" t="s">
        <v>1564</v>
      </c>
      <c r="AA280" s="577">
        <v>434</v>
      </c>
      <c r="AB280" s="575"/>
    </row>
    <row r="281" spans="1:28" hidden="1">
      <c r="A281" s="566" t="s">
        <v>1335</v>
      </c>
      <c r="B281" s="566" t="s">
        <v>466</v>
      </c>
      <c r="C281" s="566" t="s">
        <v>471</v>
      </c>
      <c r="D281" s="566" t="s">
        <v>472</v>
      </c>
      <c r="E281" s="566" t="s">
        <v>473</v>
      </c>
      <c r="F281" s="566" t="s">
        <v>474</v>
      </c>
      <c r="G281" s="567">
        <v>0</v>
      </c>
      <c r="H281" s="566" t="s">
        <v>562</v>
      </c>
      <c r="I281" s="568">
        <v>2</v>
      </c>
      <c r="J281" s="569">
        <v>5</v>
      </c>
      <c r="K281" s="569">
        <v>5</v>
      </c>
      <c r="L281" s="566"/>
      <c r="M281" s="566" t="s">
        <v>476</v>
      </c>
      <c r="N281" s="570">
        <v>506</v>
      </c>
      <c r="O281" s="566"/>
      <c r="P281" s="566" t="s">
        <v>477</v>
      </c>
      <c r="Q281" s="568">
        <v>909678</v>
      </c>
      <c r="R281" s="568">
        <v>8</v>
      </c>
      <c r="S281" s="566" t="s">
        <v>1410</v>
      </c>
      <c r="T281" s="575" t="s">
        <v>1473</v>
      </c>
      <c r="U281" s="575" t="s">
        <v>550</v>
      </c>
      <c r="V281" s="575" t="s">
        <v>517</v>
      </c>
      <c r="W281" s="576" t="s">
        <v>480</v>
      </c>
      <c r="X281" s="575" t="s">
        <v>1380</v>
      </c>
      <c r="Y281" s="575" t="s">
        <v>1338</v>
      </c>
      <c r="Z281" s="576" t="s">
        <v>1565</v>
      </c>
      <c r="AA281" s="577">
        <v>506</v>
      </c>
      <c r="AB281" s="575"/>
    </row>
    <row r="282" spans="1:28" hidden="1">
      <c r="A282" s="566" t="s">
        <v>1335</v>
      </c>
      <c r="B282" s="566" t="s">
        <v>466</v>
      </c>
      <c r="C282" s="566" t="s">
        <v>487</v>
      </c>
      <c r="D282" s="566" t="s">
        <v>472</v>
      </c>
      <c r="E282" s="566" t="s">
        <v>473</v>
      </c>
      <c r="F282" s="566" t="s">
        <v>489</v>
      </c>
      <c r="G282" s="567">
        <v>50</v>
      </c>
      <c r="H282" s="566" t="s">
        <v>571</v>
      </c>
      <c r="I282" s="568">
        <v>2</v>
      </c>
      <c r="J282" s="569">
        <v>5</v>
      </c>
      <c r="K282" s="569">
        <v>5</v>
      </c>
      <c r="L282" s="566"/>
      <c r="M282" s="566" t="s">
        <v>476</v>
      </c>
      <c r="N282" s="570">
        <v>686</v>
      </c>
      <c r="O282" s="566"/>
      <c r="P282" s="566" t="s">
        <v>477</v>
      </c>
      <c r="Q282" s="568">
        <v>909678</v>
      </c>
      <c r="R282" s="568">
        <v>11</v>
      </c>
      <c r="S282" s="566" t="s">
        <v>1412</v>
      </c>
      <c r="T282" s="575" t="s">
        <v>1473</v>
      </c>
      <c r="U282" s="575" t="s">
        <v>550</v>
      </c>
      <c r="V282" s="575" t="s">
        <v>517</v>
      </c>
      <c r="W282" s="576" t="s">
        <v>499</v>
      </c>
      <c r="X282" s="575" t="s">
        <v>1380</v>
      </c>
      <c r="Y282" s="575" t="s">
        <v>1338</v>
      </c>
      <c r="Z282" s="576" t="s">
        <v>1566</v>
      </c>
      <c r="AA282" s="577">
        <v>686</v>
      </c>
      <c r="AB282" s="575"/>
    </row>
    <row r="283" spans="1:28" hidden="1">
      <c r="A283" s="566" t="s">
        <v>1335</v>
      </c>
      <c r="B283" s="566" t="s">
        <v>466</v>
      </c>
      <c r="C283" s="566" t="s">
        <v>487</v>
      </c>
      <c r="D283" s="566" t="s">
        <v>472</v>
      </c>
      <c r="E283" s="566" t="s">
        <v>473</v>
      </c>
      <c r="F283" s="566" t="s">
        <v>489</v>
      </c>
      <c r="G283" s="567">
        <v>50</v>
      </c>
      <c r="H283" s="566" t="s">
        <v>574</v>
      </c>
      <c r="I283" s="568">
        <v>2</v>
      </c>
      <c r="J283" s="569">
        <v>5</v>
      </c>
      <c r="K283" s="569">
        <v>5</v>
      </c>
      <c r="L283" s="566"/>
      <c r="M283" s="566" t="s">
        <v>476</v>
      </c>
      <c r="N283" s="570">
        <v>758</v>
      </c>
      <c r="O283" s="566"/>
      <c r="P283" s="566" t="s">
        <v>477</v>
      </c>
      <c r="Q283" s="568">
        <v>909678</v>
      </c>
      <c r="R283" s="568">
        <v>20</v>
      </c>
      <c r="S283" s="566" t="s">
        <v>1414</v>
      </c>
      <c r="T283" s="575" t="s">
        <v>1473</v>
      </c>
      <c r="U283" s="575" t="s">
        <v>550</v>
      </c>
      <c r="V283" s="575" t="s">
        <v>517</v>
      </c>
      <c r="W283" s="576" t="s">
        <v>504</v>
      </c>
      <c r="X283" s="575" t="s">
        <v>1380</v>
      </c>
      <c r="Y283" s="575" t="s">
        <v>1338</v>
      </c>
      <c r="Z283" s="576" t="s">
        <v>1567</v>
      </c>
      <c r="AA283" s="577">
        <v>758</v>
      </c>
      <c r="AB283" s="575"/>
    </row>
    <row r="284" spans="1:28" hidden="1">
      <c r="A284" s="566" t="s">
        <v>1335</v>
      </c>
      <c r="B284" s="566" t="s">
        <v>466</v>
      </c>
      <c r="C284" s="566" t="s">
        <v>471</v>
      </c>
      <c r="D284" s="566" t="s">
        <v>472</v>
      </c>
      <c r="E284" s="566" t="s">
        <v>473</v>
      </c>
      <c r="F284" s="566" t="s">
        <v>474</v>
      </c>
      <c r="G284" s="567">
        <v>0</v>
      </c>
      <c r="H284" s="566" t="s">
        <v>561</v>
      </c>
      <c r="I284" s="568">
        <v>2</v>
      </c>
      <c r="J284" s="569">
        <v>57</v>
      </c>
      <c r="K284" s="569">
        <v>57</v>
      </c>
      <c r="L284" s="566"/>
      <c r="M284" s="566" t="s">
        <v>476</v>
      </c>
      <c r="N284" s="570">
        <v>1014</v>
      </c>
      <c r="O284" s="566"/>
      <c r="P284" s="566" t="s">
        <v>477</v>
      </c>
      <c r="Q284" s="568">
        <v>909678</v>
      </c>
      <c r="R284" s="568">
        <v>25</v>
      </c>
      <c r="S284" s="566" t="s">
        <v>1336</v>
      </c>
      <c r="T284" s="571" t="s">
        <v>467</v>
      </c>
      <c r="U284" s="571" t="s">
        <v>550</v>
      </c>
      <c r="V284" s="571" t="s">
        <v>528</v>
      </c>
      <c r="W284" s="572" t="s">
        <v>1274</v>
      </c>
      <c r="X284" s="571" t="s">
        <v>1337</v>
      </c>
      <c r="Y284" s="571" t="s">
        <v>1338</v>
      </c>
      <c r="Z284" s="566" t="s">
        <v>1568</v>
      </c>
      <c r="AA284" s="573">
        <v>1014</v>
      </c>
      <c r="AB284" s="571"/>
    </row>
    <row r="285" spans="1:28" hidden="1">
      <c r="A285" s="566" t="s">
        <v>1335</v>
      </c>
      <c r="B285" s="566" t="s">
        <v>466</v>
      </c>
      <c r="C285" s="566" t="s">
        <v>471</v>
      </c>
      <c r="D285" s="566" t="s">
        <v>472</v>
      </c>
      <c r="E285" s="566" t="s">
        <v>473</v>
      </c>
      <c r="F285" s="566" t="s">
        <v>474</v>
      </c>
      <c r="G285" s="567">
        <v>0</v>
      </c>
      <c r="H285" s="566" t="s">
        <v>564</v>
      </c>
      <c r="I285" s="568">
        <v>2</v>
      </c>
      <c r="J285" s="569">
        <v>57</v>
      </c>
      <c r="K285" s="569">
        <v>57</v>
      </c>
      <c r="L285" s="566"/>
      <c r="M285" s="566" t="s">
        <v>476</v>
      </c>
      <c r="N285" s="570">
        <v>1050</v>
      </c>
      <c r="O285" s="566"/>
      <c r="P285" s="566" t="s">
        <v>477</v>
      </c>
      <c r="Q285" s="568">
        <v>909678</v>
      </c>
      <c r="R285" s="568">
        <v>26</v>
      </c>
      <c r="S285" s="566" t="s">
        <v>1340</v>
      </c>
      <c r="T285" s="571" t="s">
        <v>467</v>
      </c>
      <c r="U285" s="571" t="s">
        <v>550</v>
      </c>
      <c r="V285" s="571" t="s">
        <v>528</v>
      </c>
      <c r="W285" s="572" t="s">
        <v>1275</v>
      </c>
      <c r="X285" s="571" t="s">
        <v>1337</v>
      </c>
      <c r="Y285" s="571" t="s">
        <v>1338</v>
      </c>
      <c r="Z285" s="566" t="s">
        <v>1569</v>
      </c>
      <c r="AA285" s="573">
        <v>1050</v>
      </c>
      <c r="AB285" s="571"/>
    </row>
    <row r="286" spans="1:28" hidden="1">
      <c r="A286" s="566" t="s">
        <v>1335</v>
      </c>
      <c r="B286" s="566" t="s">
        <v>466</v>
      </c>
      <c r="C286" s="566" t="s">
        <v>487</v>
      </c>
      <c r="D286" s="566" t="s">
        <v>472</v>
      </c>
      <c r="E286" s="566" t="s">
        <v>473</v>
      </c>
      <c r="F286" s="566" t="s">
        <v>489</v>
      </c>
      <c r="G286" s="567">
        <v>50</v>
      </c>
      <c r="H286" s="566" t="s">
        <v>566</v>
      </c>
      <c r="I286" s="568">
        <v>2</v>
      </c>
      <c r="J286" s="569">
        <v>57</v>
      </c>
      <c r="K286" s="569">
        <v>57</v>
      </c>
      <c r="L286" s="566"/>
      <c r="M286" s="566" t="s">
        <v>476</v>
      </c>
      <c r="N286" s="570">
        <v>1086</v>
      </c>
      <c r="O286" s="566"/>
      <c r="P286" s="566" t="s">
        <v>477</v>
      </c>
      <c r="Q286" s="568">
        <v>909678</v>
      </c>
      <c r="R286" s="568">
        <v>28</v>
      </c>
      <c r="S286" s="566" t="s">
        <v>1342</v>
      </c>
      <c r="T286" s="571" t="s">
        <v>467</v>
      </c>
      <c r="U286" s="571" t="s">
        <v>550</v>
      </c>
      <c r="V286" s="571" t="s">
        <v>528</v>
      </c>
      <c r="W286" s="572" t="s">
        <v>485</v>
      </c>
      <c r="X286" s="571" t="s">
        <v>1337</v>
      </c>
      <c r="Y286" s="571" t="s">
        <v>1338</v>
      </c>
      <c r="Z286" s="566" t="s">
        <v>1570</v>
      </c>
      <c r="AA286" s="573">
        <v>1086</v>
      </c>
      <c r="AB286" s="571"/>
    </row>
    <row r="287" spans="1:28" hidden="1">
      <c r="A287" s="566" t="s">
        <v>1335</v>
      </c>
      <c r="B287" s="566" t="s">
        <v>466</v>
      </c>
      <c r="C287" s="566" t="s">
        <v>487</v>
      </c>
      <c r="D287" s="566" t="s">
        <v>472</v>
      </c>
      <c r="E287" s="566" t="s">
        <v>473</v>
      </c>
      <c r="F287" s="566" t="s">
        <v>489</v>
      </c>
      <c r="G287" s="567">
        <v>50</v>
      </c>
      <c r="H287" s="566" t="s">
        <v>568</v>
      </c>
      <c r="I287" s="568">
        <v>2</v>
      </c>
      <c r="J287" s="569">
        <v>57</v>
      </c>
      <c r="K287" s="569">
        <v>57</v>
      </c>
      <c r="L287" s="566"/>
      <c r="M287" s="566" t="s">
        <v>476</v>
      </c>
      <c r="N287" s="570">
        <v>1122</v>
      </c>
      <c r="O287" s="566"/>
      <c r="P287" s="566" t="s">
        <v>477</v>
      </c>
      <c r="Q287" s="568">
        <v>909678</v>
      </c>
      <c r="R287" s="568">
        <v>29</v>
      </c>
      <c r="S287" s="566" t="s">
        <v>1344</v>
      </c>
      <c r="T287" s="571" t="s">
        <v>467</v>
      </c>
      <c r="U287" s="571" t="s">
        <v>550</v>
      </c>
      <c r="V287" s="571" t="s">
        <v>528</v>
      </c>
      <c r="W287" s="572" t="s">
        <v>491</v>
      </c>
      <c r="X287" s="571" t="s">
        <v>1337</v>
      </c>
      <c r="Y287" s="571" t="s">
        <v>1338</v>
      </c>
      <c r="Z287" s="566" t="s">
        <v>1571</v>
      </c>
      <c r="AA287" s="573">
        <v>1122</v>
      </c>
      <c r="AB287" s="571"/>
    </row>
    <row r="288" spans="1:28" hidden="1">
      <c r="A288" s="566" t="s">
        <v>1335</v>
      </c>
      <c r="B288" s="566" t="s">
        <v>466</v>
      </c>
      <c r="C288" s="566" t="s">
        <v>487</v>
      </c>
      <c r="D288" s="566" t="s">
        <v>472</v>
      </c>
      <c r="E288" s="566" t="s">
        <v>473</v>
      </c>
      <c r="F288" s="566" t="s">
        <v>489</v>
      </c>
      <c r="G288" s="567">
        <v>50</v>
      </c>
      <c r="H288" s="566" t="s">
        <v>570</v>
      </c>
      <c r="I288" s="568">
        <v>2</v>
      </c>
      <c r="J288" s="569">
        <v>57</v>
      </c>
      <c r="K288" s="569">
        <v>57</v>
      </c>
      <c r="L288" s="566"/>
      <c r="M288" s="566" t="s">
        <v>476</v>
      </c>
      <c r="N288" s="570">
        <v>1158</v>
      </c>
      <c r="O288" s="566"/>
      <c r="P288" s="566" t="s">
        <v>477</v>
      </c>
      <c r="Q288" s="568">
        <v>909678</v>
      </c>
      <c r="R288" s="568">
        <v>30</v>
      </c>
      <c r="S288" s="566" t="s">
        <v>1346</v>
      </c>
      <c r="T288" s="571" t="s">
        <v>467</v>
      </c>
      <c r="U288" s="571" t="s">
        <v>550</v>
      </c>
      <c r="V288" s="571" t="s">
        <v>528</v>
      </c>
      <c r="W288" s="572" t="s">
        <v>495</v>
      </c>
      <c r="X288" s="571" t="s">
        <v>1337</v>
      </c>
      <c r="Y288" s="571" t="s">
        <v>1338</v>
      </c>
      <c r="Z288" s="566" t="s">
        <v>1572</v>
      </c>
      <c r="AA288" s="573">
        <v>1158</v>
      </c>
      <c r="AB288" s="571"/>
    </row>
    <row r="289" spans="1:28" hidden="1">
      <c r="A289" s="566" t="s">
        <v>1335</v>
      </c>
      <c r="B289" s="566" t="s">
        <v>466</v>
      </c>
      <c r="C289" s="566" t="s">
        <v>487</v>
      </c>
      <c r="D289" s="566" t="s">
        <v>472</v>
      </c>
      <c r="E289" s="566" t="s">
        <v>473</v>
      </c>
      <c r="F289" s="566" t="s">
        <v>489</v>
      </c>
      <c r="G289" s="567">
        <v>50</v>
      </c>
      <c r="H289" s="566" t="s">
        <v>573</v>
      </c>
      <c r="I289" s="568">
        <v>2</v>
      </c>
      <c r="J289" s="569">
        <v>57</v>
      </c>
      <c r="K289" s="569">
        <v>57</v>
      </c>
      <c r="L289" s="566"/>
      <c r="M289" s="566" t="s">
        <v>476</v>
      </c>
      <c r="N289" s="570">
        <v>1194</v>
      </c>
      <c r="O289" s="566"/>
      <c r="P289" s="566" t="s">
        <v>477</v>
      </c>
      <c r="Q289" s="568">
        <v>909678</v>
      </c>
      <c r="R289" s="568">
        <v>31</v>
      </c>
      <c r="S289" s="566" t="s">
        <v>1348</v>
      </c>
      <c r="T289" s="571" t="s">
        <v>467</v>
      </c>
      <c r="U289" s="571" t="s">
        <v>550</v>
      </c>
      <c r="V289" s="571" t="s">
        <v>528</v>
      </c>
      <c r="W289" s="572" t="s">
        <v>1276</v>
      </c>
      <c r="X289" s="571" t="s">
        <v>1337</v>
      </c>
      <c r="Y289" s="571" t="s">
        <v>1338</v>
      </c>
      <c r="Z289" s="566" t="s">
        <v>1573</v>
      </c>
      <c r="AA289" s="573">
        <v>1194</v>
      </c>
      <c r="AB289" s="571"/>
    </row>
    <row r="290" spans="1:28" hidden="1">
      <c r="A290" s="566" t="s">
        <v>1335</v>
      </c>
      <c r="B290" s="566" t="s">
        <v>466</v>
      </c>
      <c r="C290" s="566" t="s">
        <v>487</v>
      </c>
      <c r="D290" s="566" t="s">
        <v>472</v>
      </c>
      <c r="E290" s="566" t="s">
        <v>473</v>
      </c>
      <c r="F290" s="566" t="s">
        <v>489</v>
      </c>
      <c r="G290" s="567">
        <v>50</v>
      </c>
      <c r="H290" s="566" t="s">
        <v>576</v>
      </c>
      <c r="I290" s="568">
        <v>2</v>
      </c>
      <c r="J290" s="569">
        <v>57</v>
      </c>
      <c r="K290" s="569">
        <v>57</v>
      </c>
      <c r="L290" s="566"/>
      <c r="M290" s="566" t="s">
        <v>476</v>
      </c>
      <c r="N290" s="570">
        <v>1230</v>
      </c>
      <c r="O290" s="566"/>
      <c r="P290" s="566" t="s">
        <v>477</v>
      </c>
      <c r="Q290" s="568">
        <v>909678</v>
      </c>
      <c r="R290" s="568">
        <v>32</v>
      </c>
      <c r="S290" s="566" t="s">
        <v>1350</v>
      </c>
      <c r="T290" s="571" t="s">
        <v>467</v>
      </c>
      <c r="U290" s="571" t="s">
        <v>550</v>
      </c>
      <c r="V290" s="571" t="s">
        <v>528</v>
      </c>
      <c r="W290" s="572" t="s">
        <v>1277</v>
      </c>
      <c r="X290" s="571" t="s">
        <v>1337</v>
      </c>
      <c r="Y290" s="571" t="s">
        <v>1338</v>
      </c>
      <c r="Z290" s="566" t="s">
        <v>1574</v>
      </c>
      <c r="AA290" s="573">
        <v>1230</v>
      </c>
      <c r="AB290" s="571"/>
    </row>
    <row r="291" spans="1:28" hidden="1">
      <c r="A291" s="566" t="s">
        <v>1335</v>
      </c>
      <c r="B291" s="566" t="s">
        <v>466</v>
      </c>
      <c r="C291" s="566" t="s">
        <v>471</v>
      </c>
      <c r="D291" s="566" t="s">
        <v>472</v>
      </c>
      <c r="E291" s="566" t="s">
        <v>473</v>
      </c>
      <c r="F291" s="566" t="s">
        <v>474</v>
      </c>
      <c r="G291" s="567">
        <v>0</v>
      </c>
      <c r="H291" s="566" t="s">
        <v>1352</v>
      </c>
      <c r="I291" s="568">
        <v>2</v>
      </c>
      <c r="J291" s="569">
        <v>57</v>
      </c>
      <c r="K291" s="569">
        <v>57</v>
      </c>
      <c r="L291" s="566"/>
      <c r="M291" s="566" t="s">
        <v>476</v>
      </c>
      <c r="N291" s="570">
        <v>1266</v>
      </c>
      <c r="O291" s="566"/>
      <c r="P291" s="566" t="s">
        <v>477</v>
      </c>
      <c r="Q291" s="568">
        <v>909678</v>
      </c>
      <c r="R291" s="568">
        <v>27</v>
      </c>
      <c r="S291" s="566" t="s">
        <v>1353</v>
      </c>
      <c r="T291" s="571" t="s">
        <v>467</v>
      </c>
      <c r="U291" s="571" t="s">
        <v>550</v>
      </c>
      <c r="V291" s="571" t="s">
        <v>528</v>
      </c>
      <c r="W291" s="572" t="s">
        <v>1354</v>
      </c>
      <c r="X291" s="571" t="s">
        <v>1337</v>
      </c>
      <c r="Y291" s="571" t="s">
        <v>1338</v>
      </c>
      <c r="Z291" s="566" t="s">
        <v>1575</v>
      </c>
      <c r="AA291" s="573">
        <v>1266</v>
      </c>
      <c r="AB291" s="571"/>
    </row>
    <row r="292" spans="1:28" hidden="1">
      <c r="A292" s="566" t="s">
        <v>1335</v>
      </c>
      <c r="B292" s="566" t="s">
        <v>466</v>
      </c>
      <c r="C292" s="566" t="s">
        <v>487</v>
      </c>
      <c r="D292" s="566" t="s">
        <v>472</v>
      </c>
      <c r="E292" s="566" t="s">
        <v>473</v>
      </c>
      <c r="F292" s="566" t="s">
        <v>489</v>
      </c>
      <c r="G292" s="567">
        <v>50</v>
      </c>
      <c r="H292" s="566" t="s">
        <v>1356</v>
      </c>
      <c r="I292" s="568">
        <v>2</v>
      </c>
      <c r="J292" s="569">
        <v>57</v>
      </c>
      <c r="K292" s="569">
        <v>57</v>
      </c>
      <c r="L292" s="566"/>
      <c r="M292" s="566" t="s">
        <v>476</v>
      </c>
      <c r="N292" s="570">
        <v>1302</v>
      </c>
      <c r="O292" s="566"/>
      <c r="P292" s="566" t="s">
        <v>477</v>
      </c>
      <c r="Q292" s="568">
        <v>909678</v>
      </c>
      <c r="R292" s="568">
        <v>33</v>
      </c>
      <c r="S292" s="566" t="s">
        <v>1357</v>
      </c>
      <c r="T292" s="571" t="s">
        <v>467</v>
      </c>
      <c r="U292" s="571" t="s">
        <v>550</v>
      </c>
      <c r="V292" s="571" t="s">
        <v>528</v>
      </c>
      <c r="W292" s="572" t="s">
        <v>1358</v>
      </c>
      <c r="X292" s="571" t="s">
        <v>1337</v>
      </c>
      <c r="Y292" s="571" t="s">
        <v>1338</v>
      </c>
      <c r="Z292" s="566" t="s">
        <v>1576</v>
      </c>
      <c r="AA292" s="573">
        <v>1302</v>
      </c>
      <c r="AB292" s="571"/>
    </row>
    <row r="293" spans="1:28" hidden="1">
      <c r="A293" s="566" t="s">
        <v>1335</v>
      </c>
      <c r="B293" s="566" t="s">
        <v>466</v>
      </c>
      <c r="C293" s="566" t="s">
        <v>471</v>
      </c>
      <c r="D293" s="566" t="s">
        <v>472</v>
      </c>
      <c r="E293" s="566" t="s">
        <v>473</v>
      </c>
      <c r="F293" s="566" t="s">
        <v>474</v>
      </c>
      <c r="G293" s="567">
        <v>0</v>
      </c>
      <c r="H293" s="566" t="s">
        <v>593</v>
      </c>
      <c r="I293" s="568">
        <v>1</v>
      </c>
      <c r="J293" s="569">
        <v>57</v>
      </c>
      <c r="K293" s="569">
        <v>57</v>
      </c>
      <c r="L293" s="566"/>
      <c r="M293" s="566" t="s">
        <v>476</v>
      </c>
      <c r="N293" s="570">
        <v>906</v>
      </c>
      <c r="O293" s="566"/>
      <c r="P293" s="566" t="s">
        <v>477</v>
      </c>
      <c r="Q293" s="568">
        <v>909678</v>
      </c>
      <c r="R293" s="568">
        <v>22</v>
      </c>
      <c r="S293" s="566" t="s">
        <v>1360</v>
      </c>
      <c r="T293" s="571" t="s">
        <v>467</v>
      </c>
      <c r="U293" s="571" t="s">
        <v>550</v>
      </c>
      <c r="V293" s="571" t="s">
        <v>528</v>
      </c>
      <c r="W293" s="572" t="s">
        <v>509</v>
      </c>
      <c r="X293" s="571" t="s">
        <v>1337</v>
      </c>
      <c r="Y293" s="571" t="s">
        <v>1338</v>
      </c>
      <c r="Z293" s="566" t="s">
        <v>1577</v>
      </c>
      <c r="AA293" s="573">
        <v>906</v>
      </c>
      <c r="AB293" s="571"/>
    </row>
    <row r="294" spans="1:28" hidden="1">
      <c r="A294" s="566" t="s">
        <v>1335</v>
      </c>
      <c r="B294" s="566" t="s">
        <v>466</v>
      </c>
      <c r="C294" s="566" t="s">
        <v>471</v>
      </c>
      <c r="D294" s="566" t="s">
        <v>472</v>
      </c>
      <c r="E294" s="566" t="s">
        <v>473</v>
      </c>
      <c r="F294" s="566" t="s">
        <v>474</v>
      </c>
      <c r="G294" s="567">
        <v>0</v>
      </c>
      <c r="H294" s="566" t="s">
        <v>595</v>
      </c>
      <c r="I294" s="568">
        <v>2</v>
      </c>
      <c r="J294" s="569">
        <v>57</v>
      </c>
      <c r="K294" s="569">
        <v>57</v>
      </c>
      <c r="L294" s="566"/>
      <c r="M294" s="566" t="s">
        <v>476</v>
      </c>
      <c r="N294" s="570">
        <v>942</v>
      </c>
      <c r="O294" s="566"/>
      <c r="P294" s="566" t="s">
        <v>477</v>
      </c>
      <c r="Q294" s="568">
        <v>909678</v>
      </c>
      <c r="R294" s="568">
        <v>23</v>
      </c>
      <c r="S294" s="566" t="s">
        <v>1362</v>
      </c>
      <c r="T294" s="571" t="s">
        <v>467</v>
      </c>
      <c r="U294" s="571" t="s">
        <v>550</v>
      </c>
      <c r="V294" s="571" t="s">
        <v>528</v>
      </c>
      <c r="W294" s="572" t="s">
        <v>512</v>
      </c>
      <c r="X294" s="571" t="s">
        <v>1337</v>
      </c>
      <c r="Y294" s="571" t="s">
        <v>1338</v>
      </c>
      <c r="Z294" s="566" t="s">
        <v>1578</v>
      </c>
      <c r="AA294" s="573">
        <v>942</v>
      </c>
      <c r="AB294" s="571"/>
    </row>
    <row r="295" spans="1:28" hidden="1">
      <c r="A295" s="566" t="s">
        <v>1335</v>
      </c>
      <c r="B295" s="566" t="s">
        <v>466</v>
      </c>
      <c r="C295" s="566" t="s">
        <v>471</v>
      </c>
      <c r="D295" s="566" t="s">
        <v>472</v>
      </c>
      <c r="E295" s="566" t="s">
        <v>473</v>
      </c>
      <c r="F295" s="566" t="s">
        <v>474</v>
      </c>
      <c r="G295" s="567">
        <v>0</v>
      </c>
      <c r="H295" s="566" t="s">
        <v>597</v>
      </c>
      <c r="I295" s="568">
        <v>2</v>
      </c>
      <c r="J295" s="569">
        <v>57</v>
      </c>
      <c r="K295" s="569">
        <v>57</v>
      </c>
      <c r="L295" s="566"/>
      <c r="M295" s="566" t="s">
        <v>476</v>
      </c>
      <c r="N295" s="570">
        <v>978</v>
      </c>
      <c r="O295" s="566"/>
      <c r="P295" s="566" t="s">
        <v>477</v>
      </c>
      <c r="Q295" s="568">
        <v>909678</v>
      </c>
      <c r="R295" s="568">
        <v>24</v>
      </c>
      <c r="S295" s="566" t="s">
        <v>1364</v>
      </c>
      <c r="T295" s="571" t="s">
        <v>467</v>
      </c>
      <c r="U295" s="571" t="s">
        <v>550</v>
      </c>
      <c r="V295" s="571" t="s">
        <v>528</v>
      </c>
      <c r="W295" s="572" t="s">
        <v>514</v>
      </c>
      <c r="X295" s="571" t="s">
        <v>1337</v>
      </c>
      <c r="Y295" s="571" t="s">
        <v>1338</v>
      </c>
      <c r="Z295" s="566" t="s">
        <v>1579</v>
      </c>
      <c r="AA295" s="573">
        <v>978</v>
      </c>
      <c r="AB295" s="571"/>
    </row>
    <row r="296" spans="1:28" hidden="1">
      <c r="A296" s="566" t="s">
        <v>1335</v>
      </c>
      <c r="B296" s="566" t="s">
        <v>466</v>
      </c>
      <c r="C296" s="566" t="s">
        <v>471</v>
      </c>
      <c r="D296" s="566" t="s">
        <v>472</v>
      </c>
      <c r="E296" s="566" t="s">
        <v>473</v>
      </c>
      <c r="F296" s="566" t="s">
        <v>474</v>
      </c>
      <c r="G296" s="567">
        <v>0</v>
      </c>
      <c r="H296" s="566" t="s">
        <v>561</v>
      </c>
      <c r="I296" s="568">
        <v>2</v>
      </c>
      <c r="J296" s="569">
        <v>81</v>
      </c>
      <c r="K296" s="569">
        <v>81</v>
      </c>
      <c r="L296" s="566"/>
      <c r="M296" s="566" t="s">
        <v>476</v>
      </c>
      <c r="N296" s="570">
        <v>1554</v>
      </c>
      <c r="O296" s="566"/>
      <c r="P296" s="566" t="s">
        <v>477</v>
      </c>
      <c r="Q296" s="568">
        <v>909678</v>
      </c>
      <c r="R296" s="568">
        <v>40</v>
      </c>
      <c r="S296" s="566" t="s">
        <v>1366</v>
      </c>
      <c r="T296" s="571" t="s">
        <v>467</v>
      </c>
      <c r="U296" s="571" t="s">
        <v>550</v>
      </c>
      <c r="V296" s="571" t="s">
        <v>528</v>
      </c>
      <c r="W296" s="572" t="s">
        <v>1274</v>
      </c>
      <c r="X296" s="571" t="s">
        <v>1337</v>
      </c>
      <c r="Y296" s="571" t="s">
        <v>1367</v>
      </c>
      <c r="Z296" s="566" t="s">
        <v>1580</v>
      </c>
      <c r="AA296" s="573">
        <v>1554</v>
      </c>
      <c r="AB296" s="571"/>
    </row>
    <row r="297" spans="1:28" hidden="1">
      <c r="A297" s="566" t="s">
        <v>1335</v>
      </c>
      <c r="B297" s="566" t="s">
        <v>466</v>
      </c>
      <c r="C297" s="566" t="s">
        <v>471</v>
      </c>
      <c r="D297" s="566" t="s">
        <v>472</v>
      </c>
      <c r="E297" s="566" t="s">
        <v>473</v>
      </c>
      <c r="F297" s="566" t="s">
        <v>474</v>
      </c>
      <c r="G297" s="567">
        <v>0</v>
      </c>
      <c r="H297" s="566" t="s">
        <v>564</v>
      </c>
      <c r="I297" s="568">
        <v>2</v>
      </c>
      <c r="J297" s="569">
        <v>81</v>
      </c>
      <c r="K297" s="569">
        <v>81</v>
      </c>
      <c r="L297" s="566"/>
      <c r="M297" s="566" t="s">
        <v>476</v>
      </c>
      <c r="N297" s="570">
        <v>1590</v>
      </c>
      <c r="O297" s="566"/>
      <c r="P297" s="566" t="s">
        <v>477</v>
      </c>
      <c r="Q297" s="568">
        <v>909678</v>
      </c>
      <c r="R297" s="568">
        <v>41</v>
      </c>
      <c r="S297" s="566" t="s">
        <v>1369</v>
      </c>
      <c r="T297" s="571" t="s">
        <v>467</v>
      </c>
      <c r="U297" s="571" t="s">
        <v>550</v>
      </c>
      <c r="V297" s="571" t="s">
        <v>528</v>
      </c>
      <c r="W297" s="572" t="s">
        <v>1275</v>
      </c>
      <c r="X297" s="571" t="s">
        <v>1337</v>
      </c>
      <c r="Y297" s="571" t="s">
        <v>1367</v>
      </c>
      <c r="Z297" s="566" t="s">
        <v>1581</v>
      </c>
      <c r="AA297" s="573">
        <v>1590</v>
      </c>
      <c r="AB297" s="571"/>
    </row>
    <row r="298" spans="1:28" hidden="1">
      <c r="A298" s="566" t="s">
        <v>1335</v>
      </c>
      <c r="B298" s="566" t="s">
        <v>466</v>
      </c>
      <c r="C298" s="566" t="s">
        <v>487</v>
      </c>
      <c r="D298" s="566" t="s">
        <v>472</v>
      </c>
      <c r="E298" s="566" t="s">
        <v>473</v>
      </c>
      <c r="F298" s="566" t="s">
        <v>489</v>
      </c>
      <c r="G298" s="567">
        <v>50</v>
      </c>
      <c r="H298" s="566" t="s">
        <v>573</v>
      </c>
      <c r="I298" s="568">
        <v>2</v>
      </c>
      <c r="J298" s="569">
        <v>81</v>
      </c>
      <c r="K298" s="569">
        <v>81</v>
      </c>
      <c r="L298" s="566"/>
      <c r="M298" s="566" t="s">
        <v>476</v>
      </c>
      <c r="N298" s="570">
        <v>1626</v>
      </c>
      <c r="O298" s="566"/>
      <c r="P298" s="566" t="s">
        <v>477</v>
      </c>
      <c r="Q298" s="568">
        <v>909678</v>
      </c>
      <c r="R298" s="568">
        <v>43</v>
      </c>
      <c r="S298" s="566" t="s">
        <v>1371</v>
      </c>
      <c r="T298" s="571" t="s">
        <v>467</v>
      </c>
      <c r="U298" s="571" t="s">
        <v>550</v>
      </c>
      <c r="V298" s="571" t="s">
        <v>528</v>
      </c>
      <c r="W298" s="572" t="s">
        <v>1276</v>
      </c>
      <c r="X298" s="571" t="s">
        <v>1337</v>
      </c>
      <c r="Y298" s="571" t="s">
        <v>1367</v>
      </c>
      <c r="Z298" s="566" t="s">
        <v>1582</v>
      </c>
      <c r="AA298" s="573">
        <v>1626</v>
      </c>
      <c r="AB298" s="571"/>
    </row>
    <row r="299" spans="1:28" hidden="1">
      <c r="A299" s="566" t="s">
        <v>1335</v>
      </c>
      <c r="B299" s="566" t="s">
        <v>466</v>
      </c>
      <c r="C299" s="566" t="s">
        <v>487</v>
      </c>
      <c r="D299" s="566" t="s">
        <v>472</v>
      </c>
      <c r="E299" s="566" t="s">
        <v>473</v>
      </c>
      <c r="F299" s="566" t="s">
        <v>489</v>
      </c>
      <c r="G299" s="567">
        <v>50</v>
      </c>
      <c r="H299" s="566" t="s">
        <v>576</v>
      </c>
      <c r="I299" s="568">
        <v>2</v>
      </c>
      <c r="J299" s="569">
        <v>81</v>
      </c>
      <c r="K299" s="569">
        <v>81</v>
      </c>
      <c r="L299" s="566"/>
      <c r="M299" s="566" t="s">
        <v>476</v>
      </c>
      <c r="N299" s="570">
        <v>1662</v>
      </c>
      <c r="O299" s="566"/>
      <c r="P299" s="566" t="s">
        <v>477</v>
      </c>
      <c r="Q299" s="568">
        <v>909678</v>
      </c>
      <c r="R299" s="568">
        <v>44</v>
      </c>
      <c r="S299" s="566" t="s">
        <v>1373</v>
      </c>
      <c r="T299" s="571" t="s">
        <v>467</v>
      </c>
      <c r="U299" s="571" t="s">
        <v>550</v>
      </c>
      <c r="V299" s="571" t="s">
        <v>528</v>
      </c>
      <c r="W299" s="572" t="s">
        <v>1277</v>
      </c>
      <c r="X299" s="571" t="s">
        <v>1337</v>
      </c>
      <c r="Y299" s="571" t="s">
        <v>1367</v>
      </c>
      <c r="Z299" s="566" t="s">
        <v>1583</v>
      </c>
      <c r="AA299" s="573">
        <v>1662</v>
      </c>
      <c r="AB299" s="571"/>
    </row>
    <row r="300" spans="1:28" hidden="1">
      <c r="A300" s="566" t="s">
        <v>1335</v>
      </c>
      <c r="B300" s="566" t="s">
        <v>466</v>
      </c>
      <c r="C300" s="566" t="s">
        <v>471</v>
      </c>
      <c r="D300" s="566" t="s">
        <v>472</v>
      </c>
      <c r="E300" s="566" t="s">
        <v>473</v>
      </c>
      <c r="F300" s="566" t="s">
        <v>474</v>
      </c>
      <c r="G300" s="567">
        <v>0</v>
      </c>
      <c r="H300" s="566" t="s">
        <v>1352</v>
      </c>
      <c r="I300" s="568">
        <v>2</v>
      </c>
      <c r="J300" s="569">
        <v>81</v>
      </c>
      <c r="K300" s="569">
        <v>81</v>
      </c>
      <c r="L300" s="566"/>
      <c r="M300" s="566" t="s">
        <v>476</v>
      </c>
      <c r="N300" s="570">
        <v>1698</v>
      </c>
      <c r="O300" s="566"/>
      <c r="P300" s="566" t="s">
        <v>477</v>
      </c>
      <c r="Q300" s="568">
        <v>909678</v>
      </c>
      <c r="R300" s="568">
        <v>42</v>
      </c>
      <c r="S300" s="566" t="s">
        <v>1375</v>
      </c>
      <c r="T300" s="571" t="s">
        <v>467</v>
      </c>
      <c r="U300" s="571" t="s">
        <v>550</v>
      </c>
      <c r="V300" s="571" t="s">
        <v>528</v>
      </c>
      <c r="W300" s="572" t="s">
        <v>1354</v>
      </c>
      <c r="X300" s="571" t="s">
        <v>1337</v>
      </c>
      <c r="Y300" s="571" t="s">
        <v>1367</v>
      </c>
      <c r="Z300" s="566" t="s">
        <v>1584</v>
      </c>
      <c r="AA300" s="573">
        <v>1698</v>
      </c>
      <c r="AB300" s="571"/>
    </row>
    <row r="301" spans="1:28" hidden="1">
      <c r="A301" s="566" t="s">
        <v>1335</v>
      </c>
      <c r="B301" s="566" t="s">
        <v>466</v>
      </c>
      <c r="C301" s="566" t="s">
        <v>487</v>
      </c>
      <c r="D301" s="566" t="s">
        <v>472</v>
      </c>
      <c r="E301" s="566" t="s">
        <v>473</v>
      </c>
      <c r="F301" s="566" t="s">
        <v>489</v>
      </c>
      <c r="G301" s="567">
        <v>50</v>
      </c>
      <c r="H301" s="566" t="s">
        <v>1356</v>
      </c>
      <c r="I301" s="568">
        <v>2</v>
      </c>
      <c r="J301" s="569">
        <v>81</v>
      </c>
      <c r="K301" s="569">
        <v>81</v>
      </c>
      <c r="L301" s="566"/>
      <c r="M301" s="566" t="s">
        <v>476</v>
      </c>
      <c r="N301" s="570">
        <v>1734</v>
      </c>
      <c r="O301" s="566"/>
      <c r="P301" s="566" t="s">
        <v>477</v>
      </c>
      <c r="Q301" s="568">
        <v>909678</v>
      </c>
      <c r="R301" s="568">
        <v>45</v>
      </c>
      <c r="S301" s="566" t="s">
        <v>1377</v>
      </c>
      <c r="T301" s="571" t="s">
        <v>467</v>
      </c>
      <c r="U301" s="571" t="s">
        <v>550</v>
      </c>
      <c r="V301" s="571" t="s">
        <v>528</v>
      </c>
      <c r="W301" s="572" t="s">
        <v>1358</v>
      </c>
      <c r="X301" s="571" t="s">
        <v>1337</v>
      </c>
      <c r="Y301" s="571" t="s">
        <v>1367</v>
      </c>
      <c r="Z301" s="566" t="s">
        <v>1585</v>
      </c>
      <c r="AA301" s="573">
        <v>1734</v>
      </c>
      <c r="AB301" s="571"/>
    </row>
    <row r="302" spans="1:28" hidden="1">
      <c r="A302" s="566" t="s">
        <v>1335</v>
      </c>
      <c r="B302" s="566" t="s">
        <v>466</v>
      </c>
      <c r="C302" s="566" t="s">
        <v>553</v>
      </c>
      <c r="D302" s="566" t="s">
        <v>472</v>
      </c>
      <c r="E302" s="566" t="s">
        <v>473</v>
      </c>
      <c r="F302" s="566" t="s">
        <v>554</v>
      </c>
      <c r="G302" s="567">
        <v>13</v>
      </c>
      <c r="H302" s="566" t="s">
        <v>623</v>
      </c>
      <c r="I302" s="568">
        <v>2</v>
      </c>
      <c r="J302" s="569">
        <v>22</v>
      </c>
      <c r="K302" s="569">
        <v>22</v>
      </c>
      <c r="L302" s="569">
        <v>17</v>
      </c>
      <c r="M302" s="566" t="s">
        <v>476</v>
      </c>
      <c r="N302" s="570">
        <v>159</v>
      </c>
      <c r="O302" s="566"/>
      <c r="P302" s="566" t="s">
        <v>477</v>
      </c>
      <c r="Q302" s="568">
        <v>909678</v>
      </c>
      <c r="R302" s="568">
        <v>9</v>
      </c>
      <c r="S302" s="566" t="s">
        <v>1379</v>
      </c>
      <c r="T302" s="571" t="s">
        <v>467</v>
      </c>
      <c r="U302" s="571" t="s">
        <v>550</v>
      </c>
      <c r="V302" s="571" t="s">
        <v>528</v>
      </c>
      <c r="W302" s="572" t="s">
        <v>551</v>
      </c>
      <c r="X302" s="571" t="s">
        <v>1380</v>
      </c>
      <c r="Y302" s="571" t="s">
        <v>1338</v>
      </c>
      <c r="Z302" s="566" t="s">
        <v>622</v>
      </c>
      <c r="AA302" s="573">
        <v>159</v>
      </c>
      <c r="AB302" s="571">
        <v>260058</v>
      </c>
    </row>
    <row r="303" spans="1:28" hidden="1">
      <c r="A303" s="566" t="s">
        <v>1335</v>
      </c>
      <c r="B303" s="566" t="s">
        <v>466</v>
      </c>
      <c r="C303" s="566" t="s">
        <v>553</v>
      </c>
      <c r="D303" s="566" t="s">
        <v>472</v>
      </c>
      <c r="E303" s="566" t="s">
        <v>473</v>
      </c>
      <c r="F303" s="566" t="s">
        <v>554</v>
      </c>
      <c r="G303" s="567">
        <v>16</v>
      </c>
      <c r="H303" s="566" t="s">
        <v>625</v>
      </c>
      <c r="I303" s="568">
        <v>2</v>
      </c>
      <c r="J303" s="569">
        <v>22</v>
      </c>
      <c r="K303" s="569">
        <v>22</v>
      </c>
      <c r="L303" s="569">
        <v>17</v>
      </c>
      <c r="M303" s="566" t="s">
        <v>476</v>
      </c>
      <c r="N303" s="570">
        <v>303</v>
      </c>
      <c r="O303" s="566"/>
      <c r="P303" s="566" t="s">
        <v>477</v>
      </c>
      <c r="Q303" s="568">
        <v>909678</v>
      </c>
      <c r="R303" s="568">
        <v>4</v>
      </c>
      <c r="S303" s="566" t="s">
        <v>1381</v>
      </c>
      <c r="T303" s="571" t="s">
        <v>467</v>
      </c>
      <c r="U303" s="571" t="s">
        <v>550</v>
      </c>
      <c r="V303" s="571" t="s">
        <v>528</v>
      </c>
      <c r="W303" s="572" t="s">
        <v>556</v>
      </c>
      <c r="X303" s="571" t="s">
        <v>1380</v>
      </c>
      <c r="Y303" s="571" t="s">
        <v>1338</v>
      </c>
      <c r="Z303" s="566" t="s">
        <v>624</v>
      </c>
      <c r="AA303" s="573">
        <v>303</v>
      </c>
      <c r="AB303" s="571">
        <v>260202</v>
      </c>
    </row>
    <row r="304" spans="1:28" hidden="1">
      <c r="A304" s="566" t="s">
        <v>1335</v>
      </c>
      <c r="B304" s="566" t="s">
        <v>466</v>
      </c>
      <c r="C304" s="566" t="s">
        <v>471</v>
      </c>
      <c r="D304" s="566" t="s">
        <v>472</v>
      </c>
      <c r="E304" s="566" t="s">
        <v>473</v>
      </c>
      <c r="F304" s="566" t="s">
        <v>474</v>
      </c>
      <c r="G304" s="567">
        <v>0</v>
      </c>
      <c r="H304" s="566" t="s">
        <v>561</v>
      </c>
      <c r="I304" s="568">
        <v>2</v>
      </c>
      <c r="J304" s="569">
        <v>9</v>
      </c>
      <c r="K304" s="569">
        <v>9</v>
      </c>
      <c r="L304" s="566"/>
      <c r="M304" s="566" t="s">
        <v>476</v>
      </c>
      <c r="N304" s="570">
        <v>474</v>
      </c>
      <c r="O304" s="566"/>
      <c r="P304" s="566" t="s">
        <v>477</v>
      </c>
      <c r="Q304" s="568">
        <v>909678</v>
      </c>
      <c r="R304" s="568">
        <v>10</v>
      </c>
      <c r="S304" s="566" t="s">
        <v>1382</v>
      </c>
      <c r="T304" s="571" t="s">
        <v>467</v>
      </c>
      <c r="U304" s="571" t="s">
        <v>550</v>
      </c>
      <c r="V304" s="571" t="s">
        <v>528</v>
      </c>
      <c r="W304" s="572" t="s">
        <v>1274</v>
      </c>
      <c r="X304" s="571" t="s">
        <v>1380</v>
      </c>
      <c r="Y304" s="571" t="s">
        <v>1338</v>
      </c>
      <c r="Z304" s="566" t="s">
        <v>626</v>
      </c>
      <c r="AA304" s="573">
        <v>474</v>
      </c>
      <c r="AB304" s="571"/>
    </row>
    <row r="305" spans="1:28" hidden="1">
      <c r="A305" s="566" t="s">
        <v>1335</v>
      </c>
      <c r="B305" s="566" t="s">
        <v>466</v>
      </c>
      <c r="C305" s="566" t="s">
        <v>471</v>
      </c>
      <c r="D305" s="566" t="s">
        <v>472</v>
      </c>
      <c r="E305" s="566" t="s">
        <v>473</v>
      </c>
      <c r="F305" s="566" t="s">
        <v>474</v>
      </c>
      <c r="G305" s="567">
        <v>0</v>
      </c>
      <c r="H305" s="566" t="s">
        <v>564</v>
      </c>
      <c r="I305" s="568">
        <v>2</v>
      </c>
      <c r="J305" s="569">
        <v>9</v>
      </c>
      <c r="K305" s="569">
        <v>9</v>
      </c>
      <c r="L305" s="566"/>
      <c r="M305" s="566" t="s">
        <v>476</v>
      </c>
      <c r="N305" s="570">
        <v>546</v>
      </c>
      <c r="O305" s="566"/>
      <c r="P305" s="566" t="s">
        <v>477</v>
      </c>
      <c r="Q305" s="568">
        <v>909678</v>
      </c>
      <c r="R305" s="568">
        <v>15</v>
      </c>
      <c r="S305" s="566" t="s">
        <v>483</v>
      </c>
      <c r="T305" s="571" t="s">
        <v>467</v>
      </c>
      <c r="U305" s="571" t="s">
        <v>550</v>
      </c>
      <c r="V305" s="571" t="s">
        <v>528</v>
      </c>
      <c r="W305" s="572" t="s">
        <v>1275</v>
      </c>
      <c r="X305" s="571" t="s">
        <v>1380</v>
      </c>
      <c r="Y305" s="571" t="s">
        <v>1338</v>
      </c>
      <c r="Z305" s="566" t="s">
        <v>627</v>
      </c>
      <c r="AA305" s="573">
        <v>546</v>
      </c>
      <c r="AB305" s="571"/>
    </row>
    <row r="306" spans="1:28" hidden="1">
      <c r="A306" s="566" t="s">
        <v>1335</v>
      </c>
      <c r="B306" s="566" t="s">
        <v>466</v>
      </c>
      <c r="C306" s="566" t="s">
        <v>487</v>
      </c>
      <c r="D306" s="566" t="s">
        <v>472</v>
      </c>
      <c r="E306" s="566" t="s">
        <v>473</v>
      </c>
      <c r="F306" s="566" t="s">
        <v>489</v>
      </c>
      <c r="G306" s="567">
        <v>50</v>
      </c>
      <c r="H306" s="566" t="s">
        <v>566</v>
      </c>
      <c r="I306" s="568">
        <v>2</v>
      </c>
      <c r="J306" s="569">
        <v>9</v>
      </c>
      <c r="K306" s="569">
        <v>9</v>
      </c>
      <c r="L306" s="566"/>
      <c r="M306" s="566" t="s">
        <v>476</v>
      </c>
      <c r="N306" s="570">
        <v>582</v>
      </c>
      <c r="O306" s="566"/>
      <c r="P306" s="566" t="s">
        <v>477</v>
      </c>
      <c r="Q306" s="568">
        <v>909678</v>
      </c>
      <c r="R306" s="568">
        <v>16</v>
      </c>
      <c r="S306" s="566" t="s">
        <v>488</v>
      </c>
      <c r="T306" s="571" t="s">
        <v>467</v>
      </c>
      <c r="U306" s="571" t="s">
        <v>550</v>
      </c>
      <c r="V306" s="571" t="s">
        <v>528</v>
      </c>
      <c r="W306" s="572" t="s">
        <v>485</v>
      </c>
      <c r="X306" s="571" t="s">
        <v>1380</v>
      </c>
      <c r="Y306" s="571" t="s">
        <v>1338</v>
      </c>
      <c r="Z306" s="566" t="s">
        <v>628</v>
      </c>
      <c r="AA306" s="573">
        <v>582</v>
      </c>
      <c r="AB306" s="571"/>
    </row>
    <row r="307" spans="1:28" hidden="1">
      <c r="A307" s="566" t="s">
        <v>1335</v>
      </c>
      <c r="B307" s="566" t="s">
        <v>466</v>
      </c>
      <c r="C307" s="566" t="s">
        <v>487</v>
      </c>
      <c r="D307" s="566" t="s">
        <v>472</v>
      </c>
      <c r="E307" s="566" t="s">
        <v>473</v>
      </c>
      <c r="F307" s="566" t="s">
        <v>489</v>
      </c>
      <c r="G307" s="567">
        <v>50</v>
      </c>
      <c r="H307" s="566" t="s">
        <v>568</v>
      </c>
      <c r="I307" s="568">
        <v>2</v>
      </c>
      <c r="J307" s="569">
        <v>9</v>
      </c>
      <c r="K307" s="569">
        <v>9</v>
      </c>
      <c r="L307" s="566"/>
      <c r="M307" s="566" t="s">
        <v>476</v>
      </c>
      <c r="N307" s="570">
        <v>618</v>
      </c>
      <c r="O307" s="566"/>
      <c r="P307" s="566" t="s">
        <v>477</v>
      </c>
      <c r="Q307" s="568">
        <v>909678</v>
      </c>
      <c r="R307" s="568">
        <v>17</v>
      </c>
      <c r="S307" s="566" t="s">
        <v>493</v>
      </c>
      <c r="T307" s="571" t="s">
        <v>467</v>
      </c>
      <c r="U307" s="571" t="s">
        <v>550</v>
      </c>
      <c r="V307" s="571" t="s">
        <v>528</v>
      </c>
      <c r="W307" s="572" t="s">
        <v>491</v>
      </c>
      <c r="X307" s="571" t="s">
        <v>1380</v>
      </c>
      <c r="Y307" s="571" t="s">
        <v>1338</v>
      </c>
      <c r="Z307" s="566" t="s">
        <v>629</v>
      </c>
      <c r="AA307" s="573">
        <v>618</v>
      </c>
      <c r="AB307" s="571"/>
    </row>
    <row r="308" spans="1:28" hidden="1">
      <c r="A308" s="566" t="s">
        <v>1335</v>
      </c>
      <c r="B308" s="566" t="s">
        <v>466</v>
      </c>
      <c r="C308" s="566" t="s">
        <v>487</v>
      </c>
      <c r="D308" s="566" t="s">
        <v>472</v>
      </c>
      <c r="E308" s="566" t="s">
        <v>473</v>
      </c>
      <c r="F308" s="566" t="s">
        <v>489</v>
      </c>
      <c r="G308" s="567">
        <v>50</v>
      </c>
      <c r="H308" s="566" t="s">
        <v>570</v>
      </c>
      <c r="I308" s="568">
        <v>2</v>
      </c>
      <c r="J308" s="569">
        <v>9</v>
      </c>
      <c r="K308" s="569">
        <v>9</v>
      </c>
      <c r="L308" s="566"/>
      <c r="M308" s="566" t="s">
        <v>476</v>
      </c>
      <c r="N308" s="570">
        <v>654</v>
      </c>
      <c r="O308" s="566"/>
      <c r="P308" s="566" t="s">
        <v>477</v>
      </c>
      <c r="Q308" s="568">
        <v>909678</v>
      </c>
      <c r="R308" s="568">
        <v>18</v>
      </c>
      <c r="S308" s="566" t="s">
        <v>497</v>
      </c>
      <c r="T308" s="571" t="s">
        <v>467</v>
      </c>
      <c r="U308" s="571" t="s">
        <v>550</v>
      </c>
      <c r="V308" s="571" t="s">
        <v>528</v>
      </c>
      <c r="W308" s="572" t="s">
        <v>495</v>
      </c>
      <c r="X308" s="571" t="s">
        <v>1380</v>
      </c>
      <c r="Y308" s="571" t="s">
        <v>1338</v>
      </c>
      <c r="Z308" s="566" t="s">
        <v>630</v>
      </c>
      <c r="AA308" s="573">
        <v>654</v>
      </c>
      <c r="AB308" s="571"/>
    </row>
    <row r="309" spans="1:28" hidden="1">
      <c r="A309" s="566" t="s">
        <v>1335</v>
      </c>
      <c r="B309" s="566" t="s">
        <v>466</v>
      </c>
      <c r="C309" s="566" t="s">
        <v>487</v>
      </c>
      <c r="D309" s="566" t="s">
        <v>472</v>
      </c>
      <c r="E309" s="566" t="s">
        <v>473</v>
      </c>
      <c r="F309" s="566" t="s">
        <v>489</v>
      </c>
      <c r="G309" s="567">
        <v>50</v>
      </c>
      <c r="H309" s="566" t="s">
        <v>573</v>
      </c>
      <c r="I309" s="568">
        <v>2</v>
      </c>
      <c r="J309" s="569">
        <v>9</v>
      </c>
      <c r="K309" s="569">
        <v>9</v>
      </c>
      <c r="L309" s="566"/>
      <c r="M309" s="566" t="s">
        <v>476</v>
      </c>
      <c r="N309" s="570">
        <v>726</v>
      </c>
      <c r="O309" s="566"/>
      <c r="P309" s="566" t="s">
        <v>477</v>
      </c>
      <c r="Q309" s="568">
        <v>909678</v>
      </c>
      <c r="R309" s="568">
        <v>19</v>
      </c>
      <c r="S309" s="566" t="s">
        <v>502</v>
      </c>
      <c r="T309" s="571" t="s">
        <v>467</v>
      </c>
      <c r="U309" s="571" t="s">
        <v>550</v>
      </c>
      <c r="V309" s="571" t="s">
        <v>528</v>
      </c>
      <c r="W309" s="572" t="s">
        <v>1276</v>
      </c>
      <c r="X309" s="571" t="s">
        <v>1380</v>
      </c>
      <c r="Y309" s="571" t="s">
        <v>1338</v>
      </c>
      <c r="Z309" s="566" t="s">
        <v>631</v>
      </c>
      <c r="AA309" s="573">
        <v>726</v>
      </c>
      <c r="AB309" s="571"/>
    </row>
    <row r="310" spans="1:28" hidden="1">
      <c r="A310" s="566" t="s">
        <v>1335</v>
      </c>
      <c r="B310" s="566" t="s">
        <v>466</v>
      </c>
      <c r="C310" s="566" t="s">
        <v>487</v>
      </c>
      <c r="D310" s="566" t="s">
        <v>472</v>
      </c>
      <c r="E310" s="566" t="s">
        <v>473</v>
      </c>
      <c r="F310" s="566" t="s">
        <v>489</v>
      </c>
      <c r="G310" s="567">
        <v>50</v>
      </c>
      <c r="H310" s="566" t="s">
        <v>576</v>
      </c>
      <c r="I310" s="568">
        <v>2</v>
      </c>
      <c r="J310" s="569">
        <v>9</v>
      </c>
      <c r="K310" s="569">
        <v>9</v>
      </c>
      <c r="L310" s="566"/>
      <c r="M310" s="566" t="s">
        <v>476</v>
      </c>
      <c r="N310" s="570">
        <v>798</v>
      </c>
      <c r="O310" s="566"/>
      <c r="P310" s="566" t="s">
        <v>477</v>
      </c>
      <c r="Q310" s="568">
        <v>909678</v>
      </c>
      <c r="R310" s="568">
        <v>21</v>
      </c>
      <c r="S310" s="566" t="s">
        <v>507</v>
      </c>
      <c r="T310" s="571" t="s">
        <v>467</v>
      </c>
      <c r="U310" s="571" t="s">
        <v>550</v>
      </c>
      <c r="V310" s="571" t="s">
        <v>528</v>
      </c>
      <c r="W310" s="572" t="s">
        <v>1277</v>
      </c>
      <c r="X310" s="571" t="s">
        <v>1380</v>
      </c>
      <c r="Y310" s="571" t="s">
        <v>1338</v>
      </c>
      <c r="Z310" s="566" t="s">
        <v>632</v>
      </c>
      <c r="AA310" s="573">
        <v>798</v>
      </c>
      <c r="AB310" s="571"/>
    </row>
    <row r="311" spans="1:28" hidden="1">
      <c r="A311" s="566" t="s">
        <v>1335</v>
      </c>
      <c r="B311" s="566" t="s">
        <v>466</v>
      </c>
      <c r="C311" s="566" t="s">
        <v>471</v>
      </c>
      <c r="D311" s="566" t="s">
        <v>472</v>
      </c>
      <c r="E311" s="566" t="s">
        <v>473</v>
      </c>
      <c r="F311" s="566" t="s">
        <v>474</v>
      </c>
      <c r="G311" s="567">
        <v>0</v>
      </c>
      <c r="H311" s="566" t="s">
        <v>1352</v>
      </c>
      <c r="I311" s="568">
        <v>2</v>
      </c>
      <c r="J311" s="569">
        <v>9</v>
      </c>
      <c r="K311" s="569">
        <v>9</v>
      </c>
      <c r="L311" s="566"/>
      <c r="M311" s="566" t="s">
        <v>476</v>
      </c>
      <c r="N311" s="570">
        <v>834</v>
      </c>
      <c r="O311" s="566"/>
      <c r="P311" s="566" t="s">
        <v>477</v>
      </c>
      <c r="Q311" s="568">
        <v>909678</v>
      </c>
      <c r="R311" s="568">
        <v>46</v>
      </c>
      <c r="S311" s="566" t="s">
        <v>1383</v>
      </c>
      <c r="T311" s="571" t="s">
        <v>467</v>
      </c>
      <c r="U311" s="571" t="s">
        <v>550</v>
      </c>
      <c r="V311" s="571" t="s">
        <v>528</v>
      </c>
      <c r="W311" s="572" t="s">
        <v>1354</v>
      </c>
      <c r="X311" s="571" t="s">
        <v>1380</v>
      </c>
      <c r="Y311" s="571" t="s">
        <v>1338</v>
      </c>
      <c r="Z311" s="566" t="s">
        <v>1586</v>
      </c>
      <c r="AA311" s="573">
        <v>834</v>
      </c>
      <c r="AB311" s="571"/>
    </row>
    <row r="312" spans="1:28" hidden="1">
      <c r="A312" s="566" t="s">
        <v>1335</v>
      </c>
      <c r="B312" s="566" t="s">
        <v>466</v>
      </c>
      <c r="C312" s="566" t="s">
        <v>487</v>
      </c>
      <c r="D312" s="566" t="s">
        <v>472</v>
      </c>
      <c r="E312" s="566" t="s">
        <v>473</v>
      </c>
      <c r="F312" s="566" t="s">
        <v>489</v>
      </c>
      <c r="G312" s="567">
        <v>50</v>
      </c>
      <c r="H312" s="566" t="s">
        <v>1356</v>
      </c>
      <c r="I312" s="568">
        <v>2</v>
      </c>
      <c r="J312" s="569">
        <v>9</v>
      </c>
      <c r="K312" s="569">
        <v>9</v>
      </c>
      <c r="L312" s="566"/>
      <c r="M312" s="566" t="s">
        <v>476</v>
      </c>
      <c r="N312" s="570">
        <v>870</v>
      </c>
      <c r="O312" s="566"/>
      <c r="P312" s="566" t="s">
        <v>477</v>
      </c>
      <c r="Q312" s="568">
        <v>909678</v>
      </c>
      <c r="R312" s="568">
        <v>47</v>
      </c>
      <c r="S312" s="566" t="s">
        <v>1385</v>
      </c>
      <c r="T312" s="571" t="s">
        <v>467</v>
      </c>
      <c r="U312" s="571" t="s">
        <v>550</v>
      </c>
      <c r="V312" s="571" t="s">
        <v>528</v>
      </c>
      <c r="W312" s="572" t="s">
        <v>1358</v>
      </c>
      <c r="X312" s="571" t="s">
        <v>1380</v>
      </c>
      <c r="Y312" s="571" t="s">
        <v>1338</v>
      </c>
      <c r="Z312" s="566" t="s">
        <v>1587</v>
      </c>
      <c r="AA312" s="573">
        <v>870</v>
      </c>
      <c r="AB312" s="571"/>
    </row>
    <row r="313" spans="1:28" hidden="1">
      <c r="A313" s="566" t="s">
        <v>1335</v>
      </c>
      <c r="B313" s="566" t="s">
        <v>466</v>
      </c>
      <c r="C313" s="566" t="s">
        <v>553</v>
      </c>
      <c r="D313" s="566" t="s">
        <v>472</v>
      </c>
      <c r="E313" s="566" t="s">
        <v>473</v>
      </c>
      <c r="F313" s="566" t="s">
        <v>554</v>
      </c>
      <c r="G313" s="567">
        <v>13</v>
      </c>
      <c r="H313" s="566" t="s">
        <v>634</v>
      </c>
      <c r="I313" s="568">
        <v>2</v>
      </c>
      <c r="J313" s="569">
        <v>22</v>
      </c>
      <c r="K313" s="569">
        <v>22</v>
      </c>
      <c r="L313" s="569">
        <v>17</v>
      </c>
      <c r="M313" s="566" t="s">
        <v>476</v>
      </c>
      <c r="N313" s="570">
        <v>183</v>
      </c>
      <c r="O313" s="566"/>
      <c r="P313" s="566" t="s">
        <v>477</v>
      </c>
      <c r="Q313" s="568">
        <v>909678</v>
      </c>
      <c r="R313" s="568">
        <v>1</v>
      </c>
      <c r="S313" s="566" t="s">
        <v>1387</v>
      </c>
      <c r="T313" s="571" t="s">
        <v>467</v>
      </c>
      <c r="U313" s="571" t="s">
        <v>550</v>
      </c>
      <c r="V313" s="571" t="s">
        <v>528</v>
      </c>
      <c r="W313" s="572" t="s">
        <v>577</v>
      </c>
      <c r="X313" s="571" t="s">
        <v>1380</v>
      </c>
      <c r="Y313" s="571" t="s">
        <v>1338</v>
      </c>
      <c r="Z313" s="566" t="s">
        <v>633</v>
      </c>
      <c r="AA313" s="573">
        <v>183</v>
      </c>
      <c r="AB313" s="571">
        <v>260082</v>
      </c>
    </row>
    <row r="314" spans="1:28" hidden="1">
      <c r="A314" s="566" t="s">
        <v>1335</v>
      </c>
      <c r="B314" s="566" t="s">
        <v>466</v>
      </c>
      <c r="C314" s="566" t="s">
        <v>553</v>
      </c>
      <c r="D314" s="566" t="s">
        <v>472</v>
      </c>
      <c r="E314" s="566" t="s">
        <v>473</v>
      </c>
      <c r="F314" s="566" t="s">
        <v>554</v>
      </c>
      <c r="G314" s="567">
        <v>13</v>
      </c>
      <c r="H314" s="566" t="s">
        <v>636</v>
      </c>
      <c r="I314" s="568">
        <v>2</v>
      </c>
      <c r="J314" s="569">
        <v>22</v>
      </c>
      <c r="K314" s="569">
        <v>22</v>
      </c>
      <c r="L314" s="569">
        <v>17</v>
      </c>
      <c r="M314" s="566" t="s">
        <v>476</v>
      </c>
      <c r="N314" s="570">
        <v>207</v>
      </c>
      <c r="O314" s="566"/>
      <c r="P314" s="566" t="s">
        <v>477</v>
      </c>
      <c r="Q314" s="568">
        <v>909678</v>
      </c>
      <c r="R314" s="568">
        <v>2</v>
      </c>
      <c r="S314" s="566" t="s">
        <v>1388</v>
      </c>
      <c r="T314" s="571" t="s">
        <v>467</v>
      </c>
      <c r="U314" s="571" t="s">
        <v>550</v>
      </c>
      <c r="V314" s="571" t="s">
        <v>528</v>
      </c>
      <c r="W314" s="572" t="s">
        <v>580</v>
      </c>
      <c r="X314" s="571" t="s">
        <v>1380</v>
      </c>
      <c r="Y314" s="571" t="s">
        <v>1338</v>
      </c>
      <c r="Z314" s="566" t="s">
        <v>635</v>
      </c>
      <c r="AA314" s="573">
        <v>207</v>
      </c>
      <c r="AB314" s="571">
        <v>260106</v>
      </c>
    </row>
    <row r="315" spans="1:28" hidden="1">
      <c r="A315" s="566" t="s">
        <v>1335</v>
      </c>
      <c r="B315" s="566" t="s">
        <v>466</v>
      </c>
      <c r="C315" s="566" t="s">
        <v>553</v>
      </c>
      <c r="D315" s="566" t="s">
        <v>472</v>
      </c>
      <c r="E315" s="566" t="s">
        <v>473</v>
      </c>
      <c r="F315" s="566" t="s">
        <v>554</v>
      </c>
      <c r="G315" s="567">
        <v>16</v>
      </c>
      <c r="H315" s="566" t="s">
        <v>638</v>
      </c>
      <c r="I315" s="568">
        <v>2</v>
      </c>
      <c r="J315" s="569">
        <v>22</v>
      </c>
      <c r="K315" s="569">
        <v>22</v>
      </c>
      <c r="L315" s="569">
        <v>17</v>
      </c>
      <c r="M315" s="566" t="s">
        <v>476</v>
      </c>
      <c r="N315" s="570">
        <v>231</v>
      </c>
      <c r="O315" s="566"/>
      <c r="P315" s="566" t="s">
        <v>477</v>
      </c>
      <c r="Q315" s="568">
        <v>909678</v>
      </c>
      <c r="R315" s="568">
        <v>12</v>
      </c>
      <c r="S315" s="566" t="s">
        <v>1389</v>
      </c>
      <c r="T315" s="571" t="s">
        <v>467</v>
      </c>
      <c r="U315" s="571" t="s">
        <v>550</v>
      </c>
      <c r="V315" s="571" t="s">
        <v>528</v>
      </c>
      <c r="W315" s="572" t="s">
        <v>583</v>
      </c>
      <c r="X315" s="571" t="s">
        <v>1380</v>
      </c>
      <c r="Y315" s="571" t="s">
        <v>1338</v>
      </c>
      <c r="Z315" s="566" t="s">
        <v>637</v>
      </c>
      <c r="AA315" s="573">
        <v>231</v>
      </c>
      <c r="AB315" s="571">
        <v>260130</v>
      </c>
    </row>
    <row r="316" spans="1:28" hidden="1">
      <c r="A316" s="566" t="s">
        <v>1335</v>
      </c>
      <c r="B316" s="566" t="s">
        <v>466</v>
      </c>
      <c r="C316" s="566" t="s">
        <v>553</v>
      </c>
      <c r="D316" s="566" t="s">
        <v>472</v>
      </c>
      <c r="E316" s="566" t="s">
        <v>473</v>
      </c>
      <c r="F316" s="566" t="s">
        <v>554</v>
      </c>
      <c r="G316" s="567">
        <v>16</v>
      </c>
      <c r="H316" s="566" t="s">
        <v>640</v>
      </c>
      <c r="I316" s="568">
        <v>2</v>
      </c>
      <c r="J316" s="569">
        <v>22</v>
      </c>
      <c r="K316" s="569">
        <v>22</v>
      </c>
      <c r="L316" s="569">
        <v>17</v>
      </c>
      <c r="M316" s="566" t="s">
        <v>476</v>
      </c>
      <c r="N316" s="570">
        <v>255</v>
      </c>
      <c r="O316" s="566"/>
      <c r="P316" s="566" t="s">
        <v>477</v>
      </c>
      <c r="Q316" s="568">
        <v>909678</v>
      </c>
      <c r="R316" s="568">
        <v>3</v>
      </c>
      <c r="S316" s="566" t="s">
        <v>1390</v>
      </c>
      <c r="T316" s="571" t="s">
        <v>467</v>
      </c>
      <c r="U316" s="571" t="s">
        <v>550</v>
      </c>
      <c r="V316" s="571" t="s">
        <v>528</v>
      </c>
      <c r="W316" s="572" t="s">
        <v>586</v>
      </c>
      <c r="X316" s="571" t="s">
        <v>1380</v>
      </c>
      <c r="Y316" s="571" t="s">
        <v>1338</v>
      </c>
      <c r="Z316" s="566" t="s">
        <v>639</v>
      </c>
      <c r="AA316" s="573">
        <v>255</v>
      </c>
      <c r="AB316" s="571">
        <v>260154</v>
      </c>
    </row>
    <row r="317" spans="1:28" hidden="1">
      <c r="A317" s="566" t="s">
        <v>1335</v>
      </c>
      <c r="B317" s="566" t="s">
        <v>466</v>
      </c>
      <c r="C317" s="566" t="s">
        <v>553</v>
      </c>
      <c r="D317" s="566" t="s">
        <v>472</v>
      </c>
      <c r="E317" s="566" t="s">
        <v>473</v>
      </c>
      <c r="F317" s="566" t="s">
        <v>554</v>
      </c>
      <c r="G317" s="567">
        <v>16</v>
      </c>
      <c r="H317" s="566" t="s">
        <v>642</v>
      </c>
      <c r="I317" s="568">
        <v>2</v>
      </c>
      <c r="J317" s="569">
        <v>22</v>
      </c>
      <c r="K317" s="569">
        <v>22</v>
      </c>
      <c r="L317" s="569">
        <v>17</v>
      </c>
      <c r="M317" s="566" t="s">
        <v>476</v>
      </c>
      <c r="N317" s="570">
        <v>279</v>
      </c>
      <c r="O317" s="566"/>
      <c r="P317" s="566" t="s">
        <v>477</v>
      </c>
      <c r="Q317" s="568">
        <v>909678</v>
      </c>
      <c r="R317" s="568">
        <v>13</v>
      </c>
      <c r="S317" s="566" t="s">
        <v>1391</v>
      </c>
      <c r="T317" s="571" t="s">
        <v>467</v>
      </c>
      <c r="U317" s="571" t="s">
        <v>550</v>
      </c>
      <c r="V317" s="571" t="s">
        <v>528</v>
      </c>
      <c r="W317" s="572" t="s">
        <v>589</v>
      </c>
      <c r="X317" s="571" t="s">
        <v>1380</v>
      </c>
      <c r="Y317" s="571" t="s">
        <v>1338</v>
      </c>
      <c r="Z317" s="566" t="s">
        <v>641</v>
      </c>
      <c r="AA317" s="573">
        <v>279</v>
      </c>
      <c r="AB317" s="571">
        <v>260178</v>
      </c>
    </row>
    <row r="318" spans="1:28" hidden="1">
      <c r="A318" s="566" t="s">
        <v>1335</v>
      </c>
      <c r="B318" s="566" t="s">
        <v>466</v>
      </c>
      <c r="C318" s="566" t="s">
        <v>471</v>
      </c>
      <c r="D318" s="566" t="s">
        <v>472</v>
      </c>
      <c r="E318" s="566" t="s">
        <v>473</v>
      </c>
      <c r="F318" s="566" t="s">
        <v>474</v>
      </c>
      <c r="G318" s="567">
        <v>0</v>
      </c>
      <c r="H318" s="566" t="s">
        <v>593</v>
      </c>
      <c r="I318" s="568">
        <v>1</v>
      </c>
      <c r="J318" s="569">
        <v>9</v>
      </c>
      <c r="K318" s="569">
        <v>9</v>
      </c>
      <c r="L318" s="566"/>
      <c r="M318" s="566" t="s">
        <v>476</v>
      </c>
      <c r="N318" s="570">
        <v>330</v>
      </c>
      <c r="O318" s="566"/>
      <c r="P318" s="566" t="s">
        <v>477</v>
      </c>
      <c r="Q318" s="568">
        <v>909678</v>
      </c>
      <c r="R318" s="568">
        <v>5</v>
      </c>
      <c r="S318" s="566" t="s">
        <v>1392</v>
      </c>
      <c r="T318" s="571" t="s">
        <v>467</v>
      </c>
      <c r="U318" s="571" t="s">
        <v>550</v>
      </c>
      <c r="V318" s="571" t="s">
        <v>528</v>
      </c>
      <c r="W318" s="572" t="s">
        <v>509</v>
      </c>
      <c r="X318" s="571" t="s">
        <v>1380</v>
      </c>
      <c r="Y318" s="571" t="s">
        <v>1338</v>
      </c>
      <c r="Z318" s="566" t="s">
        <v>643</v>
      </c>
      <c r="AA318" s="573">
        <v>330</v>
      </c>
      <c r="AB318" s="571"/>
    </row>
    <row r="319" spans="1:28" hidden="1">
      <c r="A319" s="566" t="s">
        <v>1335</v>
      </c>
      <c r="B319" s="566" t="s">
        <v>466</v>
      </c>
      <c r="C319" s="566" t="s">
        <v>471</v>
      </c>
      <c r="D319" s="566" t="s">
        <v>472</v>
      </c>
      <c r="E319" s="566" t="s">
        <v>473</v>
      </c>
      <c r="F319" s="566" t="s">
        <v>474</v>
      </c>
      <c r="G319" s="567">
        <v>0</v>
      </c>
      <c r="H319" s="566" t="s">
        <v>595</v>
      </c>
      <c r="I319" s="568">
        <v>2</v>
      </c>
      <c r="J319" s="569">
        <v>9</v>
      </c>
      <c r="K319" s="569">
        <v>9</v>
      </c>
      <c r="L319" s="566"/>
      <c r="M319" s="566" t="s">
        <v>476</v>
      </c>
      <c r="N319" s="570">
        <v>366</v>
      </c>
      <c r="O319" s="566"/>
      <c r="P319" s="566" t="s">
        <v>477</v>
      </c>
      <c r="Q319" s="568">
        <v>909678</v>
      </c>
      <c r="R319" s="568">
        <v>6</v>
      </c>
      <c r="S319" s="566" t="s">
        <v>1393</v>
      </c>
      <c r="T319" s="571" t="s">
        <v>467</v>
      </c>
      <c r="U319" s="571" t="s">
        <v>550</v>
      </c>
      <c r="V319" s="571" t="s">
        <v>528</v>
      </c>
      <c r="W319" s="572" t="s">
        <v>512</v>
      </c>
      <c r="X319" s="571" t="s">
        <v>1380</v>
      </c>
      <c r="Y319" s="571" t="s">
        <v>1338</v>
      </c>
      <c r="Z319" s="566" t="s">
        <v>644</v>
      </c>
      <c r="AA319" s="573">
        <v>366</v>
      </c>
      <c r="AB319" s="571"/>
    </row>
    <row r="320" spans="1:28" hidden="1">
      <c r="A320" s="566" t="s">
        <v>1335</v>
      </c>
      <c r="B320" s="566" t="s">
        <v>466</v>
      </c>
      <c r="C320" s="566" t="s">
        <v>471</v>
      </c>
      <c r="D320" s="566" t="s">
        <v>472</v>
      </c>
      <c r="E320" s="566" t="s">
        <v>473</v>
      </c>
      <c r="F320" s="566" t="s">
        <v>474</v>
      </c>
      <c r="G320" s="567">
        <v>0</v>
      </c>
      <c r="H320" s="566" t="s">
        <v>597</v>
      </c>
      <c r="I320" s="568">
        <v>2</v>
      </c>
      <c r="J320" s="569">
        <v>9</v>
      </c>
      <c r="K320" s="569">
        <v>9</v>
      </c>
      <c r="L320" s="566"/>
      <c r="M320" s="566" t="s">
        <v>476</v>
      </c>
      <c r="N320" s="570">
        <v>402</v>
      </c>
      <c r="O320" s="566"/>
      <c r="P320" s="566" t="s">
        <v>477</v>
      </c>
      <c r="Q320" s="568">
        <v>909678</v>
      </c>
      <c r="R320" s="568">
        <v>14</v>
      </c>
      <c r="S320" s="566" t="s">
        <v>1394</v>
      </c>
      <c r="T320" s="571" t="s">
        <v>467</v>
      </c>
      <c r="U320" s="571" t="s">
        <v>550</v>
      </c>
      <c r="V320" s="571" t="s">
        <v>528</v>
      </c>
      <c r="W320" s="572" t="s">
        <v>514</v>
      </c>
      <c r="X320" s="571" t="s">
        <v>1380</v>
      </c>
      <c r="Y320" s="571" t="s">
        <v>1338</v>
      </c>
      <c r="Z320" s="566" t="s">
        <v>645</v>
      </c>
      <c r="AA320" s="573">
        <v>402</v>
      </c>
      <c r="AB320" s="571"/>
    </row>
    <row r="321" spans="1:28" hidden="1">
      <c r="A321" s="566" t="s">
        <v>1335</v>
      </c>
      <c r="B321" s="566" t="s">
        <v>466</v>
      </c>
      <c r="C321" s="566" t="s">
        <v>471</v>
      </c>
      <c r="D321" s="566" t="s">
        <v>472</v>
      </c>
      <c r="E321" s="566" t="s">
        <v>473</v>
      </c>
      <c r="F321" s="566" t="s">
        <v>474</v>
      </c>
      <c r="G321" s="567">
        <v>0</v>
      </c>
      <c r="H321" s="566" t="s">
        <v>561</v>
      </c>
      <c r="I321" s="568">
        <v>2</v>
      </c>
      <c r="J321" s="569">
        <v>33</v>
      </c>
      <c r="K321" s="569">
        <v>33</v>
      </c>
      <c r="L321" s="566"/>
      <c r="M321" s="566" t="s">
        <v>476</v>
      </c>
      <c r="N321" s="570">
        <v>1338</v>
      </c>
      <c r="O321" s="566"/>
      <c r="P321" s="566" t="s">
        <v>477</v>
      </c>
      <c r="Q321" s="568">
        <v>909678</v>
      </c>
      <c r="R321" s="568">
        <v>34</v>
      </c>
      <c r="S321" s="566" t="s">
        <v>1395</v>
      </c>
      <c r="T321" s="571" t="s">
        <v>467</v>
      </c>
      <c r="U321" s="571" t="s">
        <v>550</v>
      </c>
      <c r="V321" s="571" t="s">
        <v>528</v>
      </c>
      <c r="W321" s="572" t="s">
        <v>1274</v>
      </c>
      <c r="X321" s="571" t="s">
        <v>1380</v>
      </c>
      <c r="Y321" s="571" t="s">
        <v>1367</v>
      </c>
      <c r="Z321" s="566" t="s">
        <v>1588</v>
      </c>
      <c r="AA321" s="573">
        <v>1338</v>
      </c>
      <c r="AB321" s="571"/>
    </row>
    <row r="322" spans="1:28" hidden="1">
      <c r="A322" s="566" t="s">
        <v>1335</v>
      </c>
      <c r="B322" s="566" t="s">
        <v>466</v>
      </c>
      <c r="C322" s="566" t="s">
        <v>471</v>
      </c>
      <c r="D322" s="566" t="s">
        <v>472</v>
      </c>
      <c r="E322" s="566" t="s">
        <v>473</v>
      </c>
      <c r="F322" s="566" t="s">
        <v>474</v>
      </c>
      <c r="G322" s="567">
        <v>0</v>
      </c>
      <c r="H322" s="566" t="s">
        <v>564</v>
      </c>
      <c r="I322" s="568">
        <v>2</v>
      </c>
      <c r="J322" s="569">
        <v>33</v>
      </c>
      <c r="K322" s="569">
        <v>33</v>
      </c>
      <c r="L322" s="566"/>
      <c r="M322" s="566" t="s">
        <v>476</v>
      </c>
      <c r="N322" s="570">
        <v>1374</v>
      </c>
      <c r="O322" s="566"/>
      <c r="P322" s="566" t="s">
        <v>477</v>
      </c>
      <c r="Q322" s="568">
        <v>909678</v>
      </c>
      <c r="R322" s="568">
        <v>35</v>
      </c>
      <c r="S322" s="566" t="s">
        <v>1397</v>
      </c>
      <c r="T322" s="571" t="s">
        <v>467</v>
      </c>
      <c r="U322" s="571" t="s">
        <v>550</v>
      </c>
      <c r="V322" s="571" t="s">
        <v>528</v>
      </c>
      <c r="W322" s="572" t="s">
        <v>1275</v>
      </c>
      <c r="X322" s="571" t="s">
        <v>1380</v>
      </c>
      <c r="Y322" s="571" t="s">
        <v>1367</v>
      </c>
      <c r="Z322" s="566" t="s">
        <v>1589</v>
      </c>
      <c r="AA322" s="573">
        <v>1374</v>
      </c>
      <c r="AB322" s="571"/>
    </row>
    <row r="323" spans="1:28" hidden="1">
      <c r="A323" s="566" t="s">
        <v>1335</v>
      </c>
      <c r="B323" s="566" t="s">
        <v>466</v>
      </c>
      <c r="C323" s="566" t="s">
        <v>487</v>
      </c>
      <c r="D323" s="566" t="s">
        <v>472</v>
      </c>
      <c r="E323" s="566" t="s">
        <v>473</v>
      </c>
      <c r="F323" s="566" t="s">
        <v>489</v>
      </c>
      <c r="G323" s="567">
        <v>50</v>
      </c>
      <c r="H323" s="566" t="s">
        <v>573</v>
      </c>
      <c r="I323" s="568">
        <v>2</v>
      </c>
      <c r="J323" s="569">
        <v>33</v>
      </c>
      <c r="K323" s="569">
        <v>33</v>
      </c>
      <c r="L323" s="566"/>
      <c r="M323" s="566" t="s">
        <v>476</v>
      </c>
      <c r="N323" s="570">
        <v>1410</v>
      </c>
      <c r="O323" s="566"/>
      <c r="P323" s="566" t="s">
        <v>477</v>
      </c>
      <c r="Q323" s="568">
        <v>909678</v>
      </c>
      <c r="R323" s="568">
        <v>37</v>
      </c>
      <c r="S323" s="566" t="s">
        <v>1399</v>
      </c>
      <c r="T323" s="571" t="s">
        <v>467</v>
      </c>
      <c r="U323" s="571" t="s">
        <v>550</v>
      </c>
      <c r="V323" s="571" t="s">
        <v>528</v>
      </c>
      <c r="W323" s="572" t="s">
        <v>1276</v>
      </c>
      <c r="X323" s="571" t="s">
        <v>1380</v>
      </c>
      <c r="Y323" s="571" t="s">
        <v>1367</v>
      </c>
      <c r="Z323" s="566" t="s">
        <v>1590</v>
      </c>
      <c r="AA323" s="573">
        <v>1410</v>
      </c>
      <c r="AB323" s="571"/>
    </row>
    <row r="324" spans="1:28" hidden="1">
      <c r="A324" s="566" t="s">
        <v>1335</v>
      </c>
      <c r="B324" s="566" t="s">
        <v>466</v>
      </c>
      <c r="C324" s="566" t="s">
        <v>487</v>
      </c>
      <c r="D324" s="566" t="s">
        <v>472</v>
      </c>
      <c r="E324" s="566" t="s">
        <v>473</v>
      </c>
      <c r="F324" s="566" t="s">
        <v>489</v>
      </c>
      <c r="G324" s="567">
        <v>50</v>
      </c>
      <c r="H324" s="566" t="s">
        <v>576</v>
      </c>
      <c r="I324" s="568">
        <v>2</v>
      </c>
      <c r="J324" s="569">
        <v>33</v>
      </c>
      <c r="K324" s="569">
        <v>33</v>
      </c>
      <c r="L324" s="566"/>
      <c r="M324" s="566" t="s">
        <v>476</v>
      </c>
      <c r="N324" s="570">
        <v>1446</v>
      </c>
      <c r="O324" s="566"/>
      <c r="P324" s="566" t="s">
        <v>477</v>
      </c>
      <c r="Q324" s="568">
        <v>909678</v>
      </c>
      <c r="R324" s="568">
        <v>38</v>
      </c>
      <c r="S324" s="566" t="s">
        <v>1401</v>
      </c>
      <c r="T324" s="571" t="s">
        <v>467</v>
      </c>
      <c r="U324" s="571" t="s">
        <v>550</v>
      </c>
      <c r="V324" s="571" t="s">
        <v>528</v>
      </c>
      <c r="W324" s="572" t="s">
        <v>1277</v>
      </c>
      <c r="X324" s="571" t="s">
        <v>1380</v>
      </c>
      <c r="Y324" s="571" t="s">
        <v>1367</v>
      </c>
      <c r="Z324" s="566" t="s">
        <v>1591</v>
      </c>
      <c r="AA324" s="573">
        <v>1446</v>
      </c>
      <c r="AB324" s="571"/>
    </row>
    <row r="325" spans="1:28" hidden="1">
      <c r="A325" s="566" t="s">
        <v>1335</v>
      </c>
      <c r="B325" s="566" t="s">
        <v>466</v>
      </c>
      <c r="C325" s="566" t="s">
        <v>471</v>
      </c>
      <c r="D325" s="566" t="s">
        <v>472</v>
      </c>
      <c r="E325" s="566" t="s">
        <v>473</v>
      </c>
      <c r="F325" s="566" t="s">
        <v>474</v>
      </c>
      <c r="G325" s="567">
        <v>0</v>
      </c>
      <c r="H325" s="566" t="s">
        <v>1352</v>
      </c>
      <c r="I325" s="568">
        <v>2</v>
      </c>
      <c r="J325" s="569">
        <v>33</v>
      </c>
      <c r="K325" s="569">
        <v>33</v>
      </c>
      <c r="L325" s="566"/>
      <c r="M325" s="566" t="s">
        <v>476</v>
      </c>
      <c r="N325" s="570">
        <v>1482</v>
      </c>
      <c r="O325" s="566"/>
      <c r="P325" s="566" t="s">
        <v>477</v>
      </c>
      <c r="Q325" s="568">
        <v>909678</v>
      </c>
      <c r="R325" s="568">
        <v>36</v>
      </c>
      <c r="S325" s="566" t="s">
        <v>1403</v>
      </c>
      <c r="T325" s="571" t="s">
        <v>467</v>
      </c>
      <c r="U325" s="571" t="s">
        <v>550</v>
      </c>
      <c r="V325" s="571" t="s">
        <v>528</v>
      </c>
      <c r="W325" s="572" t="s">
        <v>1354</v>
      </c>
      <c r="X325" s="571" t="s">
        <v>1380</v>
      </c>
      <c r="Y325" s="571" t="s">
        <v>1367</v>
      </c>
      <c r="Z325" s="566" t="s">
        <v>1592</v>
      </c>
      <c r="AA325" s="573">
        <v>1482</v>
      </c>
      <c r="AB325" s="571"/>
    </row>
    <row r="326" spans="1:28" hidden="1">
      <c r="A326" s="566" t="s">
        <v>1335</v>
      </c>
      <c r="B326" s="566" t="s">
        <v>466</v>
      </c>
      <c r="C326" s="566" t="s">
        <v>487</v>
      </c>
      <c r="D326" s="566" t="s">
        <v>472</v>
      </c>
      <c r="E326" s="566" t="s">
        <v>473</v>
      </c>
      <c r="F326" s="566" t="s">
        <v>489</v>
      </c>
      <c r="G326" s="567">
        <v>50</v>
      </c>
      <c r="H326" s="566" t="s">
        <v>1356</v>
      </c>
      <c r="I326" s="568">
        <v>2</v>
      </c>
      <c r="J326" s="569">
        <v>33</v>
      </c>
      <c r="K326" s="569">
        <v>33</v>
      </c>
      <c r="L326" s="566"/>
      <c r="M326" s="566" t="s">
        <v>476</v>
      </c>
      <c r="N326" s="570">
        <v>1518</v>
      </c>
      <c r="O326" s="566"/>
      <c r="P326" s="566" t="s">
        <v>477</v>
      </c>
      <c r="Q326" s="568">
        <v>909678</v>
      </c>
      <c r="R326" s="568">
        <v>39</v>
      </c>
      <c r="S326" s="566" t="s">
        <v>1405</v>
      </c>
      <c r="T326" s="571" t="s">
        <v>467</v>
      </c>
      <c r="U326" s="571" t="s">
        <v>550</v>
      </c>
      <c r="V326" s="571" t="s">
        <v>528</v>
      </c>
      <c r="W326" s="572" t="s">
        <v>1358</v>
      </c>
      <c r="X326" s="571" t="s">
        <v>1380</v>
      </c>
      <c r="Y326" s="571" t="s">
        <v>1367</v>
      </c>
      <c r="Z326" s="566" t="s">
        <v>1593</v>
      </c>
      <c r="AA326" s="573">
        <v>1518</v>
      </c>
      <c r="AB326" s="571"/>
    </row>
    <row r="327" spans="1:28" hidden="1">
      <c r="A327" s="566" t="s">
        <v>1335</v>
      </c>
      <c r="B327" s="566" t="s">
        <v>466</v>
      </c>
      <c r="C327" s="566" t="s">
        <v>471</v>
      </c>
      <c r="D327" s="566" t="s">
        <v>472</v>
      </c>
      <c r="E327" s="566" t="s">
        <v>473</v>
      </c>
      <c r="F327" s="566" t="s">
        <v>474</v>
      </c>
      <c r="G327" s="567">
        <v>0</v>
      </c>
      <c r="H327" s="566" t="s">
        <v>559</v>
      </c>
      <c r="I327" s="568">
        <v>2</v>
      </c>
      <c r="J327" s="569">
        <v>9</v>
      </c>
      <c r="K327" s="569">
        <v>9</v>
      </c>
      <c r="L327" s="566"/>
      <c r="M327" s="566" t="s">
        <v>476</v>
      </c>
      <c r="N327" s="570">
        <v>438</v>
      </c>
      <c r="O327" s="566"/>
      <c r="P327" s="566" t="s">
        <v>477</v>
      </c>
      <c r="Q327" s="568">
        <v>909678</v>
      </c>
      <c r="R327" s="568">
        <v>7</v>
      </c>
      <c r="S327" s="566" t="s">
        <v>1407</v>
      </c>
      <c r="T327" s="575" t="s">
        <v>1408</v>
      </c>
      <c r="U327" s="575" t="s">
        <v>550</v>
      </c>
      <c r="V327" s="575" t="s">
        <v>528</v>
      </c>
      <c r="W327" s="576" t="s">
        <v>470</v>
      </c>
      <c r="X327" s="575" t="s">
        <v>1380</v>
      </c>
      <c r="Y327" s="575" t="s">
        <v>1338</v>
      </c>
      <c r="Z327" s="576" t="s">
        <v>1594</v>
      </c>
      <c r="AA327" s="577">
        <v>438</v>
      </c>
      <c r="AB327" s="575"/>
    </row>
    <row r="328" spans="1:28" hidden="1">
      <c r="A328" s="566" t="s">
        <v>1335</v>
      </c>
      <c r="B328" s="566" t="s">
        <v>466</v>
      </c>
      <c r="C328" s="566" t="s">
        <v>471</v>
      </c>
      <c r="D328" s="566" t="s">
        <v>472</v>
      </c>
      <c r="E328" s="566" t="s">
        <v>473</v>
      </c>
      <c r="F328" s="566" t="s">
        <v>474</v>
      </c>
      <c r="G328" s="567">
        <v>0</v>
      </c>
      <c r="H328" s="566" t="s">
        <v>562</v>
      </c>
      <c r="I328" s="568">
        <v>2</v>
      </c>
      <c r="J328" s="569">
        <v>9</v>
      </c>
      <c r="K328" s="569">
        <v>9</v>
      </c>
      <c r="L328" s="566"/>
      <c r="M328" s="566" t="s">
        <v>476</v>
      </c>
      <c r="N328" s="570">
        <v>510</v>
      </c>
      <c r="O328" s="566"/>
      <c r="P328" s="566" t="s">
        <v>477</v>
      </c>
      <c r="Q328" s="568">
        <v>909678</v>
      </c>
      <c r="R328" s="568">
        <v>8</v>
      </c>
      <c r="S328" s="566" t="s">
        <v>1410</v>
      </c>
      <c r="T328" s="575" t="s">
        <v>1408</v>
      </c>
      <c r="U328" s="575" t="s">
        <v>550</v>
      </c>
      <c r="V328" s="575" t="s">
        <v>528</v>
      </c>
      <c r="W328" s="576" t="s">
        <v>480</v>
      </c>
      <c r="X328" s="575" t="s">
        <v>1380</v>
      </c>
      <c r="Y328" s="575" t="s">
        <v>1338</v>
      </c>
      <c r="Z328" s="576" t="s">
        <v>1595</v>
      </c>
      <c r="AA328" s="577">
        <v>510</v>
      </c>
      <c r="AB328" s="575"/>
    </row>
    <row r="329" spans="1:28" hidden="1">
      <c r="A329" s="566" t="s">
        <v>1335</v>
      </c>
      <c r="B329" s="566" t="s">
        <v>466</v>
      </c>
      <c r="C329" s="566" t="s">
        <v>487</v>
      </c>
      <c r="D329" s="566" t="s">
        <v>472</v>
      </c>
      <c r="E329" s="566" t="s">
        <v>473</v>
      </c>
      <c r="F329" s="566" t="s">
        <v>489</v>
      </c>
      <c r="G329" s="567">
        <v>50</v>
      </c>
      <c r="H329" s="566" t="s">
        <v>571</v>
      </c>
      <c r="I329" s="568">
        <v>2</v>
      </c>
      <c r="J329" s="569">
        <v>9</v>
      </c>
      <c r="K329" s="569">
        <v>9</v>
      </c>
      <c r="L329" s="566"/>
      <c r="M329" s="566" t="s">
        <v>476</v>
      </c>
      <c r="N329" s="570">
        <v>690</v>
      </c>
      <c r="O329" s="566"/>
      <c r="P329" s="566" t="s">
        <v>477</v>
      </c>
      <c r="Q329" s="568">
        <v>909678</v>
      </c>
      <c r="R329" s="568">
        <v>11</v>
      </c>
      <c r="S329" s="566" t="s">
        <v>1412</v>
      </c>
      <c r="T329" s="575" t="s">
        <v>1408</v>
      </c>
      <c r="U329" s="575" t="s">
        <v>550</v>
      </c>
      <c r="V329" s="575" t="s">
        <v>528</v>
      </c>
      <c r="W329" s="576" t="s">
        <v>499</v>
      </c>
      <c r="X329" s="575" t="s">
        <v>1380</v>
      </c>
      <c r="Y329" s="575" t="s">
        <v>1338</v>
      </c>
      <c r="Z329" s="576" t="s">
        <v>1596</v>
      </c>
      <c r="AA329" s="577">
        <v>690</v>
      </c>
      <c r="AB329" s="575"/>
    </row>
    <row r="330" spans="1:28" hidden="1">
      <c r="A330" s="566" t="s">
        <v>1335</v>
      </c>
      <c r="B330" s="566" t="s">
        <v>466</v>
      </c>
      <c r="C330" s="566" t="s">
        <v>487</v>
      </c>
      <c r="D330" s="566" t="s">
        <v>472</v>
      </c>
      <c r="E330" s="566" t="s">
        <v>473</v>
      </c>
      <c r="F330" s="566" t="s">
        <v>489</v>
      </c>
      <c r="G330" s="567">
        <v>50</v>
      </c>
      <c r="H330" s="566" t="s">
        <v>574</v>
      </c>
      <c r="I330" s="568">
        <v>2</v>
      </c>
      <c r="J330" s="569">
        <v>9</v>
      </c>
      <c r="K330" s="569">
        <v>9</v>
      </c>
      <c r="L330" s="566"/>
      <c r="M330" s="566" t="s">
        <v>476</v>
      </c>
      <c r="N330" s="570">
        <v>762</v>
      </c>
      <c r="O330" s="566"/>
      <c r="P330" s="566" t="s">
        <v>477</v>
      </c>
      <c r="Q330" s="568">
        <v>909678</v>
      </c>
      <c r="R330" s="568">
        <v>20</v>
      </c>
      <c r="S330" s="566" t="s">
        <v>1414</v>
      </c>
      <c r="T330" s="575" t="s">
        <v>1408</v>
      </c>
      <c r="U330" s="575" t="s">
        <v>550</v>
      </c>
      <c r="V330" s="575" t="s">
        <v>528</v>
      </c>
      <c r="W330" s="576" t="s">
        <v>504</v>
      </c>
      <c r="X330" s="575" t="s">
        <v>1380</v>
      </c>
      <c r="Y330" s="575" t="s">
        <v>1338</v>
      </c>
      <c r="Z330" s="576" t="s">
        <v>1597</v>
      </c>
      <c r="AA330" s="577">
        <v>762</v>
      </c>
      <c r="AB330" s="575"/>
    </row>
    <row r="331" spans="1:28" hidden="1">
      <c r="A331" s="566" t="s">
        <v>1335</v>
      </c>
      <c r="B331" s="566" t="s">
        <v>466</v>
      </c>
      <c r="C331" s="566" t="s">
        <v>471</v>
      </c>
      <c r="D331" s="566" t="s">
        <v>472</v>
      </c>
      <c r="E331" s="566" t="s">
        <v>473</v>
      </c>
      <c r="F331" s="566" t="s">
        <v>474</v>
      </c>
      <c r="G331" s="567">
        <v>0</v>
      </c>
      <c r="H331" s="566" t="s">
        <v>561</v>
      </c>
      <c r="I331" s="568">
        <v>2</v>
      </c>
      <c r="J331" s="569">
        <v>55</v>
      </c>
      <c r="K331" s="569">
        <v>55</v>
      </c>
      <c r="L331" s="566"/>
      <c r="M331" s="566" t="s">
        <v>476</v>
      </c>
      <c r="N331" s="570">
        <v>1012</v>
      </c>
      <c r="O331" s="566"/>
      <c r="P331" s="566" t="s">
        <v>477</v>
      </c>
      <c r="Q331" s="568">
        <v>909678</v>
      </c>
      <c r="R331" s="568">
        <v>25</v>
      </c>
      <c r="S331" s="566" t="s">
        <v>1336</v>
      </c>
      <c r="T331" s="578" t="s">
        <v>779</v>
      </c>
      <c r="U331" s="578" t="s">
        <v>550</v>
      </c>
      <c r="V331" s="578" t="s">
        <v>528</v>
      </c>
      <c r="W331" s="579" t="s">
        <v>1274</v>
      </c>
      <c r="X331" s="578" t="s">
        <v>1337</v>
      </c>
      <c r="Y331" s="578" t="s">
        <v>1338</v>
      </c>
      <c r="Z331" s="580" t="s">
        <v>1598</v>
      </c>
      <c r="AA331" s="581">
        <v>1012</v>
      </c>
      <c r="AB331" s="578"/>
    </row>
    <row r="332" spans="1:28" hidden="1">
      <c r="A332" s="566" t="s">
        <v>1335</v>
      </c>
      <c r="B332" s="566" t="s">
        <v>466</v>
      </c>
      <c r="C332" s="566" t="s">
        <v>471</v>
      </c>
      <c r="D332" s="566" t="s">
        <v>472</v>
      </c>
      <c r="E332" s="566" t="s">
        <v>473</v>
      </c>
      <c r="F332" s="566" t="s">
        <v>474</v>
      </c>
      <c r="G332" s="567">
        <v>0</v>
      </c>
      <c r="H332" s="566" t="s">
        <v>564</v>
      </c>
      <c r="I332" s="568">
        <v>2</v>
      </c>
      <c r="J332" s="569">
        <v>55</v>
      </c>
      <c r="K332" s="569">
        <v>55</v>
      </c>
      <c r="L332" s="566"/>
      <c r="M332" s="566" t="s">
        <v>476</v>
      </c>
      <c r="N332" s="570">
        <v>1048</v>
      </c>
      <c r="O332" s="566"/>
      <c r="P332" s="566" t="s">
        <v>477</v>
      </c>
      <c r="Q332" s="568">
        <v>909678</v>
      </c>
      <c r="R332" s="568">
        <v>26</v>
      </c>
      <c r="S332" s="566" t="s">
        <v>1340</v>
      </c>
      <c r="T332" s="578" t="s">
        <v>779</v>
      </c>
      <c r="U332" s="578" t="s">
        <v>550</v>
      </c>
      <c r="V332" s="578" t="s">
        <v>528</v>
      </c>
      <c r="W332" s="579" t="s">
        <v>1275</v>
      </c>
      <c r="X332" s="578" t="s">
        <v>1337</v>
      </c>
      <c r="Y332" s="578" t="s">
        <v>1338</v>
      </c>
      <c r="Z332" s="580" t="s">
        <v>1599</v>
      </c>
      <c r="AA332" s="581">
        <v>1048</v>
      </c>
      <c r="AB332" s="578"/>
    </row>
    <row r="333" spans="1:28" hidden="1">
      <c r="A333" s="566" t="s">
        <v>1335</v>
      </c>
      <c r="B333" s="566" t="s">
        <v>466</v>
      </c>
      <c r="C333" s="566" t="s">
        <v>487</v>
      </c>
      <c r="D333" s="566" t="s">
        <v>472</v>
      </c>
      <c r="E333" s="566" t="s">
        <v>473</v>
      </c>
      <c r="F333" s="566" t="s">
        <v>489</v>
      </c>
      <c r="G333" s="567">
        <v>50</v>
      </c>
      <c r="H333" s="566" t="s">
        <v>566</v>
      </c>
      <c r="I333" s="568">
        <v>2</v>
      </c>
      <c r="J333" s="569">
        <v>55</v>
      </c>
      <c r="K333" s="569">
        <v>55</v>
      </c>
      <c r="L333" s="566"/>
      <c r="M333" s="566" t="s">
        <v>476</v>
      </c>
      <c r="N333" s="570">
        <v>1084</v>
      </c>
      <c r="O333" s="566"/>
      <c r="P333" s="566" t="s">
        <v>477</v>
      </c>
      <c r="Q333" s="568">
        <v>909678</v>
      </c>
      <c r="R333" s="568">
        <v>28</v>
      </c>
      <c r="S333" s="566" t="s">
        <v>1342</v>
      </c>
      <c r="T333" s="578" t="s">
        <v>779</v>
      </c>
      <c r="U333" s="578" t="s">
        <v>550</v>
      </c>
      <c r="V333" s="578" t="s">
        <v>528</v>
      </c>
      <c r="W333" s="579" t="s">
        <v>485</v>
      </c>
      <c r="X333" s="578" t="s">
        <v>1337</v>
      </c>
      <c r="Y333" s="578" t="s">
        <v>1338</v>
      </c>
      <c r="Z333" s="580" t="s">
        <v>1600</v>
      </c>
      <c r="AA333" s="581">
        <v>1084</v>
      </c>
      <c r="AB333" s="578"/>
    </row>
    <row r="334" spans="1:28" hidden="1">
      <c r="A334" s="566" t="s">
        <v>1335</v>
      </c>
      <c r="B334" s="566" t="s">
        <v>466</v>
      </c>
      <c r="C334" s="566" t="s">
        <v>487</v>
      </c>
      <c r="D334" s="566" t="s">
        <v>472</v>
      </c>
      <c r="E334" s="566" t="s">
        <v>473</v>
      </c>
      <c r="F334" s="566" t="s">
        <v>489</v>
      </c>
      <c r="G334" s="567">
        <v>50</v>
      </c>
      <c r="H334" s="566" t="s">
        <v>568</v>
      </c>
      <c r="I334" s="568">
        <v>2</v>
      </c>
      <c r="J334" s="569">
        <v>55</v>
      </c>
      <c r="K334" s="569">
        <v>55</v>
      </c>
      <c r="L334" s="566"/>
      <c r="M334" s="566" t="s">
        <v>476</v>
      </c>
      <c r="N334" s="570">
        <v>1120</v>
      </c>
      <c r="O334" s="566"/>
      <c r="P334" s="566" t="s">
        <v>477</v>
      </c>
      <c r="Q334" s="568">
        <v>909678</v>
      </c>
      <c r="R334" s="568">
        <v>29</v>
      </c>
      <c r="S334" s="566" t="s">
        <v>1344</v>
      </c>
      <c r="T334" s="578" t="s">
        <v>779</v>
      </c>
      <c r="U334" s="578" t="s">
        <v>550</v>
      </c>
      <c r="V334" s="578" t="s">
        <v>528</v>
      </c>
      <c r="W334" s="579" t="s">
        <v>491</v>
      </c>
      <c r="X334" s="578" t="s">
        <v>1337</v>
      </c>
      <c r="Y334" s="578" t="s">
        <v>1338</v>
      </c>
      <c r="Z334" s="580" t="s">
        <v>1601</v>
      </c>
      <c r="AA334" s="581">
        <v>1120</v>
      </c>
      <c r="AB334" s="578"/>
    </row>
    <row r="335" spans="1:28" hidden="1">
      <c r="A335" s="566" t="s">
        <v>1335</v>
      </c>
      <c r="B335" s="566" t="s">
        <v>466</v>
      </c>
      <c r="C335" s="566" t="s">
        <v>487</v>
      </c>
      <c r="D335" s="566" t="s">
        <v>472</v>
      </c>
      <c r="E335" s="566" t="s">
        <v>473</v>
      </c>
      <c r="F335" s="566" t="s">
        <v>489</v>
      </c>
      <c r="G335" s="567">
        <v>50</v>
      </c>
      <c r="H335" s="566" t="s">
        <v>570</v>
      </c>
      <c r="I335" s="568">
        <v>2</v>
      </c>
      <c r="J335" s="569">
        <v>55</v>
      </c>
      <c r="K335" s="569">
        <v>55</v>
      </c>
      <c r="L335" s="566"/>
      <c r="M335" s="566" t="s">
        <v>476</v>
      </c>
      <c r="N335" s="570">
        <v>1156</v>
      </c>
      <c r="O335" s="566"/>
      <c r="P335" s="566" t="s">
        <v>477</v>
      </c>
      <c r="Q335" s="568">
        <v>909678</v>
      </c>
      <c r="R335" s="568">
        <v>30</v>
      </c>
      <c r="S335" s="566" t="s">
        <v>1346</v>
      </c>
      <c r="T335" s="578" t="s">
        <v>779</v>
      </c>
      <c r="U335" s="578" t="s">
        <v>550</v>
      </c>
      <c r="V335" s="578" t="s">
        <v>528</v>
      </c>
      <c r="W335" s="579" t="s">
        <v>495</v>
      </c>
      <c r="X335" s="578" t="s">
        <v>1337</v>
      </c>
      <c r="Y335" s="578" t="s">
        <v>1338</v>
      </c>
      <c r="Z335" s="580" t="s">
        <v>1602</v>
      </c>
      <c r="AA335" s="581">
        <v>1156</v>
      </c>
      <c r="AB335" s="578"/>
    </row>
    <row r="336" spans="1:28" hidden="1">
      <c r="A336" s="566" t="s">
        <v>1335</v>
      </c>
      <c r="B336" s="566" t="s">
        <v>466</v>
      </c>
      <c r="C336" s="566" t="s">
        <v>487</v>
      </c>
      <c r="D336" s="566" t="s">
        <v>472</v>
      </c>
      <c r="E336" s="566" t="s">
        <v>473</v>
      </c>
      <c r="F336" s="566" t="s">
        <v>489</v>
      </c>
      <c r="G336" s="567">
        <v>50</v>
      </c>
      <c r="H336" s="566" t="s">
        <v>573</v>
      </c>
      <c r="I336" s="568">
        <v>2</v>
      </c>
      <c r="J336" s="569">
        <v>55</v>
      </c>
      <c r="K336" s="569">
        <v>55</v>
      </c>
      <c r="L336" s="566"/>
      <c r="M336" s="566" t="s">
        <v>476</v>
      </c>
      <c r="N336" s="570">
        <v>1192</v>
      </c>
      <c r="O336" s="566"/>
      <c r="P336" s="566" t="s">
        <v>477</v>
      </c>
      <c r="Q336" s="568">
        <v>909678</v>
      </c>
      <c r="R336" s="568">
        <v>31</v>
      </c>
      <c r="S336" s="566" t="s">
        <v>1348</v>
      </c>
      <c r="T336" s="578" t="s">
        <v>779</v>
      </c>
      <c r="U336" s="578" t="s">
        <v>550</v>
      </c>
      <c r="V336" s="578" t="s">
        <v>528</v>
      </c>
      <c r="W336" s="579" t="s">
        <v>1276</v>
      </c>
      <c r="X336" s="578" t="s">
        <v>1337</v>
      </c>
      <c r="Y336" s="578" t="s">
        <v>1338</v>
      </c>
      <c r="Z336" s="580" t="s">
        <v>1603</v>
      </c>
      <c r="AA336" s="581">
        <v>1192</v>
      </c>
      <c r="AB336" s="578"/>
    </row>
    <row r="337" spans="1:28" hidden="1">
      <c r="A337" s="566" t="s">
        <v>1335</v>
      </c>
      <c r="B337" s="566" t="s">
        <v>466</v>
      </c>
      <c r="C337" s="566" t="s">
        <v>487</v>
      </c>
      <c r="D337" s="566" t="s">
        <v>472</v>
      </c>
      <c r="E337" s="566" t="s">
        <v>473</v>
      </c>
      <c r="F337" s="566" t="s">
        <v>489</v>
      </c>
      <c r="G337" s="567">
        <v>50</v>
      </c>
      <c r="H337" s="566" t="s">
        <v>576</v>
      </c>
      <c r="I337" s="568">
        <v>2</v>
      </c>
      <c r="J337" s="569">
        <v>55</v>
      </c>
      <c r="K337" s="569">
        <v>55</v>
      </c>
      <c r="L337" s="566"/>
      <c r="M337" s="566" t="s">
        <v>476</v>
      </c>
      <c r="N337" s="570">
        <v>1228</v>
      </c>
      <c r="O337" s="566"/>
      <c r="P337" s="566" t="s">
        <v>477</v>
      </c>
      <c r="Q337" s="568">
        <v>909678</v>
      </c>
      <c r="R337" s="568">
        <v>32</v>
      </c>
      <c r="S337" s="566" t="s">
        <v>1350</v>
      </c>
      <c r="T337" s="578" t="s">
        <v>779</v>
      </c>
      <c r="U337" s="578" t="s">
        <v>550</v>
      </c>
      <c r="V337" s="578" t="s">
        <v>528</v>
      </c>
      <c r="W337" s="579" t="s">
        <v>1277</v>
      </c>
      <c r="X337" s="578" t="s">
        <v>1337</v>
      </c>
      <c r="Y337" s="578" t="s">
        <v>1338</v>
      </c>
      <c r="Z337" s="580" t="s">
        <v>1604</v>
      </c>
      <c r="AA337" s="581">
        <v>1228</v>
      </c>
      <c r="AB337" s="578"/>
    </row>
    <row r="338" spans="1:28" hidden="1">
      <c r="A338" s="566" t="s">
        <v>1335</v>
      </c>
      <c r="B338" s="566" t="s">
        <v>466</v>
      </c>
      <c r="C338" s="566" t="s">
        <v>471</v>
      </c>
      <c r="D338" s="566" t="s">
        <v>472</v>
      </c>
      <c r="E338" s="566" t="s">
        <v>473</v>
      </c>
      <c r="F338" s="566" t="s">
        <v>474</v>
      </c>
      <c r="G338" s="567">
        <v>0</v>
      </c>
      <c r="H338" s="566" t="s">
        <v>1352</v>
      </c>
      <c r="I338" s="568">
        <v>2</v>
      </c>
      <c r="J338" s="569">
        <v>55</v>
      </c>
      <c r="K338" s="569">
        <v>55</v>
      </c>
      <c r="L338" s="566"/>
      <c r="M338" s="566" t="s">
        <v>476</v>
      </c>
      <c r="N338" s="570">
        <v>1264</v>
      </c>
      <c r="O338" s="566"/>
      <c r="P338" s="566" t="s">
        <v>477</v>
      </c>
      <c r="Q338" s="568">
        <v>909678</v>
      </c>
      <c r="R338" s="568">
        <v>27</v>
      </c>
      <c r="S338" s="566" t="s">
        <v>1353</v>
      </c>
      <c r="T338" s="578" t="s">
        <v>779</v>
      </c>
      <c r="U338" s="578" t="s">
        <v>550</v>
      </c>
      <c r="V338" s="578" t="s">
        <v>528</v>
      </c>
      <c r="W338" s="579" t="s">
        <v>1354</v>
      </c>
      <c r="X338" s="578" t="s">
        <v>1337</v>
      </c>
      <c r="Y338" s="578" t="s">
        <v>1338</v>
      </c>
      <c r="Z338" s="580" t="s">
        <v>1605</v>
      </c>
      <c r="AA338" s="581">
        <v>1264</v>
      </c>
      <c r="AB338" s="578"/>
    </row>
    <row r="339" spans="1:28" hidden="1">
      <c r="A339" s="566" t="s">
        <v>1335</v>
      </c>
      <c r="B339" s="566" t="s">
        <v>466</v>
      </c>
      <c r="C339" s="566" t="s">
        <v>487</v>
      </c>
      <c r="D339" s="566" t="s">
        <v>472</v>
      </c>
      <c r="E339" s="566" t="s">
        <v>473</v>
      </c>
      <c r="F339" s="566" t="s">
        <v>489</v>
      </c>
      <c r="G339" s="567">
        <v>50</v>
      </c>
      <c r="H339" s="566" t="s">
        <v>1356</v>
      </c>
      <c r="I339" s="568">
        <v>2</v>
      </c>
      <c r="J339" s="569">
        <v>55</v>
      </c>
      <c r="K339" s="569">
        <v>55</v>
      </c>
      <c r="L339" s="566"/>
      <c r="M339" s="566" t="s">
        <v>476</v>
      </c>
      <c r="N339" s="570">
        <v>1300</v>
      </c>
      <c r="O339" s="566"/>
      <c r="P339" s="566" t="s">
        <v>477</v>
      </c>
      <c r="Q339" s="568">
        <v>909678</v>
      </c>
      <c r="R339" s="568">
        <v>33</v>
      </c>
      <c r="S339" s="566" t="s">
        <v>1357</v>
      </c>
      <c r="T339" s="578" t="s">
        <v>779</v>
      </c>
      <c r="U339" s="578" t="s">
        <v>550</v>
      </c>
      <c r="V339" s="578" t="s">
        <v>528</v>
      </c>
      <c r="W339" s="579" t="s">
        <v>1358</v>
      </c>
      <c r="X339" s="578" t="s">
        <v>1337</v>
      </c>
      <c r="Y339" s="578" t="s">
        <v>1338</v>
      </c>
      <c r="Z339" s="580" t="s">
        <v>1606</v>
      </c>
      <c r="AA339" s="581">
        <v>1300</v>
      </c>
      <c r="AB339" s="578"/>
    </row>
    <row r="340" spans="1:28" hidden="1">
      <c r="A340" s="566" t="s">
        <v>1335</v>
      </c>
      <c r="B340" s="566" t="s">
        <v>466</v>
      </c>
      <c r="C340" s="566" t="s">
        <v>471</v>
      </c>
      <c r="D340" s="566" t="s">
        <v>472</v>
      </c>
      <c r="E340" s="566" t="s">
        <v>473</v>
      </c>
      <c r="F340" s="566" t="s">
        <v>474</v>
      </c>
      <c r="G340" s="567">
        <v>0</v>
      </c>
      <c r="H340" s="566" t="s">
        <v>593</v>
      </c>
      <c r="I340" s="568">
        <v>1</v>
      </c>
      <c r="J340" s="569">
        <v>55</v>
      </c>
      <c r="K340" s="569">
        <v>55</v>
      </c>
      <c r="L340" s="566"/>
      <c r="M340" s="566" t="s">
        <v>476</v>
      </c>
      <c r="N340" s="570">
        <v>904</v>
      </c>
      <c r="O340" s="566"/>
      <c r="P340" s="566" t="s">
        <v>477</v>
      </c>
      <c r="Q340" s="568">
        <v>909678</v>
      </c>
      <c r="R340" s="568">
        <v>22</v>
      </c>
      <c r="S340" s="566" t="s">
        <v>1360</v>
      </c>
      <c r="T340" s="578" t="s">
        <v>779</v>
      </c>
      <c r="U340" s="578" t="s">
        <v>550</v>
      </c>
      <c r="V340" s="578" t="s">
        <v>528</v>
      </c>
      <c r="W340" s="579" t="s">
        <v>509</v>
      </c>
      <c r="X340" s="578" t="s">
        <v>1337</v>
      </c>
      <c r="Y340" s="578" t="s">
        <v>1338</v>
      </c>
      <c r="Z340" s="580" t="s">
        <v>1607</v>
      </c>
      <c r="AA340" s="581">
        <v>904</v>
      </c>
      <c r="AB340" s="578"/>
    </row>
    <row r="341" spans="1:28" hidden="1">
      <c r="A341" s="566" t="s">
        <v>1335</v>
      </c>
      <c r="B341" s="566" t="s">
        <v>466</v>
      </c>
      <c r="C341" s="566" t="s">
        <v>471</v>
      </c>
      <c r="D341" s="566" t="s">
        <v>472</v>
      </c>
      <c r="E341" s="566" t="s">
        <v>473</v>
      </c>
      <c r="F341" s="566" t="s">
        <v>474</v>
      </c>
      <c r="G341" s="567">
        <v>0</v>
      </c>
      <c r="H341" s="566" t="s">
        <v>595</v>
      </c>
      <c r="I341" s="568">
        <v>2</v>
      </c>
      <c r="J341" s="569">
        <v>55</v>
      </c>
      <c r="K341" s="569">
        <v>55</v>
      </c>
      <c r="L341" s="566"/>
      <c r="M341" s="566" t="s">
        <v>476</v>
      </c>
      <c r="N341" s="570">
        <v>940</v>
      </c>
      <c r="O341" s="566"/>
      <c r="P341" s="566" t="s">
        <v>477</v>
      </c>
      <c r="Q341" s="568">
        <v>909678</v>
      </c>
      <c r="R341" s="568">
        <v>23</v>
      </c>
      <c r="S341" s="566" t="s">
        <v>1362</v>
      </c>
      <c r="T341" s="578" t="s">
        <v>779</v>
      </c>
      <c r="U341" s="578" t="s">
        <v>550</v>
      </c>
      <c r="V341" s="578" t="s">
        <v>528</v>
      </c>
      <c r="W341" s="579" t="s">
        <v>512</v>
      </c>
      <c r="X341" s="578" t="s">
        <v>1337</v>
      </c>
      <c r="Y341" s="578" t="s">
        <v>1338</v>
      </c>
      <c r="Z341" s="580" t="s">
        <v>1608</v>
      </c>
      <c r="AA341" s="581">
        <v>940</v>
      </c>
      <c r="AB341" s="578"/>
    </row>
    <row r="342" spans="1:28" hidden="1">
      <c r="A342" s="566" t="s">
        <v>1335</v>
      </c>
      <c r="B342" s="566" t="s">
        <v>466</v>
      </c>
      <c r="C342" s="566" t="s">
        <v>471</v>
      </c>
      <c r="D342" s="566" t="s">
        <v>472</v>
      </c>
      <c r="E342" s="566" t="s">
        <v>473</v>
      </c>
      <c r="F342" s="566" t="s">
        <v>474</v>
      </c>
      <c r="G342" s="567">
        <v>0</v>
      </c>
      <c r="H342" s="566" t="s">
        <v>597</v>
      </c>
      <c r="I342" s="568">
        <v>2</v>
      </c>
      <c r="J342" s="569">
        <v>55</v>
      </c>
      <c r="K342" s="569">
        <v>55</v>
      </c>
      <c r="L342" s="566"/>
      <c r="M342" s="566" t="s">
        <v>476</v>
      </c>
      <c r="N342" s="570">
        <v>976</v>
      </c>
      <c r="O342" s="566"/>
      <c r="P342" s="566" t="s">
        <v>477</v>
      </c>
      <c r="Q342" s="568">
        <v>909678</v>
      </c>
      <c r="R342" s="568">
        <v>24</v>
      </c>
      <c r="S342" s="566" t="s">
        <v>1364</v>
      </c>
      <c r="T342" s="578" t="s">
        <v>779</v>
      </c>
      <c r="U342" s="578" t="s">
        <v>550</v>
      </c>
      <c r="V342" s="578" t="s">
        <v>528</v>
      </c>
      <c r="W342" s="579" t="s">
        <v>514</v>
      </c>
      <c r="X342" s="578" t="s">
        <v>1337</v>
      </c>
      <c r="Y342" s="578" t="s">
        <v>1338</v>
      </c>
      <c r="Z342" s="580" t="s">
        <v>1609</v>
      </c>
      <c r="AA342" s="581">
        <v>976</v>
      </c>
      <c r="AB342" s="578"/>
    </row>
    <row r="343" spans="1:28" hidden="1">
      <c r="A343" s="566" t="s">
        <v>1335</v>
      </c>
      <c r="B343" s="566" t="s">
        <v>466</v>
      </c>
      <c r="C343" s="566" t="s">
        <v>471</v>
      </c>
      <c r="D343" s="566" t="s">
        <v>472</v>
      </c>
      <c r="E343" s="566" t="s">
        <v>473</v>
      </c>
      <c r="F343" s="566" t="s">
        <v>474</v>
      </c>
      <c r="G343" s="567">
        <v>0</v>
      </c>
      <c r="H343" s="566" t="s">
        <v>561</v>
      </c>
      <c r="I343" s="568">
        <v>2</v>
      </c>
      <c r="J343" s="569">
        <v>79</v>
      </c>
      <c r="K343" s="569">
        <v>79</v>
      </c>
      <c r="L343" s="566"/>
      <c r="M343" s="566" t="s">
        <v>476</v>
      </c>
      <c r="N343" s="570">
        <v>1552</v>
      </c>
      <c r="O343" s="566"/>
      <c r="P343" s="566" t="s">
        <v>477</v>
      </c>
      <c r="Q343" s="568">
        <v>909678</v>
      </c>
      <c r="R343" s="568">
        <v>40</v>
      </c>
      <c r="S343" s="566" t="s">
        <v>1366</v>
      </c>
      <c r="T343" s="578" t="s">
        <v>779</v>
      </c>
      <c r="U343" s="578" t="s">
        <v>550</v>
      </c>
      <c r="V343" s="578" t="s">
        <v>528</v>
      </c>
      <c r="W343" s="579" t="s">
        <v>1274</v>
      </c>
      <c r="X343" s="578" t="s">
        <v>1337</v>
      </c>
      <c r="Y343" s="578" t="s">
        <v>1367</v>
      </c>
      <c r="Z343" s="580" t="s">
        <v>1610</v>
      </c>
      <c r="AA343" s="581">
        <v>1552</v>
      </c>
      <c r="AB343" s="578"/>
    </row>
    <row r="344" spans="1:28" hidden="1">
      <c r="A344" s="566" t="s">
        <v>1335</v>
      </c>
      <c r="B344" s="566" t="s">
        <v>466</v>
      </c>
      <c r="C344" s="566" t="s">
        <v>471</v>
      </c>
      <c r="D344" s="566" t="s">
        <v>472</v>
      </c>
      <c r="E344" s="566" t="s">
        <v>473</v>
      </c>
      <c r="F344" s="566" t="s">
        <v>474</v>
      </c>
      <c r="G344" s="567">
        <v>0</v>
      </c>
      <c r="H344" s="566" t="s">
        <v>564</v>
      </c>
      <c r="I344" s="568">
        <v>2</v>
      </c>
      <c r="J344" s="569">
        <v>79</v>
      </c>
      <c r="K344" s="569">
        <v>79</v>
      </c>
      <c r="L344" s="566"/>
      <c r="M344" s="566" t="s">
        <v>476</v>
      </c>
      <c r="N344" s="570">
        <v>1588</v>
      </c>
      <c r="O344" s="566"/>
      <c r="P344" s="566" t="s">
        <v>477</v>
      </c>
      <c r="Q344" s="568">
        <v>909678</v>
      </c>
      <c r="R344" s="568">
        <v>41</v>
      </c>
      <c r="S344" s="566" t="s">
        <v>1369</v>
      </c>
      <c r="T344" s="578" t="s">
        <v>779</v>
      </c>
      <c r="U344" s="578" t="s">
        <v>550</v>
      </c>
      <c r="V344" s="578" t="s">
        <v>528</v>
      </c>
      <c r="W344" s="579" t="s">
        <v>1275</v>
      </c>
      <c r="X344" s="578" t="s">
        <v>1337</v>
      </c>
      <c r="Y344" s="578" t="s">
        <v>1367</v>
      </c>
      <c r="Z344" s="580" t="s">
        <v>1611</v>
      </c>
      <c r="AA344" s="581">
        <v>1588</v>
      </c>
      <c r="AB344" s="578"/>
    </row>
    <row r="345" spans="1:28" hidden="1">
      <c r="A345" s="566" t="s">
        <v>1335</v>
      </c>
      <c r="B345" s="566" t="s">
        <v>466</v>
      </c>
      <c r="C345" s="566" t="s">
        <v>487</v>
      </c>
      <c r="D345" s="566" t="s">
        <v>472</v>
      </c>
      <c r="E345" s="566" t="s">
        <v>473</v>
      </c>
      <c r="F345" s="566" t="s">
        <v>489</v>
      </c>
      <c r="G345" s="567">
        <v>50</v>
      </c>
      <c r="H345" s="566" t="s">
        <v>573</v>
      </c>
      <c r="I345" s="568">
        <v>2</v>
      </c>
      <c r="J345" s="569">
        <v>79</v>
      </c>
      <c r="K345" s="569">
        <v>79</v>
      </c>
      <c r="L345" s="566"/>
      <c r="M345" s="566" t="s">
        <v>476</v>
      </c>
      <c r="N345" s="570">
        <v>1624</v>
      </c>
      <c r="O345" s="566"/>
      <c r="P345" s="566" t="s">
        <v>477</v>
      </c>
      <c r="Q345" s="568">
        <v>909678</v>
      </c>
      <c r="R345" s="568">
        <v>43</v>
      </c>
      <c r="S345" s="566" t="s">
        <v>1371</v>
      </c>
      <c r="T345" s="578" t="s">
        <v>779</v>
      </c>
      <c r="U345" s="578" t="s">
        <v>550</v>
      </c>
      <c r="V345" s="578" t="s">
        <v>528</v>
      </c>
      <c r="W345" s="579" t="s">
        <v>1276</v>
      </c>
      <c r="X345" s="578" t="s">
        <v>1337</v>
      </c>
      <c r="Y345" s="578" t="s">
        <v>1367</v>
      </c>
      <c r="Z345" s="580" t="s">
        <v>1612</v>
      </c>
      <c r="AA345" s="581">
        <v>1624</v>
      </c>
      <c r="AB345" s="578"/>
    </row>
    <row r="346" spans="1:28" hidden="1">
      <c r="A346" s="566" t="s">
        <v>1335</v>
      </c>
      <c r="B346" s="566" t="s">
        <v>466</v>
      </c>
      <c r="C346" s="566" t="s">
        <v>487</v>
      </c>
      <c r="D346" s="566" t="s">
        <v>472</v>
      </c>
      <c r="E346" s="566" t="s">
        <v>473</v>
      </c>
      <c r="F346" s="566" t="s">
        <v>489</v>
      </c>
      <c r="G346" s="567">
        <v>50</v>
      </c>
      <c r="H346" s="566" t="s">
        <v>576</v>
      </c>
      <c r="I346" s="568">
        <v>2</v>
      </c>
      <c r="J346" s="569">
        <v>79</v>
      </c>
      <c r="K346" s="569">
        <v>79</v>
      </c>
      <c r="L346" s="566"/>
      <c r="M346" s="566" t="s">
        <v>476</v>
      </c>
      <c r="N346" s="570">
        <v>1660</v>
      </c>
      <c r="O346" s="566"/>
      <c r="P346" s="566" t="s">
        <v>477</v>
      </c>
      <c r="Q346" s="568">
        <v>909678</v>
      </c>
      <c r="R346" s="568">
        <v>44</v>
      </c>
      <c r="S346" s="566" t="s">
        <v>1373</v>
      </c>
      <c r="T346" s="578" t="s">
        <v>779</v>
      </c>
      <c r="U346" s="578" t="s">
        <v>550</v>
      </c>
      <c r="V346" s="578" t="s">
        <v>528</v>
      </c>
      <c r="W346" s="579" t="s">
        <v>1277</v>
      </c>
      <c r="X346" s="578" t="s">
        <v>1337</v>
      </c>
      <c r="Y346" s="578" t="s">
        <v>1367</v>
      </c>
      <c r="Z346" s="580" t="s">
        <v>1613</v>
      </c>
      <c r="AA346" s="581">
        <v>1660</v>
      </c>
      <c r="AB346" s="578"/>
    </row>
    <row r="347" spans="1:28" hidden="1">
      <c r="A347" s="566" t="s">
        <v>1335</v>
      </c>
      <c r="B347" s="566" t="s">
        <v>466</v>
      </c>
      <c r="C347" s="566" t="s">
        <v>471</v>
      </c>
      <c r="D347" s="566" t="s">
        <v>472</v>
      </c>
      <c r="E347" s="566" t="s">
        <v>473</v>
      </c>
      <c r="F347" s="566" t="s">
        <v>474</v>
      </c>
      <c r="G347" s="567">
        <v>0</v>
      </c>
      <c r="H347" s="566" t="s">
        <v>1352</v>
      </c>
      <c r="I347" s="568">
        <v>2</v>
      </c>
      <c r="J347" s="569">
        <v>79</v>
      </c>
      <c r="K347" s="569">
        <v>79</v>
      </c>
      <c r="L347" s="566"/>
      <c r="M347" s="566" t="s">
        <v>476</v>
      </c>
      <c r="N347" s="570">
        <v>1696</v>
      </c>
      <c r="O347" s="566"/>
      <c r="P347" s="566" t="s">
        <v>477</v>
      </c>
      <c r="Q347" s="568">
        <v>909678</v>
      </c>
      <c r="R347" s="568">
        <v>42</v>
      </c>
      <c r="S347" s="566" t="s">
        <v>1375</v>
      </c>
      <c r="T347" s="578" t="s">
        <v>779</v>
      </c>
      <c r="U347" s="578" t="s">
        <v>550</v>
      </c>
      <c r="V347" s="578" t="s">
        <v>528</v>
      </c>
      <c r="W347" s="579" t="s">
        <v>1354</v>
      </c>
      <c r="X347" s="578" t="s">
        <v>1337</v>
      </c>
      <c r="Y347" s="578" t="s">
        <v>1367</v>
      </c>
      <c r="Z347" s="580" t="s">
        <v>1614</v>
      </c>
      <c r="AA347" s="581">
        <v>1696</v>
      </c>
      <c r="AB347" s="578"/>
    </row>
    <row r="348" spans="1:28" hidden="1">
      <c r="A348" s="566" t="s">
        <v>1335</v>
      </c>
      <c r="B348" s="566" t="s">
        <v>466</v>
      </c>
      <c r="C348" s="566" t="s">
        <v>487</v>
      </c>
      <c r="D348" s="566" t="s">
        <v>472</v>
      </c>
      <c r="E348" s="566" t="s">
        <v>473</v>
      </c>
      <c r="F348" s="566" t="s">
        <v>489</v>
      </c>
      <c r="G348" s="567">
        <v>50</v>
      </c>
      <c r="H348" s="566" t="s">
        <v>1356</v>
      </c>
      <c r="I348" s="568">
        <v>2</v>
      </c>
      <c r="J348" s="569">
        <v>79</v>
      </c>
      <c r="K348" s="569">
        <v>79</v>
      </c>
      <c r="L348" s="566"/>
      <c r="M348" s="566" t="s">
        <v>476</v>
      </c>
      <c r="N348" s="570">
        <v>1732</v>
      </c>
      <c r="O348" s="566"/>
      <c r="P348" s="566" t="s">
        <v>477</v>
      </c>
      <c r="Q348" s="568">
        <v>909678</v>
      </c>
      <c r="R348" s="568">
        <v>45</v>
      </c>
      <c r="S348" s="566" t="s">
        <v>1377</v>
      </c>
      <c r="T348" s="578" t="s">
        <v>779</v>
      </c>
      <c r="U348" s="578" t="s">
        <v>550</v>
      </c>
      <c r="V348" s="578" t="s">
        <v>528</v>
      </c>
      <c r="W348" s="579" t="s">
        <v>1358</v>
      </c>
      <c r="X348" s="578" t="s">
        <v>1337</v>
      </c>
      <c r="Y348" s="578" t="s">
        <v>1367</v>
      </c>
      <c r="Z348" s="580" t="s">
        <v>1615</v>
      </c>
      <c r="AA348" s="581">
        <v>1732</v>
      </c>
      <c r="AB348" s="578"/>
    </row>
    <row r="349" spans="1:28" hidden="1">
      <c r="A349" s="566" t="s">
        <v>1335</v>
      </c>
      <c r="B349" s="566" t="s">
        <v>466</v>
      </c>
      <c r="C349" s="566" t="s">
        <v>553</v>
      </c>
      <c r="D349" s="566" t="s">
        <v>472</v>
      </c>
      <c r="E349" s="566" t="s">
        <v>473</v>
      </c>
      <c r="F349" s="566" t="s">
        <v>554</v>
      </c>
      <c r="G349" s="567">
        <v>13</v>
      </c>
      <c r="H349" s="566" t="s">
        <v>868</v>
      </c>
      <c r="I349" s="568">
        <v>2</v>
      </c>
      <c r="J349" s="569">
        <v>22</v>
      </c>
      <c r="K349" s="569">
        <v>22</v>
      </c>
      <c r="L349" s="569">
        <v>17</v>
      </c>
      <c r="M349" s="566" t="s">
        <v>476</v>
      </c>
      <c r="N349" s="570">
        <v>157</v>
      </c>
      <c r="O349" s="566"/>
      <c r="P349" s="566" t="s">
        <v>477</v>
      </c>
      <c r="Q349" s="568">
        <v>909678</v>
      </c>
      <c r="R349" s="568">
        <v>9</v>
      </c>
      <c r="S349" s="566" t="s">
        <v>1379</v>
      </c>
      <c r="T349" s="578" t="s">
        <v>779</v>
      </c>
      <c r="U349" s="578" t="s">
        <v>550</v>
      </c>
      <c r="V349" s="578" t="s">
        <v>528</v>
      </c>
      <c r="W349" s="579" t="s">
        <v>551</v>
      </c>
      <c r="X349" s="578" t="s">
        <v>1380</v>
      </c>
      <c r="Y349" s="578" t="s">
        <v>1338</v>
      </c>
      <c r="Z349" s="580" t="s">
        <v>867</v>
      </c>
      <c r="AA349" s="581">
        <v>157</v>
      </c>
      <c r="AB349" s="578">
        <v>260056</v>
      </c>
    </row>
    <row r="350" spans="1:28" hidden="1">
      <c r="A350" s="566" t="s">
        <v>1335</v>
      </c>
      <c r="B350" s="566" t="s">
        <v>466</v>
      </c>
      <c r="C350" s="566" t="s">
        <v>553</v>
      </c>
      <c r="D350" s="566" t="s">
        <v>472</v>
      </c>
      <c r="E350" s="566" t="s">
        <v>473</v>
      </c>
      <c r="F350" s="566" t="s">
        <v>554</v>
      </c>
      <c r="G350" s="567">
        <v>16</v>
      </c>
      <c r="H350" s="566" t="s">
        <v>870</v>
      </c>
      <c r="I350" s="568">
        <v>2</v>
      </c>
      <c r="J350" s="569">
        <v>22</v>
      </c>
      <c r="K350" s="569">
        <v>22</v>
      </c>
      <c r="L350" s="569">
        <v>17</v>
      </c>
      <c r="M350" s="566" t="s">
        <v>476</v>
      </c>
      <c r="N350" s="570">
        <v>301</v>
      </c>
      <c r="O350" s="566"/>
      <c r="P350" s="566" t="s">
        <v>477</v>
      </c>
      <c r="Q350" s="568">
        <v>909678</v>
      </c>
      <c r="R350" s="568">
        <v>4</v>
      </c>
      <c r="S350" s="566" t="s">
        <v>1381</v>
      </c>
      <c r="T350" s="578" t="s">
        <v>779</v>
      </c>
      <c r="U350" s="578" t="s">
        <v>550</v>
      </c>
      <c r="V350" s="578" t="s">
        <v>528</v>
      </c>
      <c r="W350" s="579" t="s">
        <v>556</v>
      </c>
      <c r="X350" s="578" t="s">
        <v>1380</v>
      </c>
      <c r="Y350" s="578" t="s">
        <v>1338</v>
      </c>
      <c r="Z350" s="580" t="s">
        <v>869</v>
      </c>
      <c r="AA350" s="581">
        <v>301</v>
      </c>
      <c r="AB350" s="578">
        <v>260200</v>
      </c>
    </row>
    <row r="351" spans="1:28" hidden="1">
      <c r="A351" s="566" t="s">
        <v>1335</v>
      </c>
      <c r="B351" s="566" t="s">
        <v>466</v>
      </c>
      <c r="C351" s="566" t="s">
        <v>471</v>
      </c>
      <c r="D351" s="566" t="s">
        <v>472</v>
      </c>
      <c r="E351" s="566" t="s">
        <v>473</v>
      </c>
      <c r="F351" s="566" t="s">
        <v>474</v>
      </c>
      <c r="G351" s="567">
        <v>0</v>
      </c>
      <c r="H351" s="566" t="s">
        <v>561</v>
      </c>
      <c r="I351" s="568">
        <v>2</v>
      </c>
      <c r="J351" s="569">
        <v>7</v>
      </c>
      <c r="K351" s="569">
        <v>7</v>
      </c>
      <c r="L351" s="566"/>
      <c r="M351" s="566" t="s">
        <v>476</v>
      </c>
      <c r="N351" s="570">
        <v>472</v>
      </c>
      <c r="O351" s="566"/>
      <c r="P351" s="566" t="s">
        <v>477</v>
      </c>
      <c r="Q351" s="568">
        <v>909678</v>
      </c>
      <c r="R351" s="568">
        <v>10</v>
      </c>
      <c r="S351" s="566" t="s">
        <v>1382</v>
      </c>
      <c r="T351" s="578" t="s">
        <v>779</v>
      </c>
      <c r="U351" s="578" t="s">
        <v>550</v>
      </c>
      <c r="V351" s="578" t="s">
        <v>528</v>
      </c>
      <c r="W351" s="579" t="s">
        <v>1274</v>
      </c>
      <c r="X351" s="578" t="s">
        <v>1380</v>
      </c>
      <c r="Y351" s="578" t="s">
        <v>1338</v>
      </c>
      <c r="Z351" s="580" t="s">
        <v>871</v>
      </c>
      <c r="AA351" s="581">
        <v>472</v>
      </c>
      <c r="AB351" s="578"/>
    </row>
    <row r="352" spans="1:28" hidden="1">
      <c r="A352" s="566" t="s">
        <v>1335</v>
      </c>
      <c r="B352" s="566" t="s">
        <v>466</v>
      </c>
      <c r="C352" s="566" t="s">
        <v>471</v>
      </c>
      <c r="D352" s="566" t="s">
        <v>472</v>
      </c>
      <c r="E352" s="566" t="s">
        <v>473</v>
      </c>
      <c r="F352" s="566" t="s">
        <v>474</v>
      </c>
      <c r="G352" s="567">
        <v>0</v>
      </c>
      <c r="H352" s="566" t="s">
        <v>564</v>
      </c>
      <c r="I352" s="568">
        <v>2</v>
      </c>
      <c r="J352" s="569">
        <v>7</v>
      </c>
      <c r="K352" s="569">
        <v>7</v>
      </c>
      <c r="L352" s="566"/>
      <c r="M352" s="566" t="s">
        <v>476</v>
      </c>
      <c r="N352" s="570">
        <v>544</v>
      </c>
      <c r="O352" s="566"/>
      <c r="P352" s="566" t="s">
        <v>477</v>
      </c>
      <c r="Q352" s="568">
        <v>909678</v>
      </c>
      <c r="R352" s="568">
        <v>15</v>
      </c>
      <c r="S352" s="566" t="s">
        <v>483</v>
      </c>
      <c r="T352" s="578" t="s">
        <v>779</v>
      </c>
      <c r="U352" s="578" t="s">
        <v>550</v>
      </c>
      <c r="V352" s="578" t="s">
        <v>528</v>
      </c>
      <c r="W352" s="579" t="s">
        <v>1275</v>
      </c>
      <c r="X352" s="578" t="s">
        <v>1380</v>
      </c>
      <c r="Y352" s="578" t="s">
        <v>1338</v>
      </c>
      <c r="Z352" s="580" t="s">
        <v>872</v>
      </c>
      <c r="AA352" s="581">
        <v>544</v>
      </c>
      <c r="AB352" s="578"/>
    </row>
    <row r="353" spans="1:28" hidden="1">
      <c r="A353" s="566" t="s">
        <v>1335</v>
      </c>
      <c r="B353" s="566" t="s">
        <v>466</v>
      </c>
      <c r="C353" s="566" t="s">
        <v>487</v>
      </c>
      <c r="D353" s="566" t="s">
        <v>472</v>
      </c>
      <c r="E353" s="566" t="s">
        <v>473</v>
      </c>
      <c r="F353" s="566" t="s">
        <v>489</v>
      </c>
      <c r="G353" s="567">
        <v>50</v>
      </c>
      <c r="H353" s="566" t="s">
        <v>566</v>
      </c>
      <c r="I353" s="568">
        <v>2</v>
      </c>
      <c r="J353" s="569">
        <v>7</v>
      </c>
      <c r="K353" s="569">
        <v>7</v>
      </c>
      <c r="L353" s="566"/>
      <c r="M353" s="566" t="s">
        <v>476</v>
      </c>
      <c r="N353" s="570">
        <v>580</v>
      </c>
      <c r="O353" s="566"/>
      <c r="P353" s="566" t="s">
        <v>477</v>
      </c>
      <c r="Q353" s="568">
        <v>909678</v>
      </c>
      <c r="R353" s="568">
        <v>16</v>
      </c>
      <c r="S353" s="566" t="s">
        <v>488</v>
      </c>
      <c r="T353" s="578" t="s">
        <v>779</v>
      </c>
      <c r="U353" s="578" t="s">
        <v>550</v>
      </c>
      <c r="V353" s="578" t="s">
        <v>528</v>
      </c>
      <c r="W353" s="579" t="s">
        <v>485</v>
      </c>
      <c r="X353" s="578" t="s">
        <v>1380</v>
      </c>
      <c r="Y353" s="578" t="s">
        <v>1338</v>
      </c>
      <c r="Z353" s="580" t="s">
        <v>873</v>
      </c>
      <c r="AA353" s="581">
        <v>580</v>
      </c>
      <c r="AB353" s="578"/>
    </row>
    <row r="354" spans="1:28" hidden="1">
      <c r="A354" s="566" t="s">
        <v>1335</v>
      </c>
      <c r="B354" s="566" t="s">
        <v>466</v>
      </c>
      <c r="C354" s="566" t="s">
        <v>487</v>
      </c>
      <c r="D354" s="566" t="s">
        <v>472</v>
      </c>
      <c r="E354" s="566" t="s">
        <v>473</v>
      </c>
      <c r="F354" s="566" t="s">
        <v>489</v>
      </c>
      <c r="G354" s="567">
        <v>50</v>
      </c>
      <c r="H354" s="566" t="s">
        <v>568</v>
      </c>
      <c r="I354" s="568">
        <v>2</v>
      </c>
      <c r="J354" s="569">
        <v>7</v>
      </c>
      <c r="K354" s="569">
        <v>7</v>
      </c>
      <c r="L354" s="566"/>
      <c r="M354" s="566" t="s">
        <v>476</v>
      </c>
      <c r="N354" s="570">
        <v>616</v>
      </c>
      <c r="O354" s="566"/>
      <c r="P354" s="566" t="s">
        <v>477</v>
      </c>
      <c r="Q354" s="568">
        <v>909678</v>
      </c>
      <c r="R354" s="568">
        <v>17</v>
      </c>
      <c r="S354" s="566" t="s">
        <v>493</v>
      </c>
      <c r="T354" s="578" t="s">
        <v>779</v>
      </c>
      <c r="U354" s="578" t="s">
        <v>550</v>
      </c>
      <c r="V354" s="578" t="s">
        <v>528</v>
      </c>
      <c r="W354" s="579" t="s">
        <v>491</v>
      </c>
      <c r="X354" s="578" t="s">
        <v>1380</v>
      </c>
      <c r="Y354" s="578" t="s">
        <v>1338</v>
      </c>
      <c r="Z354" s="580" t="s">
        <v>874</v>
      </c>
      <c r="AA354" s="581">
        <v>616</v>
      </c>
      <c r="AB354" s="578"/>
    </row>
    <row r="355" spans="1:28" hidden="1">
      <c r="A355" s="566" t="s">
        <v>1335</v>
      </c>
      <c r="B355" s="566" t="s">
        <v>466</v>
      </c>
      <c r="C355" s="566" t="s">
        <v>487</v>
      </c>
      <c r="D355" s="566" t="s">
        <v>472</v>
      </c>
      <c r="E355" s="566" t="s">
        <v>473</v>
      </c>
      <c r="F355" s="566" t="s">
        <v>489</v>
      </c>
      <c r="G355" s="567">
        <v>50</v>
      </c>
      <c r="H355" s="566" t="s">
        <v>570</v>
      </c>
      <c r="I355" s="568">
        <v>2</v>
      </c>
      <c r="J355" s="569">
        <v>7</v>
      </c>
      <c r="K355" s="569">
        <v>7</v>
      </c>
      <c r="L355" s="566"/>
      <c r="M355" s="566" t="s">
        <v>476</v>
      </c>
      <c r="N355" s="570">
        <v>652</v>
      </c>
      <c r="O355" s="566"/>
      <c r="P355" s="566" t="s">
        <v>477</v>
      </c>
      <c r="Q355" s="568">
        <v>909678</v>
      </c>
      <c r="R355" s="568">
        <v>18</v>
      </c>
      <c r="S355" s="566" t="s">
        <v>497</v>
      </c>
      <c r="T355" s="578" t="s">
        <v>779</v>
      </c>
      <c r="U355" s="578" t="s">
        <v>550</v>
      </c>
      <c r="V355" s="578" t="s">
        <v>528</v>
      </c>
      <c r="W355" s="579" t="s">
        <v>495</v>
      </c>
      <c r="X355" s="578" t="s">
        <v>1380</v>
      </c>
      <c r="Y355" s="578" t="s">
        <v>1338</v>
      </c>
      <c r="Z355" s="580" t="s">
        <v>875</v>
      </c>
      <c r="AA355" s="581">
        <v>652</v>
      </c>
      <c r="AB355" s="578"/>
    </row>
    <row r="356" spans="1:28" hidden="1">
      <c r="A356" s="566" t="s">
        <v>1335</v>
      </c>
      <c r="B356" s="566" t="s">
        <v>466</v>
      </c>
      <c r="C356" s="566" t="s">
        <v>487</v>
      </c>
      <c r="D356" s="566" t="s">
        <v>472</v>
      </c>
      <c r="E356" s="566" t="s">
        <v>473</v>
      </c>
      <c r="F356" s="566" t="s">
        <v>489</v>
      </c>
      <c r="G356" s="567">
        <v>50</v>
      </c>
      <c r="H356" s="566" t="s">
        <v>573</v>
      </c>
      <c r="I356" s="568">
        <v>2</v>
      </c>
      <c r="J356" s="569">
        <v>7</v>
      </c>
      <c r="K356" s="569">
        <v>7</v>
      </c>
      <c r="L356" s="566"/>
      <c r="M356" s="566" t="s">
        <v>476</v>
      </c>
      <c r="N356" s="570">
        <v>724</v>
      </c>
      <c r="O356" s="566"/>
      <c r="P356" s="566" t="s">
        <v>477</v>
      </c>
      <c r="Q356" s="568">
        <v>909678</v>
      </c>
      <c r="R356" s="568">
        <v>19</v>
      </c>
      <c r="S356" s="566" t="s">
        <v>502</v>
      </c>
      <c r="T356" s="578" t="s">
        <v>779</v>
      </c>
      <c r="U356" s="578" t="s">
        <v>550</v>
      </c>
      <c r="V356" s="578" t="s">
        <v>528</v>
      </c>
      <c r="W356" s="579" t="s">
        <v>1276</v>
      </c>
      <c r="X356" s="578" t="s">
        <v>1380</v>
      </c>
      <c r="Y356" s="578" t="s">
        <v>1338</v>
      </c>
      <c r="Z356" s="580" t="s">
        <v>876</v>
      </c>
      <c r="AA356" s="581">
        <v>724</v>
      </c>
      <c r="AB356" s="578"/>
    </row>
    <row r="357" spans="1:28" hidden="1">
      <c r="A357" s="566" t="s">
        <v>1335</v>
      </c>
      <c r="B357" s="566" t="s">
        <v>466</v>
      </c>
      <c r="C357" s="566" t="s">
        <v>487</v>
      </c>
      <c r="D357" s="566" t="s">
        <v>472</v>
      </c>
      <c r="E357" s="566" t="s">
        <v>473</v>
      </c>
      <c r="F357" s="566" t="s">
        <v>489</v>
      </c>
      <c r="G357" s="567">
        <v>50</v>
      </c>
      <c r="H357" s="566" t="s">
        <v>576</v>
      </c>
      <c r="I357" s="568">
        <v>2</v>
      </c>
      <c r="J357" s="569">
        <v>7</v>
      </c>
      <c r="K357" s="569">
        <v>7</v>
      </c>
      <c r="L357" s="566"/>
      <c r="M357" s="566" t="s">
        <v>476</v>
      </c>
      <c r="N357" s="570">
        <v>796</v>
      </c>
      <c r="O357" s="566"/>
      <c r="P357" s="566" t="s">
        <v>477</v>
      </c>
      <c r="Q357" s="568">
        <v>909678</v>
      </c>
      <c r="R357" s="568">
        <v>21</v>
      </c>
      <c r="S357" s="566" t="s">
        <v>507</v>
      </c>
      <c r="T357" s="578" t="s">
        <v>779</v>
      </c>
      <c r="U357" s="578" t="s">
        <v>550</v>
      </c>
      <c r="V357" s="578" t="s">
        <v>528</v>
      </c>
      <c r="W357" s="579" t="s">
        <v>1277</v>
      </c>
      <c r="X357" s="578" t="s">
        <v>1380</v>
      </c>
      <c r="Y357" s="578" t="s">
        <v>1338</v>
      </c>
      <c r="Z357" s="580" t="s">
        <v>877</v>
      </c>
      <c r="AA357" s="581">
        <v>796</v>
      </c>
      <c r="AB357" s="578"/>
    </row>
    <row r="358" spans="1:28" hidden="1">
      <c r="A358" s="566" t="s">
        <v>1335</v>
      </c>
      <c r="B358" s="566" t="s">
        <v>466</v>
      </c>
      <c r="C358" s="566" t="s">
        <v>471</v>
      </c>
      <c r="D358" s="566" t="s">
        <v>472</v>
      </c>
      <c r="E358" s="566" t="s">
        <v>473</v>
      </c>
      <c r="F358" s="566" t="s">
        <v>474</v>
      </c>
      <c r="G358" s="567">
        <v>0</v>
      </c>
      <c r="H358" s="566" t="s">
        <v>1352</v>
      </c>
      <c r="I358" s="568">
        <v>2</v>
      </c>
      <c r="J358" s="569">
        <v>7</v>
      </c>
      <c r="K358" s="569">
        <v>7</v>
      </c>
      <c r="L358" s="566"/>
      <c r="M358" s="566" t="s">
        <v>476</v>
      </c>
      <c r="N358" s="570">
        <v>832</v>
      </c>
      <c r="O358" s="566"/>
      <c r="P358" s="566" t="s">
        <v>477</v>
      </c>
      <c r="Q358" s="568">
        <v>909678</v>
      </c>
      <c r="R358" s="568">
        <v>46</v>
      </c>
      <c r="S358" s="566" t="s">
        <v>1383</v>
      </c>
      <c r="T358" s="578" t="s">
        <v>779</v>
      </c>
      <c r="U358" s="578" t="s">
        <v>550</v>
      </c>
      <c r="V358" s="578" t="s">
        <v>528</v>
      </c>
      <c r="W358" s="579" t="s">
        <v>1354</v>
      </c>
      <c r="X358" s="578" t="s">
        <v>1380</v>
      </c>
      <c r="Y358" s="578" t="s">
        <v>1338</v>
      </c>
      <c r="Z358" s="580" t="s">
        <v>1616</v>
      </c>
      <c r="AA358" s="581">
        <v>832</v>
      </c>
      <c r="AB358" s="578"/>
    </row>
    <row r="359" spans="1:28" hidden="1">
      <c r="A359" s="566" t="s">
        <v>1335</v>
      </c>
      <c r="B359" s="566" t="s">
        <v>466</v>
      </c>
      <c r="C359" s="566" t="s">
        <v>487</v>
      </c>
      <c r="D359" s="566" t="s">
        <v>472</v>
      </c>
      <c r="E359" s="566" t="s">
        <v>473</v>
      </c>
      <c r="F359" s="566" t="s">
        <v>489</v>
      </c>
      <c r="G359" s="567">
        <v>50</v>
      </c>
      <c r="H359" s="566" t="s">
        <v>1356</v>
      </c>
      <c r="I359" s="568">
        <v>2</v>
      </c>
      <c r="J359" s="569">
        <v>7</v>
      </c>
      <c r="K359" s="569">
        <v>7</v>
      </c>
      <c r="L359" s="566"/>
      <c r="M359" s="566" t="s">
        <v>476</v>
      </c>
      <c r="N359" s="570">
        <v>868</v>
      </c>
      <c r="O359" s="566"/>
      <c r="P359" s="566" t="s">
        <v>477</v>
      </c>
      <c r="Q359" s="568">
        <v>909678</v>
      </c>
      <c r="R359" s="568">
        <v>47</v>
      </c>
      <c r="S359" s="566" t="s">
        <v>1385</v>
      </c>
      <c r="T359" s="578" t="s">
        <v>779</v>
      </c>
      <c r="U359" s="578" t="s">
        <v>550</v>
      </c>
      <c r="V359" s="578" t="s">
        <v>528</v>
      </c>
      <c r="W359" s="579" t="s">
        <v>1358</v>
      </c>
      <c r="X359" s="578" t="s">
        <v>1380</v>
      </c>
      <c r="Y359" s="578" t="s">
        <v>1338</v>
      </c>
      <c r="Z359" s="580" t="s">
        <v>1617</v>
      </c>
      <c r="AA359" s="581">
        <v>868</v>
      </c>
      <c r="AB359" s="578"/>
    </row>
    <row r="360" spans="1:28" hidden="1">
      <c r="A360" s="566" t="s">
        <v>1335</v>
      </c>
      <c r="B360" s="566" t="s">
        <v>466</v>
      </c>
      <c r="C360" s="566" t="s">
        <v>553</v>
      </c>
      <c r="D360" s="566" t="s">
        <v>472</v>
      </c>
      <c r="E360" s="566" t="s">
        <v>473</v>
      </c>
      <c r="F360" s="566" t="s">
        <v>554</v>
      </c>
      <c r="G360" s="567">
        <v>13</v>
      </c>
      <c r="H360" s="566" t="s">
        <v>879</v>
      </c>
      <c r="I360" s="568">
        <v>2</v>
      </c>
      <c r="J360" s="569">
        <v>22</v>
      </c>
      <c r="K360" s="569">
        <v>22</v>
      </c>
      <c r="L360" s="569">
        <v>17</v>
      </c>
      <c r="M360" s="566" t="s">
        <v>476</v>
      </c>
      <c r="N360" s="570">
        <v>181</v>
      </c>
      <c r="O360" s="566"/>
      <c r="P360" s="566" t="s">
        <v>477</v>
      </c>
      <c r="Q360" s="568">
        <v>909678</v>
      </c>
      <c r="R360" s="568">
        <v>1</v>
      </c>
      <c r="S360" s="566" t="s">
        <v>1387</v>
      </c>
      <c r="T360" s="578" t="s">
        <v>779</v>
      </c>
      <c r="U360" s="578" t="s">
        <v>550</v>
      </c>
      <c r="V360" s="578" t="s">
        <v>528</v>
      </c>
      <c r="W360" s="579" t="s">
        <v>577</v>
      </c>
      <c r="X360" s="578" t="s">
        <v>1380</v>
      </c>
      <c r="Y360" s="578" t="s">
        <v>1338</v>
      </c>
      <c r="Z360" s="580" t="s">
        <v>878</v>
      </c>
      <c r="AA360" s="581">
        <v>181</v>
      </c>
      <c r="AB360" s="578">
        <v>260080</v>
      </c>
    </row>
    <row r="361" spans="1:28" hidden="1">
      <c r="A361" s="566" t="s">
        <v>1335</v>
      </c>
      <c r="B361" s="566" t="s">
        <v>466</v>
      </c>
      <c r="C361" s="566" t="s">
        <v>553</v>
      </c>
      <c r="D361" s="566" t="s">
        <v>472</v>
      </c>
      <c r="E361" s="566" t="s">
        <v>473</v>
      </c>
      <c r="F361" s="566" t="s">
        <v>554</v>
      </c>
      <c r="G361" s="567">
        <v>13</v>
      </c>
      <c r="H361" s="566" t="s">
        <v>881</v>
      </c>
      <c r="I361" s="568">
        <v>2</v>
      </c>
      <c r="J361" s="569">
        <v>22</v>
      </c>
      <c r="K361" s="569">
        <v>22</v>
      </c>
      <c r="L361" s="569">
        <v>17</v>
      </c>
      <c r="M361" s="566" t="s">
        <v>476</v>
      </c>
      <c r="N361" s="570">
        <v>205</v>
      </c>
      <c r="O361" s="566"/>
      <c r="P361" s="566" t="s">
        <v>477</v>
      </c>
      <c r="Q361" s="568">
        <v>909678</v>
      </c>
      <c r="R361" s="568">
        <v>2</v>
      </c>
      <c r="S361" s="566" t="s">
        <v>1388</v>
      </c>
      <c r="T361" s="578" t="s">
        <v>779</v>
      </c>
      <c r="U361" s="578" t="s">
        <v>550</v>
      </c>
      <c r="V361" s="578" t="s">
        <v>528</v>
      </c>
      <c r="W361" s="579" t="s">
        <v>580</v>
      </c>
      <c r="X361" s="578" t="s">
        <v>1380</v>
      </c>
      <c r="Y361" s="578" t="s">
        <v>1338</v>
      </c>
      <c r="Z361" s="580" t="s">
        <v>880</v>
      </c>
      <c r="AA361" s="581">
        <v>205</v>
      </c>
      <c r="AB361" s="578">
        <v>260104</v>
      </c>
    </row>
    <row r="362" spans="1:28" hidden="1">
      <c r="A362" s="566" t="s">
        <v>1335</v>
      </c>
      <c r="B362" s="566" t="s">
        <v>466</v>
      </c>
      <c r="C362" s="566" t="s">
        <v>553</v>
      </c>
      <c r="D362" s="566" t="s">
        <v>472</v>
      </c>
      <c r="E362" s="566" t="s">
        <v>473</v>
      </c>
      <c r="F362" s="566" t="s">
        <v>554</v>
      </c>
      <c r="G362" s="567">
        <v>16</v>
      </c>
      <c r="H362" s="566" t="s">
        <v>883</v>
      </c>
      <c r="I362" s="568">
        <v>2</v>
      </c>
      <c r="J362" s="569">
        <v>22</v>
      </c>
      <c r="K362" s="569">
        <v>22</v>
      </c>
      <c r="L362" s="569">
        <v>17</v>
      </c>
      <c r="M362" s="566" t="s">
        <v>476</v>
      </c>
      <c r="N362" s="570">
        <v>229</v>
      </c>
      <c r="O362" s="566"/>
      <c r="P362" s="566" t="s">
        <v>477</v>
      </c>
      <c r="Q362" s="568">
        <v>909678</v>
      </c>
      <c r="R362" s="568">
        <v>12</v>
      </c>
      <c r="S362" s="566" t="s">
        <v>1389</v>
      </c>
      <c r="T362" s="578" t="s">
        <v>779</v>
      </c>
      <c r="U362" s="578" t="s">
        <v>550</v>
      </c>
      <c r="V362" s="578" t="s">
        <v>528</v>
      </c>
      <c r="W362" s="579" t="s">
        <v>583</v>
      </c>
      <c r="X362" s="578" t="s">
        <v>1380</v>
      </c>
      <c r="Y362" s="578" t="s">
        <v>1338</v>
      </c>
      <c r="Z362" s="580" t="s">
        <v>882</v>
      </c>
      <c r="AA362" s="581">
        <v>229</v>
      </c>
      <c r="AB362" s="578">
        <v>260128</v>
      </c>
    </row>
    <row r="363" spans="1:28" hidden="1">
      <c r="A363" s="566" t="s">
        <v>1335</v>
      </c>
      <c r="B363" s="566" t="s">
        <v>466</v>
      </c>
      <c r="C363" s="566" t="s">
        <v>553</v>
      </c>
      <c r="D363" s="566" t="s">
        <v>472</v>
      </c>
      <c r="E363" s="566" t="s">
        <v>473</v>
      </c>
      <c r="F363" s="566" t="s">
        <v>554</v>
      </c>
      <c r="G363" s="567">
        <v>16</v>
      </c>
      <c r="H363" s="566" t="s">
        <v>885</v>
      </c>
      <c r="I363" s="568">
        <v>2</v>
      </c>
      <c r="J363" s="569">
        <v>22</v>
      </c>
      <c r="K363" s="569">
        <v>22</v>
      </c>
      <c r="L363" s="569">
        <v>17</v>
      </c>
      <c r="M363" s="566" t="s">
        <v>476</v>
      </c>
      <c r="N363" s="570">
        <v>253</v>
      </c>
      <c r="O363" s="566"/>
      <c r="P363" s="566" t="s">
        <v>477</v>
      </c>
      <c r="Q363" s="568">
        <v>909678</v>
      </c>
      <c r="R363" s="568">
        <v>3</v>
      </c>
      <c r="S363" s="566" t="s">
        <v>1390</v>
      </c>
      <c r="T363" s="578" t="s">
        <v>779</v>
      </c>
      <c r="U363" s="578" t="s">
        <v>550</v>
      </c>
      <c r="V363" s="578" t="s">
        <v>528</v>
      </c>
      <c r="W363" s="579" t="s">
        <v>586</v>
      </c>
      <c r="X363" s="578" t="s">
        <v>1380</v>
      </c>
      <c r="Y363" s="578" t="s">
        <v>1338</v>
      </c>
      <c r="Z363" s="580" t="s">
        <v>884</v>
      </c>
      <c r="AA363" s="581">
        <v>253</v>
      </c>
      <c r="AB363" s="578">
        <v>260152</v>
      </c>
    </row>
    <row r="364" spans="1:28" hidden="1">
      <c r="A364" s="566" t="s">
        <v>1335</v>
      </c>
      <c r="B364" s="566" t="s">
        <v>466</v>
      </c>
      <c r="C364" s="566" t="s">
        <v>553</v>
      </c>
      <c r="D364" s="566" t="s">
        <v>472</v>
      </c>
      <c r="E364" s="566" t="s">
        <v>473</v>
      </c>
      <c r="F364" s="566" t="s">
        <v>554</v>
      </c>
      <c r="G364" s="567">
        <v>16</v>
      </c>
      <c r="H364" s="566" t="s">
        <v>887</v>
      </c>
      <c r="I364" s="568">
        <v>2</v>
      </c>
      <c r="J364" s="569">
        <v>22</v>
      </c>
      <c r="K364" s="569">
        <v>22</v>
      </c>
      <c r="L364" s="569">
        <v>17</v>
      </c>
      <c r="M364" s="566" t="s">
        <v>476</v>
      </c>
      <c r="N364" s="570">
        <v>277</v>
      </c>
      <c r="O364" s="566"/>
      <c r="P364" s="566" t="s">
        <v>477</v>
      </c>
      <c r="Q364" s="568">
        <v>909678</v>
      </c>
      <c r="R364" s="568">
        <v>13</v>
      </c>
      <c r="S364" s="566" t="s">
        <v>1391</v>
      </c>
      <c r="T364" s="578" t="s">
        <v>779</v>
      </c>
      <c r="U364" s="578" t="s">
        <v>550</v>
      </c>
      <c r="V364" s="578" t="s">
        <v>528</v>
      </c>
      <c r="W364" s="579" t="s">
        <v>589</v>
      </c>
      <c r="X364" s="578" t="s">
        <v>1380</v>
      </c>
      <c r="Y364" s="578" t="s">
        <v>1338</v>
      </c>
      <c r="Z364" s="580" t="s">
        <v>886</v>
      </c>
      <c r="AA364" s="581">
        <v>277</v>
      </c>
      <c r="AB364" s="578">
        <v>260176</v>
      </c>
    </row>
    <row r="365" spans="1:28" hidden="1">
      <c r="A365" s="566" t="s">
        <v>1335</v>
      </c>
      <c r="B365" s="566" t="s">
        <v>466</v>
      </c>
      <c r="C365" s="566" t="s">
        <v>471</v>
      </c>
      <c r="D365" s="566" t="s">
        <v>472</v>
      </c>
      <c r="E365" s="566" t="s">
        <v>473</v>
      </c>
      <c r="F365" s="566" t="s">
        <v>474</v>
      </c>
      <c r="G365" s="567">
        <v>0</v>
      </c>
      <c r="H365" s="566" t="s">
        <v>593</v>
      </c>
      <c r="I365" s="568">
        <v>1</v>
      </c>
      <c r="J365" s="569">
        <v>7</v>
      </c>
      <c r="K365" s="569">
        <v>7</v>
      </c>
      <c r="L365" s="566"/>
      <c r="M365" s="566" t="s">
        <v>476</v>
      </c>
      <c r="N365" s="570">
        <v>328</v>
      </c>
      <c r="O365" s="566"/>
      <c r="P365" s="566" t="s">
        <v>477</v>
      </c>
      <c r="Q365" s="568">
        <v>909678</v>
      </c>
      <c r="R365" s="568">
        <v>5</v>
      </c>
      <c r="S365" s="566" t="s">
        <v>1392</v>
      </c>
      <c r="T365" s="578" t="s">
        <v>779</v>
      </c>
      <c r="U365" s="578" t="s">
        <v>550</v>
      </c>
      <c r="V365" s="578" t="s">
        <v>528</v>
      </c>
      <c r="W365" s="579" t="s">
        <v>509</v>
      </c>
      <c r="X365" s="578" t="s">
        <v>1380</v>
      </c>
      <c r="Y365" s="578" t="s">
        <v>1338</v>
      </c>
      <c r="Z365" s="580" t="s">
        <v>888</v>
      </c>
      <c r="AA365" s="581">
        <v>328</v>
      </c>
      <c r="AB365" s="578"/>
    </row>
    <row r="366" spans="1:28" hidden="1">
      <c r="A366" s="566" t="s">
        <v>1335</v>
      </c>
      <c r="B366" s="566" t="s">
        <v>466</v>
      </c>
      <c r="C366" s="566" t="s">
        <v>471</v>
      </c>
      <c r="D366" s="566" t="s">
        <v>472</v>
      </c>
      <c r="E366" s="566" t="s">
        <v>473</v>
      </c>
      <c r="F366" s="566" t="s">
        <v>474</v>
      </c>
      <c r="G366" s="567">
        <v>0</v>
      </c>
      <c r="H366" s="566" t="s">
        <v>595</v>
      </c>
      <c r="I366" s="568">
        <v>2</v>
      </c>
      <c r="J366" s="569">
        <v>7</v>
      </c>
      <c r="K366" s="569">
        <v>7</v>
      </c>
      <c r="L366" s="566"/>
      <c r="M366" s="566" t="s">
        <v>476</v>
      </c>
      <c r="N366" s="570">
        <v>364</v>
      </c>
      <c r="O366" s="566"/>
      <c r="P366" s="566" t="s">
        <v>477</v>
      </c>
      <c r="Q366" s="568">
        <v>909678</v>
      </c>
      <c r="R366" s="568">
        <v>6</v>
      </c>
      <c r="S366" s="566" t="s">
        <v>1393</v>
      </c>
      <c r="T366" s="578" t="s">
        <v>779</v>
      </c>
      <c r="U366" s="578" t="s">
        <v>550</v>
      </c>
      <c r="V366" s="578" t="s">
        <v>528</v>
      </c>
      <c r="W366" s="579" t="s">
        <v>512</v>
      </c>
      <c r="X366" s="578" t="s">
        <v>1380</v>
      </c>
      <c r="Y366" s="578" t="s">
        <v>1338</v>
      </c>
      <c r="Z366" s="580" t="s">
        <v>889</v>
      </c>
      <c r="AA366" s="581">
        <v>364</v>
      </c>
      <c r="AB366" s="578"/>
    </row>
    <row r="367" spans="1:28" hidden="1">
      <c r="A367" s="566" t="s">
        <v>1335</v>
      </c>
      <c r="B367" s="566" t="s">
        <v>466</v>
      </c>
      <c r="C367" s="566" t="s">
        <v>471</v>
      </c>
      <c r="D367" s="566" t="s">
        <v>472</v>
      </c>
      <c r="E367" s="566" t="s">
        <v>473</v>
      </c>
      <c r="F367" s="566" t="s">
        <v>474</v>
      </c>
      <c r="G367" s="567">
        <v>0</v>
      </c>
      <c r="H367" s="566" t="s">
        <v>597</v>
      </c>
      <c r="I367" s="568">
        <v>2</v>
      </c>
      <c r="J367" s="569">
        <v>7</v>
      </c>
      <c r="K367" s="569">
        <v>7</v>
      </c>
      <c r="L367" s="566"/>
      <c r="M367" s="566" t="s">
        <v>476</v>
      </c>
      <c r="N367" s="570">
        <v>400</v>
      </c>
      <c r="O367" s="566"/>
      <c r="P367" s="566" t="s">
        <v>477</v>
      </c>
      <c r="Q367" s="568">
        <v>909678</v>
      </c>
      <c r="R367" s="568">
        <v>14</v>
      </c>
      <c r="S367" s="566" t="s">
        <v>1394</v>
      </c>
      <c r="T367" s="578" t="s">
        <v>779</v>
      </c>
      <c r="U367" s="578" t="s">
        <v>550</v>
      </c>
      <c r="V367" s="578" t="s">
        <v>528</v>
      </c>
      <c r="W367" s="579" t="s">
        <v>514</v>
      </c>
      <c r="X367" s="578" t="s">
        <v>1380</v>
      </c>
      <c r="Y367" s="578" t="s">
        <v>1338</v>
      </c>
      <c r="Z367" s="580" t="s">
        <v>890</v>
      </c>
      <c r="AA367" s="581">
        <v>400</v>
      </c>
      <c r="AB367" s="578"/>
    </row>
    <row r="368" spans="1:28" hidden="1">
      <c r="A368" s="566" t="s">
        <v>1335</v>
      </c>
      <c r="B368" s="566" t="s">
        <v>466</v>
      </c>
      <c r="C368" s="566" t="s">
        <v>471</v>
      </c>
      <c r="D368" s="566" t="s">
        <v>472</v>
      </c>
      <c r="E368" s="566" t="s">
        <v>473</v>
      </c>
      <c r="F368" s="566" t="s">
        <v>474</v>
      </c>
      <c r="G368" s="567">
        <v>0</v>
      </c>
      <c r="H368" s="566" t="s">
        <v>561</v>
      </c>
      <c r="I368" s="568">
        <v>2</v>
      </c>
      <c r="J368" s="569">
        <v>31</v>
      </c>
      <c r="K368" s="569">
        <v>31</v>
      </c>
      <c r="L368" s="566"/>
      <c r="M368" s="566" t="s">
        <v>476</v>
      </c>
      <c r="N368" s="570">
        <v>1336</v>
      </c>
      <c r="O368" s="566"/>
      <c r="P368" s="566" t="s">
        <v>477</v>
      </c>
      <c r="Q368" s="568">
        <v>909678</v>
      </c>
      <c r="R368" s="568">
        <v>34</v>
      </c>
      <c r="S368" s="566" t="s">
        <v>1395</v>
      </c>
      <c r="T368" s="578" t="s">
        <v>779</v>
      </c>
      <c r="U368" s="578" t="s">
        <v>550</v>
      </c>
      <c r="V368" s="578" t="s">
        <v>528</v>
      </c>
      <c r="W368" s="579" t="s">
        <v>1274</v>
      </c>
      <c r="X368" s="578" t="s">
        <v>1380</v>
      </c>
      <c r="Y368" s="578" t="s">
        <v>1367</v>
      </c>
      <c r="Z368" s="580" t="s">
        <v>1618</v>
      </c>
      <c r="AA368" s="581">
        <v>1336</v>
      </c>
      <c r="AB368" s="578"/>
    </row>
    <row r="369" spans="1:28" hidden="1">
      <c r="A369" s="566" t="s">
        <v>1335</v>
      </c>
      <c r="B369" s="566" t="s">
        <v>466</v>
      </c>
      <c r="C369" s="566" t="s">
        <v>471</v>
      </c>
      <c r="D369" s="566" t="s">
        <v>472</v>
      </c>
      <c r="E369" s="566" t="s">
        <v>473</v>
      </c>
      <c r="F369" s="566" t="s">
        <v>474</v>
      </c>
      <c r="G369" s="567">
        <v>0</v>
      </c>
      <c r="H369" s="566" t="s">
        <v>564</v>
      </c>
      <c r="I369" s="568">
        <v>2</v>
      </c>
      <c r="J369" s="569">
        <v>31</v>
      </c>
      <c r="K369" s="569">
        <v>31</v>
      </c>
      <c r="L369" s="566"/>
      <c r="M369" s="566" t="s">
        <v>476</v>
      </c>
      <c r="N369" s="570">
        <v>1372</v>
      </c>
      <c r="O369" s="566"/>
      <c r="P369" s="566" t="s">
        <v>477</v>
      </c>
      <c r="Q369" s="568">
        <v>909678</v>
      </c>
      <c r="R369" s="568">
        <v>35</v>
      </c>
      <c r="S369" s="566" t="s">
        <v>1397</v>
      </c>
      <c r="T369" s="578" t="s">
        <v>779</v>
      </c>
      <c r="U369" s="578" t="s">
        <v>550</v>
      </c>
      <c r="V369" s="578" t="s">
        <v>528</v>
      </c>
      <c r="W369" s="579" t="s">
        <v>1275</v>
      </c>
      <c r="X369" s="578" t="s">
        <v>1380</v>
      </c>
      <c r="Y369" s="578" t="s">
        <v>1367</v>
      </c>
      <c r="Z369" s="580" t="s">
        <v>1619</v>
      </c>
      <c r="AA369" s="581">
        <v>1372</v>
      </c>
      <c r="AB369" s="578"/>
    </row>
    <row r="370" spans="1:28" hidden="1">
      <c r="A370" s="566" t="s">
        <v>1335</v>
      </c>
      <c r="B370" s="566" t="s">
        <v>466</v>
      </c>
      <c r="C370" s="566" t="s">
        <v>487</v>
      </c>
      <c r="D370" s="566" t="s">
        <v>472</v>
      </c>
      <c r="E370" s="566" t="s">
        <v>473</v>
      </c>
      <c r="F370" s="566" t="s">
        <v>489</v>
      </c>
      <c r="G370" s="567">
        <v>50</v>
      </c>
      <c r="H370" s="566" t="s">
        <v>573</v>
      </c>
      <c r="I370" s="568">
        <v>2</v>
      </c>
      <c r="J370" s="569">
        <v>31</v>
      </c>
      <c r="K370" s="569">
        <v>31</v>
      </c>
      <c r="L370" s="566"/>
      <c r="M370" s="566" t="s">
        <v>476</v>
      </c>
      <c r="N370" s="570">
        <v>1408</v>
      </c>
      <c r="O370" s="566"/>
      <c r="P370" s="566" t="s">
        <v>477</v>
      </c>
      <c r="Q370" s="568">
        <v>909678</v>
      </c>
      <c r="R370" s="568">
        <v>37</v>
      </c>
      <c r="S370" s="566" t="s">
        <v>1399</v>
      </c>
      <c r="T370" s="578" t="s">
        <v>779</v>
      </c>
      <c r="U370" s="578" t="s">
        <v>550</v>
      </c>
      <c r="V370" s="578" t="s">
        <v>528</v>
      </c>
      <c r="W370" s="579" t="s">
        <v>1276</v>
      </c>
      <c r="X370" s="578" t="s">
        <v>1380</v>
      </c>
      <c r="Y370" s="578" t="s">
        <v>1367</v>
      </c>
      <c r="Z370" s="580" t="s">
        <v>1620</v>
      </c>
      <c r="AA370" s="581">
        <v>1408</v>
      </c>
      <c r="AB370" s="578"/>
    </row>
    <row r="371" spans="1:28" hidden="1">
      <c r="A371" s="566" t="s">
        <v>1335</v>
      </c>
      <c r="B371" s="566" t="s">
        <v>466</v>
      </c>
      <c r="C371" s="566" t="s">
        <v>487</v>
      </c>
      <c r="D371" s="566" t="s">
        <v>472</v>
      </c>
      <c r="E371" s="566" t="s">
        <v>473</v>
      </c>
      <c r="F371" s="566" t="s">
        <v>489</v>
      </c>
      <c r="G371" s="567">
        <v>50</v>
      </c>
      <c r="H371" s="566" t="s">
        <v>576</v>
      </c>
      <c r="I371" s="568">
        <v>2</v>
      </c>
      <c r="J371" s="569">
        <v>31</v>
      </c>
      <c r="K371" s="569">
        <v>31</v>
      </c>
      <c r="L371" s="566"/>
      <c r="M371" s="566" t="s">
        <v>476</v>
      </c>
      <c r="N371" s="570">
        <v>1444</v>
      </c>
      <c r="O371" s="566"/>
      <c r="P371" s="566" t="s">
        <v>477</v>
      </c>
      <c r="Q371" s="568">
        <v>909678</v>
      </c>
      <c r="R371" s="568">
        <v>38</v>
      </c>
      <c r="S371" s="566" t="s">
        <v>1401</v>
      </c>
      <c r="T371" s="578" t="s">
        <v>779</v>
      </c>
      <c r="U371" s="578" t="s">
        <v>550</v>
      </c>
      <c r="V371" s="578" t="s">
        <v>528</v>
      </c>
      <c r="W371" s="579" t="s">
        <v>1277</v>
      </c>
      <c r="X371" s="578" t="s">
        <v>1380</v>
      </c>
      <c r="Y371" s="578" t="s">
        <v>1367</v>
      </c>
      <c r="Z371" s="580" t="s">
        <v>1621</v>
      </c>
      <c r="AA371" s="581">
        <v>1444</v>
      </c>
      <c r="AB371" s="578"/>
    </row>
    <row r="372" spans="1:28" hidden="1">
      <c r="A372" s="566" t="s">
        <v>1335</v>
      </c>
      <c r="B372" s="566" t="s">
        <v>466</v>
      </c>
      <c r="C372" s="566" t="s">
        <v>471</v>
      </c>
      <c r="D372" s="566" t="s">
        <v>472</v>
      </c>
      <c r="E372" s="566" t="s">
        <v>473</v>
      </c>
      <c r="F372" s="566" t="s">
        <v>474</v>
      </c>
      <c r="G372" s="567">
        <v>0</v>
      </c>
      <c r="H372" s="566" t="s">
        <v>1352</v>
      </c>
      <c r="I372" s="568">
        <v>2</v>
      </c>
      <c r="J372" s="569">
        <v>31</v>
      </c>
      <c r="K372" s="569">
        <v>31</v>
      </c>
      <c r="L372" s="566"/>
      <c r="M372" s="566" t="s">
        <v>476</v>
      </c>
      <c r="N372" s="570">
        <v>1480</v>
      </c>
      <c r="O372" s="566"/>
      <c r="P372" s="566" t="s">
        <v>477</v>
      </c>
      <c r="Q372" s="568">
        <v>909678</v>
      </c>
      <c r="R372" s="568">
        <v>36</v>
      </c>
      <c r="S372" s="566" t="s">
        <v>1403</v>
      </c>
      <c r="T372" s="578" t="s">
        <v>779</v>
      </c>
      <c r="U372" s="578" t="s">
        <v>550</v>
      </c>
      <c r="V372" s="578" t="s">
        <v>528</v>
      </c>
      <c r="W372" s="579" t="s">
        <v>1354</v>
      </c>
      <c r="X372" s="578" t="s">
        <v>1380</v>
      </c>
      <c r="Y372" s="578" t="s">
        <v>1367</v>
      </c>
      <c r="Z372" s="580" t="s">
        <v>1622</v>
      </c>
      <c r="AA372" s="581">
        <v>1480</v>
      </c>
      <c r="AB372" s="578"/>
    </row>
    <row r="373" spans="1:28" hidden="1">
      <c r="A373" s="566" t="s">
        <v>1335</v>
      </c>
      <c r="B373" s="566" t="s">
        <v>466</v>
      </c>
      <c r="C373" s="566" t="s">
        <v>487</v>
      </c>
      <c r="D373" s="566" t="s">
        <v>472</v>
      </c>
      <c r="E373" s="566" t="s">
        <v>473</v>
      </c>
      <c r="F373" s="566" t="s">
        <v>489</v>
      </c>
      <c r="G373" s="567">
        <v>50</v>
      </c>
      <c r="H373" s="566" t="s">
        <v>1356</v>
      </c>
      <c r="I373" s="568">
        <v>2</v>
      </c>
      <c r="J373" s="569">
        <v>31</v>
      </c>
      <c r="K373" s="569">
        <v>31</v>
      </c>
      <c r="L373" s="566"/>
      <c r="M373" s="566" t="s">
        <v>476</v>
      </c>
      <c r="N373" s="570">
        <v>1516</v>
      </c>
      <c r="O373" s="566"/>
      <c r="P373" s="566" t="s">
        <v>477</v>
      </c>
      <c r="Q373" s="568">
        <v>909678</v>
      </c>
      <c r="R373" s="568">
        <v>39</v>
      </c>
      <c r="S373" s="566" t="s">
        <v>1405</v>
      </c>
      <c r="T373" s="578" t="s">
        <v>779</v>
      </c>
      <c r="U373" s="578" t="s">
        <v>550</v>
      </c>
      <c r="V373" s="578" t="s">
        <v>528</v>
      </c>
      <c r="W373" s="579" t="s">
        <v>1358</v>
      </c>
      <c r="X373" s="578" t="s">
        <v>1380</v>
      </c>
      <c r="Y373" s="578" t="s">
        <v>1367</v>
      </c>
      <c r="Z373" s="580" t="s">
        <v>1623</v>
      </c>
      <c r="AA373" s="581">
        <v>1516</v>
      </c>
      <c r="AB373" s="578"/>
    </row>
    <row r="374" spans="1:28" hidden="1">
      <c r="A374" s="566" t="s">
        <v>1335</v>
      </c>
      <c r="B374" s="566" t="s">
        <v>466</v>
      </c>
      <c r="C374" s="566" t="s">
        <v>471</v>
      </c>
      <c r="D374" s="566" t="s">
        <v>472</v>
      </c>
      <c r="E374" s="566" t="s">
        <v>473</v>
      </c>
      <c r="F374" s="566" t="s">
        <v>474</v>
      </c>
      <c r="G374" s="567">
        <v>0</v>
      </c>
      <c r="H374" s="566" t="s">
        <v>559</v>
      </c>
      <c r="I374" s="568">
        <v>2</v>
      </c>
      <c r="J374" s="569">
        <v>7</v>
      </c>
      <c r="K374" s="569">
        <v>7</v>
      </c>
      <c r="L374" s="566"/>
      <c r="M374" s="566" t="s">
        <v>476</v>
      </c>
      <c r="N374" s="570">
        <v>436</v>
      </c>
      <c r="O374" s="566"/>
      <c r="P374" s="566" t="s">
        <v>477</v>
      </c>
      <c r="Q374" s="568">
        <v>909678</v>
      </c>
      <c r="R374" s="568">
        <v>7</v>
      </c>
      <c r="S374" s="566" t="s">
        <v>1407</v>
      </c>
      <c r="T374" s="575" t="s">
        <v>1442</v>
      </c>
      <c r="U374" s="575" t="s">
        <v>550</v>
      </c>
      <c r="V374" s="575" t="s">
        <v>528</v>
      </c>
      <c r="W374" s="576" t="s">
        <v>470</v>
      </c>
      <c r="X374" s="575" t="s">
        <v>1380</v>
      </c>
      <c r="Y374" s="575" t="s">
        <v>1338</v>
      </c>
      <c r="Z374" s="576" t="s">
        <v>1624</v>
      </c>
      <c r="AA374" s="577">
        <v>436</v>
      </c>
      <c r="AB374" s="575"/>
    </row>
    <row r="375" spans="1:28" hidden="1">
      <c r="A375" s="566" t="s">
        <v>1335</v>
      </c>
      <c r="B375" s="566" t="s">
        <v>466</v>
      </c>
      <c r="C375" s="566" t="s">
        <v>471</v>
      </c>
      <c r="D375" s="566" t="s">
        <v>472</v>
      </c>
      <c r="E375" s="566" t="s">
        <v>473</v>
      </c>
      <c r="F375" s="566" t="s">
        <v>474</v>
      </c>
      <c r="G375" s="567">
        <v>0</v>
      </c>
      <c r="H375" s="566" t="s">
        <v>562</v>
      </c>
      <c r="I375" s="568">
        <v>2</v>
      </c>
      <c r="J375" s="569">
        <v>7</v>
      </c>
      <c r="K375" s="569">
        <v>7</v>
      </c>
      <c r="L375" s="566"/>
      <c r="M375" s="566" t="s">
        <v>476</v>
      </c>
      <c r="N375" s="570">
        <v>508</v>
      </c>
      <c r="O375" s="566"/>
      <c r="P375" s="566" t="s">
        <v>477</v>
      </c>
      <c r="Q375" s="568">
        <v>909678</v>
      </c>
      <c r="R375" s="568">
        <v>8</v>
      </c>
      <c r="S375" s="566" t="s">
        <v>1410</v>
      </c>
      <c r="T375" s="575" t="s">
        <v>1442</v>
      </c>
      <c r="U375" s="575" t="s">
        <v>550</v>
      </c>
      <c r="V375" s="575" t="s">
        <v>528</v>
      </c>
      <c r="W375" s="576" t="s">
        <v>480</v>
      </c>
      <c r="X375" s="575" t="s">
        <v>1380</v>
      </c>
      <c r="Y375" s="575" t="s">
        <v>1338</v>
      </c>
      <c r="Z375" s="576" t="s">
        <v>1625</v>
      </c>
      <c r="AA375" s="577">
        <v>508</v>
      </c>
      <c r="AB375" s="575"/>
    </row>
    <row r="376" spans="1:28" hidden="1">
      <c r="A376" s="566" t="s">
        <v>1335</v>
      </c>
      <c r="B376" s="566" t="s">
        <v>466</v>
      </c>
      <c r="C376" s="566" t="s">
        <v>487</v>
      </c>
      <c r="D376" s="566" t="s">
        <v>472</v>
      </c>
      <c r="E376" s="566" t="s">
        <v>473</v>
      </c>
      <c r="F376" s="566" t="s">
        <v>489</v>
      </c>
      <c r="G376" s="567">
        <v>50</v>
      </c>
      <c r="H376" s="566" t="s">
        <v>571</v>
      </c>
      <c r="I376" s="568">
        <v>2</v>
      </c>
      <c r="J376" s="569">
        <v>7</v>
      </c>
      <c r="K376" s="569">
        <v>7</v>
      </c>
      <c r="L376" s="566"/>
      <c r="M376" s="566" t="s">
        <v>476</v>
      </c>
      <c r="N376" s="570">
        <v>688</v>
      </c>
      <c r="O376" s="566"/>
      <c r="P376" s="566" t="s">
        <v>477</v>
      </c>
      <c r="Q376" s="568">
        <v>909678</v>
      </c>
      <c r="R376" s="568">
        <v>11</v>
      </c>
      <c r="S376" s="566" t="s">
        <v>1412</v>
      </c>
      <c r="T376" s="575" t="s">
        <v>1442</v>
      </c>
      <c r="U376" s="575" t="s">
        <v>550</v>
      </c>
      <c r="V376" s="575" t="s">
        <v>528</v>
      </c>
      <c r="W376" s="576" t="s">
        <v>499</v>
      </c>
      <c r="X376" s="575" t="s">
        <v>1380</v>
      </c>
      <c r="Y376" s="575" t="s">
        <v>1338</v>
      </c>
      <c r="Z376" s="576" t="s">
        <v>1626</v>
      </c>
      <c r="AA376" s="577">
        <v>688</v>
      </c>
      <c r="AB376" s="575"/>
    </row>
    <row r="377" spans="1:28" hidden="1">
      <c r="A377" s="566" t="s">
        <v>1335</v>
      </c>
      <c r="B377" s="566" t="s">
        <v>466</v>
      </c>
      <c r="C377" s="566" t="s">
        <v>487</v>
      </c>
      <c r="D377" s="566" t="s">
        <v>472</v>
      </c>
      <c r="E377" s="566" t="s">
        <v>473</v>
      </c>
      <c r="F377" s="566" t="s">
        <v>489</v>
      </c>
      <c r="G377" s="567">
        <v>50</v>
      </c>
      <c r="H377" s="566" t="s">
        <v>574</v>
      </c>
      <c r="I377" s="568">
        <v>2</v>
      </c>
      <c r="J377" s="569">
        <v>7</v>
      </c>
      <c r="K377" s="569">
        <v>7</v>
      </c>
      <c r="L377" s="566"/>
      <c r="M377" s="566" t="s">
        <v>476</v>
      </c>
      <c r="N377" s="570">
        <v>760</v>
      </c>
      <c r="O377" s="566"/>
      <c r="P377" s="566" t="s">
        <v>477</v>
      </c>
      <c r="Q377" s="568">
        <v>909678</v>
      </c>
      <c r="R377" s="568">
        <v>20</v>
      </c>
      <c r="S377" s="566" t="s">
        <v>1414</v>
      </c>
      <c r="T377" s="575" t="s">
        <v>1442</v>
      </c>
      <c r="U377" s="575" t="s">
        <v>550</v>
      </c>
      <c r="V377" s="575" t="s">
        <v>528</v>
      </c>
      <c r="W377" s="576" t="s">
        <v>504</v>
      </c>
      <c r="X377" s="575" t="s">
        <v>1380</v>
      </c>
      <c r="Y377" s="575" t="s">
        <v>1338</v>
      </c>
      <c r="Z377" s="576" t="s">
        <v>1627</v>
      </c>
      <c r="AA377" s="577">
        <v>760</v>
      </c>
      <c r="AB377" s="575"/>
    </row>
    <row r="378" spans="1:28" hidden="1">
      <c r="A378" s="566" t="s">
        <v>1335</v>
      </c>
      <c r="B378" s="566" t="s">
        <v>466</v>
      </c>
      <c r="C378" s="566" t="s">
        <v>471</v>
      </c>
      <c r="D378" s="566" t="s">
        <v>472</v>
      </c>
      <c r="E378" s="566" t="s">
        <v>473</v>
      </c>
      <c r="F378" s="566" t="s">
        <v>474</v>
      </c>
      <c r="G378" s="567">
        <v>0</v>
      </c>
      <c r="H378" s="566" t="s">
        <v>561</v>
      </c>
      <c r="I378" s="568">
        <v>2</v>
      </c>
      <c r="J378" s="569">
        <v>56</v>
      </c>
      <c r="K378" s="569">
        <v>56</v>
      </c>
      <c r="L378" s="566"/>
      <c r="M378" s="566" t="s">
        <v>476</v>
      </c>
      <c r="N378" s="570">
        <v>1013</v>
      </c>
      <c r="O378" s="566"/>
      <c r="P378" s="566" t="s">
        <v>477</v>
      </c>
      <c r="Q378" s="568">
        <v>909678</v>
      </c>
      <c r="R378" s="568">
        <v>25</v>
      </c>
      <c r="S378" s="566" t="s">
        <v>1336</v>
      </c>
      <c r="T378" s="582" t="s">
        <v>253</v>
      </c>
      <c r="U378" s="582" t="s">
        <v>550</v>
      </c>
      <c r="V378" s="582" t="s">
        <v>528</v>
      </c>
      <c r="W378" s="583" t="s">
        <v>1274</v>
      </c>
      <c r="X378" s="582" t="s">
        <v>1337</v>
      </c>
      <c r="Y378" s="582" t="s">
        <v>1338</v>
      </c>
      <c r="Z378" s="584" t="s">
        <v>1628</v>
      </c>
      <c r="AA378" s="585">
        <v>1013</v>
      </c>
      <c r="AB378" s="582"/>
    </row>
    <row r="379" spans="1:28" hidden="1">
      <c r="A379" s="566" t="s">
        <v>1335</v>
      </c>
      <c r="B379" s="566" t="s">
        <v>466</v>
      </c>
      <c r="C379" s="566" t="s">
        <v>471</v>
      </c>
      <c r="D379" s="566" t="s">
        <v>472</v>
      </c>
      <c r="E379" s="566" t="s">
        <v>473</v>
      </c>
      <c r="F379" s="566" t="s">
        <v>474</v>
      </c>
      <c r="G379" s="567">
        <v>0</v>
      </c>
      <c r="H379" s="566" t="s">
        <v>564</v>
      </c>
      <c r="I379" s="568">
        <v>2</v>
      </c>
      <c r="J379" s="569">
        <v>56</v>
      </c>
      <c r="K379" s="569">
        <v>56</v>
      </c>
      <c r="L379" s="566"/>
      <c r="M379" s="566" t="s">
        <v>476</v>
      </c>
      <c r="N379" s="570">
        <v>1049</v>
      </c>
      <c r="O379" s="566"/>
      <c r="P379" s="566" t="s">
        <v>477</v>
      </c>
      <c r="Q379" s="568">
        <v>909678</v>
      </c>
      <c r="R379" s="568">
        <v>26</v>
      </c>
      <c r="S379" s="566" t="s">
        <v>1340</v>
      </c>
      <c r="T379" s="582" t="s">
        <v>253</v>
      </c>
      <c r="U379" s="582" t="s">
        <v>550</v>
      </c>
      <c r="V379" s="582" t="s">
        <v>528</v>
      </c>
      <c r="W379" s="583" t="s">
        <v>1275</v>
      </c>
      <c r="X379" s="582" t="s">
        <v>1337</v>
      </c>
      <c r="Y379" s="582" t="s">
        <v>1338</v>
      </c>
      <c r="Z379" s="584" t="s">
        <v>1629</v>
      </c>
      <c r="AA379" s="585">
        <v>1049</v>
      </c>
      <c r="AB379" s="582"/>
    </row>
    <row r="380" spans="1:28" hidden="1">
      <c r="A380" s="566" t="s">
        <v>1335</v>
      </c>
      <c r="B380" s="566" t="s">
        <v>466</v>
      </c>
      <c r="C380" s="566" t="s">
        <v>487</v>
      </c>
      <c r="D380" s="566" t="s">
        <v>472</v>
      </c>
      <c r="E380" s="566" t="s">
        <v>473</v>
      </c>
      <c r="F380" s="566" t="s">
        <v>489</v>
      </c>
      <c r="G380" s="567">
        <v>50</v>
      </c>
      <c r="H380" s="566" t="s">
        <v>566</v>
      </c>
      <c r="I380" s="568">
        <v>2</v>
      </c>
      <c r="J380" s="569">
        <v>56</v>
      </c>
      <c r="K380" s="569">
        <v>56</v>
      </c>
      <c r="L380" s="566"/>
      <c r="M380" s="566" t="s">
        <v>476</v>
      </c>
      <c r="N380" s="570">
        <v>1085</v>
      </c>
      <c r="O380" s="566"/>
      <c r="P380" s="566" t="s">
        <v>477</v>
      </c>
      <c r="Q380" s="568">
        <v>909678</v>
      </c>
      <c r="R380" s="568">
        <v>28</v>
      </c>
      <c r="S380" s="566" t="s">
        <v>1342</v>
      </c>
      <c r="T380" s="582" t="s">
        <v>253</v>
      </c>
      <c r="U380" s="582" t="s">
        <v>550</v>
      </c>
      <c r="V380" s="582" t="s">
        <v>528</v>
      </c>
      <c r="W380" s="583" t="s">
        <v>485</v>
      </c>
      <c r="X380" s="582" t="s">
        <v>1337</v>
      </c>
      <c r="Y380" s="582" t="s">
        <v>1338</v>
      </c>
      <c r="Z380" s="584" t="s">
        <v>1630</v>
      </c>
      <c r="AA380" s="585">
        <v>1085</v>
      </c>
      <c r="AB380" s="582"/>
    </row>
    <row r="381" spans="1:28" hidden="1">
      <c r="A381" s="566" t="s">
        <v>1335</v>
      </c>
      <c r="B381" s="566" t="s">
        <v>466</v>
      </c>
      <c r="C381" s="566" t="s">
        <v>487</v>
      </c>
      <c r="D381" s="566" t="s">
        <v>472</v>
      </c>
      <c r="E381" s="566" t="s">
        <v>473</v>
      </c>
      <c r="F381" s="566" t="s">
        <v>489</v>
      </c>
      <c r="G381" s="567">
        <v>50</v>
      </c>
      <c r="H381" s="566" t="s">
        <v>568</v>
      </c>
      <c r="I381" s="568">
        <v>2</v>
      </c>
      <c r="J381" s="569">
        <v>56</v>
      </c>
      <c r="K381" s="569">
        <v>56</v>
      </c>
      <c r="L381" s="566"/>
      <c r="M381" s="566" t="s">
        <v>476</v>
      </c>
      <c r="N381" s="570">
        <v>1121</v>
      </c>
      <c r="O381" s="566"/>
      <c r="P381" s="566" t="s">
        <v>477</v>
      </c>
      <c r="Q381" s="568">
        <v>909678</v>
      </c>
      <c r="R381" s="568">
        <v>29</v>
      </c>
      <c r="S381" s="566" t="s">
        <v>1344</v>
      </c>
      <c r="T381" s="582" t="s">
        <v>253</v>
      </c>
      <c r="U381" s="582" t="s">
        <v>550</v>
      </c>
      <c r="V381" s="582" t="s">
        <v>528</v>
      </c>
      <c r="W381" s="583" t="s">
        <v>491</v>
      </c>
      <c r="X381" s="582" t="s">
        <v>1337</v>
      </c>
      <c r="Y381" s="582" t="s">
        <v>1338</v>
      </c>
      <c r="Z381" s="584" t="s">
        <v>1631</v>
      </c>
      <c r="AA381" s="585">
        <v>1121</v>
      </c>
      <c r="AB381" s="582"/>
    </row>
    <row r="382" spans="1:28" hidden="1">
      <c r="A382" s="566" t="s">
        <v>1335</v>
      </c>
      <c r="B382" s="566" t="s">
        <v>466</v>
      </c>
      <c r="C382" s="566" t="s">
        <v>487</v>
      </c>
      <c r="D382" s="566" t="s">
        <v>472</v>
      </c>
      <c r="E382" s="566" t="s">
        <v>473</v>
      </c>
      <c r="F382" s="566" t="s">
        <v>489</v>
      </c>
      <c r="G382" s="567">
        <v>50</v>
      </c>
      <c r="H382" s="566" t="s">
        <v>570</v>
      </c>
      <c r="I382" s="568">
        <v>2</v>
      </c>
      <c r="J382" s="569">
        <v>56</v>
      </c>
      <c r="K382" s="569">
        <v>56</v>
      </c>
      <c r="L382" s="566"/>
      <c r="M382" s="566" t="s">
        <v>476</v>
      </c>
      <c r="N382" s="570">
        <v>1157</v>
      </c>
      <c r="O382" s="566"/>
      <c r="P382" s="566" t="s">
        <v>477</v>
      </c>
      <c r="Q382" s="568">
        <v>909678</v>
      </c>
      <c r="R382" s="568">
        <v>30</v>
      </c>
      <c r="S382" s="566" t="s">
        <v>1346</v>
      </c>
      <c r="T382" s="582" t="s">
        <v>253</v>
      </c>
      <c r="U382" s="582" t="s">
        <v>550</v>
      </c>
      <c r="V382" s="582" t="s">
        <v>528</v>
      </c>
      <c r="W382" s="583" t="s">
        <v>495</v>
      </c>
      <c r="X382" s="582" t="s">
        <v>1337</v>
      </c>
      <c r="Y382" s="582" t="s">
        <v>1338</v>
      </c>
      <c r="Z382" s="584" t="s">
        <v>1632</v>
      </c>
      <c r="AA382" s="585">
        <v>1157</v>
      </c>
      <c r="AB382" s="582"/>
    </row>
    <row r="383" spans="1:28" hidden="1">
      <c r="A383" s="566" t="s">
        <v>1335</v>
      </c>
      <c r="B383" s="566" t="s">
        <v>466</v>
      </c>
      <c r="C383" s="566" t="s">
        <v>487</v>
      </c>
      <c r="D383" s="566" t="s">
        <v>472</v>
      </c>
      <c r="E383" s="566" t="s">
        <v>473</v>
      </c>
      <c r="F383" s="566" t="s">
        <v>489</v>
      </c>
      <c r="G383" s="567">
        <v>50</v>
      </c>
      <c r="H383" s="566" t="s">
        <v>573</v>
      </c>
      <c r="I383" s="568">
        <v>2</v>
      </c>
      <c r="J383" s="569">
        <v>56</v>
      </c>
      <c r="K383" s="569">
        <v>56</v>
      </c>
      <c r="L383" s="566"/>
      <c r="M383" s="566" t="s">
        <v>476</v>
      </c>
      <c r="N383" s="570">
        <v>1193</v>
      </c>
      <c r="O383" s="566"/>
      <c r="P383" s="566" t="s">
        <v>477</v>
      </c>
      <c r="Q383" s="568">
        <v>909678</v>
      </c>
      <c r="R383" s="568">
        <v>31</v>
      </c>
      <c r="S383" s="566" t="s">
        <v>1348</v>
      </c>
      <c r="T383" s="582" t="s">
        <v>253</v>
      </c>
      <c r="U383" s="582" t="s">
        <v>550</v>
      </c>
      <c r="V383" s="582" t="s">
        <v>528</v>
      </c>
      <c r="W383" s="583" t="s">
        <v>1276</v>
      </c>
      <c r="X383" s="582" t="s">
        <v>1337</v>
      </c>
      <c r="Y383" s="582" t="s">
        <v>1338</v>
      </c>
      <c r="Z383" s="584" t="s">
        <v>1633</v>
      </c>
      <c r="AA383" s="585">
        <v>1193</v>
      </c>
      <c r="AB383" s="582"/>
    </row>
    <row r="384" spans="1:28" hidden="1">
      <c r="A384" s="566" t="s">
        <v>1335</v>
      </c>
      <c r="B384" s="566" t="s">
        <v>466</v>
      </c>
      <c r="C384" s="566" t="s">
        <v>487</v>
      </c>
      <c r="D384" s="566" t="s">
        <v>472</v>
      </c>
      <c r="E384" s="566" t="s">
        <v>473</v>
      </c>
      <c r="F384" s="566" t="s">
        <v>489</v>
      </c>
      <c r="G384" s="567">
        <v>50</v>
      </c>
      <c r="H384" s="566" t="s">
        <v>576</v>
      </c>
      <c r="I384" s="568">
        <v>2</v>
      </c>
      <c r="J384" s="569">
        <v>56</v>
      </c>
      <c r="K384" s="569">
        <v>56</v>
      </c>
      <c r="L384" s="566"/>
      <c r="M384" s="566" t="s">
        <v>476</v>
      </c>
      <c r="N384" s="570">
        <v>1229</v>
      </c>
      <c r="O384" s="566"/>
      <c r="P384" s="566" t="s">
        <v>477</v>
      </c>
      <c r="Q384" s="568">
        <v>909678</v>
      </c>
      <c r="R384" s="568">
        <v>32</v>
      </c>
      <c r="S384" s="566" t="s">
        <v>1350</v>
      </c>
      <c r="T384" s="582" t="s">
        <v>253</v>
      </c>
      <c r="U384" s="582" t="s">
        <v>550</v>
      </c>
      <c r="V384" s="582" t="s">
        <v>528</v>
      </c>
      <c r="W384" s="583" t="s">
        <v>1277</v>
      </c>
      <c r="X384" s="582" t="s">
        <v>1337</v>
      </c>
      <c r="Y384" s="582" t="s">
        <v>1338</v>
      </c>
      <c r="Z384" s="584" t="s">
        <v>1634</v>
      </c>
      <c r="AA384" s="585">
        <v>1229</v>
      </c>
      <c r="AB384" s="582"/>
    </row>
    <row r="385" spans="1:28" hidden="1">
      <c r="A385" s="566" t="s">
        <v>1335</v>
      </c>
      <c r="B385" s="566" t="s">
        <v>466</v>
      </c>
      <c r="C385" s="566" t="s">
        <v>471</v>
      </c>
      <c r="D385" s="566" t="s">
        <v>472</v>
      </c>
      <c r="E385" s="566" t="s">
        <v>473</v>
      </c>
      <c r="F385" s="566" t="s">
        <v>474</v>
      </c>
      <c r="G385" s="567">
        <v>0</v>
      </c>
      <c r="H385" s="566" t="s">
        <v>1352</v>
      </c>
      <c r="I385" s="568">
        <v>2</v>
      </c>
      <c r="J385" s="569">
        <v>56</v>
      </c>
      <c r="K385" s="569">
        <v>56</v>
      </c>
      <c r="L385" s="566"/>
      <c r="M385" s="566" t="s">
        <v>476</v>
      </c>
      <c r="N385" s="570">
        <v>1265</v>
      </c>
      <c r="O385" s="566"/>
      <c r="P385" s="566" t="s">
        <v>477</v>
      </c>
      <c r="Q385" s="568">
        <v>909678</v>
      </c>
      <c r="R385" s="568">
        <v>27</v>
      </c>
      <c r="S385" s="566" t="s">
        <v>1353</v>
      </c>
      <c r="T385" s="582" t="s">
        <v>253</v>
      </c>
      <c r="U385" s="582" t="s">
        <v>550</v>
      </c>
      <c r="V385" s="582" t="s">
        <v>528</v>
      </c>
      <c r="W385" s="583" t="s">
        <v>1354</v>
      </c>
      <c r="X385" s="582" t="s">
        <v>1337</v>
      </c>
      <c r="Y385" s="582" t="s">
        <v>1338</v>
      </c>
      <c r="Z385" s="584" t="s">
        <v>1635</v>
      </c>
      <c r="AA385" s="585">
        <v>1265</v>
      </c>
      <c r="AB385" s="582"/>
    </row>
    <row r="386" spans="1:28" hidden="1">
      <c r="A386" s="566" t="s">
        <v>1335</v>
      </c>
      <c r="B386" s="566" t="s">
        <v>466</v>
      </c>
      <c r="C386" s="566" t="s">
        <v>487</v>
      </c>
      <c r="D386" s="566" t="s">
        <v>472</v>
      </c>
      <c r="E386" s="566" t="s">
        <v>473</v>
      </c>
      <c r="F386" s="566" t="s">
        <v>489</v>
      </c>
      <c r="G386" s="567">
        <v>50</v>
      </c>
      <c r="H386" s="566" t="s">
        <v>1356</v>
      </c>
      <c r="I386" s="568">
        <v>2</v>
      </c>
      <c r="J386" s="569">
        <v>56</v>
      </c>
      <c r="K386" s="569">
        <v>56</v>
      </c>
      <c r="L386" s="566"/>
      <c r="M386" s="566" t="s">
        <v>476</v>
      </c>
      <c r="N386" s="570">
        <v>1301</v>
      </c>
      <c r="O386" s="566"/>
      <c r="P386" s="566" t="s">
        <v>477</v>
      </c>
      <c r="Q386" s="568">
        <v>909678</v>
      </c>
      <c r="R386" s="568">
        <v>33</v>
      </c>
      <c r="S386" s="566" t="s">
        <v>1357</v>
      </c>
      <c r="T386" s="582" t="s">
        <v>253</v>
      </c>
      <c r="U386" s="582" t="s">
        <v>550</v>
      </c>
      <c r="V386" s="582" t="s">
        <v>528</v>
      </c>
      <c r="W386" s="583" t="s">
        <v>1358</v>
      </c>
      <c r="X386" s="582" t="s">
        <v>1337</v>
      </c>
      <c r="Y386" s="582" t="s">
        <v>1338</v>
      </c>
      <c r="Z386" s="584" t="s">
        <v>1636</v>
      </c>
      <c r="AA386" s="585">
        <v>1301</v>
      </c>
      <c r="AB386" s="582"/>
    </row>
    <row r="387" spans="1:28" hidden="1">
      <c r="A387" s="566" t="s">
        <v>1335</v>
      </c>
      <c r="B387" s="566" t="s">
        <v>466</v>
      </c>
      <c r="C387" s="566" t="s">
        <v>471</v>
      </c>
      <c r="D387" s="566" t="s">
        <v>472</v>
      </c>
      <c r="E387" s="566" t="s">
        <v>473</v>
      </c>
      <c r="F387" s="566" t="s">
        <v>474</v>
      </c>
      <c r="G387" s="567">
        <v>0</v>
      </c>
      <c r="H387" s="566" t="s">
        <v>593</v>
      </c>
      <c r="I387" s="568">
        <v>1</v>
      </c>
      <c r="J387" s="569">
        <v>56</v>
      </c>
      <c r="K387" s="569">
        <v>56</v>
      </c>
      <c r="L387" s="566"/>
      <c r="M387" s="566" t="s">
        <v>476</v>
      </c>
      <c r="N387" s="570">
        <v>905</v>
      </c>
      <c r="O387" s="566"/>
      <c r="P387" s="566" t="s">
        <v>477</v>
      </c>
      <c r="Q387" s="568">
        <v>909678</v>
      </c>
      <c r="R387" s="568">
        <v>22</v>
      </c>
      <c r="S387" s="566" t="s">
        <v>1360</v>
      </c>
      <c r="T387" s="582" t="s">
        <v>253</v>
      </c>
      <c r="U387" s="582" t="s">
        <v>550</v>
      </c>
      <c r="V387" s="582" t="s">
        <v>528</v>
      </c>
      <c r="W387" s="583" t="s">
        <v>509</v>
      </c>
      <c r="X387" s="582" t="s">
        <v>1337</v>
      </c>
      <c r="Y387" s="582" t="s">
        <v>1338</v>
      </c>
      <c r="Z387" s="584" t="s">
        <v>1637</v>
      </c>
      <c r="AA387" s="585">
        <v>905</v>
      </c>
      <c r="AB387" s="582"/>
    </row>
    <row r="388" spans="1:28" hidden="1">
      <c r="A388" s="566" t="s">
        <v>1335</v>
      </c>
      <c r="B388" s="566" t="s">
        <v>466</v>
      </c>
      <c r="C388" s="566" t="s">
        <v>471</v>
      </c>
      <c r="D388" s="566" t="s">
        <v>472</v>
      </c>
      <c r="E388" s="566" t="s">
        <v>473</v>
      </c>
      <c r="F388" s="566" t="s">
        <v>474</v>
      </c>
      <c r="G388" s="567">
        <v>0</v>
      </c>
      <c r="H388" s="566" t="s">
        <v>595</v>
      </c>
      <c r="I388" s="568">
        <v>2</v>
      </c>
      <c r="J388" s="569">
        <v>56</v>
      </c>
      <c r="K388" s="569">
        <v>56</v>
      </c>
      <c r="L388" s="566"/>
      <c r="M388" s="566" t="s">
        <v>476</v>
      </c>
      <c r="N388" s="570">
        <v>941</v>
      </c>
      <c r="O388" s="566"/>
      <c r="P388" s="566" t="s">
        <v>477</v>
      </c>
      <c r="Q388" s="568">
        <v>909678</v>
      </c>
      <c r="R388" s="568">
        <v>23</v>
      </c>
      <c r="S388" s="566" t="s">
        <v>1362</v>
      </c>
      <c r="T388" s="582" t="s">
        <v>253</v>
      </c>
      <c r="U388" s="582" t="s">
        <v>550</v>
      </c>
      <c r="V388" s="582" t="s">
        <v>528</v>
      </c>
      <c r="W388" s="583" t="s">
        <v>512</v>
      </c>
      <c r="X388" s="582" t="s">
        <v>1337</v>
      </c>
      <c r="Y388" s="582" t="s">
        <v>1338</v>
      </c>
      <c r="Z388" s="584" t="s">
        <v>1638</v>
      </c>
      <c r="AA388" s="585">
        <v>941</v>
      </c>
      <c r="AB388" s="582"/>
    </row>
    <row r="389" spans="1:28" hidden="1">
      <c r="A389" s="566" t="s">
        <v>1335</v>
      </c>
      <c r="B389" s="566" t="s">
        <v>466</v>
      </c>
      <c r="C389" s="566" t="s">
        <v>471</v>
      </c>
      <c r="D389" s="566" t="s">
        <v>472</v>
      </c>
      <c r="E389" s="566" t="s">
        <v>473</v>
      </c>
      <c r="F389" s="566" t="s">
        <v>474</v>
      </c>
      <c r="G389" s="567">
        <v>0</v>
      </c>
      <c r="H389" s="566" t="s">
        <v>597</v>
      </c>
      <c r="I389" s="568">
        <v>2</v>
      </c>
      <c r="J389" s="569">
        <v>56</v>
      </c>
      <c r="K389" s="569">
        <v>56</v>
      </c>
      <c r="L389" s="566"/>
      <c r="M389" s="566" t="s">
        <v>476</v>
      </c>
      <c r="N389" s="570">
        <v>977</v>
      </c>
      <c r="O389" s="566"/>
      <c r="P389" s="566" t="s">
        <v>477</v>
      </c>
      <c r="Q389" s="568">
        <v>909678</v>
      </c>
      <c r="R389" s="568">
        <v>24</v>
      </c>
      <c r="S389" s="566" t="s">
        <v>1364</v>
      </c>
      <c r="T389" s="582" t="s">
        <v>253</v>
      </c>
      <c r="U389" s="582" t="s">
        <v>550</v>
      </c>
      <c r="V389" s="582" t="s">
        <v>528</v>
      </c>
      <c r="W389" s="583" t="s">
        <v>514</v>
      </c>
      <c r="X389" s="582" t="s">
        <v>1337</v>
      </c>
      <c r="Y389" s="582" t="s">
        <v>1338</v>
      </c>
      <c r="Z389" s="584" t="s">
        <v>1639</v>
      </c>
      <c r="AA389" s="585">
        <v>977</v>
      </c>
      <c r="AB389" s="582"/>
    </row>
    <row r="390" spans="1:28" hidden="1">
      <c r="A390" s="566" t="s">
        <v>1335</v>
      </c>
      <c r="B390" s="566" t="s">
        <v>466</v>
      </c>
      <c r="C390" s="566" t="s">
        <v>471</v>
      </c>
      <c r="D390" s="566" t="s">
        <v>472</v>
      </c>
      <c r="E390" s="566" t="s">
        <v>473</v>
      </c>
      <c r="F390" s="566" t="s">
        <v>474</v>
      </c>
      <c r="G390" s="567">
        <v>0</v>
      </c>
      <c r="H390" s="566" t="s">
        <v>561</v>
      </c>
      <c r="I390" s="568">
        <v>2</v>
      </c>
      <c r="J390" s="569">
        <v>80</v>
      </c>
      <c r="K390" s="569">
        <v>80</v>
      </c>
      <c r="L390" s="566"/>
      <c r="M390" s="566" t="s">
        <v>476</v>
      </c>
      <c r="N390" s="570">
        <v>1553</v>
      </c>
      <c r="O390" s="566"/>
      <c r="P390" s="566" t="s">
        <v>477</v>
      </c>
      <c r="Q390" s="568">
        <v>909678</v>
      </c>
      <c r="R390" s="568">
        <v>40</v>
      </c>
      <c r="S390" s="566" t="s">
        <v>1366</v>
      </c>
      <c r="T390" s="582" t="s">
        <v>253</v>
      </c>
      <c r="U390" s="582" t="s">
        <v>550</v>
      </c>
      <c r="V390" s="582" t="s">
        <v>528</v>
      </c>
      <c r="W390" s="583" t="s">
        <v>1274</v>
      </c>
      <c r="X390" s="582" t="s">
        <v>1337</v>
      </c>
      <c r="Y390" s="582" t="s">
        <v>1367</v>
      </c>
      <c r="Z390" s="584" t="s">
        <v>1640</v>
      </c>
      <c r="AA390" s="585">
        <v>1553</v>
      </c>
      <c r="AB390" s="582"/>
    </row>
    <row r="391" spans="1:28" hidden="1">
      <c r="A391" s="566" t="s">
        <v>1335</v>
      </c>
      <c r="B391" s="566" t="s">
        <v>466</v>
      </c>
      <c r="C391" s="566" t="s">
        <v>471</v>
      </c>
      <c r="D391" s="566" t="s">
        <v>472</v>
      </c>
      <c r="E391" s="566" t="s">
        <v>473</v>
      </c>
      <c r="F391" s="566" t="s">
        <v>474</v>
      </c>
      <c r="G391" s="567">
        <v>0</v>
      </c>
      <c r="H391" s="566" t="s">
        <v>564</v>
      </c>
      <c r="I391" s="568">
        <v>2</v>
      </c>
      <c r="J391" s="569">
        <v>80</v>
      </c>
      <c r="K391" s="569">
        <v>80</v>
      </c>
      <c r="L391" s="566"/>
      <c r="M391" s="566" t="s">
        <v>476</v>
      </c>
      <c r="N391" s="570">
        <v>1589</v>
      </c>
      <c r="O391" s="566"/>
      <c r="P391" s="566" t="s">
        <v>477</v>
      </c>
      <c r="Q391" s="568">
        <v>909678</v>
      </c>
      <c r="R391" s="568">
        <v>41</v>
      </c>
      <c r="S391" s="566" t="s">
        <v>1369</v>
      </c>
      <c r="T391" s="582" t="s">
        <v>253</v>
      </c>
      <c r="U391" s="582" t="s">
        <v>550</v>
      </c>
      <c r="V391" s="582" t="s">
        <v>528</v>
      </c>
      <c r="W391" s="583" t="s">
        <v>1275</v>
      </c>
      <c r="X391" s="582" t="s">
        <v>1337</v>
      </c>
      <c r="Y391" s="582" t="s">
        <v>1367</v>
      </c>
      <c r="Z391" s="584" t="s">
        <v>1641</v>
      </c>
      <c r="AA391" s="585">
        <v>1589</v>
      </c>
      <c r="AB391" s="582"/>
    </row>
    <row r="392" spans="1:28" hidden="1">
      <c r="A392" s="566" t="s">
        <v>1335</v>
      </c>
      <c r="B392" s="566" t="s">
        <v>466</v>
      </c>
      <c r="C392" s="566" t="s">
        <v>487</v>
      </c>
      <c r="D392" s="566" t="s">
        <v>472</v>
      </c>
      <c r="E392" s="566" t="s">
        <v>473</v>
      </c>
      <c r="F392" s="566" t="s">
        <v>489</v>
      </c>
      <c r="G392" s="567">
        <v>50</v>
      </c>
      <c r="H392" s="566" t="s">
        <v>573</v>
      </c>
      <c r="I392" s="568">
        <v>2</v>
      </c>
      <c r="J392" s="569">
        <v>80</v>
      </c>
      <c r="K392" s="569">
        <v>80</v>
      </c>
      <c r="L392" s="566"/>
      <c r="M392" s="566" t="s">
        <v>476</v>
      </c>
      <c r="N392" s="570">
        <v>1625</v>
      </c>
      <c r="O392" s="566"/>
      <c r="P392" s="566" t="s">
        <v>477</v>
      </c>
      <c r="Q392" s="568">
        <v>909678</v>
      </c>
      <c r="R392" s="568">
        <v>43</v>
      </c>
      <c r="S392" s="566" t="s">
        <v>1371</v>
      </c>
      <c r="T392" s="582" t="s">
        <v>253</v>
      </c>
      <c r="U392" s="582" t="s">
        <v>550</v>
      </c>
      <c r="V392" s="582" t="s">
        <v>528</v>
      </c>
      <c r="W392" s="583" t="s">
        <v>1276</v>
      </c>
      <c r="X392" s="582" t="s">
        <v>1337</v>
      </c>
      <c r="Y392" s="582" t="s">
        <v>1367</v>
      </c>
      <c r="Z392" s="584" t="s">
        <v>1642</v>
      </c>
      <c r="AA392" s="585">
        <v>1625</v>
      </c>
      <c r="AB392" s="582"/>
    </row>
    <row r="393" spans="1:28" hidden="1">
      <c r="A393" s="566" t="s">
        <v>1335</v>
      </c>
      <c r="B393" s="566" t="s">
        <v>466</v>
      </c>
      <c r="C393" s="566" t="s">
        <v>487</v>
      </c>
      <c r="D393" s="566" t="s">
        <v>472</v>
      </c>
      <c r="E393" s="566" t="s">
        <v>473</v>
      </c>
      <c r="F393" s="566" t="s">
        <v>489</v>
      </c>
      <c r="G393" s="567">
        <v>50</v>
      </c>
      <c r="H393" s="566" t="s">
        <v>576</v>
      </c>
      <c r="I393" s="568">
        <v>2</v>
      </c>
      <c r="J393" s="569">
        <v>80</v>
      </c>
      <c r="K393" s="569">
        <v>80</v>
      </c>
      <c r="L393" s="566"/>
      <c r="M393" s="566" t="s">
        <v>476</v>
      </c>
      <c r="N393" s="570">
        <v>1661</v>
      </c>
      <c r="O393" s="566"/>
      <c r="P393" s="566" t="s">
        <v>477</v>
      </c>
      <c r="Q393" s="568">
        <v>909678</v>
      </c>
      <c r="R393" s="568">
        <v>44</v>
      </c>
      <c r="S393" s="566" t="s">
        <v>1373</v>
      </c>
      <c r="T393" s="582" t="s">
        <v>253</v>
      </c>
      <c r="U393" s="582" t="s">
        <v>550</v>
      </c>
      <c r="V393" s="582" t="s">
        <v>528</v>
      </c>
      <c r="W393" s="583" t="s">
        <v>1277</v>
      </c>
      <c r="X393" s="582" t="s">
        <v>1337</v>
      </c>
      <c r="Y393" s="582" t="s">
        <v>1367</v>
      </c>
      <c r="Z393" s="584" t="s">
        <v>1643</v>
      </c>
      <c r="AA393" s="585">
        <v>1661</v>
      </c>
      <c r="AB393" s="582"/>
    </row>
    <row r="394" spans="1:28" hidden="1">
      <c r="A394" s="566" t="s">
        <v>1335</v>
      </c>
      <c r="B394" s="566" t="s">
        <v>466</v>
      </c>
      <c r="C394" s="566" t="s">
        <v>471</v>
      </c>
      <c r="D394" s="566" t="s">
        <v>472</v>
      </c>
      <c r="E394" s="566" t="s">
        <v>473</v>
      </c>
      <c r="F394" s="566" t="s">
        <v>474</v>
      </c>
      <c r="G394" s="567">
        <v>0</v>
      </c>
      <c r="H394" s="566" t="s">
        <v>1352</v>
      </c>
      <c r="I394" s="568">
        <v>2</v>
      </c>
      <c r="J394" s="569">
        <v>80</v>
      </c>
      <c r="K394" s="569">
        <v>80</v>
      </c>
      <c r="L394" s="566"/>
      <c r="M394" s="566" t="s">
        <v>476</v>
      </c>
      <c r="N394" s="570">
        <v>1697</v>
      </c>
      <c r="O394" s="566"/>
      <c r="P394" s="566" t="s">
        <v>477</v>
      </c>
      <c r="Q394" s="568">
        <v>909678</v>
      </c>
      <c r="R394" s="568">
        <v>42</v>
      </c>
      <c r="S394" s="566" t="s">
        <v>1375</v>
      </c>
      <c r="T394" s="582" t="s">
        <v>253</v>
      </c>
      <c r="U394" s="582" t="s">
        <v>550</v>
      </c>
      <c r="V394" s="582" t="s">
        <v>528</v>
      </c>
      <c r="W394" s="583" t="s">
        <v>1354</v>
      </c>
      <c r="X394" s="582" t="s">
        <v>1337</v>
      </c>
      <c r="Y394" s="582" t="s">
        <v>1367</v>
      </c>
      <c r="Z394" s="584" t="s">
        <v>1644</v>
      </c>
      <c r="AA394" s="585">
        <v>1697</v>
      </c>
      <c r="AB394" s="582"/>
    </row>
    <row r="395" spans="1:28" hidden="1">
      <c r="A395" s="566" t="s">
        <v>1335</v>
      </c>
      <c r="B395" s="566" t="s">
        <v>466</v>
      </c>
      <c r="C395" s="566" t="s">
        <v>487</v>
      </c>
      <c r="D395" s="566" t="s">
        <v>472</v>
      </c>
      <c r="E395" s="566" t="s">
        <v>473</v>
      </c>
      <c r="F395" s="566" t="s">
        <v>489</v>
      </c>
      <c r="G395" s="567">
        <v>50</v>
      </c>
      <c r="H395" s="566" t="s">
        <v>1356</v>
      </c>
      <c r="I395" s="568">
        <v>2</v>
      </c>
      <c r="J395" s="569">
        <v>80</v>
      </c>
      <c r="K395" s="569">
        <v>80</v>
      </c>
      <c r="L395" s="566"/>
      <c r="M395" s="566" t="s">
        <v>476</v>
      </c>
      <c r="N395" s="570">
        <v>1733</v>
      </c>
      <c r="O395" s="566"/>
      <c r="P395" s="566" t="s">
        <v>477</v>
      </c>
      <c r="Q395" s="568">
        <v>909678</v>
      </c>
      <c r="R395" s="568">
        <v>45</v>
      </c>
      <c r="S395" s="566" t="s">
        <v>1377</v>
      </c>
      <c r="T395" s="582" t="s">
        <v>253</v>
      </c>
      <c r="U395" s="582" t="s">
        <v>550</v>
      </c>
      <c r="V395" s="582" t="s">
        <v>528</v>
      </c>
      <c r="W395" s="583" t="s">
        <v>1358</v>
      </c>
      <c r="X395" s="582" t="s">
        <v>1337</v>
      </c>
      <c r="Y395" s="582" t="s">
        <v>1367</v>
      </c>
      <c r="Z395" s="584" t="s">
        <v>1645</v>
      </c>
      <c r="AA395" s="585">
        <v>1733</v>
      </c>
      <c r="AB395" s="582"/>
    </row>
    <row r="396" spans="1:28" hidden="1">
      <c r="A396" s="566" t="s">
        <v>1335</v>
      </c>
      <c r="B396" s="566" t="s">
        <v>466</v>
      </c>
      <c r="C396" s="566" t="s">
        <v>553</v>
      </c>
      <c r="D396" s="566" t="s">
        <v>472</v>
      </c>
      <c r="E396" s="566" t="s">
        <v>473</v>
      </c>
      <c r="F396" s="566" t="s">
        <v>554</v>
      </c>
      <c r="G396" s="567">
        <v>13</v>
      </c>
      <c r="H396" s="566" t="s">
        <v>1100</v>
      </c>
      <c r="I396" s="568">
        <v>2</v>
      </c>
      <c r="J396" s="569">
        <v>22</v>
      </c>
      <c r="K396" s="569">
        <v>22</v>
      </c>
      <c r="L396" s="569">
        <v>17</v>
      </c>
      <c r="M396" s="566" t="s">
        <v>476</v>
      </c>
      <c r="N396" s="570">
        <v>158</v>
      </c>
      <c r="O396" s="566"/>
      <c r="P396" s="566" t="s">
        <v>477</v>
      </c>
      <c r="Q396" s="568">
        <v>909678</v>
      </c>
      <c r="R396" s="568">
        <v>9</v>
      </c>
      <c r="S396" s="566" t="s">
        <v>1379</v>
      </c>
      <c r="T396" s="582" t="s">
        <v>257</v>
      </c>
      <c r="U396" s="582" t="s">
        <v>550</v>
      </c>
      <c r="V396" s="582" t="s">
        <v>528</v>
      </c>
      <c r="W396" s="583" t="s">
        <v>551</v>
      </c>
      <c r="X396" s="582" t="s">
        <v>1380</v>
      </c>
      <c r="Y396" s="582" t="s">
        <v>1338</v>
      </c>
      <c r="Z396" s="584" t="s">
        <v>1099</v>
      </c>
      <c r="AA396" s="585">
        <v>158</v>
      </c>
      <c r="AB396" s="582">
        <v>260057</v>
      </c>
    </row>
    <row r="397" spans="1:28" hidden="1">
      <c r="A397" s="566" t="s">
        <v>1335</v>
      </c>
      <c r="B397" s="566" t="s">
        <v>466</v>
      </c>
      <c r="C397" s="566" t="s">
        <v>553</v>
      </c>
      <c r="D397" s="566" t="s">
        <v>472</v>
      </c>
      <c r="E397" s="566" t="s">
        <v>473</v>
      </c>
      <c r="F397" s="566" t="s">
        <v>554</v>
      </c>
      <c r="G397" s="567">
        <v>16</v>
      </c>
      <c r="H397" s="566" t="s">
        <v>1102</v>
      </c>
      <c r="I397" s="568">
        <v>2</v>
      </c>
      <c r="J397" s="569">
        <v>22</v>
      </c>
      <c r="K397" s="569">
        <v>22</v>
      </c>
      <c r="L397" s="569">
        <v>17</v>
      </c>
      <c r="M397" s="566" t="s">
        <v>476</v>
      </c>
      <c r="N397" s="570">
        <v>302</v>
      </c>
      <c r="O397" s="566"/>
      <c r="P397" s="566" t="s">
        <v>477</v>
      </c>
      <c r="Q397" s="568">
        <v>909678</v>
      </c>
      <c r="R397" s="568">
        <v>4</v>
      </c>
      <c r="S397" s="566" t="s">
        <v>1381</v>
      </c>
      <c r="T397" s="582" t="s">
        <v>257</v>
      </c>
      <c r="U397" s="582" t="s">
        <v>550</v>
      </c>
      <c r="V397" s="582" t="s">
        <v>528</v>
      </c>
      <c r="W397" s="583" t="s">
        <v>556</v>
      </c>
      <c r="X397" s="582" t="s">
        <v>1380</v>
      </c>
      <c r="Y397" s="582" t="s">
        <v>1338</v>
      </c>
      <c r="Z397" s="584" t="s">
        <v>1101</v>
      </c>
      <c r="AA397" s="585">
        <v>302</v>
      </c>
      <c r="AB397" s="582">
        <v>260201</v>
      </c>
    </row>
    <row r="398" spans="1:28" hidden="1">
      <c r="A398" s="566" t="s">
        <v>1335</v>
      </c>
      <c r="B398" s="566" t="s">
        <v>466</v>
      </c>
      <c r="C398" s="566" t="s">
        <v>471</v>
      </c>
      <c r="D398" s="566" t="s">
        <v>472</v>
      </c>
      <c r="E398" s="566" t="s">
        <v>473</v>
      </c>
      <c r="F398" s="566" t="s">
        <v>474</v>
      </c>
      <c r="G398" s="567">
        <v>0</v>
      </c>
      <c r="H398" s="566" t="s">
        <v>561</v>
      </c>
      <c r="I398" s="568">
        <v>2</v>
      </c>
      <c r="J398" s="569">
        <v>8</v>
      </c>
      <c r="K398" s="569">
        <v>8</v>
      </c>
      <c r="L398" s="566"/>
      <c r="M398" s="566" t="s">
        <v>476</v>
      </c>
      <c r="N398" s="570">
        <v>473</v>
      </c>
      <c r="O398" s="566"/>
      <c r="P398" s="566" t="s">
        <v>477</v>
      </c>
      <c r="Q398" s="568">
        <v>909678</v>
      </c>
      <c r="R398" s="568">
        <v>10</v>
      </c>
      <c r="S398" s="566" t="s">
        <v>1382</v>
      </c>
      <c r="T398" s="582" t="s">
        <v>253</v>
      </c>
      <c r="U398" s="582" t="s">
        <v>550</v>
      </c>
      <c r="V398" s="582" t="s">
        <v>528</v>
      </c>
      <c r="W398" s="583" t="s">
        <v>1274</v>
      </c>
      <c r="X398" s="582" t="s">
        <v>1380</v>
      </c>
      <c r="Y398" s="582" t="s">
        <v>1338</v>
      </c>
      <c r="Z398" s="584" t="s">
        <v>1103</v>
      </c>
      <c r="AA398" s="585">
        <v>473</v>
      </c>
      <c r="AB398" s="582"/>
    </row>
    <row r="399" spans="1:28" hidden="1">
      <c r="A399" s="566" t="s">
        <v>1335</v>
      </c>
      <c r="B399" s="566" t="s">
        <v>466</v>
      </c>
      <c r="C399" s="566" t="s">
        <v>471</v>
      </c>
      <c r="D399" s="566" t="s">
        <v>472</v>
      </c>
      <c r="E399" s="566" t="s">
        <v>473</v>
      </c>
      <c r="F399" s="566" t="s">
        <v>474</v>
      </c>
      <c r="G399" s="567">
        <v>0</v>
      </c>
      <c r="H399" s="566" t="s">
        <v>564</v>
      </c>
      <c r="I399" s="568">
        <v>2</v>
      </c>
      <c r="J399" s="569">
        <v>8</v>
      </c>
      <c r="K399" s="569">
        <v>8</v>
      </c>
      <c r="L399" s="566"/>
      <c r="M399" s="566" t="s">
        <v>476</v>
      </c>
      <c r="N399" s="570">
        <v>545</v>
      </c>
      <c r="O399" s="566"/>
      <c r="P399" s="566" t="s">
        <v>477</v>
      </c>
      <c r="Q399" s="568">
        <v>909678</v>
      </c>
      <c r="R399" s="568">
        <v>15</v>
      </c>
      <c r="S399" s="566" t="s">
        <v>483</v>
      </c>
      <c r="T399" s="582" t="s">
        <v>253</v>
      </c>
      <c r="U399" s="582" t="s">
        <v>550</v>
      </c>
      <c r="V399" s="582" t="s">
        <v>528</v>
      </c>
      <c r="W399" s="583" t="s">
        <v>1275</v>
      </c>
      <c r="X399" s="582" t="s">
        <v>1380</v>
      </c>
      <c r="Y399" s="582" t="s">
        <v>1338</v>
      </c>
      <c r="Z399" s="584" t="s">
        <v>1104</v>
      </c>
      <c r="AA399" s="585">
        <v>545</v>
      </c>
      <c r="AB399" s="582"/>
    </row>
    <row r="400" spans="1:28" hidden="1">
      <c r="A400" s="566" t="s">
        <v>1335</v>
      </c>
      <c r="B400" s="566" t="s">
        <v>466</v>
      </c>
      <c r="C400" s="566" t="s">
        <v>487</v>
      </c>
      <c r="D400" s="566" t="s">
        <v>472</v>
      </c>
      <c r="E400" s="566" t="s">
        <v>473</v>
      </c>
      <c r="F400" s="566" t="s">
        <v>489</v>
      </c>
      <c r="G400" s="567">
        <v>50</v>
      </c>
      <c r="H400" s="566" t="s">
        <v>566</v>
      </c>
      <c r="I400" s="568">
        <v>2</v>
      </c>
      <c r="J400" s="569">
        <v>8</v>
      </c>
      <c r="K400" s="569">
        <v>8</v>
      </c>
      <c r="L400" s="566"/>
      <c r="M400" s="566" t="s">
        <v>476</v>
      </c>
      <c r="N400" s="570">
        <v>581</v>
      </c>
      <c r="O400" s="566"/>
      <c r="P400" s="566" t="s">
        <v>477</v>
      </c>
      <c r="Q400" s="568">
        <v>909678</v>
      </c>
      <c r="R400" s="568">
        <v>16</v>
      </c>
      <c r="S400" s="566" t="s">
        <v>488</v>
      </c>
      <c r="T400" s="582" t="s">
        <v>253</v>
      </c>
      <c r="U400" s="582" t="s">
        <v>550</v>
      </c>
      <c r="V400" s="582" t="s">
        <v>528</v>
      </c>
      <c r="W400" s="583" t="s">
        <v>485</v>
      </c>
      <c r="X400" s="582" t="s">
        <v>1380</v>
      </c>
      <c r="Y400" s="582" t="s">
        <v>1338</v>
      </c>
      <c r="Z400" s="584" t="s">
        <v>1105</v>
      </c>
      <c r="AA400" s="585">
        <v>581</v>
      </c>
      <c r="AB400" s="582"/>
    </row>
    <row r="401" spans="1:28" hidden="1">
      <c r="A401" s="566" t="s">
        <v>1335</v>
      </c>
      <c r="B401" s="566" t="s">
        <v>466</v>
      </c>
      <c r="C401" s="566" t="s">
        <v>487</v>
      </c>
      <c r="D401" s="566" t="s">
        <v>472</v>
      </c>
      <c r="E401" s="566" t="s">
        <v>473</v>
      </c>
      <c r="F401" s="566" t="s">
        <v>489</v>
      </c>
      <c r="G401" s="567">
        <v>50</v>
      </c>
      <c r="H401" s="566" t="s">
        <v>568</v>
      </c>
      <c r="I401" s="568">
        <v>2</v>
      </c>
      <c r="J401" s="569">
        <v>8</v>
      </c>
      <c r="K401" s="569">
        <v>8</v>
      </c>
      <c r="L401" s="566"/>
      <c r="M401" s="566" t="s">
        <v>476</v>
      </c>
      <c r="N401" s="570">
        <v>617</v>
      </c>
      <c r="O401" s="566"/>
      <c r="P401" s="566" t="s">
        <v>477</v>
      </c>
      <c r="Q401" s="568">
        <v>909678</v>
      </c>
      <c r="R401" s="568">
        <v>17</v>
      </c>
      <c r="S401" s="566" t="s">
        <v>493</v>
      </c>
      <c r="T401" s="582" t="s">
        <v>253</v>
      </c>
      <c r="U401" s="582" t="s">
        <v>550</v>
      </c>
      <c r="V401" s="582" t="s">
        <v>528</v>
      </c>
      <c r="W401" s="583" t="s">
        <v>491</v>
      </c>
      <c r="X401" s="582" t="s">
        <v>1380</v>
      </c>
      <c r="Y401" s="582" t="s">
        <v>1338</v>
      </c>
      <c r="Z401" s="584" t="s">
        <v>1106</v>
      </c>
      <c r="AA401" s="585">
        <v>617</v>
      </c>
      <c r="AB401" s="582"/>
    </row>
    <row r="402" spans="1:28" hidden="1">
      <c r="A402" s="566" t="s">
        <v>1335</v>
      </c>
      <c r="B402" s="566" t="s">
        <v>466</v>
      </c>
      <c r="C402" s="566" t="s">
        <v>487</v>
      </c>
      <c r="D402" s="566" t="s">
        <v>472</v>
      </c>
      <c r="E402" s="566" t="s">
        <v>473</v>
      </c>
      <c r="F402" s="566" t="s">
        <v>489</v>
      </c>
      <c r="G402" s="567">
        <v>50</v>
      </c>
      <c r="H402" s="566" t="s">
        <v>570</v>
      </c>
      <c r="I402" s="568">
        <v>2</v>
      </c>
      <c r="J402" s="569">
        <v>8</v>
      </c>
      <c r="K402" s="569">
        <v>8</v>
      </c>
      <c r="L402" s="566"/>
      <c r="M402" s="566" t="s">
        <v>476</v>
      </c>
      <c r="N402" s="570">
        <v>653</v>
      </c>
      <c r="O402" s="566"/>
      <c r="P402" s="566" t="s">
        <v>477</v>
      </c>
      <c r="Q402" s="568">
        <v>909678</v>
      </c>
      <c r="R402" s="568">
        <v>18</v>
      </c>
      <c r="S402" s="566" t="s">
        <v>497</v>
      </c>
      <c r="T402" s="582" t="s">
        <v>253</v>
      </c>
      <c r="U402" s="582" t="s">
        <v>550</v>
      </c>
      <c r="V402" s="582" t="s">
        <v>528</v>
      </c>
      <c r="W402" s="583" t="s">
        <v>495</v>
      </c>
      <c r="X402" s="582" t="s">
        <v>1380</v>
      </c>
      <c r="Y402" s="582" t="s">
        <v>1338</v>
      </c>
      <c r="Z402" s="584" t="s">
        <v>1107</v>
      </c>
      <c r="AA402" s="585">
        <v>653</v>
      </c>
      <c r="AB402" s="582"/>
    </row>
    <row r="403" spans="1:28" hidden="1">
      <c r="A403" s="566" t="s">
        <v>1335</v>
      </c>
      <c r="B403" s="566" t="s">
        <v>466</v>
      </c>
      <c r="C403" s="566" t="s">
        <v>487</v>
      </c>
      <c r="D403" s="566" t="s">
        <v>472</v>
      </c>
      <c r="E403" s="566" t="s">
        <v>473</v>
      </c>
      <c r="F403" s="566" t="s">
        <v>489</v>
      </c>
      <c r="G403" s="567">
        <v>50</v>
      </c>
      <c r="H403" s="566" t="s">
        <v>573</v>
      </c>
      <c r="I403" s="568">
        <v>2</v>
      </c>
      <c r="J403" s="569">
        <v>8</v>
      </c>
      <c r="K403" s="569">
        <v>8</v>
      </c>
      <c r="L403" s="566"/>
      <c r="M403" s="566" t="s">
        <v>476</v>
      </c>
      <c r="N403" s="570">
        <v>725</v>
      </c>
      <c r="O403" s="566"/>
      <c r="P403" s="566" t="s">
        <v>477</v>
      </c>
      <c r="Q403" s="568">
        <v>909678</v>
      </c>
      <c r="R403" s="568">
        <v>19</v>
      </c>
      <c r="S403" s="566" t="s">
        <v>502</v>
      </c>
      <c r="T403" s="582" t="s">
        <v>253</v>
      </c>
      <c r="U403" s="582" t="s">
        <v>550</v>
      </c>
      <c r="V403" s="582" t="s">
        <v>528</v>
      </c>
      <c r="W403" s="583" t="s">
        <v>1276</v>
      </c>
      <c r="X403" s="582" t="s">
        <v>1380</v>
      </c>
      <c r="Y403" s="582" t="s">
        <v>1338</v>
      </c>
      <c r="Z403" s="584" t="s">
        <v>1108</v>
      </c>
      <c r="AA403" s="585">
        <v>725</v>
      </c>
      <c r="AB403" s="582"/>
    </row>
    <row r="404" spans="1:28" hidden="1">
      <c r="A404" s="566" t="s">
        <v>1335</v>
      </c>
      <c r="B404" s="566" t="s">
        <v>466</v>
      </c>
      <c r="C404" s="566" t="s">
        <v>487</v>
      </c>
      <c r="D404" s="566" t="s">
        <v>472</v>
      </c>
      <c r="E404" s="566" t="s">
        <v>473</v>
      </c>
      <c r="F404" s="566" t="s">
        <v>489</v>
      </c>
      <c r="G404" s="567">
        <v>50</v>
      </c>
      <c r="H404" s="566" t="s">
        <v>576</v>
      </c>
      <c r="I404" s="568">
        <v>2</v>
      </c>
      <c r="J404" s="569">
        <v>8</v>
      </c>
      <c r="K404" s="569">
        <v>8</v>
      </c>
      <c r="L404" s="566"/>
      <c r="M404" s="566" t="s">
        <v>476</v>
      </c>
      <c r="N404" s="570">
        <v>797</v>
      </c>
      <c r="O404" s="566"/>
      <c r="P404" s="566" t="s">
        <v>477</v>
      </c>
      <c r="Q404" s="568">
        <v>909678</v>
      </c>
      <c r="R404" s="568">
        <v>21</v>
      </c>
      <c r="S404" s="566" t="s">
        <v>507</v>
      </c>
      <c r="T404" s="582" t="s">
        <v>253</v>
      </c>
      <c r="U404" s="582" t="s">
        <v>550</v>
      </c>
      <c r="V404" s="582" t="s">
        <v>528</v>
      </c>
      <c r="W404" s="583" t="s">
        <v>1277</v>
      </c>
      <c r="X404" s="582" t="s">
        <v>1380</v>
      </c>
      <c r="Y404" s="582" t="s">
        <v>1338</v>
      </c>
      <c r="Z404" s="584" t="s">
        <v>1109</v>
      </c>
      <c r="AA404" s="585">
        <v>797</v>
      </c>
      <c r="AB404" s="582"/>
    </row>
    <row r="405" spans="1:28" hidden="1">
      <c r="A405" s="566" t="s">
        <v>1335</v>
      </c>
      <c r="B405" s="566" t="s">
        <v>466</v>
      </c>
      <c r="C405" s="566" t="s">
        <v>471</v>
      </c>
      <c r="D405" s="566" t="s">
        <v>472</v>
      </c>
      <c r="E405" s="566" t="s">
        <v>473</v>
      </c>
      <c r="F405" s="566" t="s">
        <v>474</v>
      </c>
      <c r="G405" s="567">
        <v>0</v>
      </c>
      <c r="H405" s="566" t="s">
        <v>1352</v>
      </c>
      <c r="I405" s="568">
        <v>2</v>
      </c>
      <c r="J405" s="569">
        <v>8</v>
      </c>
      <c r="K405" s="569">
        <v>8</v>
      </c>
      <c r="L405" s="566"/>
      <c r="M405" s="566" t="s">
        <v>476</v>
      </c>
      <c r="N405" s="570">
        <v>833</v>
      </c>
      <c r="O405" s="566"/>
      <c r="P405" s="566" t="s">
        <v>477</v>
      </c>
      <c r="Q405" s="568">
        <v>909678</v>
      </c>
      <c r="R405" s="568">
        <v>46</v>
      </c>
      <c r="S405" s="566" t="s">
        <v>1383</v>
      </c>
      <c r="T405" s="582" t="s">
        <v>253</v>
      </c>
      <c r="U405" s="582" t="s">
        <v>550</v>
      </c>
      <c r="V405" s="582" t="s">
        <v>528</v>
      </c>
      <c r="W405" s="583" t="s">
        <v>1354</v>
      </c>
      <c r="X405" s="582" t="s">
        <v>1380</v>
      </c>
      <c r="Y405" s="582" t="s">
        <v>1338</v>
      </c>
      <c r="Z405" s="584" t="s">
        <v>1646</v>
      </c>
      <c r="AA405" s="585">
        <v>833</v>
      </c>
      <c r="AB405" s="582"/>
    </row>
    <row r="406" spans="1:28" hidden="1">
      <c r="A406" s="566" t="s">
        <v>1335</v>
      </c>
      <c r="B406" s="566" t="s">
        <v>466</v>
      </c>
      <c r="C406" s="566" t="s">
        <v>487</v>
      </c>
      <c r="D406" s="566" t="s">
        <v>472</v>
      </c>
      <c r="E406" s="566" t="s">
        <v>473</v>
      </c>
      <c r="F406" s="566" t="s">
        <v>489</v>
      </c>
      <c r="G406" s="567">
        <v>50</v>
      </c>
      <c r="H406" s="566" t="s">
        <v>1356</v>
      </c>
      <c r="I406" s="568">
        <v>2</v>
      </c>
      <c r="J406" s="569">
        <v>8</v>
      </c>
      <c r="K406" s="569">
        <v>8</v>
      </c>
      <c r="L406" s="566"/>
      <c r="M406" s="566" t="s">
        <v>476</v>
      </c>
      <c r="N406" s="570">
        <v>869</v>
      </c>
      <c r="O406" s="566"/>
      <c r="P406" s="566" t="s">
        <v>477</v>
      </c>
      <c r="Q406" s="568">
        <v>909678</v>
      </c>
      <c r="R406" s="568">
        <v>47</v>
      </c>
      <c r="S406" s="566" t="s">
        <v>1385</v>
      </c>
      <c r="T406" s="582" t="s">
        <v>253</v>
      </c>
      <c r="U406" s="582" t="s">
        <v>550</v>
      </c>
      <c r="V406" s="582" t="s">
        <v>528</v>
      </c>
      <c r="W406" s="583" t="s">
        <v>1358</v>
      </c>
      <c r="X406" s="582" t="s">
        <v>1380</v>
      </c>
      <c r="Y406" s="582" t="s">
        <v>1338</v>
      </c>
      <c r="Z406" s="584" t="s">
        <v>1647</v>
      </c>
      <c r="AA406" s="585">
        <v>869</v>
      </c>
      <c r="AB406" s="582"/>
    </row>
    <row r="407" spans="1:28" hidden="1">
      <c r="A407" s="566" t="s">
        <v>1335</v>
      </c>
      <c r="B407" s="566" t="s">
        <v>466</v>
      </c>
      <c r="C407" s="566" t="s">
        <v>553</v>
      </c>
      <c r="D407" s="566" t="s">
        <v>472</v>
      </c>
      <c r="E407" s="566" t="s">
        <v>473</v>
      </c>
      <c r="F407" s="566" t="s">
        <v>554</v>
      </c>
      <c r="G407" s="567">
        <v>13</v>
      </c>
      <c r="H407" s="566" t="s">
        <v>1111</v>
      </c>
      <c r="I407" s="568">
        <v>2</v>
      </c>
      <c r="J407" s="569">
        <v>22</v>
      </c>
      <c r="K407" s="569">
        <v>22</v>
      </c>
      <c r="L407" s="569">
        <v>17</v>
      </c>
      <c r="M407" s="566" t="s">
        <v>476</v>
      </c>
      <c r="N407" s="570">
        <v>182</v>
      </c>
      <c r="O407" s="566"/>
      <c r="P407" s="566" t="s">
        <v>477</v>
      </c>
      <c r="Q407" s="568">
        <v>909678</v>
      </c>
      <c r="R407" s="568">
        <v>1</v>
      </c>
      <c r="S407" s="566" t="s">
        <v>1387</v>
      </c>
      <c r="T407" s="582" t="s">
        <v>257</v>
      </c>
      <c r="U407" s="582" t="s">
        <v>550</v>
      </c>
      <c r="V407" s="582" t="s">
        <v>528</v>
      </c>
      <c r="W407" s="583" t="s">
        <v>577</v>
      </c>
      <c r="X407" s="582" t="s">
        <v>1380</v>
      </c>
      <c r="Y407" s="582" t="s">
        <v>1338</v>
      </c>
      <c r="Z407" s="584" t="s">
        <v>1110</v>
      </c>
      <c r="AA407" s="585">
        <v>182</v>
      </c>
      <c r="AB407" s="582">
        <v>260081</v>
      </c>
    </row>
    <row r="408" spans="1:28" hidden="1">
      <c r="A408" s="566" t="s">
        <v>1335</v>
      </c>
      <c r="B408" s="566" t="s">
        <v>466</v>
      </c>
      <c r="C408" s="566" t="s">
        <v>553</v>
      </c>
      <c r="D408" s="566" t="s">
        <v>472</v>
      </c>
      <c r="E408" s="566" t="s">
        <v>473</v>
      </c>
      <c r="F408" s="566" t="s">
        <v>554</v>
      </c>
      <c r="G408" s="567">
        <v>13</v>
      </c>
      <c r="H408" s="566" t="s">
        <v>1113</v>
      </c>
      <c r="I408" s="568">
        <v>2</v>
      </c>
      <c r="J408" s="569">
        <v>22</v>
      </c>
      <c r="K408" s="569">
        <v>22</v>
      </c>
      <c r="L408" s="569">
        <v>17</v>
      </c>
      <c r="M408" s="566" t="s">
        <v>476</v>
      </c>
      <c r="N408" s="570">
        <v>206</v>
      </c>
      <c r="O408" s="566"/>
      <c r="P408" s="566" t="s">
        <v>477</v>
      </c>
      <c r="Q408" s="568">
        <v>909678</v>
      </c>
      <c r="R408" s="568">
        <v>2</v>
      </c>
      <c r="S408" s="566" t="s">
        <v>1388</v>
      </c>
      <c r="T408" s="582" t="s">
        <v>257</v>
      </c>
      <c r="U408" s="582" t="s">
        <v>550</v>
      </c>
      <c r="V408" s="582" t="s">
        <v>528</v>
      </c>
      <c r="W408" s="583" t="s">
        <v>580</v>
      </c>
      <c r="X408" s="582" t="s">
        <v>1380</v>
      </c>
      <c r="Y408" s="582" t="s">
        <v>1338</v>
      </c>
      <c r="Z408" s="584" t="s">
        <v>1112</v>
      </c>
      <c r="AA408" s="585">
        <v>206</v>
      </c>
      <c r="AB408" s="582">
        <v>260105</v>
      </c>
    </row>
    <row r="409" spans="1:28" hidden="1">
      <c r="A409" s="566" t="s">
        <v>1335</v>
      </c>
      <c r="B409" s="566" t="s">
        <v>466</v>
      </c>
      <c r="C409" s="566" t="s">
        <v>553</v>
      </c>
      <c r="D409" s="566" t="s">
        <v>472</v>
      </c>
      <c r="E409" s="566" t="s">
        <v>473</v>
      </c>
      <c r="F409" s="566" t="s">
        <v>554</v>
      </c>
      <c r="G409" s="567">
        <v>16</v>
      </c>
      <c r="H409" s="566" t="s">
        <v>1115</v>
      </c>
      <c r="I409" s="568">
        <v>2</v>
      </c>
      <c r="J409" s="569">
        <v>22</v>
      </c>
      <c r="K409" s="569">
        <v>22</v>
      </c>
      <c r="L409" s="569">
        <v>17</v>
      </c>
      <c r="M409" s="566" t="s">
        <v>476</v>
      </c>
      <c r="N409" s="570">
        <v>230</v>
      </c>
      <c r="O409" s="566"/>
      <c r="P409" s="566" t="s">
        <v>477</v>
      </c>
      <c r="Q409" s="568">
        <v>909678</v>
      </c>
      <c r="R409" s="568">
        <v>12</v>
      </c>
      <c r="S409" s="566" t="s">
        <v>1389</v>
      </c>
      <c r="T409" s="582" t="s">
        <v>257</v>
      </c>
      <c r="U409" s="582" t="s">
        <v>550</v>
      </c>
      <c r="V409" s="582" t="s">
        <v>528</v>
      </c>
      <c r="W409" s="583" t="s">
        <v>583</v>
      </c>
      <c r="X409" s="582" t="s">
        <v>1380</v>
      </c>
      <c r="Y409" s="582" t="s">
        <v>1338</v>
      </c>
      <c r="Z409" s="584" t="s">
        <v>1114</v>
      </c>
      <c r="AA409" s="585">
        <v>230</v>
      </c>
      <c r="AB409" s="582">
        <v>260129</v>
      </c>
    </row>
    <row r="410" spans="1:28" hidden="1">
      <c r="A410" s="566" t="s">
        <v>1335</v>
      </c>
      <c r="B410" s="566" t="s">
        <v>466</v>
      </c>
      <c r="C410" s="566" t="s">
        <v>553</v>
      </c>
      <c r="D410" s="566" t="s">
        <v>472</v>
      </c>
      <c r="E410" s="566" t="s">
        <v>473</v>
      </c>
      <c r="F410" s="566" t="s">
        <v>554</v>
      </c>
      <c r="G410" s="567">
        <v>16</v>
      </c>
      <c r="H410" s="566" t="s">
        <v>1117</v>
      </c>
      <c r="I410" s="568">
        <v>2</v>
      </c>
      <c r="J410" s="569">
        <v>22</v>
      </c>
      <c r="K410" s="569">
        <v>22</v>
      </c>
      <c r="L410" s="569">
        <v>17</v>
      </c>
      <c r="M410" s="566" t="s">
        <v>476</v>
      </c>
      <c r="N410" s="570">
        <v>254</v>
      </c>
      <c r="O410" s="566"/>
      <c r="P410" s="566" t="s">
        <v>477</v>
      </c>
      <c r="Q410" s="568">
        <v>909678</v>
      </c>
      <c r="R410" s="568">
        <v>3</v>
      </c>
      <c r="S410" s="566" t="s">
        <v>1390</v>
      </c>
      <c r="T410" s="582" t="s">
        <v>257</v>
      </c>
      <c r="U410" s="582" t="s">
        <v>550</v>
      </c>
      <c r="V410" s="582" t="s">
        <v>528</v>
      </c>
      <c r="W410" s="583" t="s">
        <v>586</v>
      </c>
      <c r="X410" s="582" t="s">
        <v>1380</v>
      </c>
      <c r="Y410" s="582" t="s">
        <v>1338</v>
      </c>
      <c r="Z410" s="584" t="s">
        <v>1116</v>
      </c>
      <c r="AA410" s="585">
        <v>254</v>
      </c>
      <c r="AB410" s="582">
        <v>260153</v>
      </c>
    </row>
    <row r="411" spans="1:28" hidden="1">
      <c r="A411" s="566" t="s">
        <v>1335</v>
      </c>
      <c r="B411" s="566" t="s">
        <v>466</v>
      </c>
      <c r="C411" s="566" t="s">
        <v>553</v>
      </c>
      <c r="D411" s="566" t="s">
        <v>472</v>
      </c>
      <c r="E411" s="566" t="s">
        <v>473</v>
      </c>
      <c r="F411" s="566" t="s">
        <v>554</v>
      </c>
      <c r="G411" s="567">
        <v>16</v>
      </c>
      <c r="H411" s="566" t="s">
        <v>1119</v>
      </c>
      <c r="I411" s="568">
        <v>2</v>
      </c>
      <c r="J411" s="569">
        <v>22</v>
      </c>
      <c r="K411" s="569">
        <v>22</v>
      </c>
      <c r="L411" s="569">
        <v>17</v>
      </c>
      <c r="M411" s="566" t="s">
        <v>476</v>
      </c>
      <c r="N411" s="570">
        <v>278</v>
      </c>
      <c r="O411" s="566"/>
      <c r="P411" s="566" t="s">
        <v>477</v>
      </c>
      <c r="Q411" s="568">
        <v>909678</v>
      </c>
      <c r="R411" s="568">
        <v>13</v>
      </c>
      <c r="S411" s="566" t="s">
        <v>1391</v>
      </c>
      <c r="T411" s="582" t="s">
        <v>257</v>
      </c>
      <c r="U411" s="582" t="s">
        <v>550</v>
      </c>
      <c r="V411" s="582" t="s">
        <v>528</v>
      </c>
      <c r="W411" s="583" t="s">
        <v>589</v>
      </c>
      <c r="X411" s="582" t="s">
        <v>1380</v>
      </c>
      <c r="Y411" s="582" t="s">
        <v>1338</v>
      </c>
      <c r="Z411" s="584" t="s">
        <v>1118</v>
      </c>
      <c r="AA411" s="585">
        <v>278</v>
      </c>
      <c r="AB411" s="582">
        <v>260177</v>
      </c>
    </row>
    <row r="412" spans="1:28" hidden="1">
      <c r="A412" s="566" t="s">
        <v>1335</v>
      </c>
      <c r="B412" s="566" t="s">
        <v>466</v>
      </c>
      <c r="C412" s="566" t="s">
        <v>471</v>
      </c>
      <c r="D412" s="566" t="s">
        <v>472</v>
      </c>
      <c r="E412" s="566" t="s">
        <v>473</v>
      </c>
      <c r="F412" s="566" t="s">
        <v>474</v>
      </c>
      <c r="G412" s="567">
        <v>0</v>
      </c>
      <c r="H412" s="566" t="s">
        <v>593</v>
      </c>
      <c r="I412" s="568">
        <v>1</v>
      </c>
      <c r="J412" s="569">
        <v>8</v>
      </c>
      <c r="K412" s="569">
        <v>8</v>
      </c>
      <c r="L412" s="566"/>
      <c r="M412" s="566" t="s">
        <v>476</v>
      </c>
      <c r="N412" s="570">
        <v>329</v>
      </c>
      <c r="O412" s="566"/>
      <c r="P412" s="566" t="s">
        <v>477</v>
      </c>
      <c r="Q412" s="568">
        <v>909678</v>
      </c>
      <c r="R412" s="568">
        <v>5</v>
      </c>
      <c r="S412" s="566" t="s">
        <v>1392</v>
      </c>
      <c r="T412" s="582" t="s">
        <v>253</v>
      </c>
      <c r="U412" s="582" t="s">
        <v>550</v>
      </c>
      <c r="V412" s="582" t="s">
        <v>528</v>
      </c>
      <c r="W412" s="583" t="s">
        <v>509</v>
      </c>
      <c r="X412" s="582" t="s">
        <v>1380</v>
      </c>
      <c r="Y412" s="582" t="s">
        <v>1338</v>
      </c>
      <c r="Z412" s="584" t="s">
        <v>1120</v>
      </c>
      <c r="AA412" s="585">
        <v>329</v>
      </c>
      <c r="AB412" s="582"/>
    </row>
    <row r="413" spans="1:28" hidden="1">
      <c r="A413" s="566" t="s">
        <v>1335</v>
      </c>
      <c r="B413" s="566" t="s">
        <v>466</v>
      </c>
      <c r="C413" s="566" t="s">
        <v>471</v>
      </c>
      <c r="D413" s="566" t="s">
        <v>472</v>
      </c>
      <c r="E413" s="566" t="s">
        <v>473</v>
      </c>
      <c r="F413" s="566" t="s">
        <v>474</v>
      </c>
      <c r="G413" s="567">
        <v>0</v>
      </c>
      <c r="H413" s="566" t="s">
        <v>595</v>
      </c>
      <c r="I413" s="568">
        <v>2</v>
      </c>
      <c r="J413" s="569">
        <v>8</v>
      </c>
      <c r="K413" s="569">
        <v>8</v>
      </c>
      <c r="L413" s="566"/>
      <c r="M413" s="566" t="s">
        <v>476</v>
      </c>
      <c r="N413" s="570">
        <v>365</v>
      </c>
      <c r="O413" s="566"/>
      <c r="P413" s="566" t="s">
        <v>477</v>
      </c>
      <c r="Q413" s="568">
        <v>909678</v>
      </c>
      <c r="R413" s="568">
        <v>6</v>
      </c>
      <c r="S413" s="566" t="s">
        <v>1393</v>
      </c>
      <c r="T413" s="582" t="s">
        <v>253</v>
      </c>
      <c r="U413" s="582" t="s">
        <v>550</v>
      </c>
      <c r="V413" s="582" t="s">
        <v>528</v>
      </c>
      <c r="W413" s="583" t="s">
        <v>512</v>
      </c>
      <c r="X413" s="582" t="s">
        <v>1380</v>
      </c>
      <c r="Y413" s="582" t="s">
        <v>1338</v>
      </c>
      <c r="Z413" s="584" t="s">
        <v>1121</v>
      </c>
      <c r="AA413" s="585">
        <v>365</v>
      </c>
      <c r="AB413" s="582"/>
    </row>
    <row r="414" spans="1:28" hidden="1">
      <c r="A414" s="566" t="s">
        <v>1335</v>
      </c>
      <c r="B414" s="566" t="s">
        <v>466</v>
      </c>
      <c r="C414" s="566" t="s">
        <v>471</v>
      </c>
      <c r="D414" s="566" t="s">
        <v>472</v>
      </c>
      <c r="E414" s="566" t="s">
        <v>473</v>
      </c>
      <c r="F414" s="566" t="s">
        <v>474</v>
      </c>
      <c r="G414" s="567">
        <v>0</v>
      </c>
      <c r="H414" s="566" t="s">
        <v>597</v>
      </c>
      <c r="I414" s="568">
        <v>2</v>
      </c>
      <c r="J414" s="569">
        <v>8</v>
      </c>
      <c r="K414" s="569">
        <v>8</v>
      </c>
      <c r="L414" s="566"/>
      <c r="M414" s="566" t="s">
        <v>476</v>
      </c>
      <c r="N414" s="570">
        <v>401</v>
      </c>
      <c r="O414" s="566"/>
      <c r="P414" s="566" t="s">
        <v>477</v>
      </c>
      <c r="Q414" s="568">
        <v>909678</v>
      </c>
      <c r="R414" s="568">
        <v>14</v>
      </c>
      <c r="S414" s="566" t="s">
        <v>1394</v>
      </c>
      <c r="T414" s="582" t="s">
        <v>253</v>
      </c>
      <c r="U414" s="582" t="s">
        <v>550</v>
      </c>
      <c r="V414" s="582" t="s">
        <v>528</v>
      </c>
      <c r="W414" s="583" t="s">
        <v>514</v>
      </c>
      <c r="X414" s="582" t="s">
        <v>1380</v>
      </c>
      <c r="Y414" s="582" t="s">
        <v>1338</v>
      </c>
      <c r="Z414" s="584" t="s">
        <v>1122</v>
      </c>
      <c r="AA414" s="585">
        <v>401</v>
      </c>
      <c r="AB414" s="582"/>
    </row>
    <row r="415" spans="1:28" hidden="1">
      <c r="A415" s="566" t="s">
        <v>1335</v>
      </c>
      <c r="B415" s="566" t="s">
        <v>466</v>
      </c>
      <c r="C415" s="566" t="s">
        <v>471</v>
      </c>
      <c r="D415" s="566" t="s">
        <v>472</v>
      </c>
      <c r="E415" s="566" t="s">
        <v>473</v>
      </c>
      <c r="F415" s="566" t="s">
        <v>474</v>
      </c>
      <c r="G415" s="567">
        <v>0</v>
      </c>
      <c r="H415" s="566" t="s">
        <v>561</v>
      </c>
      <c r="I415" s="568">
        <v>2</v>
      </c>
      <c r="J415" s="569">
        <v>32</v>
      </c>
      <c r="K415" s="569">
        <v>32</v>
      </c>
      <c r="L415" s="566"/>
      <c r="M415" s="566" t="s">
        <v>476</v>
      </c>
      <c r="N415" s="570">
        <v>1337</v>
      </c>
      <c r="O415" s="566"/>
      <c r="P415" s="566" t="s">
        <v>477</v>
      </c>
      <c r="Q415" s="568">
        <v>909678</v>
      </c>
      <c r="R415" s="568">
        <v>34</v>
      </c>
      <c r="S415" s="566" t="s">
        <v>1395</v>
      </c>
      <c r="T415" s="582" t="s">
        <v>253</v>
      </c>
      <c r="U415" s="582" t="s">
        <v>550</v>
      </c>
      <c r="V415" s="582" t="s">
        <v>528</v>
      </c>
      <c r="W415" s="583" t="s">
        <v>1274</v>
      </c>
      <c r="X415" s="582" t="s">
        <v>1380</v>
      </c>
      <c r="Y415" s="582" t="s">
        <v>1367</v>
      </c>
      <c r="Z415" s="584" t="s">
        <v>1648</v>
      </c>
      <c r="AA415" s="585">
        <v>1337</v>
      </c>
      <c r="AB415" s="582"/>
    </row>
    <row r="416" spans="1:28" hidden="1">
      <c r="A416" s="566" t="s">
        <v>1335</v>
      </c>
      <c r="B416" s="566" t="s">
        <v>466</v>
      </c>
      <c r="C416" s="566" t="s">
        <v>471</v>
      </c>
      <c r="D416" s="566" t="s">
        <v>472</v>
      </c>
      <c r="E416" s="566" t="s">
        <v>473</v>
      </c>
      <c r="F416" s="566" t="s">
        <v>474</v>
      </c>
      <c r="G416" s="567">
        <v>0</v>
      </c>
      <c r="H416" s="566" t="s">
        <v>564</v>
      </c>
      <c r="I416" s="568">
        <v>2</v>
      </c>
      <c r="J416" s="569">
        <v>32</v>
      </c>
      <c r="K416" s="569">
        <v>32</v>
      </c>
      <c r="L416" s="566"/>
      <c r="M416" s="566" t="s">
        <v>476</v>
      </c>
      <c r="N416" s="570">
        <v>1373</v>
      </c>
      <c r="O416" s="566"/>
      <c r="P416" s="566" t="s">
        <v>477</v>
      </c>
      <c r="Q416" s="568">
        <v>909678</v>
      </c>
      <c r="R416" s="568">
        <v>35</v>
      </c>
      <c r="S416" s="566" t="s">
        <v>1397</v>
      </c>
      <c r="T416" s="582" t="s">
        <v>253</v>
      </c>
      <c r="U416" s="582" t="s">
        <v>550</v>
      </c>
      <c r="V416" s="582" t="s">
        <v>528</v>
      </c>
      <c r="W416" s="583" t="s">
        <v>1275</v>
      </c>
      <c r="X416" s="582" t="s">
        <v>1380</v>
      </c>
      <c r="Y416" s="582" t="s">
        <v>1367</v>
      </c>
      <c r="Z416" s="584" t="s">
        <v>1649</v>
      </c>
      <c r="AA416" s="585">
        <v>1373</v>
      </c>
      <c r="AB416" s="582"/>
    </row>
    <row r="417" spans="1:28" hidden="1">
      <c r="A417" s="566" t="s">
        <v>1335</v>
      </c>
      <c r="B417" s="566" t="s">
        <v>466</v>
      </c>
      <c r="C417" s="566" t="s">
        <v>487</v>
      </c>
      <c r="D417" s="566" t="s">
        <v>472</v>
      </c>
      <c r="E417" s="566" t="s">
        <v>473</v>
      </c>
      <c r="F417" s="566" t="s">
        <v>489</v>
      </c>
      <c r="G417" s="567">
        <v>50</v>
      </c>
      <c r="H417" s="566" t="s">
        <v>573</v>
      </c>
      <c r="I417" s="568">
        <v>2</v>
      </c>
      <c r="J417" s="569">
        <v>32</v>
      </c>
      <c r="K417" s="569">
        <v>32</v>
      </c>
      <c r="L417" s="566"/>
      <c r="M417" s="566" t="s">
        <v>476</v>
      </c>
      <c r="N417" s="570">
        <v>1409</v>
      </c>
      <c r="O417" s="566"/>
      <c r="P417" s="566" t="s">
        <v>477</v>
      </c>
      <c r="Q417" s="568">
        <v>909678</v>
      </c>
      <c r="R417" s="568">
        <v>37</v>
      </c>
      <c r="S417" s="566" t="s">
        <v>1399</v>
      </c>
      <c r="T417" s="582" t="s">
        <v>253</v>
      </c>
      <c r="U417" s="582" t="s">
        <v>550</v>
      </c>
      <c r="V417" s="582" t="s">
        <v>528</v>
      </c>
      <c r="W417" s="583" t="s">
        <v>1276</v>
      </c>
      <c r="X417" s="582" t="s">
        <v>1380</v>
      </c>
      <c r="Y417" s="582" t="s">
        <v>1367</v>
      </c>
      <c r="Z417" s="584" t="s">
        <v>1650</v>
      </c>
      <c r="AA417" s="585">
        <v>1409</v>
      </c>
      <c r="AB417" s="582"/>
    </row>
    <row r="418" spans="1:28" hidden="1">
      <c r="A418" s="566" t="s">
        <v>1335</v>
      </c>
      <c r="B418" s="566" t="s">
        <v>466</v>
      </c>
      <c r="C418" s="566" t="s">
        <v>487</v>
      </c>
      <c r="D418" s="566" t="s">
        <v>472</v>
      </c>
      <c r="E418" s="566" t="s">
        <v>473</v>
      </c>
      <c r="F418" s="566" t="s">
        <v>489</v>
      </c>
      <c r="G418" s="567">
        <v>50</v>
      </c>
      <c r="H418" s="566" t="s">
        <v>576</v>
      </c>
      <c r="I418" s="568">
        <v>2</v>
      </c>
      <c r="J418" s="569">
        <v>32</v>
      </c>
      <c r="K418" s="569">
        <v>32</v>
      </c>
      <c r="L418" s="566"/>
      <c r="M418" s="566" t="s">
        <v>476</v>
      </c>
      <c r="N418" s="570">
        <v>1445</v>
      </c>
      <c r="O418" s="566"/>
      <c r="P418" s="566" t="s">
        <v>477</v>
      </c>
      <c r="Q418" s="568">
        <v>909678</v>
      </c>
      <c r="R418" s="568">
        <v>38</v>
      </c>
      <c r="S418" s="566" t="s">
        <v>1401</v>
      </c>
      <c r="T418" s="582" t="s">
        <v>253</v>
      </c>
      <c r="U418" s="582" t="s">
        <v>550</v>
      </c>
      <c r="V418" s="582" t="s">
        <v>528</v>
      </c>
      <c r="W418" s="583" t="s">
        <v>1277</v>
      </c>
      <c r="X418" s="582" t="s">
        <v>1380</v>
      </c>
      <c r="Y418" s="582" t="s">
        <v>1367</v>
      </c>
      <c r="Z418" s="584" t="s">
        <v>1651</v>
      </c>
      <c r="AA418" s="585">
        <v>1445</v>
      </c>
      <c r="AB418" s="582"/>
    </row>
    <row r="419" spans="1:28" hidden="1">
      <c r="A419" s="566" t="s">
        <v>1335</v>
      </c>
      <c r="B419" s="566" t="s">
        <v>466</v>
      </c>
      <c r="C419" s="566" t="s">
        <v>471</v>
      </c>
      <c r="D419" s="566" t="s">
        <v>472</v>
      </c>
      <c r="E419" s="566" t="s">
        <v>473</v>
      </c>
      <c r="F419" s="566" t="s">
        <v>474</v>
      </c>
      <c r="G419" s="567">
        <v>0</v>
      </c>
      <c r="H419" s="566" t="s">
        <v>1352</v>
      </c>
      <c r="I419" s="568">
        <v>2</v>
      </c>
      <c r="J419" s="569">
        <v>32</v>
      </c>
      <c r="K419" s="569">
        <v>32</v>
      </c>
      <c r="L419" s="566"/>
      <c r="M419" s="566" t="s">
        <v>476</v>
      </c>
      <c r="N419" s="570">
        <v>1481</v>
      </c>
      <c r="O419" s="566"/>
      <c r="P419" s="566" t="s">
        <v>477</v>
      </c>
      <c r="Q419" s="568">
        <v>909678</v>
      </c>
      <c r="R419" s="568">
        <v>36</v>
      </c>
      <c r="S419" s="566" t="s">
        <v>1403</v>
      </c>
      <c r="T419" s="582" t="s">
        <v>253</v>
      </c>
      <c r="U419" s="582" t="s">
        <v>550</v>
      </c>
      <c r="V419" s="582" t="s">
        <v>528</v>
      </c>
      <c r="W419" s="583" t="s">
        <v>1354</v>
      </c>
      <c r="X419" s="582" t="s">
        <v>1380</v>
      </c>
      <c r="Y419" s="582" t="s">
        <v>1367</v>
      </c>
      <c r="Z419" s="584" t="s">
        <v>1652</v>
      </c>
      <c r="AA419" s="585">
        <v>1481</v>
      </c>
      <c r="AB419" s="582"/>
    </row>
    <row r="420" spans="1:28" hidden="1">
      <c r="A420" s="566" t="s">
        <v>1335</v>
      </c>
      <c r="B420" s="566" t="s">
        <v>466</v>
      </c>
      <c r="C420" s="566" t="s">
        <v>487</v>
      </c>
      <c r="D420" s="566" t="s">
        <v>472</v>
      </c>
      <c r="E420" s="566" t="s">
        <v>473</v>
      </c>
      <c r="F420" s="566" t="s">
        <v>489</v>
      </c>
      <c r="G420" s="567">
        <v>50</v>
      </c>
      <c r="H420" s="566" t="s">
        <v>1356</v>
      </c>
      <c r="I420" s="568">
        <v>2</v>
      </c>
      <c r="J420" s="569">
        <v>32</v>
      </c>
      <c r="K420" s="569">
        <v>32</v>
      </c>
      <c r="L420" s="566"/>
      <c r="M420" s="566" t="s">
        <v>476</v>
      </c>
      <c r="N420" s="570">
        <v>1517</v>
      </c>
      <c r="O420" s="566"/>
      <c r="P420" s="566" t="s">
        <v>477</v>
      </c>
      <c r="Q420" s="568">
        <v>909678</v>
      </c>
      <c r="R420" s="568">
        <v>39</v>
      </c>
      <c r="S420" s="566" t="s">
        <v>1405</v>
      </c>
      <c r="T420" s="582" t="s">
        <v>253</v>
      </c>
      <c r="U420" s="582" t="s">
        <v>550</v>
      </c>
      <c r="V420" s="582" t="s">
        <v>528</v>
      </c>
      <c r="W420" s="583" t="s">
        <v>1358</v>
      </c>
      <c r="X420" s="582" t="s">
        <v>1380</v>
      </c>
      <c r="Y420" s="582" t="s">
        <v>1367</v>
      </c>
      <c r="Z420" s="584" t="s">
        <v>1653</v>
      </c>
      <c r="AA420" s="585">
        <v>1517</v>
      </c>
      <c r="AB420" s="582"/>
    </row>
    <row r="421" spans="1:28" hidden="1">
      <c r="A421" s="566" t="s">
        <v>1335</v>
      </c>
      <c r="B421" s="566" t="s">
        <v>466</v>
      </c>
      <c r="C421" s="566" t="s">
        <v>471</v>
      </c>
      <c r="D421" s="566" t="s">
        <v>472</v>
      </c>
      <c r="E421" s="566" t="s">
        <v>473</v>
      </c>
      <c r="F421" s="566" t="s">
        <v>474</v>
      </c>
      <c r="G421" s="567">
        <v>0</v>
      </c>
      <c r="H421" s="566" t="s">
        <v>559</v>
      </c>
      <c r="I421" s="568">
        <v>2</v>
      </c>
      <c r="J421" s="569">
        <v>8</v>
      </c>
      <c r="K421" s="569">
        <v>8</v>
      </c>
      <c r="L421" s="566"/>
      <c r="M421" s="566" t="s">
        <v>476</v>
      </c>
      <c r="N421" s="570">
        <v>437</v>
      </c>
      <c r="O421" s="566"/>
      <c r="P421" s="566" t="s">
        <v>477</v>
      </c>
      <c r="Q421" s="568">
        <v>909678</v>
      </c>
      <c r="R421" s="568">
        <v>7</v>
      </c>
      <c r="S421" s="566" t="s">
        <v>1407</v>
      </c>
      <c r="T421" s="575" t="s">
        <v>1473</v>
      </c>
      <c r="U421" s="575" t="s">
        <v>550</v>
      </c>
      <c r="V421" s="575" t="s">
        <v>528</v>
      </c>
      <c r="W421" s="576" t="s">
        <v>470</v>
      </c>
      <c r="X421" s="575" t="s">
        <v>1380</v>
      </c>
      <c r="Y421" s="575" t="s">
        <v>1338</v>
      </c>
      <c r="Z421" s="576" t="s">
        <v>1654</v>
      </c>
      <c r="AA421" s="577">
        <v>437</v>
      </c>
      <c r="AB421" s="575"/>
    </row>
    <row r="422" spans="1:28" hidden="1">
      <c r="A422" s="566" t="s">
        <v>1335</v>
      </c>
      <c r="B422" s="566" t="s">
        <v>466</v>
      </c>
      <c r="C422" s="566" t="s">
        <v>471</v>
      </c>
      <c r="D422" s="566" t="s">
        <v>472</v>
      </c>
      <c r="E422" s="566" t="s">
        <v>473</v>
      </c>
      <c r="F422" s="566" t="s">
        <v>474</v>
      </c>
      <c r="G422" s="567">
        <v>0</v>
      </c>
      <c r="H422" s="566" t="s">
        <v>562</v>
      </c>
      <c r="I422" s="568">
        <v>2</v>
      </c>
      <c r="J422" s="569">
        <v>8</v>
      </c>
      <c r="K422" s="569">
        <v>8</v>
      </c>
      <c r="L422" s="566"/>
      <c r="M422" s="566" t="s">
        <v>476</v>
      </c>
      <c r="N422" s="570">
        <v>509</v>
      </c>
      <c r="O422" s="566"/>
      <c r="P422" s="566" t="s">
        <v>477</v>
      </c>
      <c r="Q422" s="568">
        <v>909678</v>
      </c>
      <c r="R422" s="568">
        <v>8</v>
      </c>
      <c r="S422" s="566" t="s">
        <v>1410</v>
      </c>
      <c r="T422" s="575" t="s">
        <v>1473</v>
      </c>
      <c r="U422" s="575" t="s">
        <v>550</v>
      </c>
      <c r="V422" s="575" t="s">
        <v>528</v>
      </c>
      <c r="W422" s="576" t="s">
        <v>480</v>
      </c>
      <c r="X422" s="575" t="s">
        <v>1380</v>
      </c>
      <c r="Y422" s="575" t="s">
        <v>1338</v>
      </c>
      <c r="Z422" s="576" t="s">
        <v>1655</v>
      </c>
      <c r="AA422" s="577">
        <v>509</v>
      </c>
      <c r="AB422" s="575"/>
    </row>
    <row r="423" spans="1:28" hidden="1">
      <c r="A423" s="566" t="s">
        <v>1335</v>
      </c>
      <c r="B423" s="566" t="s">
        <v>466</v>
      </c>
      <c r="C423" s="566" t="s">
        <v>487</v>
      </c>
      <c r="D423" s="566" t="s">
        <v>472</v>
      </c>
      <c r="E423" s="566" t="s">
        <v>473</v>
      </c>
      <c r="F423" s="566" t="s">
        <v>489</v>
      </c>
      <c r="G423" s="567">
        <v>50</v>
      </c>
      <c r="H423" s="566" t="s">
        <v>571</v>
      </c>
      <c r="I423" s="568">
        <v>2</v>
      </c>
      <c r="J423" s="569">
        <v>8</v>
      </c>
      <c r="K423" s="569">
        <v>8</v>
      </c>
      <c r="L423" s="566"/>
      <c r="M423" s="566" t="s">
        <v>476</v>
      </c>
      <c r="N423" s="570">
        <v>689</v>
      </c>
      <c r="O423" s="566"/>
      <c r="P423" s="566" t="s">
        <v>477</v>
      </c>
      <c r="Q423" s="568">
        <v>909678</v>
      </c>
      <c r="R423" s="568">
        <v>11</v>
      </c>
      <c r="S423" s="566" t="s">
        <v>1412</v>
      </c>
      <c r="T423" s="575" t="s">
        <v>1473</v>
      </c>
      <c r="U423" s="575" t="s">
        <v>550</v>
      </c>
      <c r="V423" s="575" t="s">
        <v>528</v>
      </c>
      <c r="W423" s="576" t="s">
        <v>499</v>
      </c>
      <c r="X423" s="575" t="s">
        <v>1380</v>
      </c>
      <c r="Y423" s="575" t="s">
        <v>1338</v>
      </c>
      <c r="Z423" s="576" t="s">
        <v>1656</v>
      </c>
      <c r="AA423" s="577">
        <v>689</v>
      </c>
      <c r="AB423" s="575"/>
    </row>
    <row r="424" spans="1:28" hidden="1">
      <c r="A424" s="566" t="s">
        <v>1335</v>
      </c>
      <c r="B424" s="566" t="s">
        <v>466</v>
      </c>
      <c r="C424" s="566" t="s">
        <v>487</v>
      </c>
      <c r="D424" s="566" t="s">
        <v>472</v>
      </c>
      <c r="E424" s="566" t="s">
        <v>473</v>
      </c>
      <c r="F424" s="566" t="s">
        <v>489</v>
      </c>
      <c r="G424" s="567">
        <v>50</v>
      </c>
      <c r="H424" s="566" t="s">
        <v>574</v>
      </c>
      <c r="I424" s="568">
        <v>2</v>
      </c>
      <c r="J424" s="569">
        <v>8</v>
      </c>
      <c r="K424" s="569">
        <v>8</v>
      </c>
      <c r="L424" s="566"/>
      <c r="M424" s="566" t="s">
        <v>476</v>
      </c>
      <c r="N424" s="570">
        <v>761</v>
      </c>
      <c r="O424" s="566"/>
      <c r="P424" s="566" t="s">
        <v>477</v>
      </c>
      <c r="Q424" s="568">
        <v>909678</v>
      </c>
      <c r="R424" s="568">
        <v>20</v>
      </c>
      <c r="S424" s="566" t="s">
        <v>1414</v>
      </c>
      <c r="T424" s="575" t="s">
        <v>1473</v>
      </c>
      <c r="U424" s="575" t="s">
        <v>550</v>
      </c>
      <c r="V424" s="575" t="s">
        <v>528</v>
      </c>
      <c r="W424" s="576" t="s">
        <v>504</v>
      </c>
      <c r="X424" s="575" t="s">
        <v>1380</v>
      </c>
      <c r="Y424" s="575" t="s">
        <v>1338</v>
      </c>
      <c r="Z424" s="576" t="s">
        <v>1657</v>
      </c>
      <c r="AA424" s="577">
        <v>761</v>
      </c>
      <c r="AB424" s="575"/>
    </row>
    <row r="425" spans="1:28" hidden="1">
      <c r="A425" s="566" t="s">
        <v>1335</v>
      </c>
      <c r="B425" s="566" t="s">
        <v>466</v>
      </c>
      <c r="C425" s="566" t="s">
        <v>471</v>
      </c>
      <c r="D425" s="566" t="s">
        <v>472</v>
      </c>
      <c r="E425" s="566" t="s">
        <v>473</v>
      </c>
      <c r="F425" s="566" t="s">
        <v>474</v>
      </c>
      <c r="G425" s="567">
        <v>0</v>
      </c>
      <c r="H425" s="566" t="s">
        <v>561</v>
      </c>
      <c r="I425" s="568">
        <v>2</v>
      </c>
      <c r="J425" s="569">
        <v>60</v>
      </c>
      <c r="K425" s="569">
        <v>60</v>
      </c>
      <c r="L425" s="566"/>
      <c r="M425" s="566" t="s">
        <v>476</v>
      </c>
      <c r="N425" s="570">
        <v>1017</v>
      </c>
      <c r="O425" s="566"/>
      <c r="P425" s="566" t="s">
        <v>477</v>
      </c>
      <c r="Q425" s="568">
        <v>909678</v>
      </c>
      <c r="R425" s="568">
        <v>25</v>
      </c>
      <c r="S425" s="566" t="s">
        <v>1336</v>
      </c>
      <c r="T425" s="571" t="s">
        <v>467</v>
      </c>
      <c r="U425" s="571" t="s">
        <v>550</v>
      </c>
      <c r="V425" s="571" t="s">
        <v>539</v>
      </c>
      <c r="W425" s="572" t="s">
        <v>1274</v>
      </c>
      <c r="X425" s="571" t="s">
        <v>1337</v>
      </c>
      <c r="Y425" s="571" t="s">
        <v>1338</v>
      </c>
      <c r="Z425" s="566" t="s">
        <v>1658</v>
      </c>
      <c r="AA425" s="573">
        <v>1017</v>
      </c>
      <c r="AB425" s="571"/>
    </row>
    <row r="426" spans="1:28" hidden="1">
      <c r="A426" s="566" t="s">
        <v>1335</v>
      </c>
      <c r="B426" s="566" t="s">
        <v>466</v>
      </c>
      <c r="C426" s="566" t="s">
        <v>471</v>
      </c>
      <c r="D426" s="566" t="s">
        <v>472</v>
      </c>
      <c r="E426" s="566" t="s">
        <v>473</v>
      </c>
      <c r="F426" s="566" t="s">
        <v>474</v>
      </c>
      <c r="G426" s="567">
        <v>0</v>
      </c>
      <c r="H426" s="566" t="s">
        <v>564</v>
      </c>
      <c r="I426" s="568">
        <v>2</v>
      </c>
      <c r="J426" s="569">
        <v>60</v>
      </c>
      <c r="K426" s="569">
        <v>60</v>
      </c>
      <c r="L426" s="566"/>
      <c r="M426" s="566" t="s">
        <v>476</v>
      </c>
      <c r="N426" s="570">
        <v>1053</v>
      </c>
      <c r="O426" s="566"/>
      <c r="P426" s="566" t="s">
        <v>477</v>
      </c>
      <c r="Q426" s="568">
        <v>909678</v>
      </c>
      <c r="R426" s="568">
        <v>26</v>
      </c>
      <c r="S426" s="566" t="s">
        <v>1340</v>
      </c>
      <c r="T426" s="571" t="s">
        <v>467</v>
      </c>
      <c r="U426" s="571" t="s">
        <v>550</v>
      </c>
      <c r="V426" s="571" t="s">
        <v>539</v>
      </c>
      <c r="W426" s="572" t="s">
        <v>1275</v>
      </c>
      <c r="X426" s="571" t="s">
        <v>1337</v>
      </c>
      <c r="Y426" s="571" t="s">
        <v>1338</v>
      </c>
      <c r="Z426" s="566" t="s">
        <v>1659</v>
      </c>
      <c r="AA426" s="573">
        <v>1053</v>
      </c>
      <c r="AB426" s="571"/>
    </row>
    <row r="427" spans="1:28" hidden="1">
      <c r="A427" s="566" t="s">
        <v>1335</v>
      </c>
      <c r="B427" s="566" t="s">
        <v>466</v>
      </c>
      <c r="C427" s="566" t="s">
        <v>487</v>
      </c>
      <c r="D427" s="566" t="s">
        <v>472</v>
      </c>
      <c r="E427" s="566" t="s">
        <v>473</v>
      </c>
      <c r="F427" s="566" t="s">
        <v>489</v>
      </c>
      <c r="G427" s="567">
        <v>50</v>
      </c>
      <c r="H427" s="566" t="s">
        <v>566</v>
      </c>
      <c r="I427" s="568">
        <v>2</v>
      </c>
      <c r="J427" s="569">
        <v>60</v>
      </c>
      <c r="K427" s="569">
        <v>60</v>
      </c>
      <c r="L427" s="566"/>
      <c r="M427" s="566" t="s">
        <v>476</v>
      </c>
      <c r="N427" s="570">
        <v>1089</v>
      </c>
      <c r="O427" s="566"/>
      <c r="P427" s="566" t="s">
        <v>477</v>
      </c>
      <c r="Q427" s="568">
        <v>909678</v>
      </c>
      <c r="R427" s="568">
        <v>28</v>
      </c>
      <c r="S427" s="566" t="s">
        <v>1342</v>
      </c>
      <c r="T427" s="571" t="s">
        <v>467</v>
      </c>
      <c r="U427" s="571" t="s">
        <v>550</v>
      </c>
      <c r="V427" s="571" t="s">
        <v>539</v>
      </c>
      <c r="W427" s="572" t="s">
        <v>485</v>
      </c>
      <c r="X427" s="571" t="s">
        <v>1337</v>
      </c>
      <c r="Y427" s="571" t="s">
        <v>1338</v>
      </c>
      <c r="Z427" s="566" t="s">
        <v>1660</v>
      </c>
      <c r="AA427" s="573">
        <v>1089</v>
      </c>
      <c r="AB427" s="571"/>
    </row>
    <row r="428" spans="1:28" hidden="1">
      <c r="A428" s="566" t="s">
        <v>1335</v>
      </c>
      <c r="B428" s="566" t="s">
        <v>466</v>
      </c>
      <c r="C428" s="566" t="s">
        <v>487</v>
      </c>
      <c r="D428" s="566" t="s">
        <v>472</v>
      </c>
      <c r="E428" s="566" t="s">
        <v>473</v>
      </c>
      <c r="F428" s="566" t="s">
        <v>489</v>
      </c>
      <c r="G428" s="567">
        <v>50</v>
      </c>
      <c r="H428" s="566" t="s">
        <v>568</v>
      </c>
      <c r="I428" s="568">
        <v>2</v>
      </c>
      <c r="J428" s="569">
        <v>60</v>
      </c>
      <c r="K428" s="569">
        <v>60</v>
      </c>
      <c r="L428" s="566"/>
      <c r="M428" s="566" t="s">
        <v>476</v>
      </c>
      <c r="N428" s="570">
        <v>1125</v>
      </c>
      <c r="O428" s="566"/>
      <c r="P428" s="566" t="s">
        <v>477</v>
      </c>
      <c r="Q428" s="568">
        <v>909678</v>
      </c>
      <c r="R428" s="568">
        <v>29</v>
      </c>
      <c r="S428" s="566" t="s">
        <v>1344</v>
      </c>
      <c r="T428" s="571" t="s">
        <v>467</v>
      </c>
      <c r="U428" s="571" t="s">
        <v>550</v>
      </c>
      <c r="V428" s="571" t="s">
        <v>539</v>
      </c>
      <c r="W428" s="572" t="s">
        <v>491</v>
      </c>
      <c r="X428" s="571" t="s">
        <v>1337</v>
      </c>
      <c r="Y428" s="571" t="s">
        <v>1338</v>
      </c>
      <c r="Z428" s="566" t="s">
        <v>1661</v>
      </c>
      <c r="AA428" s="573">
        <v>1125</v>
      </c>
      <c r="AB428" s="571"/>
    </row>
    <row r="429" spans="1:28" hidden="1">
      <c r="A429" s="566" t="s">
        <v>1335</v>
      </c>
      <c r="B429" s="566" t="s">
        <v>466</v>
      </c>
      <c r="C429" s="566" t="s">
        <v>487</v>
      </c>
      <c r="D429" s="566" t="s">
        <v>472</v>
      </c>
      <c r="E429" s="566" t="s">
        <v>473</v>
      </c>
      <c r="F429" s="566" t="s">
        <v>489</v>
      </c>
      <c r="G429" s="567">
        <v>50</v>
      </c>
      <c r="H429" s="566" t="s">
        <v>570</v>
      </c>
      <c r="I429" s="568">
        <v>2</v>
      </c>
      <c r="J429" s="569">
        <v>60</v>
      </c>
      <c r="K429" s="569">
        <v>60</v>
      </c>
      <c r="L429" s="566"/>
      <c r="M429" s="566" t="s">
        <v>476</v>
      </c>
      <c r="N429" s="570">
        <v>1161</v>
      </c>
      <c r="O429" s="566"/>
      <c r="P429" s="566" t="s">
        <v>477</v>
      </c>
      <c r="Q429" s="568">
        <v>909678</v>
      </c>
      <c r="R429" s="568">
        <v>30</v>
      </c>
      <c r="S429" s="566" t="s">
        <v>1346</v>
      </c>
      <c r="T429" s="571" t="s">
        <v>467</v>
      </c>
      <c r="U429" s="571" t="s">
        <v>550</v>
      </c>
      <c r="V429" s="571" t="s">
        <v>539</v>
      </c>
      <c r="W429" s="572" t="s">
        <v>495</v>
      </c>
      <c r="X429" s="571" t="s">
        <v>1337</v>
      </c>
      <c r="Y429" s="571" t="s">
        <v>1338</v>
      </c>
      <c r="Z429" s="566" t="s">
        <v>1662</v>
      </c>
      <c r="AA429" s="573">
        <v>1161</v>
      </c>
      <c r="AB429" s="571"/>
    </row>
    <row r="430" spans="1:28" hidden="1">
      <c r="A430" s="566" t="s">
        <v>1335</v>
      </c>
      <c r="B430" s="566" t="s">
        <v>466</v>
      </c>
      <c r="C430" s="566" t="s">
        <v>487</v>
      </c>
      <c r="D430" s="566" t="s">
        <v>472</v>
      </c>
      <c r="E430" s="566" t="s">
        <v>473</v>
      </c>
      <c r="F430" s="566" t="s">
        <v>489</v>
      </c>
      <c r="G430" s="567">
        <v>50</v>
      </c>
      <c r="H430" s="566" t="s">
        <v>573</v>
      </c>
      <c r="I430" s="568">
        <v>2</v>
      </c>
      <c r="J430" s="569">
        <v>60</v>
      </c>
      <c r="K430" s="569">
        <v>60</v>
      </c>
      <c r="L430" s="566"/>
      <c r="M430" s="566" t="s">
        <v>476</v>
      </c>
      <c r="N430" s="570">
        <v>1197</v>
      </c>
      <c r="O430" s="566"/>
      <c r="P430" s="566" t="s">
        <v>477</v>
      </c>
      <c r="Q430" s="568">
        <v>909678</v>
      </c>
      <c r="R430" s="568">
        <v>31</v>
      </c>
      <c r="S430" s="566" t="s">
        <v>1348</v>
      </c>
      <c r="T430" s="571" t="s">
        <v>467</v>
      </c>
      <c r="U430" s="571" t="s">
        <v>550</v>
      </c>
      <c r="V430" s="571" t="s">
        <v>539</v>
      </c>
      <c r="W430" s="572" t="s">
        <v>1276</v>
      </c>
      <c r="X430" s="571" t="s">
        <v>1337</v>
      </c>
      <c r="Y430" s="571" t="s">
        <v>1338</v>
      </c>
      <c r="Z430" s="566" t="s">
        <v>1663</v>
      </c>
      <c r="AA430" s="573">
        <v>1197</v>
      </c>
      <c r="AB430" s="571"/>
    </row>
    <row r="431" spans="1:28" hidden="1">
      <c r="A431" s="566" t="s">
        <v>1335</v>
      </c>
      <c r="B431" s="566" t="s">
        <v>466</v>
      </c>
      <c r="C431" s="566" t="s">
        <v>487</v>
      </c>
      <c r="D431" s="566" t="s">
        <v>472</v>
      </c>
      <c r="E431" s="566" t="s">
        <v>473</v>
      </c>
      <c r="F431" s="566" t="s">
        <v>489</v>
      </c>
      <c r="G431" s="567">
        <v>50</v>
      </c>
      <c r="H431" s="566" t="s">
        <v>576</v>
      </c>
      <c r="I431" s="568">
        <v>2</v>
      </c>
      <c r="J431" s="569">
        <v>60</v>
      </c>
      <c r="K431" s="569">
        <v>60</v>
      </c>
      <c r="L431" s="566"/>
      <c r="M431" s="566" t="s">
        <v>476</v>
      </c>
      <c r="N431" s="570">
        <v>1233</v>
      </c>
      <c r="O431" s="566"/>
      <c r="P431" s="566" t="s">
        <v>477</v>
      </c>
      <c r="Q431" s="568">
        <v>909678</v>
      </c>
      <c r="R431" s="568">
        <v>32</v>
      </c>
      <c r="S431" s="566" t="s">
        <v>1350</v>
      </c>
      <c r="T431" s="571" t="s">
        <v>467</v>
      </c>
      <c r="U431" s="571" t="s">
        <v>550</v>
      </c>
      <c r="V431" s="571" t="s">
        <v>539</v>
      </c>
      <c r="W431" s="572" t="s">
        <v>1277</v>
      </c>
      <c r="X431" s="571" t="s">
        <v>1337</v>
      </c>
      <c r="Y431" s="571" t="s">
        <v>1338</v>
      </c>
      <c r="Z431" s="566" t="s">
        <v>1664</v>
      </c>
      <c r="AA431" s="573">
        <v>1233</v>
      </c>
      <c r="AB431" s="571"/>
    </row>
    <row r="432" spans="1:28" hidden="1">
      <c r="A432" s="566" t="s">
        <v>1335</v>
      </c>
      <c r="B432" s="566" t="s">
        <v>466</v>
      </c>
      <c r="C432" s="566" t="s">
        <v>471</v>
      </c>
      <c r="D432" s="566" t="s">
        <v>472</v>
      </c>
      <c r="E432" s="566" t="s">
        <v>473</v>
      </c>
      <c r="F432" s="566" t="s">
        <v>474</v>
      </c>
      <c r="G432" s="567">
        <v>0</v>
      </c>
      <c r="H432" s="566" t="s">
        <v>1352</v>
      </c>
      <c r="I432" s="568">
        <v>2</v>
      </c>
      <c r="J432" s="569">
        <v>60</v>
      </c>
      <c r="K432" s="569">
        <v>60</v>
      </c>
      <c r="L432" s="566"/>
      <c r="M432" s="566" t="s">
        <v>476</v>
      </c>
      <c r="N432" s="570">
        <v>1269</v>
      </c>
      <c r="O432" s="566"/>
      <c r="P432" s="566" t="s">
        <v>477</v>
      </c>
      <c r="Q432" s="568">
        <v>909678</v>
      </c>
      <c r="R432" s="568">
        <v>27</v>
      </c>
      <c r="S432" s="566" t="s">
        <v>1353</v>
      </c>
      <c r="T432" s="571" t="s">
        <v>467</v>
      </c>
      <c r="U432" s="571" t="s">
        <v>550</v>
      </c>
      <c r="V432" s="571" t="s">
        <v>539</v>
      </c>
      <c r="W432" s="572" t="s">
        <v>1354</v>
      </c>
      <c r="X432" s="571" t="s">
        <v>1337</v>
      </c>
      <c r="Y432" s="571" t="s">
        <v>1338</v>
      </c>
      <c r="Z432" s="566" t="s">
        <v>1665</v>
      </c>
      <c r="AA432" s="573">
        <v>1269</v>
      </c>
      <c r="AB432" s="571"/>
    </row>
    <row r="433" spans="1:28" hidden="1">
      <c r="A433" s="566" t="s">
        <v>1335</v>
      </c>
      <c r="B433" s="566" t="s">
        <v>466</v>
      </c>
      <c r="C433" s="566" t="s">
        <v>487</v>
      </c>
      <c r="D433" s="566" t="s">
        <v>472</v>
      </c>
      <c r="E433" s="566" t="s">
        <v>473</v>
      </c>
      <c r="F433" s="566" t="s">
        <v>489</v>
      </c>
      <c r="G433" s="567">
        <v>50</v>
      </c>
      <c r="H433" s="566" t="s">
        <v>1356</v>
      </c>
      <c r="I433" s="568">
        <v>2</v>
      </c>
      <c r="J433" s="569">
        <v>60</v>
      </c>
      <c r="K433" s="569">
        <v>60</v>
      </c>
      <c r="L433" s="566"/>
      <c r="M433" s="566" t="s">
        <v>476</v>
      </c>
      <c r="N433" s="570">
        <v>1305</v>
      </c>
      <c r="O433" s="566"/>
      <c r="P433" s="566" t="s">
        <v>477</v>
      </c>
      <c r="Q433" s="568">
        <v>909678</v>
      </c>
      <c r="R433" s="568">
        <v>33</v>
      </c>
      <c r="S433" s="566" t="s">
        <v>1357</v>
      </c>
      <c r="T433" s="571" t="s">
        <v>467</v>
      </c>
      <c r="U433" s="571" t="s">
        <v>550</v>
      </c>
      <c r="V433" s="571" t="s">
        <v>539</v>
      </c>
      <c r="W433" s="572" t="s">
        <v>1358</v>
      </c>
      <c r="X433" s="571" t="s">
        <v>1337</v>
      </c>
      <c r="Y433" s="571" t="s">
        <v>1338</v>
      </c>
      <c r="Z433" s="566" t="s">
        <v>1666</v>
      </c>
      <c r="AA433" s="573">
        <v>1305</v>
      </c>
      <c r="AB433" s="571"/>
    </row>
    <row r="434" spans="1:28" hidden="1">
      <c r="A434" s="566" t="s">
        <v>1335</v>
      </c>
      <c r="B434" s="566" t="s">
        <v>466</v>
      </c>
      <c r="C434" s="566" t="s">
        <v>471</v>
      </c>
      <c r="D434" s="566" t="s">
        <v>472</v>
      </c>
      <c r="E434" s="566" t="s">
        <v>473</v>
      </c>
      <c r="F434" s="566" t="s">
        <v>474</v>
      </c>
      <c r="G434" s="567">
        <v>0</v>
      </c>
      <c r="H434" s="566" t="s">
        <v>593</v>
      </c>
      <c r="I434" s="568">
        <v>1</v>
      </c>
      <c r="J434" s="569">
        <v>60</v>
      </c>
      <c r="K434" s="569">
        <v>60</v>
      </c>
      <c r="L434" s="566"/>
      <c r="M434" s="566" t="s">
        <v>476</v>
      </c>
      <c r="N434" s="570">
        <v>909</v>
      </c>
      <c r="O434" s="566"/>
      <c r="P434" s="566" t="s">
        <v>477</v>
      </c>
      <c r="Q434" s="568">
        <v>909678</v>
      </c>
      <c r="R434" s="568">
        <v>22</v>
      </c>
      <c r="S434" s="566" t="s">
        <v>1360</v>
      </c>
      <c r="T434" s="571" t="s">
        <v>467</v>
      </c>
      <c r="U434" s="571" t="s">
        <v>550</v>
      </c>
      <c r="V434" s="571" t="s">
        <v>539</v>
      </c>
      <c r="W434" s="572" t="s">
        <v>509</v>
      </c>
      <c r="X434" s="571" t="s">
        <v>1337</v>
      </c>
      <c r="Y434" s="571" t="s">
        <v>1338</v>
      </c>
      <c r="Z434" s="566" t="s">
        <v>1667</v>
      </c>
      <c r="AA434" s="573">
        <v>909</v>
      </c>
      <c r="AB434" s="571"/>
    </row>
    <row r="435" spans="1:28" hidden="1">
      <c r="A435" s="566" t="s">
        <v>1335</v>
      </c>
      <c r="B435" s="566" t="s">
        <v>466</v>
      </c>
      <c r="C435" s="566" t="s">
        <v>471</v>
      </c>
      <c r="D435" s="566" t="s">
        <v>472</v>
      </c>
      <c r="E435" s="566" t="s">
        <v>473</v>
      </c>
      <c r="F435" s="566" t="s">
        <v>474</v>
      </c>
      <c r="G435" s="567">
        <v>0</v>
      </c>
      <c r="H435" s="566" t="s">
        <v>595</v>
      </c>
      <c r="I435" s="568">
        <v>2</v>
      </c>
      <c r="J435" s="569">
        <v>60</v>
      </c>
      <c r="K435" s="569">
        <v>60</v>
      </c>
      <c r="L435" s="566"/>
      <c r="M435" s="566" t="s">
        <v>476</v>
      </c>
      <c r="N435" s="570">
        <v>945</v>
      </c>
      <c r="O435" s="566"/>
      <c r="P435" s="566" t="s">
        <v>477</v>
      </c>
      <c r="Q435" s="568">
        <v>909678</v>
      </c>
      <c r="R435" s="568">
        <v>23</v>
      </c>
      <c r="S435" s="566" t="s">
        <v>1362</v>
      </c>
      <c r="T435" s="571" t="s">
        <v>467</v>
      </c>
      <c r="U435" s="571" t="s">
        <v>550</v>
      </c>
      <c r="V435" s="571" t="s">
        <v>539</v>
      </c>
      <c r="W435" s="572" t="s">
        <v>512</v>
      </c>
      <c r="X435" s="571" t="s">
        <v>1337</v>
      </c>
      <c r="Y435" s="571" t="s">
        <v>1338</v>
      </c>
      <c r="Z435" s="566" t="s">
        <v>1668</v>
      </c>
      <c r="AA435" s="573">
        <v>945</v>
      </c>
      <c r="AB435" s="571"/>
    </row>
    <row r="436" spans="1:28" hidden="1">
      <c r="A436" s="566" t="s">
        <v>1335</v>
      </c>
      <c r="B436" s="566" t="s">
        <v>466</v>
      </c>
      <c r="C436" s="566" t="s">
        <v>471</v>
      </c>
      <c r="D436" s="566" t="s">
        <v>472</v>
      </c>
      <c r="E436" s="566" t="s">
        <v>473</v>
      </c>
      <c r="F436" s="566" t="s">
        <v>474</v>
      </c>
      <c r="G436" s="567">
        <v>0</v>
      </c>
      <c r="H436" s="566" t="s">
        <v>597</v>
      </c>
      <c r="I436" s="568">
        <v>2</v>
      </c>
      <c r="J436" s="569">
        <v>60</v>
      </c>
      <c r="K436" s="569">
        <v>60</v>
      </c>
      <c r="L436" s="566"/>
      <c r="M436" s="566" t="s">
        <v>476</v>
      </c>
      <c r="N436" s="570">
        <v>981</v>
      </c>
      <c r="O436" s="566"/>
      <c r="P436" s="566" t="s">
        <v>477</v>
      </c>
      <c r="Q436" s="568">
        <v>909678</v>
      </c>
      <c r="R436" s="568">
        <v>24</v>
      </c>
      <c r="S436" s="566" t="s">
        <v>1364</v>
      </c>
      <c r="T436" s="571" t="s">
        <v>467</v>
      </c>
      <c r="U436" s="571" t="s">
        <v>550</v>
      </c>
      <c r="V436" s="571" t="s">
        <v>539</v>
      </c>
      <c r="W436" s="572" t="s">
        <v>514</v>
      </c>
      <c r="X436" s="571" t="s">
        <v>1337</v>
      </c>
      <c r="Y436" s="571" t="s">
        <v>1338</v>
      </c>
      <c r="Z436" s="566" t="s">
        <v>1669</v>
      </c>
      <c r="AA436" s="573">
        <v>981</v>
      </c>
      <c r="AB436" s="571"/>
    </row>
    <row r="437" spans="1:28" hidden="1">
      <c r="A437" s="566" t="s">
        <v>1335</v>
      </c>
      <c r="B437" s="566" t="s">
        <v>466</v>
      </c>
      <c r="C437" s="566" t="s">
        <v>471</v>
      </c>
      <c r="D437" s="566" t="s">
        <v>472</v>
      </c>
      <c r="E437" s="566" t="s">
        <v>473</v>
      </c>
      <c r="F437" s="566" t="s">
        <v>474</v>
      </c>
      <c r="G437" s="567">
        <v>0</v>
      </c>
      <c r="H437" s="566" t="s">
        <v>561</v>
      </c>
      <c r="I437" s="568">
        <v>2</v>
      </c>
      <c r="J437" s="569">
        <v>84</v>
      </c>
      <c r="K437" s="569">
        <v>84</v>
      </c>
      <c r="L437" s="566"/>
      <c r="M437" s="566" t="s">
        <v>476</v>
      </c>
      <c r="N437" s="570">
        <v>1557</v>
      </c>
      <c r="O437" s="566"/>
      <c r="P437" s="566" t="s">
        <v>477</v>
      </c>
      <c r="Q437" s="568">
        <v>909678</v>
      </c>
      <c r="R437" s="568">
        <v>40</v>
      </c>
      <c r="S437" s="566" t="s">
        <v>1366</v>
      </c>
      <c r="T437" s="571" t="s">
        <v>467</v>
      </c>
      <c r="U437" s="571" t="s">
        <v>550</v>
      </c>
      <c r="V437" s="571" t="s">
        <v>539</v>
      </c>
      <c r="W437" s="572" t="s">
        <v>1274</v>
      </c>
      <c r="X437" s="571" t="s">
        <v>1337</v>
      </c>
      <c r="Y437" s="571" t="s">
        <v>1367</v>
      </c>
      <c r="Z437" s="566" t="s">
        <v>1670</v>
      </c>
      <c r="AA437" s="573">
        <v>1557</v>
      </c>
      <c r="AB437" s="571"/>
    </row>
    <row r="438" spans="1:28" hidden="1">
      <c r="A438" s="566" t="s">
        <v>1335</v>
      </c>
      <c r="B438" s="566" t="s">
        <v>466</v>
      </c>
      <c r="C438" s="566" t="s">
        <v>471</v>
      </c>
      <c r="D438" s="566" t="s">
        <v>472</v>
      </c>
      <c r="E438" s="566" t="s">
        <v>473</v>
      </c>
      <c r="F438" s="566" t="s">
        <v>474</v>
      </c>
      <c r="G438" s="567">
        <v>0</v>
      </c>
      <c r="H438" s="566" t="s">
        <v>564</v>
      </c>
      <c r="I438" s="568">
        <v>2</v>
      </c>
      <c r="J438" s="569">
        <v>84</v>
      </c>
      <c r="K438" s="569">
        <v>84</v>
      </c>
      <c r="L438" s="566"/>
      <c r="M438" s="566" t="s">
        <v>476</v>
      </c>
      <c r="N438" s="570">
        <v>1593</v>
      </c>
      <c r="O438" s="566"/>
      <c r="P438" s="566" t="s">
        <v>477</v>
      </c>
      <c r="Q438" s="568">
        <v>909678</v>
      </c>
      <c r="R438" s="568">
        <v>41</v>
      </c>
      <c r="S438" s="566" t="s">
        <v>1369</v>
      </c>
      <c r="T438" s="571" t="s">
        <v>467</v>
      </c>
      <c r="U438" s="571" t="s">
        <v>550</v>
      </c>
      <c r="V438" s="571" t="s">
        <v>539</v>
      </c>
      <c r="W438" s="572" t="s">
        <v>1275</v>
      </c>
      <c r="X438" s="571" t="s">
        <v>1337</v>
      </c>
      <c r="Y438" s="571" t="s">
        <v>1367</v>
      </c>
      <c r="Z438" s="566" t="s">
        <v>1671</v>
      </c>
      <c r="AA438" s="573">
        <v>1593</v>
      </c>
      <c r="AB438" s="571"/>
    </row>
    <row r="439" spans="1:28" hidden="1">
      <c r="A439" s="566" t="s">
        <v>1335</v>
      </c>
      <c r="B439" s="566" t="s">
        <v>466</v>
      </c>
      <c r="C439" s="566" t="s">
        <v>487</v>
      </c>
      <c r="D439" s="566" t="s">
        <v>472</v>
      </c>
      <c r="E439" s="566" t="s">
        <v>473</v>
      </c>
      <c r="F439" s="566" t="s">
        <v>489</v>
      </c>
      <c r="G439" s="567">
        <v>50</v>
      </c>
      <c r="H439" s="566" t="s">
        <v>573</v>
      </c>
      <c r="I439" s="568">
        <v>2</v>
      </c>
      <c r="J439" s="569">
        <v>84</v>
      </c>
      <c r="K439" s="569">
        <v>84</v>
      </c>
      <c r="L439" s="566"/>
      <c r="M439" s="566" t="s">
        <v>476</v>
      </c>
      <c r="N439" s="570">
        <v>1629</v>
      </c>
      <c r="O439" s="566"/>
      <c r="P439" s="566" t="s">
        <v>477</v>
      </c>
      <c r="Q439" s="568">
        <v>909678</v>
      </c>
      <c r="R439" s="568">
        <v>43</v>
      </c>
      <c r="S439" s="566" t="s">
        <v>1371</v>
      </c>
      <c r="T439" s="571" t="s">
        <v>467</v>
      </c>
      <c r="U439" s="571" t="s">
        <v>550</v>
      </c>
      <c r="V439" s="571" t="s">
        <v>539</v>
      </c>
      <c r="W439" s="572" t="s">
        <v>1276</v>
      </c>
      <c r="X439" s="571" t="s">
        <v>1337</v>
      </c>
      <c r="Y439" s="571" t="s">
        <v>1367</v>
      </c>
      <c r="Z439" s="566" t="s">
        <v>1672</v>
      </c>
      <c r="AA439" s="573">
        <v>1629</v>
      </c>
      <c r="AB439" s="571"/>
    </row>
    <row r="440" spans="1:28" hidden="1">
      <c r="A440" s="566" t="s">
        <v>1335</v>
      </c>
      <c r="B440" s="566" t="s">
        <v>466</v>
      </c>
      <c r="C440" s="566" t="s">
        <v>487</v>
      </c>
      <c r="D440" s="566" t="s">
        <v>472</v>
      </c>
      <c r="E440" s="566" t="s">
        <v>473</v>
      </c>
      <c r="F440" s="566" t="s">
        <v>489</v>
      </c>
      <c r="G440" s="567">
        <v>50</v>
      </c>
      <c r="H440" s="566" t="s">
        <v>576</v>
      </c>
      <c r="I440" s="568">
        <v>2</v>
      </c>
      <c r="J440" s="569">
        <v>84</v>
      </c>
      <c r="K440" s="569">
        <v>84</v>
      </c>
      <c r="L440" s="566"/>
      <c r="M440" s="566" t="s">
        <v>476</v>
      </c>
      <c r="N440" s="570">
        <v>1665</v>
      </c>
      <c r="O440" s="566"/>
      <c r="P440" s="566" t="s">
        <v>477</v>
      </c>
      <c r="Q440" s="568">
        <v>909678</v>
      </c>
      <c r="R440" s="568">
        <v>44</v>
      </c>
      <c r="S440" s="566" t="s">
        <v>1373</v>
      </c>
      <c r="T440" s="571" t="s">
        <v>467</v>
      </c>
      <c r="U440" s="571" t="s">
        <v>550</v>
      </c>
      <c r="V440" s="571" t="s">
        <v>539</v>
      </c>
      <c r="W440" s="572" t="s">
        <v>1277</v>
      </c>
      <c r="X440" s="571" t="s">
        <v>1337</v>
      </c>
      <c r="Y440" s="571" t="s">
        <v>1367</v>
      </c>
      <c r="Z440" s="566" t="s">
        <v>1673</v>
      </c>
      <c r="AA440" s="573">
        <v>1665</v>
      </c>
      <c r="AB440" s="571"/>
    </row>
    <row r="441" spans="1:28" hidden="1">
      <c r="A441" s="566" t="s">
        <v>1335</v>
      </c>
      <c r="B441" s="566" t="s">
        <v>466</v>
      </c>
      <c r="C441" s="566" t="s">
        <v>471</v>
      </c>
      <c r="D441" s="566" t="s">
        <v>472</v>
      </c>
      <c r="E441" s="566" t="s">
        <v>473</v>
      </c>
      <c r="F441" s="566" t="s">
        <v>474</v>
      </c>
      <c r="G441" s="567">
        <v>0</v>
      </c>
      <c r="H441" s="566" t="s">
        <v>1352</v>
      </c>
      <c r="I441" s="568">
        <v>2</v>
      </c>
      <c r="J441" s="569">
        <v>84</v>
      </c>
      <c r="K441" s="569">
        <v>84</v>
      </c>
      <c r="L441" s="566"/>
      <c r="M441" s="566" t="s">
        <v>476</v>
      </c>
      <c r="N441" s="570">
        <v>1701</v>
      </c>
      <c r="O441" s="566"/>
      <c r="P441" s="566" t="s">
        <v>477</v>
      </c>
      <c r="Q441" s="568">
        <v>909678</v>
      </c>
      <c r="R441" s="568">
        <v>42</v>
      </c>
      <c r="S441" s="566" t="s">
        <v>1375</v>
      </c>
      <c r="T441" s="571" t="s">
        <v>467</v>
      </c>
      <c r="U441" s="571" t="s">
        <v>550</v>
      </c>
      <c r="V441" s="571" t="s">
        <v>539</v>
      </c>
      <c r="W441" s="572" t="s">
        <v>1354</v>
      </c>
      <c r="X441" s="571" t="s">
        <v>1337</v>
      </c>
      <c r="Y441" s="571" t="s">
        <v>1367</v>
      </c>
      <c r="Z441" s="566" t="s">
        <v>1674</v>
      </c>
      <c r="AA441" s="573">
        <v>1701</v>
      </c>
      <c r="AB441" s="571"/>
    </row>
    <row r="442" spans="1:28" hidden="1">
      <c r="A442" s="566" t="s">
        <v>1335</v>
      </c>
      <c r="B442" s="566" t="s">
        <v>466</v>
      </c>
      <c r="C442" s="566" t="s">
        <v>487</v>
      </c>
      <c r="D442" s="566" t="s">
        <v>472</v>
      </c>
      <c r="E442" s="566" t="s">
        <v>473</v>
      </c>
      <c r="F442" s="566" t="s">
        <v>489</v>
      </c>
      <c r="G442" s="567">
        <v>50</v>
      </c>
      <c r="H442" s="566" t="s">
        <v>1356</v>
      </c>
      <c r="I442" s="568">
        <v>2</v>
      </c>
      <c r="J442" s="569">
        <v>84</v>
      </c>
      <c r="K442" s="569">
        <v>84</v>
      </c>
      <c r="L442" s="566"/>
      <c r="M442" s="566" t="s">
        <v>476</v>
      </c>
      <c r="N442" s="570">
        <v>1737</v>
      </c>
      <c r="O442" s="566"/>
      <c r="P442" s="566" t="s">
        <v>477</v>
      </c>
      <c r="Q442" s="568">
        <v>909678</v>
      </c>
      <c r="R442" s="568">
        <v>45</v>
      </c>
      <c r="S442" s="566" t="s">
        <v>1377</v>
      </c>
      <c r="T442" s="571" t="s">
        <v>467</v>
      </c>
      <c r="U442" s="571" t="s">
        <v>550</v>
      </c>
      <c r="V442" s="571" t="s">
        <v>539</v>
      </c>
      <c r="W442" s="572" t="s">
        <v>1358</v>
      </c>
      <c r="X442" s="571" t="s">
        <v>1337</v>
      </c>
      <c r="Y442" s="571" t="s">
        <v>1367</v>
      </c>
      <c r="Z442" s="566" t="s">
        <v>1675</v>
      </c>
      <c r="AA442" s="573">
        <v>1737</v>
      </c>
      <c r="AB442" s="571"/>
    </row>
    <row r="443" spans="1:28" hidden="1">
      <c r="A443" s="566" t="s">
        <v>1335</v>
      </c>
      <c r="B443" s="566" t="s">
        <v>466</v>
      </c>
      <c r="C443" s="566" t="s">
        <v>553</v>
      </c>
      <c r="D443" s="566" t="s">
        <v>472</v>
      </c>
      <c r="E443" s="566" t="s">
        <v>473</v>
      </c>
      <c r="F443" s="566" t="s">
        <v>554</v>
      </c>
      <c r="G443" s="567">
        <v>13</v>
      </c>
      <c r="H443" s="566" t="s">
        <v>647</v>
      </c>
      <c r="I443" s="568">
        <v>2</v>
      </c>
      <c r="J443" s="569">
        <v>22</v>
      </c>
      <c r="K443" s="569">
        <v>22</v>
      </c>
      <c r="L443" s="569">
        <v>17</v>
      </c>
      <c r="M443" s="566" t="s">
        <v>476</v>
      </c>
      <c r="N443" s="570">
        <v>162</v>
      </c>
      <c r="O443" s="566"/>
      <c r="P443" s="566" t="s">
        <v>477</v>
      </c>
      <c r="Q443" s="568">
        <v>909678</v>
      </c>
      <c r="R443" s="568">
        <v>9</v>
      </c>
      <c r="S443" s="566" t="s">
        <v>1379</v>
      </c>
      <c r="T443" s="571" t="s">
        <v>467</v>
      </c>
      <c r="U443" s="571" t="s">
        <v>550</v>
      </c>
      <c r="V443" s="571" t="s">
        <v>539</v>
      </c>
      <c r="W443" s="572" t="s">
        <v>551</v>
      </c>
      <c r="X443" s="571" t="s">
        <v>1380</v>
      </c>
      <c r="Y443" s="571" t="s">
        <v>1338</v>
      </c>
      <c r="Z443" s="566" t="s">
        <v>646</v>
      </c>
      <c r="AA443" s="573">
        <v>162</v>
      </c>
      <c r="AB443" s="571">
        <v>260061</v>
      </c>
    </row>
    <row r="444" spans="1:28" hidden="1">
      <c r="A444" s="566" t="s">
        <v>1335</v>
      </c>
      <c r="B444" s="566" t="s">
        <v>466</v>
      </c>
      <c r="C444" s="566" t="s">
        <v>553</v>
      </c>
      <c r="D444" s="566" t="s">
        <v>472</v>
      </c>
      <c r="E444" s="566" t="s">
        <v>473</v>
      </c>
      <c r="F444" s="566" t="s">
        <v>554</v>
      </c>
      <c r="G444" s="567">
        <v>16</v>
      </c>
      <c r="H444" s="566" t="s">
        <v>649</v>
      </c>
      <c r="I444" s="568">
        <v>2</v>
      </c>
      <c r="J444" s="569">
        <v>22</v>
      </c>
      <c r="K444" s="569">
        <v>22</v>
      </c>
      <c r="L444" s="569">
        <v>17</v>
      </c>
      <c r="M444" s="566" t="s">
        <v>476</v>
      </c>
      <c r="N444" s="570">
        <v>306</v>
      </c>
      <c r="O444" s="566"/>
      <c r="P444" s="566" t="s">
        <v>477</v>
      </c>
      <c r="Q444" s="568">
        <v>909678</v>
      </c>
      <c r="R444" s="568">
        <v>4</v>
      </c>
      <c r="S444" s="566" t="s">
        <v>1381</v>
      </c>
      <c r="T444" s="571" t="s">
        <v>467</v>
      </c>
      <c r="U444" s="571" t="s">
        <v>550</v>
      </c>
      <c r="V444" s="571" t="s">
        <v>539</v>
      </c>
      <c r="W444" s="572" t="s">
        <v>556</v>
      </c>
      <c r="X444" s="571" t="s">
        <v>1380</v>
      </c>
      <c r="Y444" s="571" t="s">
        <v>1338</v>
      </c>
      <c r="Z444" s="566" t="s">
        <v>648</v>
      </c>
      <c r="AA444" s="573">
        <v>306</v>
      </c>
      <c r="AB444" s="571">
        <v>260205</v>
      </c>
    </row>
    <row r="445" spans="1:28" hidden="1">
      <c r="A445" s="566" t="s">
        <v>1335</v>
      </c>
      <c r="B445" s="566" t="s">
        <v>466</v>
      </c>
      <c r="C445" s="566" t="s">
        <v>471</v>
      </c>
      <c r="D445" s="566" t="s">
        <v>472</v>
      </c>
      <c r="E445" s="566" t="s">
        <v>473</v>
      </c>
      <c r="F445" s="566" t="s">
        <v>474</v>
      </c>
      <c r="G445" s="567">
        <v>0</v>
      </c>
      <c r="H445" s="566" t="s">
        <v>561</v>
      </c>
      <c r="I445" s="568">
        <v>2</v>
      </c>
      <c r="J445" s="569">
        <v>12</v>
      </c>
      <c r="K445" s="569">
        <v>12</v>
      </c>
      <c r="L445" s="566"/>
      <c r="M445" s="566" t="s">
        <v>476</v>
      </c>
      <c r="N445" s="570">
        <v>477</v>
      </c>
      <c r="O445" s="566"/>
      <c r="P445" s="566" t="s">
        <v>477</v>
      </c>
      <c r="Q445" s="568">
        <v>909678</v>
      </c>
      <c r="R445" s="568">
        <v>10</v>
      </c>
      <c r="S445" s="566" t="s">
        <v>1382</v>
      </c>
      <c r="T445" s="571" t="s">
        <v>467</v>
      </c>
      <c r="U445" s="571" t="s">
        <v>550</v>
      </c>
      <c r="V445" s="571" t="s">
        <v>539</v>
      </c>
      <c r="W445" s="572" t="s">
        <v>1274</v>
      </c>
      <c r="X445" s="571" t="s">
        <v>1380</v>
      </c>
      <c r="Y445" s="571" t="s">
        <v>1338</v>
      </c>
      <c r="Z445" s="566" t="s">
        <v>650</v>
      </c>
      <c r="AA445" s="573">
        <v>477</v>
      </c>
      <c r="AB445" s="571"/>
    </row>
    <row r="446" spans="1:28" hidden="1">
      <c r="A446" s="566" t="s">
        <v>1335</v>
      </c>
      <c r="B446" s="566" t="s">
        <v>466</v>
      </c>
      <c r="C446" s="566" t="s">
        <v>471</v>
      </c>
      <c r="D446" s="566" t="s">
        <v>472</v>
      </c>
      <c r="E446" s="566" t="s">
        <v>473</v>
      </c>
      <c r="F446" s="566" t="s">
        <v>474</v>
      </c>
      <c r="G446" s="567">
        <v>0</v>
      </c>
      <c r="H446" s="566" t="s">
        <v>564</v>
      </c>
      <c r="I446" s="568">
        <v>2</v>
      </c>
      <c r="J446" s="569">
        <v>12</v>
      </c>
      <c r="K446" s="569">
        <v>12</v>
      </c>
      <c r="L446" s="566"/>
      <c r="M446" s="566" t="s">
        <v>476</v>
      </c>
      <c r="N446" s="570">
        <v>549</v>
      </c>
      <c r="O446" s="566"/>
      <c r="P446" s="566" t="s">
        <v>477</v>
      </c>
      <c r="Q446" s="568">
        <v>909678</v>
      </c>
      <c r="R446" s="568">
        <v>15</v>
      </c>
      <c r="S446" s="566" t="s">
        <v>483</v>
      </c>
      <c r="T446" s="571" t="s">
        <v>467</v>
      </c>
      <c r="U446" s="571" t="s">
        <v>550</v>
      </c>
      <c r="V446" s="571" t="s">
        <v>539</v>
      </c>
      <c r="W446" s="572" t="s">
        <v>1275</v>
      </c>
      <c r="X446" s="571" t="s">
        <v>1380</v>
      </c>
      <c r="Y446" s="571" t="s">
        <v>1338</v>
      </c>
      <c r="Z446" s="566" t="s">
        <v>651</v>
      </c>
      <c r="AA446" s="573">
        <v>549</v>
      </c>
      <c r="AB446" s="571"/>
    </row>
    <row r="447" spans="1:28" hidden="1">
      <c r="A447" s="566" t="s">
        <v>1335</v>
      </c>
      <c r="B447" s="566" t="s">
        <v>466</v>
      </c>
      <c r="C447" s="566" t="s">
        <v>487</v>
      </c>
      <c r="D447" s="566" t="s">
        <v>472</v>
      </c>
      <c r="E447" s="566" t="s">
        <v>473</v>
      </c>
      <c r="F447" s="566" t="s">
        <v>489</v>
      </c>
      <c r="G447" s="567">
        <v>50</v>
      </c>
      <c r="H447" s="566" t="s">
        <v>566</v>
      </c>
      <c r="I447" s="568">
        <v>2</v>
      </c>
      <c r="J447" s="569">
        <v>12</v>
      </c>
      <c r="K447" s="569">
        <v>12</v>
      </c>
      <c r="L447" s="566"/>
      <c r="M447" s="566" t="s">
        <v>476</v>
      </c>
      <c r="N447" s="570">
        <v>585</v>
      </c>
      <c r="O447" s="566"/>
      <c r="P447" s="566" t="s">
        <v>477</v>
      </c>
      <c r="Q447" s="568">
        <v>909678</v>
      </c>
      <c r="R447" s="568">
        <v>16</v>
      </c>
      <c r="S447" s="566" t="s">
        <v>488</v>
      </c>
      <c r="T447" s="571" t="s">
        <v>467</v>
      </c>
      <c r="U447" s="571" t="s">
        <v>550</v>
      </c>
      <c r="V447" s="571" t="s">
        <v>539</v>
      </c>
      <c r="W447" s="572" t="s">
        <v>485</v>
      </c>
      <c r="X447" s="571" t="s">
        <v>1380</v>
      </c>
      <c r="Y447" s="571" t="s">
        <v>1338</v>
      </c>
      <c r="Z447" s="566" t="s">
        <v>652</v>
      </c>
      <c r="AA447" s="573">
        <v>585</v>
      </c>
      <c r="AB447" s="571"/>
    </row>
    <row r="448" spans="1:28" hidden="1">
      <c r="A448" s="566" t="s">
        <v>1335</v>
      </c>
      <c r="B448" s="566" t="s">
        <v>466</v>
      </c>
      <c r="C448" s="566" t="s">
        <v>487</v>
      </c>
      <c r="D448" s="566" t="s">
        <v>472</v>
      </c>
      <c r="E448" s="566" t="s">
        <v>473</v>
      </c>
      <c r="F448" s="566" t="s">
        <v>489</v>
      </c>
      <c r="G448" s="567">
        <v>50</v>
      </c>
      <c r="H448" s="566" t="s">
        <v>568</v>
      </c>
      <c r="I448" s="568">
        <v>2</v>
      </c>
      <c r="J448" s="569">
        <v>12</v>
      </c>
      <c r="K448" s="569">
        <v>12</v>
      </c>
      <c r="L448" s="566"/>
      <c r="M448" s="566" t="s">
        <v>476</v>
      </c>
      <c r="N448" s="570">
        <v>621</v>
      </c>
      <c r="O448" s="566"/>
      <c r="P448" s="566" t="s">
        <v>477</v>
      </c>
      <c r="Q448" s="568">
        <v>909678</v>
      </c>
      <c r="R448" s="568">
        <v>17</v>
      </c>
      <c r="S448" s="566" t="s">
        <v>493</v>
      </c>
      <c r="T448" s="571" t="s">
        <v>467</v>
      </c>
      <c r="U448" s="571" t="s">
        <v>550</v>
      </c>
      <c r="V448" s="571" t="s">
        <v>539</v>
      </c>
      <c r="W448" s="572" t="s">
        <v>491</v>
      </c>
      <c r="X448" s="571" t="s">
        <v>1380</v>
      </c>
      <c r="Y448" s="571" t="s">
        <v>1338</v>
      </c>
      <c r="Z448" s="566" t="s">
        <v>653</v>
      </c>
      <c r="AA448" s="573">
        <v>621</v>
      </c>
      <c r="AB448" s="571"/>
    </row>
    <row r="449" spans="1:28" hidden="1">
      <c r="A449" s="566" t="s">
        <v>1335</v>
      </c>
      <c r="B449" s="566" t="s">
        <v>466</v>
      </c>
      <c r="C449" s="566" t="s">
        <v>487</v>
      </c>
      <c r="D449" s="566" t="s">
        <v>472</v>
      </c>
      <c r="E449" s="566" t="s">
        <v>473</v>
      </c>
      <c r="F449" s="566" t="s">
        <v>489</v>
      </c>
      <c r="G449" s="567">
        <v>50</v>
      </c>
      <c r="H449" s="566" t="s">
        <v>570</v>
      </c>
      <c r="I449" s="568">
        <v>2</v>
      </c>
      <c r="J449" s="569">
        <v>12</v>
      </c>
      <c r="K449" s="569">
        <v>12</v>
      </c>
      <c r="L449" s="566"/>
      <c r="M449" s="566" t="s">
        <v>476</v>
      </c>
      <c r="N449" s="570">
        <v>657</v>
      </c>
      <c r="O449" s="566"/>
      <c r="P449" s="566" t="s">
        <v>477</v>
      </c>
      <c r="Q449" s="568">
        <v>909678</v>
      </c>
      <c r="R449" s="568">
        <v>18</v>
      </c>
      <c r="S449" s="566" t="s">
        <v>497</v>
      </c>
      <c r="T449" s="571" t="s">
        <v>467</v>
      </c>
      <c r="U449" s="571" t="s">
        <v>550</v>
      </c>
      <c r="V449" s="571" t="s">
        <v>539</v>
      </c>
      <c r="W449" s="572" t="s">
        <v>495</v>
      </c>
      <c r="X449" s="571" t="s">
        <v>1380</v>
      </c>
      <c r="Y449" s="571" t="s">
        <v>1338</v>
      </c>
      <c r="Z449" s="566" t="s">
        <v>654</v>
      </c>
      <c r="AA449" s="573">
        <v>657</v>
      </c>
      <c r="AB449" s="571"/>
    </row>
    <row r="450" spans="1:28" hidden="1">
      <c r="A450" s="566" t="s">
        <v>1335</v>
      </c>
      <c r="B450" s="566" t="s">
        <v>466</v>
      </c>
      <c r="C450" s="566" t="s">
        <v>487</v>
      </c>
      <c r="D450" s="566" t="s">
        <v>472</v>
      </c>
      <c r="E450" s="566" t="s">
        <v>473</v>
      </c>
      <c r="F450" s="566" t="s">
        <v>489</v>
      </c>
      <c r="G450" s="567">
        <v>50</v>
      </c>
      <c r="H450" s="566" t="s">
        <v>573</v>
      </c>
      <c r="I450" s="568">
        <v>2</v>
      </c>
      <c r="J450" s="569">
        <v>12</v>
      </c>
      <c r="K450" s="569">
        <v>12</v>
      </c>
      <c r="L450" s="566"/>
      <c r="M450" s="566" t="s">
        <v>476</v>
      </c>
      <c r="N450" s="570">
        <v>729</v>
      </c>
      <c r="O450" s="566"/>
      <c r="P450" s="566" t="s">
        <v>477</v>
      </c>
      <c r="Q450" s="568">
        <v>909678</v>
      </c>
      <c r="R450" s="568">
        <v>19</v>
      </c>
      <c r="S450" s="566" t="s">
        <v>502</v>
      </c>
      <c r="T450" s="571" t="s">
        <v>467</v>
      </c>
      <c r="U450" s="571" t="s">
        <v>550</v>
      </c>
      <c r="V450" s="571" t="s">
        <v>539</v>
      </c>
      <c r="W450" s="572" t="s">
        <v>1276</v>
      </c>
      <c r="X450" s="571" t="s">
        <v>1380</v>
      </c>
      <c r="Y450" s="571" t="s">
        <v>1338</v>
      </c>
      <c r="Z450" s="566" t="s">
        <v>655</v>
      </c>
      <c r="AA450" s="573">
        <v>729</v>
      </c>
      <c r="AB450" s="571"/>
    </row>
    <row r="451" spans="1:28" hidden="1">
      <c r="A451" s="566" t="s">
        <v>1335</v>
      </c>
      <c r="B451" s="566" t="s">
        <v>466</v>
      </c>
      <c r="C451" s="566" t="s">
        <v>487</v>
      </c>
      <c r="D451" s="566" t="s">
        <v>472</v>
      </c>
      <c r="E451" s="566" t="s">
        <v>473</v>
      </c>
      <c r="F451" s="566" t="s">
        <v>489</v>
      </c>
      <c r="G451" s="567">
        <v>50</v>
      </c>
      <c r="H451" s="566" t="s">
        <v>576</v>
      </c>
      <c r="I451" s="568">
        <v>2</v>
      </c>
      <c r="J451" s="569">
        <v>12</v>
      </c>
      <c r="K451" s="569">
        <v>12</v>
      </c>
      <c r="L451" s="566"/>
      <c r="M451" s="566" t="s">
        <v>476</v>
      </c>
      <c r="N451" s="570">
        <v>801</v>
      </c>
      <c r="O451" s="566"/>
      <c r="P451" s="566" t="s">
        <v>477</v>
      </c>
      <c r="Q451" s="568">
        <v>909678</v>
      </c>
      <c r="R451" s="568">
        <v>21</v>
      </c>
      <c r="S451" s="566" t="s">
        <v>507</v>
      </c>
      <c r="T451" s="571" t="s">
        <v>467</v>
      </c>
      <c r="U451" s="571" t="s">
        <v>550</v>
      </c>
      <c r="V451" s="571" t="s">
        <v>539</v>
      </c>
      <c r="W451" s="572" t="s">
        <v>1277</v>
      </c>
      <c r="X451" s="571" t="s">
        <v>1380</v>
      </c>
      <c r="Y451" s="571" t="s">
        <v>1338</v>
      </c>
      <c r="Z451" s="566" t="s">
        <v>656</v>
      </c>
      <c r="AA451" s="573">
        <v>801</v>
      </c>
      <c r="AB451" s="571"/>
    </row>
    <row r="452" spans="1:28" hidden="1">
      <c r="A452" s="566" t="s">
        <v>1335</v>
      </c>
      <c r="B452" s="566" t="s">
        <v>466</v>
      </c>
      <c r="C452" s="566" t="s">
        <v>471</v>
      </c>
      <c r="D452" s="566" t="s">
        <v>472</v>
      </c>
      <c r="E452" s="566" t="s">
        <v>473</v>
      </c>
      <c r="F452" s="566" t="s">
        <v>474</v>
      </c>
      <c r="G452" s="567">
        <v>0</v>
      </c>
      <c r="H452" s="566" t="s">
        <v>1352</v>
      </c>
      <c r="I452" s="568">
        <v>2</v>
      </c>
      <c r="J452" s="569">
        <v>12</v>
      </c>
      <c r="K452" s="569">
        <v>12</v>
      </c>
      <c r="L452" s="566"/>
      <c r="M452" s="566" t="s">
        <v>476</v>
      </c>
      <c r="N452" s="570">
        <v>837</v>
      </c>
      <c r="O452" s="566"/>
      <c r="P452" s="566" t="s">
        <v>477</v>
      </c>
      <c r="Q452" s="568">
        <v>909678</v>
      </c>
      <c r="R452" s="568">
        <v>46</v>
      </c>
      <c r="S452" s="566" t="s">
        <v>1383</v>
      </c>
      <c r="T452" s="571" t="s">
        <v>467</v>
      </c>
      <c r="U452" s="571" t="s">
        <v>550</v>
      </c>
      <c r="V452" s="571" t="s">
        <v>539</v>
      </c>
      <c r="W452" s="572" t="s">
        <v>1354</v>
      </c>
      <c r="X452" s="571" t="s">
        <v>1380</v>
      </c>
      <c r="Y452" s="571" t="s">
        <v>1338</v>
      </c>
      <c r="Z452" s="566" t="s">
        <v>1676</v>
      </c>
      <c r="AA452" s="573">
        <v>837</v>
      </c>
      <c r="AB452" s="571"/>
    </row>
    <row r="453" spans="1:28" hidden="1">
      <c r="A453" s="566" t="s">
        <v>1335</v>
      </c>
      <c r="B453" s="566" t="s">
        <v>466</v>
      </c>
      <c r="C453" s="566" t="s">
        <v>487</v>
      </c>
      <c r="D453" s="566" t="s">
        <v>472</v>
      </c>
      <c r="E453" s="566" t="s">
        <v>473</v>
      </c>
      <c r="F453" s="566" t="s">
        <v>489</v>
      </c>
      <c r="G453" s="567">
        <v>50</v>
      </c>
      <c r="H453" s="566" t="s">
        <v>1356</v>
      </c>
      <c r="I453" s="568">
        <v>2</v>
      </c>
      <c r="J453" s="569">
        <v>12</v>
      </c>
      <c r="K453" s="569">
        <v>12</v>
      </c>
      <c r="L453" s="566"/>
      <c r="M453" s="566" t="s">
        <v>476</v>
      </c>
      <c r="N453" s="570">
        <v>873</v>
      </c>
      <c r="O453" s="566"/>
      <c r="P453" s="566" t="s">
        <v>477</v>
      </c>
      <c r="Q453" s="568">
        <v>909678</v>
      </c>
      <c r="R453" s="568">
        <v>47</v>
      </c>
      <c r="S453" s="566" t="s">
        <v>1385</v>
      </c>
      <c r="T453" s="571" t="s">
        <v>467</v>
      </c>
      <c r="U453" s="571" t="s">
        <v>550</v>
      </c>
      <c r="V453" s="571" t="s">
        <v>539</v>
      </c>
      <c r="W453" s="572" t="s">
        <v>1358</v>
      </c>
      <c r="X453" s="571" t="s">
        <v>1380</v>
      </c>
      <c r="Y453" s="571" t="s">
        <v>1338</v>
      </c>
      <c r="Z453" s="566" t="s">
        <v>1677</v>
      </c>
      <c r="AA453" s="573">
        <v>873</v>
      </c>
      <c r="AB453" s="571"/>
    </row>
    <row r="454" spans="1:28" hidden="1">
      <c r="A454" s="566" t="s">
        <v>1335</v>
      </c>
      <c r="B454" s="566" t="s">
        <v>466</v>
      </c>
      <c r="C454" s="566" t="s">
        <v>553</v>
      </c>
      <c r="D454" s="566" t="s">
        <v>472</v>
      </c>
      <c r="E454" s="566" t="s">
        <v>473</v>
      </c>
      <c r="F454" s="566" t="s">
        <v>554</v>
      </c>
      <c r="G454" s="567">
        <v>13</v>
      </c>
      <c r="H454" s="566" t="s">
        <v>658</v>
      </c>
      <c r="I454" s="568">
        <v>2</v>
      </c>
      <c r="J454" s="569">
        <v>22</v>
      </c>
      <c r="K454" s="569">
        <v>22</v>
      </c>
      <c r="L454" s="569">
        <v>17</v>
      </c>
      <c r="M454" s="566" t="s">
        <v>476</v>
      </c>
      <c r="N454" s="570">
        <v>186</v>
      </c>
      <c r="O454" s="566"/>
      <c r="P454" s="566" t="s">
        <v>477</v>
      </c>
      <c r="Q454" s="568">
        <v>909678</v>
      </c>
      <c r="R454" s="568">
        <v>1</v>
      </c>
      <c r="S454" s="566" t="s">
        <v>1387</v>
      </c>
      <c r="T454" s="571" t="s">
        <v>467</v>
      </c>
      <c r="U454" s="571" t="s">
        <v>550</v>
      </c>
      <c r="V454" s="571" t="s">
        <v>539</v>
      </c>
      <c r="W454" s="572" t="s">
        <v>577</v>
      </c>
      <c r="X454" s="571" t="s">
        <v>1380</v>
      </c>
      <c r="Y454" s="571" t="s">
        <v>1338</v>
      </c>
      <c r="Z454" s="566" t="s">
        <v>657</v>
      </c>
      <c r="AA454" s="573">
        <v>186</v>
      </c>
      <c r="AB454" s="571">
        <v>260085</v>
      </c>
    </row>
    <row r="455" spans="1:28" hidden="1">
      <c r="A455" s="566" t="s">
        <v>1335</v>
      </c>
      <c r="B455" s="566" t="s">
        <v>466</v>
      </c>
      <c r="C455" s="566" t="s">
        <v>553</v>
      </c>
      <c r="D455" s="566" t="s">
        <v>472</v>
      </c>
      <c r="E455" s="566" t="s">
        <v>473</v>
      </c>
      <c r="F455" s="566" t="s">
        <v>554</v>
      </c>
      <c r="G455" s="567">
        <v>13</v>
      </c>
      <c r="H455" s="566" t="s">
        <v>660</v>
      </c>
      <c r="I455" s="568">
        <v>2</v>
      </c>
      <c r="J455" s="569">
        <v>22</v>
      </c>
      <c r="K455" s="569">
        <v>22</v>
      </c>
      <c r="L455" s="569">
        <v>17</v>
      </c>
      <c r="M455" s="566" t="s">
        <v>476</v>
      </c>
      <c r="N455" s="570">
        <v>210</v>
      </c>
      <c r="O455" s="566"/>
      <c r="P455" s="566" t="s">
        <v>477</v>
      </c>
      <c r="Q455" s="568">
        <v>909678</v>
      </c>
      <c r="R455" s="568">
        <v>2</v>
      </c>
      <c r="S455" s="566" t="s">
        <v>1388</v>
      </c>
      <c r="T455" s="571" t="s">
        <v>467</v>
      </c>
      <c r="U455" s="571" t="s">
        <v>550</v>
      </c>
      <c r="V455" s="571" t="s">
        <v>539</v>
      </c>
      <c r="W455" s="572" t="s">
        <v>580</v>
      </c>
      <c r="X455" s="571" t="s">
        <v>1380</v>
      </c>
      <c r="Y455" s="571" t="s">
        <v>1338</v>
      </c>
      <c r="Z455" s="566" t="s">
        <v>659</v>
      </c>
      <c r="AA455" s="573">
        <v>210</v>
      </c>
      <c r="AB455" s="571">
        <v>260109</v>
      </c>
    </row>
    <row r="456" spans="1:28" hidden="1">
      <c r="A456" s="566" t="s">
        <v>1335</v>
      </c>
      <c r="B456" s="566" t="s">
        <v>466</v>
      </c>
      <c r="C456" s="566" t="s">
        <v>553</v>
      </c>
      <c r="D456" s="566" t="s">
        <v>472</v>
      </c>
      <c r="E456" s="566" t="s">
        <v>473</v>
      </c>
      <c r="F456" s="566" t="s">
        <v>554</v>
      </c>
      <c r="G456" s="567">
        <v>16</v>
      </c>
      <c r="H456" s="566" t="s">
        <v>662</v>
      </c>
      <c r="I456" s="568">
        <v>2</v>
      </c>
      <c r="J456" s="569">
        <v>22</v>
      </c>
      <c r="K456" s="569">
        <v>22</v>
      </c>
      <c r="L456" s="569">
        <v>17</v>
      </c>
      <c r="M456" s="566" t="s">
        <v>476</v>
      </c>
      <c r="N456" s="570">
        <v>234</v>
      </c>
      <c r="O456" s="566"/>
      <c r="P456" s="566" t="s">
        <v>477</v>
      </c>
      <c r="Q456" s="568">
        <v>909678</v>
      </c>
      <c r="R456" s="568">
        <v>12</v>
      </c>
      <c r="S456" s="566" t="s">
        <v>1389</v>
      </c>
      <c r="T456" s="571" t="s">
        <v>467</v>
      </c>
      <c r="U456" s="571" t="s">
        <v>550</v>
      </c>
      <c r="V456" s="571" t="s">
        <v>539</v>
      </c>
      <c r="W456" s="572" t="s">
        <v>583</v>
      </c>
      <c r="X456" s="571" t="s">
        <v>1380</v>
      </c>
      <c r="Y456" s="571" t="s">
        <v>1338</v>
      </c>
      <c r="Z456" s="566" t="s">
        <v>661</v>
      </c>
      <c r="AA456" s="573">
        <v>234</v>
      </c>
      <c r="AB456" s="571">
        <v>260133</v>
      </c>
    </row>
    <row r="457" spans="1:28" hidden="1">
      <c r="A457" s="566" t="s">
        <v>1335</v>
      </c>
      <c r="B457" s="566" t="s">
        <v>466</v>
      </c>
      <c r="C457" s="566" t="s">
        <v>553</v>
      </c>
      <c r="D457" s="566" t="s">
        <v>472</v>
      </c>
      <c r="E457" s="566" t="s">
        <v>473</v>
      </c>
      <c r="F457" s="566" t="s">
        <v>554</v>
      </c>
      <c r="G457" s="567">
        <v>16</v>
      </c>
      <c r="H457" s="566" t="s">
        <v>664</v>
      </c>
      <c r="I457" s="568">
        <v>2</v>
      </c>
      <c r="J457" s="569">
        <v>22</v>
      </c>
      <c r="K457" s="569">
        <v>22</v>
      </c>
      <c r="L457" s="569">
        <v>17</v>
      </c>
      <c r="M457" s="566" t="s">
        <v>476</v>
      </c>
      <c r="N457" s="570">
        <v>258</v>
      </c>
      <c r="O457" s="566"/>
      <c r="P457" s="566" t="s">
        <v>477</v>
      </c>
      <c r="Q457" s="568">
        <v>909678</v>
      </c>
      <c r="R457" s="568">
        <v>3</v>
      </c>
      <c r="S457" s="566" t="s">
        <v>1390</v>
      </c>
      <c r="T457" s="571" t="s">
        <v>467</v>
      </c>
      <c r="U457" s="571" t="s">
        <v>550</v>
      </c>
      <c r="V457" s="571" t="s">
        <v>539</v>
      </c>
      <c r="W457" s="572" t="s">
        <v>586</v>
      </c>
      <c r="X457" s="571" t="s">
        <v>1380</v>
      </c>
      <c r="Y457" s="571" t="s">
        <v>1338</v>
      </c>
      <c r="Z457" s="566" t="s">
        <v>663</v>
      </c>
      <c r="AA457" s="573">
        <v>258</v>
      </c>
      <c r="AB457" s="571">
        <v>260157</v>
      </c>
    </row>
    <row r="458" spans="1:28" hidden="1">
      <c r="A458" s="566" t="s">
        <v>1335</v>
      </c>
      <c r="B458" s="566" t="s">
        <v>466</v>
      </c>
      <c r="C458" s="566" t="s">
        <v>553</v>
      </c>
      <c r="D458" s="566" t="s">
        <v>472</v>
      </c>
      <c r="E458" s="566" t="s">
        <v>473</v>
      </c>
      <c r="F458" s="566" t="s">
        <v>554</v>
      </c>
      <c r="G458" s="567">
        <v>16</v>
      </c>
      <c r="H458" s="566" t="s">
        <v>666</v>
      </c>
      <c r="I458" s="568">
        <v>2</v>
      </c>
      <c r="J458" s="569">
        <v>22</v>
      </c>
      <c r="K458" s="569">
        <v>22</v>
      </c>
      <c r="L458" s="569">
        <v>17</v>
      </c>
      <c r="M458" s="566" t="s">
        <v>476</v>
      </c>
      <c r="N458" s="570">
        <v>282</v>
      </c>
      <c r="O458" s="566"/>
      <c r="P458" s="566" t="s">
        <v>477</v>
      </c>
      <c r="Q458" s="568">
        <v>909678</v>
      </c>
      <c r="R458" s="568">
        <v>13</v>
      </c>
      <c r="S458" s="566" t="s">
        <v>1391</v>
      </c>
      <c r="T458" s="571" t="s">
        <v>467</v>
      </c>
      <c r="U458" s="571" t="s">
        <v>550</v>
      </c>
      <c r="V458" s="571" t="s">
        <v>539</v>
      </c>
      <c r="W458" s="572" t="s">
        <v>589</v>
      </c>
      <c r="X458" s="571" t="s">
        <v>1380</v>
      </c>
      <c r="Y458" s="571" t="s">
        <v>1338</v>
      </c>
      <c r="Z458" s="566" t="s">
        <v>665</v>
      </c>
      <c r="AA458" s="573">
        <v>282</v>
      </c>
      <c r="AB458" s="571">
        <v>260181</v>
      </c>
    </row>
    <row r="459" spans="1:28" hidden="1">
      <c r="A459" s="566" t="s">
        <v>1335</v>
      </c>
      <c r="B459" s="566" t="s">
        <v>466</v>
      </c>
      <c r="C459" s="566" t="s">
        <v>471</v>
      </c>
      <c r="D459" s="566" t="s">
        <v>472</v>
      </c>
      <c r="E459" s="566" t="s">
        <v>473</v>
      </c>
      <c r="F459" s="566" t="s">
        <v>474</v>
      </c>
      <c r="G459" s="567">
        <v>0</v>
      </c>
      <c r="H459" s="566" t="s">
        <v>593</v>
      </c>
      <c r="I459" s="568">
        <v>1</v>
      </c>
      <c r="J459" s="569">
        <v>12</v>
      </c>
      <c r="K459" s="569">
        <v>12</v>
      </c>
      <c r="L459" s="566"/>
      <c r="M459" s="566" t="s">
        <v>476</v>
      </c>
      <c r="N459" s="570">
        <v>333</v>
      </c>
      <c r="O459" s="566"/>
      <c r="P459" s="566" t="s">
        <v>477</v>
      </c>
      <c r="Q459" s="568">
        <v>909678</v>
      </c>
      <c r="R459" s="568">
        <v>5</v>
      </c>
      <c r="S459" s="566" t="s">
        <v>1392</v>
      </c>
      <c r="T459" s="571" t="s">
        <v>467</v>
      </c>
      <c r="U459" s="571" t="s">
        <v>550</v>
      </c>
      <c r="V459" s="571" t="s">
        <v>539</v>
      </c>
      <c r="W459" s="572" t="s">
        <v>509</v>
      </c>
      <c r="X459" s="571" t="s">
        <v>1380</v>
      </c>
      <c r="Y459" s="571" t="s">
        <v>1338</v>
      </c>
      <c r="Z459" s="566" t="s">
        <v>667</v>
      </c>
      <c r="AA459" s="573">
        <v>333</v>
      </c>
      <c r="AB459" s="571"/>
    </row>
    <row r="460" spans="1:28" hidden="1">
      <c r="A460" s="566" t="s">
        <v>1335</v>
      </c>
      <c r="B460" s="566" t="s">
        <v>466</v>
      </c>
      <c r="C460" s="566" t="s">
        <v>471</v>
      </c>
      <c r="D460" s="566" t="s">
        <v>472</v>
      </c>
      <c r="E460" s="566" t="s">
        <v>473</v>
      </c>
      <c r="F460" s="566" t="s">
        <v>474</v>
      </c>
      <c r="G460" s="567">
        <v>0</v>
      </c>
      <c r="H460" s="566" t="s">
        <v>595</v>
      </c>
      <c r="I460" s="568">
        <v>2</v>
      </c>
      <c r="J460" s="569">
        <v>12</v>
      </c>
      <c r="K460" s="569">
        <v>12</v>
      </c>
      <c r="L460" s="566"/>
      <c r="M460" s="566" t="s">
        <v>476</v>
      </c>
      <c r="N460" s="570">
        <v>369</v>
      </c>
      <c r="O460" s="566"/>
      <c r="P460" s="566" t="s">
        <v>477</v>
      </c>
      <c r="Q460" s="568">
        <v>909678</v>
      </c>
      <c r="R460" s="568">
        <v>6</v>
      </c>
      <c r="S460" s="566" t="s">
        <v>1393</v>
      </c>
      <c r="T460" s="571" t="s">
        <v>467</v>
      </c>
      <c r="U460" s="571" t="s">
        <v>550</v>
      </c>
      <c r="V460" s="571" t="s">
        <v>539</v>
      </c>
      <c r="W460" s="572" t="s">
        <v>512</v>
      </c>
      <c r="X460" s="571" t="s">
        <v>1380</v>
      </c>
      <c r="Y460" s="571" t="s">
        <v>1338</v>
      </c>
      <c r="Z460" s="566" t="s">
        <v>668</v>
      </c>
      <c r="AA460" s="573">
        <v>369</v>
      </c>
      <c r="AB460" s="571"/>
    </row>
    <row r="461" spans="1:28" hidden="1">
      <c r="A461" s="566" t="s">
        <v>1335</v>
      </c>
      <c r="B461" s="566" t="s">
        <v>466</v>
      </c>
      <c r="C461" s="566" t="s">
        <v>471</v>
      </c>
      <c r="D461" s="566" t="s">
        <v>472</v>
      </c>
      <c r="E461" s="566" t="s">
        <v>473</v>
      </c>
      <c r="F461" s="566" t="s">
        <v>474</v>
      </c>
      <c r="G461" s="567">
        <v>0</v>
      </c>
      <c r="H461" s="566" t="s">
        <v>597</v>
      </c>
      <c r="I461" s="568">
        <v>2</v>
      </c>
      <c r="J461" s="569">
        <v>12</v>
      </c>
      <c r="K461" s="569">
        <v>12</v>
      </c>
      <c r="L461" s="566"/>
      <c r="M461" s="566" t="s">
        <v>476</v>
      </c>
      <c r="N461" s="570">
        <v>405</v>
      </c>
      <c r="O461" s="566"/>
      <c r="P461" s="566" t="s">
        <v>477</v>
      </c>
      <c r="Q461" s="568">
        <v>909678</v>
      </c>
      <c r="R461" s="568">
        <v>14</v>
      </c>
      <c r="S461" s="566" t="s">
        <v>1394</v>
      </c>
      <c r="T461" s="571" t="s">
        <v>467</v>
      </c>
      <c r="U461" s="571" t="s">
        <v>550</v>
      </c>
      <c r="V461" s="571" t="s">
        <v>539</v>
      </c>
      <c r="W461" s="572" t="s">
        <v>514</v>
      </c>
      <c r="X461" s="571" t="s">
        <v>1380</v>
      </c>
      <c r="Y461" s="571" t="s">
        <v>1338</v>
      </c>
      <c r="Z461" s="566" t="s">
        <v>669</v>
      </c>
      <c r="AA461" s="573">
        <v>405</v>
      </c>
      <c r="AB461" s="571"/>
    </row>
    <row r="462" spans="1:28" hidden="1">
      <c r="A462" s="566" t="s">
        <v>1335</v>
      </c>
      <c r="B462" s="566" t="s">
        <v>466</v>
      </c>
      <c r="C462" s="566" t="s">
        <v>471</v>
      </c>
      <c r="D462" s="566" t="s">
        <v>472</v>
      </c>
      <c r="E462" s="566" t="s">
        <v>473</v>
      </c>
      <c r="F462" s="566" t="s">
        <v>474</v>
      </c>
      <c r="G462" s="567">
        <v>0</v>
      </c>
      <c r="H462" s="566" t="s">
        <v>561</v>
      </c>
      <c r="I462" s="568">
        <v>2</v>
      </c>
      <c r="J462" s="569">
        <v>36</v>
      </c>
      <c r="K462" s="569">
        <v>36</v>
      </c>
      <c r="L462" s="566"/>
      <c r="M462" s="566" t="s">
        <v>476</v>
      </c>
      <c r="N462" s="570">
        <v>1341</v>
      </c>
      <c r="O462" s="566"/>
      <c r="P462" s="566" t="s">
        <v>477</v>
      </c>
      <c r="Q462" s="568">
        <v>909678</v>
      </c>
      <c r="R462" s="568">
        <v>34</v>
      </c>
      <c r="S462" s="566" t="s">
        <v>1395</v>
      </c>
      <c r="T462" s="571" t="s">
        <v>467</v>
      </c>
      <c r="U462" s="571" t="s">
        <v>550</v>
      </c>
      <c r="V462" s="571" t="s">
        <v>539</v>
      </c>
      <c r="W462" s="572" t="s">
        <v>1274</v>
      </c>
      <c r="X462" s="571" t="s">
        <v>1380</v>
      </c>
      <c r="Y462" s="571" t="s">
        <v>1367</v>
      </c>
      <c r="Z462" s="566" t="s">
        <v>1678</v>
      </c>
      <c r="AA462" s="573">
        <v>1341</v>
      </c>
      <c r="AB462" s="571"/>
    </row>
    <row r="463" spans="1:28" hidden="1">
      <c r="A463" s="566" t="s">
        <v>1335</v>
      </c>
      <c r="B463" s="566" t="s">
        <v>466</v>
      </c>
      <c r="C463" s="566" t="s">
        <v>471</v>
      </c>
      <c r="D463" s="566" t="s">
        <v>472</v>
      </c>
      <c r="E463" s="566" t="s">
        <v>473</v>
      </c>
      <c r="F463" s="566" t="s">
        <v>474</v>
      </c>
      <c r="G463" s="567">
        <v>0</v>
      </c>
      <c r="H463" s="566" t="s">
        <v>564</v>
      </c>
      <c r="I463" s="568">
        <v>2</v>
      </c>
      <c r="J463" s="569">
        <v>36</v>
      </c>
      <c r="K463" s="569">
        <v>36</v>
      </c>
      <c r="L463" s="566"/>
      <c r="M463" s="566" t="s">
        <v>476</v>
      </c>
      <c r="N463" s="570">
        <v>1377</v>
      </c>
      <c r="O463" s="566"/>
      <c r="P463" s="566" t="s">
        <v>477</v>
      </c>
      <c r="Q463" s="568">
        <v>909678</v>
      </c>
      <c r="R463" s="568">
        <v>35</v>
      </c>
      <c r="S463" s="566" t="s">
        <v>1397</v>
      </c>
      <c r="T463" s="571" t="s">
        <v>467</v>
      </c>
      <c r="U463" s="571" t="s">
        <v>550</v>
      </c>
      <c r="V463" s="571" t="s">
        <v>539</v>
      </c>
      <c r="W463" s="572" t="s">
        <v>1275</v>
      </c>
      <c r="X463" s="571" t="s">
        <v>1380</v>
      </c>
      <c r="Y463" s="571" t="s">
        <v>1367</v>
      </c>
      <c r="Z463" s="566" t="s">
        <v>1679</v>
      </c>
      <c r="AA463" s="573">
        <v>1377</v>
      </c>
      <c r="AB463" s="571"/>
    </row>
    <row r="464" spans="1:28" hidden="1">
      <c r="A464" s="566" t="s">
        <v>1335</v>
      </c>
      <c r="B464" s="566" t="s">
        <v>466</v>
      </c>
      <c r="C464" s="566" t="s">
        <v>487</v>
      </c>
      <c r="D464" s="566" t="s">
        <v>472</v>
      </c>
      <c r="E464" s="566" t="s">
        <v>473</v>
      </c>
      <c r="F464" s="566" t="s">
        <v>489</v>
      </c>
      <c r="G464" s="567">
        <v>50</v>
      </c>
      <c r="H464" s="566" t="s">
        <v>573</v>
      </c>
      <c r="I464" s="568">
        <v>2</v>
      </c>
      <c r="J464" s="569">
        <v>36</v>
      </c>
      <c r="K464" s="569">
        <v>36</v>
      </c>
      <c r="L464" s="566"/>
      <c r="M464" s="566" t="s">
        <v>476</v>
      </c>
      <c r="N464" s="570">
        <v>1413</v>
      </c>
      <c r="O464" s="566"/>
      <c r="P464" s="566" t="s">
        <v>477</v>
      </c>
      <c r="Q464" s="568">
        <v>909678</v>
      </c>
      <c r="R464" s="568">
        <v>37</v>
      </c>
      <c r="S464" s="566" t="s">
        <v>1399</v>
      </c>
      <c r="T464" s="571" t="s">
        <v>467</v>
      </c>
      <c r="U464" s="571" t="s">
        <v>550</v>
      </c>
      <c r="V464" s="571" t="s">
        <v>539</v>
      </c>
      <c r="W464" s="572" t="s">
        <v>1276</v>
      </c>
      <c r="X464" s="571" t="s">
        <v>1380</v>
      </c>
      <c r="Y464" s="571" t="s">
        <v>1367</v>
      </c>
      <c r="Z464" s="566" t="s">
        <v>1680</v>
      </c>
      <c r="AA464" s="573">
        <v>1413</v>
      </c>
      <c r="AB464" s="571"/>
    </row>
    <row r="465" spans="1:28" hidden="1">
      <c r="A465" s="566" t="s">
        <v>1335</v>
      </c>
      <c r="B465" s="566" t="s">
        <v>466</v>
      </c>
      <c r="C465" s="566" t="s">
        <v>487</v>
      </c>
      <c r="D465" s="566" t="s">
        <v>472</v>
      </c>
      <c r="E465" s="566" t="s">
        <v>473</v>
      </c>
      <c r="F465" s="566" t="s">
        <v>489</v>
      </c>
      <c r="G465" s="567">
        <v>50</v>
      </c>
      <c r="H465" s="566" t="s">
        <v>576</v>
      </c>
      <c r="I465" s="568">
        <v>2</v>
      </c>
      <c r="J465" s="569">
        <v>36</v>
      </c>
      <c r="K465" s="569">
        <v>36</v>
      </c>
      <c r="L465" s="566"/>
      <c r="M465" s="566" t="s">
        <v>476</v>
      </c>
      <c r="N465" s="570">
        <v>1449</v>
      </c>
      <c r="O465" s="566"/>
      <c r="P465" s="566" t="s">
        <v>477</v>
      </c>
      <c r="Q465" s="568">
        <v>909678</v>
      </c>
      <c r="R465" s="568">
        <v>38</v>
      </c>
      <c r="S465" s="566" t="s">
        <v>1401</v>
      </c>
      <c r="T465" s="571" t="s">
        <v>467</v>
      </c>
      <c r="U465" s="571" t="s">
        <v>550</v>
      </c>
      <c r="V465" s="571" t="s">
        <v>539</v>
      </c>
      <c r="W465" s="572" t="s">
        <v>1277</v>
      </c>
      <c r="X465" s="571" t="s">
        <v>1380</v>
      </c>
      <c r="Y465" s="571" t="s">
        <v>1367</v>
      </c>
      <c r="Z465" s="566" t="s">
        <v>1681</v>
      </c>
      <c r="AA465" s="573">
        <v>1449</v>
      </c>
      <c r="AB465" s="571"/>
    </row>
    <row r="466" spans="1:28" hidden="1">
      <c r="A466" s="566" t="s">
        <v>1335</v>
      </c>
      <c r="B466" s="566" t="s">
        <v>466</v>
      </c>
      <c r="C466" s="566" t="s">
        <v>471</v>
      </c>
      <c r="D466" s="566" t="s">
        <v>472</v>
      </c>
      <c r="E466" s="566" t="s">
        <v>473</v>
      </c>
      <c r="F466" s="566" t="s">
        <v>474</v>
      </c>
      <c r="G466" s="567">
        <v>0</v>
      </c>
      <c r="H466" s="566" t="s">
        <v>1352</v>
      </c>
      <c r="I466" s="568">
        <v>2</v>
      </c>
      <c r="J466" s="569">
        <v>36</v>
      </c>
      <c r="K466" s="569">
        <v>36</v>
      </c>
      <c r="L466" s="566"/>
      <c r="M466" s="566" t="s">
        <v>476</v>
      </c>
      <c r="N466" s="570">
        <v>1485</v>
      </c>
      <c r="O466" s="566"/>
      <c r="P466" s="566" t="s">
        <v>477</v>
      </c>
      <c r="Q466" s="568">
        <v>909678</v>
      </c>
      <c r="R466" s="568">
        <v>36</v>
      </c>
      <c r="S466" s="566" t="s">
        <v>1403</v>
      </c>
      <c r="T466" s="571" t="s">
        <v>467</v>
      </c>
      <c r="U466" s="571" t="s">
        <v>550</v>
      </c>
      <c r="V466" s="571" t="s">
        <v>539</v>
      </c>
      <c r="W466" s="572" t="s">
        <v>1354</v>
      </c>
      <c r="X466" s="571" t="s">
        <v>1380</v>
      </c>
      <c r="Y466" s="571" t="s">
        <v>1367</v>
      </c>
      <c r="Z466" s="566" t="s">
        <v>1682</v>
      </c>
      <c r="AA466" s="573">
        <v>1485</v>
      </c>
      <c r="AB466" s="571"/>
    </row>
    <row r="467" spans="1:28" hidden="1">
      <c r="A467" s="566" t="s">
        <v>1335</v>
      </c>
      <c r="B467" s="566" t="s">
        <v>466</v>
      </c>
      <c r="C467" s="566" t="s">
        <v>487</v>
      </c>
      <c r="D467" s="566" t="s">
        <v>472</v>
      </c>
      <c r="E467" s="566" t="s">
        <v>473</v>
      </c>
      <c r="F467" s="566" t="s">
        <v>489</v>
      </c>
      <c r="G467" s="567">
        <v>50</v>
      </c>
      <c r="H467" s="566" t="s">
        <v>1356</v>
      </c>
      <c r="I467" s="568">
        <v>2</v>
      </c>
      <c r="J467" s="569">
        <v>36</v>
      </c>
      <c r="K467" s="569">
        <v>36</v>
      </c>
      <c r="L467" s="566"/>
      <c r="M467" s="566" t="s">
        <v>476</v>
      </c>
      <c r="N467" s="570">
        <v>1521</v>
      </c>
      <c r="O467" s="566"/>
      <c r="P467" s="566" t="s">
        <v>477</v>
      </c>
      <c r="Q467" s="568">
        <v>909678</v>
      </c>
      <c r="R467" s="568">
        <v>39</v>
      </c>
      <c r="S467" s="566" t="s">
        <v>1405</v>
      </c>
      <c r="T467" s="571" t="s">
        <v>467</v>
      </c>
      <c r="U467" s="571" t="s">
        <v>550</v>
      </c>
      <c r="V467" s="571" t="s">
        <v>539</v>
      </c>
      <c r="W467" s="572" t="s">
        <v>1358</v>
      </c>
      <c r="X467" s="571" t="s">
        <v>1380</v>
      </c>
      <c r="Y467" s="571" t="s">
        <v>1367</v>
      </c>
      <c r="Z467" s="566" t="s">
        <v>1683</v>
      </c>
      <c r="AA467" s="573">
        <v>1521</v>
      </c>
      <c r="AB467" s="571"/>
    </row>
    <row r="468" spans="1:28" hidden="1">
      <c r="A468" s="566" t="s">
        <v>1335</v>
      </c>
      <c r="B468" s="566" t="s">
        <v>466</v>
      </c>
      <c r="C468" s="566" t="s">
        <v>471</v>
      </c>
      <c r="D468" s="566" t="s">
        <v>472</v>
      </c>
      <c r="E468" s="566" t="s">
        <v>473</v>
      </c>
      <c r="F468" s="566" t="s">
        <v>474</v>
      </c>
      <c r="G468" s="567">
        <v>0</v>
      </c>
      <c r="H468" s="566" t="s">
        <v>559</v>
      </c>
      <c r="I468" s="568">
        <v>2</v>
      </c>
      <c r="J468" s="569">
        <v>12</v>
      </c>
      <c r="K468" s="569">
        <v>12</v>
      </c>
      <c r="L468" s="566"/>
      <c r="M468" s="566" t="s">
        <v>476</v>
      </c>
      <c r="N468" s="570">
        <v>441</v>
      </c>
      <c r="O468" s="566"/>
      <c r="P468" s="566" t="s">
        <v>477</v>
      </c>
      <c r="Q468" s="568">
        <v>909678</v>
      </c>
      <c r="R468" s="568">
        <v>7</v>
      </c>
      <c r="S468" s="566" t="s">
        <v>1407</v>
      </c>
      <c r="T468" s="575" t="s">
        <v>1408</v>
      </c>
      <c r="U468" s="575" t="s">
        <v>550</v>
      </c>
      <c r="V468" s="575" t="s">
        <v>539</v>
      </c>
      <c r="W468" s="576" t="s">
        <v>470</v>
      </c>
      <c r="X468" s="575" t="s">
        <v>1380</v>
      </c>
      <c r="Y468" s="575" t="s">
        <v>1338</v>
      </c>
      <c r="Z468" s="576" t="s">
        <v>1684</v>
      </c>
      <c r="AA468" s="577">
        <v>441</v>
      </c>
      <c r="AB468" s="575"/>
    </row>
    <row r="469" spans="1:28" hidden="1">
      <c r="A469" s="566" t="s">
        <v>1335</v>
      </c>
      <c r="B469" s="566" t="s">
        <v>466</v>
      </c>
      <c r="C469" s="566" t="s">
        <v>471</v>
      </c>
      <c r="D469" s="566" t="s">
        <v>472</v>
      </c>
      <c r="E469" s="566" t="s">
        <v>473</v>
      </c>
      <c r="F469" s="566" t="s">
        <v>474</v>
      </c>
      <c r="G469" s="567">
        <v>0</v>
      </c>
      <c r="H469" s="566" t="s">
        <v>562</v>
      </c>
      <c r="I469" s="568">
        <v>2</v>
      </c>
      <c r="J469" s="569">
        <v>12</v>
      </c>
      <c r="K469" s="569">
        <v>12</v>
      </c>
      <c r="L469" s="566"/>
      <c r="M469" s="566" t="s">
        <v>476</v>
      </c>
      <c r="N469" s="570">
        <v>513</v>
      </c>
      <c r="O469" s="566"/>
      <c r="P469" s="566" t="s">
        <v>477</v>
      </c>
      <c r="Q469" s="568">
        <v>909678</v>
      </c>
      <c r="R469" s="568">
        <v>8</v>
      </c>
      <c r="S469" s="566" t="s">
        <v>1410</v>
      </c>
      <c r="T469" s="575" t="s">
        <v>1408</v>
      </c>
      <c r="U469" s="575" t="s">
        <v>550</v>
      </c>
      <c r="V469" s="575" t="s">
        <v>539</v>
      </c>
      <c r="W469" s="576" t="s">
        <v>480</v>
      </c>
      <c r="X469" s="575" t="s">
        <v>1380</v>
      </c>
      <c r="Y469" s="575" t="s">
        <v>1338</v>
      </c>
      <c r="Z469" s="576" t="s">
        <v>1685</v>
      </c>
      <c r="AA469" s="577">
        <v>513</v>
      </c>
      <c r="AB469" s="575"/>
    </row>
    <row r="470" spans="1:28" hidden="1">
      <c r="A470" s="566" t="s">
        <v>1335</v>
      </c>
      <c r="B470" s="566" t="s">
        <v>466</v>
      </c>
      <c r="C470" s="566" t="s">
        <v>487</v>
      </c>
      <c r="D470" s="566" t="s">
        <v>472</v>
      </c>
      <c r="E470" s="566" t="s">
        <v>473</v>
      </c>
      <c r="F470" s="566" t="s">
        <v>489</v>
      </c>
      <c r="G470" s="567">
        <v>50</v>
      </c>
      <c r="H470" s="566" t="s">
        <v>571</v>
      </c>
      <c r="I470" s="568">
        <v>2</v>
      </c>
      <c r="J470" s="569">
        <v>12</v>
      </c>
      <c r="K470" s="569">
        <v>12</v>
      </c>
      <c r="L470" s="566"/>
      <c r="M470" s="566" t="s">
        <v>476</v>
      </c>
      <c r="N470" s="570">
        <v>693</v>
      </c>
      <c r="O470" s="566"/>
      <c r="P470" s="566" t="s">
        <v>477</v>
      </c>
      <c r="Q470" s="568">
        <v>909678</v>
      </c>
      <c r="R470" s="568">
        <v>11</v>
      </c>
      <c r="S470" s="566" t="s">
        <v>1412</v>
      </c>
      <c r="T470" s="575" t="s">
        <v>1408</v>
      </c>
      <c r="U470" s="575" t="s">
        <v>550</v>
      </c>
      <c r="V470" s="575" t="s">
        <v>539</v>
      </c>
      <c r="W470" s="576" t="s">
        <v>499</v>
      </c>
      <c r="X470" s="575" t="s">
        <v>1380</v>
      </c>
      <c r="Y470" s="575" t="s">
        <v>1338</v>
      </c>
      <c r="Z470" s="576" t="s">
        <v>1686</v>
      </c>
      <c r="AA470" s="577">
        <v>693</v>
      </c>
      <c r="AB470" s="575"/>
    </row>
    <row r="471" spans="1:28" hidden="1">
      <c r="A471" s="566" t="s">
        <v>1335</v>
      </c>
      <c r="B471" s="566" t="s">
        <v>466</v>
      </c>
      <c r="C471" s="566" t="s">
        <v>487</v>
      </c>
      <c r="D471" s="566" t="s">
        <v>472</v>
      </c>
      <c r="E471" s="566" t="s">
        <v>473</v>
      </c>
      <c r="F471" s="566" t="s">
        <v>489</v>
      </c>
      <c r="G471" s="567">
        <v>50</v>
      </c>
      <c r="H471" s="566" t="s">
        <v>574</v>
      </c>
      <c r="I471" s="568">
        <v>2</v>
      </c>
      <c r="J471" s="569">
        <v>12</v>
      </c>
      <c r="K471" s="569">
        <v>12</v>
      </c>
      <c r="L471" s="566"/>
      <c r="M471" s="566" t="s">
        <v>476</v>
      </c>
      <c r="N471" s="570">
        <v>765</v>
      </c>
      <c r="O471" s="566"/>
      <c r="P471" s="566" t="s">
        <v>477</v>
      </c>
      <c r="Q471" s="568">
        <v>909678</v>
      </c>
      <c r="R471" s="568">
        <v>20</v>
      </c>
      <c r="S471" s="566" t="s">
        <v>1414</v>
      </c>
      <c r="T471" s="575" t="s">
        <v>1408</v>
      </c>
      <c r="U471" s="575" t="s">
        <v>550</v>
      </c>
      <c r="V471" s="575" t="s">
        <v>539</v>
      </c>
      <c r="W471" s="576" t="s">
        <v>504</v>
      </c>
      <c r="X471" s="575" t="s">
        <v>1380</v>
      </c>
      <c r="Y471" s="575" t="s">
        <v>1338</v>
      </c>
      <c r="Z471" s="576" t="s">
        <v>1687</v>
      </c>
      <c r="AA471" s="577">
        <v>765</v>
      </c>
      <c r="AB471" s="575"/>
    </row>
    <row r="472" spans="1:28" hidden="1">
      <c r="A472" s="566" t="s">
        <v>1335</v>
      </c>
      <c r="B472" s="566" t="s">
        <v>466</v>
      </c>
      <c r="C472" s="566" t="s">
        <v>471</v>
      </c>
      <c r="D472" s="566" t="s">
        <v>472</v>
      </c>
      <c r="E472" s="566" t="s">
        <v>473</v>
      </c>
      <c r="F472" s="566" t="s">
        <v>474</v>
      </c>
      <c r="G472" s="567">
        <v>0</v>
      </c>
      <c r="H472" s="566" t="s">
        <v>561</v>
      </c>
      <c r="I472" s="568">
        <v>2</v>
      </c>
      <c r="J472" s="569">
        <v>58</v>
      </c>
      <c r="K472" s="569">
        <v>58</v>
      </c>
      <c r="L472" s="566"/>
      <c r="M472" s="566" t="s">
        <v>476</v>
      </c>
      <c r="N472" s="570">
        <v>1015</v>
      </c>
      <c r="O472" s="566"/>
      <c r="P472" s="566" t="s">
        <v>477</v>
      </c>
      <c r="Q472" s="568">
        <v>909678</v>
      </c>
      <c r="R472" s="568">
        <v>25</v>
      </c>
      <c r="S472" s="566" t="s">
        <v>1336</v>
      </c>
      <c r="T472" s="578" t="s">
        <v>779</v>
      </c>
      <c r="U472" s="578" t="s">
        <v>550</v>
      </c>
      <c r="V472" s="578" t="s">
        <v>539</v>
      </c>
      <c r="W472" s="579" t="s">
        <v>1274</v>
      </c>
      <c r="X472" s="578" t="s">
        <v>1337</v>
      </c>
      <c r="Y472" s="578" t="s">
        <v>1338</v>
      </c>
      <c r="Z472" s="580" t="s">
        <v>1688</v>
      </c>
      <c r="AA472" s="581">
        <v>1015</v>
      </c>
      <c r="AB472" s="578"/>
    </row>
    <row r="473" spans="1:28" hidden="1">
      <c r="A473" s="566" t="s">
        <v>1335</v>
      </c>
      <c r="B473" s="566" t="s">
        <v>466</v>
      </c>
      <c r="C473" s="566" t="s">
        <v>471</v>
      </c>
      <c r="D473" s="566" t="s">
        <v>472</v>
      </c>
      <c r="E473" s="566" t="s">
        <v>473</v>
      </c>
      <c r="F473" s="566" t="s">
        <v>474</v>
      </c>
      <c r="G473" s="567">
        <v>0</v>
      </c>
      <c r="H473" s="566" t="s">
        <v>564</v>
      </c>
      <c r="I473" s="568">
        <v>2</v>
      </c>
      <c r="J473" s="569">
        <v>58</v>
      </c>
      <c r="K473" s="569">
        <v>58</v>
      </c>
      <c r="L473" s="566"/>
      <c r="M473" s="566" t="s">
        <v>476</v>
      </c>
      <c r="N473" s="570">
        <v>1051</v>
      </c>
      <c r="O473" s="566"/>
      <c r="P473" s="566" t="s">
        <v>477</v>
      </c>
      <c r="Q473" s="568">
        <v>909678</v>
      </c>
      <c r="R473" s="568">
        <v>26</v>
      </c>
      <c r="S473" s="566" t="s">
        <v>1340</v>
      </c>
      <c r="T473" s="578" t="s">
        <v>779</v>
      </c>
      <c r="U473" s="578" t="s">
        <v>550</v>
      </c>
      <c r="V473" s="578" t="s">
        <v>539</v>
      </c>
      <c r="W473" s="579" t="s">
        <v>1275</v>
      </c>
      <c r="X473" s="578" t="s">
        <v>1337</v>
      </c>
      <c r="Y473" s="578" t="s">
        <v>1338</v>
      </c>
      <c r="Z473" s="580" t="s">
        <v>1689</v>
      </c>
      <c r="AA473" s="581">
        <v>1051</v>
      </c>
      <c r="AB473" s="578"/>
    </row>
    <row r="474" spans="1:28" hidden="1">
      <c r="A474" s="566" t="s">
        <v>1335</v>
      </c>
      <c r="B474" s="566" t="s">
        <v>466</v>
      </c>
      <c r="C474" s="566" t="s">
        <v>487</v>
      </c>
      <c r="D474" s="566" t="s">
        <v>472</v>
      </c>
      <c r="E474" s="566" t="s">
        <v>473</v>
      </c>
      <c r="F474" s="566" t="s">
        <v>489</v>
      </c>
      <c r="G474" s="567">
        <v>50</v>
      </c>
      <c r="H474" s="566" t="s">
        <v>566</v>
      </c>
      <c r="I474" s="568">
        <v>2</v>
      </c>
      <c r="J474" s="569">
        <v>58</v>
      </c>
      <c r="K474" s="569">
        <v>58</v>
      </c>
      <c r="L474" s="566"/>
      <c r="M474" s="566" t="s">
        <v>476</v>
      </c>
      <c r="N474" s="570">
        <v>1087</v>
      </c>
      <c r="O474" s="566"/>
      <c r="P474" s="566" t="s">
        <v>477</v>
      </c>
      <c r="Q474" s="568">
        <v>909678</v>
      </c>
      <c r="R474" s="568">
        <v>28</v>
      </c>
      <c r="S474" s="566" t="s">
        <v>1342</v>
      </c>
      <c r="T474" s="578" t="s">
        <v>779</v>
      </c>
      <c r="U474" s="578" t="s">
        <v>550</v>
      </c>
      <c r="V474" s="578" t="s">
        <v>539</v>
      </c>
      <c r="W474" s="579" t="s">
        <v>485</v>
      </c>
      <c r="X474" s="578" t="s">
        <v>1337</v>
      </c>
      <c r="Y474" s="578" t="s">
        <v>1338</v>
      </c>
      <c r="Z474" s="580" t="s">
        <v>1690</v>
      </c>
      <c r="AA474" s="581">
        <v>1087</v>
      </c>
      <c r="AB474" s="578"/>
    </row>
    <row r="475" spans="1:28" hidden="1">
      <c r="A475" s="566" t="s">
        <v>1335</v>
      </c>
      <c r="B475" s="566" t="s">
        <v>466</v>
      </c>
      <c r="C475" s="566" t="s">
        <v>487</v>
      </c>
      <c r="D475" s="566" t="s">
        <v>472</v>
      </c>
      <c r="E475" s="566" t="s">
        <v>473</v>
      </c>
      <c r="F475" s="566" t="s">
        <v>489</v>
      </c>
      <c r="G475" s="567">
        <v>50</v>
      </c>
      <c r="H475" s="566" t="s">
        <v>568</v>
      </c>
      <c r="I475" s="568">
        <v>2</v>
      </c>
      <c r="J475" s="569">
        <v>58</v>
      </c>
      <c r="K475" s="569">
        <v>58</v>
      </c>
      <c r="L475" s="566"/>
      <c r="M475" s="566" t="s">
        <v>476</v>
      </c>
      <c r="N475" s="570">
        <v>1123</v>
      </c>
      <c r="O475" s="566"/>
      <c r="P475" s="566" t="s">
        <v>477</v>
      </c>
      <c r="Q475" s="568">
        <v>909678</v>
      </c>
      <c r="R475" s="568">
        <v>29</v>
      </c>
      <c r="S475" s="566" t="s">
        <v>1344</v>
      </c>
      <c r="T475" s="578" t="s">
        <v>779</v>
      </c>
      <c r="U475" s="578" t="s">
        <v>550</v>
      </c>
      <c r="V475" s="578" t="s">
        <v>539</v>
      </c>
      <c r="W475" s="579" t="s">
        <v>491</v>
      </c>
      <c r="X475" s="578" t="s">
        <v>1337</v>
      </c>
      <c r="Y475" s="578" t="s">
        <v>1338</v>
      </c>
      <c r="Z475" s="580" t="s">
        <v>1691</v>
      </c>
      <c r="AA475" s="581">
        <v>1123</v>
      </c>
      <c r="AB475" s="578"/>
    </row>
    <row r="476" spans="1:28" hidden="1">
      <c r="A476" s="566" t="s">
        <v>1335</v>
      </c>
      <c r="B476" s="566" t="s">
        <v>466</v>
      </c>
      <c r="C476" s="566" t="s">
        <v>487</v>
      </c>
      <c r="D476" s="566" t="s">
        <v>472</v>
      </c>
      <c r="E476" s="566" t="s">
        <v>473</v>
      </c>
      <c r="F476" s="566" t="s">
        <v>489</v>
      </c>
      <c r="G476" s="567">
        <v>50</v>
      </c>
      <c r="H476" s="566" t="s">
        <v>570</v>
      </c>
      <c r="I476" s="568">
        <v>2</v>
      </c>
      <c r="J476" s="569">
        <v>58</v>
      </c>
      <c r="K476" s="569">
        <v>58</v>
      </c>
      <c r="L476" s="566"/>
      <c r="M476" s="566" t="s">
        <v>476</v>
      </c>
      <c r="N476" s="570">
        <v>1159</v>
      </c>
      <c r="O476" s="566"/>
      <c r="P476" s="566" t="s">
        <v>477</v>
      </c>
      <c r="Q476" s="568">
        <v>909678</v>
      </c>
      <c r="R476" s="568">
        <v>30</v>
      </c>
      <c r="S476" s="566" t="s">
        <v>1346</v>
      </c>
      <c r="T476" s="578" t="s">
        <v>779</v>
      </c>
      <c r="U476" s="578" t="s">
        <v>550</v>
      </c>
      <c r="V476" s="578" t="s">
        <v>539</v>
      </c>
      <c r="W476" s="579" t="s">
        <v>495</v>
      </c>
      <c r="X476" s="578" t="s">
        <v>1337</v>
      </c>
      <c r="Y476" s="578" t="s">
        <v>1338</v>
      </c>
      <c r="Z476" s="580" t="s">
        <v>1692</v>
      </c>
      <c r="AA476" s="581">
        <v>1159</v>
      </c>
      <c r="AB476" s="578"/>
    </row>
    <row r="477" spans="1:28" hidden="1">
      <c r="A477" s="566" t="s">
        <v>1335</v>
      </c>
      <c r="B477" s="566" t="s">
        <v>466</v>
      </c>
      <c r="C477" s="566" t="s">
        <v>487</v>
      </c>
      <c r="D477" s="566" t="s">
        <v>472</v>
      </c>
      <c r="E477" s="566" t="s">
        <v>473</v>
      </c>
      <c r="F477" s="566" t="s">
        <v>489</v>
      </c>
      <c r="G477" s="567">
        <v>50</v>
      </c>
      <c r="H477" s="566" t="s">
        <v>573</v>
      </c>
      <c r="I477" s="568">
        <v>2</v>
      </c>
      <c r="J477" s="569">
        <v>58</v>
      </c>
      <c r="K477" s="569">
        <v>58</v>
      </c>
      <c r="L477" s="566"/>
      <c r="M477" s="566" t="s">
        <v>476</v>
      </c>
      <c r="N477" s="570">
        <v>1195</v>
      </c>
      <c r="O477" s="566"/>
      <c r="P477" s="566" t="s">
        <v>477</v>
      </c>
      <c r="Q477" s="568">
        <v>909678</v>
      </c>
      <c r="R477" s="568">
        <v>31</v>
      </c>
      <c r="S477" s="566" t="s">
        <v>1348</v>
      </c>
      <c r="T477" s="578" t="s">
        <v>779</v>
      </c>
      <c r="U477" s="578" t="s">
        <v>550</v>
      </c>
      <c r="V477" s="578" t="s">
        <v>539</v>
      </c>
      <c r="W477" s="579" t="s">
        <v>1276</v>
      </c>
      <c r="X477" s="578" t="s">
        <v>1337</v>
      </c>
      <c r="Y477" s="578" t="s">
        <v>1338</v>
      </c>
      <c r="Z477" s="580" t="s">
        <v>1693</v>
      </c>
      <c r="AA477" s="581">
        <v>1195</v>
      </c>
      <c r="AB477" s="578"/>
    </row>
    <row r="478" spans="1:28" hidden="1">
      <c r="A478" s="566" t="s">
        <v>1335</v>
      </c>
      <c r="B478" s="566" t="s">
        <v>466</v>
      </c>
      <c r="C478" s="566" t="s">
        <v>487</v>
      </c>
      <c r="D478" s="566" t="s">
        <v>472</v>
      </c>
      <c r="E478" s="566" t="s">
        <v>473</v>
      </c>
      <c r="F478" s="566" t="s">
        <v>489</v>
      </c>
      <c r="G478" s="567">
        <v>50</v>
      </c>
      <c r="H478" s="566" t="s">
        <v>576</v>
      </c>
      <c r="I478" s="568">
        <v>2</v>
      </c>
      <c r="J478" s="569">
        <v>58</v>
      </c>
      <c r="K478" s="569">
        <v>58</v>
      </c>
      <c r="L478" s="566"/>
      <c r="M478" s="566" t="s">
        <v>476</v>
      </c>
      <c r="N478" s="570">
        <v>1231</v>
      </c>
      <c r="O478" s="566"/>
      <c r="P478" s="566" t="s">
        <v>477</v>
      </c>
      <c r="Q478" s="568">
        <v>909678</v>
      </c>
      <c r="R478" s="568">
        <v>32</v>
      </c>
      <c r="S478" s="566" t="s">
        <v>1350</v>
      </c>
      <c r="T478" s="578" t="s">
        <v>779</v>
      </c>
      <c r="U478" s="578" t="s">
        <v>550</v>
      </c>
      <c r="V478" s="578" t="s">
        <v>539</v>
      </c>
      <c r="W478" s="579" t="s">
        <v>1277</v>
      </c>
      <c r="X478" s="578" t="s">
        <v>1337</v>
      </c>
      <c r="Y478" s="578" t="s">
        <v>1338</v>
      </c>
      <c r="Z478" s="580" t="s">
        <v>1694</v>
      </c>
      <c r="AA478" s="581">
        <v>1231</v>
      </c>
      <c r="AB478" s="578"/>
    </row>
    <row r="479" spans="1:28" hidden="1">
      <c r="A479" s="566" t="s">
        <v>1335</v>
      </c>
      <c r="B479" s="566" t="s">
        <v>466</v>
      </c>
      <c r="C479" s="566" t="s">
        <v>471</v>
      </c>
      <c r="D479" s="566" t="s">
        <v>472</v>
      </c>
      <c r="E479" s="566" t="s">
        <v>473</v>
      </c>
      <c r="F479" s="566" t="s">
        <v>474</v>
      </c>
      <c r="G479" s="567">
        <v>0</v>
      </c>
      <c r="H479" s="566" t="s">
        <v>1352</v>
      </c>
      <c r="I479" s="568">
        <v>2</v>
      </c>
      <c r="J479" s="569">
        <v>58</v>
      </c>
      <c r="K479" s="569">
        <v>58</v>
      </c>
      <c r="L479" s="566"/>
      <c r="M479" s="566" t="s">
        <v>476</v>
      </c>
      <c r="N479" s="570">
        <v>1267</v>
      </c>
      <c r="O479" s="566"/>
      <c r="P479" s="566" t="s">
        <v>477</v>
      </c>
      <c r="Q479" s="568">
        <v>909678</v>
      </c>
      <c r="R479" s="568">
        <v>27</v>
      </c>
      <c r="S479" s="566" t="s">
        <v>1353</v>
      </c>
      <c r="T479" s="578" t="s">
        <v>779</v>
      </c>
      <c r="U479" s="578" t="s">
        <v>550</v>
      </c>
      <c r="V479" s="578" t="s">
        <v>539</v>
      </c>
      <c r="W479" s="579" t="s">
        <v>1354</v>
      </c>
      <c r="X479" s="578" t="s">
        <v>1337</v>
      </c>
      <c r="Y479" s="578" t="s">
        <v>1338</v>
      </c>
      <c r="Z479" s="580" t="s">
        <v>1695</v>
      </c>
      <c r="AA479" s="581">
        <v>1267</v>
      </c>
      <c r="AB479" s="578"/>
    </row>
    <row r="480" spans="1:28" hidden="1">
      <c r="A480" s="566" t="s">
        <v>1335</v>
      </c>
      <c r="B480" s="566" t="s">
        <v>466</v>
      </c>
      <c r="C480" s="566" t="s">
        <v>487</v>
      </c>
      <c r="D480" s="566" t="s">
        <v>472</v>
      </c>
      <c r="E480" s="566" t="s">
        <v>473</v>
      </c>
      <c r="F480" s="566" t="s">
        <v>489</v>
      </c>
      <c r="G480" s="567">
        <v>50</v>
      </c>
      <c r="H480" s="566" t="s">
        <v>1356</v>
      </c>
      <c r="I480" s="568">
        <v>2</v>
      </c>
      <c r="J480" s="569">
        <v>58</v>
      </c>
      <c r="K480" s="569">
        <v>58</v>
      </c>
      <c r="L480" s="566"/>
      <c r="M480" s="566" t="s">
        <v>476</v>
      </c>
      <c r="N480" s="570">
        <v>1303</v>
      </c>
      <c r="O480" s="566"/>
      <c r="P480" s="566" t="s">
        <v>477</v>
      </c>
      <c r="Q480" s="568">
        <v>909678</v>
      </c>
      <c r="R480" s="568">
        <v>33</v>
      </c>
      <c r="S480" s="566" t="s">
        <v>1357</v>
      </c>
      <c r="T480" s="578" t="s">
        <v>779</v>
      </c>
      <c r="U480" s="578" t="s">
        <v>550</v>
      </c>
      <c r="V480" s="578" t="s">
        <v>539</v>
      </c>
      <c r="W480" s="579" t="s">
        <v>1358</v>
      </c>
      <c r="X480" s="578" t="s">
        <v>1337</v>
      </c>
      <c r="Y480" s="578" t="s">
        <v>1338</v>
      </c>
      <c r="Z480" s="580" t="s">
        <v>1696</v>
      </c>
      <c r="AA480" s="581">
        <v>1303</v>
      </c>
      <c r="AB480" s="578"/>
    </row>
    <row r="481" spans="1:28" hidden="1">
      <c r="A481" s="566" t="s">
        <v>1335</v>
      </c>
      <c r="B481" s="566" t="s">
        <v>466</v>
      </c>
      <c r="C481" s="566" t="s">
        <v>471</v>
      </c>
      <c r="D481" s="566" t="s">
        <v>472</v>
      </c>
      <c r="E481" s="566" t="s">
        <v>473</v>
      </c>
      <c r="F481" s="566" t="s">
        <v>474</v>
      </c>
      <c r="G481" s="567">
        <v>0</v>
      </c>
      <c r="H481" s="566" t="s">
        <v>593</v>
      </c>
      <c r="I481" s="568">
        <v>1</v>
      </c>
      <c r="J481" s="569">
        <v>58</v>
      </c>
      <c r="K481" s="569">
        <v>58</v>
      </c>
      <c r="L481" s="566"/>
      <c r="M481" s="566" t="s">
        <v>476</v>
      </c>
      <c r="N481" s="570">
        <v>907</v>
      </c>
      <c r="O481" s="566"/>
      <c r="P481" s="566" t="s">
        <v>477</v>
      </c>
      <c r="Q481" s="568">
        <v>909678</v>
      </c>
      <c r="R481" s="568">
        <v>22</v>
      </c>
      <c r="S481" s="566" t="s">
        <v>1360</v>
      </c>
      <c r="T481" s="578" t="s">
        <v>779</v>
      </c>
      <c r="U481" s="578" t="s">
        <v>550</v>
      </c>
      <c r="V481" s="578" t="s">
        <v>539</v>
      </c>
      <c r="W481" s="579" t="s">
        <v>509</v>
      </c>
      <c r="X481" s="578" t="s">
        <v>1337</v>
      </c>
      <c r="Y481" s="578" t="s">
        <v>1338</v>
      </c>
      <c r="Z481" s="580" t="s">
        <v>1697</v>
      </c>
      <c r="AA481" s="581">
        <v>907</v>
      </c>
      <c r="AB481" s="578"/>
    </row>
    <row r="482" spans="1:28" hidden="1">
      <c r="A482" s="566" t="s">
        <v>1335</v>
      </c>
      <c r="B482" s="566" t="s">
        <v>466</v>
      </c>
      <c r="C482" s="566" t="s">
        <v>471</v>
      </c>
      <c r="D482" s="566" t="s">
        <v>472</v>
      </c>
      <c r="E482" s="566" t="s">
        <v>473</v>
      </c>
      <c r="F482" s="566" t="s">
        <v>474</v>
      </c>
      <c r="G482" s="567">
        <v>0</v>
      </c>
      <c r="H482" s="566" t="s">
        <v>595</v>
      </c>
      <c r="I482" s="568">
        <v>2</v>
      </c>
      <c r="J482" s="569">
        <v>58</v>
      </c>
      <c r="K482" s="569">
        <v>58</v>
      </c>
      <c r="L482" s="566"/>
      <c r="M482" s="566" t="s">
        <v>476</v>
      </c>
      <c r="N482" s="570">
        <v>943</v>
      </c>
      <c r="O482" s="566"/>
      <c r="P482" s="566" t="s">
        <v>477</v>
      </c>
      <c r="Q482" s="568">
        <v>909678</v>
      </c>
      <c r="R482" s="568">
        <v>23</v>
      </c>
      <c r="S482" s="566" t="s">
        <v>1362</v>
      </c>
      <c r="T482" s="578" t="s">
        <v>779</v>
      </c>
      <c r="U482" s="578" t="s">
        <v>550</v>
      </c>
      <c r="V482" s="578" t="s">
        <v>539</v>
      </c>
      <c r="W482" s="579" t="s">
        <v>512</v>
      </c>
      <c r="X482" s="578" t="s">
        <v>1337</v>
      </c>
      <c r="Y482" s="578" t="s">
        <v>1338</v>
      </c>
      <c r="Z482" s="580" t="s">
        <v>1698</v>
      </c>
      <c r="AA482" s="581">
        <v>943</v>
      </c>
      <c r="AB482" s="578"/>
    </row>
    <row r="483" spans="1:28" hidden="1">
      <c r="A483" s="566" t="s">
        <v>1335</v>
      </c>
      <c r="B483" s="566" t="s">
        <v>466</v>
      </c>
      <c r="C483" s="566" t="s">
        <v>471</v>
      </c>
      <c r="D483" s="566" t="s">
        <v>472</v>
      </c>
      <c r="E483" s="566" t="s">
        <v>473</v>
      </c>
      <c r="F483" s="566" t="s">
        <v>474</v>
      </c>
      <c r="G483" s="567">
        <v>0</v>
      </c>
      <c r="H483" s="566" t="s">
        <v>597</v>
      </c>
      <c r="I483" s="568">
        <v>2</v>
      </c>
      <c r="J483" s="569">
        <v>58</v>
      </c>
      <c r="K483" s="569">
        <v>58</v>
      </c>
      <c r="L483" s="566"/>
      <c r="M483" s="566" t="s">
        <v>476</v>
      </c>
      <c r="N483" s="570">
        <v>979</v>
      </c>
      <c r="O483" s="566"/>
      <c r="P483" s="566" t="s">
        <v>477</v>
      </c>
      <c r="Q483" s="568">
        <v>909678</v>
      </c>
      <c r="R483" s="568">
        <v>24</v>
      </c>
      <c r="S483" s="566" t="s">
        <v>1364</v>
      </c>
      <c r="T483" s="578" t="s">
        <v>779</v>
      </c>
      <c r="U483" s="578" t="s">
        <v>550</v>
      </c>
      <c r="V483" s="578" t="s">
        <v>539</v>
      </c>
      <c r="W483" s="579" t="s">
        <v>514</v>
      </c>
      <c r="X483" s="578" t="s">
        <v>1337</v>
      </c>
      <c r="Y483" s="578" t="s">
        <v>1338</v>
      </c>
      <c r="Z483" s="580" t="s">
        <v>1699</v>
      </c>
      <c r="AA483" s="581">
        <v>979</v>
      </c>
      <c r="AB483" s="578"/>
    </row>
    <row r="484" spans="1:28" hidden="1">
      <c r="A484" s="566" t="s">
        <v>1335</v>
      </c>
      <c r="B484" s="566" t="s">
        <v>466</v>
      </c>
      <c r="C484" s="566" t="s">
        <v>471</v>
      </c>
      <c r="D484" s="566" t="s">
        <v>472</v>
      </c>
      <c r="E484" s="566" t="s">
        <v>473</v>
      </c>
      <c r="F484" s="566" t="s">
        <v>474</v>
      </c>
      <c r="G484" s="567">
        <v>0</v>
      </c>
      <c r="H484" s="566" t="s">
        <v>561</v>
      </c>
      <c r="I484" s="568">
        <v>2</v>
      </c>
      <c r="J484" s="569">
        <v>82</v>
      </c>
      <c r="K484" s="569">
        <v>82</v>
      </c>
      <c r="L484" s="566"/>
      <c r="M484" s="566" t="s">
        <v>476</v>
      </c>
      <c r="N484" s="570">
        <v>1555</v>
      </c>
      <c r="O484" s="566"/>
      <c r="P484" s="566" t="s">
        <v>477</v>
      </c>
      <c r="Q484" s="568">
        <v>909678</v>
      </c>
      <c r="R484" s="568">
        <v>40</v>
      </c>
      <c r="S484" s="566" t="s">
        <v>1366</v>
      </c>
      <c r="T484" s="578" t="s">
        <v>779</v>
      </c>
      <c r="U484" s="578" t="s">
        <v>550</v>
      </c>
      <c r="V484" s="578" t="s">
        <v>539</v>
      </c>
      <c r="W484" s="579" t="s">
        <v>1274</v>
      </c>
      <c r="X484" s="578" t="s">
        <v>1337</v>
      </c>
      <c r="Y484" s="578" t="s">
        <v>1367</v>
      </c>
      <c r="Z484" s="580" t="s">
        <v>1700</v>
      </c>
      <c r="AA484" s="581">
        <v>1555</v>
      </c>
      <c r="AB484" s="578"/>
    </row>
    <row r="485" spans="1:28" hidden="1">
      <c r="A485" s="566" t="s">
        <v>1335</v>
      </c>
      <c r="B485" s="566" t="s">
        <v>466</v>
      </c>
      <c r="C485" s="566" t="s">
        <v>471</v>
      </c>
      <c r="D485" s="566" t="s">
        <v>472</v>
      </c>
      <c r="E485" s="566" t="s">
        <v>473</v>
      </c>
      <c r="F485" s="566" t="s">
        <v>474</v>
      </c>
      <c r="G485" s="567">
        <v>0</v>
      </c>
      <c r="H485" s="566" t="s">
        <v>564</v>
      </c>
      <c r="I485" s="568">
        <v>2</v>
      </c>
      <c r="J485" s="569">
        <v>82</v>
      </c>
      <c r="K485" s="569">
        <v>82</v>
      </c>
      <c r="L485" s="566"/>
      <c r="M485" s="566" t="s">
        <v>476</v>
      </c>
      <c r="N485" s="570">
        <v>1591</v>
      </c>
      <c r="O485" s="566"/>
      <c r="P485" s="566" t="s">
        <v>477</v>
      </c>
      <c r="Q485" s="568">
        <v>909678</v>
      </c>
      <c r="R485" s="568">
        <v>41</v>
      </c>
      <c r="S485" s="566" t="s">
        <v>1369</v>
      </c>
      <c r="T485" s="578" t="s">
        <v>779</v>
      </c>
      <c r="U485" s="578" t="s">
        <v>550</v>
      </c>
      <c r="V485" s="578" t="s">
        <v>539</v>
      </c>
      <c r="W485" s="579" t="s">
        <v>1275</v>
      </c>
      <c r="X485" s="578" t="s">
        <v>1337</v>
      </c>
      <c r="Y485" s="578" t="s">
        <v>1367</v>
      </c>
      <c r="Z485" s="580" t="s">
        <v>1701</v>
      </c>
      <c r="AA485" s="581">
        <v>1591</v>
      </c>
      <c r="AB485" s="578"/>
    </row>
    <row r="486" spans="1:28" hidden="1">
      <c r="A486" s="566" t="s">
        <v>1335</v>
      </c>
      <c r="B486" s="566" t="s">
        <v>466</v>
      </c>
      <c r="C486" s="566" t="s">
        <v>487</v>
      </c>
      <c r="D486" s="566" t="s">
        <v>472</v>
      </c>
      <c r="E486" s="566" t="s">
        <v>473</v>
      </c>
      <c r="F486" s="566" t="s">
        <v>489</v>
      </c>
      <c r="G486" s="567">
        <v>50</v>
      </c>
      <c r="H486" s="566" t="s">
        <v>573</v>
      </c>
      <c r="I486" s="568">
        <v>2</v>
      </c>
      <c r="J486" s="569">
        <v>82</v>
      </c>
      <c r="K486" s="569">
        <v>82</v>
      </c>
      <c r="L486" s="566"/>
      <c r="M486" s="566" t="s">
        <v>476</v>
      </c>
      <c r="N486" s="570">
        <v>1627</v>
      </c>
      <c r="O486" s="566"/>
      <c r="P486" s="566" t="s">
        <v>477</v>
      </c>
      <c r="Q486" s="568">
        <v>909678</v>
      </c>
      <c r="R486" s="568">
        <v>43</v>
      </c>
      <c r="S486" s="566" t="s">
        <v>1371</v>
      </c>
      <c r="T486" s="578" t="s">
        <v>779</v>
      </c>
      <c r="U486" s="578" t="s">
        <v>550</v>
      </c>
      <c r="V486" s="578" t="s">
        <v>539</v>
      </c>
      <c r="W486" s="579" t="s">
        <v>1276</v>
      </c>
      <c r="X486" s="578" t="s">
        <v>1337</v>
      </c>
      <c r="Y486" s="578" t="s">
        <v>1367</v>
      </c>
      <c r="Z486" s="580" t="s">
        <v>1702</v>
      </c>
      <c r="AA486" s="581">
        <v>1627</v>
      </c>
      <c r="AB486" s="578"/>
    </row>
    <row r="487" spans="1:28" hidden="1">
      <c r="A487" s="566" t="s">
        <v>1335</v>
      </c>
      <c r="B487" s="566" t="s">
        <v>466</v>
      </c>
      <c r="C487" s="566" t="s">
        <v>487</v>
      </c>
      <c r="D487" s="566" t="s">
        <v>472</v>
      </c>
      <c r="E487" s="566" t="s">
        <v>473</v>
      </c>
      <c r="F487" s="566" t="s">
        <v>489</v>
      </c>
      <c r="G487" s="567">
        <v>50</v>
      </c>
      <c r="H487" s="566" t="s">
        <v>576</v>
      </c>
      <c r="I487" s="568">
        <v>2</v>
      </c>
      <c r="J487" s="569">
        <v>82</v>
      </c>
      <c r="K487" s="569">
        <v>82</v>
      </c>
      <c r="L487" s="566"/>
      <c r="M487" s="566" t="s">
        <v>476</v>
      </c>
      <c r="N487" s="570">
        <v>1663</v>
      </c>
      <c r="O487" s="566"/>
      <c r="P487" s="566" t="s">
        <v>477</v>
      </c>
      <c r="Q487" s="568">
        <v>909678</v>
      </c>
      <c r="R487" s="568">
        <v>44</v>
      </c>
      <c r="S487" s="566" t="s">
        <v>1373</v>
      </c>
      <c r="T487" s="578" t="s">
        <v>779</v>
      </c>
      <c r="U487" s="578" t="s">
        <v>550</v>
      </c>
      <c r="V487" s="578" t="s">
        <v>539</v>
      </c>
      <c r="W487" s="579" t="s">
        <v>1277</v>
      </c>
      <c r="X487" s="578" t="s">
        <v>1337</v>
      </c>
      <c r="Y487" s="578" t="s">
        <v>1367</v>
      </c>
      <c r="Z487" s="580" t="s">
        <v>1703</v>
      </c>
      <c r="AA487" s="581">
        <v>1663</v>
      </c>
      <c r="AB487" s="578"/>
    </row>
    <row r="488" spans="1:28" hidden="1">
      <c r="A488" s="566" t="s">
        <v>1335</v>
      </c>
      <c r="B488" s="566" t="s">
        <v>466</v>
      </c>
      <c r="C488" s="566" t="s">
        <v>471</v>
      </c>
      <c r="D488" s="566" t="s">
        <v>472</v>
      </c>
      <c r="E488" s="566" t="s">
        <v>473</v>
      </c>
      <c r="F488" s="566" t="s">
        <v>474</v>
      </c>
      <c r="G488" s="567">
        <v>0</v>
      </c>
      <c r="H488" s="566" t="s">
        <v>1352</v>
      </c>
      <c r="I488" s="568">
        <v>2</v>
      </c>
      <c r="J488" s="569">
        <v>82</v>
      </c>
      <c r="K488" s="569">
        <v>82</v>
      </c>
      <c r="L488" s="566"/>
      <c r="M488" s="566" t="s">
        <v>476</v>
      </c>
      <c r="N488" s="570">
        <v>1699</v>
      </c>
      <c r="O488" s="566"/>
      <c r="P488" s="566" t="s">
        <v>477</v>
      </c>
      <c r="Q488" s="568">
        <v>909678</v>
      </c>
      <c r="R488" s="568">
        <v>42</v>
      </c>
      <c r="S488" s="566" t="s">
        <v>1375</v>
      </c>
      <c r="T488" s="578" t="s">
        <v>779</v>
      </c>
      <c r="U488" s="578" t="s">
        <v>550</v>
      </c>
      <c r="V488" s="578" t="s">
        <v>539</v>
      </c>
      <c r="W488" s="579" t="s">
        <v>1354</v>
      </c>
      <c r="X488" s="578" t="s">
        <v>1337</v>
      </c>
      <c r="Y488" s="578" t="s">
        <v>1367</v>
      </c>
      <c r="Z488" s="580" t="s">
        <v>1704</v>
      </c>
      <c r="AA488" s="581">
        <v>1699</v>
      </c>
      <c r="AB488" s="578"/>
    </row>
    <row r="489" spans="1:28" hidden="1">
      <c r="A489" s="566" t="s">
        <v>1335</v>
      </c>
      <c r="B489" s="566" t="s">
        <v>466</v>
      </c>
      <c r="C489" s="566" t="s">
        <v>487</v>
      </c>
      <c r="D489" s="566" t="s">
        <v>472</v>
      </c>
      <c r="E489" s="566" t="s">
        <v>473</v>
      </c>
      <c r="F489" s="566" t="s">
        <v>489</v>
      </c>
      <c r="G489" s="567">
        <v>50</v>
      </c>
      <c r="H489" s="566" t="s">
        <v>1356</v>
      </c>
      <c r="I489" s="568">
        <v>2</v>
      </c>
      <c r="J489" s="569">
        <v>82</v>
      </c>
      <c r="K489" s="569">
        <v>82</v>
      </c>
      <c r="L489" s="566"/>
      <c r="M489" s="566" t="s">
        <v>476</v>
      </c>
      <c r="N489" s="570">
        <v>1735</v>
      </c>
      <c r="O489" s="566"/>
      <c r="P489" s="566" t="s">
        <v>477</v>
      </c>
      <c r="Q489" s="568">
        <v>909678</v>
      </c>
      <c r="R489" s="568">
        <v>45</v>
      </c>
      <c r="S489" s="566" t="s">
        <v>1377</v>
      </c>
      <c r="T489" s="578" t="s">
        <v>779</v>
      </c>
      <c r="U489" s="578" t="s">
        <v>550</v>
      </c>
      <c r="V489" s="578" t="s">
        <v>539</v>
      </c>
      <c r="W489" s="579" t="s">
        <v>1358</v>
      </c>
      <c r="X489" s="578" t="s">
        <v>1337</v>
      </c>
      <c r="Y489" s="578" t="s">
        <v>1367</v>
      </c>
      <c r="Z489" s="580" t="s">
        <v>1705</v>
      </c>
      <c r="AA489" s="581">
        <v>1735</v>
      </c>
      <c r="AB489" s="578"/>
    </row>
    <row r="490" spans="1:28" hidden="1">
      <c r="A490" s="566" t="s">
        <v>1335</v>
      </c>
      <c r="B490" s="566" t="s">
        <v>466</v>
      </c>
      <c r="C490" s="566" t="s">
        <v>553</v>
      </c>
      <c r="D490" s="566" t="s">
        <v>472</v>
      </c>
      <c r="E490" s="566" t="s">
        <v>473</v>
      </c>
      <c r="F490" s="566" t="s">
        <v>554</v>
      </c>
      <c r="G490" s="567">
        <v>13</v>
      </c>
      <c r="H490" s="566" t="s">
        <v>892</v>
      </c>
      <c r="I490" s="568">
        <v>2</v>
      </c>
      <c r="J490" s="569">
        <v>22</v>
      </c>
      <c r="K490" s="569">
        <v>22</v>
      </c>
      <c r="L490" s="569">
        <v>17</v>
      </c>
      <c r="M490" s="566" t="s">
        <v>476</v>
      </c>
      <c r="N490" s="570">
        <v>160</v>
      </c>
      <c r="O490" s="566"/>
      <c r="P490" s="566" t="s">
        <v>477</v>
      </c>
      <c r="Q490" s="568">
        <v>909678</v>
      </c>
      <c r="R490" s="568">
        <v>9</v>
      </c>
      <c r="S490" s="566" t="s">
        <v>1379</v>
      </c>
      <c r="T490" s="578" t="s">
        <v>779</v>
      </c>
      <c r="U490" s="578" t="s">
        <v>550</v>
      </c>
      <c r="V490" s="578" t="s">
        <v>539</v>
      </c>
      <c r="W490" s="579" t="s">
        <v>551</v>
      </c>
      <c r="X490" s="578" t="s">
        <v>1380</v>
      </c>
      <c r="Y490" s="578" t="s">
        <v>1338</v>
      </c>
      <c r="Z490" s="580" t="s">
        <v>891</v>
      </c>
      <c r="AA490" s="581">
        <v>160</v>
      </c>
      <c r="AB490" s="578">
        <v>260059</v>
      </c>
    </row>
    <row r="491" spans="1:28" hidden="1">
      <c r="A491" s="566" t="s">
        <v>1335</v>
      </c>
      <c r="B491" s="566" t="s">
        <v>466</v>
      </c>
      <c r="C491" s="566" t="s">
        <v>553</v>
      </c>
      <c r="D491" s="566" t="s">
        <v>472</v>
      </c>
      <c r="E491" s="566" t="s">
        <v>473</v>
      </c>
      <c r="F491" s="566" t="s">
        <v>554</v>
      </c>
      <c r="G491" s="567">
        <v>16</v>
      </c>
      <c r="H491" s="566" t="s">
        <v>894</v>
      </c>
      <c r="I491" s="568">
        <v>2</v>
      </c>
      <c r="J491" s="569">
        <v>22</v>
      </c>
      <c r="K491" s="569">
        <v>22</v>
      </c>
      <c r="L491" s="569">
        <v>17</v>
      </c>
      <c r="M491" s="566" t="s">
        <v>476</v>
      </c>
      <c r="N491" s="570">
        <v>304</v>
      </c>
      <c r="O491" s="566"/>
      <c r="P491" s="566" t="s">
        <v>477</v>
      </c>
      <c r="Q491" s="568">
        <v>909678</v>
      </c>
      <c r="R491" s="568">
        <v>4</v>
      </c>
      <c r="S491" s="566" t="s">
        <v>1381</v>
      </c>
      <c r="T491" s="578" t="s">
        <v>779</v>
      </c>
      <c r="U491" s="578" t="s">
        <v>550</v>
      </c>
      <c r="V491" s="578" t="s">
        <v>539</v>
      </c>
      <c r="W491" s="579" t="s">
        <v>556</v>
      </c>
      <c r="X491" s="578" t="s">
        <v>1380</v>
      </c>
      <c r="Y491" s="578" t="s">
        <v>1338</v>
      </c>
      <c r="Z491" s="580" t="s">
        <v>893</v>
      </c>
      <c r="AA491" s="581">
        <v>304</v>
      </c>
      <c r="AB491" s="578">
        <v>260203</v>
      </c>
    </row>
    <row r="492" spans="1:28" hidden="1">
      <c r="A492" s="566" t="s">
        <v>1335</v>
      </c>
      <c r="B492" s="566" t="s">
        <v>466</v>
      </c>
      <c r="C492" s="566" t="s">
        <v>471</v>
      </c>
      <c r="D492" s="566" t="s">
        <v>472</v>
      </c>
      <c r="E492" s="566" t="s">
        <v>473</v>
      </c>
      <c r="F492" s="566" t="s">
        <v>474</v>
      </c>
      <c r="G492" s="567">
        <v>0</v>
      </c>
      <c r="H492" s="566" t="s">
        <v>561</v>
      </c>
      <c r="I492" s="568">
        <v>2</v>
      </c>
      <c r="J492" s="569">
        <v>10</v>
      </c>
      <c r="K492" s="569">
        <v>10</v>
      </c>
      <c r="L492" s="566"/>
      <c r="M492" s="566" t="s">
        <v>476</v>
      </c>
      <c r="N492" s="570">
        <v>475</v>
      </c>
      <c r="O492" s="566"/>
      <c r="P492" s="566" t="s">
        <v>477</v>
      </c>
      <c r="Q492" s="568">
        <v>909678</v>
      </c>
      <c r="R492" s="568">
        <v>10</v>
      </c>
      <c r="S492" s="566" t="s">
        <v>1382</v>
      </c>
      <c r="T492" s="578" t="s">
        <v>779</v>
      </c>
      <c r="U492" s="578" t="s">
        <v>550</v>
      </c>
      <c r="V492" s="578" t="s">
        <v>539</v>
      </c>
      <c r="W492" s="579" t="s">
        <v>1274</v>
      </c>
      <c r="X492" s="578" t="s">
        <v>1380</v>
      </c>
      <c r="Y492" s="578" t="s">
        <v>1338</v>
      </c>
      <c r="Z492" s="580" t="s">
        <v>895</v>
      </c>
      <c r="AA492" s="581">
        <v>475</v>
      </c>
      <c r="AB492" s="578"/>
    </row>
    <row r="493" spans="1:28" hidden="1">
      <c r="A493" s="566" t="s">
        <v>1335</v>
      </c>
      <c r="B493" s="566" t="s">
        <v>466</v>
      </c>
      <c r="C493" s="566" t="s">
        <v>471</v>
      </c>
      <c r="D493" s="566" t="s">
        <v>472</v>
      </c>
      <c r="E493" s="566" t="s">
        <v>473</v>
      </c>
      <c r="F493" s="566" t="s">
        <v>474</v>
      </c>
      <c r="G493" s="567">
        <v>0</v>
      </c>
      <c r="H493" s="566" t="s">
        <v>564</v>
      </c>
      <c r="I493" s="568">
        <v>2</v>
      </c>
      <c r="J493" s="569">
        <v>10</v>
      </c>
      <c r="K493" s="569">
        <v>10</v>
      </c>
      <c r="L493" s="566"/>
      <c r="M493" s="566" t="s">
        <v>476</v>
      </c>
      <c r="N493" s="570">
        <v>547</v>
      </c>
      <c r="O493" s="566"/>
      <c r="P493" s="566" t="s">
        <v>477</v>
      </c>
      <c r="Q493" s="568">
        <v>909678</v>
      </c>
      <c r="R493" s="568">
        <v>15</v>
      </c>
      <c r="S493" s="566" t="s">
        <v>483</v>
      </c>
      <c r="T493" s="578" t="s">
        <v>779</v>
      </c>
      <c r="U493" s="578" t="s">
        <v>550</v>
      </c>
      <c r="V493" s="578" t="s">
        <v>539</v>
      </c>
      <c r="W493" s="579" t="s">
        <v>1275</v>
      </c>
      <c r="X493" s="578" t="s">
        <v>1380</v>
      </c>
      <c r="Y493" s="578" t="s">
        <v>1338</v>
      </c>
      <c r="Z493" s="580" t="s">
        <v>896</v>
      </c>
      <c r="AA493" s="581">
        <v>547</v>
      </c>
      <c r="AB493" s="578"/>
    </row>
    <row r="494" spans="1:28" hidden="1">
      <c r="A494" s="566" t="s">
        <v>1335</v>
      </c>
      <c r="B494" s="566" t="s">
        <v>466</v>
      </c>
      <c r="C494" s="566" t="s">
        <v>487</v>
      </c>
      <c r="D494" s="566" t="s">
        <v>472</v>
      </c>
      <c r="E494" s="566" t="s">
        <v>473</v>
      </c>
      <c r="F494" s="566" t="s">
        <v>489</v>
      </c>
      <c r="G494" s="567">
        <v>50</v>
      </c>
      <c r="H494" s="566" t="s">
        <v>566</v>
      </c>
      <c r="I494" s="568">
        <v>2</v>
      </c>
      <c r="J494" s="569">
        <v>10</v>
      </c>
      <c r="K494" s="569">
        <v>10</v>
      </c>
      <c r="L494" s="566"/>
      <c r="M494" s="566" t="s">
        <v>476</v>
      </c>
      <c r="N494" s="570">
        <v>583</v>
      </c>
      <c r="O494" s="566"/>
      <c r="P494" s="566" t="s">
        <v>477</v>
      </c>
      <c r="Q494" s="568">
        <v>909678</v>
      </c>
      <c r="R494" s="568">
        <v>16</v>
      </c>
      <c r="S494" s="566" t="s">
        <v>488</v>
      </c>
      <c r="T494" s="578" t="s">
        <v>779</v>
      </c>
      <c r="U494" s="578" t="s">
        <v>550</v>
      </c>
      <c r="V494" s="578" t="s">
        <v>539</v>
      </c>
      <c r="W494" s="579" t="s">
        <v>485</v>
      </c>
      <c r="X494" s="578" t="s">
        <v>1380</v>
      </c>
      <c r="Y494" s="578" t="s">
        <v>1338</v>
      </c>
      <c r="Z494" s="580" t="s">
        <v>897</v>
      </c>
      <c r="AA494" s="581">
        <v>583</v>
      </c>
      <c r="AB494" s="578"/>
    </row>
    <row r="495" spans="1:28" hidden="1">
      <c r="A495" s="566" t="s">
        <v>1335</v>
      </c>
      <c r="B495" s="566" t="s">
        <v>466</v>
      </c>
      <c r="C495" s="566" t="s">
        <v>487</v>
      </c>
      <c r="D495" s="566" t="s">
        <v>472</v>
      </c>
      <c r="E495" s="566" t="s">
        <v>473</v>
      </c>
      <c r="F495" s="566" t="s">
        <v>489</v>
      </c>
      <c r="G495" s="567">
        <v>50</v>
      </c>
      <c r="H495" s="566" t="s">
        <v>568</v>
      </c>
      <c r="I495" s="568">
        <v>2</v>
      </c>
      <c r="J495" s="569">
        <v>10</v>
      </c>
      <c r="K495" s="569">
        <v>10</v>
      </c>
      <c r="L495" s="566"/>
      <c r="M495" s="566" t="s">
        <v>476</v>
      </c>
      <c r="N495" s="570">
        <v>619</v>
      </c>
      <c r="O495" s="566"/>
      <c r="P495" s="566" t="s">
        <v>477</v>
      </c>
      <c r="Q495" s="568">
        <v>909678</v>
      </c>
      <c r="R495" s="568">
        <v>17</v>
      </c>
      <c r="S495" s="566" t="s">
        <v>493</v>
      </c>
      <c r="T495" s="578" t="s">
        <v>779</v>
      </c>
      <c r="U495" s="578" t="s">
        <v>550</v>
      </c>
      <c r="V495" s="578" t="s">
        <v>539</v>
      </c>
      <c r="W495" s="579" t="s">
        <v>491</v>
      </c>
      <c r="X495" s="578" t="s">
        <v>1380</v>
      </c>
      <c r="Y495" s="578" t="s">
        <v>1338</v>
      </c>
      <c r="Z495" s="580" t="s">
        <v>898</v>
      </c>
      <c r="AA495" s="581">
        <v>619</v>
      </c>
      <c r="AB495" s="578"/>
    </row>
    <row r="496" spans="1:28" hidden="1">
      <c r="A496" s="566" t="s">
        <v>1335</v>
      </c>
      <c r="B496" s="566" t="s">
        <v>466</v>
      </c>
      <c r="C496" s="566" t="s">
        <v>487</v>
      </c>
      <c r="D496" s="566" t="s">
        <v>472</v>
      </c>
      <c r="E496" s="566" t="s">
        <v>473</v>
      </c>
      <c r="F496" s="566" t="s">
        <v>489</v>
      </c>
      <c r="G496" s="567">
        <v>50</v>
      </c>
      <c r="H496" s="566" t="s">
        <v>570</v>
      </c>
      <c r="I496" s="568">
        <v>2</v>
      </c>
      <c r="J496" s="569">
        <v>10</v>
      </c>
      <c r="K496" s="569">
        <v>10</v>
      </c>
      <c r="L496" s="566"/>
      <c r="M496" s="566" t="s">
        <v>476</v>
      </c>
      <c r="N496" s="570">
        <v>655</v>
      </c>
      <c r="O496" s="566"/>
      <c r="P496" s="566" t="s">
        <v>477</v>
      </c>
      <c r="Q496" s="568">
        <v>909678</v>
      </c>
      <c r="R496" s="568">
        <v>18</v>
      </c>
      <c r="S496" s="566" t="s">
        <v>497</v>
      </c>
      <c r="T496" s="578" t="s">
        <v>779</v>
      </c>
      <c r="U496" s="578" t="s">
        <v>550</v>
      </c>
      <c r="V496" s="578" t="s">
        <v>539</v>
      </c>
      <c r="W496" s="579" t="s">
        <v>495</v>
      </c>
      <c r="X496" s="578" t="s">
        <v>1380</v>
      </c>
      <c r="Y496" s="578" t="s">
        <v>1338</v>
      </c>
      <c r="Z496" s="580" t="s">
        <v>899</v>
      </c>
      <c r="AA496" s="581">
        <v>655</v>
      </c>
      <c r="AB496" s="578"/>
    </row>
    <row r="497" spans="1:28" hidden="1">
      <c r="A497" s="566" t="s">
        <v>1335</v>
      </c>
      <c r="B497" s="566" t="s">
        <v>466</v>
      </c>
      <c r="C497" s="566" t="s">
        <v>487</v>
      </c>
      <c r="D497" s="566" t="s">
        <v>472</v>
      </c>
      <c r="E497" s="566" t="s">
        <v>473</v>
      </c>
      <c r="F497" s="566" t="s">
        <v>489</v>
      </c>
      <c r="G497" s="567">
        <v>50</v>
      </c>
      <c r="H497" s="566" t="s">
        <v>573</v>
      </c>
      <c r="I497" s="568">
        <v>2</v>
      </c>
      <c r="J497" s="569">
        <v>10</v>
      </c>
      <c r="K497" s="569">
        <v>10</v>
      </c>
      <c r="L497" s="566"/>
      <c r="M497" s="566" t="s">
        <v>476</v>
      </c>
      <c r="N497" s="570">
        <v>727</v>
      </c>
      <c r="O497" s="566"/>
      <c r="P497" s="566" t="s">
        <v>477</v>
      </c>
      <c r="Q497" s="568">
        <v>909678</v>
      </c>
      <c r="R497" s="568">
        <v>19</v>
      </c>
      <c r="S497" s="566" t="s">
        <v>502</v>
      </c>
      <c r="T497" s="578" t="s">
        <v>779</v>
      </c>
      <c r="U497" s="578" t="s">
        <v>550</v>
      </c>
      <c r="V497" s="578" t="s">
        <v>539</v>
      </c>
      <c r="W497" s="579" t="s">
        <v>1276</v>
      </c>
      <c r="X497" s="578" t="s">
        <v>1380</v>
      </c>
      <c r="Y497" s="578" t="s">
        <v>1338</v>
      </c>
      <c r="Z497" s="580" t="s">
        <v>900</v>
      </c>
      <c r="AA497" s="581">
        <v>727</v>
      </c>
      <c r="AB497" s="578"/>
    </row>
    <row r="498" spans="1:28" hidden="1">
      <c r="A498" s="566" t="s">
        <v>1335</v>
      </c>
      <c r="B498" s="566" t="s">
        <v>466</v>
      </c>
      <c r="C498" s="566" t="s">
        <v>487</v>
      </c>
      <c r="D498" s="566" t="s">
        <v>472</v>
      </c>
      <c r="E498" s="566" t="s">
        <v>473</v>
      </c>
      <c r="F498" s="566" t="s">
        <v>489</v>
      </c>
      <c r="G498" s="567">
        <v>50</v>
      </c>
      <c r="H498" s="566" t="s">
        <v>576</v>
      </c>
      <c r="I498" s="568">
        <v>2</v>
      </c>
      <c r="J498" s="569">
        <v>10</v>
      </c>
      <c r="K498" s="569">
        <v>10</v>
      </c>
      <c r="L498" s="566"/>
      <c r="M498" s="566" t="s">
        <v>476</v>
      </c>
      <c r="N498" s="570">
        <v>799</v>
      </c>
      <c r="O498" s="566"/>
      <c r="P498" s="566" t="s">
        <v>477</v>
      </c>
      <c r="Q498" s="568">
        <v>909678</v>
      </c>
      <c r="R498" s="568">
        <v>21</v>
      </c>
      <c r="S498" s="566" t="s">
        <v>507</v>
      </c>
      <c r="T498" s="578" t="s">
        <v>779</v>
      </c>
      <c r="U498" s="578" t="s">
        <v>550</v>
      </c>
      <c r="V498" s="578" t="s">
        <v>539</v>
      </c>
      <c r="W498" s="579" t="s">
        <v>1277</v>
      </c>
      <c r="X498" s="578" t="s">
        <v>1380</v>
      </c>
      <c r="Y498" s="578" t="s">
        <v>1338</v>
      </c>
      <c r="Z498" s="580" t="s">
        <v>901</v>
      </c>
      <c r="AA498" s="581">
        <v>799</v>
      </c>
      <c r="AB498" s="578"/>
    </row>
    <row r="499" spans="1:28" hidden="1">
      <c r="A499" s="566" t="s">
        <v>1335</v>
      </c>
      <c r="B499" s="566" t="s">
        <v>466</v>
      </c>
      <c r="C499" s="566" t="s">
        <v>471</v>
      </c>
      <c r="D499" s="566" t="s">
        <v>472</v>
      </c>
      <c r="E499" s="566" t="s">
        <v>473</v>
      </c>
      <c r="F499" s="566" t="s">
        <v>474</v>
      </c>
      <c r="G499" s="567">
        <v>0</v>
      </c>
      <c r="H499" s="566" t="s">
        <v>1352</v>
      </c>
      <c r="I499" s="568">
        <v>2</v>
      </c>
      <c r="J499" s="569">
        <v>10</v>
      </c>
      <c r="K499" s="569">
        <v>10</v>
      </c>
      <c r="L499" s="566"/>
      <c r="M499" s="566" t="s">
        <v>476</v>
      </c>
      <c r="N499" s="570">
        <v>835</v>
      </c>
      <c r="O499" s="566"/>
      <c r="P499" s="566" t="s">
        <v>477</v>
      </c>
      <c r="Q499" s="568">
        <v>909678</v>
      </c>
      <c r="R499" s="568">
        <v>46</v>
      </c>
      <c r="S499" s="566" t="s">
        <v>1383</v>
      </c>
      <c r="T499" s="578" t="s">
        <v>779</v>
      </c>
      <c r="U499" s="578" t="s">
        <v>550</v>
      </c>
      <c r="V499" s="578" t="s">
        <v>539</v>
      </c>
      <c r="W499" s="579" t="s">
        <v>1354</v>
      </c>
      <c r="X499" s="578" t="s">
        <v>1380</v>
      </c>
      <c r="Y499" s="578" t="s">
        <v>1338</v>
      </c>
      <c r="Z499" s="580" t="s">
        <v>1706</v>
      </c>
      <c r="AA499" s="581">
        <v>835</v>
      </c>
      <c r="AB499" s="578"/>
    </row>
    <row r="500" spans="1:28" hidden="1">
      <c r="A500" s="566" t="s">
        <v>1335</v>
      </c>
      <c r="B500" s="566" t="s">
        <v>466</v>
      </c>
      <c r="C500" s="566" t="s">
        <v>487</v>
      </c>
      <c r="D500" s="566" t="s">
        <v>472</v>
      </c>
      <c r="E500" s="566" t="s">
        <v>473</v>
      </c>
      <c r="F500" s="566" t="s">
        <v>489</v>
      </c>
      <c r="G500" s="567">
        <v>50</v>
      </c>
      <c r="H500" s="566" t="s">
        <v>1356</v>
      </c>
      <c r="I500" s="568">
        <v>2</v>
      </c>
      <c r="J500" s="569">
        <v>10</v>
      </c>
      <c r="K500" s="569">
        <v>10</v>
      </c>
      <c r="L500" s="566"/>
      <c r="M500" s="566" t="s">
        <v>476</v>
      </c>
      <c r="N500" s="570">
        <v>871</v>
      </c>
      <c r="O500" s="566"/>
      <c r="P500" s="566" t="s">
        <v>477</v>
      </c>
      <c r="Q500" s="568">
        <v>909678</v>
      </c>
      <c r="R500" s="568">
        <v>47</v>
      </c>
      <c r="S500" s="566" t="s">
        <v>1385</v>
      </c>
      <c r="T500" s="578" t="s">
        <v>779</v>
      </c>
      <c r="U500" s="578" t="s">
        <v>550</v>
      </c>
      <c r="V500" s="578" t="s">
        <v>539</v>
      </c>
      <c r="W500" s="579" t="s">
        <v>1358</v>
      </c>
      <c r="X500" s="578" t="s">
        <v>1380</v>
      </c>
      <c r="Y500" s="578" t="s">
        <v>1338</v>
      </c>
      <c r="Z500" s="580" t="s">
        <v>1707</v>
      </c>
      <c r="AA500" s="581">
        <v>871</v>
      </c>
      <c r="AB500" s="578"/>
    </row>
    <row r="501" spans="1:28" hidden="1">
      <c r="A501" s="566" t="s">
        <v>1335</v>
      </c>
      <c r="B501" s="566" t="s">
        <v>466</v>
      </c>
      <c r="C501" s="566" t="s">
        <v>553</v>
      </c>
      <c r="D501" s="566" t="s">
        <v>472</v>
      </c>
      <c r="E501" s="566" t="s">
        <v>473</v>
      </c>
      <c r="F501" s="566" t="s">
        <v>554</v>
      </c>
      <c r="G501" s="567">
        <v>13</v>
      </c>
      <c r="H501" s="566" t="s">
        <v>903</v>
      </c>
      <c r="I501" s="568">
        <v>2</v>
      </c>
      <c r="J501" s="569">
        <v>22</v>
      </c>
      <c r="K501" s="569">
        <v>22</v>
      </c>
      <c r="L501" s="569">
        <v>17</v>
      </c>
      <c r="M501" s="566" t="s">
        <v>476</v>
      </c>
      <c r="N501" s="570">
        <v>184</v>
      </c>
      <c r="O501" s="566"/>
      <c r="P501" s="566" t="s">
        <v>477</v>
      </c>
      <c r="Q501" s="568">
        <v>909678</v>
      </c>
      <c r="R501" s="568">
        <v>1</v>
      </c>
      <c r="S501" s="566" t="s">
        <v>1387</v>
      </c>
      <c r="T501" s="578" t="s">
        <v>779</v>
      </c>
      <c r="U501" s="578" t="s">
        <v>550</v>
      </c>
      <c r="V501" s="578" t="s">
        <v>539</v>
      </c>
      <c r="W501" s="579" t="s">
        <v>577</v>
      </c>
      <c r="X501" s="578" t="s">
        <v>1380</v>
      </c>
      <c r="Y501" s="578" t="s">
        <v>1338</v>
      </c>
      <c r="Z501" s="580" t="s">
        <v>902</v>
      </c>
      <c r="AA501" s="581">
        <v>184</v>
      </c>
      <c r="AB501" s="578">
        <v>260083</v>
      </c>
    </row>
    <row r="502" spans="1:28" hidden="1">
      <c r="A502" s="566" t="s">
        <v>1335</v>
      </c>
      <c r="B502" s="566" t="s">
        <v>466</v>
      </c>
      <c r="C502" s="566" t="s">
        <v>553</v>
      </c>
      <c r="D502" s="566" t="s">
        <v>472</v>
      </c>
      <c r="E502" s="566" t="s">
        <v>473</v>
      </c>
      <c r="F502" s="566" t="s">
        <v>554</v>
      </c>
      <c r="G502" s="567">
        <v>13</v>
      </c>
      <c r="H502" s="566" t="s">
        <v>905</v>
      </c>
      <c r="I502" s="568">
        <v>2</v>
      </c>
      <c r="J502" s="569">
        <v>22</v>
      </c>
      <c r="K502" s="569">
        <v>22</v>
      </c>
      <c r="L502" s="569">
        <v>17</v>
      </c>
      <c r="M502" s="566" t="s">
        <v>476</v>
      </c>
      <c r="N502" s="570">
        <v>208</v>
      </c>
      <c r="O502" s="566"/>
      <c r="P502" s="566" t="s">
        <v>477</v>
      </c>
      <c r="Q502" s="568">
        <v>909678</v>
      </c>
      <c r="R502" s="568">
        <v>2</v>
      </c>
      <c r="S502" s="566" t="s">
        <v>1388</v>
      </c>
      <c r="T502" s="578" t="s">
        <v>779</v>
      </c>
      <c r="U502" s="578" t="s">
        <v>550</v>
      </c>
      <c r="V502" s="578" t="s">
        <v>539</v>
      </c>
      <c r="W502" s="579" t="s">
        <v>580</v>
      </c>
      <c r="X502" s="578" t="s">
        <v>1380</v>
      </c>
      <c r="Y502" s="578" t="s">
        <v>1338</v>
      </c>
      <c r="Z502" s="580" t="s">
        <v>904</v>
      </c>
      <c r="AA502" s="581">
        <v>208</v>
      </c>
      <c r="AB502" s="578">
        <v>260107</v>
      </c>
    </row>
    <row r="503" spans="1:28" hidden="1">
      <c r="A503" s="566" t="s">
        <v>1335</v>
      </c>
      <c r="B503" s="566" t="s">
        <v>466</v>
      </c>
      <c r="C503" s="566" t="s">
        <v>553</v>
      </c>
      <c r="D503" s="566" t="s">
        <v>472</v>
      </c>
      <c r="E503" s="566" t="s">
        <v>473</v>
      </c>
      <c r="F503" s="566" t="s">
        <v>554</v>
      </c>
      <c r="G503" s="567">
        <v>16</v>
      </c>
      <c r="H503" s="566" t="s">
        <v>907</v>
      </c>
      <c r="I503" s="568">
        <v>2</v>
      </c>
      <c r="J503" s="569">
        <v>22</v>
      </c>
      <c r="K503" s="569">
        <v>22</v>
      </c>
      <c r="L503" s="569">
        <v>17</v>
      </c>
      <c r="M503" s="566" t="s">
        <v>476</v>
      </c>
      <c r="N503" s="570">
        <v>232</v>
      </c>
      <c r="O503" s="566"/>
      <c r="P503" s="566" t="s">
        <v>477</v>
      </c>
      <c r="Q503" s="568">
        <v>909678</v>
      </c>
      <c r="R503" s="568">
        <v>12</v>
      </c>
      <c r="S503" s="566" t="s">
        <v>1389</v>
      </c>
      <c r="T503" s="578" t="s">
        <v>779</v>
      </c>
      <c r="U503" s="578" t="s">
        <v>550</v>
      </c>
      <c r="V503" s="578" t="s">
        <v>539</v>
      </c>
      <c r="W503" s="579" t="s">
        <v>583</v>
      </c>
      <c r="X503" s="578" t="s">
        <v>1380</v>
      </c>
      <c r="Y503" s="578" t="s">
        <v>1338</v>
      </c>
      <c r="Z503" s="580" t="s">
        <v>906</v>
      </c>
      <c r="AA503" s="581">
        <v>232</v>
      </c>
      <c r="AB503" s="578">
        <v>260131</v>
      </c>
    </row>
    <row r="504" spans="1:28" hidden="1">
      <c r="A504" s="566" t="s">
        <v>1335</v>
      </c>
      <c r="B504" s="566" t="s">
        <v>466</v>
      </c>
      <c r="C504" s="566" t="s">
        <v>553</v>
      </c>
      <c r="D504" s="566" t="s">
        <v>472</v>
      </c>
      <c r="E504" s="566" t="s">
        <v>473</v>
      </c>
      <c r="F504" s="566" t="s">
        <v>554</v>
      </c>
      <c r="G504" s="567">
        <v>16</v>
      </c>
      <c r="H504" s="566" t="s">
        <v>909</v>
      </c>
      <c r="I504" s="568">
        <v>2</v>
      </c>
      <c r="J504" s="569">
        <v>22</v>
      </c>
      <c r="K504" s="569">
        <v>22</v>
      </c>
      <c r="L504" s="569">
        <v>17</v>
      </c>
      <c r="M504" s="566" t="s">
        <v>476</v>
      </c>
      <c r="N504" s="570">
        <v>256</v>
      </c>
      <c r="O504" s="566"/>
      <c r="P504" s="566" t="s">
        <v>477</v>
      </c>
      <c r="Q504" s="568">
        <v>909678</v>
      </c>
      <c r="R504" s="568">
        <v>3</v>
      </c>
      <c r="S504" s="566" t="s">
        <v>1390</v>
      </c>
      <c r="T504" s="578" t="s">
        <v>779</v>
      </c>
      <c r="U504" s="578" t="s">
        <v>550</v>
      </c>
      <c r="V504" s="578" t="s">
        <v>539</v>
      </c>
      <c r="W504" s="579" t="s">
        <v>586</v>
      </c>
      <c r="X504" s="578" t="s">
        <v>1380</v>
      </c>
      <c r="Y504" s="578" t="s">
        <v>1338</v>
      </c>
      <c r="Z504" s="580" t="s">
        <v>908</v>
      </c>
      <c r="AA504" s="581">
        <v>256</v>
      </c>
      <c r="AB504" s="578">
        <v>260155</v>
      </c>
    </row>
    <row r="505" spans="1:28" hidden="1">
      <c r="A505" s="566" t="s">
        <v>1335</v>
      </c>
      <c r="B505" s="566" t="s">
        <v>466</v>
      </c>
      <c r="C505" s="566" t="s">
        <v>553</v>
      </c>
      <c r="D505" s="566" t="s">
        <v>472</v>
      </c>
      <c r="E505" s="566" t="s">
        <v>473</v>
      </c>
      <c r="F505" s="566" t="s">
        <v>554</v>
      </c>
      <c r="G505" s="567">
        <v>16</v>
      </c>
      <c r="H505" s="566" t="s">
        <v>911</v>
      </c>
      <c r="I505" s="568">
        <v>2</v>
      </c>
      <c r="J505" s="569">
        <v>22</v>
      </c>
      <c r="K505" s="569">
        <v>22</v>
      </c>
      <c r="L505" s="569">
        <v>17</v>
      </c>
      <c r="M505" s="566" t="s">
        <v>476</v>
      </c>
      <c r="N505" s="570">
        <v>280</v>
      </c>
      <c r="O505" s="566"/>
      <c r="P505" s="566" t="s">
        <v>477</v>
      </c>
      <c r="Q505" s="568">
        <v>909678</v>
      </c>
      <c r="R505" s="568">
        <v>13</v>
      </c>
      <c r="S505" s="566" t="s">
        <v>1391</v>
      </c>
      <c r="T505" s="578" t="s">
        <v>779</v>
      </c>
      <c r="U505" s="578" t="s">
        <v>550</v>
      </c>
      <c r="V505" s="578" t="s">
        <v>539</v>
      </c>
      <c r="W505" s="579" t="s">
        <v>589</v>
      </c>
      <c r="X505" s="578" t="s">
        <v>1380</v>
      </c>
      <c r="Y505" s="578" t="s">
        <v>1338</v>
      </c>
      <c r="Z505" s="580" t="s">
        <v>910</v>
      </c>
      <c r="AA505" s="581">
        <v>280</v>
      </c>
      <c r="AB505" s="578">
        <v>260179</v>
      </c>
    </row>
    <row r="506" spans="1:28" hidden="1">
      <c r="A506" s="566" t="s">
        <v>1335</v>
      </c>
      <c r="B506" s="566" t="s">
        <v>466</v>
      </c>
      <c r="C506" s="566" t="s">
        <v>471</v>
      </c>
      <c r="D506" s="566" t="s">
        <v>472</v>
      </c>
      <c r="E506" s="566" t="s">
        <v>473</v>
      </c>
      <c r="F506" s="566" t="s">
        <v>474</v>
      </c>
      <c r="G506" s="567">
        <v>0</v>
      </c>
      <c r="H506" s="566" t="s">
        <v>593</v>
      </c>
      <c r="I506" s="568">
        <v>1</v>
      </c>
      <c r="J506" s="569">
        <v>10</v>
      </c>
      <c r="K506" s="569">
        <v>10</v>
      </c>
      <c r="L506" s="566"/>
      <c r="M506" s="566" t="s">
        <v>476</v>
      </c>
      <c r="N506" s="570">
        <v>331</v>
      </c>
      <c r="O506" s="566"/>
      <c r="P506" s="566" t="s">
        <v>477</v>
      </c>
      <c r="Q506" s="568">
        <v>909678</v>
      </c>
      <c r="R506" s="568">
        <v>5</v>
      </c>
      <c r="S506" s="566" t="s">
        <v>1392</v>
      </c>
      <c r="T506" s="578" t="s">
        <v>779</v>
      </c>
      <c r="U506" s="578" t="s">
        <v>550</v>
      </c>
      <c r="V506" s="578" t="s">
        <v>539</v>
      </c>
      <c r="W506" s="579" t="s">
        <v>509</v>
      </c>
      <c r="X506" s="578" t="s">
        <v>1380</v>
      </c>
      <c r="Y506" s="578" t="s">
        <v>1338</v>
      </c>
      <c r="Z506" s="580" t="s">
        <v>912</v>
      </c>
      <c r="AA506" s="581">
        <v>331</v>
      </c>
      <c r="AB506" s="578"/>
    </row>
    <row r="507" spans="1:28" hidden="1">
      <c r="A507" s="566" t="s">
        <v>1335</v>
      </c>
      <c r="B507" s="566" t="s">
        <v>466</v>
      </c>
      <c r="C507" s="566" t="s">
        <v>471</v>
      </c>
      <c r="D507" s="566" t="s">
        <v>472</v>
      </c>
      <c r="E507" s="566" t="s">
        <v>473</v>
      </c>
      <c r="F507" s="566" t="s">
        <v>474</v>
      </c>
      <c r="G507" s="567">
        <v>0</v>
      </c>
      <c r="H507" s="566" t="s">
        <v>595</v>
      </c>
      <c r="I507" s="568">
        <v>2</v>
      </c>
      <c r="J507" s="569">
        <v>10</v>
      </c>
      <c r="K507" s="569">
        <v>10</v>
      </c>
      <c r="L507" s="566"/>
      <c r="M507" s="566" t="s">
        <v>476</v>
      </c>
      <c r="N507" s="570">
        <v>367</v>
      </c>
      <c r="O507" s="566"/>
      <c r="P507" s="566" t="s">
        <v>477</v>
      </c>
      <c r="Q507" s="568">
        <v>909678</v>
      </c>
      <c r="R507" s="568">
        <v>6</v>
      </c>
      <c r="S507" s="566" t="s">
        <v>1393</v>
      </c>
      <c r="T507" s="578" t="s">
        <v>779</v>
      </c>
      <c r="U507" s="578" t="s">
        <v>550</v>
      </c>
      <c r="V507" s="578" t="s">
        <v>539</v>
      </c>
      <c r="W507" s="579" t="s">
        <v>512</v>
      </c>
      <c r="X507" s="578" t="s">
        <v>1380</v>
      </c>
      <c r="Y507" s="578" t="s">
        <v>1338</v>
      </c>
      <c r="Z507" s="580" t="s">
        <v>913</v>
      </c>
      <c r="AA507" s="581">
        <v>367</v>
      </c>
      <c r="AB507" s="578"/>
    </row>
    <row r="508" spans="1:28" hidden="1">
      <c r="A508" s="566" t="s">
        <v>1335</v>
      </c>
      <c r="B508" s="566" t="s">
        <v>466</v>
      </c>
      <c r="C508" s="566" t="s">
        <v>471</v>
      </c>
      <c r="D508" s="566" t="s">
        <v>472</v>
      </c>
      <c r="E508" s="566" t="s">
        <v>473</v>
      </c>
      <c r="F508" s="566" t="s">
        <v>474</v>
      </c>
      <c r="G508" s="567">
        <v>0</v>
      </c>
      <c r="H508" s="566" t="s">
        <v>597</v>
      </c>
      <c r="I508" s="568">
        <v>2</v>
      </c>
      <c r="J508" s="569">
        <v>10</v>
      </c>
      <c r="K508" s="569">
        <v>10</v>
      </c>
      <c r="L508" s="566"/>
      <c r="M508" s="566" t="s">
        <v>476</v>
      </c>
      <c r="N508" s="570">
        <v>403</v>
      </c>
      <c r="O508" s="566"/>
      <c r="P508" s="566" t="s">
        <v>477</v>
      </c>
      <c r="Q508" s="568">
        <v>909678</v>
      </c>
      <c r="R508" s="568">
        <v>14</v>
      </c>
      <c r="S508" s="566" t="s">
        <v>1394</v>
      </c>
      <c r="T508" s="578" t="s">
        <v>779</v>
      </c>
      <c r="U508" s="578" t="s">
        <v>550</v>
      </c>
      <c r="V508" s="578" t="s">
        <v>539</v>
      </c>
      <c r="W508" s="579" t="s">
        <v>514</v>
      </c>
      <c r="X508" s="578" t="s">
        <v>1380</v>
      </c>
      <c r="Y508" s="578" t="s">
        <v>1338</v>
      </c>
      <c r="Z508" s="580" t="s">
        <v>914</v>
      </c>
      <c r="AA508" s="581">
        <v>403</v>
      </c>
      <c r="AB508" s="578"/>
    </row>
    <row r="509" spans="1:28" hidden="1">
      <c r="A509" s="566" t="s">
        <v>1335</v>
      </c>
      <c r="B509" s="566" t="s">
        <v>466</v>
      </c>
      <c r="C509" s="566" t="s">
        <v>471</v>
      </c>
      <c r="D509" s="566" t="s">
        <v>472</v>
      </c>
      <c r="E509" s="566" t="s">
        <v>473</v>
      </c>
      <c r="F509" s="566" t="s">
        <v>474</v>
      </c>
      <c r="G509" s="567">
        <v>0</v>
      </c>
      <c r="H509" s="566" t="s">
        <v>561</v>
      </c>
      <c r="I509" s="568">
        <v>2</v>
      </c>
      <c r="J509" s="569">
        <v>34</v>
      </c>
      <c r="K509" s="569">
        <v>34</v>
      </c>
      <c r="L509" s="566"/>
      <c r="M509" s="566" t="s">
        <v>476</v>
      </c>
      <c r="N509" s="570">
        <v>1339</v>
      </c>
      <c r="O509" s="566"/>
      <c r="P509" s="566" t="s">
        <v>477</v>
      </c>
      <c r="Q509" s="568">
        <v>909678</v>
      </c>
      <c r="R509" s="568">
        <v>34</v>
      </c>
      <c r="S509" s="566" t="s">
        <v>1395</v>
      </c>
      <c r="T509" s="578" t="s">
        <v>779</v>
      </c>
      <c r="U509" s="578" t="s">
        <v>550</v>
      </c>
      <c r="V509" s="578" t="s">
        <v>539</v>
      </c>
      <c r="W509" s="579" t="s">
        <v>1274</v>
      </c>
      <c r="X509" s="578" t="s">
        <v>1380</v>
      </c>
      <c r="Y509" s="578" t="s">
        <v>1367</v>
      </c>
      <c r="Z509" s="580" t="s">
        <v>1708</v>
      </c>
      <c r="AA509" s="581">
        <v>1339</v>
      </c>
      <c r="AB509" s="578"/>
    </row>
    <row r="510" spans="1:28" hidden="1">
      <c r="A510" s="566" t="s">
        <v>1335</v>
      </c>
      <c r="B510" s="566" t="s">
        <v>466</v>
      </c>
      <c r="C510" s="566" t="s">
        <v>471</v>
      </c>
      <c r="D510" s="566" t="s">
        <v>472</v>
      </c>
      <c r="E510" s="566" t="s">
        <v>473</v>
      </c>
      <c r="F510" s="566" t="s">
        <v>474</v>
      </c>
      <c r="G510" s="567">
        <v>0</v>
      </c>
      <c r="H510" s="566" t="s">
        <v>564</v>
      </c>
      <c r="I510" s="568">
        <v>2</v>
      </c>
      <c r="J510" s="569">
        <v>34</v>
      </c>
      <c r="K510" s="569">
        <v>34</v>
      </c>
      <c r="L510" s="566"/>
      <c r="M510" s="566" t="s">
        <v>476</v>
      </c>
      <c r="N510" s="570">
        <v>1375</v>
      </c>
      <c r="O510" s="566"/>
      <c r="P510" s="566" t="s">
        <v>477</v>
      </c>
      <c r="Q510" s="568">
        <v>909678</v>
      </c>
      <c r="R510" s="568">
        <v>35</v>
      </c>
      <c r="S510" s="566" t="s">
        <v>1397</v>
      </c>
      <c r="T510" s="578" t="s">
        <v>779</v>
      </c>
      <c r="U510" s="578" t="s">
        <v>550</v>
      </c>
      <c r="V510" s="578" t="s">
        <v>539</v>
      </c>
      <c r="W510" s="579" t="s">
        <v>1275</v>
      </c>
      <c r="X510" s="578" t="s">
        <v>1380</v>
      </c>
      <c r="Y510" s="578" t="s">
        <v>1367</v>
      </c>
      <c r="Z510" s="580" t="s">
        <v>1709</v>
      </c>
      <c r="AA510" s="581">
        <v>1375</v>
      </c>
      <c r="AB510" s="578"/>
    </row>
    <row r="511" spans="1:28" hidden="1">
      <c r="A511" s="566" t="s">
        <v>1335</v>
      </c>
      <c r="B511" s="566" t="s">
        <v>466</v>
      </c>
      <c r="C511" s="566" t="s">
        <v>487</v>
      </c>
      <c r="D511" s="566" t="s">
        <v>472</v>
      </c>
      <c r="E511" s="566" t="s">
        <v>473</v>
      </c>
      <c r="F511" s="566" t="s">
        <v>489</v>
      </c>
      <c r="G511" s="567">
        <v>50</v>
      </c>
      <c r="H511" s="566" t="s">
        <v>573</v>
      </c>
      <c r="I511" s="568">
        <v>2</v>
      </c>
      <c r="J511" s="569">
        <v>34</v>
      </c>
      <c r="K511" s="569">
        <v>34</v>
      </c>
      <c r="L511" s="566"/>
      <c r="M511" s="566" t="s">
        <v>476</v>
      </c>
      <c r="N511" s="570">
        <v>1411</v>
      </c>
      <c r="O511" s="566"/>
      <c r="P511" s="566" t="s">
        <v>477</v>
      </c>
      <c r="Q511" s="568">
        <v>909678</v>
      </c>
      <c r="R511" s="568">
        <v>37</v>
      </c>
      <c r="S511" s="566" t="s">
        <v>1399</v>
      </c>
      <c r="T511" s="578" t="s">
        <v>779</v>
      </c>
      <c r="U511" s="578" t="s">
        <v>550</v>
      </c>
      <c r="V511" s="578" t="s">
        <v>539</v>
      </c>
      <c r="W511" s="579" t="s">
        <v>1276</v>
      </c>
      <c r="X511" s="578" t="s">
        <v>1380</v>
      </c>
      <c r="Y511" s="578" t="s">
        <v>1367</v>
      </c>
      <c r="Z511" s="580" t="s">
        <v>1710</v>
      </c>
      <c r="AA511" s="581">
        <v>1411</v>
      </c>
      <c r="AB511" s="578"/>
    </row>
    <row r="512" spans="1:28" hidden="1">
      <c r="A512" s="566" t="s">
        <v>1335</v>
      </c>
      <c r="B512" s="566" t="s">
        <v>466</v>
      </c>
      <c r="C512" s="566" t="s">
        <v>487</v>
      </c>
      <c r="D512" s="566" t="s">
        <v>472</v>
      </c>
      <c r="E512" s="566" t="s">
        <v>473</v>
      </c>
      <c r="F512" s="566" t="s">
        <v>489</v>
      </c>
      <c r="G512" s="567">
        <v>50</v>
      </c>
      <c r="H512" s="566" t="s">
        <v>576</v>
      </c>
      <c r="I512" s="568">
        <v>2</v>
      </c>
      <c r="J512" s="569">
        <v>34</v>
      </c>
      <c r="K512" s="569">
        <v>34</v>
      </c>
      <c r="L512" s="566"/>
      <c r="M512" s="566" t="s">
        <v>476</v>
      </c>
      <c r="N512" s="570">
        <v>1447</v>
      </c>
      <c r="O512" s="566"/>
      <c r="P512" s="566" t="s">
        <v>477</v>
      </c>
      <c r="Q512" s="568">
        <v>909678</v>
      </c>
      <c r="R512" s="568">
        <v>38</v>
      </c>
      <c r="S512" s="566" t="s">
        <v>1401</v>
      </c>
      <c r="T512" s="578" t="s">
        <v>779</v>
      </c>
      <c r="U512" s="578" t="s">
        <v>550</v>
      </c>
      <c r="V512" s="578" t="s">
        <v>539</v>
      </c>
      <c r="W512" s="579" t="s">
        <v>1277</v>
      </c>
      <c r="X512" s="578" t="s">
        <v>1380</v>
      </c>
      <c r="Y512" s="578" t="s">
        <v>1367</v>
      </c>
      <c r="Z512" s="580" t="s">
        <v>1711</v>
      </c>
      <c r="AA512" s="581">
        <v>1447</v>
      </c>
      <c r="AB512" s="578"/>
    </row>
    <row r="513" spans="1:28" hidden="1">
      <c r="A513" s="566" t="s">
        <v>1335</v>
      </c>
      <c r="B513" s="566" t="s">
        <v>466</v>
      </c>
      <c r="C513" s="566" t="s">
        <v>471</v>
      </c>
      <c r="D513" s="566" t="s">
        <v>472</v>
      </c>
      <c r="E513" s="566" t="s">
        <v>473</v>
      </c>
      <c r="F513" s="566" t="s">
        <v>474</v>
      </c>
      <c r="G513" s="567">
        <v>0</v>
      </c>
      <c r="H513" s="566" t="s">
        <v>1352</v>
      </c>
      <c r="I513" s="568">
        <v>2</v>
      </c>
      <c r="J513" s="569">
        <v>34</v>
      </c>
      <c r="K513" s="569">
        <v>34</v>
      </c>
      <c r="L513" s="566"/>
      <c r="M513" s="566" t="s">
        <v>476</v>
      </c>
      <c r="N513" s="570">
        <v>1483</v>
      </c>
      <c r="O513" s="566"/>
      <c r="P513" s="566" t="s">
        <v>477</v>
      </c>
      <c r="Q513" s="568">
        <v>909678</v>
      </c>
      <c r="R513" s="568">
        <v>36</v>
      </c>
      <c r="S513" s="566" t="s">
        <v>1403</v>
      </c>
      <c r="T513" s="578" t="s">
        <v>779</v>
      </c>
      <c r="U513" s="578" t="s">
        <v>550</v>
      </c>
      <c r="V513" s="578" t="s">
        <v>539</v>
      </c>
      <c r="W513" s="579" t="s">
        <v>1354</v>
      </c>
      <c r="X513" s="578" t="s">
        <v>1380</v>
      </c>
      <c r="Y513" s="578" t="s">
        <v>1367</v>
      </c>
      <c r="Z513" s="580" t="s">
        <v>1712</v>
      </c>
      <c r="AA513" s="581">
        <v>1483</v>
      </c>
      <c r="AB513" s="578"/>
    </row>
    <row r="514" spans="1:28" hidden="1">
      <c r="A514" s="566" t="s">
        <v>1335</v>
      </c>
      <c r="B514" s="566" t="s">
        <v>466</v>
      </c>
      <c r="C514" s="566" t="s">
        <v>487</v>
      </c>
      <c r="D514" s="566" t="s">
        <v>472</v>
      </c>
      <c r="E514" s="566" t="s">
        <v>473</v>
      </c>
      <c r="F514" s="566" t="s">
        <v>489</v>
      </c>
      <c r="G514" s="567">
        <v>50</v>
      </c>
      <c r="H514" s="566" t="s">
        <v>1356</v>
      </c>
      <c r="I514" s="568">
        <v>2</v>
      </c>
      <c r="J514" s="569">
        <v>34</v>
      </c>
      <c r="K514" s="569">
        <v>34</v>
      </c>
      <c r="L514" s="566"/>
      <c r="M514" s="566" t="s">
        <v>476</v>
      </c>
      <c r="N514" s="570">
        <v>1519</v>
      </c>
      <c r="O514" s="566"/>
      <c r="P514" s="566" t="s">
        <v>477</v>
      </c>
      <c r="Q514" s="568">
        <v>909678</v>
      </c>
      <c r="R514" s="568">
        <v>39</v>
      </c>
      <c r="S514" s="566" t="s">
        <v>1405</v>
      </c>
      <c r="T514" s="578" t="s">
        <v>779</v>
      </c>
      <c r="U514" s="578" t="s">
        <v>550</v>
      </c>
      <c r="V514" s="578" t="s">
        <v>539</v>
      </c>
      <c r="W514" s="579" t="s">
        <v>1358</v>
      </c>
      <c r="X514" s="578" t="s">
        <v>1380</v>
      </c>
      <c r="Y514" s="578" t="s">
        <v>1367</v>
      </c>
      <c r="Z514" s="580" t="s">
        <v>1713</v>
      </c>
      <c r="AA514" s="581">
        <v>1519</v>
      </c>
      <c r="AB514" s="578"/>
    </row>
    <row r="515" spans="1:28" hidden="1">
      <c r="A515" s="566" t="s">
        <v>1335</v>
      </c>
      <c r="B515" s="566" t="s">
        <v>466</v>
      </c>
      <c r="C515" s="566" t="s">
        <v>471</v>
      </c>
      <c r="D515" s="566" t="s">
        <v>472</v>
      </c>
      <c r="E515" s="566" t="s">
        <v>473</v>
      </c>
      <c r="F515" s="566" t="s">
        <v>474</v>
      </c>
      <c r="G515" s="567">
        <v>0</v>
      </c>
      <c r="H515" s="566" t="s">
        <v>559</v>
      </c>
      <c r="I515" s="568">
        <v>2</v>
      </c>
      <c r="J515" s="569">
        <v>10</v>
      </c>
      <c r="K515" s="569">
        <v>10</v>
      </c>
      <c r="L515" s="566"/>
      <c r="M515" s="566" t="s">
        <v>476</v>
      </c>
      <c r="N515" s="570">
        <v>439</v>
      </c>
      <c r="O515" s="566"/>
      <c r="P515" s="566" t="s">
        <v>477</v>
      </c>
      <c r="Q515" s="568">
        <v>909678</v>
      </c>
      <c r="R515" s="568">
        <v>7</v>
      </c>
      <c r="S515" s="566" t="s">
        <v>1407</v>
      </c>
      <c r="T515" s="575" t="s">
        <v>1442</v>
      </c>
      <c r="U515" s="575" t="s">
        <v>550</v>
      </c>
      <c r="V515" s="575" t="s">
        <v>539</v>
      </c>
      <c r="W515" s="576" t="s">
        <v>470</v>
      </c>
      <c r="X515" s="575" t="s">
        <v>1380</v>
      </c>
      <c r="Y515" s="575" t="s">
        <v>1338</v>
      </c>
      <c r="Z515" s="576" t="s">
        <v>1714</v>
      </c>
      <c r="AA515" s="577">
        <v>439</v>
      </c>
      <c r="AB515" s="575"/>
    </row>
    <row r="516" spans="1:28" hidden="1">
      <c r="A516" s="566" t="s">
        <v>1335</v>
      </c>
      <c r="B516" s="566" t="s">
        <v>466</v>
      </c>
      <c r="C516" s="566" t="s">
        <v>471</v>
      </c>
      <c r="D516" s="566" t="s">
        <v>472</v>
      </c>
      <c r="E516" s="566" t="s">
        <v>473</v>
      </c>
      <c r="F516" s="566" t="s">
        <v>474</v>
      </c>
      <c r="G516" s="567">
        <v>0</v>
      </c>
      <c r="H516" s="566" t="s">
        <v>562</v>
      </c>
      <c r="I516" s="568">
        <v>2</v>
      </c>
      <c r="J516" s="569">
        <v>10</v>
      </c>
      <c r="K516" s="569">
        <v>10</v>
      </c>
      <c r="L516" s="566"/>
      <c r="M516" s="566" t="s">
        <v>476</v>
      </c>
      <c r="N516" s="570">
        <v>511</v>
      </c>
      <c r="O516" s="566"/>
      <c r="P516" s="566" t="s">
        <v>477</v>
      </c>
      <c r="Q516" s="568">
        <v>909678</v>
      </c>
      <c r="R516" s="568">
        <v>8</v>
      </c>
      <c r="S516" s="566" t="s">
        <v>1410</v>
      </c>
      <c r="T516" s="575" t="s">
        <v>1442</v>
      </c>
      <c r="U516" s="575" t="s">
        <v>550</v>
      </c>
      <c r="V516" s="575" t="s">
        <v>539</v>
      </c>
      <c r="W516" s="576" t="s">
        <v>480</v>
      </c>
      <c r="X516" s="575" t="s">
        <v>1380</v>
      </c>
      <c r="Y516" s="575" t="s">
        <v>1338</v>
      </c>
      <c r="Z516" s="576" t="s">
        <v>1715</v>
      </c>
      <c r="AA516" s="577">
        <v>511</v>
      </c>
      <c r="AB516" s="575"/>
    </row>
    <row r="517" spans="1:28" hidden="1">
      <c r="A517" s="566" t="s">
        <v>1335</v>
      </c>
      <c r="B517" s="566" t="s">
        <v>466</v>
      </c>
      <c r="C517" s="566" t="s">
        <v>487</v>
      </c>
      <c r="D517" s="566" t="s">
        <v>472</v>
      </c>
      <c r="E517" s="566" t="s">
        <v>473</v>
      </c>
      <c r="F517" s="566" t="s">
        <v>489</v>
      </c>
      <c r="G517" s="567">
        <v>50</v>
      </c>
      <c r="H517" s="566" t="s">
        <v>571</v>
      </c>
      <c r="I517" s="568">
        <v>2</v>
      </c>
      <c r="J517" s="569">
        <v>10</v>
      </c>
      <c r="K517" s="569">
        <v>10</v>
      </c>
      <c r="L517" s="566"/>
      <c r="M517" s="566" t="s">
        <v>476</v>
      </c>
      <c r="N517" s="570">
        <v>691</v>
      </c>
      <c r="O517" s="566"/>
      <c r="P517" s="566" t="s">
        <v>477</v>
      </c>
      <c r="Q517" s="568">
        <v>909678</v>
      </c>
      <c r="R517" s="568">
        <v>11</v>
      </c>
      <c r="S517" s="566" t="s">
        <v>1412</v>
      </c>
      <c r="T517" s="575" t="s">
        <v>1442</v>
      </c>
      <c r="U517" s="575" t="s">
        <v>550</v>
      </c>
      <c r="V517" s="575" t="s">
        <v>539</v>
      </c>
      <c r="W517" s="576" t="s">
        <v>499</v>
      </c>
      <c r="X517" s="575" t="s">
        <v>1380</v>
      </c>
      <c r="Y517" s="575" t="s">
        <v>1338</v>
      </c>
      <c r="Z517" s="576" t="s">
        <v>1716</v>
      </c>
      <c r="AA517" s="577">
        <v>691</v>
      </c>
      <c r="AB517" s="575"/>
    </row>
    <row r="518" spans="1:28" hidden="1">
      <c r="A518" s="566" t="s">
        <v>1335</v>
      </c>
      <c r="B518" s="566" t="s">
        <v>466</v>
      </c>
      <c r="C518" s="566" t="s">
        <v>487</v>
      </c>
      <c r="D518" s="566" t="s">
        <v>472</v>
      </c>
      <c r="E518" s="566" t="s">
        <v>473</v>
      </c>
      <c r="F518" s="566" t="s">
        <v>489</v>
      </c>
      <c r="G518" s="567">
        <v>50</v>
      </c>
      <c r="H518" s="566" t="s">
        <v>574</v>
      </c>
      <c r="I518" s="568">
        <v>2</v>
      </c>
      <c r="J518" s="569">
        <v>10</v>
      </c>
      <c r="K518" s="569">
        <v>10</v>
      </c>
      <c r="L518" s="566"/>
      <c r="M518" s="566" t="s">
        <v>476</v>
      </c>
      <c r="N518" s="570">
        <v>763</v>
      </c>
      <c r="O518" s="566"/>
      <c r="P518" s="566" t="s">
        <v>477</v>
      </c>
      <c r="Q518" s="568">
        <v>909678</v>
      </c>
      <c r="R518" s="568">
        <v>20</v>
      </c>
      <c r="S518" s="566" t="s">
        <v>1414</v>
      </c>
      <c r="T518" s="575" t="s">
        <v>1442</v>
      </c>
      <c r="U518" s="575" t="s">
        <v>550</v>
      </c>
      <c r="V518" s="575" t="s">
        <v>539</v>
      </c>
      <c r="W518" s="576" t="s">
        <v>504</v>
      </c>
      <c r="X518" s="575" t="s">
        <v>1380</v>
      </c>
      <c r="Y518" s="575" t="s">
        <v>1338</v>
      </c>
      <c r="Z518" s="576" t="s">
        <v>1717</v>
      </c>
      <c r="AA518" s="577">
        <v>763</v>
      </c>
      <c r="AB518" s="575"/>
    </row>
    <row r="519" spans="1:28" hidden="1">
      <c r="A519" s="566" t="s">
        <v>1335</v>
      </c>
      <c r="B519" s="566" t="s">
        <v>466</v>
      </c>
      <c r="C519" s="566" t="s">
        <v>471</v>
      </c>
      <c r="D519" s="566" t="s">
        <v>472</v>
      </c>
      <c r="E519" s="566" t="s">
        <v>473</v>
      </c>
      <c r="F519" s="566" t="s">
        <v>474</v>
      </c>
      <c r="G519" s="567">
        <v>0</v>
      </c>
      <c r="H519" s="566" t="s">
        <v>561</v>
      </c>
      <c r="I519" s="568">
        <v>2</v>
      </c>
      <c r="J519" s="569">
        <v>59</v>
      </c>
      <c r="K519" s="569">
        <v>59</v>
      </c>
      <c r="L519" s="566"/>
      <c r="M519" s="566" t="s">
        <v>476</v>
      </c>
      <c r="N519" s="570">
        <v>1016</v>
      </c>
      <c r="O519" s="566"/>
      <c r="P519" s="566" t="s">
        <v>477</v>
      </c>
      <c r="Q519" s="568">
        <v>909678</v>
      </c>
      <c r="R519" s="568">
        <v>25</v>
      </c>
      <c r="S519" s="566" t="s">
        <v>1336</v>
      </c>
      <c r="T519" s="582" t="s">
        <v>253</v>
      </c>
      <c r="U519" s="582" t="s">
        <v>550</v>
      </c>
      <c r="V519" s="582" t="s">
        <v>539</v>
      </c>
      <c r="W519" s="583" t="s">
        <v>1274</v>
      </c>
      <c r="X519" s="582" t="s">
        <v>1337</v>
      </c>
      <c r="Y519" s="582" t="s">
        <v>1338</v>
      </c>
      <c r="Z519" s="584" t="s">
        <v>1718</v>
      </c>
      <c r="AA519" s="585">
        <v>1016</v>
      </c>
      <c r="AB519" s="582"/>
    </row>
    <row r="520" spans="1:28" hidden="1">
      <c r="A520" s="566" t="s">
        <v>1335</v>
      </c>
      <c r="B520" s="566" t="s">
        <v>466</v>
      </c>
      <c r="C520" s="566" t="s">
        <v>471</v>
      </c>
      <c r="D520" s="566" t="s">
        <v>472</v>
      </c>
      <c r="E520" s="566" t="s">
        <v>473</v>
      </c>
      <c r="F520" s="566" t="s">
        <v>474</v>
      </c>
      <c r="G520" s="567">
        <v>0</v>
      </c>
      <c r="H520" s="566" t="s">
        <v>564</v>
      </c>
      <c r="I520" s="568">
        <v>2</v>
      </c>
      <c r="J520" s="569">
        <v>59</v>
      </c>
      <c r="K520" s="569">
        <v>59</v>
      </c>
      <c r="L520" s="566"/>
      <c r="M520" s="566" t="s">
        <v>476</v>
      </c>
      <c r="N520" s="570">
        <v>1052</v>
      </c>
      <c r="O520" s="566"/>
      <c r="P520" s="566" t="s">
        <v>477</v>
      </c>
      <c r="Q520" s="568">
        <v>909678</v>
      </c>
      <c r="R520" s="568">
        <v>26</v>
      </c>
      <c r="S520" s="566" t="s">
        <v>1340</v>
      </c>
      <c r="T520" s="582" t="s">
        <v>253</v>
      </c>
      <c r="U520" s="582" t="s">
        <v>550</v>
      </c>
      <c r="V520" s="582" t="s">
        <v>539</v>
      </c>
      <c r="W520" s="583" t="s">
        <v>1275</v>
      </c>
      <c r="X520" s="582" t="s">
        <v>1337</v>
      </c>
      <c r="Y520" s="582" t="s">
        <v>1338</v>
      </c>
      <c r="Z520" s="584" t="s">
        <v>1719</v>
      </c>
      <c r="AA520" s="585">
        <v>1052</v>
      </c>
      <c r="AB520" s="582"/>
    </row>
    <row r="521" spans="1:28" hidden="1">
      <c r="A521" s="566" t="s">
        <v>1335</v>
      </c>
      <c r="B521" s="566" t="s">
        <v>466</v>
      </c>
      <c r="C521" s="566" t="s">
        <v>487</v>
      </c>
      <c r="D521" s="566" t="s">
        <v>472</v>
      </c>
      <c r="E521" s="566" t="s">
        <v>473</v>
      </c>
      <c r="F521" s="566" t="s">
        <v>489</v>
      </c>
      <c r="G521" s="567">
        <v>50</v>
      </c>
      <c r="H521" s="566" t="s">
        <v>566</v>
      </c>
      <c r="I521" s="568">
        <v>2</v>
      </c>
      <c r="J521" s="569">
        <v>59</v>
      </c>
      <c r="K521" s="569">
        <v>59</v>
      </c>
      <c r="L521" s="566"/>
      <c r="M521" s="566" t="s">
        <v>476</v>
      </c>
      <c r="N521" s="570">
        <v>1088</v>
      </c>
      <c r="O521" s="566"/>
      <c r="P521" s="566" t="s">
        <v>477</v>
      </c>
      <c r="Q521" s="568">
        <v>909678</v>
      </c>
      <c r="R521" s="568">
        <v>28</v>
      </c>
      <c r="S521" s="566" t="s">
        <v>1342</v>
      </c>
      <c r="T521" s="582" t="s">
        <v>253</v>
      </c>
      <c r="U521" s="582" t="s">
        <v>550</v>
      </c>
      <c r="V521" s="582" t="s">
        <v>539</v>
      </c>
      <c r="W521" s="583" t="s">
        <v>485</v>
      </c>
      <c r="X521" s="582" t="s">
        <v>1337</v>
      </c>
      <c r="Y521" s="582" t="s">
        <v>1338</v>
      </c>
      <c r="Z521" s="584" t="s">
        <v>1720</v>
      </c>
      <c r="AA521" s="585">
        <v>1088</v>
      </c>
      <c r="AB521" s="582"/>
    </row>
    <row r="522" spans="1:28" hidden="1">
      <c r="A522" s="566" t="s">
        <v>1335</v>
      </c>
      <c r="B522" s="566" t="s">
        <v>466</v>
      </c>
      <c r="C522" s="566" t="s">
        <v>487</v>
      </c>
      <c r="D522" s="566" t="s">
        <v>472</v>
      </c>
      <c r="E522" s="566" t="s">
        <v>473</v>
      </c>
      <c r="F522" s="566" t="s">
        <v>489</v>
      </c>
      <c r="G522" s="567">
        <v>50</v>
      </c>
      <c r="H522" s="566" t="s">
        <v>568</v>
      </c>
      <c r="I522" s="568">
        <v>2</v>
      </c>
      <c r="J522" s="569">
        <v>59</v>
      </c>
      <c r="K522" s="569">
        <v>59</v>
      </c>
      <c r="L522" s="566"/>
      <c r="M522" s="566" t="s">
        <v>476</v>
      </c>
      <c r="N522" s="570">
        <v>1124</v>
      </c>
      <c r="O522" s="566"/>
      <c r="P522" s="566" t="s">
        <v>477</v>
      </c>
      <c r="Q522" s="568">
        <v>909678</v>
      </c>
      <c r="R522" s="568">
        <v>29</v>
      </c>
      <c r="S522" s="566" t="s">
        <v>1344</v>
      </c>
      <c r="T522" s="582" t="s">
        <v>253</v>
      </c>
      <c r="U522" s="582" t="s">
        <v>550</v>
      </c>
      <c r="V522" s="582" t="s">
        <v>539</v>
      </c>
      <c r="W522" s="583" t="s">
        <v>491</v>
      </c>
      <c r="X522" s="582" t="s">
        <v>1337</v>
      </c>
      <c r="Y522" s="582" t="s">
        <v>1338</v>
      </c>
      <c r="Z522" s="584" t="s">
        <v>1721</v>
      </c>
      <c r="AA522" s="585">
        <v>1124</v>
      </c>
      <c r="AB522" s="582"/>
    </row>
    <row r="523" spans="1:28" hidden="1">
      <c r="A523" s="566" t="s">
        <v>1335</v>
      </c>
      <c r="B523" s="566" t="s">
        <v>466</v>
      </c>
      <c r="C523" s="566" t="s">
        <v>487</v>
      </c>
      <c r="D523" s="566" t="s">
        <v>472</v>
      </c>
      <c r="E523" s="566" t="s">
        <v>473</v>
      </c>
      <c r="F523" s="566" t="s">
        <v>489</v>
      </c>
      <c r="G523" s="567">
        <v>50</v>
      </c>
      <c r="H523" s="566" t="s">
        <v>570</v>
      </c>
      <c r="I523" s="568">
        <v>2</v>
      </c>
      <c r="J523" s="569">
        <v>59</v>
      </c>
      <c r="K523" s="569">
        <v>59</v>
      </c>
      <c r="L523" s="566"/>
      <c r="M523" s="566" t="s">
        <v>476</v>
      </c>
      <c r="N523" s="570">
        <v>1160</v>
      </c>
      <c r="O523" s="566"/>
      <c r="P523" s="566" t="s">
        <v>477</v>
      </c>
      <c r="Q523" s="568">
        <v>909678</v>
      </c>
      <c r="R523" s="568">
        <v>30</v>
      </c>
      <c r="S523" s="566" t="s">
        <v>1346</v>
      </c>
      <c r="T523" s="582" t="s">
        <v>253</v>
      </c>
      <c r="U523" s="582" t="s">
        <v>550</v>
      </c>
      <c r="V523" s="582" t="s">
        <v>539</v>
      </c>
      <c r="W523" s="583" t="s">
        <v>495</v>
      </c>
      <c r="X523" s="582" t="s">
        <v>1337</v>
      </c>
      <c r="Y523" s="582" t="s">
        <v>1338</v>
      </c>
      <c r="Z523" s="584" t="s">
        <v>1722</v>
      </c>
      <c r="AA523" s="585">
        <v>1160</v>
      </c>
      <c r="AB523" s="582"/>
    </row>
    <row r="524" spans="1:28" hidden="1">
      <c r="A524" s="566" t="s">
        <v>1335</v>
      </c>
      <c r="B524" s="566" t="s">
        <v>466</v>
      </c>
      <c r="C524" s="566" t="s">
        <v>487</v>
      </c>
      <c r="D524" s="566" t="s">
        <v>472</v>
      </c>
      <c r="E524" s="566" t="s">
        <v>473</v>
      </c>
      <c r="F524" s="566" t="s">
        <v>489</v>
      </c>
      <c r="G524" s="567">
        <v>50</v>
      </c>
      <c r="H524" s="566" t="s">
        <v>573</v>
      </c>
      <c r="I524" s="568">
        <v>2</v>
      </c>
      <c r="J524" s="569">
        <v>59</v>
      </c>
      <c r="K524" s="569">
        <v>59</v>
      </c>
      <c r="L524" s="566"/>
      <c r="M524" s="566" t="s">
        <v>476</v>
      </c>
      <c r="N524" s="570">
        <v>1196</v>
      </c>
      <c r="O524" s="566"/>
      <c r="P524" s="566" t="s">
        <v>477</v>
      </c>
      <c r="Q524" s="568">
        <v>909678</v>
      </c>
      <c r="R524" s="568">
        <v>31</v>
      </c>
      <c r="S524" s="566" t="s">
        <v>1348</v>
      </c>
      <c r="T524" s="582" t="s">
        <v>253</v>
      </c>
      <c r="U524" s="582" t="s">
        <v>550</v>
      </c>
      <c r="V524" s="582" t="s">
        <v>539</v>
      </c>
      <c r="W524" s="583" t="s">
        <v>1276</v>
      </c>
      <c r="X524" s="582" t="s">
        <v>1337</v>
      </c>
      <c r="Y524" s="582" t="s">
        <v>1338</v>
      </c>
      <c r="Z524" s="584" t="s">
        <v>1723</v>
      </c>
      <c r="AA524" s="585">
        <v>1196</v>
      </c>
      <c r="AB524" s="582"/>
    </row>
    <row r="525" spans="1:28" hidden="1">
      <c r="A525" s="566" t="s">
        <v>1335</v>
      </c>
      <c r="B525" s="566" t="s">
        <v>466</v>
      </c>
      <c r="C525" s="566" t="s">
        <v>487</v>
      </c>
      <c r="D525" s="566" t="s">
        <v>472</v>
      </c>
      <c r="E525" s="566" t="s">
        <v>473</v>
      </c>
      <c r="F525" s="566" t="s">
        <v>489</v>
      </c>
      <c r="G525" s="567">
        <v>50</v>
      </c>
      <c r="H525" s="566" t="s">
        <v>576</v>
      </c>
      <c r="I525" s="568">
        <v>2</v>
      </c>
      <c r="J525" s="569">
        <v>59</v>
      </c>
      <c r="K525" s="569">
        <v>59</v>
      </c>
      <c r="L525" s="566"/>
      <c r="M525" s="566" t="s">
        <v>476</v>
      </c>
      <c r="N525" s="570">
        <v>1232</v>
      </c>
      <c r="O525" s="566"/>
      <c r="P525" s="566" t="s">
        <v>477</v>
      </c>
      <c r="Q525" s="568">
        <v>909678</v>
      </c>
      <c r="R525" s="568">
        <v>32</v>
      </c>
      <c r="S525" s="566" t="s">
        <v>1350</v>
      </c>
      <c r="T525" s="582" t="s">
        <v>253</v>
      </c>
      <c r="U525" s="582" t="s">
        <v>550</v>
      </c>
      <c r="V525" s="582" t="s">
        <v>539</v>
      </c>
      <c r="W525" s="583" t="s">
        <v>1277</v>
      </c>
      <c r="X525" s="582" t="s">
        <v>1337</v>
      </c>
      <c r="Y525" s="582" t="s">
        <v>1338</v>
      </c>
      <c r="Z525" s="584" t="s">
        <v>1724</v>
      </c>
      <c r="AA525" s="585">
        <v>1232</v>
      </c>
      <c r="AB525" s="582"/>
    </row>
    <row r="526" spans="1:28" hidden="1">
      <c r="A526" s="566" t="s">
        <v>1335</v>
      </c>
      <c r="B526" s="566" t="s">
        <v>466</v>
      </c>
      <c r="C526" s="566" t="s">
        <v>471</v>
      </c>
      <c r="D526" s="566" t="s">
        <v>472</v>
      </c>
      <c r="E526" s="566" t="s">
        <v>473</v>
      </c>
      <c r="F526" s="566" t="s">
        <v>474</v>
      </c>
      <c r="G526" s="567">
        <v>0</v>
      </c>
      <c r="H526" s="566" t="s">
        <v>1352</v>
      </c>
      <c r="I526" s="568">
        <v>2</v>
      </c>
      <c r="J526" s="569">
        <v>59</v>
      </c>
      <c r="K526" s="569">
        <v>59</v>
      </c>
      <c r="L526" s="566"/>
      <c r="M526" s="566" t="s">
        <v>476</v>
      </c>
      <c r="N526" s="570">
        <v>1268</v>
      </c>
      <c r="O526" s="566"/>
      <c r="P526" s="566" t="s">
        <v>477</v>
      </c>
      <c r="Q526" s="568">
        <v>909678</v>
      </c>
      <c r="R526" s="568">
        <v>27</v>
      </c>
      <c r="S526" s="566" t="s">
        <v>1353</v>
      </c>
      <c r="T526" s="582" t="s">
        <v>253</v>
      </c>
      <c r="U526" s="582" t="s">
        <v>550</v>
      </c>
      <c r="V526" s="582" t="s">
        <v>539</v>
      </c>
      <c r="W526" s="583" t="s">
        <v>1354</v>
      </c>
      <c r="X526" s="582" t="s">
        <v>1337</v>
      </c>
      <c r="Y526" s="582" t="s">
        <v>1338</v>
      </c>
      <c r="Z526" s="584" t="s">
        <v>1725</v>
      </c>
      <c r="AA526" s="585">
        <v>1268</v>
      </c>
      <c r="AB526" s="582"/>
    </row>
    <row r="527" spans="1:28" hidden="1">
      <c r="A527" s="566" t="s">
        <v>1335</v>
      </c>
      <c r="B527" s="566" t="s">
        <v>466</v>
      </c>
      <c r="C527" s="566" t="s">
        <v>487</v>
      </c>
      <c r="D527" s="566" t="s">
        <v>472</v>
      </c>
      <c r="E527" s="566" t="s">
        <v>473</v>
      </c>
      <c r="F527" s="566" t="s">
        <v>489</v>
      </c>
      <c r="G527" s="567">
        <v>50</v>
      </c>
      <c r="H527" s="566" t="s">
        <v>1356</v>
      </c>
      <c r="I527" s="568">
        <v>2</v>
      </c>
      <c r="J527" s="569">
        <v>59</v>
      </c>
      <c r="K527" s="569">
        <v>59</v>
      </c>
      <c r="L527" s="566"/>
      <c r="M527" s="566" t="s">
        <v>476</v>
      </c>
      <c r="N527" s="570">
        <v>1304</v>
      </c>
      <c r="O527" s="566"/>
      <c r="P527" s="566" t="s">
        <v>477</v>
      </c>
      <c r="Q527" s="568">
        <v>909678</v>
      </c>
      <c r="R527" s="568">
        <v>33</v>
      </c>
      <c r="S527" s="566" t="s">
        <v>1357</v>
      </c>
      <c r="T527" s="582" t="s">
        <v>253</v>
      </c>
      <c r="U527" s="582" t="s">
        <v>550</v>
      </c>
      <c r="V527" s="582" t="s">
        <v>539</v>
      </c>
      <c r="W527" s="583" t="s">
        <v>1358</v>
      </c>
      <c r="X527" s="582" t="s">
        <v>1337</v>
      </c>
      <c r="Y527" s="582" t="s">
        <v>1338</v>
      </c>
      <c r="Z527" s="584" t="s">
        <v>1726</v>
      </c>
      <c r="AA527" s="585">
        <v>1304</v>
      </c>
      <c r="AB527" s="582"/>
    </row>
    <row r="528" spans="1:28" hidden="1">
      <c r="A528" s="566" t="s">
        <v>1335</v>
      </c>
      <c r="B528" s="566" t="s">
        <v>466</v>
      </c>
      <c r="C528" s="566" t="s">
        <v>471</v>
      </c>
      <c r="D528" s="566" t="s">
        <v>472</v>
      </c>
      <c r="E528" s="566" t="s">
        <v>473</v>
      </c>
      <c r="F528" s="566" t="s">
        <v>474</v>
      </c>
      <c r="G528" s="567">
        <v>0</v>
      </c>
      <c r="H528" s="566" t="s">
        <v>593</v>
      </c>
      <c r="I528" s="568">
        <v>1</v>
      </c>
      <c r="J528" s="569">
        <v>59</v>
      </c>
      <c r="K528" s="569">
        <v>59</v>
      </c>
      <c r="L528" s="566"/>
      <c r="M528" s="566" t="s">
        <v>476</v>
      </c>
      <c r="N528" s="570">
        <v>908</v>
      </c>
      <c r="O528" s="566"/>
      <c r="P528" s="566" t="s">
        <v>477</v>
      </c>
      <c r="Q528" s="568">
        <v>909678</v>
      </c>
      <c r="R528" s="568">
        <v>22</v>
      </c>
      <c r="S528" s="566" t="s">
        <v>1360</v>
      </c>
      <c r="T528" s="582" t="s">
        <v>253</v>
      </c>
      <c r="U528" s="582" t="s">
        <v>550</v>
      </c>
      <c r="V528" s="582" t="s">
        <v>539</v>
      </c>
      <c r="W528" s="583" t="s">
        <v>509</v>
      </c>
      <c r="X528" s="582" t="s">
        <v>1337</v>
      </c>
      <c r="Y528" s="582" t="s">
        <v>1338</v>
      </c>
      <c r="Z528" s="584" t="s">
        <v>1727</v>
      </c>
      <c r="AA528" s="585">
        <v>908</v>
      </c>
      <c r="AB528" s="582"/>
    </row>
    <row r="529" spans="1:28" hidden="1">
      <c r="A529" s="566" t="s">
        <v>1335</v>
      </c>
      <c r="B529" s="566" t="s">
        <v>466</v>
      </c>
      <c r="C529" s="566" t="s">
        <v>471</v>
      </c>
      <c r="D529" s="566" t="s">
        <v>472</v>
      </c>
      <c r="E529" s="566" t="s">
        <v>473</v>
      </c>
      <c r="F529" s="566" t="s">
        <v>474</v>
      </c>
      <c r="G529" s="567">
        <v>0</v>
      </c>
      <c r="H529" s="566" t="s">
        <v>595</v>
      </c>
      <c r="I529" s="568">
        <v>2</v>
      </c>
      <c r="J529" s="569">
        <v>59</v>
      </c>
      <c r="K529" s="569">
        <v>59</v>
      </c>
      <c r="L529" s="566"/>
      <c r="M529" s="566" t="s">
        <v>476</v>
      </c>
      <c r="N529" s="570">
        <v>944</v>
      </c>
      <c r="O529" s="566"/>
      <c r="P529" s="566" t="s">
        <v>477</v>
      </c>
      <c r="Q529" s="568">
        <v>909678</v>
      </c>
      <c r="R529" s="568">
        <v>23</v>
      </c>
      <c r="S529" s="566" t="s">
        <v>1362</v>
      </c>
      <c r="T529" s="582" t="s">
        <v>253</v>
      </c>
      <c r="U529" s="582" t="s">
        <v>550</v>
      </c>
      <c r="V529" s="582" t="s">
        <v>539</v>
      </c>
      <c r="W529" s="583" t="s">
        <v>512</v>
      </c>
      <c r="X529" s="582" t="s">
        <v>1337</v>
      </c>
      <c r="Y529" s="582" t="s">
        <v>1338</v>
      </c>
      <c r="Z529" s="584" t="s">
        <v>1728</v>
      </c>
      <c r="AA529" s="585">
        <v>944</v>
      </c>
      <c r="AB529" s="582"/>
    </row>
    <row r="530" spans="1:28" hidden="1">
      <c r="A530" s="566" t="s">
        <v>1335</v>
      </c>
      <c r="B530" s="566" t="s">
        <v>466</v>
      </c>
      <c r="C530" s="566" t="s">
        <v>471</v>
      </c>
      <c r="D530" s="566" t="s">
        <v>472</v>
      </c>
      <c r="E530" s="566" t="s">
        <v>473</v>
      </c>
      <c r="F530" s="566" t="s">
        <v>474</v>
      </c>
      <c r="G530" s="567">
        <v>0</v>
      </c>
      <c r="H530" s="566" t="s">
        <v>597</v>
      </c>
      <c r="I530" s="568">
        <v>2</v>
      </c>
      <c r="J530" s="569">
        <v>59</v>
      </c>
      <c r="K530" s="569">
        <v>59</v>
      </c>
      <c r="L530" s="566"/>
      <c r="M530" s="566" t="s">
        <v>476</v>
      </c>
      <c r="N530" s="570">
        <v>980</v>
      </c>
      <c r="O530" s="566"/>
      <c r="P530" s="566" t="s">
        <v>477</v>
      </c>
      <c r="Q530" s="568">
        <v>909678</v>
      </c>
      <c r="R530" s="568">
        <v>24</v>
      </c>
      <c r="S530" s="566" t="s">
        <v>1364</v>
      </c>
      <c r="T530" s="582" t="s">
        <v>253</v>
      </c>
      <c r="U530" s="582" t="s">
        <v>550</v>
      </c>
      <c r="V530" s="582" t="s">
        <v>539</v>
      </c>
      <c r="W530" s="583" t="s">
        <v>514</v>
      </c>
      <c r="X530" s="582" t="s">
        <v>1337</v>
      </c>
      <c r="Y530" s="582" t="s">
        <v>1338</v>
      </c>
      <c r="Z530" s="584" t="s">
        <v>1729</v>
      </c>
      <c r="AA530" s="585">
        <v>980</v>
      </c>
      <c r="AB530" s="582"/>
    </row>
    <row r="531" spans="1:28" hidden="1">
      <c r="A531" s="566" t="s">
        <v>1335</v>
      </c>
      <c r="B531" s="566" t="s">
        <v>466</v>
      </c>
      <c r="C531" s="566" t="s">
        <v>471</v>
      </c>
      <c r="D531" s="566" t="s">
        <v>472</v>
      </c>
      <c r="E531" s="566" t="s">
        <v>473</v>
      </c>
      <c r="F531" s="566" t="s">
        <v>474</v>
      </c>
      <c r="G531" s="567">
        <v>0</v>
      </c>
      <c r="H531" s="566" t="s">
        <v>561</v>
      </c>
      <c r="I531" s="568">
        <v>2</v>
      </c>
      <c r="J531" s="569">
        <v>83</v>
      </c>
      <c r="K531" s="569">
        <v>83</v>
      </c>
      <c r="L531" s="566"/>
      <c r="M531" s="566" t="s">
        <v>476</v>
      </c>
      <c r="N531" s="570">
        <v>1556</v>
      </c>
      <c r="O531" s="566"/>
      <c r="P531" s="566" t="s">
        <v>477</v>
      </c>
      <c r="Q531" s="568">
        <v>909678</v>
      </c>
      <c r="R531" s="568">
        <v>40</v>
      </c>
      <c r="S531" s="566" t="s">
        <v>1366</v>
      </c>
      <c r="T531" s="582" t="s">
        <v>253</v>
      </c>
      <c r="U531" s="582" t="s">
        <v>550</v>
      </c>
      <c r="V531" s="582" t="s">
        <v>539</v>
      </c>
      <c r="W531" s="583" t="s">
        <v>1274</v>
      </c>
      <c r="X531" s="582" t="s">
        <v>1337</v>
      </c>
      <c r="Y531" s="582" t="s">
        <v>1367</v>
      </c>
      <c r="Z531" s="584" t="s">
        <v>1730</v>
      </c>
      <c r="AA531" s="585">
        <v>1556</v>
      </c>
      <c r="AB531" s="582"/>
    </row>
    <row r="532" spans="1:28" hidden="1">
      <c r="A532" s="566" t="s">
        <v>1335</v>
      </c>
      <c r="B532" s="566" t="s">
        <v>466</v>
      </c>
      <c r="C532" s="566" t="s">
        <v>471</v>
      </c>
      <c r="D532" s="566" t="s">
        <v>472</v>
      </c>
      <c r="E532" s="566" t="s">
        <v>473</v>
      </c>
      <c r="F532" s="566" t="s">
        <v>474</v>
      </c>
      <c r="G532" s="567">
        <v>0</v>
      </c>
      <c r="H532" s="566" t="s">
        <v>564</v>
      </c>
      <c r="I532" s="568">
        <v>2</v>
      </c>
      <c r="J532" s="569">
        <v>83</v>
      </c>
      <c r="K532" s="569">
        <v>83</v>
      </c>
      <c r="L532" s="566"/>
      <c r="M532" s="566" t="s">
        <v>476</v>
      </c>
      <c r="N532" s="570">
        <v>1592</v>
      </c>
      <c r="O532" s="566"/>
      <c r="P532" s="566" t="s">
        <v>477</v>
      </c>
      <c r="Q532" s="568">
        <v>909678</v>
      </c>
      <c r="R532" s="568">
        <v>41</v>
      </c>
      <c r="S532" s="566" t="s">
        <v>1369</v>
      </c>
      <c r="T532" s="582" t="s">
        <v>253</v>
      </c>
      <c r="U532" s="582" t="s">
        <v>550</v>
      </c>
      <c r="V532" s="582" t="s">
        <v>539</v>
      </c>
      <c r="W532" s="583" t="s">
        <v>1275</v>
      </c>
      <c r="X532" s="582" t="s">
        <v>1337</v>
      </c>
      <c r="Y532" s="582" t="s">
        <v>1367</v>
      </c>
      <c r="Z532" s="584" t="s">
        <v>1731</v>
      </c>
      <c r="AA532" s="585">
        <v>1592</v>
      </c>
      <c r="AB532" s="582"/>
    </row>
    <row r="533" spans="1:28" hidden="1">
      <c r="A533" s="566" t="s">
        <v>1335</v>
      </c>
      <c r="B533" s="566" t="s">
        <v>466</v>
      </c>
      <c r="C533" s="566" t="s">
        <v>487</v>
      </c>
      <c r="D533" s="566" t="s">
        <v>472</v>
      </c>
      <c r="E533" s="566" t="s">
        <v>473</v>
      </c>
      <c r="F533" s="566" t="s">
        <v>489</v>
      </c>
      <c r="G533" s="567">
        <v>50</v>
      </c>
      <c r="H533" s="566" t="s">
        <v>573</v>
      </c>
      <c r="I533" s="568">
        <v>2</v>
      </c>
      <c r="J533" s="569">
        <v>83</v>
      </c>
      <c r="K533" s="569">
        <v>83</v>
      </c>
      <c r="L533" s="566"/>
      <c r="M533" s="566" t="s">
        <v>476</v>
      </c>
      <c r="N533" s="570">
        <v>1628</v>
      </c>
      <c r="O533" s="566"/>
      <c r="P533" s="566" t="s">
        <v>477</v>
      </c>
      <c r="Q533" s="568">
        <v>909678</v>
      </c>
      <c r="R533" s="568">
        <v>43</v>
      </c>
      <c r="S533" s="566" t="s">
        <v>1371</v>
      </c>
      <c r="T533" s="582" t="s">
        <v>253</v>
      </c>
      <c r="U533" s="582" t="s">
        <v>550</v>
      </c>
      <c r="V533" s="582" t="s">
        <v>539</v>
      </c>
      <c r="W533" s="583" t="s">
        <v>1276</v>
      </c>
      <c r="X533" s="582" t="s">
        <v>1337</v>
      </c>
      <c r="Y533" s="582" t="s">
        <v>1367</v>
      </c>
      <c r="Z533" s="584" t="s">
        <v>1732</v>
      </c>
      <c r="AA533" s="585">
        <v>1628</v>
      </c>
      <c r="AB533" s="582"/>
    </row>
    <row r="534" spans="1:28" hidden="1">
      <c r="A534" s="566" t="s">
        <v>1335</v>
      </c>
      <c r="B534" s="566" t="s">
        <v>466</v>
      </c>
      <c r="C534" s="566" t="s">
        <v>487</v>
      </c>
      <c r="D534" s="566" t="s">
        <v>472</v>
      </c>
      <c r="E534" s="566" t="s">
        <v>473</v>
      </c>
      <c r="F534" s="566" t="s">
        <v>489</v>
      </c>
      <c r="G534" s="567">
        <v>50</v>
      </c>
      <c r="H534" s="566" t="s">
        <v>576</v>
      </c>
      <c r="I534" s="568">
        <v>2</v>
      </c>
      <c r="J534" s="569">
        <v>83</v>
      </c>
      <c r="K534" s="569">
        <v>83</v>
      </c>
      <c r="L534" s="566"/>
      <c r="M534" s="566" t="s">
        <v>476</v>
      </c>
      <c r="N534" s="570">
        <v>1664</v>
      </c>
      <c r="O534" s="566"/>
      <c r="P534" s="566" t="s">
        <v>477</v>
      </c>
      <c r="Q534" s="568">
        <v>909678</v>
      </c>
      <c r="R534" s="568">
        <v>44</v>
      </c>
      <c r="S534" s="566" t="s">
        <v>1373</v>
      </c>
      <c r="T534" s="582" t="s">
        <v>253</v>
      </c>
      <c r="U534" s="582" t="s">
        <v>550</v>
      </c>
      <c r="V534" s="582" t="s">
        <v>539</v>
      </c>
      <c r="W534" s="583" t="s">
        <v>1277</v>
      </c>
      <c r="X534" s="582" t="s">
        <v>1337</v>
      </c>
      <c r="Y534" s="582" t="s">
        <v>1367</v>
      </c>
      <c r="Z534" s="584" t="s">
        <v>1733</v>
      </c>
      <c r="AA534" s="585">
        <v>1664</v>
      </c>
      <c r="AB534" s="582"/>
    </row>
    <row r="535" spans="1:28" hidden="1">
      <c r="A535" s="566" t="s">
        <v>1335</v>
      </c>
      <c r="B535" s="566" t="s">
        <v>466</v>
      </c>
      <c r="C535" s="566" t="s">
        <v>471</v>
      </c>
      <c r="D535" s="566" t="s">
        <v>472</v>
      </c>
      <c r="E535" s="566" t="s">
        <v>473</v>
      </c>
      <c r="F535" s="566" t="s">
        <v>474</v>
      </c>
      <c r="G535" s="567">
        <v>0</v>
      </c>
      <c r="H535" s="566" t="s">
        <v>1352</v>
      </c>
      <c r="I535" s="568">
        <v>2</v>
      </c>
      <c r="J535" s="569">
        <v>83</v>
      </c>
      <c r="K535" s="569">
        <v>83</v>
      </c>
      <c r="L535" s="566"/>
      <c r="M535" s="566" t="s">
        <v>476</v>
      </c>
      <c r="N535" s="570">
        <v>1700</v>
      </c>
      <c r="O535" s="566"/>
      <c r="P535" s="566" t="s">
        <v>477</v>
      </c>
      <c r="Q535" s="568">
        <v>909678</v>
      </c>
      <c r="R535" s="568">
        <v>42</v>
      </c>
      <c r="S535" s="566" t="s">
        <v>1375</v>
      </c>
      <c r="T535" s="582" t="s">
        <v>253</v>
      </c>
      <c r="U535" s="582" t="s">
        <v>550</v>
      </c>
      <c r="V535" s="582" t="s">
        <v>539</v>
      </c>
      <c r="W535" s="583" t="s">
        <v>1354</v>
      </c>
      <c r="X535" s="582" t="s">
        <v>1337</v>
      </c>
      <c r="Y535" s="582" t="s">
        <v>1367</v>
      </c>
      <c r="Z535" s="584" t="s">
        <v>1734</v>
      </c>
      <c r="AA535" s="585">
        <v>1700</v>
      </c>
      <c r="AB535" s="582"/>
    </row>
    <row r="536" spans="1:28" hidden="1">
      <c r="A536" s="566" t="s">
        <v>1335</v>
      </c>
      <c r="B536" s="566" t="s">
        <v>466</v>
      </c>
      <c r="C536" s="566" t="s">
        <v>487</v>
      </c>
      <c r="D536" s="566" t="s">
        <v>472</v>
      </c>
      <c r="E536" s="566" t="s">
        <v>473</v>
      </c>
      <c r="F536" s="566" t="s">
        <v>489</v>
      </c>
      <c r="G536" s="567">
        <v>50</v>
      </c>
      <c r="H536" s="566" t="s">
        <v>1356</v>
      </c>
      <c r="I536" s="568">
        <v>2</v>
      </c>
      <c r="J536" s="569">
        <v>83</v>
      </c>
      <c r="K536" s="569">
        <v>83</v>
      </c>
      <c r="L536" s="566"/>
      <c r="M536" s="566" t="s">
        <v>476</v>
      </c>
      <c r="N536" s="570">
        <v>1736</v>
      </c>
      <c r="O536" s="566"/>
      <c r="P536" s="566" t="s">
        <v>477</v>
      </c>
      <c r="Q536" s="568">
        <v>909678</v>
      </c>
      <c r="R536" s="568">
        <v>45</v>
      </c>
      <c r="S536" s="566" t="s">
        <v>1377</v>
      </c>
      <c r="T536" s="582" t="s">
        <v>253</v>
      </c>
      <c r="U536" s="582" t="s">
        <v>550</v>
      </c>
      <c r="V536" s="582" t="s">
        <v>539</v>
      </c>
      <c r="W536" s="583" t="s">
        <v>1358</v>
      </c>
      <c r="X536" s="582" t="s">
        <v>1337</v>
      </c>
      <c r="Y536" s="582" t="s">
        <v>1367</v>
      </c>
      <c r="Z536" s="584" t="s">
        <v>1735</v>
      </c>
      <c r="AA536" s="585">
        <v>1736</v>
      </c>
      <c r="AB536" s="582"/>
    </row>
    <row r="537" spans="1:28" hidden="1">
      <c r="A537" s="566" t="s">
        <v>1335</v>
      </c>
      <c r="B537" s="566" t="s">
        <v>466</v>
      </c>
      <c r="C537" s="566" t="s">
        <v>553</v>
      </c>
      <c r="D537" s="566" t="s">
        <v>472</v>
      </c>
      <c r="E537" s="566" t="s">
        <v>473</v>
      </c>
      <c r="F537" s="566" t="s">
        <v>554</v>
      </c>
      <c r="G537" s="567">
        <v>13</v>
      </c>
      <c r="H537" s="566" t="s">
        <v>1124</v>
      </c>
      <c r="I537" s="568">
        <v>2</v>
      </c>
      <c r="J537" s="569">
        <v>22</v>
      </c>
      <c r="K537" s="569">
        <v>22</v>
      </c>
      <c r="L537" s="569">
        <v>17</v>
      </c>
      <c r="M537" s="566" t="s">
        <v>476</v>
      </c>
      <c r="N537" s="570">
        <v>161</v>
      </c>
      <c r="O537" s="566"/>
      <c r="P537" s="566" t="s">
        <v>477</v>
      </c>
      <c r="Q537" s="568">
        <v>909678</v>
      </c>
      <c r="R537" s="568">
        <v>9</v>
      </c>
      <c r="S537" s="566" t="s">
        <v>1379</v>
      </c>
      <c r="T537" s="582" t="s">
        <v>257</v>
      </c>
      <c r="U537" s="582" t="s">
        <v>550</v>
      </c>
      <c r="V537" s="582" t="s">
        <v>539</v>
      </c>
      <c r="W537" s="583" t="s">
        <v>551</v>
      </c>
      <c r="X537" s="582" t="s">
        <v>1380</v>
      </c>
      <c r="Y537" s="582" t="s">
        <v>1338</v>
      </c>
      <c r="Z537" s="584" t="s">
        <v>1123</v>
      </c>
      <c r="AA537" s="585">
        <v>161</v>
      </c>
      <c r="AB537" s="582">
        <v>260060</v>
      </c>
    </row>
    <row r="538" spans="1:28" hidden="1">
      <c r="A538" s="566" t="s">
        <v>1335</v>
      </c>
      <c r="B538" s="566" t="s">
        <v>466</v>
      </c>
      <c r="C538" s="566" t="s">
        <v>553</v>
      </c>
      <c r="D538" s="566" t="s">
        <v>472</v>
      </c>
      <c r="E538" s="566" t="s">
        <v>473</v>
      </c>
      <c r="F538" s="566" t="s">
        <v>554</v>
      </c>
      <c r="G538" s="567">
        <v>16</v>
      </c>
      <c r="H538" s="566" t="s">
        <v>1126</v>
      </c>
      <c r="I538" s="568">
        <v>2</v>
      </c>
      <c r="J538" s="569">
        <v>22</v>
      </c>
      <c r="K538" s="569">
        <v>22</v>
      </c>
      <c r="L538" s="569">
        <v>17</v>
      </c>
      <c r="M538" s="566" t="s">
        <v>476</v>
      </c>
      <c r="N538" s="570">
        <v>305</v>
      </c>
      <c r="O538" s="566"/>
      <c r="P538" s="566" t="s">
        <v>477</v>
      </c>
      <c r="Q538" s="568">
        <v>909678</v>
      </c>
      <c r="R538" s="568">
        <v>4</v>
      </c>
      <c r="S538" s="566" t="s">
        <v>1381</v>
      </c>
      <c r="T538" s="582" t="s">
        <v>257</v>
      </c>
      <c r="U538" s="582" t="s">
        <v>550</v>
      </c>
      <c r="V538" s="582" t="s">
        <v>539</v>
      </c>
      <c r="W538" s="583" t="s">
        <v>556</v>
      </c>
      <c r="X538" s="582" t="s">
        <v>1380</v>
      </c>
      <c r="Y538" s="582" t="s">
        <v>1338</v>
      </c>
      <c r="Z538" s="584" t="s">
        <v>1125</v>
      </c>
      <c r="AA538" s="585">
        <v>305</v>
      </c>
      <c r="AB538" s="582">
        <v>260204</v>
      </c>
    </row>
    <row r="539" spans="1:28" hidden="1">
      <c r="A539" s="566" t="s">
        <v>1335</v>
      </c>
      <c r="B539" s="566" t="s">
        <v>466</v>
      </c>
      <c r="C539" s="566" t="s">
        <v>471</v>
      </c>
      <c r="D539" s="566" t="s">
        <v>472</v>
      </c>
      <c r="E539" s="566" t="s">
        <v>473</v>
      </c>
      <c r="F539" s="566" t="s">
        <v>474</v>
      </c>
      <c r="G539" s="567">
        <v>0</v>
      </c>
      <c r="H539" s="566" t="s">
        <v>561</v>
      </c>
      <c r="I539" s="568">
        <v>2</v>
      </c>
      <c r="J539" s="569">
        <v>11</v>
      </c>
      <c r="K539" s="569">
        <v>11</v>
      </c>
      <c r="L539" s="566"/>
      <c r="M539" s="566" t="s">
        <v>476</v>
      </c>
      <c r="N539" s="570">
        <v>476</v>
      </c>
      <c r="O539" s="566"/>
      <c r="P539" s="566" t="s">
        <v>477</v>
      </c>
      <c r="Q539" s="568">
        <v>909678</v>
      </c>
      <c r="R539" s="568">
        <v>10</v>
      </c>
      <c r="S539" s="566" t="s">
        <v>1382</v>
      </c>
      <c r="T539" s="582" t="s">
        <v>253</v>
      </c>
      <c r="U539" s="582" t="s">
        <v>550</v>
      </c>
      <c r="V539" s="582" t="s">
        <v>539</v>
      </c>
      <c r="W539" s="583" t="s">
        <v>1274</v>
      </c>
      <c r="X539" s="582" t="s">
        <v>1380</v>
      </c>
      <c r="Y539" s="582" t="s">
        <v>1338</v>
      </c>
      <c r="Z539" s="584" t="s">
        <v>1127</v>
      </c>
      <c r="AA539" s="585">
        <v>476</v>
      </c>
      <c r="AB539" s="582"/>
    </row>
    <row r="540" spans="1:28" hidden="1">
      <c r="A540" s="566" t="s">
        <v>1335</v>
      </c>
      <c r="B540" s="566" t="s">
        <v>466</v>
      </c>
      <c r="C540" s="566" t="s">
        <v>471</v>
      </c>
      <c r="D540" s="566" t="s">
        <v>472</v>
      </c>
      <c r="E540" s="566" t="s">
        <v>473</v>
      </c>
      <c r="F540" s="566" t="s">
        <v>474</v>
      </c>
      <c r="G540" s="567">
        <v>0</v>
      </c>
      <c r="H540" s="566" t="s">
        <v>564</v>
      </c>
      <c r="I540" s="568">
        <v>2</v>
      </c>
      <c r="J540" s="569">
        <v>11</v>
      </c>
      <c r="K540" s="569">
        <v>11</v>
      </c>
      <c r="L540" s="566"/>
      <c r="M540" s="566" t="s">
        <v>476</v>
      </c>
      <c r="N540" s="570">
        <v>548</v>
      </c>
      <c r="O540" s="566"/>
      <c r="P540" s="566" t="s">
        <v>477</v>
      </c>
      <c r="Q540" s="568">
        <v>909678</v>
      </c>
      <c r="R540" s="568">
        <v>15</v>
      </c>
      <c r="S540" s="566" t="s">
        <v>483</v>
      </c>
      <c r="T540" s="582" t="s">
        <v>253</v>
      </c>
      <c r="U540" s="582" t="s">
        <v>550</v>
      </c>
      <c r="V540" s="582" t="s">
        <v>539</v>
      </c>
      <c r="W540" s="583" t="s">
        <v>1275</v>
      </c>
      <c r="X540" s="582" t="s">
        <v>1380</v>
      </c>
      <c r="Y540" s="582" t="s">
        <v>1338</v>
      </c>
      <c r="Z540" s="584" t="s">
        <v>1128</v>
      </c>
      <c r="AA540" s="585">
        <v>548</v>
      </c>
      <c r="AB540" s="582"/>
    </row>
    <row r="541" spans="1:28" hidden="1">
      <c r="A541" s="566" t="s">
        <v>1335</v>
      </c>
      <c r="B541" s="566" t="s">
        <v>466</v>
      </c>
      <c r="C541" s="566" t="s">
        <v>487</v>
      </c>
      <c r="D541" s="566" t="s">
        <v>472</v>
      </c>
      <c r="E541" s="566" t="s">
        <v>473</v>
      </c>
      <c r="F541" s="566" t="s">
        <v>489</v>
      </c>
      <c r="G541" s="567">
        <v>50</v>
      </c>
      <c r="H541" s="566" t="s">
        <v>566</v>
      </c>
      <c r="I541" s="568">
        <v>2</v>
      </c>
      <c r="J541" s="569">
        <v>11</v>
      </c>
      <c r="K541" s="569">
        <v>11</v>
      </c>
      <c r="L541" s="566"/>
      <c r="M541" s="566" t="s">
        <v>476</v>
      </c>
      <c r="N541" s="570">
        <v>584</v>
      </c>
      <c r="O541" s="566"/>
      <c r="P541" s="566" t="s">
        <v>477</v>
      </c>
      <c r="Q541" s="568">
        <v>909678</v>
      </c>
      <c r="R541" s="568">
        <v>16</v>
      </c>
      <c r="S541" s="566" t="s">
        <v>488</v>
      </c>
      <c r="T541" s="582" t="s">
        <v>253</v>
      </c>
      <c r="U541" s="582" t="s">
        <v>550</v>
      </c>
      <c r="V541" s="582" t="s">
        <v>539</v>
      </c>
      <c r="W541" s="583" t="s">
        <v>485</v>
      </c>
      <c r="X541" s="582" t="s">
        <v>1380</v>
      </c>
      <c r="Y541" s="582" t="s">
        <v>1338</v>
      </c>
      <c r="Z541" s="584" t="s">
        <v>1129</v>
      </c>
      <c r="AA541" s="585">
        <v>584</v>
      </c>
      <c r="AB541" s="582"/>
    </row>
    <row r="542" spans="1:28" hidden="1">
      <c r="A542" s="566" t="s">
        <v>1335</v>
      </c>
      <c r="B542" s="566" t="s">
        <v>466</v>
      </c>
      <c r="C542" s="566" t="s">
        <v>487</v>
      </c>
      <c r="D542" s="566" t="s">
        <v>472</v>
      </c>
      <c r="E542" s="566" t="s">
        <v>473</v>
      </c>
      <c r="F542" s="566" t="s">
        <v>489</v>
      </c>
      <c r="G542" s="567">
        <v>50</v>
      </c>
      <c r="H542" s="566" t="s">
        <v>568</v>
      </c>
      <c r="I542" s="568">
        <v>2</v>
      </c>
      <c r="J542" s="569">
        <v>11</v>
      </c>
      <c r="K542" s="569">
        <v>11</v>
      </c>
      <c r="L542" s="566"/>
      <c r="M542" s="566" t="s">
        <v>476</v>
      </c>
      <c r="N542" s="570">
        <v>620</v>
      </c>
      <c r="O542" s="566"/>
      <c r="P542" s="566" t="s">
        <v>477</v>
      </c>
      <c r="Q542" s="568">
        <v>909678</v>
      </c>
      <c r="R542" s="568">
        <v>17</v>
      </c>
      <c r="S542" s="566" t="s">
        <v>493</v>
      </c>
      <c r="T542" s="582" t="s">
        <v>253</v>
      </c>
      <c r="U542" s="582" t="s">
        <v>550</v>
      </c>
      <c r="V542" s="582" t="s">
        <v>539</v>
      </c>
      <c r="W542" s="583" t="s">
        <v>491</v>
      </c>
      <c r="X542" s="582" t="s">
        <v>1380</v>
      </c>
      <c r="Y542" s="582" t="s">
        <v>1338</v>
      </c>
      <c r="Z542" s="584" t="s">
        <v>1130</v>
      </c>
      <c r="AA542" s="585">
        <v>620</v>
      </c>
      <c r="AB542" s="582"/>
    </row>
    <row r="543" spans="1:28" hidden="1">
      <c r="A543" s="566" t="s">
        <v>1335</v>
      </c>
      <c r="B543" s="566" t="s">
        <v>466</v>
      </c>
      <c r="C543" s="566" t="s">
        <v>487</v>
      </c>
      <c r="D543" s="566" t="s">
        <v>472</v>
      </c>
      <c r="E543" s="566" t="s">
        <v>473</v>
      </c>
      <c r="F543" s="566" t="s">
        <v>489</v>
      </c>
      <c r="G543" s="567">
        <v>50</v>
      </c>
      <c r="H543" s="566" t="s">
        <v>570</v>
      </c>
      <c r="I543" s="568">
        <v>2</v>
      </c>
      <c r="J543" s="569">
        <v>11</v>
      </c>
      <c r="K543" s="569">
        <v>11</v>
      </c>
      <c r="L543" s="566"/>
      <c r="M543" s="566" t="s">
        <v>476</v>
      </c>
      <c r="N543" s="570">
        <v>656</v>
      </c>
      <c r="O543" s="566"/>
      <c r="P543" s="566" t="s">
        <v>477</v>
      </c>
      <c r="Q543" s="568">
        <v>909678</v>
      </c>
      <c r="R543" s="568">
        <v>18</v>
      </c>
      <c r="S543" s="566" t="s">
        <v>497</v>
      </c>
      <c r="T543" s="582" t="s">
        <v>253</v>
      </c>
      <c r="U543" s="582" t="s">
        <v>550</v>
      </c>
      <c r="V543" s="582" t="s">
        <v>539</v>
      </c>
      <c r="W543" s="583" t="s">
        <v>495</v>
      </c>
      <c r="X543" s="582" t="s">
        <v>1380</v>
      </c>
      <c r="Y543" s="582" t="s">
        <v>1338</v>
      </c>
      <c r="Z543" s="584" t="s">
        <v>1131</v>
      </c>
      <c r="AA543" s="585">
        <v>656</v>
      </c>
      <c r="AB543" s="582"/>
    </row>
    <row r="544" spans="1:28" hidden="1">
      <c r="A544" s="566" t="s">
        <v>1335</v>
      </c>
      <c r="B544" s="566" t="s">
        <v>466</v>
      </c>
      <c r="C544" s="566" t="s">
        <v>487</v>
      </c>
      <c r="D544" s="566" t="s">
        <v>472</v>
      </c>
      <c r="E544" s="566" t="s">
        <v>473</v>
      </c>
      <c r="F544" s="566" t="s">
        <v>489</v>
      </c>
      <c r="G544" s="567">
        <v>50</v>
      </c>
      <c r="H544" s="566" t="s">
        <v>573</v>
      </c>
      <c r="I544" s="568">
        <v>2</v>
      </c>
      <c r="J544" s="569">
        <v>11</v>
      </c>
      <c r="K544" s="569">
        <v>11</v>
      </c>
      <c r="L544" s="566"/>
      <c r="M544" s="566" t="s">
        <v>476</v>
      </c>
      <c r="N544" s="570">
        <v>728</v>
      </c>
      <c r="O544" s="566"/>
      <c r="P544" s="566" t="s">
        <v>477</v>
      </c>
      <c r="Q544" s="568">
        <v>909678</v>
      </c>
      <c r="R544" s="568">
        <v>19</v>
      </c>
      <c r="S544" s="566" t="s">
        <v>502</v>
      </c>
      <c r="T544" s="582" t="s">
        <v>253</v>
      </c>
      <c r="U544" s="582" t="s">
        <v>550</v>
      </c>
      <c r="V544" s="582" t="s">
        <v>539</v>
      </c>
      <c r="W544" s="583" t="s">
        <v>1276</v>
      </c>
      <c r="X544" s="582" t="s">
        <v>1380</v>
      </c>
      <c r="Y544" s="582" t="s">
        <v>1338</v>
      </c>
      <c r="Z544" s="584" t="s">
        <v>1132</v>
      </c>
      <c r="AA544" s="585">
        <v>728</v>
      </c>
      <c r="AB544" s="582"/>
    </row>
    <row r="545" spans="1:28" hidden="1">
      <c r="A545" s="566" t="s">
        <v>1335</v>
      </c>
      <c r="B545" s="566" t="s">
        <v>466</v>
      </c>
      <c r="C545" s="566" t="s">
        <v>487</v>
      </c>
      <c r="D545" s="566" t="s">
        <v>472</v>
      </c>
      <c r="E545" s="566" t="s">
        <v>473</v>
      </c>
      <c r="F545" s="566" t="s">
        <v>489</v>
      </c>
      <c r="G545" s="567">
        <v>50</v>
      </c>
      <c r="H545" s="566" t="s">
        <v>576</v>
      </c>
      <c r="I545" s="568">
        <v>2</v>
      </c>
      <c r="J545" s="569">
        <v>11</v>
      </c>
      <c r="K545" s="569">
        <v>11</v>
      </c>
      <c r="L545" s="566"/>
      <c r="M545" s="566" t="s">
        <v>476</v>
      </c>
      <c r="N545" s="570">
        <v>800</v>
      </c>
      <c r="O545" s="566"/>
      <c r="P545" s="566" t="s">
        <v>477</v>
      </c>
      <c r="Q545" s="568">
        <v>909678</v>
      </c>
      <c r="R545" s="568">
        <v>21</v>
      </c>
      <c r="S545" s="566" t="s">
        <v>507</v>
      </c>
      <c r="T545" s="582" t="s">
        <v>253</v>
      </c>
      <c r="U545" s="582" t="s">
        <v>550</v>
      </c>
      <c r="V545" s="582" t="s">
        <v>539</v>
      </c>
      <c r="W545" s="583" t="s">
        <v>1277</v>
      </c>
      <c r="X545" s="582" t="s">
        <v>1380</v>
      </c>
      <c r="Y545" s="582" t="s">
        <v>1338</v>
      </c>
      <c r="Z545" s="584" t="s">
        <v>1133</v>
      </c>
      <c r="AA545" s="585">
        <v>800</v>
      </c>
      <c r="AB545" s="582"/>
    </row>
    <row r="546" spans="1:28" hidden="1">
      <c r="A546" s="566" t="s">
        <v>1335</v>
      </c>
      <c r="B546" s="566" t="s">
        <v>466</v>
      </c>
      <c r="C546" s="566" t="s">
        <v>471</v>
      </c>
      <c r="D546" s="566" t="s">
        <v>472</v>
      </c>
      <c r="E546" s="566" t="s">
        <v>473</v>
      </c>
      <c r="F546" s="566" t="s">
        <v>474</v>
      </c>
      <c r="G546" s="567">
        <v>0</v>
      </c>
      <c r="H546" s="566" t="s">
        <v>1352</v>
      </c>
      <c r="I546" s="568">
        <v>2</v>
      </c>
      <c r="J546" s="569">
        <v>11</v>
      </c>
      <c r="K546" s="569">
        <v>11</v>
      </c>
      <c r="L546" s="566"/>
      <c r="M546" s="566" t="s">
        <v>476</v>
      </c>
      <c r="N546" s="570">
        <v>836</v>
      </c>
      <c r="O546" s="566"/>
      <c r="P546" s="566" t="s">
        <v>477</v>
      </c>
      <c r="Q546" s="568">
        <v>909678</v>
      </c>
      <c r="R546" s="568">
        <v>46</v>
      </c>
      <c r="S546" s="566" t="s">
        <v>1383</v>
      </c>
      <c r="T546" s="582" t="s">
        <v>253</v>
      </c>
      <c r="U546" s="582" t="s">
        <v>550</v>
      </c>
      <c r="V546" s="582" t="s">
        <v>539</v>
      </c>
      <c r="W546" s="583" t="s">
        <v>1354</v>
      </c>
      <c r="X546" s="582" t="s">
        <v>1380</v>
      </c>
      <c r="Y546" s="582" t="s">
        <v>1338</v>
      </c>
      <c r="Z546" s="584" t="s">
        <v>1736</v>
      </c>
      <c r="AA546" s="585">
        <v>836</v>
      </c>
      <c r="AB546" s="582"/>
    </row>
    <row r="547" spans="1:28" hidden="1">
      <c r="A547" s="566" t="s">
        <v>1335</v>
      </c>
      <c r="B547" s="566" t="s">
        <v>466</v>
      </c>
      <c r="C547" s="566" t="s">
        <v>487</v>
      </c>
      <c r="D547" s="566" t="s">
        <v>472</v>
      </c>
      <c r="E547" s="566" t="s">
        <v>473</v>
      </c>
      <c r="F547" s="566" t="s">
        <v>489</v>
      </c>
      <c r="G547" s="567">
        <v>50</v>
      </c>
      <c r="H547" s="566" t="s">
        <v>1356</v>
      </c>
      <c r="I547" s="568">
        <v>2</v>
      </c>
      <c r="J547" s="569">
        <v>11</v>
      </c>
      <c r="K547" s="569">
        <v>11</v>
      </c>
      <c r="L547" s="566"/>
      <c r="M547" s="566" t="s">
        <v>476</v>
      </c>
      <c r="N547" s="570">
        <v>872</v>
      </c>
      <c r="O547" s="566"/>
      <c r="P547" s="566" t="s">
        <v>477</v>
      </c>
      <c r="Q547" s="568">
        <v>909678</v>
      </c>
      <c r="R547" s="568">
        <v>47</v>
      </c>
      <c r="S547" s="566" t="s">
        <v>1385</v>
      </c>
      <c r="T547" s="582" t="s">
        <v>253</v>
      </c>
      <c r="U547" s="582" t="s">
        <v>550</v>
      </c>
      <c r="V547" s="582" t="s">
        <v>539</v>
      </c>
      <c r="W547" s="583" t="s">
        <v>1358</v>
      </c>
      <c r="X547" s="582" t="s">
        <v>1380</v>
      </c>
      <c r="Y547" s="582" t="s">
        <v>1338</v>
      </c>
      <c r="Z547" s="584" t="s">
        <v>1737</v>
      </c>
      <c r="AA547" s="585">
        <v>872</v>
      </c>
      <c r="AB547" s="582"/>
    </row>
    <row r="548" spans="1:28" hidden="1">
      <c r="A548" s="566" t="s">
        <v>1335</v>
      </c>
      <c r="B548" s="566" t="s">
        <v>466</v>
      </c>
      <c r="C548" s="566" t="s">
        <v>553</v>
      </c>
      <c r="D548" s="566" t="s">
        <v>472</v>
      </c>
      <c r="E548" s="566" t="s">
        <v>473</v>
      </c>
      <c r="F548" s="566" t="s">
        <v>554</v>
      </c>
      <c r="G548" s="567">
        <v>13</v>
      </c>
      <c r="H548" s="566" t="s">
        <v>1135</v>
      </c>
      <c r="I548" s="568">
        <v>2</v>
      </c>
      <c r="J548" s="569">
        <v>22</v>
      </c>
      <c r="K548" s="569">
        <v>22</v>
      </c>
      <c r="L548" s="569">
        <v>17</v>
      </c>
      <c r="M548" s="566" t="s">
        <v>476</v>
      </c>
      <c r="N548" s="570">
        <v>185</v>
      </c>
      <c r="O548" s="566"/>
      <c r="P548" s="566" t="s">
        <v>477</v>
      </c>
      <c r="Q548" s="568">
        <v>909678</v>
      </c>
      <c r="R548" s="568">
        <v>1</v>
      </c>
      <c r="S548" s="566" t="s">
        <v>1387</v>
      </c>
      <c r="T548" s="582" t="s">
        <v>257</v>
      </c>
      <c r="U548" s="582" t="s">
        <v>550</v>
      </c>
      <c r="V548" s="582" t="s">
        <v>539</v>
      </c>
      <c r="W548" s="583" t="s">
        <v>577</v>
      </c>
      <c r="X548" s="582" t="s">
        <v>1380</v>
      </c>
      <c r="Y548" s="582" t="s">
        <v>1338</v>
      </c>
      <c r="Z548" s="584" t="s">
        <v>1134</v>
      </c>
      <c r="AA548" s="585">
        <v>185</v>
      </c>
      <c r="AB548" s="582">
        <v>260084</v>
      </c>
    </row>
    <row r="549" spans="1:28" hidden="1">
      <c r="A549" s="566" t="s">
        <v>1335</v>
      </c>
      <c r="B549" s="566" t="s">
        <v>466</v>
      </c>
      <c r="C549" s="566" t="s">
        <v>553</v>
      </c>
      <c r="D549" s="566" t="s">
        <v>472</v>
      </c>
      <c r="E549" s="566" t="s">
        <v>473</v>
      </c>
      <c r="F549" s="566" t="s">
        <v>554</v>
      </c>
      <c r="G549" s="567">
        <v>13</v>
      </c>
      <c r="H549" s="566" t="s">
        <v>255</v>
      </c>
      <c r="I549" s="568">
        <v>2</v>
      </c>
      <c r="J549" s="569">
        <v>22</v>
      </c>
      <c r="K549" s="569">
        <v>22</v>
      </c>
      <c r="L549" s="569">
        <v>17</v>
      </c>
      <c r="M549" s="566" t="s">
        <v>476</v>
      </c>
      <c r="N549" s="570">
        <v>209</v>
      </c>
      <c r="O549" s="566"/>
      <c r="P549" s="566" t="s">
        <v>477</v>
      </c>
      <c r="Q549" s="568">
        <v>909678</v>
      </c>
      <c r="R549" s="568">
        <v>2</v>
      </c>
      <c r="S549" s="566" t="s">
        <v>1388</v>
      </c>
      <c r="T549" s="582" t="s">
        <v>257</v>
      </c>
      <c r="U549" s="582" t="s">
        <v>550</v>
      </c>
      <c r="V549" s="582" t="s">
        <v>539</v>
      </c>
      <c r="W549" s="583" t="s">
        <v>580</v>
      </c>
      <c r="X549" s="582" t="s">
        <v>1380</v>
      </c>
      <c r="Y549" s="582" t="s">
        <v>1338</v>
      </c>
      <c r="Z549" s="584" t="s">
        <v>1136</v>
      </c>
      <c r="AA549" s="585">
        <v>209</v>
      </c>
      <c r="AB549" s="582">
        <v>260108</v>
      </c>
    </row>
    <row r="550" spans="1:28" hidden="1">
      <c r="A550" s="566" t="s">
        <v>1335</v>
      </c>
      <c r="B550" s="566" t="s">
        <v>466</v>
      </c>
      <c r="C550" s="566" t="s">
        <v>553</v>
      </c>
      <c r="D550" s="566" t="s">
        <v>472</v>
      </c>
      <c r="E550" s="566" t="s">
        <v>473</v>
      </c>
      <c r="F550" s="566" t="s">
        <v>554</v>
      </c>
      <c r="G550" s="567">
        <v>16</v>
      </c>
      <c r="H550" s="566" t="s">
        <v>1138</v>
      </c>
      <c r="I550" s="568">
        <v>2</v>
      </c>
      <c r="J550" s="569">
        <v>22</v>
      </c>
      <c r="K550" s="569">
        <v>22</v>
      </c>
      <c r="L550" s="569">
        <v>17</v>
      </c>
      <c r="M550" s="566" t="s">
        <v>476</v>
      </c>
      <c r="N550" s="570">
        <v>233</v>
      </c>
      <c r="O550" s="566"/>
      <c r="P550" s="566" t="s">
        <v>477</v>
      </c>
      <c r="Q550" s="568">
        <v>909678</v>
      </c>
      <c r="R550" s="568">
        <v>12</v>
      </c>
      <c r="S550" s="566" t="s">
        <v>1389</v>
      </c>
      <c r="T550" s="582" t="s">
        <v>257</v>
      </c>
      <c r="U550" s="582" t="s">
        <v>550</v>
      </c>
      <c r="V550" s="582" t="s">
        <v>539</v>
      </c>
      <c r="W550" s="583" t="s">
        <v>583</v>
      </c>
      <c r="X550" s="582" t="s">
        <v>1380</v>
      </c>
      <c r="Y550" s="582" t="s">
        <v>1338</v>
      </c>
      <c r="Z550" s="584" t="s">
        <v>1137</v>
      </c>
      <c r="AA550" s="585">
        <v>233</v>
      </c>
      <c r="AB550" s="582">
        <v>260132</v>
      </c>
    </row>
    <row r="551" spans="1:28" hidden="1">
      <c r="A551" s="566" t="s">
        <v>1335</v>
      </c>
      <c r="B551" s="566" t="s">
        <v>466</v>
      </c>
      <c r="C551" s="566" t="s">
        <v>553</v>
      </c>
      <c r="D551" s="566" t="s">
        <v>472</v>
      </c>
      <c r="E551" s="566" t="s">
        <v>473</v>
      </c>
      <c r="F551" s="566" t="s">
        <v>554</v>
      </c>
      <c r="G551" s="567">
        <v>16</v>
      </c>
      <c r="H551" s="566" t="s">
        <v>212</v>
      </c>
      <c r="I551" s="568">
        <v>2</v>
      </c>
      <c r="J551" s="569">
        <v>22</v>
      </c>
      <c r="K551" s="569">
        <v>22</v>
      </c>
      <c r="L551" s="569">
        <v>17</v>
      </c>
      <c r="M551" s="566" t="s">
        <v>476</v>
      </c>
      <c r="N551" s="570">
        <v>257</v>
      </c>
      <c r="O551" s="566"/>
      <c r="P551" s="566" t="s">
        <v>477</v>
      </c>
      <c r="Q551" s="568">
        <v>909678</v>
      </c>
      <c r="R551" s="568">
        <v>3</v>
      </c>
      <c r="S551" s="566" t="s">
        <v>1390</v>
      </c>
      <c r="T551" s="582" t="s">
        <v>257</v>
      </c>
      <c r="U551" s="582" t="s">
        <v>550</v>
      </c>
      <c r="V551" s="582" t="s">
        <v>539</v>
      </c>
      <c r="W551" s="583" t="s">
        <v>586</v>
      </c>
      <c r="X551" s="582" t="s">
        <v>1380</v>
      </c>
      <c r="Y551" s="582" t="s">
        <v>1338</v>
      </c>
      <c r="Z551" s="584" t="s">
        <v>1139</v>
      </c>
      <c r="AA551" s="585">
        <v>257</v>
      </c>
      <c r="AB551" s="582">
        <v>260156</v>
      </c>
    </row>
    <row r="552" spans="1:28" hidden="1">
      <c r="A552" s="566" t="s">
        <v>1335</v>
      </c>
      <c r="B552" s="566" t="s">
        <v>466</v>
      </c>
      <c r="C552" s="566" t="s">
        <v>553</v>
      </c>
      <c r="D552" s="566" t="s">
        <v>472</v>
      </c>
      <c r="E552" s="566" t="s">
        <v>473</v>
      </c>
      <c r="F552" s="566" t="s">
        <v>554</v>
      </c>
      <c r="G552" s="567">
        <v>16</v>
      </c>
      <c r="H552" s="566" t="s">
        <v>1141</v>
      </c>
      <c r="I552" s="568">
        <v>2</v>
      </c>
      <c r="J552" s="569">
        <v>22</v>
      </c>
      <c r="K552" s="569">
        <v>22</v>
      </c>
      <c r="L552" s="569">
        <v>17</v>
      </c>
      <c r="M552" s="566" t="s">
        <v>476</v>
      </c>
      <c r="N552" s="570">
        <v>281</v>
      </c>
      <c r="O552" s="566"/>
      <c r="P552" s="566" t="s">
        <v>477</v>
      </c>
      <c r="Q552" s="568">
        <v>909678</v>
      </c>
      <c r="R552" s="568">
        <v>13</v>
      </c>
      <c r="S552" s="566" t="s">
        <v>1391</v>
      </c>
      <c r="T552" s="582" t="s">
        <v>257</v>
      </c>
      <c r="U552" s="582" t="s">
        <v>550</v>
      </c>
      <c r="V552" s="582" t="s">
        <v>539</v>
      </c>
      <c r="W552" s="583" t="s">
        <v>589</v>
      </c>
      <c r="X552" s="582" t="s">
        <v>1380</v>
      </c>
      <c r="Y552" s="582" t="s">
        <v>1338</v>
      </c>
      <c r="Z552" s="584" t="s">
        <v>1140</v>
      </c>
      <c r="AA552" s="585">
        <v>281</v>
      </c>
      <c r="AB552" s="582">
        <v>260180</v>
      </c>
    </row>
    <row r="553" spans="1:28" hidden="1">
      <c r="A553" s="566" t="s">
        <v>1335</v>
      </c>
      <c r="B553" s="566" t="s">
        <v>466</v>
      </c>
      <c r="C553" s="566" t="s">
        <v>471</v>
      </c>
      <c r="D553" s="566" t="s">
        <v>472</v>
      </c>
      <c r="E553" s="566" t="s">
        <v>473</v>
      </c>
      <c r="F553" s="566" t="s">
        <v>474</v>
      </c>
      <c r="G553" s="567">
        <v>0</v>
      </c>
      <c r="H553" s="566" t="s">
        <v>593</v>
      </c>
      <c r="I553" s="568">
        <v>1</v>
      </c>
      <c r="J553" s="569">
        <v>11</v>
      </c>
      <c r="K553" s="569">
        <v>11</v>
      </c>
      <c r="L553" s="566"/>
      <c r="M553" s="566" t="s">
        <v>476</v>
      </c>
      <c r="N553" s="570">
        <v>332</v>
      </c>
      <c r="O553" s="566"/>
      <c r="P553" s="566" t="s">
        <v>477</v>
      </c>
      <c r="Q553" s="568">
        <v>909678</v>
      </c>
      <c r="R553" s="568">
        <v>5</v>
      </c>
      <c r="S553" s="566" t="s">
        <v>1392</v>
      </c>
      <c r="T553" s="582" t="s">
        <v>253</v>
      </c>
      <c r="U553" s="582" t="s">
        <v>550</v>
      </c>
      <c r="V553" s="582" t="s">
        <v>539</v>
      </c>
      <c r="W553" s="583" t="s">
        <v>509</v>
      </c>
      <c r="X553" s="582" t="s">
        <v>1380</v>
      </c>
      <c r="Y553" s="582" t="s">
        <v>1338</v>
      </c>
      <c r="Z553" s="584" t="s">
        <v>1142</v>
      </c>
      <c r="AA553" s="585">
        <v>332</v>
      </c>
      <c r="AB553" s="582"/>
    </row>
    <row r="554" spans="1:28" hidden="1">
      <c r="A554" s="566" t="s">
        <v>1335</v>
      </c>
      <c r="B554" s="566" t="s">
        <v>466</v>
      </c>
      <c r="C554" s="566" t="s">
        <v>471</v>
      </c>
      <c r="D554" s="566" t="s">
        <v>472</v>
      </c>
      <c r="E554" s="566" t="s">
        <v>473</v>
      </c>
      <c r="F554" s="566" t="s">
        <v>474</v>
      </c>
      <c r="G554" s="567">
        <v>0</v>
      </c>
      <c r="H554" s="566" t="s">
        <v>595</v>
      </c>
      <c r="I554" s="568">
        <v>2</v>
      </c>
      <c r="J554" s="569">
        <v>11</v>
      </c>
      <c r="K554" s="569">
        <v>11</v>
      </c>
      <c r="L554" s="566"/>
      <c r="M554" s="566" t="s">
        <v>476</v>
      </c>
      <c r="N554" s="570">
        <v>368</v>
      </c>
      <c r="O554" s="566"/>
      <c r="P554" s="566" t="s">
        <v>477</v>
      </c>
      <c r="Q554" s="568">
        <v>909678</v>
      </c>
      <c r="R554" s="568">
        <v>6</v>
      </c>
      <c r="S554" s="566" t="s">
        <v>1393</v>
      </c>
      <c r="T554" s="582" t="s">
        <v>253</v>
      </c>
      <c r="U554" s="582" t="s">
        <v>550</v>
      </c>
      <c r="V554" s="582" t="s">
        <v>539</v>
      </c>
      <c r="W554" s="583" t="s">
        <v>512</v>
      </c>
      <c r="X554" s="582" t="s">
        <v>1380</v>
      </c>
      <c r="Y554" s="582" t="s">
        <v>1338</v>
      </c>
      <c r="Z554" s="584" t="s">
        <v>1143</v>
      </c>
      <c r="AA554" s="585">
        <v>368</v>
      </c>
      <c r="AB554" s="582"/>
    </row>
    <row r="555" spans="1:28" hidden="1">
      <c r="A555" s="566" t="s">
        <v>1335</v>
      </c>
      <c r="B555" s="566" t="s">
        <v>466</v>
      </c>
      <c r="C555" s="566" t="s">
        <v>471</v>
      </c>
      <c r="D555" s="566" t="s">
        <v>472</v>
      </c>
      <c r="E555" s="566" t="s">
        <v>473</v>
      </c>
      <c r="F555" s="566" t="s">
        <v>474</v>
      </c>
      <c r="G555" s="567">
        <v>0</v>
      </c>
      <c r="H555" s="566" t="s">
        <v>597</v>
      </c>
      <c r="I555" s="568">
        <v>2</v>
      </c>
      <c r="J555" s="569">
        <v>11</v>
      </c>
      <c r="K555" s="569">
        <v>11</v>
      </c>
      <c r="L555" s="566"/>
      <c r="M555" s="566" t="s">
        <v>476</v>
      </c>
      <c r="N555" s="570">
        <v>404</v>
      </c>
      <c r="O555" s="566"/>
      <c r="P555" s="566" t="s">
        <v>477</v>
      </c>
      <c r="Q555" s="568">
        <v>909678</v>
      </c>
      <c r="R555" s="568">
        <v>14</v>
      </c>
      <c r="S555" s="566" t="s">
        <v>1394</v>
      </c>
      <c r="T555" s="582" t="s">
        <v>253</v>
      </c>
      <c r="U555" s="582" t="s">
        <v>550</v>
      </c>
      <c r="V555" s="582" t="s">
        <v>539</v>
      </c>
      <c r="W555" s="583" t="s">
        <v>514</v>
      </c>
      <c r="X555" s="582" t="s">
        <v>1380</v>
      </c>
      <c r="Y555" s="582" t="s">
        <v>1338</v>
      </c>
      <c r="Z555" s="584" t="s">
        <v>1144</v>
      </c>
      <c r="AA555" s="585">
        <v>404</v>
      </c>
      <c r="AB555" s="582"/>
    </row>
    <row r="556" spans="1:28" hidden="1">
      <c r="A556" s="566" t="s">
        <v>1335</v>
      </c>
      <c r="B556" s="566" t="s">
        <v>466</v>
      </c>
      <c r="C556" s="566" t="s">
        <v>471</v>
      </c>
      <c r="D556" s="566" t="s">
        <v>472</v>
      </c>
      <c r="E556" s="566" t="s">
        <v>473</v>
      </c>
      <c r="F556" s="566" t="s">
        <v>474</v>
      </c>
      <c r="G556" s="567">
        <v>0</v>
      </c>
      <c r="H556" s="566" t="s">
        <v>561</v>
      </c>
      <c r="I556" s="568">
        <v>2</v>
      </c>
      <c r="J556" s="569">
        <v>35</v>
      </c>
      <c r="K556" s="569">
        <v>35</v>
      </c>
      <c r="L556" s="566"/>
      <c r="M556" s="566" t="s">
        <v>476</v>
      </c>
      <c r="N556" s="570">
        <v>1340</v>
      </c>
      <c r="O556" s="566"/>
      <c r="P556" s="566" t="s">
        <v>477</v>
      </c>
      <c r="Q556" s="568">
        <v>909678</v>
      </c>
      <c r="R556" s="568">
        <v>34</v>
      </c>
      <c r="S556" s="566" t="s">
        <v>1395</v>
      </c>
      <c r="T556" s="582" t="s">
        <v>253</v>
      </c>
      <c r="U556" s="582" t="s">
        <v>550</v>
      </c>
      <c r="V556" s="582" t="s">
        <v>539</v>
      </c>
      <c r="W556" s="583" t="s">
        <v>1274</v>
      </c>
      <c r="X556" s="582" t="s">
        <v>1380</v>
      </c>
      <c r="Y556" s="582" t="s">
        <v>1367</v>
      </c>
      <c r="Z556" s="584" t="s">
        <v>1738</v>
      </c>
      <c r="AA556" s="585">
        <v>1340</v>
      </c>
      <c r="AB556" s="582"/>
    </row>
    <row r="557" spans="1:28" hidden="1">
      <c r="A557" s="566" t="s">
        <v>1335</v>
      </c>
      <c r="B557" s="566" t="s">
        <v>466</v>
      </c>
      <c r="C557" s="566" t="s">
        <v>471</v>
      </c>
      <c r="D557" s="566" t="s">
        <v>472</v>
      </c>
      <c r="E557" s="566" t="s">
        <v>473</v>
      </c>
      <c r="F557" s="566" t="s">
        <v>474</v>
      </c>
      <c r="G557" s="567">
        <v>0</v>
      </c>
      <c r="H557" s="566" t="s">
        <v>564</v>
      </c>
      <c r="I557" s="568">
        <v>2</v>
      </c>
      <c r="J557" s="569">
        <v>35</v>
      </c>
      <c r="K557" s="569">
        <v>35</v>
      </c>
      <c r="L557" s="566"/>
      <c r="M557" s="566" t="s">
        <v>476</v>
      </c>
      <c r="N557" s="570">
        <v>1376</v>
      </c>
      <c r="O557" s="566"/>
      <c r="P557" s="566" t="s">
        <v>477</v>
      </c>
      <c r="Q557" s="568">
        <v>909678</v>
      </c>
      <c r="R557" s="568">
        <v>35</v>
      </c>
      <c r="S557" s="566" t="s">
        <v>1397</v>
      </c>
      <c r="T557" s="582" t="s">
        <v>253</v>
      </c>
      <c r="U557" s="582" t="s">
        <v>550</v>
      </c>
      <c r="V557" s="582" t="s">
        <v>539</v>
      </c>
      <c r="W557" s="583" t="s">
        <v>1275</v>
      </c>
      <c r="X557" s="582" t="s">
        <v>1380</v>
      </c>
      <c r="Y557" s="582" t="s">
        <v>1367</v>
      </c>
      <c r="Z557" s="584" t="s">
        <v>1739</v>
      </c>
      <c r="AA557" s="585">
        <v>1376</v>
      </c>
      <c r="AB557" s="582"/>
    </row>
    <row r="558" spans="1:28" hidden="1">
      <c r="A558" s="566" t="s">
        <v>1335</v>
      </c>
      <c r="B558" s="566" t="s">
        <v>466</v>
      </c>
      <c r="C558" s="566" t="s">
        <v>487</v>
      </c>
      <c r="D558" s="566" t="s">
        <v>472</v>
      </c>
      <c r="E558" s="566" t="s">
        <v>473</v>
      </c>
      <c r="F558" s="566" t="s">
        <v>489</v>
      </c>
      <c r="G558" s="567">
        <v>50</v>
      </c>
      <c r="H558" s="566" t="s">
        <v>573</v>
      </c>
      <c r="I558" s="568">
        <v>2</v>
      </c>
      <c r="J558" s="569">
        <v>35</v>
      </c>
      <c r="K558" s="569">
        <v>35</v>
      </c>
      <c r="L558" s="566"/>
      <c r="M558" s="566" t="s">
        <v>476</v>
      </c>
      <c r="N558" s="570">
        <v>1412</v>
      </c>
      <c r="O558" s="566"/>
      <c r="P558" s="566" t="s">
        <v>477</v>
      </c>
      <c r="Q558" s="568">
        <v>909678</v>
      </c>
      <c r="R558" s="568">
        <v>37</v>
      </c>
      <c r="S558" s="566" t="s">
        <v>1399</v>
      </c>
      <c r="T558" s="582" t="s">
        <v>253</v>
      </c>
      <c r="U558" s="582" t="s">
        <v>550</v>
      </c>
      <c r="V558" s="582" t="s">
        <v>539</v>
      </c>
      <c r="W558" s="583" t="s">
        <v>1276</v>
      </c>
      <c r="X558" s="582" t="s">
        <v>1380</v>
      </c>
      <c r="Y558" s="582" t="s">
        <v>1367</v>
      </c>
      <c r="Z558" s="584" t="s">
        <v>1740</v>
      </c>
      <c r="AA558" s="585">
        <v>1412</v>
      </c>
      <c r="AB558" s="582"/>
    </row>
    <row r="559" spans="1:28" hidden="1">
      <c r="A559" s="566" t="s">
        <v>1335</v>
      </c>
      <c r="B559" s="566" t="s">
        <v>466</v>
      </c>
      <c r="C559" s="566" t="s">
        <v>487</v>
      </c>
      <c r="D559" s="566" t="s">
        <v>472</v>
      </c>
      <c r="E559" s="566" t="s">
        <v>473</v>
      </c>
      <c r="F559" s="566" t="s">
        <v>489</v>
      </c>
      <c r="G559" s="567">
        <v>50</v>
      </c>
      <c r="H559" s="566" t="s">
        <v>576</v>
      </c>
      <c r="I559" s="568">
        <v>2</v>
      </c>
      <c r="J559" s="569">
        <v>35</v>
      </c>
      <c r="K559" s="569">
        <v>35</v>
      </c>
      <c r="L559" s="566"/>
      <c r="M559" s="566" t="s">
        <v>476</v>
      </c>
      <c r="N559" s="570">
        <v>1448</v>
      </c>
      <c r="O559" s="566"/>
      <c r="P559" s="566" t="s">
        <v>477</v>
      </c>
      <c r="Q559" s="568">
        <v>909678</v>
      </c>
      <c r="R559" s="568">
        <v>38</v>
      </c>
      <c r="S559" s="566" t="s">
        <v>1401</v>
      </c>
      <c r="T559" s="582" t="s">
        <v>253</v>
      </c>
      <c r="U559" s="582" t="s">
        <v>550</v>
      </c>
      <c r="V559" s="582" t="s">
        <v>539</v>
      </c>
      <c r="W559" s="583" t="s">
        <v>1277</v>
      </c>
      <c r="X559" s="582" t="s">
        <v>1380</v>
      </c>
      <c r="Y559" s="582" t="s">
        <v>1367</v>
      </c>
      <c r="Z559" s="584" t="s">
        <v>1741</v>
      </c>
      <c r="AA559" s="585">
        <v>1448</v>
      </c>
      <c r="AB559" s="582"/>
    </row>
    <row r="560" spans="1:28" hidden="1">
      <c r="A560" s="566" t="s">
        <v>1335</v>
      </c>
      <c r="B560" s="566" t="s">
        <v>466</v>
      </c>
      <c r="C560" s="566" t="s">
        <v>471</v>
      </c>
      <c r="D560" s="566" t="s">
        <v>472</v>
      </c>
      <c r="E560" s="566" t="s">
        <v>473</v>
      </c>
      <c r="F560" s="566" t="s">
        <v>474</v>
      </c>
      <c r="G560" s="567">
        <v>0</v>
      </c>
      <c r="H560" s="566" t="s">
        <v>1352</v>
      </c>
      <c r="I560" s="568">
        <v>2</v>
      </c>
      <c r="J560" s="569">
        <v>35</v>
      </c>
      <c r="K560" s="569">
        <v>35</v>
      </c>
      <c r="L560" s="566"/>
      <c r="M560" s="566" t="s">
        <v>476</v>
      </c>
      <c r="N560" s="570">
        <v>1484</v>
      </c>
      <c r="O560" s="566"/>
      <c r="P560" s="566" t="s">
        <v>477</v>
      </c>
      <c r="Q560" s="568">
        <v>909678</v>
      </c>
      <c r="R560" s="568">
        <v>36</v>
      </c>
      <c r="S560" s="566" t="s">
        <v>1403</v>
      </c>
      <c r="T560" s="582" t="s">
        <v>253</v>
      </c>
      <c r="U560" s="582" t="s">
        <v>550</v>
      </c>
      <c r="V560" s="582" t="s">
        <v>539</v>
      </c>
      <c r="W560" s="583" t="s">
        <v>1354</v>
      </c>
      <c r="X560" s="582" t="s">
        <v>1380</v>
      </c>
      <c r="Y560" s="582" t="s">
        <v>1367</v>
      </c>
      <c r="Z560" s="584" t="s">
        <v>1742</v>
      </c>
      <c r="AA560" s="585">
        <v>1484</v>
      </c>
      <c r="AB560" s="582"/>
    </row>
    <row r="561" spans="1:28" hidden="1">
      <c r="A561" s="566" t="s">
        <v>1335</v>
      </c>
      <c r="B561" s="566" t="s">
        <v>466</v>
      </c>
      <c r="C561" s="566" t="s">
        <v>487</v>
      </c>
      <c r="D561" s="566" t="s">
        <v>472</v>
      </c>
      <c r="E561" s="566" t="s">
        <v>473</v>
      </c>
      <c r="F561" s="566" t="s">
        <v>489</v>
      </c>
      <c r="G561" s="567">
        <v>50</v>
      </c>
      <c r="H561" s="566" t="s">
        <v>1356</v>
      </c>
      <c r="I561" s="568">
        <v>2</v>
      </c>
      <c r="J561" s="569">
        <v>35</v>
      </c>
      <c r="K561" s="569">
        <v>35</v>
      </c>
      <c r="L561" s="566"/>
      <c r="M561" s="566" t="s">
        <v>476</v>
      </c>
      <c r="N561" s="570">
        <v>1520</v>
      </c>
      <c r="O561" s="566"/>
      <c r="P561" s="566" t="s">
        <v>477</v>
      </c>
      <c r="Q561" s="568">
        <v>909678</v>
      </c>
      <c r="R561" s="568">
        <v>39</v>
      </c>
      <c r="S561" s="566" t="s">
        <v>1405</v>
      </c>
      <c r="T561" s="582" t="s">
        <v>253</v>
      </c>
      <c r="U561" s="582" t="s">
        <v>550</v>
      </c>
      <c r="V561" s="582" t="s">
        <v>539</v>
      </c>
      <c r="W561" s="583" t="s">
        <v>1358</v>
      </c>
      <c r="X561" s="582" t="s">
        <v>1380</v>
      </c>
      <c r="Y561" s="582" t="s">
        <v>1367</v>
      </c>
      <c r="Z561" s="584" t="s">
        <v>1743</v>
      </c>
      <c r="AA561" s="585">
        <v>1520</v>
      </c>
      <c r="AB561" s="582"/>
    </row>
    <row r="562" spans="1:28" hidden="1">
      <c r="A562" s="566" t="s">
        <v>1335</v>
      </c>
      <c r="B562" s="566" t="s">
        <v>466</v>
      </c>
      <c r="C562" s="566" t="s">
        <v>471</v>
      </c>
      <c r="D562" s="566" t="s">
        <v>472</v>
      </c>
      <c r="E562" s="566" t="s">
        <v>473</v>
      </c>
      <c r="F562" s="566" t="s">
        <v>474</v>
      </c>
      <c r="G562" s="567">
        <v>0</v>
      </c>
      <c r="H562" s="566" t="s">
        <v>559</v>
      </c>
      <c r="I562" s="568">
        <v>2</v>
      </c>
      <c r="J562" s="569">
        <v>11</v>
      </c>
      <c r="K562" s="569">
        <v>11</v>
      </c>
      <c r="L562" s="566"/>
      <c r="M562" s="566" t="s">
        <v>476</v>
      </c>
      <c r="N562" s="570">
        <v>440</v>
      </c>
      <c r="O562" s="566"/>
      <c r="P562" s="566" t="s">
        <v>477</v>
      </c>
      <c r="Q562" s="568">
        <v>909678</v>
      </c>
      <c r="R562" s="568">
        <v>7</v>
      </c>
      <c r="S562" s="566" t="s">
        <v>1407</v>
      </c>
      <c r="T562" s="575" t="s">
        <v>1473</v>
      </c>
      <c r="U562" s="575" t="s">
        <v>550</v>
      </c>
      <c r="V562" s="575" t="s">
        <v>539</v>
      </c>
      <c r="W562" s="576" t="s">
        <v>470</v>
      </c>
      <c r="X562" s="575" t="s">
        <v>1380</v>
      </c>
      <c r="Y562" s="575" t="s">
        <v>1338</v>
      </c>
      <c r="Z562" s="576" t="s">
        <v>1744</v>
      </c>
      <c r="AA562" s="577">
        <v>440</v>
      </c>
      <c r="AB562" s="575"/>
    </row>
    <row r="563" spans="1:28" hidden="1">
      <c r="A563" s="566" t="s">
        <v>1335</v>
      </c>
      <c r="B563" s="566" t="s">
        <v>466</v>
      </c>
      <c r="C563" s="566" t="s">
        <v>471</v>
      </c>
      <c r="D563" s="566" t="s">
        <v>472</v>
      </c>
      <c r="E563" s="566" t="s">
        <v>473</v>
      </c>
      <c r="F563" s="566" t="s">
        <v>474</v>
      </c>
      <c r="G563" s="567">
        <v>0</v>
      </c>
      <c r="H563" s="566" t="s">
        <v>562</v>
      </c>
      <c r="I563" s="568">
        <v>2</v>
      </c>
      <c r="J563" s="569">
        <v>11</v>
      </c>
      <c r="K563" s="569">
        <v>11</v>
      </c>
      <c r="L563" s="566"/>
      <c r="M563" s="566" t="s">
        <v>476</v>
      </c>
      <c r="N563" s="570">
        <v>512</v>
      </c>
      <c r="O563" s="566"/>
      <c r="P563" s="566" t="s">
        <v>477</v>
      </c>
      <c r="Q563" s="568">
        <v>909678</v>
      </c>
      <c r="R563" s="568">
        <v>8</v>
      </c>
      <c r="S563" s="566" t="s">
        <v>1410</v>
      </c>
      <c r="T563" s="575" t="s">
        <v>1473</v>
      </c>
      <c r="U563" s="575" t="s">
        <v>550</v>
      </c>
      <c r="V563" s="575" t="s">
        <v>539</v>
      </c>
      <c r="W563" s="576" t="s">
        <v>480</v>
      </c>
      <c r="X563" s="575" t="s">
        <v>1380</v>
      </c>
      <c r="Y563" s="575" t="s">
        <v>1338</v>
      </c>
      <c r="Z563" s="576" t="s">
        <v>1745</v>
      </c>
      <c r="AA563" s="577">
        <v>512</v>
      </c>
      <c r="AB563" s="575"/>
    </row>
    <row r="564" spans="1:28" hidden="1">
      <c r="A564" s="566" t="s">
        <v>1335</v>
      </c>
      <c r="B564" s="566" t="s">
        <v>466</v>
      </c>
      <c r="C564" s="566" t="s">
        <v>487</v>
      </c>
      <c r="D564" s="566" t="s">
        <v>472</v>
      </c>
      <c r="E564" s="566" t="s">
        <v>473</v>
      </c>
      <c r="F564" s="566" t="s">
        <v>489</v>
      </c>
      <c r="G564" s="567">
        <v>50</v>
      </c>
      <c r="H564" s="566" t="s">
        <v>571</v>
      </c>
      <c r="I564" s="568">
        <v>2</v>
      </c>
      <c r="J564" s="569">
        <v>11</v>
      </c>
      <c r="K564" s="569">
        <v>11</v>
      </c>
      <c r="L564" s="566"/>
      <c r="M564" s="566" t="s">
        <v>476</v>
      </c>
      <c r="N564" s="570">
        <v>692</v>
      </c>
      <c r="O564" s="566"/>
      <c r="P564" s="566" t="s">
        <v>477</v>
      </c>
      <c r="Q564" s="568">
        <v>909678</v>
      </c>
      <c r="R564" s="568">
        <v>11</v>
      </c>
      <c r="S564" s="566" t="s">
        <v>1412</v>
      </c>
      <c r="T564" s="575" t="s">
        <v>1473</v>
      </c>
      <c r="U564" s="575" t="s">
        <v>550</v>
      </c>
      <c r="V564" s="575" t="s">
        <v>539</v>
      </c>
      <c r="W564" s="576" t="s">
        <v>499</v>
      </c>
      <c r="X564" s="575" t="s">
        <v>1380</v>
      </c>
      <c r="Y564" s="575" t="s">
        <v>1338</v>
      </c>
      <c r="Z564" s="576" t="s">
        <v>1746</v>
      </c>
      <c r="AA564" s="577">
        <v>692</v>
      </c>
      <c r="AB564" s="575"/>
    </row>
    <row r="565" spans="1:28" hidden="1">
      <c r="A565" s="566" t="s">
        <v>1335</v>
      </c>
      <c r="B565" s="566" t="s">
        <v>466</v>
      </c>
      <c r="C565" s="566" t="s">
        <v>487</v>
      </c>
      <c r="D565" s="566" t="s">
        <v>472</v>
      </c>
      <c r="E565" s="566" t="s">
        <v>473</v>
      </c>
      <c r="F565" s="566" t="s">
        <v>489</v>
      </c>
      <c r="G565" s="567">
        <v>50</v>
      </c>
      <c r="H565" s="566" t="s">
        <v>574</v>
      </c>
      <c r="I565" s="568">
        <v>2</v>
      </c>
      <c r="J565" s="569">
        <v>11</v>
      </c>
      <c r="K565" s="569">
        <v>11</v>
      </c>
      <c r="L565" s="566"/>
      <c r="M565" s="566" t="s">
        <v>476</v>
      </c>
      <c r="N565" s="570">
        <v>764</v>
      </c>
      <c r="O565" s="566"/>
      <c r="P565" s="566" t="s">
        <v>477</v>
      </c>
      <c r="Q565" s="568">
        <v>909678</v>
      </c>
      <c r="R565" s="568">
        <v>20</v>
      </c>
      <c r="S565" s="566" t="s">
        <v>1414</v>
      </c>
      <c r="T565" s="575" t="s">
        <v>1473</v>
      </c>
      <c r="U565" s="575" t="s">
        <v>550</v>
      </c>
      <c r="V565" s="575" t="s">
        <v>539</v>
      </c>
      <c r="W565" s="576" t="s">
        <v>504</v>
      </c>
      <c r="X565" s="575" t="s">
        <v>1380</v>
      </c>
      <c r="Y565" s="575" t="s">
        <v>1338</v>
      </c>
      <c r="Z565" s="576" t="s">
        <v>1747</v>
      </c>
      <c r="AA565" s="577">
        <v>764</v>
      </c>
      <c r="AB565" s="575"/>
    </row>
    <row r="566" spans="1:28" hidden="1">
      <c r="A566" s="566" t="s">
        <v>1335</v>
      </c>
      <c r="B566" s="566" t="s">
        <v>466</v>
      </c>
      <c r="C566" s="566" t="s">
        <v>471</v>
      </c>
      <c r="D566" s="566" t="s">
        <v>472</v>
      </c>
      <c r="E566" s="566" t="s">
        <v>473</v>
      </c>
      <c r="F566" s="566" t="s">
        <v>474</v>
      </c>
      <c r="G566" s="567">
        <v>0</v>
      </c>
      <c r="H566" s="566" t="s">
        <v>479</v>
      </c>
      <c r="I566" s="568">
        <v>2</v>
      </c>
      <c r="J566" s="569">
        <v>51</v>
      </c>
      <c r="K566" s="569">
        <v>51</v>
      </c>
      <c r="L566" s="566"/>
      <c r="M566" s="566" t="s">
        <v>476</v>
      </c>
      <c r="N566" s="570">
        <v>1032</v>
      </c>
      <c r="O566" s="566"/>
      <c r="P566" s="566" t="s">
        <v>477</v>
      </c>
      <c r="Q566" s="568">
        <v>909678</v>
      </c>
      <c r="R566" s="568">
        <v>25</v>
      </c>
      <c r="S566" s="566" t="s">
        <v>1336</v>
      </c>
      <c r="T566" s="575" t="s">
        <v>467</v>
      </c>
      <c r="U566" s="575" t="s">
        <v>468</v>
      </c>
      <c r="V566" s="575" t="s">
        <v>469</v>
      </c>
      <c r="W566" s="576" t="s">
        <v>1274</v>
      </c>
      <c r="X566" s="575" t="s">
        <v>1337</v>
      </c>
      <c r="Y566" s="575" t="s">
        <v>1338</v>
      </c>
      <c r="Z566" s="576" t="s">
        <v>1748</v>
      </c>
      <c r="AA566" s="577">
        <v>1032</v>
      </c>
      <c r="AB566" s="575"/>
    </row>
    <row r="567" spans="1:28" hidden="1">
      <c r="A567" s="566" t="s">
        <v>1335</v>
      </c>
      <c r="B567" s="566" t="s">
        <v>466</v>
      </c>
      <c r="C567" s="566" t="s">
        <v>471</v>
      </c>
      <c r="D567" s="566" t="s">
        <v>472</v>
      </c>
      <c r="E567" s="566" t="s">
        <v>473</v>
      </c>
      <c r="F567" s="566" t="s">
        <v>474</v>
      </c>
      <c r="G567" s="567">
        <v>0</v>
      </c>
      <c r="H567" s="566" t="s">
        <v>484</v>
      </c>
      <c r="I567" s="568">
        <v>2</v>
      </c>
      <c r="J567" s="569">
        <v>51</v>
      </c>
      <c r="K567" s="569">
        <v>51</v>
      </c>
      <c r="L567" s="566"/>
      <c r="M567" s="566" t="s">
        <v>476</v>
      </c>
      <c r="N567" s="570">
        <v>1068</v>
      </c>
      <c r="O567" s="566"/>
      <c r="P567" s="566" t="s">
        <v>477</v>
      </c>
      <c r="Q567" s="568">
        <v>909678</v>
      </c>
      <c r="R567" s="568">
        <v>26</v>
      </c>
      <c r="S567" s="566" t="s">
        <v>1340</v>
      </c>
      <c r="T567" s="575" t="s">
        <v>467</v>
      </c>
      <c r="U567" s="575" t="s">
        <v>468</v>
      </c>
      <c r="V567" s="575" t="s">
        <v>469</v>
      </c>
      <c r="W567" s="576" t="s">
        <v>1275</v>
      </c>
      <c r="X567" s="575" t="s">
        <v>1337</v>
      </c>
      <c r="Y567" s="575" t="s">
        <v>1338</v>
      </c>
      <c r="Z567" s="576" t="s">
        <v>1749</v>
      </c>
      <c r="AA567" s="577">
        <v>1068</v>
      </c>
      <c r="AB567" s="575"/>
    </row>
    <row r="568" spans="1:28" hidden="1">
      <c r="A568" s="566" t="s">
        <v>1335</v>
      </c>
      <c r="B568" s="566" t="s">
        <v>466</v>
      </c>
      <c r="C568" s="566" t="s">
        <v>487</v>
      </c>
      <c r="D568" s="566" t="s">
        <v>472</v>
      </c>
      <c r="E568" s="566" t="s">
        <v>473</v>
      </c>
      <c r="F568" s="566" t="s">
        <v>489</v>
      </c>
      <c r="G568" s="567">
        <v>50</v>
      </c>
      <c r="H568" s="566" t="s">
        <v>490</v>
      </c>
      <c r="I568" s="568">
        <v>2</v>
      </c>
      <c r="J568" s="569">
        <v>51</v>
      </c>
      <c r="K568" s="569">
        <v>51</v>
      </c>
      <c r="L568" s="566"/>
      <c r="M568" s="566" t="s">
        <v>476</v>
      </c>
      <c r="N568" s="570">
        <v>1104</v>
      </c>
      <c r="O568" s="566"/>
      <c r="P568" s="566" t="s">
        <v>477</v>
      </c>
      <c r="Q568" s="568">
        <v>909678</v>
      </c>
      <c r="R568" s="568">
        <v>28</v>
      </c>
      <c r="S568" s="566" t="s">
        <v>1342</v>
      </c>
      <c r="T568" s="575" t="s">
        <v>467</v>
      </c>
      <c r="U568" s="575" t="s">
        <v>468</v>
      </c>
      <c r="V568" s="575" t="s">
        <v>469</v>
      </c>
      <c r="W568" s="576" t="s">
        <v>485</v>
      </c>
      <c r="X568" s="575" t="s">
        <v>1337</v>
      </c>
      <c r="Y568" s="575" t="s">
        <v>1338</v>
      </c>
      <c r="Z568" s="576" t="s">
        <v>1750</v>
      </c>
      <c r="AA568" s="577">
        <v>1104</v>
      </c>
      <c r="AB568" s="575"/>
    </row>
    <row r="569" spans="1:28" hidden="1">
      <c r="A569" s="566" t="s">
        <v>1335</v>
      </c>
      <c r="B569" s="566" t="s">
        <v>466</v>
      </c>
      <c r="C569" s="566" t="s">
        <v>487</v>
      </c>
      <c r="D569" s="566" t="s">
        <v>472</v>
      </c>
      <c r="E569" s="566" t="s">
        <v>473</v>
      </c>
      <c r="F569" s="566" t="s">
        <v>489</v>
      </c>
      <c r="G569" s="567">
        <v>50</v>
      </c>
      <c r="H569" s="566" t="s">
        <v>494</v>
      </c>
      <c r="I569" s="568">
        <v>2</v>
      </c>
      <c r="J569" s="569">
        <v>51</v>
      </c>
      <c r="K569" s="569">
        <v>51</v>
      </c>
      <c r="L569" s="566"/>
      <c r="M569" s="566" t="s">
        <v>476</v>
      </c>
      <c r="N569" s="570">
        <v>1140</v>
      </c>
      <c r="O569" s="566"/>
      <c r="P569" s="566" t="s">
        <v>477</v>
      </c>
      <c r="Q569" s="568">
        <v>909678</v>
      </c>
      <c r="R569" s="568">
        <v>29</v>
      </c>
      <c r="S569" s="566" t="s">
        <v>1344</v>
      </c>
      <c r="T569" s="575" t="s">
        <v>467</v>
      </c>
      <c r="U569" s="575" t="s">
        <v>468</v>
      </c>
      <c r="V569" s="575" t="s">
        <v>469</v>
      </c>
      <c r="W569" s="576" t="s">
        <v>491</v>
      </c>
      <c r="X569" s="575" t="s">
        <v>1337</v>
      </c>
      <c r="Y569" s="575" t="s">
        <v>1338</v>
      </c>
      <c r="Z569" s="576" t="s">
        <v>1751</v>
      </c>
      <c r="AA569" s="577">
        <v>1140</v>
      </c>
      <c r="AB569" s="575"/>
    </row>
    <row r="570" spans="1:28" hidden="1">
      <c r="A570" s="566" t="s">
        <v>1335</v>
      </c>
      <c r="B570" s="566" t="s">
        <v>466</v>
      </c>
      <c r="C570" s="566" t="s">
        <v>487</v>
      </c>
      <c r="D570" s="566" t="s">
        <v>472</v>
      </c>
      <c r="E570" s="566" t="s">
        <v>473</v>
      </c>
      <c r="F570" s="566" t="s">
        <v>489</v>
      </c>
      <c r="G570" s="567">
        <v>50</v>
      </c>
      <c r="H570" s="566" t="s">
        <v>498</v>
      </c>
      <c r="I570" s="568">
        <v>2</v>
      </c>
      <c r="J570" s="569">
        <v>51</v>
      </c>
      <c r="K570" s="569">
        <v>51</v>
      </c>
      <c r="L570" s="566"/>
      <c r="M570" s="566" t="s">
        <v>476</v>
      </c>
      <c r="N570" s="570">
        <v>1176</v>
      </c>
      <c r="O570" s="566"/>
      <c r="P570" s="566" t="s">
        <v>477</v>
      </c>
      <c r="Q570" s="568">
        <v>909678</v>
      </c>
      <c r="R570" s="568">
        <v>30</v>
      </c>
      <c r="S570" s="566" t="s">
        <v>1346</v>
      </c>
      <c r="T570" s="575" t="s">
        <v>467</v>
      </c>
      <c r="U570" s="575" t="s">
        <v>468</v>
      </c>
      <c r="V570" s="575" t="s">
        <v>469</v>
      </c>
      <c r="W570" s="576" t="s">
        <v>495</v>
      </c>
      <c r="X570" s="575" t="s">
        <v>1337</v>
      </c>
      <c r="Y570" s="575" t="s">
        <v>1338</v>
      </c>
      <c r="Z570" s="576" t="s">
        <v>1752</v>
      </c>
      <c r="AA570" s="577">
        <v>1176</v>
      </c>
      <c r="AB570" s="575"/>
    </row>
    <row r="571" spans="1:28" hidden="1">
      <c r="A571" s="566" t="s">
        <v>1335</v>
      </c>
      <c r="B571" s="566" t="s">
        <v>466</v>
      </c>
      <c r="C571" s="566" t="s">
        <v>487</v>
      </c>
      <c r="D571" s="566" t="s">
        <v>472</v>
      </c>
      <c r="E571" s="566" t="s">
        <v>473</v>
      </c>
      <c r="F571" s="566" t="s">
        <v>489</v>
      </c>
      <c r="G571" s="567">
        <v>50</v>
      </c>
      <c r="H571" s="566" t="s">
        <v>503</v>
      </c>
      <c r="I571" s="568">
        <v>2</v>
      </c>
      <c r="J571" s="569">
        <v>51</v>
      </c>
      <c r="K571" s="569">
        <v>51</v>
      </c>
      <c r="L571" s="566"/>
      <c r="M571" s="566" t="s">
        <v>476</v>
      </c>
      <c r="N571" s="570">
        <v>1212</v>
      </c>
      <c r="O571" s="566"/>
      <c r="P571" s="566" t="s">
        <v>477</v>
      </c>
      <c r="Q571" s="568">
        <v>909678</v>
      </c>
      <c r="R571" s="568">
        <v>31</v>
      </c>
      <c r="S571" s="566" t="s">
        <v>1348</v>
      </c>
      <c r="T571" s="575" t="s">
        <v>467</v>
      </c>
      <c r="U571" s="575" t="s">
        <v>468</v>
      </c>
      <c r="V571" s="575" t="s">
        <v>469</v>
      </c>
      <c r="W571" s="576" t="s">
        <v>1276</v>
      </c>
      <c r="X571" s="575" t="s">
        <v>1337</v>
      </c>
      <c r="Y571" s="575" t="s">
        <v>1338</v>
      </c>
      <c r="Z571" s="576" t="s">
        <v>1753</v>
      </c>
      <c r="AA571" s="577">
        <v>1212</v>
      </c>
      <c r="AB571" s="575"/>
    </row>
    <row r="572" spans="1:28" hidden="1">
      <c r="A572" s="566" t="s">
        <v>1335</v>
      </c>
      <c r="B572" s="566" t="s">
        <v>466</v>
      </c>
      <c r="C572" s="566" t="s">
        <v>487</v>
      </c>
      <c r="D572" s="566" t="s">
        <v>472</v>
      </c>
      <c r="E572" s="566" t="s">
        <v>473</v>
      </c>
      <c r="F572" s="566" t="s">
        <v>489</v>
      </c>
      <c r="G572" s="567">
        <v>50</v>
      </c>
      <c r="H572" s="566" t="s">
        <v>508</v>
      </c>
      <c r="I572" s="568">
        <v>2</v>
      </c>
      <c r="J572" s="569">
        <v>51</v>
      </c>
      <c r="K572" s="569">
        <v>51</v>
      </c>
      <c r="L572" s="566"/>
      <c r="M572" s="566" t="s">
        <v>476</v>
      </c>
      <c r="N572" s="570">
        <v>1248</v>
      </c>
      <c r="O572" s="566"/>
      <c r="P572" s="566" t="s">
        <v>477</v>
      </c>
      <c r="Q572" s="568">
        <v>909678</v>
      </c>
      <c r="R572" s="568">
        <v>32</v>
      </c>
      <c r="S572" s="566" t="s">
        <v>1350</v>
      </c>
      <c r="T572" s="575" t="s">
        <v>467</v>
      </c>
      <c r="U572" s="575" t="s">
        <v>468</v>
      </c>
      <c r="V572" s="575" t="s">
        <v>469</v>
      </c>
      <c r="W572" s="576" t="s">
        <v>1277</v>
      </c>
      <c r="X572" s="575" t="s">
        <v>1337</v>
      </c>
      <c r="Y572" s="575" t="s">
        <v>1338</v>
      </c>
      <c r="Z572" s="576" t="s">
        <v>1754</v>
      </c>
      <c r="AA572" s="577">
        <v>1248</v>
      </c>
      <c r="AB572" s="575"/>
    </row>
    <row r="573" spans="1:28" hidden="1">
      <c r="A573" s="566" t="s">
        <v>1335</v>
      </c>
      <c r="B573" s="566" t="s">
        <v>466</v>
      </c>
      <c r="C573" s="566" t="s">
        <v>471</v>
      </c>
      <c r="D573" s="566" t="s">
        <v>472</v>
      </c>
      <c r="E573" s="566" t="s">
        <v>473</v>
      </c>
      <c r="F573" s="566" t="s">
        <v>474</v>
      </c>
      <c r="G573" s="567">
        <v>0</v>
      </c>
      <c r="H573" s="566" t="s">
        <v>1755</v>
      </c>
      <c r="I573" s="568">
        <v>2</v>
      </c>
      <c r="J573" s="569">
        <v>51</v>
      </c>
      <c r="K573" s="569">
        <v>51</v>
      </c>
      <c r="L573" s="566"/>
      <c r="M573" s="566" t="s">
        <v>476</v>
      </c>
      <c r="N573" s="570">
        <v>1284</v>
      </c>
      <c r="O573" s="566"/>
      <c r="P573" s="566" t="s">
        <v>477</v>
      </c>
      <c r="Q573" s="568">
        <v>909678</v>
      </c>
      <c r="R573" s="568">
        <v>27</v>
      </c>
      <c r="S573" s="566" t="s">
        <v>1353</v>
      </c>
      <c r="T573" s="575" t="s">
        <v>467</v>
      </c>
      <c r="U573" s="575" t="s">
        <v>468</v>
      </c>
      <c r="V573" s="575" t="s">
        <v>469</v>
      </c>
      <c r="W573" s="576" t="s">
        <v>1354</v>
      </c>
      <c r="X573" s="575" t="s">
        <v>1337</v>
      </c>
      <c r="Y573" s="575" t="s">
        <v>1338</v>
      </c>
      <c r="Z573" s="576" t="s">
        <v>1756</v>
      </c>
      <c r="AA573" s="577">
        <v>1284</v>
      </c>
      <c r="AB573" s="575"/>
    </row>
    <row r="574" spans="1:28" hidden="1">
      <c r="A574" s="566" t="s">
        <v>1335</v>
      </c>
      <c r="B574" s="566" t="s">
        <v>466</v>
      </c>
      <c r="C574" s="566" t="s">
        <v>487</v>
      </c>
      <c r="D574" s="566" t="s">
        <v>472</v>
      </c>
      <c r="E574" s="566" t="s">
        <v>473</v>
      </c>
      <c r="F574" s="566" t="s">
        <v>489</v>
      </c>
      <c r="G574" s="567">
        <v>50</v>
      </c>
      <c r="H574" s="566" t="s">
        <v>1757</v>
      </c>
      <c r="I574" s="568">
        <v>2</v>
      </c>
      <c r="J574" s="569">
        <v>51</v>
      </c>
      <c r="K574" s="569">
        <v>51</v>
      </c>
      <c r="L574" s="566"/>
      <c r="M574" s="566" t="s">
        <v>476</v>
      </c>
      <c r="N574" s="570">
        <v>1320</v>
      </c>
      <c r="O574" s="566"/>
      <c r="P574" s="566" t="s">
        <v>477</v>
      </c>
      <c r="Q574" s="568">
        <v>909678</v>
      </c>
      <c r="R574" s="568">
        <v>33</v>
      </c>
      <c r="S574" s="566" t="s">
        <v>1357</v>
      </c>
      <c r="T574" s="575" t="s">
        <v>467</v>
      </c>
      <c r="U574" s="575" t="s">
        <v>468</v>
      </c>
      <c r="V574" s="575" t="s">
        <v>469</v>
      </c>
      <c r="W574" s="576" t="s">
        <v>1358</v>
      </c>
      <c r="X574" s="575" t="s">
        <v>1337</v>
      </c>
      <c r="Y574" s="575" t="s">
        <v>1338</v>
      </c>
      <c r="Z574" s="576" t="s">
        <v>1758</v>
      </c>
      <c r="AA574" s="577">
        <v>1320</v>
      </c>
      <c r="AB574" s="575"/>
    </row>
    <row r="575" spans="1:28" hidden="1">
      <c r="A575" s="566" t="s">
        <v>1335</v>
      </c>
      <c r="B575" s="566" t="s">
        <v>466</v>
      </c>
      <c r="C575" s="566" t="s">
        <v>471</v>
      </c>
      <c r="D575" s="566" t="s">
        <v>472</v>
      </c>
      <c r="E575" s="566" t="s">
        <v>473</v>
      </c>
      <c r="F575" s="566" t="s">
        <v>474</v>
      </c>
      <c r="G575" s="567">
        <v>0</v>
      </c>
      <c r="H575" s="566" t="s">
        <v>511</v>
      </c>
      <c r="I575" s="568">
        <v>2</v>
      </c>
      <c r="J575" s="569">
        <v>51</v>
      </c>
      <c r="K575" s="569">
        <v>51</v>
      </c>
      <c r="L575" s="566"/>
      <c r="M575" s="566" t="s">
        <v>476</v>
      </c>
      <c r="N575" s="570">
        <v>924</v>
      </c>
      <c r="O575" s="566"/>
      <c r="P575" s="566" t="s">
        <v>477</v>
      </c>
      <c r="Q575" s="568">
        <v>909678</v>
      </c>
      <c r="R575" s="568">
        <v>22</v>
      </c>
      <c r="S575" s="566" t="s">
        <v>1360</v>
      </c>
      <c r="T575" s="575" t="s">
        <v>467</v>
      </c>
      <c r="U575" s="575" t="s">
        <v>468</v>
      </c>
      <c r="V575" s="575" t="s">
        <v>469</v>
      </c>
      <c r="W575" s="576" t="s">
        <v>509</v>
      </c>
      <c r="X575" s="575" t="s">
        <v>1337</v>
      </c>
      <c r="Y575" s="575" t="s">
        <v>1338</v>
      </c>
      <c r="Z575" s="576" t="s">
        <v>1759</v>
      </c>
      <c r="AA575" s="577">
        <v>924</v>
      </c>
      <c r="AB575" s="575"/>
    </row>
    <row r="576" spans="1:28" hidden="1">
      <c r="A576" s="566" t="s">
        <v>1335</v>
      </c>
      <c r="B576" s="566" t="s">
        <v>466</v>
      </c>
      <c r="C576" s="566" t="s">
        <v>471</v>
      </c>
      <c r="D576" s="566" t="s">
        <v>472</v>
      </c>
      <c r="E576" s="566" t="s">
        <v>473</v>
      </c>
      <c r="F576" s="566" t="s">
        <v>474</v>
      </c>
      <c r="G576" s="567">
        <v>0</v>
      </c>
      <c r="H576" s="566" t="s">
        <v>213</v>
      </c>
      <c r="I576" s="568">
        <v>2</v>
      </c>
      <c r="J576" s="569">
        <v>51</v>
      </c>
      <c r="K576" s="569">
        <v>51</v>
      </c>
      <c r="L576" s="566"/>
      <c r="M576" s="566" t="s">
        <v>476</v>
      </c>
      <c r="N576" s="570">
        <v>960</v>
      </c>
      <c r="O576" s="566"/>
      <c r="P576" s="566" t="s">
        <v>477</v>
      </c>
      <c r="Q576" s="568">
        <v>909678</v>
      </c>
      <c r="R576" s="568">
        <v>23</v>
      </c>
      <c r="S576" s="566" t="s">
        <v>1362</v>
      </c>
      <c r="T576" s="575" t="s">
        <v>467</v>
      </c>
      <c r="U576" s="575" t="s">
        <v>468</v>
      </c>
      <c r="V576" s="575" t="s">
        <v>469</v>
      </c>
      <c r="W576" s="576" t="s">
        <v>512</v>
      </c>
      <c r="X576" s="575" t="s">
        <v>1337</v>
      </c>
      <c r="Y576" s="575" t="s">
        <v>1338</v>
      </c>
      <c r="Z576" s="576" t="s">
        <v>1760</v>
      </c>
      <c r="AA576" s="577">
        <v>960</v>
      </c>
      <c r="AB576" s="575"/>
    </row>
    <row r="577" spans="1:28" hidden="1">
      <c r="A577" s="566" t="s">
        <v>1335</v>
      </c>
      <c r="B577" s="566" t="s">
        <v>466</v>
      </c>
      <c r="C577" s="566" t="s">
        <v>471</v>
      </c>
      <c r="D577" s="566" t="s">
        <v>472</v>
      </c>
      <c r="E577" s="566" t="s">
        <v>473</v>
      </c>
      <c r="F577" s="566" t="s">
        <v>474</v>
      </c>
      <c r="G577" s="567">
        <v>0</v>
      </c>
      <c r="H577" s="566" t="s">
        <v>516</v>
      </c>
      <c r="I577" s="568">
        <v>2</v>
      </c>
      <c r="J577" s="569">
        <v>51</v>
      </c>
      <c r="K577" s="569">
        <v>51</v>
      </c>
      <c r="L577" s="566"/>
      <c r="M577" s="566" t="s">
        <v>476</v>
      </c>
      <c r="N577" s="570">
        <v>996</v>
      </c>
      <c r="O577" s="566"/>
      <c r="P577" s="566" t="s">
        <v>477</v>
      </c>
      <c r="Q577" s="568">
        <v>909678</v>
      </c>
      <c r="R577" s="568">
        <v>24</v>
      </c>
      <c r="S577" s="566" t="s">
        <v>1364</v>
      </c>
      <c r="T577" s="575" t="s">
        <v>467</v>
      </c>
      <c r="U577" s="575" t="s">
        <v>468</v>
      </c>
      <c r="V577" s="575" t="s">
        <v>469</v>
      </c>
      <c r="W577" s="576" t="s">
        <v>514</v>
      </c>
      <c r="X577" s="575" t="s">
        <v>1337</v>
      </c>
      <c r="Y577" s="575" t="s">
        <v>1338</v>
      </c>
      <c r="Z577" s="576" t="s">
        <v>1761</v>
      </c>
      <c r="AA577" s="577">
        <v>996</v>
      </c>
      <c r="AB577" s="575"/>
    </row>
    <row r="578" spans="1:28" hidden="1">
      <c r="A578" s="566" t="s">
        <v>1335</v>
      </c>
      <c r="B578" s="566" t="s">
        <v>466</v>
      </c>
      <c r="C578" s="566" t="s">
        <v>471</v>
      </c>
      <c r="D578" s="566" t="s">
        <v>472</v>
      </c>
      <c r="E578" s="566" t="s">
        <v>473</v>
      </c>
      <c r="F578" s="566" t="s">
        <v>474</v>
      </c>
      <c r="G578" s="567">
        <v>0</v>
      </c>
      <c r="H578" s="566" t="s">
        <v>479</v>
      </c>
      <c r="I578" s="568">
        <v>2</v>
      </c>
      <c r="J578" s="569">
        <v>75</v>
      </c>
      <c r="K578" s="569">
        <v>75</v>
      </c>
      <c r="L578" s="566"/>
      <c r="M578" s="566" t="s">
        <v>476</v>
      </c>
      <c r="N578" s="570">
        <v>1572</v>
      </c>
      <c r="O578" s="566"/>
      <c r="P578" s="566" t="s">
        <v>477</v>
      </c>
      <c r="Q578" s="568">
        <v>909678</v>
      </c>
      <c r="R578" s="568">
        <v>40</v>
      </c>
      <c r="S578" s="566" t="s">
        <v>1366</v>
      </c>
      <c r="T578" s="575" t="s">
        <v>467</v>
      </c>
      <c r="U578" s="575" t="s">
        <v>468</v>
      </c>
      <c r="V578" s="575" t="s">
        <v>469</v>
      </c>
      <c r="W578" s="576" t="s">
        <v>1274</v>
      </c>
      <c r="X578" s="575" t="s">
        <v>1337</v>
      </c>
      <c r="Y578" s="575" t="s">
        <v>1367</v>
      </c>
      <c r="Z578" s="576" t="s">
        <v>1762</v>
      </c>
      <c r="AA578" s="577">
        <v>1572</v>
      </c>
      <c r="AB578" s="575"/>
    </row>
    <row r="579" spans="1:28" hidden="1">
      <c r="A579" s="566" t="s">
        <v>1335</v>
      </c>
      <c r="B579" s="566" t="s">
        <v>466</v>
      </c>
      <c r="C579" s="566" t="s">
        <v>471</v>
      </c>
      <c r="D579" s="566" t="s">
        <v>472</v>
      </c>
      <c r="E579" s="566" t="s">
        <v>473</v>
      </c>
      <c r="F579" s="566" t="s">
        <v>474</v>
      </c>
      <c r="G579" s="567">
        <v>0</v>
      </c>
      <c r="H579" s="566" t="s">
        <v>484</v>
      </c>
      <c r="I579" s="568">
        <v>2</v>
      </c>
      <c r="J579" s="569">
        <v>75</v>
      </c>
      <c r="K579" s="569">
        <v>75</v>
      </c>
      <c r="L579" s="566"/>
      <c r="M579" s="566" t="s">
        <v>476</v>
      </c>
      <c r="N579" s="570">
        <v>1608</v>
      </c>
      <c r="O579" s="566"/>
      <c r="P579" s="566" t="s">
        <v>477</v>
      </c>
      <c r="Q579" s="568">
        <v>909678</v>
      </c>
      <c r="R579" s="568">
        <v>41</v>
      </c>
      <c r="S579" s="566" t="s">
        <v>1369</v>
      </c>
      <c r="T579" s="575" t="s">
        <v>467</v>
      </c>
      <c r="U579" s="575" t="s">
        <v>468</v>
      </c>
      <c r="V579" s="575" t="s">
        <v>469</v>
      </c>
      <c r="W579" s="576" t="s">
        <v>1275</v>
      </c>
      <c r="X579" s="575" t="s">
        <v>1337</v>
      </c>
      <c r="Y579" s="575" t="s">
        <v>1367</v>
      </c>
      <c r="Z579" s="576" t="s">
        <v>1763</v>
      </c>
      <c r="AA579" s="577">
        <v>1608</v>
      </c>
      <c r="AB579" s="575"/>
    </row>
    <row r="580" spans="1:28" hidden="1">
      <c r="A580" s="566" t="s">
        <v>1335</v>
      </c>
      <c r="B580" s="566" t="s">
        <v>466</v>
      </c>
      <c r="C580" s="566" t="s">
        <v>487</v>
      </c>
      <c r="D580" s="566" t="s">
        <v>472</v>
      </c>
      <c r="E580" s="566" t="s">
        <v>473</v>
      </c>
      <c r="F580" s="566" t="s">
        <v>489</v>
      </c>
      <c r="G580" s="567">
        <v>50</v>
      </c>
      <c r="H580" s="566" t="s">
        <v>503</v>
      </c>
      <c r="I580" s="568">
        <v>2</v>
      </c>
      <c r="J580" s="569">
        <v>75</v>
      </c>
      <c r="K580" s="569">
        <v>75</v>
      </c>
      <c r="L580" s="566"/>
      <c r="M580" s="566" t="s">
        <v>476</v>
      </c>
      <c r="N580" s="570">
        <v>1644</v>
      </c>
      <c r="O580" s="566"/>
      <c r="P580" s="566" t="s">
        <v>477</v>
      </c>
      <c r="Q580" s="568">
        <v>909678</v>
      </c>
      <c r="R580" s="568">
        <v>43</v>
      </c>
      <c r="S580" s="566" t="s">
        <v>1371</v>
      </c>
      <c r="T580" s="575" t="s">
        <v>467</v>
      </c>
      <c r="U580" s="575" t="s">
        <v>468</v>
      </c>
      <c r="V580" s="575" t="s">
        <v>469</v>
      </c>
      <c r="W580" s="576" t="s">
        <v>1276</v>
      </c>
      <c r="X580" s="575" t="s">
        <v>1337</v>
      </c>
      <c r="Y580" s="575" t="s">
        <v>1367</v>
      </c>
      <c r="Z580" s="576" t="s">
        <v>1764</v>
      </c>
      <c r="AA580" s="577">
        <v>1644</v>
      </c>
      <c r="AB580" s="575"/>
    </row>
    <row r="581" spans="1:28" hidden="1">
      <c r="A581" s="566" t="s">
        <v>1335</v>
      </c>
      <c r="B581" s="566" t="s">
        <v>466</v>
      </c>
      <c r="C581" s="566" t="s">
        <v>487</v>
      </c>
      <c r="D581" s="566" t="s">
        <v>472</v>
      </c>
      <c r="E581" s="566" t="s">
        <v>473</v>
      </c>
      <c r="F581" s="566" t="s">
        <v>489</v>
      </c>
      <c r="G581" s="567">
        <v>50</v>
      </c>
      <c r="H581" s="566" t="s">
        <v>508</v>
      </c>
      <c r="I581" s="568">
        <v>2</v>
      </c>
      <c r="J581" s="569">
        <v>75</v>
      </c>
      <c r="K581" s="569">
        <v>75</v>
      </c>
      <c r="L581" s="566"/>
      <c r="M581" s="566" t="s">
        <v>476</v>
      </c>
      <c r="N581" s="570">
        <v>1680</v>
      </c>
      <c r="O581" s="566"/>
      <c r="P581" s="566" t="s">
        <v>477</v>
      </c>
      <c r="Q581" s="568">
        <v>909678</v>
      </c>
      <c r="R581" s="568">
        <v>44</v>
      </c>
      <c r="S581" s="566" t="s">
        <v>1373</v>
      </c>
      <c r="T581" s="575" t="s">
        <v>467</v>
      </c>
      <c r="U581" s="575" t="s">
        <v>468</v>
      </c>
      <c r="V581" s="575" t="s">
        <v>469</v>
      </c>
      <c r="W581" s="576" t="s">
        <v>1277</v>
      </c>
      <c r="X581" s="575" t="s">
        <v>1337</v>
      </c>
      <c r="Y581" s="575" t="s">
        <v>1367</v>
      </c>
      <c r="Z581" s="576" t="s">
        <v>1765</v>
      </c>
      <c r="AA581" s="577">
        <v>1680</v>
      </c>
      <c r="AB581" s="575"/>
    </row>
    <row r="582" spans="1:28" hidden="1">
      <c r="A582" s="566" t="s">
        <v>1335</v>
      </c>
      <c r="B582" s="566" t="s">
        <v>466</v>
      </c>
      <c r="C582" s="566" t="s">
        <v>471</v>
      </c>
      <c r="D582" s="566" t="s">
        <v>472</v>
      </c>
      <c r="E582" s="566" t="s">
        <v>473</v>
      </c>
      <c r="F582" s="566" t="s">
        <v>474</v>
      </c>
      <c r="G582" s="567">
        <v>0</v>
      </c>
      <c r="H582" s="566" t="s">
        <v>1755</v>
      </c>
      <c r="I582" s="568">
        <v>2</v>
      </c>
      <c r="J582" s="569">
        <v>75</v>
      </c>
      <c r="K582" s="569">
        <v>75</v>
      </c>
      <c r="L582" s="566"/>
      <c r="M582" s="566" t="s">
        <v>476</v>
      </c>
      <c r="N582" s="570">
        <v>1716</v>
      </c>
      <c r="O582" s="566"/>
      <c r="P582" s="566" t="s">
        <v>477</v>
      </c>
      <c r="Q582" s="568">
        <v>909678</v>
      </c>
      <c r="R582" s="568">
        <v>42</v>
      </c>
      <c r="S582" s="566" t="s">
        <v>1375</v>
      </c>
      <c r="T582" s="575" t="s">
        <v>467</v>
      </c>
      <c r="U582" s="575" t="s">
        <v>468</v>
      </c>
      <c r="V582" s="575" t="s">
        <v>469</v>
      </c>
      <c r="W582" s="576" t="s">
        <v>1354</v>
      </c>
      <c r="X582" s="575" t="s">
        <v>1337</v>
      </c>
      <c r="Y582" s="575" t="s">
        <v>1367</v>
      </c>
      <c r="Z582" s="576" t="s">
        <v>1766</v>
      </c>
      <c r="AA582" s="577">
        <v>1716</v>
      </c>
      <c r="AB582" s="575"/>
    </row>
    <row r="583" spans="1:28" hidden="1">
      <c r="A583" s="566" t="s">
        <v>1335</v>
      </c>
      <c r="B583" s="566" t="s">
        <v>466</v>
      </c>
      <c r="C583" s="566" t="s">
        <v>487</v>
      </c>
      <c r="D583" s="566" t="s">
        <v>472</v>
      </c>
      <c r="E583" s="566" t="s">
        <v>473</v>
      </c>
      <c r="F583" s="566" t="s">
        <v>489</v>
      </c>
      <c r="G583" s="567">
        <v>50</v>
      </c>
      <c r="H583" s="566" t="s">
        <v>1757</v>
      </c>
      <c r="I583" s="568">
        <v>2</v>
      </c>
      <c r="J583" s="569">
        <v>75</v>
      </c>
      <c r="K583" s="569">
        <v>75</v>
      </c>
      <c r="L583" s="566"/>
      <c r="M583" s="566" t="s">
        <v>476</v>
      </c>
      <c r="N583" s="570">
        <v>1752</v>
      </c>
      <c r="O583" s="566"/>
      <c r="P583" s="566" t="s">
        <v>477</v>
      </c>
      <c r="Q583" s="568">
        <v>909678</v>
      </c>
      <c r="R583" s="568">
        <v>45</v>
      </c>
      <c r="S583" s="566" t="s">
        <v>1377</v>
      </c>
      <c r="T583" s="575" t="s">
        <v>467</v>
      </c>
      <c r="U583" s="575" t="s">
        <v>468</v>
      </c>
      <c r="V583" s="575" t="s">
        <v>469</v>
      </c>
      <c r="W583" s="576" t="s">
        <v>1358</v>
      </c>
      <c r="X583" s="575" t="s">
        <v>1337</v>
      </c>
      <c r="Y583" s="575" t="s">
        <v>1367</v>
      </c>
      <c r="Z583" s="576" t="s">
        <v>1767</v>
      </c>
      <c r="AA583" s="577">
        <v>1752</v>
      </c>
      <c r="AB583" s="575"/>
    </row>
    <row r="584" spans="1:28" hidden="1">
      <c r="A584" s="566" t="s">
        <v>1335</v>
      </c>
      <c r="B584" s="566" t="s">
        <v>466</v>
      </c>
      <c r="C584" s="566" t="s">
        <v>471</v>
      </c>
      <c r="D584" s="566" t="s">
        <v>472</v>
      </c>
      <c r="E584" s="566" t="s">
        <v>473</v>
      </c>
      <c r="F584" s="566" t="s">
        <v>474</v>
      </c>
      <c r="G584" s="567">
        <v>0</v>
      </c>
      <c r="H584" s="566" t="s">
        <v>479</v>
      </c>
      <c r="I584" s="568">
        <v>2</v>
      </c>
      <c r="J584" s="569">
        <v>3</v>
      </c>
      <c r="K584" s="569">
        <v>3</v>
      </c>
      <c r="L584" s="566"/>
      <c r="M584" s="566" t="s">
        <v>476</v>
      </c>
      <c r="N584" s="570">
        <v>492</v>
      </c>
      <c r="O584" s="566"/>
      <c r="P584" s="566" t="s">
        <v>477</v>
      </c>
      <c r="Q584" s="568">
        <v>909678</v>
      </c>
      <c r="R584" s="568">
        <v>10</v>
      </c>
      <c r="S584" s="566" t="s">
        <v>1382</v>
      </c>
      <c r="T584" s="575" t="s">
        <v>467</v>
      </c>
      <c r="U584" s="575" t="s">
        <v>468</v>
      </c>
      <c r="V584" s="575" t="s">
        <v>469</v>
      </c>
      <c r="W584" s="576" t="s">
        <v>1274</v>
      </c>
      <c r="X584" s="575" t="s">
        <v>1380</v>
      </c>
      <c r="Y584" s="575" t="s">
        <v>1338</v>
      </c>
      <c r="Z584" s="576" t="s">
        <v>478</v>
      </c>
      <c r="AA584" s="577">
        <v>492</v>
      </c>
      <c r="AB584" s="575"/>
    </row>
    <row r="585" spans="1:28" hidden="1">
      <c r="A585" s="566" t="s">
        <v>1335</v>
      </c>
      <c r="B585" s="566" t="s">
        <v>466</v>
      </c>
      <c r="C585" s="566" t="s">
        <v>471</v>
      </c>
      <c r="D585" s="566" t="s">
        <v>472</v>
      </c>
      <c r="E585" s="566" t="s">
        <v>473</v>
      </c>
      <c r="F585" s="566" t="s">
        <v>474</v>
      </c>
      <c r="G585" s="567">
        <v>0</v>
      </c>
      <c r="H585" s="566" t="s">
        <v>484</v>
      </c>
      <c r="I585" s="568">
        <v>2</v>
      </c>
      <c r="J585" s="569">
        <v>3</v>
      </c>
      <c r="K585" s="569">
        <v>3</v>
      </c>
      <c r="L585" s="566"/>
      <c r="M585" s="566" t="s">
        <v>476</v>
      </c>
      <c r="N585" s="570">
        <v>564</v>
      </c>
      <c r="O585" s="566"/>
      <c r="P585" s="566" t="s">
        <v>477</v>
      </c>
      <c r="Q585" s="568">
        <v>909678</v>
      </c>
      <c r="R585" s="568">
        <v>15</v>
      </c>
      <c r="S585" s="566" t="s">
        <v>483</v>
      </c>
      <c r="T585" s="575" t="s">
        <v>467</v>
      </c>
      <c r="U585" s="575" t="s">
        <v>468</v>
      </c>
      <c r="V585" s="575" t="s">
        <v>469</v>
      </c>
      <c r="W585" s="576" t="s">
        <v>1275</v>
      </c>
      <c r="X585" s="575" t="s">
        <v>1380</v>
      </c>
      <c r="Y585" s="575" t="s">
        <v>1338</v>
      </c>
      <c r="Z585" s="576" t="s">
        <v>482</v>
      </c>
      <c r="AA585" s="577">
        <v>564</v>
      </c>
      <c r="AB585" s="575"/>
    </row>
    <row r="586" spans="1:28" hidden="1">
      <c r="A586" s="566" t="s">
        <v>1335</v>
      </c>
      <c r="B586" s="566" t="s">
        <v>466</v>
      </c>
      <c r="C586" s="566" t="s">
        <v>487</v>
      </c>
      <c r="D586" s="566" t="s">
        <v>472</v>
      </c>
      <c r="E586" s="566" t="s">
        <v>473</v>
      </c>
      <c r="F586" s="566" t="s">
        <v>489</v>
      </c>
      <c r="G586" s="567">
        <v>50</v>
      </c>
      <c r="H586" s="566" t="s">
        <v>490</v>
      </c>
      <c r="I586" s="568">
        <v>2</v>
      </c>
      <c r="J586" s="569">
        <v>3</v>
      </c>
      <c r="K586" s="569">
        <v>3</v>
      </c>
      <c r="L586" s="566"/>
      <c r="M586" s="566" t="s">
        <v>476</v>
      </c>
      <c r="N586" s="570">
        <v>600</v>
      </c>
      <c r="O586" s="566"/>
      <c r="P586" s="566" t="s">
        <v>477</v>
      </c>
      <c r="Q586" s="568">
        <v>909678</v>
      </c>
      <c r="R586" s="568">
        <v>16</v>
      </c>
      <c r="S586" s="566" t="s">
        <v>488</v>
      </c>
      <c r="T586" s="575" t="s">
        <v>467</v>
      </c>
      <c r="U586" s="575" t="s">
        <v>468</v>
      </c>
      <c r="V586" s="575" t="s">
        <v>469</v>
      </c>
      <c r="W586" s="576" t="s">
        <v>485</v>
      </c>
      <c r="X586" s="575" t="s">
        <v>1380</v>
      </c>
      <c r="Y586" s="575" t="s">
        <v>1338</v>
      </c>
      <c r="Z586" s="576" t="s">
        <v>486</v>
      </c>
      <c r="AA586" s="577">
        <v>600</v>
      </c>
      <c r="AB586" s="575"/>
    </row>
    <row r="587" spans="1:28" hidden="1">
      <c r="A587" s="566" t="s">
        <v>1335</v>
      </c>
      <c r="B587" s="566" t="s">
        <v>466</v>
      </c>
      <c r="C587" s="566" t="s">
        <v>487</v>
      </c>
      <c r="D587" s="566" t="s">
        <v>472</v>
      </c>
      <c r="E587" s="566" t="s">
        <v>473</v>
      </c>
      <c r="F587" s="566" t="s">
        <v>489</v>
      </c>
      <c r="G587" s="567">
        <v>50</v>
      </c>
      <c r="H587" s="566" t="s">
        <v>494</v>
      </c>
      <c r="I587" s="568">
        <v>2</v>
      </c>
      <c r="J587" s="569">
        <v>3</v>
      </c>
      <c r="K587" s="569">
        <v>3</v>
      </c>
      <c r="L587" s="566"/>
      <c r="M587" s="566" t="s">
        <v>476</v>
      </c>
      <c r="N587" s="570">
        <v>636</v>
      </c>
      <c r="O587" s="566"/>
      <c r="P587" s="566" t="s">
        <v>477</v>
      </c>
      <c r="Q587" s="568">
        <v>909678</v>
      </c>
      <c r="R587" s="568">
        <v>17</v>
      </c>
      <c r="S587" s="566" t="s">
        <v>493</v>
      </c>
      <c r="T587" s="575" t="s">
        <v>467</v>
      </c>
      <c r="U587" s="575" t="s">
        <v>468</v>
      </c>
      <c r="V587" s="575" t="s">
        <v>469</v>
      </c>
      <c r="W587" s="576" t="s">
        <v>491</v>
      </c>
      <c r="X587" s="575" t="s">
        <v>1380</v>
      </c>
      <c r="Y587" s="575" t="s">
        <v>1338</v>
      </c>
      <c r="Z587" s="576" t="s">
        <v>492</v>
      </c>
      <c r="AA587" s="577">
        <v>636</v>
      </c>
      <c r="AB587" s="575"/>
    </row>
    <row r="588" spans="1:28" hidden="1">
      <c r="A588" s="566" t="s">
        <v>1335</v>
      </c>
      <c r="B588" s="566" t="s">
        <v>466</v>
      </c>
      <c r="C588" s="566" t="s">
        <v>487</v>
      </c>
      <c r="D588" s="566" t="s">
        <v>472</v>
      </c>
      <c r="E588" s="566" t="s">
        <v>473</v>
      </c>
      <c r="F588" s="566" t="s">
        <v>489</v>
      </c>
      <c r="G588" s="567">
        <v>50</v>
      </c>
      <c r="H588" s="566" t="s">
        <v>498</v>
      </c>
      <c r="I588" s="568">
        <v>2</v>
      </c>
      <c r="J588" s="569">
        <v>3</v>
      </c>
      <c r="K588" s="569">
        <v>3</v>
      </c>
      <c r="L588" s="566"/>
      <c r="M588" s="566" t="s">
        <v>476</v>
      </c>
      <c r="N588" s="570">
        <v>672</v>
      </c>
      <c r="O588" s="566"/>
      <c r="P588" s="566" t="s">
        <v>477</v>
      </c>
      <c r="Q588" s="568">
        <v>909678</v>
      </c>
      <c r="R588" s="568">
        <v>18</v>
      </c>
      <c r="S588" s="566" t="s">
        <v>497</v>
      </c>
      <c r="T588" s="575" t="s">
        <v>467</v>
      </c>
      <c r="U588" s="575" t="s">
        <v>468</v>
      </c>
      <c r="V588" s="575" t="s">
        <v>469</v>
      </c>
      <c r="W588" s="576" t="s">
        <v>495</v>
      </c>
      <c r="X588" s="575" t="s">
        <v>1380</v>
      </c>
      <c r="Y588" s="575" t="s">
        <v>1338</v>
      </c>
      <c r="Z588" s="576" t="s">
        <v>496</v>
      </c>
      <c r="AA588" s="577">
        <v>672</v>
      </c>
      <c r="AB588" s="575"/>
    </row>
    <row r="589" spans="1:28" hidden="1">
      <c r="A589" s="566" t="s">
        <v>1335</v>
      </c>
      <c r="B589" s="566" t="s">
        <v>466</v>
      </c>
      <c r="C589" s="566" t="s">
        <v>487</v>
      </c>
      <c r="D589" s="566" t="s">
        <v>472</v>
      </c>
      <c r="E589" s="566" t="s">
        <v>473</v>
      </c>
      <c r="F589" s="566" t="s">
        <v>489</v>
      </c>
      <c r="G589" s="567">
        <v>50</v>
      </c>
      <c r="H589" s="566" t="s">
        <v>503</v>
      </c>
      <c r="I589" s="568">
        <v>2</v>
      </c>
      <c r="J589" s="569">
        <v>3</v>
      </c>
      <c r="K589" s="569">
        <v>3</v>
      </c>
      <c r="L589" s="566"/>
      <c r="M589" s="566" t="s">
        <v>476</v>
      </c>
      <c r="N589" s="570">
        <v>744</v>
      </c>
      <c r="O589" s="566"/>
      <c r="P589" s="566" t="s">
        <v>477</v>
      </c>
      <c r="Q589" s="568">
        <v>909678</v>
      </c>
      <c r="R589" s="568">
        <v>19</v>
      </c>
      <c r="S589" s="566" t="s">
        <v>502</v>
      </c>
      <c r="T589" s="575" t="s">
        <v>467</v>
      </c>
      <c r="U589" s="575" t="s">
        <v>468</v>
      </c>
      <c r="V589" s="575" t="s">
        <v>469</v>
      </c>
      <c r="W589" s="576" t="s">
        <v>1276</v>
      </c>
      <c r="X589" s="575" t="s">
        <v>1380</v>
      </c>
      <c r="Y589" s="575" t="s">
        <v>1338</v>
      </c>
      <c r="Z589" s="576" t="s">
        <v>501</v>
      </c>
      <c r="AA589" s="577">
        <v>744</v>
      </c>
      <c r="AB589" s="575"/>
    </row>
    <row r="590" spans="1:28" hidden="1">
      <c r="A590" s="566" t="s">
        <v>1335</v>
      </c>
      <c r="B590" s="566" t="s">
        <v>466</v>
      </c>
      <c r="C590" s="566" t="s">
        <v>487</v>
      </c>
      <c r="D590" s="566" t="s">
        <v>472</v>
      </c>
      <c r="E590" s="566" t="s">
        <v>473</v>
      </c>
      <c r="F590" s="566" t="s">
        <v>489</v>
      </c>
      <c r="G590" s="567">
        <v>50</v>
      </c>
      <c r="H590" s="566" t="s">
        <v>508</v>
      </c>
      <c r="I590" s="568">
        <v>2</v>
      </c>
      <c r="J590" s="569">
        <v>3</v>
      </c>
      <c r="K590" s="569">
        <v>3</v>
      </c>
      <c r="L590" s="566"/>
      <c r="M590" s="566" t="s">
        <v>476</v>
      </c>
      <c r="N590" s="570">
        <v>816</v>
      </c>
      <c r="O590" s="566"/>
      <c r="P590" s="566" t="s">
        <v>477</v>
      </c>
      <c r="Q590" s="568">
        <v>909678</v>
      </c>
      <c r="R590" s="568">
        <v>21</v>
      </c>
      <c r="S590" s="566" t="s">
        <v>507</v>
      </c>
      <c r="T590" s="575" t="s">
        <v>467</v>
      </c>
      <c r="U590" s="575" t="s">
        <v>468</v>
      </c>
      <c r="V590" s="575" t="s">
        <v>469</v>
      </c>
      <c r="W590" s="576" t="s">
        <v>1277</v>
      </c>
      <c r="X590" s="575" t="s">
        <v>1380</v>
      </c>
      <c r="Y590" s="575" t="s">
        <v>1338</v>
      </c>
      <c r="Z590" s="576" t="s">
        <v>506</v>
      </c>
      <c r="AA590" s="577">
        <v>816</v>
      </c>
      <c r="AB590" s="575"/>
    </row>
    <row r="591" spans="1:28" hidden="1">
      <c r="A591" s="566" t="s">
        <v>1335</v>
      </c>
      <c r="B591" s="566" t="s">
        <v>466</v>
      </c>
      <c r="C591" s="566" t="s">
        <v>471</v>
      </c>
      <c r="D591" s="566" t="s">
        <v>472</v>
      </c>
      <c r="E591" s="566" t="s">
        <v>473</v>
      </c>
      <c r="F591" s="566" t="s">
        <v>474</v>
      </c>
      <c r="G591" s="567">
        <v>0</v>
      </c>
      <c r="H591" s="566" t="s">
        <v>1755</v>
      </c>
      <c r="I591" s="568">
        <v>2</v>
      </c>
      <c r="J591" s="569">
        <v>3</v>
      </c>
      <c r="K591" s="569">
        <v>3</v>
      </c>
      <c r="L591" s="566"/>
      <c r="M591" s="566" t="s">
        <v>476</v>
      </c>
      <c r="N591" s="570">
        <v>852</v>
      </c>
      <c r="O591" s="566"/>
      <c r="P591" s="566" t="s">
        <v>477</v>
      </c>
      <c r="Q591" s="568">
        <v>909678</v>
      </c>
      <c r="R591" s="568">
        <v>46</v>
      </c>
      <c r="S591" s="566" t="s">
        <v>1383</v>
      </c>
      <c r="T591" s="575" t="s">
        <v>467</v>
      </c>
      <c r="U591" s="575" t="s">
        <v>468</v>
      </c>
      <c r="V591" s="575" t="s">
        <v>469</v>
      </c>
      <c r="W591" s="576" t="s">
        <v>1354</v>
      </c>
      <c r="X591" s="575" t="s">
        <v>1380</v>
      </c>
      <c r="Y591" s="575" t="s">
        <v>1338</v>
      </c>
      <c r="Z591" s="576" t="s">
        <v>1768</v>
      </c>
      <c r="AA591" s="577">
        <v>852</v>
      </c>
      <c r="AB591" s="575"/>
    </row>
    <row r="592" spans="1:28" hidden="1">
      <c r="A592" s="566" t="s">
        <v>1335</v>
      </c>
      <c r="B592" s="566" t="s">
        <v>466</v>
      </c>
      <c r="C592" s="566" t="s">
        <v>487</v>
      </c>
      <c r="D592" s="566" t="s">
        <v>472</v>
      </c>
      <c r="E592" s="566" t="s">
        <v>473</v>
      </c>
      <c r="F592" s="566" t="s">
        <v>489</v>
      </c>
      <c r="G592" s="567">
        <v>50</v>
      </c>
      <c r="H592" s="566" t="s">
        <v>1757</v>
      </c>
      <c r="I592" s="568">
        <v>2</v>
      </c>
      <c r="J592" s="569">
        <v>3</v>
      </c>
      <c r="K592" s="569">
        <v>3</v>
      </c>
      <c r="L592" s="566"/>
      <c r="M592" s="566" t="s">
        <v>476</v>
      </c>
      <c r="N592" s="570">
        <v>888</v>
      </c>
      <c r="O592" s="566"/>
      <c r="P592" s="566" t="s">
        <v>477</v>
      </c>
      <c r="Q592" s="568">
        <v>909678</v>
      </c>
      <c r="R592" s="568">
        <v>47</v>
      </c>
      <c r="S592" s="566" t="s">
        <v>1385</v>
      </c>
      <c r="T592" s="575" t="s">
        <v>467</v>
      </c>
      <c r="U592" s="575" t="s">
        <v>468</v>
      </c>
      <c r="V592" s="575" t="s">
        <v>469</v>
      </c>
      <c r="W592" s="576" t="s">
        <v>1358</v>
      </c>
      <c r="X592" s="575" t="s">
        <v>1380</v>
      </c>
      <c r="Y592" s="575" t="s">
        <v>1338</v>
      </c>
      <c r="Z592" s="576" t="s">
        <v>1769</v>
      </c>
      <c r="AA592" s="577">
        <v>888</v>
      </c>
      <c r="AB592" s="575"/>
    </row>
    <row r="593" spans="1:28" hidden="1">
      <c r="A593" s="566" t="s">
        <v>1335</v>
      </c>
      <c r="B593" s="566" t="s">
        <v>466</v>
      </c>
      <c r="C593" s="566" t="s">
        <v>471</v>
      </c>
      <c r="D593" s="566" t="s">
        <v>472</v>
      </c>
      <c r="E593" s="566" t="s">
        <v>473</v>
      </c>
      <c r="F593" s="566" t="s">
        <v>474</v>
      </c>
      <c r="G593" s="567">
        <v>0</v>
      </c>
      <c r="H593" s="566" t="s">
        <v>511</v>
      </c>
      <c r="I593" s="568">
        <v>2</v>
      </c>
      <c r="J593" s="569">
        <v>3</v>
      </c>
      <c r="K593" s="569">
        <v>3</v>
      </c>
      <c r="L593" s="566"/>
      <c r="M593" s="566" t="s">
        <v>476</v>
      </c>
      <c r="N593" s="570">
        <v>348</v>
      </c>
      <c r="O593" s="566"/>
      <c r="P593" s="566" t="s">
        <v>477</v>
      </c>
      <c r="Q593" s="568">
        <v>909678</v>
      </c>
      <c r="R593" s="568">
        <v>5</v>
      </c>
      <c r="S593" s="566" t="s">
        <v>1392</v>
      </c>
      <c r="T593" s="575" t="s">
        <v>467</v>
      </c>
      <c r="U593" s="575" t="s">
        <v>468</v>
      </c>
      <c r="V593" s="575" t="s">
        <v>469</v>
      </c>
      <c r="W593" s="576" t="s">
        <v>509</v>
      </c>
      <c r="X593" s="575" t="s">
        <v>1380</v>
      </c>
      <c r="Y593" s="575" t="s">
        <v>1338</v>
      </c>
      <c r="Z593" s="576" t="s">
        <v>510</v>
      </c>
      <c r="AA593" s="577">
        <v>348</v>
      </c>
      <c r="AB593" s="575"/>
    </row>
    <row r="594" spans="1:28" hidden="1">
      <c r="A594" s="566" t="s">
        <v>1335</v>
      </c>
      <c r="B594" s="566" t="s">
        <v>466</v>
      </c>
      <c r="C594" s="566" t="s">
        <v>471</v>
      </c>
      <c r="D594" s="566" t="s">
        <v>472</v>
      </c>
      <c r="E594" s="566" t="s">
        <v>473</v>
      </c>
      <c r="F594" s="566" t="s">
        <v>474</v>
      </c>
      <c r="G594" s="567">
        <v>0</v>
      </c>
      <c r="H594" s="566" t="s">
        <v>213</v>
      </c>
      <c r="I594" s="568">
        <v>2</v>
      </c>
      <c r="J594" s="569">
        <v>3</v>
      </c>
      <c r="K594" s="569">
        <v>3</v>
      </c>
      <c r="L594" s="566"/>
      <c r="M594" s="566" t="s">
        <v>476</v>
      </c>
      <c r="N594" s="570">
        <v>384</v>
      </c>
      <c r="O594" s="566"/>
      <c r="P594" s="566" t="s">
        <v>477</v>
      </c>
      <c r="Q594" s="568">
        <v>909678</v>
      </c>
      <c r="R594" s="568">
        <v>6</v>
      </c>
      <c r="S594" s="566" t="s">
        <v>1393</v>
      </c>
      <c r="T594" s="575" t="s">
        <v>467</v>
      </c>
      <c r="U594" s="575" t="s">
        <v>468</v>
      </c>
      <c r="V594" s="575" t="s">
        <v>469</v>
      </c>
      <c r="W594" s="576" t="s">
        <v>512</v>
      </c>
      <c r="X594" s="575" t="s">
        <v>1380</v>
      </c>
      <c r="Y594" s="575" t="s">
        <v>1338</v>
      </c>
      <c r="Z594" s="576" t="s">
        <v>513</v>
      </c>
      <c r="AA594" s="577">
        <v>384</v>
      </c>
      <c r="AB594" s="575"/>
    </row>
    <row r="595" spans="1:28" hidden="1">
      <c r="A595" s="566" t="s">
        <v>1335</v>
      </c>
      <c r="B595" s="566" t="s">
        <v>466</v>
      </c>
      <c r="C595" s="566" t="s">
        <v>471</v>
      </c>
      <c r="D595" s="566" t="s">
        <v>472</v>
      </c>
      <c r="E595" s="566" t="s">
        <v>473</v>
      </c>
      <c r="F595" s="566" t="s">
        <v>474</v>
      </c>
      <c r="G595" s="567">
        <v>0</v>
      </c>
      <c r="H595" s="566" t="s">
        <v>516</v>
      </c>
      <c r="I595" s="568">
        <v>2</v>
      </c>
      <c r="J595" s="569">
        <v>3</v>
      </c>
      <c r="K595" s="569">
        <v>3</v>
      </c>
      <c r="L595" s="566"/>
      <c r="M595" s="566" t="s">
        <v>476</v>
      </c>
      <c r="N595" s="570">
        <v>420</v>
      </c>
      <c r="O595" s="566"/>
      <c r="P595" s="566" t="s">
        <v>477</v>
      </c>
      <c r="Q595" s="568">
        <v>909678</v>
      </c>
      <c r="R595" s="568">
        <v>14</v>
      </c>
      <c r="S595" s="566" t="s">
        <v>1394</v>
      </c>
      <c r="T595" s="575" t="s">
        <v>467</v>
      </c>
      <c r="U595" s="575" t="s">
        <v>468</v>
      </c>
      <c r="V595" s="575" t="s">
        <v>469</v>
      </c>
      <c r="W595" s="576" t="s">
        <v>514</v>
      </c>
      <c r="X595" s="575" t="s">
        <v>1380</v>
      </c>
      <c r="Y595" s="575" t="s">
        <v>1338</v>
      </c>
      <c r="Z595" s="576" t="s">
        <v>515</v>
      </c>
      <c r="AA595" s="577">
        <v>420</v>
      </c>
      <c r="AB595" s="575"/>
    </row>
    <row r="596" spans="1:28" hidden="1">
      <c r="A596" s="566" t="s">
        <v>1335</v>
      </c>
      <c r="B596" s="566" t="s">
        <v>466</v>
      </c>
      <c r="C596" s="566" t="s">
        <v>471</v>
      </c>
      <c r="D596" s="566" t="s">
        <v>472</v>
      </c>
      <c r="E596" s="566" t="s">
        <v>473</v>
      </c>
      <c r="F596" s="566" t="s">
        <v>474</v>
      </c>
      <c r="G596" s="567">
        <v>0</v>
      </c>
      <c r="H596" s="566" t="s">
        <v>479</v>
      </c>
      <c r="I596" s="568">
        <v>2</v>
      </c>
      <c r="J596" s="569">
        <v>27</v>
      </c>
      <c r="K596" s="569">
        <v>27</v>
      </c>
      <c r="L596" s="566"/>
      <c r="M596" s="566" t="s">
        <v>476</v>
      </c>
      <c r="N596" s="570">
        <v>1356</v>
      </c>
      <c r="O596" s="566"/>
      <c r="P596" s="566" t="s">
        <v>477</v>
      </c>
      <c r="Q596" s="568">
        <v>909678</v>
      </c>
      <c r="R596" s="568">
        <v>34</v>
      </c>
      <c r="S596" s="566" t="s">
        <v>1395</v>
      </c>
      <c r="T596" s="575" t="s">
        <v>467</v>
      </c>
      <c r="U596" s="575" t="s">
        <v>468</v>
      </c>
      <c r="V596" s="575" t="s">
        <v>469</v>
      </c>
      <c r="W596" s="576" t="s">
        <v>1274</v>
      </c>
      <c r="X596" s="575" t="s">
        <v>1380</v>
      </c>
      <c r="Y596" s="575" t="s">
        <v>1367</v>
      </c>
      <c r="Z596" s="576" t="s">
        <v>1770</v>
      </c>
      <c r="AA596" s="577">
        <v>1356</v>
      </c>
      <c r="AB596" s="575"/>
    </row>
    <row r="597" spans="1:28" hidden="1">
      <c r="A597" s="566" t="s">
        <v>1335</v>
      </c>
      <c r="B597" s="566" t="s">
        <v>466</v>
      </c>
      <c r="C597" s="566" t="s">
        <v>471</v>
      </c>
      <c r="D597" s="566" t="s">
        <v>472</v>
      </c>
      <c r="E597" s="566" t="s">
        <v>473</v>
      </c>
      <c r="F597" s="566" t="s">
        <v>474</v>
      </c>
      <c r="G597" s="567">
        <v>0</v>
      </c>
      <c r="H597" s="566" t="s">
        <v>484</v>
      </c>
      <c r="I597" s="568">
        <v>2</v>
      </c>
      <c r="J597" s="569">
        <v>27</v>
      </c>
      <c r="K597" s="569">
        <v>27</v>
      </c>
      <c r="L597" s="566"/>
      <c r="M597" s="566" t="s">
        <v>476</v>
      </c>
      <c r="N597" s="570">
        <v>1392</v>
      </c>
      <c r="O597" s="566"/>
      <c r="P597" s="566" t="s">
        <v>477</v>
      </c>
      <c r="Q597" s="568">
        <v>909678</v>
      </c>
      <c r="R597" s="568">
        <v>35</v>
      </c>
      <c r="S597" s="566" t="s">
        <v>1397</v>
      </c>
      <c r="T597" s="575" t="s">
        <v>467</v>
      </c>
      <c r="U597" s="575" t="s">
        <v>468</v>
      </c>
      <c r="V597" s="575" t="s">
        <v>469</v>
      </c>
      <c r="W597" s="576" t="s">
        <v>1275</v>
      </c>
      <c r="X597" s="575" t="s">
        <v>1380</v>
      </c>
      <c r="Y597" s="575" t="s">
        <v>1367</v>
      </c>
      <c r="Z597" s="576" t="s">
        <v>1771</v>
      </c>
      <c r="AA597" s="577">
        <v>1392</v>
      </c>
      <c r="AB597" s="575"/>
    </row>
    <row r="598" spans="1:28" hidden="1">
      <c r="A598" s="566" t="s">
        <v>1335</v>
      </c>
      <c r="B598" s="566" t="s">
        <v>466</v>
      </c>
      <c r="C598" s="566" t="s">
        <v>487</v>
      </c>
      <c r="D598" s="566" t="s">
        <v>472</v>
      </c>
      <c r="E598" s="566" t="s">
        <v>473</v>
      </c>
      <c r="F598" s="566" t="s">
        <v>489</v>
      </c>
      <c r="G598" s="567">
        <v>50</v>
      </c>
      <c r="H598" s="566" t="s">
        <v>503</v>
      </c>
      <c r="I598" s="568">
        <v>2</v>
      </c>
      <c r="J598" s="569">
        <v>27</v>
      </c>
      <c r="K598" s="569">
        <v>27</v>
      </c>
      <c r="L598" s="566"/>
      <c r="M598" s="566" t="s">
        <v>476</v>
      </c>
      <c r="N598" s="570">
        <v>1428</v>
      </c>
      <c r="O598" s="566"/>
      <c r="P598" s="566" t="s">
        <v>477</v>
      </c>
      <c r="Q598" s="568">
        <v>909678</v>
      </c>
      <c r="R598" s="568">
        <v>37</v>
      </c>
      <c r="S598" s="566" t="s">
        <v>1399</v>
      </c>
      <c r="T598" s="575" t="s">
        <v>467</v>
      </c>
      <c r="U598" s="575" t="s">
        <v>468</v>
      </c>
      <c r="V598" s="575" t="s">
        <v>469</v>
      </c>
      <c r="W598" s="576" t="s">
        <v>1276</v>
      </c>
      <c r="X598" s="575" t="s">
        <v>1380</v>
      </c>
      <c r="Y598" s="575" t="s">
        <v>1367</v>
      </c>
      <c r="Z598" s="576" t="s">
        <v>1772</v>
      </c>
      <c r="AA598" s="577">
        <v>1428</v>
      </c>
      <c r="AB598" s="575"/>
    </row>
    <row r="599" spans="1:28" hidden="1">
      <c r="A599" s="566" t="s">
        <v>1335</v>
      </c>
      <c r="B599" s="566" t="s">
        <v>466</v>
      </c>
      <c r="C599" s="566" t="s">
        <v>487</v>
      </c>
      <c r="D599" s="566" t="s">
        <v>472</v>
      </c>
      <c r="E599" s="566" t="s">
        <v>473</v>
      </c>
      <c r="F599" s="566" t="s">
        <v>489</v>
      </c>
      <c r="G599" s="567">
        <v>50</v>
      </c>
      <c r="H599" s="566" t="s">
        <v>508</v>
      </c>
      <c r="I599" s="568">
        <v>2</v>
      </c>
      <c r="J599" s="569">
        <v>27</v>
      </c>
      <c r="K599" s="569">
        <v>27</v>
      </c>
      <c r="L599" s="566"/>
      <c r="M599" s="566" t="s">
        <v>476</v>
      </c>
      <c r="N599" s="570">
        <v>1464</v>
      </c>
      <c r="O599" s="566"/>
      <c r="P599" s="566" t="s">
        <v>477</v>
      </c>
      <c r="Q599" s="568">
        <v>909678</v>
      </c>
      <c r="R599" s="568">
        <v>38</v>
      </c>
      <c r="S599" s="566" t="s">
        <v>1401</v>
      </c>
      <c r="T599" s="575" t="s">
        <v>467</v>
      </c>
      <c r="U599" s="575" t="s">
        <v>468</v>
      </c>
      <c r="V599" s="575" t="s">
        <v>469</v>
      </c>
      <c r="W599" s="576" t="s">
        <v>1277</v>
      </c>
      <c r="X599" s="575" t="s">
        <v>1380</v>
      </c>
      <c r="Y599" s="575" t="s">
        <v>1367</v>
      </c>
      <c r="Z599" s="576" t="s">
        <v>1773</v>
      </c>
      <c r="AA599" s="577">
        <v>1464</v>
      </c>
      <c r="AB599" s="575"/>
    </row>
    <row r="600" spans="1:28" hidden="1">
      <c r="A600" s="566" t="s">
        <v>1335</v>
      </c>
      <c r="B600" s="566" t="s">
        <v>466</v>
      </c>
      <c r="C600" s="566" t="s">
        <v>471</v>
      </c>
      <c r="D600" s="566" t="s">
        <v>472</v>
      </c>
      <c r="E600" s="566" t="s">
        <v>473</v>
      </c>
      <c r="F600" s="566" t="s">
        <v>474</v>
      </c>
      <c r="G600" s="567">
        <v>0</v>
      </c>
      <c r="H600" s="566" t="s">
        <v>1755</v>
      </c>
      <c r="I600" s="568">
        <v>2</v>
      </c>
      <c r="J600" s="569">
        <v>27</v>
      </c>
      <c r="K600" s="569">
        <v>27</v>
      </c>
      <c r="L600" s="566"/>
      <c r="M600" s="566" t="s">
        <v>476</v>
      </c>
      <c r="N600" s="570">
        <v>1500</v>
      </c>
      <c r="O600" s="566"/>
      <c r="P600" s="566" t="s">
        <v>477</v>
      </c>
      <c r="Q600" s="568">
        <v>909678</v>
      </c>
      <c r="R600" s="568">
        <v>36</v>
      </c>
      <c r="S600" s="566" t="s">
        <v>1403</v>
      </c>
      <c r="T600" s="575" t="s">
        <v>467</v>
      </c>
      <c r="U600" s="575" t="s">
        <v>468</v>
      </c>
      <c r="V600" s="575" t="s">
        <v>469</v>
      </c>
      <c r="W600" s="576" t="s">
        <v>1354</v>
      </c>
      <c r="X600" s="575" t="s">
        <v>1380</v>
      </c>
      <c r="Y600" s="575" t="s">
        <v>1367</v>
      </c>
      <c r="Z600" s="576" t="s">
        <v>1774</v>
      </c>
      <c r="AA600" s="577">
        <v>1500</v>
      </c>
      <c r="AB600" s="575"/>
    </row>
    <row r="601" spans="1:28" hidden="1">
      <c r="A601" s="566" t="s">
        <v>1335</v>
      </c>
      <c r="B601" s="566" t="s">
        <v>466</v>
      </c>
      <c r="C601" s="566" t="s">
        <v>487</v>
      </c>
      <c r="D601" s="566" t="s">
        <v>472</v>
      </c>
      <c r="E601" s="566" t="s">
        <v>473</v>
      </c>
      <c r="F601" s="566" t="s">
        <v>489</v>
      </c>
      <c r="G601" s="567">
        <v>50</v>
      </c>
      <c r="H601" s="566" t="s">
        <v>1757</v>
      </c>
      <c r="I601" s="568">
        <v>2</v>
      </c>
      <c r="J601" s="569">
        <v>27</v>
      </c>
      <c r="K601" s="569">
        <v>27</v>
      </c>
      <c r="L601" s="566"/>
      <c r="M601" s="566" t="s">
        <v>476</v>
      </c>
      <c r="N601" s="570">
        <v>1536</v>
      </c>
      <c r="O601" s="566"/>
      <c r="P601" s="566" t="s">
        <v>477</v>
      </c>
      <c r="Q601" s="568">
        <v>909678</v>
      </c>
      <c r="R601" s="568">
        <v>39</v>
      </c>
      <c r="S601" s="566" t="s">
        <v>1405</v>
      </c>
      <c r="T601" s="575" t="s">
        <v>467</v>
      </c>
      <c r="U601" s="575" t="s">
        <v>468</v>
      </c>
      <c r="V601" s="575" t="s">
        <v>469</v>
      </c>
      <c r="W601" s="576" t="s">
        <v>1358</v>
      </c>
      <c r="X601" s="575" t="s">
        <v>1380</v>
      </c>
      <c r="Y601" s="575" t="s">
        <v>1367</v>
      </c>
      <c r="Z601" s="576" t="s">
        <v>1775</v>
      </c>
      <c r="AA601" s="577">
        <v>1536</v>
      </c>
      <c r="AB601" s="575"/>
    </row>
    <row r="602" spans="1:28" hidden="1">
      <c r="A602" s="566" t="s">
        <v>1335</v>
      </c>
      <c r="B602" s="566" t="s">
        <v>466</v>
      </c>
      <c r="C602" s="566" t="s">
        <v>471</v>
      </c>
      <c r="D602" s="566" t="s">
        <v>472</v>
      </c>
      <c r="E602" s="566" t="s">
        <v>473</v>
      </c>
      <c r="F602" s="566" t="s">
        <v>474</v>
      </c>
      <c r="G602" s="567">
        <v>0</v>
      </c>
      <c r="H602" s="566" t="s">
        <v>475</v>
      </c>
      <c r="I602" s="568">
        <v>2</v>
      </c>
      <c r="J602" s="569">
        <v>3</v>
      </c>
      <c r="K602" s="569">
        <v>3</v>
      </c>
      <c r="L602" s="566"/>
      <c r="M602" s="566" t="s">
        <v>476</v>
      </c>
      <c r="N602" s="570">
        <v>456</v>
      </c>
      <c r="O602" s="566"/>
      <c r="P602" s="566" t="s">
        <v>477</v>
      </c>
      <c r="Q602" s="568">
        <v>909678</v>
      </c>
      <c r="R602" s="568">
        <v>7</v>
      </c>
      <c r="S602" s="566" t="s">
        <v>1407</v>
      </c>
      <c r="T602" s="575" t="s">
        <v>1408</v>
      </c>
      <c r="U602" s="575" t="s">
        <v>468</v>
      </c>
      <c r="V602" s="575" t="s">
        <v>469</v>
      </c>
      <c r="W602" s="576" t="s">
        <v>470</v>
      </c>
      <c r="X602" s="575" t="s">
        <v>1380</v>
      </c>
      <c r="Y602" s="575" t="s">
        <v>1338</v>
      </c>
      <c r="Z602" s="576" t="s">
        <v>1776</v>
      </c>
      <c r="AA602" s="577">
        <v>456</v>
      </c>
      <c r="AB602" s="575"/>
    </row>
    <row r="603" spans="1:28" hidden="1">
      <c r="A603" s="566" t="s">
        <v>1335</v>
      </c>
      <c r="B603" s="566" t="s">
        <v>466</v>
      </c>
      <c r="C603" s="566" t="s">
        <v>471</v>
      </c>
      <c r="D603" s="566" t="s">
        <v>472</v>
      </c>
      <c r="E603" s="566" t="s">
        <v>473</v>
      </c>
      <c r="F603" s="566" t="s">
        <v>474</v>
      </c>
      <c r="G603" s="567">
        <v>0</v>
      </c>
      <c r="H603" s="566" t="s">
        <v>481</v>
      </c>
      <c r="I603" s="568">
        <v>2</v>
      </c>
      <c r="J603" s="569">
        <v>3</v>
      </c>
      <c r="K603" s="569">
        <v>3</v>
      </c>
      <c r="L603" s="566"/>
      <c r="M603" s="566" t="s">
        <v>476</v>
      </c>
      <c r="N603" s="570">
        <v>528</v>
      </c>
      <c r="O603" s="566"/>
      <c r="P603" s="566" t="s">
        <v>477</v>
      </c>
      <c r="Q603" s="568">
        <v>909678</v>
      </c>
      <c r="R603" s="568">
        <v>8</v>
      </c>
      <c r="S603" s="566" t="s">
        <v>1410</v>
      </c>
      <c r="T603" s="575" t="s">
        <v>1408</v>
      </c>
      <c r="U603" s="575" t="s">
        <v>468</v>
      </c>
      <c r="V603" s="575" t="s">
        <v>469</v>
      </c>
      <c r="W603" s="576" t="s">
        <v>480</v>
      </c>
      <c r="X603" s="575" t="s">
        <v>1380</v>
      </c>
      <c r="Y603" s="575" t="s">
        <v>1338</v>
      </c>
      <c r="Z603" s="576" t="s">
        <v>1777</v>
      </c>
      <c r="AA603" s="577">
        <v>528</v>
      </c>
      <c r="AB603" s="575"/>
    </row>
    <row r="604" spans="1:28" hidden="1">
      <c r="A604" s="566" t="s">
        <v>1335</v>
      </c>
      <c r="B604" s="566" t="s">
        <v>466</v>
      </c>
      <c r="C604" s="566" t="s">
        <v>487</v>
      </c>
      <c r="D604" s="566" t="s">
        <v>472</v>
      </c>
      <c r="E604" s="566" t="s">
        <v>473</v>
      </c>
      <c r="F604" s="566" t="s">
        <v>489</v>
      </c>
      <c r="G604" s="567">
        <v>50</v>
      </c>
      <c r="H604" s="566" t="s">
        <v>500</v>
      </c>
      <c r="I604" s="568">
        <v>2</v>
      </c>
      <c r="J604" s="569">
        <v>3</v>
      </c>
      <c r="K604" s="569">
        <v>3</v>
      </c>
      <c r="L604" s="566"/>
      <c r="M604" s="566" t="s">
        <v>476</v>
      </c>
      <c r="N604" s="570">
        <v>708</v>
      </c>
      <c r="O604" s="566"/>
      <c r="P604" s="566" t="s">
        <v>477</v>
      </c>
      <c r="Q604" s="568">
        <v>909678</v>
      </c>
      <c r="R604" s="568">
        <v>11</v>
      </c>
      <c r="S604" s="566" t="s">
        <v>1412</v>
      </c>
      <c r="T604" s="575" t="s">
        <v>1408</v>
      </c>
      <c r="U604" s="575" t="s">
        <v>468</v>
      </c>
      <c r="V604" s="575" t="s">
        <v>469</v>
      </c>
      <c r="W604" s="576" t="s">
        <v>499</v>
      </c>
      <c r="X604" s="575" t="s">
        <v>1380</v>
      </c>
      <c r="Y604" s="575" t="s">
        <v>1338</v>
      </c>
      <c r="Z604" s="576" t="s">
        <v>1778</v>
      </c>
      <c r="AA604" s="577">
        <v>708</v>
      </c>
      <c r="AB604" s="575"/>
    </row>
    <row r="605" spans="1:28" hidden="1">
      <c r="A605" s="566" t="s">
        <v>1335</v>
      </c>
      <c r="B605" s="566" t="s">
        <v>466</v>
      </c>
      <c r="C605" s="566" t="s">
        <v>487</v>
      </c>
      <c r="D605" s="566" t="s">
        <v>472</v>
      </c>
      <c r="E605" s="566" t="s">
        <v>473</v>
      </c>
      <c r="F605" s="566" t="s">
        <v>489</v>
      </c>
      <c r="G605" s="567">
        <v>50</v>
      </c>
      <c r="H605" s="566" t="s">
        <v>505</v>
      </c>
      <c r="I605" s="568">
        <v>2</v>
      </c>
      <c r="J605" s="569">
        <v>3</v>
      </c>
      <c r="K605" s="569">
        <v>3</v>
      </c>
      <c r="L605" s="566"/>
      <c r="M605" s="566" t="s">
        <v>476</v>
      </c>
      <c r="N605" s="570">
        <v>780</v>
      </c>
      <c r="O605" s="566"/>
      <c r="P605" s="566" t="s">
        <v>477</v>
      </c>
      <c r="Q605" s="568">
        <v>909678</v>
      </c>
      <c r="R605" s="568">
        <v>20</v>
      </c>
      <c r="S605" s="566" t="s">
        <v>1414</v>
      </c>
      <c r="T605" s="575" t="s">
        <v>1408</v>
      </c>
      <c r="U605" s="575" t="s">
        <v>468</v>
      </c>
      <c r="V605" s="575" t="s">
        <v>469</v>
      </c>
      <c r="W605" s="576" t="s">
        <v>504</v>
      </c>
      <c r="X605" s="575" t="s">
        <v>1380</v>
      </c>
      <c r="Y605" s="575" t="s">
        <v>1338</v>
      </c>
      <c r="Z605" s="576" t="s">
        <v>1779</v>
      </c>
      <c r="AA605" s="577">
        <v>780</v>
      </c>
      <c r="AB605" s="575"/>
    </row>
    <row r="606" spans="1:28" hidden="1">
      <c r="A606" s="566" t="s">
        <v>1335</v>
      </c>
      <c r="B606" s="566" t="s">
        <v>466</v>
      </c>
      <c r="C606" s="566" t="s">
        <v>471</v>
      </c>
      <c r="D606" s="566" t="s">
        <v>472</v>
      </c>
      <c r="E606" s="566" t="s">
        <v>473</v>
      </c>
      <c r="F606" s="566" t="s">
        <v>474</v>
      </c>
      <c r="G606" s="567">
        <v>0</v>
      </c>
      <c r="H606" s="566" t="s">
        <v>479</v>
      </c>
      <c r="I606" s="568">
        <v>2</v>
      </c>
      <c r="J606" s="569">
        <v>49</v>
      </c>
      <c r="K606" s="569">
        <v>49</v>
      </c>
      <c r="L606" s="566"/>
      <c r="M606" s="566" t="s">
        <v>476</v>
      </c>
      <c r="N606" s="570">
        <v>1030</v>
      </c>
      <c r="O606" s="566"/>
      <c r="P606" s="566" t="s">
        <v>477</v>
      </c>
      <c r="Q606" s="568">
        <v>909678</v>
      </c>
      <c r="R606" s="568">
        <v>25</v>
      </c>
      <c r="S606" s="566" t="s">
        <v>1336</v>
      </c>
      <c r="T606" s="586" t="s">
        <v>779</v>
      </c>
      <c r="U606" s="586" t="s">
        <v>468</v>
      </c>
      <c r="V606" s="586" t="s">
        <v>469</v>
      </c>
      <c r="W606" s="587" t="s">
        <v>1274</v>
      </c>
      <c r="X606" s="586" t="s">
        <v>1337</v>
      </c>
      <c r="Y606" s="586" t="s">
        <v>1338</v>
      </c>
      <c r="Z606" s="587" t="s">
        <v>1780</v>
      </c>
      <c r="AA606" s="588">
        <v>1030</v>
      </c>
      <c r="AB606" s="586"/>
    </row>
    <row r="607" spans="1:28" hidden="1">
      <c r="A607" s="566" t="s">
        <v>1335</v>
      </c>
      <c r="B607" s="566" t="s">
        <v>466</v>
      </c>
      <c r="C607" s="566" t="s">
        <v>471</v>
      </c>
      <c r="D607" s="566" t="s">
        <v>472</v>
      </c>
      <c r="E607" s="566" t="s">
        <v>473</v>
      </c>
      <c r="F607" s="566" t="s">
        <v>474</v>
      </c>
      <c r="G607" s="567">
        <v>0</v>
      </c>
      <c r="H607" s="566" t="s">
        <v>484</v>
      </c>
      <c r="I607" s="568">
        <v>2</v>
      </c>
      <c r="J607" s="569">
        <v>49</v>
      </c>
      <c r="K607" s="569">
        <v>49</v>
      </c>
      <c r="L607" s="566"/>
      <c r="M607" s="566" t="s">
        <v>476</v>
      </c>
      <c r="N607" s="570">
        <v>1066</v>
      </c>
      <c r="O607" s="566"/>
      <c r="P607" s="566" t="s">
        <v>477</v>
      </c>
      <c r="Q607" s="568">
        <v>909678</v>
      </c>
      <c r="R607" s="568">
        <v>26</v>
      </c>
      <c r="S607" s="566" t="s">
        <v>1340</v>
      </c>
      <c r="T607" s="586" t="s">
        <v>779</v>
      </c>
      <c r="U607" s="586" t="s">
        <v>468</v>
      </c>
      <c r="V607" s="586" t="s">
        <v>469</v>
      </c>
      <c r="W607" s="587" t="s">
        <v>1275</v>
      </c>
      <c r="X607" s="586" t="s">
        <v>1337</v>
      </c>
      <c r="Y607" s="586" t="s">
        <v>1338</v>
      </c>
      <c r="Z607" s="587" t="s">
        <v>1781</v>
      </c>
      <c r="AA607" s="588">
        <v>1066</v>
      </c>
      <c r="AB607" s="586"/>
    </row>
    <row r="608" spans="1:28" hidden="1">
      <c r="A608" s="566" t="s">
        <v>1335</v>
      </c>
      <c r="B608" s="566" t="s">
        <v>466</v>
      </c>
      <c r="C608" s="566" t="s">
        <v>487</v>
      </c>
      <c r="D608" s="566" t="s">
        <v>472</v>
      </c>
      <c r="E608" s="566" t="s">
        <v>473</v>
      </c>
      <c r="F608" s="566" t="s">
        <v>489</v>
      </c>
      <c r="G608" s="567">
        <v>50</v>
      </c>
      <c r="H608" s="566" t="s">
        <v>490</v>
      </c>
      <c r="I608" s="568">
        <v>2</v>
      </c>
      <c r="J608" s="569">
        <v>49</v>
      </c>
      <c r="K608" s="569">
        <v>49</v>
      </c>
      <c r="L608" s="566"/>
      <c r="M608" s="566" t="s">
        <v>476</v>
      </c>
      <c r="N608" s="570">
        <v>1102</v>
      </c>
      <c r="O608" s="566"/>
      <c r="P608" s="566" t="s">
        <v>477</v>
      </c>
      <c r="Q608" s="568">
        <v>909678</v>
      </c>
      <c r="R608" s="568">
        <v>28</v>
      </c>
      <c r="S608" s="566" t="s">
        <v>1342</v>
      </c>
      <c r="T608" s="586" t="s">
        <v>779</v>
      </c>
      <c r="U608" s="586" t="s">
        <v>468</v>
      </c>
      <c r="V608" s="586" t="s">
        <v>469</v>
      </c>
      <c r="W608" s="587" t="s">
        <v>485</v>
      </c>
      <c r="X608" s="586" t="s">
        <v>1337</v>
      </c>
      <c r="Y608" s="586" t="s">
        <v>1338</v>
      </c>
      <c r="Z608" s="587" t="s">
        <v>1782</v>
      </c>
      <c r="AA608" s="588">
        <v>1102</v>
      </c>
      <c r="AB608" s="586"/>
    </row>
    <row r="609" spans="1:28" hidden="1">
      <c r="A609" s="566" t="s">
        <v>1335</v>
      </c>
      <c r="B609" s="566" t="s">
        <v>466</v>
      </c>
      <c r="C609" s="566" t="s">
        <v>487</v>
      </c>
      <c r="D609" s="566" t="s">
        <v>472</v>
      </c>
      <c r="E609" s="566" t="s">
        <v>473</v>
      </c>
      <c r="F609" s="566" t="s">
        <v>489</v>
      </c>
      <c r="G609" s="567">
        <v>50</v>
      </c>
      <c r="H609" s="566" t="s">
        <v>494</v>
      </c>
      <c r="I609" s="568">
        <v>2</v>
      </c>
      <c r="J609" s="569">
        <v>49</v>
      </c>
      <c r="K609" s="569">
        <v>49</v>
      </c>
      <c r="L609" s="566"/>
      <c r="M609" s="566" t="s">
        <v>476</v>
      </c>
      <c r="N609" s="570">
        <v>1138</v>
      </c>
      <c r="O609" s="566"/>
      <c r="P609" s="566" t="s">
        <v>477</v>
      </c>
      <c r="Q609" s="568">
        <v>909678</v>
      </c>
      <c r="R609" s="568">
        <v>29</v>
      </c>
      <c r="S609" s="566" t="s">
        <v>1344</v>
      </c>
      <c r="T609" s="586" t="s">
        <v>779</v>
      </c>
      <c r="U609" s="586" t="s">
        <v>468</v>
      </c>
      <c r="V609" s="586" t="s">
        <v>469</v>
      </c>
      <c r="W609" s="587" t="s">
        <v>491</v>
      </c>
      <c r="X609" s="586" t="s">
        <v>1337</v>
      </c>
      <c r="Y609" s="586" t="s">
        <v>1338</v>
      </c>
      <c r="Z609" s="587" t="s">
        <v>1783</v>
      </c>
      <c r="AA609" s="588">
        <v>1138</v>
      </c>
      <c r="AB609" s="586"/>
    </row>
    <row r="610" spans="1:28" hidden="1">
      <c r="A610" s="566" t="s">
        <v>1335</v>
      </c>
      <c r="B610" s="566" t="s">
        <v>466</v>
      </c>
      <c r="C610" s="566" t="s">
        <v>487</v>
      </c>
      <c r="D610" s="566" t="s">
        <v>472</v>
      </c>
      <c r="E610" s="566" t="s">
        <v>473</v>
      </c>
      <c r="F610" s="566" t="s">
        <v>489</v>
      </c>
      <c r="G610" s="567">
        <v>50</v>
      </c>
      <c r="H610" s="566" t="s">
        <v>498</v>
      </c>
      <c r="I610" s="568">
        <v>2</v>
      </c>
      <c r="J610" s="569">
        <v>49</v>
      </c>
      <c r="K610" s="569">
        <v>49</v>
      </c>
      <c r="L610" s="566"/>
      <c r="M610" s="566" t="s">
        <v>476</v>
      </c>
      <c r="N610" s="570">
        <v>1174</v>
      </c>
      <c r="O610" s="566"/>
      <c r="P610" s="566" t="s">
        <v>477</v>
      </c>
      <c r="Q610" s="568">
        <v>909678</v>
      </c>
      <c r="R610" s="568">
        <v>30</v>
      </c>
      <c r="S610" s="566" t="s">
        <v>1346</v>
      </c>
      <c r="T610" s="586" t="s">
        <v>779</v>
      </c>
      <c r="U610" s="586" t="s">
        <v>468</v>
      </c>
      <c r="V610" s="586" t="s">
        <v>469</v>
      </c>
      <c r="W610" s="587" t="s">
        <v>495</v>
      </c>
      <c r="X610" s="586" t="s">
        <v>1337</v>
      </c>
      <c r="Y610" s="586" t="s">
        <v>1338</v>
      </c>
      <c r="Z610" s="587" t="s">
        <v>1784</v>
      </c>
      <c r="AA610" s="588">
        <v>1174</v>
      </c>
      <c r="AB610" s="586"/>
    </row>
    <row r="611" spans="1:28" hidden="1">
      <c r="A611" s="566" t="s">
        <v>1335</v>
      </c>
      <c r="B611" s="566" t="s">
        <v>466</v>
      </c>
      <c r="C611" s="566" t="s">
        <v>487</v>
      </c>
      <c r="D611" s="566" t="s">
        <v>472</v>
      </c>
      <c r="E611" s="566" t="s">
        <v>473</v>
      </c>
      <c r="F611" s="566" t="s">
        <v>489</v>
      </c>
      <c r="G611" s="567">
        <v>50</v>
      </c>
      <c r="H611" s="566" t="s">
        <v>503</v>
      </c>
      <c r="I611" s="568">
        <v>2</v>
      </c>
      <c r="J611" s="569">
        <v>49</v>
      </c>
      <c r="K611" s="569">
        <v>49</v>
      </c>
      <c r="L611" s="566"/>
      <c r="M611" s="566" t="s">
        <v>476</v>
      </c>
      <c r="N611" s="570">
        <v>1210</v>
      </c>
      <c r="O611" s="566"/>
      <c r="P611" s="566" t="s">
        <v>477</v>
      </c>
      <c r="Q611" s="568">
        <v>909678</v>
      </c>
      <c r="R611" s="568">
        <v>31</v>
      </c>
      <c r="S611" s="566" t="s">
        <v>1348</v>
      </c>
      <c r="T611" s="586" t="s">
        <v>779</v>
      </c>
      <c r="U611" s="586" t="s">
        <v>468</v>
      </c>
      <c r="V611" s="586" t="s">
        <v>469</v>
      </c>
      <c r="W611" s="587" t="s">
        <v>1276</v>
      </c>
      <c r="X611" s="586" t="s">
        <v>1337</v>
      </c>
      <c r="Y611" s="586" t="s">
        <v>1338</v>
      </c>
      <c r="Z611" s="587" t="s">
        <v>1785</v>
      </c>
      <c r="AA611" s="588">
        <v>1210</v>
      </c>
      <c r="AB611" s="586"/>
    </row>
    <row r="612" spans="1:28" hidden="1">
      <c r="A612" s="566" t="s">
        <v>1335</v>
      </c>
      <c r="B612" s="566" t="s">
        <v>466</v>
      </c>
      <c r="C612" s="566" t="s">
        <v>487</v>
      </c>
      <c r="D612" s="566" t="s">
        <v>472</v>
      </c>
      <c r="E612" s="566" t="s">
        <v>473</v>
      </c>
      <c r="F612" s="566" t="s">
        <v>489</v>
      </c>
      <c r="G612" s="567">
        <v>50</v>
      </c>
      <c r="H612" s="566" t="s">
        <v>508</v>
      </c>
      <c r="I612" s="568">
        <v>2</v>
      </c>
      <c r="J612" s="569">
        <v>49</v>
      </c>
      <c r="K612" s="569">
        <v>49</v>
      </c>
      <c r="L612" s="566"/>
      <c r="M612" s="566" t="s">
        <v>476</v>
      </c>
      <c r="N612" s="570">
        <v>1246</v>
      </c>
      <c r="O612" s="566"/>
      <c r="P612" s="566" t="s">
        <v>477</v>
      </c>
      <c r="Q612" s="568">
        <v>909678</v>
      </c>
      <c r="R612" s="568">
        <v>32</v>
      </c>
      <c r="S612" s="566" t="s">
        <v>1350</v>
      </c>
      <c r="T612" s="586" t="s">
        <v>779</v>
      </c>
      <c r="U612" s="586" t="s">
        <v>468</v>
      </c>
      <c r="V612" s="586" t="s">
        <v>469</v>
      </c>
      <c r="W612" s="587" t="s">
        <v>1277</v>
      </c>
      <c r="X612" s="586" t="s">
        <v>1337</v>
      </c>
      <c r="Y612" s="586" t="s">
        <v>1338</v>
      </c>
      <c r="Z612" s="587" t="s">
        <v>1786</v>
      </c>
      <c r="AA612" s="588">
        <v>1246</v>
      </c>
      <c r="AB612" s="586"/>
    </row>
    <row r="613" spans="1:28" hidden="1">
      <c r="A613" s="566" t="s">
        <v>1335</v>
      </c>
      <c r="B613" s="566" t="s">
        <v>466</v>
      </c>
      <c r="C613" s="566" t="s">
        <v>471</v>
      </c>
      <c r="D613" s="566" t="s">
        <v>472</v>
      </c>
      <c r="E613" s="566" t="s">
        <v>473</v>
      </c>
      <c r="F613" s="566" t="s">
        <v>474</v>
      </c>
      <c r="G613" s="567">
        <v>0</v>
      </c>
      <c r="H613" s="566" t="s">
        <v>1755</v>
      </c>
      <c r="I613" s="568">
        <v>2</v>
      </c>
      <c r="J613" s="569">
        <v>49</v>
      </c>
      <c r="K613" s="569">
        <v>49</v>
      </c>
      <c r="L613" s="566"/>
      <c r="M613" s="566" t="s">
        <v>476</v>
      </c>
      <c r="N613" s="570">
        <v>1282</v>
      </c>
      <c r="O613" s="566"/>
      <c r="P613" s="566" t="s">
        <v>477</v>
      </c>
      <c r="Q613" s="568">
        <v>909678</v>
      </c>
      <c r="R613" s="568">
        <v>27</v>
      </c>
      <c r="S613" s="566" t="s">
        <v>1353</v>
      </c>
      <c r="T613" s="586" t="s">
        <v>779</v>
      </c>
      <c r="U613" s="586" t="s">
        <v>468</v>
      </c>
      <c r="V613" s="586" t="s">
        <v>469</v>
      </c>
      <c r="W613" s="587" t="s">
        <v>1354</v>
      </c>
      <c r="X613" s="586" t="s">
        <v>1337</v>
      </c>
      <c r="Y613" s="586" t="s">
        <v>1338</v>
      </c>
      <c r="Z613" s="587" t="s">
        <v>1787</v>
      </c>
      <c r="AA613" s="588">
        <v>1282</v>
      </c>
      <c r="AB613" s="586"/>
    </row>
    <row r="614" spans="1:28" hidden="1">
      <c r="A614" s="566" t="s">
        <v>1335</v>
      </c>
      <c r="B614" s="566" t="s">
        <v>466</v>
      </c>
      <c r="C614" s="566" t="s">
        <v>487</v>
      </c>
      <c r="D614" s="566" t="s">
        <v>472</v>
      </c>
      <c r="E614" s="566" t="s">
        <v>473</v>
      </c>
      <c r="F614" s="566" t="s">
        <v>489</v>
      </c>
      <c r="G614" s="567">
        <v>50</v>
      </c>
      <c r="H614" s="566" t="s">
        <v>1757</v>
      </c>
      <c r="I614" s="568">
        <v>2</v>
      </c>
      <c r="J614" s="569">
        <v>49</v>
      </c>
      <c r="K614" s="569">
        <v>49</v>
      </c>
      <c r="L614" s="566"/>
      <c r="M614" s="566" t="s">
        <v>476</v>
      </c>
      <c r="N614" s="570">
        <v>1318</v>
      </c>
      <c r="O614" s="566"/>
      <c r="P614" s="566" t="s">
        <v>477</v>
      </c>
      <c r="Q614" s="568">
        <v>909678</v>
      </c>
      <c r="R614" s="568">
        <v>33</v>
      </c>
      <c r="S614" s="566" t="s">
        <v>1357</v>
      </c>
      <c r="T614" s="586" t="s">
        <v>779</v>
      </c>
      <c r="U614" s="586" t="s">
        <v>468</v>
      </c>
      <c r="V614" s="586" t="s">
        <v>469</v>
      </c>
      <c r="W614" s="587" t="s">
        <v>1358</v>
      </c>
      <c r="X614" s="586" t="s">
        <v>1337</v>
      </c>
      <c r="Y614" s="586" t="s">
        <v>1338</v>
      </c>
      <c r="Z614" s="587" t="s">
        <v>1788</v>
      </c>
      <c r="AA614" s="588">
        <v>1318</v>
      </c>
      <c r="AB614" s="586"/>
    </row>
    <row r="615" spans="1:28" hidden="1">
      <c r="A615" s="566" t="s">
        <v>1335</v>
      </c>
      <c r="B615" s="566" t="s">
        <v>466</v>
      </c>
      <c r="C615" s="566" t="s">
        <v>471</v>
      </c>
      <c r="D615" s="566" t="s">
        <v>472</v>
      </c>
      <c r="E615" s="566" t="s">
        <v>473</v>
      </c>
      <c r="F615" s="566" t="s">
        <v>474</v>
      </c>
      <c r="G615" s="567">
        <v>0</v>
      </c>
      <c r="H615" s="566" t="s">
        <v>511</v>
      </c>
      <c r="I615" s="568">
        <v>2</v>
      </c>
      <c r="J615" s="569">
        <v>49</v>
      </c>
      <c r="K615" s="569">
        <v>49</v>
      </c>
      <c r="L615" s="566"/>
      <c r="M615" s="566" t="s">
        <v>476</v>
      </c>
      <c r="N615" s="570">
        <v>922</v>
      </c>
      <c r="O615" s="566"/>
      <c r="P615" s="566" t="s">
        <v>477</v>
      </c>
      <c r="Q615" s="568">
        <v>909678</v>
      </c>
      <c r="R615" s="568">
        <v>22</v>
      </c>
      <c r="S615" s="566" t="s">
        <v>1360</v>
      </c>
      <c r="T615" s="586" t="s">
        <v>779</v>
      </c>
      <c r="U615" s="586" t="s">
        <v>468</v>
      </c>
      <c r="V615" s="586" t="s">
        <v>469</v>
      </c>
      <c r="W615" s="587" t="s">
        <v>509</v>
      </c>
      <c r="X615" s="586" t="s">
        <v>1337</v>
      </c>
      <c r="Y615" s="586" t="s">
        <v>1338</v>
      </c>
      <c r="Z615" s="587" t="s">
        <v>1789</v>
      </c>
      <c r="AA615" s="588">
        <v>922</v>
      </c>
      <c r="AB615" s="586"/>
    </row>
    <row r="616" spans="1:28" hidden="1">
      <c r="A616" s="566" t="s">
        <v>1335</v>
      </c>
      <c r="B616" s="566" t="s">
        <v>466</v>
      </c>
      <c r="C616" s="566" t="s">
        <v>471</v>
      </c>
      <c r="D616" s="566" t="s">
        <v>472</v>
      </c>
      <c r="E616" s="566" t="s">
        <v>473</v>
      </c>
      <c r="F616" s="566" t="s">
        <v>474</v>
      </c>
      <c r="G616" s="567">
        <v>0</v>
      </c>
      <c r="H616" s="566" t="s">
        <v>213</v>
      </c>
      <c r="I616" s="568">
        <v>2</v>
      </c>
      <c r="J616" s="569">
        <v>49</v>
      </c>
      <c r="K616" s="569">
        <v>49</v>
      </c>
      <c r="L616" s="566"/>
      <c r="M616" s="566" t="s">
        <v>476</v>
      </c>
      <c r="N616" s="570">
        <v>958</v>
      </c>
      <c r="O616" s="566"/>
      <c r="P616" s="566" t="s">
        <v>477</v>
      </c>
      <c r="Q616" s="568">
        <v>909678</v>
      </c>
      <c r="R616" s="568">
        <v>23</v>
      </c>
      <c r="S616" s="566" t="s">
        <v>1362</v>
      </c>
      <c r="T616" s="586" t="s">
        <v>779</v>
      </c>
      <c r="U616" s="586" t="s">
        <v>468</v>
      </c>
      <c r="V616" s="586" t="s">
        <v>469</v>
      </c>
      <c r="W616" s="587" t="s">
        <v>512</v>
      </c>
      <c r="X616" s="586" t="s">
        <v>1337</v>
      </c>
      <c r="Y616" s="586" t="s">
        <v>1338</v>
      </c>
      <c r="Z616" s="587" t="s">
        <v>1790</v>
      </c>
      <c r="AA616" s="588">
        <v>958</v>
      </c>
      <c r="AB616" s="586"/>
    </row>
    <row r="617" spans="1:28" hidden="1">
      <c r="A617" s="566" t="s">
        <v>1335</v>
      </c>
      <c r="B617" s="566" t="s">
        <v>466</v>
      </c>
      <c r="C617" s="566" t="s">
        <v>471</v>
      </c>
      <c r="D617" s="566" t="s">
        <v>472</v>
      </c>
      <c r="E617" s="566" t="s">
        <v>473</v>
      </c>
      <c r="F617" s="566" t="s">
        <v>474</v>
      </c>
      <c r="G617" s="567">
        <v>0</v>
      </c>
      <c r="H617" s="566" t="s">
        <v>516</v>
      </c>
      <c r="I617" s="568">
        <v>2</v>
      </c>
      <c r="J617" s="569">
        <v>49</v>
      </c>
      <c r="K617" s="569">
        <v>49</v>
      </c>
      <c r="L617" s="566"/>
      <c r="M617" s="566" t="s">
        <v>476</v>
      </c>
      <c r="N617" s="570">
        <v>994</v>
      </c>
      <c r="O617" s="566"/>
      <c r="P617" s="566" t="s">
        <v>477</v>
      </c>
      <c r="Q617" s="568">
        <v>909678</v>
      </c>
      <c r="R617" s="568">
        <v>24</v>
      </c>
      <c r="S617" s="566" t="s">
        <v>1364</v>
      </c>
      <c r="T617" s="586" t="s">
        <v>779</v>
      </c>
      <c r="U617" s="586" t="s">
        <v>468</v>
      </c>
      <c r="V617" s="586" t="s">
        <v>469</v>
      </c>
      <c r="W617" s="587" t="s">
        <v>514</v>
      </c>
      <c r="X617" s="586" t="s">
        <v>1337</v>
      </c>
      <c r="Y617" s="586" t="s">
        <v>1338</v>
      </c>
      <c r="Z617" s="587" t="s">
        <v>1791</v>
      </c>
      <c r="AA617" s="588">
        <v>994</v>
      </c>
      <c r="AB617" s="586"/>
    </row>
    <row r="618" spans="1:28" hidden="1">
      <c r="A618" s="566" t="s">
        <v>1335</v>
      </c>
      <c r="B618" s="566" t="s">
        <v>466</v>
      </c>
      <c r="C618" s="566" t="s">
        <v>471</v>
      </c>
      <c r="D618" s="566" t="s">
        <v>472</v>
      </c>
      <c r="E618" s="566" t="s">
        <v>473</v>
      </c>
      <c r="F618" s="566" t="s">
        <v>474</v>
      </c>
      <c r="G618" s="567">
        <v>0</v>
      </c>
      <c r="H618" s="566" t="s">
        <v>479</v>
      </c>
      <c r="I618" s="568">
        <v>2</v>
      </c>
      <c r="J618" s="569">
        <v>73</v>
      </c>
      <c r="K618" s="569">
        <v>73</v>
      </c>
      <c r="L618" s="566"/>
      <c r="M618" s="566" t="s">
        <v>476</v>
      </c>
      <c r="N618" s="570">
        <v>1570</v>
      </c>
      <c r="O618" s="566"/>
      <c r="P618" s="566" t="s">
        <v>477</v>
      </c>
      <c r="Q618" s="568">
        <v>909678</v>
      </c>
      <c r="R618" s="568">
        <v>40</v>
      </c>
      <c r="S618" s="566" t="s">
        <v>1366</v>
      </c>
      <c r="T618" s="586" t="s">
        <v>779</v>
      </c>
      <c r="U618" s="586" t="s">
        <v>468</v>
      </c>
      <c r="V618" s="586" t="s">
        <v>469</v>
      </c>
      <c r="W618" s="587" t="s">
        <v>1274</v>
      </c>
      <c r="X618" s="586" t="s">
        <v>1337</v>
      </c>
      <c r="Y618" s="586" t="s">
        <v>1367</v>
      </c>
      <c r="Z618" s="587" t="s">
        <v>1792</v>
      </c>
      <c r="AA618" s="588">
        <v>1570</v>
      </c>
      <c r="AB618" s="586"/>
    </row>
    <row r="619" spans="1:28" hidden="1">
      <c r="A619" s="566" t="s">
        <v>1335</v>
      </c>
      <c r="B619" s="566" t="s">
        <v>466</v>
      </c>
      <c r="C619" s="566" t="s">
        <v>471</v>
      </c>
      <c r="D619" s="566" t="s">
        <v>472</v>
      </c>
      <c r="E619" s="566" t="s">
        <v>473</v>
      </c>
      <c r="F619" s="566" t="s">
        <v>474</v>
      </c>
      <c r="G619" s="567">
        <v>0</v>
      </c>
      <c r="H619" s="566" t="s">
        <v>484</v>
      </c>
      <c r="I619" s="568">
        <v>2</v>
      </c>
      <c r="J619" s="569">
        <v>73</v>
      </c>
      <c r="K619" s="569">
        <v>73</v>
      </c>
      <c r="L619" s="566"/>
      <c r="M619" s="566" t="s">
        <v>476</v>
      </c>
      <c r="N619" s="570">
        <v>1606</v>
      </c>
      <c r="O619" s="566"/>
      <c r="P619" s="566" t="s">
        <v>477</v>
      </c>
      <c r="Q619" s="568">
        <v>909678</v>
      </c>
      <c r="R619" s="568">
        <v>41</v>
      </c>
      <c r="S619" s="566" t="s">
        <v>1369</v>
      </c>
      <c r="T619" s="586" t="s">
        <v>779</v>
      </c>
      <c r="U619" s="586" t="s">
        <v>468</v>
      </c>
      <c r="V619" s="586" t="s">
        <v>469</v>
      </c>
      <c r="W619" s="587" t="s">
        <v>1275</v>
      </c>
      <c r="X619" s="586" t="s">
        <v>1337</v>
      </c>
      <c r="Y619" s="586" t="s">
        <v>1367</v>
      </c>
      <c r="Z619" s="587" t="s">
        <v>1793</v>
      </c>
      <c r="AA619" s="588">
        <v>1606</v>
      </c>
      <c r="AB619" s="586"/>
    </row>
    <row r="620" spans="1:28" hidden="1">
      <c r="A620" s="566" t="s">
        <v>1335</v>
      </c>
      <c r="B620" s="566" t="s">
        <v>466</v>
      </c>
      <c r="C620" s="566" t="s">
        <v>487</v>
      </c>
      <c r="D620" s="566" t="s">
        <v>472</v>
      </c>
      <c r="E620" s="566" t="s">
        <v>473</v>
      </c>
      <c r="F620" s="566" t="s">
        <v>489</v>
      </c>
      <c r="G620" s="567">
        <v>50</v>
      </c>
      <c r="H620" s="566" t="s">
        <v>503</v>
      </c>
      <c r="I620" s="568">
        <v>2</v>
      </c>
      <c r="J620" s="569">
        <v>73</v>
      </c>
      <c r="K620" s="569">
        <v>73</v>
      </c>
      <c r="L620" s="566"/>
      <c r="M620" s="566" t="s">
        <v>476</v>
      </c>
      <c r="N620" s="570">
        <v>1642</v>
      </c>
      <c r="O620" s="566"/>
      <c r="P620" s="566" t="s">
        <v>477</v>
      </c>
      <c r="Q620" s="568">
        <v>909678</v>
      </c>
      <c r="R620" s="568">
        <v>43</v>
      </c>
      <c r="S620" s="566" t="s">
        <v>1371</v>
      </c>
      <c r="T620" s="586" t="s">
        <v>779</v>
      </c>
      <c r="U620" s="586" t="s">
        <v>468</v>
      </c>
      <c r="V620" s="586" t="s">
        <v>469</v>
      </c>
      <c r="W620" s="587" t="s">
        <v>1276</v>
      </c>
      <c r="X620" s="586" t="s">
        <v>1337</v>
      </c>
      <c r="Y620" s="586" t="s">
        <v>1367</v>
      </c>
      <c r="Z620" s="587" t="s">
        <v>1794</v>
      </c>
      <c r="AA620" s="588">
        <v>1642</v>
      </c>
      <c r="AB620" s="586"/>
    </row>
    <row r="621" spans="1:28" hidden="1">
      <c r="A621" s="566" t="s">
        <v>1335</v>
      </c>
      <c r="B621" s="566" t="s">
        <v>466</v>
      </c>
      <c r="C621" s="566" t="s">
        <v>487</v>
      </c>
      <c r="D621" s="566" t="s">
        <v>472</v>
      </c>
      <c r="E621" s="566" t="s">
        <v>473</v>
      </c>
      <c r="F621" s="566" t="s">
        <v>489</v>
      </c>
      <c r="G621" s="567">
        <v>50</v>
      </c>
      <c r="H621" s="566" t="s">
        <v>508</v>
      </c>
      <c r="I621" s="568">
        <v>2</v>
      </c>
      <c r="J621" s="569">
        <v>73</v>
      </c>
      <c r="K621" s="569">
        <v>73</v>
      </c>
      <c r="L621" s="566"/>
      <c r="M621" s="566" t="s">
        <v>476</v>
      </c>
      <c r="N621" s="570">
        <v>1678</v>
      </c>
      <c r="O621" s="566"/>
      <c r="P621" s="566" t="s">
        <v>477</v>
      </c>
      <c r="Q621" s="568">
        <v>909678</v>
      </c>
      <c r="R621" s="568">
        <v>44</v>
      </c>
      <c r="S621" s="566" t="s">
        <v>1373</v>
      </c>
      <c r="T621" s="586" t="s">
        <v>779</v>
      </c>
      <c r="U621" s="586" t="s">
        <v>468</v>
      </c>
      <c r="V621" s="586" t="s">
        <v>469</v>
      </c>
      <c r="W621" s="587" t="s">
        <v>1277</v>
      </c>
      <c r="X621" s="586" t="s">
        <v>1337</v>
      </c>
      <c r="Y621" s="586" t="s">
        <v>1367</v>
      </c>
      <c r="Z621" s="587" t="s">
        <v>1795</v>
      </c>
      <c r="AA621" s="588">
        <v>1678</v>
      </c>
      <c r="AB621" s="586"/>
    </row>
    <row r="622" spans="1:28" hidden="1">
      <c r="A622" s="566" t="s">
        <v>1335</v>
      </c>
      <c r="B622" s="566" t="s">
        <v>466</v>
      </c>
      <c r="C622" s="566" t="s">
        <v>471</v>
      </c>
      <c r="D622" s="566" t="s">
        <v>472</v>
      </c>
      <c r="E622" s="566" t="s">
        <v>473</v>
      </c>
      <c r="F622" s="566" t="s">
        <v>474</v>
      </c>
      <c r="G622" s="567">
        <v>0</v>
      </c>
      <c r="H622" s="566" t="s">
        <v>1755</v>
      </c>
      <c r="I622" s="568">
        <v>2</v>
      </c>
      <c r="J622" s="569">
        <v>73</v>
      </c>
      <c r="K622" s="569">
        <v>73</v>
      </c>
      <c r="L622" s="566"/>
      <c r="M622" s="566" t="s">
        <v>476</v>
      </c>
      <c r="N622" s="570">
        <v>1714</v>
      </c>
      <c r="O622" s="566"/>
      <c r="P622" s="566" t="s">
        <v>477</v>
      </c>
      <c r="Q622" s="568">
        <v>909678</v>
      </c>
      <c r="R622" s="568">
        <v>42</v>
      </c>
      <c r="S622" s="566" t="s">
        <v>1375</v>
      </c>
      <c r="T622" s="586" t="s">
        <v>779</v>
      </c>
      <c r="U622" s="586" t="s">
        <v>468</v>
      </c>
      <c r="V622" s="586" t="s">
        <v>469</v>
      </c>
      <c r="W622" s="587" t="s">
        <v>1354</v>
      </c>
      <c r="X622" s="586" t="s">
        <v>1337</v>
      </c>
      <c r="Y622" s="586" t="s">
        <v>1367</v>
      </c>
      <c r="Z622" s="587" t="s">
        <v>1796</v>
      </c>
      <c r="AA622" s="588">
        <v>1714</v>
      </c>
      <c r="AB622" s="586"/>
    </row>
    <row r="623" spans="1:28" hidden="1">
      <c r="A623" s="566" t="s">
        <v>1335</v>
      </c>
      <c r="B623" s="566" t="s">
        <v>466</v>
      </c>
      <c r="C623" s="566" t="s">
        <v>487</v>
      </c>
      <c r="D623" s="566" t="s">
        <v>472</v>
      </c>
      <c r="E623" s="566" t="s">
        <v>473</v>
      </c>
      <c r="F623" s="566" t="s">
        <v>489</v>
      </c>
      <c r="G623" s="567">
        <v>50</v>
      </c>
      <c r="H623" s="566" t="s">
        <v>1757</v>
      </c>
      <c r="I623" s="568">
        <v>2</v>
      </c>
      <c r="J623" s="569">
        <v>73</v>
      </c>
      <c r="K623" s="569">
        <v>73</v>
      </c>
      <c r="L623" s="566"/>
      <c r="M623" s="566" t="s">
        <v>476</v>
      </c>
      <c r="N623" s="570">
        <v>1750</v>
      </c>
      <c r="O623" s="566"/>
      <c r="P623" s="566" t="s">
        <v>477</v>
      </c>
      <c r="Q623" s="568">
        <v>909678</v>
      </c>
      <c r="R623" s="568">
        <v>45</v>
      </c>
      <c r="S623" s="566" t="s">
        <v>1377</v>
      </c>
      <c r="T623" s="586" t="s">
        <v>779</v>
      </c>
      <c r="U623" s="586" t="s">
        <v>468</v>
      </c>
      <c r="V623" s="586" t="s">
        <v>469</v>
      </c>
      <c r="W623" s="587" t="s">
        <v>1358</v>
      </c>
      <c r="X623" s="586" t="s">
        <v>1337</v>
      </c>
      <c r="Y623" s="586" t="s">
        <v>1367</v>
      </c>
      <c r="Z623" s="587" t="s">
        <v>1797</v>
      </c>
      <c r="AA623" s="588">
        <v>1750</v>
      </c>
      <c r="AB623" s="586"/>
    </row>
    <row r="624" spans="1:28" hidden="1">
      <c r="A624" s="566" t="s">
        <v>1335</v>
      </c>
      <c r="B624" s="566" t="s">
        <v>466</v>
      </c>
      <c r="C624" s="566" t="s">
        <v>471</v>
      </c>
      <c r="D624" s="566" t="s">
        <v>472</v>
      </c>
      <c r="E624" s="566" t="s">
        <v>473</v>
      </c>
      <c r="F624" s="566" t="s">
        <v>474</v>
      </c>
      <c r="G624" s="567">
        <v>0</v>
      </c>
      <c r="H624" s="566" t="s">
        <v>479</v>
      </c>
      <c r="I624" s="568">
        <v>2</v>
      </c>
      <c r="J624" s="569">
        <v>1</v>
      </c>
      <c r="K624" s="569">
        <v>1</v>
      </c>
      <c r="L624" s="566"/>
      <c r="M624" s="566" t="s">
        <v>476</v>
      </c>
      <c r="N624" s="570">
        <v>490</v>
      </c>
      <c r="O624" s="566"/>
      <c r="P624" s="566" t="s">
        <v>477</v>
      </c>
      <c r="Q624" s="568">
        <v>909678</v>
      </c>
      <c r="R624" s="568">
        <v>10</v>
      </c>
      <c r="S624" s="566" t="s">
        <v>1382</v>
      </c>
      <c r="T624" s="586" t="s">
        <v>779</v>
      </c>
      <c r="U624" s="586" t="s">
        <v>468</v>
      </c>
      <c r="V624" s="586" t="s">
        <v>469</v>
      </c>
      <c r="W624" s="587" t="s">
        <v>1274</v>
      </c>
      <c r="X624" s="586" t="s">
        <v>1380</v>
      </c>
      <c r="Y624" s="586" t="s">
        <v>1338</v>
      </c>
      <c r="Z624" s="587" t="s">
        <v>780</v>
      </c>
      <c r="AA624" s="588">
        <v>490</v>
      </c>
      <c r="AB624" s="586"/>
    </row>
    <row r="625" spans="1:28" hidden="1">
      <c r="A625" s="566" t="s">
        <v>1335</v>
      </c>
      <c r="B625" s="566" t="s">
        <v>466</v>
      </c>
      <c r="C625" s="566" t="s">
        <v>471</v>
      </c>
      <c r="D625" s="566" t="s">
        <v>472</v>
      </c>
      <c r="E625" s="566" t="s">
        <v>473</v>
      </c>
      <c r="F625" s="566" t="s">
        <v>474</v>
      </c>
      <c r="G625" s="567">
        <v>0</v>
      </c>
      <c r="H625" s="566" t="s">
        <v>484</v>
      </c>
      <c r="I625" s="568">
        <v>2</v>
      </c>
      <c r="J625" s="569">
        <v>1</v>
      </c>
      <c r="K625" s="569">
        <v>1</v>
      </c>
      <c r="L625" s="566"/>
      <c r="M625" s="566" t="s">
        <v>476</v>
      </c>
      <c r="N625" s="570">
        <v>562</v>
      </c>
      <c r="O625" s="566"/>
      <c r="P625" s="566" t="s">
        <v>477</v>
      </c>
      <c r="Q625" s="568">
        <v>909678</v>
      </c>
      <c r="R625" s="568">
        <v>15</v>
      </c>
      <c r="S625" s="566" t="s">
        <v>483</v>
      </c>
      <c r="T625" s="586" t="s">
        <v>779</v>
      </c>
      <c r="U625" s="586" t="s">
        <v>468</v>
      </c>
      <c r="V625" s="586" t="s">
        <v>469</v>
      </c>
      <c r="W625" s="587" t="s">
        <v>1275</v>
      </c>
      <c r="X625" s="586" t="s">
        <v>1380</v>
      </c>
      <c r="Y625" s="586" t="s">
        <v>1338</v>
      </c>
      <c r="Z625" s="587" t="s">
        <v>781</v>
      </c>
      <c r="AA625" s="588">
        <v>562</v>
      </c>
      <c r="AB625" s="586"/>
    </row>
    <row r="626" spans="1:28" hidden="1">
      <c r="A626" s="566" t="s">
        <v>1335</v>
      </c>
      <c r="B626" s="566" t="s">
        <v>466</v>
      </c>
      <c r="C626" s="566" t="s">
        <v>487</v>
      </c>
      <c r="D626" s="566" t="s">
        <v>472</v>
      </c>
      <c r="E626" s="566" t="s">
        <v>473</v>
      </c>
      <c r="F626" s="566" t="s">
        <v>489</v>
      </c>
      <c r="G626" s="567">
        <v>50</v>
      </c>
      <c r="H626" s="566" t="s">
        <v>490</v>
      </c>
      <c r="I626" s="568">
        <v>2</v>
      </c>
      <c r="J626" s="569">
        <v>1</v>
      </c>
      <c r="K626" s="569">
        <v>1</v>
      </c>
      <c r="L626" s="566"/>
      <c r="M626" s="566" t="s">
        <v>476</v>
      </c>
      <c r="N626" s="570">
        <v>598</v>
      </c>
      <c r="O626" s="566"/>
      <c r="P626" s="566" t="s">
        <v>477</v>
      </c>
      <c r="Q626" s="568">
        <v>909678</v>
      </c>
      <c r="R626" s="568">
        <v>16</v>
      </c>
      <c r="S626" s="566" t="s">
        <v>488</v>
      </c>
      <c r="T626" s="586" t="s">
        <v>779</v>
      </c>
      <c r="U626" s="586" t="s">
        <v>468</v>
      </c>
      <c r="V626" s="586" t="s">
        <v>469</v>
      </c>
      <c r="W626" s="587" t="s">
        <v>485</v>
      </c>
      <c r="X626" s="586" t="s">
        <v>1380</v>
      </c>
      <c r="Y626" s="586" t="s">
        <v>1338</v>
      </c>
      <c r="Z626" s="587" t="s">
        <v>782</v>
      </c>
      <c r="AA626" s="588">
        <v>598</v>
      </c>
      <c r="AB626" s="586"/>
    </row>
    <row r="627" spans="1:28" hidden="1">
      <c r="A627" s="566" t="s">
        <v>1335</v>
      </c>
      <c r="B627" s="566" t="s">
        <v>466</v>
      </c>
      <c r="C627" s="566" t="s">
        <v>487</v>
      </c>
      <c r="D627" s="566" t="s">
        <v>472</v>
      </c>
      <c r="E627" s="566" t="s">
        <v>473</v>
      </c>
      <c r="F627" s="566" t="s">
        <v>489</v>
      </c>
      <c r="G627" s="567">
        <v>50</v>
      </c>
      <c r="H627" s="566" t="s">
        <v>494</v>
      </c>
      <c r="I627" s="568">
        <v>2</v>
      </c>
      <c r="J627" s="569">
        <v>1</v>
      </c>
      <c r="K627" s="569">
        <v>1</v>
      </c>
      <c r="L627" s="566"/>
      <c r="M627" s="566" t="s">
        <v>476</v>
      </c>
      <c r="N627" s="570">
        <v>634</v>
      </c>
      <c r="O627" s="566"/>
      <c r="P627" s="566" t="s">
        <v>477</v>
      </c>
      <c r="Q627" s="568">
        <v>909678</v>
      </c>
      <c r="R627" s="568">
        <v>17</v>
      </c>
      <c r="S627" s="566" t="s">
        <v>493</v>
      </c>
      <c r="T627" s="586" t="s">
        <v>779</v>
      </c>
      <c r="U627" s="586" t="s">
        <v>468</v>
      </c>
      <c r="V627" s="586" t="s">
        <v>469</v>
      </c>
      <c r="W627" s="587" t="s">
        <v>491</v>
      </c>
      <c r="X627" s="586" t="s">
        <v>1380</v>
      </c>
      <c r="Y627" s="586" t="s">
        <v>1338</v>
      </c>
      <c r="Z627" s="587" t="s">
        <v>783</v>
      </c>
      <c r="AA627" s="588">
        <v>634</v>
      </c>
      <c r="AB627" s="586"/>
    </row>
    <row r="628" spans="1:28" hidden="1">
      <c r="A628" s="566" t="s">
        <v>1335</v>
      </c>
      <c r="B628" s="566" t="s">
        <v>466</v>
      </c>
      <c r="C628" s="566" t="s">
        <v>487</v>
      </c>
      <c r="D628" s="566" t="s">
        <v>472</v>
      </c>
      <c r="E628" s="566" t="s">
        <v>473</v>
      </c>
      <c r="F628" s="566" t="s">
        <v>489</v>
      </c>
      <c r="G628" s="567">
        <v>50</v>
      </c>
      <c r="H628" s="566" t="s">
        <v>498</v>
      </c>
      <c r="I628" s="568">
        <v>2</v>
      </c>
      <c r="J628" s="569">
        <v>1</v>
      </c>
      <c r="K628" s="569">
        <v>1</v>
      </c>
      <c r="L628" s="566"/>
      <c r="M628" s="566" t="s">
        <v>476</v>
      </c>
      <c r="N628" s="570">
        <v>670</v>
      </c>
      <c r="O628" s="566"/>
      <c r="P628" s="566" t="s">
        <v>477</v>
      </c>
      <c r="Q628" s="568">
        <v>909678</v>
      </c>
      <c r="R628" s="568">
        <v>18</v>
      </c>
      <c r="S628" s="566" t="s">
        <v>497</v>
      </c>
      <c r="T628" s="586" t="s">
        <v>779</v>
      </c>
      <c r="U628" s="586" t="s">
        <v>468</v>
      </c>
      <c r="V628" s="586" t="s">
        <v>469</v>
      </c>
      <c r="W628" s="587" t="s">
        <v>495</v>
      </c>
      <c r="X628" s="586" t="s">
        <v>1380</v>
      </c>
      <c r="Y628" s="586" t="s">
        <v>1338</v>
      </c>
      <c r="Z628" s="587" t="s">
        <v>784</v>
      </c>
      <c r="AA628" s="588">
        <v>670</v>
      </c>
      <c r="AB628" s="586"/>
    </row>
    <row r="629" spans="1:28" hidden="1">
      <c r="A629" s="566" t="s">
        <v>1335</v>
      </c>
      <c r="B629" s="566" t="s">
        <v>466</v>
      </c>
      <c r="C629" s="566" t="s">
        <v>487</v>
      </c>
      <c r="D629" s="566" t="s">
        <v>472</v>
      </c>
      <c r="E629" s="566" t="s">
        <v>473</v>
      </c>
      <c r="F629" s="566" t="s">
        <v>489</v>
      </c>
      <c r="G629" s="567">
        <v>50</v>
      </c>
      <c r="H629" s="566" t="s">
        <v>503</v>
      </c>
      <c r="I629" s="568">
        <v>2</v>
      </c>
      <c r="J629" s="569">
        <v>1</v>
      </c>
      <c r="K629" s="569">
        <v>1</v>
      </c>
      <c r="L629" s="566"/>
      <c r="M629" s="566" t="s">
        <v>476</v>
      </c>
      <c r="N629" s="570">
        <v>742</v>
      </c>
      <c r="O629" s="566"/>
      <c r="P629" s="566" t="s">
        <v>477</v>
      </c>
      <c r="Q629" s="568">
        <v>909678</v>
      </c>
      <c r="R629" s="568">
        <v>19</v>
      </c>
      <c r="S629" s="566" t="s">
        <v>502</v>
      </c>
      <c r="T629" s="586" t="s">
        <v>779</v>
      </c>
      <c r="U629" s="586" t="s">
        <v>468</v>
      </c>
      <c r="V629" s="586" t="s">
        <v>469</v>
      </c>
      <c r="W629" s="587" t="s">
        <v>1276</v>
      </c>
      <c r="X629" s="586" t="s">
        <v>1380</v>
      </c>
      <c r="Y629" s="586" t="s">
        <v>1338</v>
      </c>
      <c r="Z629" s="587" t="s">
        <v>785</v>
      </c>
      <c r="AA629" s="588">
        <v>742</v>
      </c>
      <c r="AB629" s="586"/>
    </row>
    <row r="630" spans="1:28" hidden="1">
      <c r="A630" s="566" t="s">
        <v>1335</v>
      </c>
      <c r="B630" s="566" t="s">
        <v>466</v>
      </c>
      <c r="C630" s="566" t="s">
        <v>487</v>
      </c>
      <c r="D630" s="566" t="s">
        <v>472</v>
      </c>
      <c r="E630" s="566" t="s">
        <v>473</v>
      </c>
      <c r="F630" s="566" t="s">
        <v>489</v>
      </c>
      <c r="G630" s="567">
        <v>50</v>
      </c>
      <c r="H630" s="566" t="s">
        <v>508</v>
      </c>
      <c r="I630" s="568">
        <v>2</v>
      </c>
      <c r="J630" s="569">
        <v>1</v>
      </c>
      <c r="K630" s="569">
        <v>1</v>
      </c>
      <c r="L630" s="566"/>
      <c r="M630" s="566" t="s">
        <v>476</v>
      </c>
      <c r="N630" s="570">
        <v>814</v>
      </c>
      <c r="O630" s="566"/>
      <c r="P630" s="566" t="s">
        <v>477</v>
      </c>
      <c r="Q630" s="568">
        <v>909678</v>
      </c>
      <c r="R630" s="568">
        <v>21</v>
      </c>
      <c r="S630" s="566" t="s">
        <v>507</v>
      </c>
      <c r="T630" s="586" t="s">
        <v>779</v>
      </c>
      <c r="U630" s="586" t="s">
        <v>468</v>
      </c>
      <c r="V630" s="586" t="s">
        <v>469</v>
      </c>
      <c r="W630" s="587" t="s">
        <v>1277</v>
      </c>
      <c r="X630" s="586" t="s">
        <v>1380</v>
      </c>
      <c r="Y630" s="586" t="s">
        <v>1338</v>
      </c>
      <c r="Z630" s="587" t="s">
        <v>786</v>
      </c>
      <c r="AA630" s="588">
        <v>814</v>
      </c>
      <c r="AB630" s="586"/>
    </row>
    <row r="631" spans="1:28" hidden="1">
      <c r="A631" s="566" t="s">
        <v>1335</v>
      </c>
      <c r="B631" s="566" t="s">
        <v>466</v>
      </c>
      <c r="C631" s="566" t="s">
        <v>471</v>
      </c>
      <c r="D631" s="566" t="s">
        <v>472</v>
      </c>
      <c r="E631" s="566" t="s">
        <v>473</v>
      </c>
      <c r="F631" s="566" t="s">
        <v>474</v>
      </c>
      <c r="G631" s="567">
        <v>0</v>
      </c>
      <c r="H631" s="566" t="s">
        <v>1755</v>
      </c>
      <c r="I631" s="568">
        <v>2</v>
      </c>
      <c r="J631" s="569">
        <v>1</v>
      </c>
      <c r="K631" s="569">
        <v>1</v>
      </c>
      <c r="L631" s="566"/>
      <c r="M631" s="566" t="s">
        <v>476</v>
      </c>
      <c r="N631" s="570">
        <v>850</v>
      </c>
      <c r="O631" s="566"/>
      <c r="P631" s="566" t="s">
        <v>477</v>
      </c>
      <c r="Q631" s="568">
        <v>909678</v>
      </c>
      <c r="R631" s="568">
        <v>46</v>
      </c>
      <c r="S631" s="566" t="s">
        <v>1383</v>
      </c>
      <c r="T631" s="586" t="s">
        <v>779</v>
      </c>
      <c r="U631" s="586" t="s">
        <v>468</v>
      </c>
      <c r="V631" s="586" t="s">
        <v>469</v>
      </c>
      <c r="W631" s="587" t="s">
        <v>1354</v>
      </c>
      <c r="X631" s="586" t="s">
        <v>1380</v>
      </c>
      <c r="Y631" s="586" t="s">
        <v>1338</v>
      </c>
      <c r="Z631" s="587" t="s">
        <v>1798</v>
      </c>
      <c r="AA631" s="588">
        <v>850</v>
      </c>
      <c r="AB631" s="586"/>
    </row>
    <row r="632" spans="1:28" hidden="1">
      <c r="A632" s="566" t="s">
        <v>1335</v>
      </c>
      <c r="B632" s="566" t="s">
        <v>466</v>
      </c>
      <c r="C632" s="566" t="s">
        <v>487</v>
      </c>
      <c r="D632" s="566" t="s">
        <v>472</v>
      </c>
      <c r="E632" s="566" t="s">
        <v>473</v>
      </c>
      <c r="F632" s="566" t="s">
        <v>489</v>
      </c>
      <c r="G632" s="567">
        <v>50</v>
      </c>
      <c r="H632" s="566" t="s">
        <v>1757</v>
      </c>
      <c r="I632" s="568">
        <v>2</v>
      </c>
      <c r="J632" s="569">
        <v>1</v>
      </c>
      <c r="K632" s="569">
        <v>1</v>
      </c>
      <c r="L632" s="566"/>
      <c r="M632" s="566" t="s">
        <v>476</v>
      </c>
      <c r="N632" s="570">
        <v>886</v>
      </c>
      <c r="O632" s="566"/>
      <c r="P632" s="566" t="s">
        <v>477</v>
      </c>
      <c r="Q632" s="568">
        <v>909678</v>
      </c>
      <c r="R632" s="568">
        <v>47</v>
      </c>
      <c r="S632" s="566" t="s">
        <v>1385</v>
      </c>
      <c r="T632" s="586" t="s">
        <v>779</v>
      </c>
      <c r="U632" s="586" t="s">
        <v>468</v>
      </c>
      <c r="V632" s="586" t="s">
        <v>469</v>
      </c>
      <c r="W632" s="587" t="s">
        <v>1358</v>
      </c>
      <c r="X632" s="586" t="s">
        <v>1380</v>
      </c>
      <c r="Y632" s="586" t="s">
        <v>1338</v>
      </c>
      <c r="Z632" s="587" t="s">
        <v>1799</v>
      </c>
      <c r="AA632" s="588">
        <v>886</v>
      </c>
      <c r="AB632" s="586"/>
    </row>
    <row r="633" spans="1:28" hidden="1">
      <c r="A633" s="566" t="s">
        <v>1335</v>
      </c>
      <c r="B633" s="566" t="s">
        <v>466</v>
      </c>
      <c r="C633" s="566" t="s">
        <v>471</v>
      </c>
      <c r="D633" s="566" t="s">
        <v>472</v>
      </c>
      <c r="E633" s="566" t="s">
        <v>473</v>
      </c>
      <c r="F633" s="566" t="s">
        <v>474</v>
      </c>
      <c r="G633" s="567">
        <v>0</v>
      </c>
      <c r="H633" s="566" t="s">
        <v>511</v>
      </c>
      <c r="I633" s="568">
        <v>2</v>
      </c>
      <c r="J633" s="569">
        <v>1</v>
      </c>
      <c r="K633" s="569">
        <v>1</v>
      </c>
      <c r="L633" s="566"/>
      <c r="M633" s="566" t="s">
        <v>476</v>
      </c>
      <c r="N633" s="570">
        <v>346</v>
      </c>
      <c r="O633" s="566"/>
      <c r="P633" s="566" t="s">
        <v>477</v>
      </c>
      <c r="Q633" s="568">
        <v>909678</v>
      </c>
      <c r="R633" s="568">
        <v>5</v>
      </c>
      <c r="S633" s="566" t="s">
        <v>1392</v>
      </c>
      <c r="T633" s="586" t="s">
        <v>779</v>
      </c>
      <c r="U633" s="586" t="s">
        <v>468</v>
      </c>
      <c r="V633" s="586" t="s">
        <v>469</v>
      </c>
      <c r="W633" s="587" t="s">
        <v>509</v>
      </c>
      <c r="X633" s="586" t="s">
        <v>1380</v>
      </c>
      <c r="Y633" s="586" t="s">
        <v>1338</v>
      </c>
      <c r="Z633" s="587" t="s">
        <v>787</v>
      </c>
      <c r="AA633" s="588">
        <v>346</v>
      </c>
      <c r="AB633" s="586"/>
    </row>
    <row r="634" spans="1:28" hidden="1">
      <c r="A634" s="566" t="s">
        <v>1335</v>
      </c>
      <c r="B634" s="566" t="s">
        <v>466</v>
      </c>
      <c r="C634" s="566" t="s">
        <v>471</v>
      </c>
      <c r="D634" s="566" t="s">
        <v>472</v>
      </c>
      <c r="E634" s="566" t="s">
        <v>473</v>
      </c>
      <c r="F634" s="566" t="s">
        <v>474</v>
      </c>
      <c r="G634" s="567">
        <v>0</v>
      </c>
      <c r="H634" s="566" t="s">
        <v>213</v>
      </c>
      <c r="I634" s="568">
        <v>2</v>
      </c>
      <c r="J634" s="569">
        <v>1</v>
      </c>
      <c r="K634" s="569">
        <v>1</v>
      </c>
      <c r="L634" s="566"/>
      <c r="M634" s="566" t="s">
        <v>476</v>
      </c>
      <c r="N634" s="570">
        <v>382</v>
      </c>
      <c r="O634" s="566"/>
      <c r="P634" s="566" t="s">
        <v>477</v>
      </c>
      <c r="Q634" s="568">
        <v>909678</v>
      </c>
      <c r="R634" s="568">
        <v>6</v>
      </c>
      <c r="S634" s="566" t="s">
        <v>1393</v>
      </c>
      <c r="T634" s="586" t="s">
        <v>779</v>
      </c>
      <c r="U634" s="586" t="s">
        <v>468</v>
      </c>
      <c r="V634" s="586" t="s">
        <v>469</v>
      </c>
      <c r="W634" s="587" t="s">
        <v>512</v>
      </c>
      <c r="X634" s="586" t="s">
        <v>1380</v>
      </c>
      <c r="Y634" s="586" t="s">
        <v>1338</v>
      </c>
      <c r="Z634" s="587" t="s">
        <v>788</v>
      </c>
      <c r="AA634" s="588">
        <v>382</v>
      </c>
      <c r="AB634" s="586"/>
    </row>
    <row r="635" spans="1:28" hidden="1">
      <c r="A635" s="566" t="s">
        <v>1335</v>
      </c>
      <c r="B635" s="566" t="s">
        <v>466</v>
      </c>
      <c r="C635" s="566" t="s">
        <v>471</v>
      </c>
      <c r="D635" s="566" t="s">
        <v>472</v>
      </c>
      <c r="E635" s="566" t="s">
        <v>473</v>
      </c>
      <c r="F635" s="566" t="s">
        <v>474</v>
      </c>
      <c r="G635" s="567">
        <v>0</v>
      </c>
      <c r="H635" s="566" t="s">
        <v>516</v>
      </c>
      <c r="I635" s="568">
        <v>2</v>
      </c>
      <c r="J635" s="569">
        <v>1</v>
      </c>
      <c r="K635" s="569">
        <v>1</v>
      </c>
      <c r="L635" s="566"/>
      <c r="M635" s="566" t="s">
        <v>476</v>
      </c>
      <c r="N635" s="570">
        <v>418</v>
      </c>
      <c r="O635" s="566"/>
      <c r="P635" s="566" t="s">
        <v>477</v>
      </c>
      <c r="Q635" s="568">
        <v>909678</v>
      </c>
      <c r="R635" s="568">
        <v>14</v>
      </c>
      <c r="S635" s="566" t="s">
        <v>1394</v>
      </c>
      <c r="T635" s="586" t="s">
        <v>779</v>
      </c>
      <c r="U635" s="586" t="s">
        <v>468</v>
      </c>
      <c r="V635" s="586" t="s">
        <v>469</v>
      </c>
      <c r="W635" s="587" t="s">
        <v>514</v>
      </c>
      <c r="X635" s="586" t="s">
        <v>1380</v>
      </c>
      <c r="Y635" s="586" t="s">
        <v>1338</v>
      </c>
      <c r="Z635" s="587" t="s">
        <v>789</v>
      </c>
      <c r="AA635" s="588">
        <v>418</v>
      </c>
      <c r="AB635" s="586"/>
    </row>
    <row r="636" spans="1:28" hidden="1">
      <c r="A636" s="566" t="s">
        <v>1335</v>
      </c>
      <c r="B636" s="566" t="s">
        <v>466</v>
      </c>
      <c r="C636" s="566" t="s">
        <v>471</v>
      </c>
      <c r="D636" s="566" t="s">
        <v>472</v>
      </c>
      <c r="E636" s="566" t="s">
        <v>473</v>
      </c>
      <c r="F636" s="566" t="s">
        <v>474</v>
      </c>
      <c r="G636" s="567">
        <v>0</v>
      </c>
      <c r="H636" s="566" t="s">
        <v>479</v>
      </c>
      <c r="I636" s="568">
        <v>2</v>
      </c>
      <c r="J636" s="569">
        <v>25</v>
      </c>
      <c r="K636" s="569">
        <v>25</v>
      </c>
      <c r="L636" s="566"/>
      <c r="M636" s="566" t="s">
        <v>476</v>
      </c>
      <c r="N636" s="570">
        <v>1354</v>
      </c>
      <c r="O636" s="566"/>
      <c r="P636" s="566" t="s">
        <v>477</v>
      </c>
      <c r="Q636" s="568">
        <v>909678</v>
      </c>
      <c r="R636" s="568">
        <v>34</v>
      </c>
      <c r="S636" s="566" t="s">
        <v>1395</v>
      </c>
      <c r="T636" s="586" t="s">
        <v>779</v>
      </c>
      <c r="U636" s="586" t="s">
        <v>468</v>
      </c>
      <c r="V636" s="586" t="s">
        <v>469</v>
      </c>
      <c r="W636" s="587" t="s">
        <v>1274</v>
      </c>
      <c r="X636" s="586" t="s">
        <v>1380</v>
      </c>
      <c r="Y636" s="586" t="s">
        <v>1367</v>
      </c>
      <c r="Z636" s="587" t="s">
        <v>1800</v>
      </c>
      <c r="AA636" s="588">
        <v>1354</v>
      </c>
      <c r="AB636" s="586"/>
    </row>
    <row r="637" spans="1:28" hidden="1">
      <c r="A637" s="566" t="s">
        <v>1335</v>
      </c>
      <c r="B637" s="566" t="s">
        <v>466</v>
      </c>
      <c r="C637" s="566" t="s">
        <v>471</v>
      </c>
      <c r="D637" s="566" t="s">
        <v>472</v>
      </c>
      <c r="E637" s="566" t="s">
        <v>473</v>
      </c>
      <c r="F637" s="566" t="s">
        <v>474</v>
      </c>
      <c r="G637" s="567">
        <v>0</v>
      </c>
      <c r="H637" s="566" t="s">
        <v>484</v>
      </c>
      <c r="I637" s="568">
        <v>2</v>
      </c>
      <c r="J637" s="569">
        <v>25</v>
      </c>
      <c r="K637" s="569">
        <v>25</v>
      </c>
      <c r="L637" s="566"/>
      <c r="M637" s="566" t="s">
        <v>476</v>
      </c>
      <c r="N637" s="570">
        <v>1390</v>
      </c>
      <c r="O637" s="566"/>
      <c r="P637" s="566" t="s">
        <v>477</v>
      </c>
      <c r="Q637" s="568">
        <v>909678</v>
      </c>
      <c r="R637" s="568">
        <v>35</v>
      </c>
      <c r="S637" s="566" t="s">
        <v>1397</v>
      </c>
      <c r="T637" s="586" t="s">
        <v>779</v>
      </c>
      <c r="U637" s="586" t="s">
        <v>468</v>
      </c>
      <c r="V637" s="586" t="s">
        <v>469</v>
      </c>
      <c r="W637" s="587" t="s">
        <v>1275</v>
      </c>
      <c r="X637" s="586" t="s">
        <v>1380</v>
      </c>
      <c r="Y637" s="586" t="s">
        <v>1367</v>
      </c>
      <c r="Z637" s="587" t="s">
        <v>1801</v>
      </c>
      <c r="AA637" s="588">
        <v>1390</v>
      </c>
      <c r="AB637" s="586"/>
    </row>
    <row r="638" spans="1:28" hidden="1">
      <c r="A638" s="566" t="s">
        <v>1335</v>
      </c>
      <c r="B638" s="566" t="s">
        <v>466</v>
      </c>
      <c r="C638" s="566" t="s">
        <v>487</v>
      </c>
      <c r="D638" s="566" t="s">
        <v>472</v>
      </c>
      <c r="E638" s="566" t="s">
        <v>473</v>
      </c>
      <c r="F638" s="566" t="s">
        <v>489</v>
      </c>
      <c r="G638" s="567">
        <v>50</v>
      </c>
      <c r="H638" s="566" t="s">
        <v>503</v>
      </c>
      <c r="I638" s="568">
        <v>2</v>
      </c>
      <c r="J638" s="569">
        <v>25</v>
      </c>
      <c r="K638" s="569">
        <v>25</v>
      </c>
      <c r="L638" s="566"/>
      <c r="M638" s="566" t="s">
        <v>476</v>
      </c>
      <c r="N638" s="570">
        <v>1426</v>
      </c>
      <c r="O638" s="566"/>
      <c r="P638" s="566" t="s">
        <v>477</v>
      </c>
      <c r="Q638" s="568">
        <v>909678</v>
      </c>
      <c r="R638" s="568">
        <v>37</v>
      </c>
      <c r="S638" s="566" t="s">
        <v>1399</v>
      </c>
      <c r="T638" s="586" t="s">
        <v>779</v>
      </c>
      <c r="U638" s="586" t="s">
        <v>468</v>
      </c>
      <c r="V638" s="586" t="s">
        <v>469</v>
      </c>
      <c r="W638" s="587" t="s">
        <v>1276</v>
      </c>
      <c r="X638" s="586" t="s">
        <v>1380</v>
      </c>
      <c r="Y638" s="586" t="s">
        <v>1367</v>
      </c>
      <c r="Z638" s="587" t="s">
        <v>1802</v>
      </c>
      <c r="AA638" s="588">
        <v>1426</v>
      </c>
      <c r="AB638" s="586"/>
    </row>
    <row r="639" spans="1:28" hidden="1">
      <c r="A639" s="566" t="s">
        <v>1335</v>
      </c>
      <c r="B639" s="566" t="s">
        <v>466</v>
      </c>
      <c r="C639" s="566" t="s">
        <v>487</v>
      </c>
      <c r="D639" s="566" t="s">
        <v>472</v>
      </c>
      <c r="E639" s="566" t="s">
        <v>473</v>
      </c>
      <c r="F639" s="566" t="s">
        <v>489</v>
      </c>
      <c r="G639" s="567">
        <v>50</v>
      </c>
      <c r="H639" s="566" t="s">
        <v>508</v>
      </c>
      <c r="I639" s="568">
        <v>2</v>
      </c>
      <c r="J639" s="569">
        <v>25</v>
      </c>
      <c r="K639" s="569">
        <v>25</v>
      </c>
      <c r="L639" s="566"/>
      <c r="M639" s="566" t="s">
        <v>476</v>
      </c>
      <c r="N639" s="570">
        <v>1462</v>
      </c>
      <c r="O639" s="566"/>
      <c r="P639" s="566" t="s">
        <v>477</v>
      </c>
      <c r="Q639" s="568">
        <v>909678</v>
      </c>
      <c r="R639" s="568">
        <v>38</v>
      </c>
      <c r="S639" s="566" t="s">
        <v>1401</v>
      </c>
      <c r="T639" s="586" t="s">
        <v>779</v>
      </c>
      <c r="U639" s="586" t="s">
        <v>468</v>
      </c>
      <c r="V639" s="586" t="s">
        <v>469</v>
      </c>
      <c r="W639" s="587" t="s">
        <v>1277</v>
      </c>
      <c r="X639" s="586" t="s">
        <v>1380</v>
      </c>
      <c r="Y639" s="586" t="s">
        <v>1367</v>
      </c>
      <c r="Z639" s="587" t="s">
        <v>1803</v>
      </c>
      <c r="AA639" s="588">
        <v>1462</v>
      </c>
      <c r="AB639" s="586"/>
    </row>
    <row r="640" spans="1:28" hidden="1">
      <c r="A640" s="566" t="s">
        <v>1335</v>
      </c>
      <c r="B640" s="566" t="s">
        <v>466</v>
      </c>
      <c r="C640" s="566" t="s">
        <v>471</v>
      </c>
      <c r="D640" s="566" t="s">
        <v>472</v>
      </c>
      <c r="E640" s="566" t="s">
        <v>473</v>
      </c>
      <c r="F640" s="566" t="s">
        <v>474</v>
      </c>
      <c r="G640" s="567">
        <v>0</v>
      </c>
      <c r="H640" s="566" t="s">
        <v>1755</v>
      </c>
      <c r="I640" s="568">
        <v>2</v>
      </c>
      <c r="J640" s="569">
        <v>25</v>
      </c>
      <c r="K640" s="569">
        <v>25</v>
      </c>
      <c r="L640" s="566"/>
      <c r="M640" s="566" t="s">
        <v>476</v>
      </c>
      <c r="N640" s="570">
        <v>1498</v>
      </c>
      <c r="O640" s="566"/>
      <c r="P640" s="566" t="s">
        <v>477</v>
      </c>
      <c r="Q640" s="568">
        <v>909678</v>
      </c>
      <c r="R640" s="568">
        <v>36</v>
      </c>
      <c r="S640" s="566" t="s">
        <v>1403</v>
      </c>
      <c r="T640" s="586" t="s">
        <v>779</v>
      </c>
      <c r="U640" s="586" t="s">
        <v>468</v>
      </c>
      <c r="V640" s="586" t="s">
        <v>469</v>
      </c>
      <c r="W640" s="587" t="s">
        <v>1354</v>
      </c>
      <c r="X640" s="586" t="s">
        <v>1380</v>
      </c>
      <c r="Y640" s="586" t="s">
        <v>1367</v>
      </c>
      <c r="Z640" s="587" t="s">
        <v>1804</v>
      </c>
      <c r="AA640" s="588">
        <v>1498</v>
      </c>
      <c r="AB640" s="586"/>
    </row>
    <row r="641" spans="1:28" hidden="1">
      <c r="A641" s="566" t="s">
        <v>1335</v>
      </c>
      <c r="B641" s="566" t="s">
        <v>466</v>
      </c>
      <c r="C641" s="566" t="s">
        <v>487</v>
      </c>
      <c r="D641" s="566" t="s">
        <v>472</v>
      </c>
      <c r="E641" s="566" t="s">
        <v>473</v>
      </c>
      <c r="F641" s="566" t="s">
        <v>489</v>
      </c>
      <c r="G641" s="567">
        <v>50</v>
      </c>
      <c r="H641" s="566" t="s">
        <v>1757</v>
      </c>
      <c r="I641" s="568">
        <v>2</v>
      </c>
      <c r="J641" s="569">
        <v>25</v>
      </c>
      <c r="K641" s="569">
        <v>25</v>
      </c>
      <c r="L641" s="566"/>
      <c r="M641" s="566" t="s">
        <v>476</v>
      </c>
      <c r="N641" s="570">
        <v>1534</v>
      </c>
      <c r="O641" s="566"/>
      <c r="P641" s="566" t="s">
        <v>477</v>
      </c>
      <c r="Q641" s="568">
        <v>909678</v>
      </c>
      <c r="R641" s="568">
        <v>39</v>
      </c>
      <c r="S641" s="566" t="s">
        <v>1405</v>
      </c>
      <c r="T641" s="586" t="s">
        <v>779</v>
      </c>
      <c r="U641" s="586" t="s">
        <v>468</v>
      </c>
      <c r="V641" s="586" t="s">
        <v>469</v>
      </c>
      <c r="W641" s="587" t="s">
        <v>1358</v>
      </c>
      <c r="X641" s="586" t="s">
        <v>1380</v>
      </c>
      <c r="Y641" s="586" t="s">
        <v>1367</v>
      </c>
      <c r="Z641" s="587" t="s">
        <v>1805</v>
      </c>
      <c r="AA641" s="588">
        <v>1534</v>
      </c>
      <c r="AB641" s="586"/>
    </row>
    <row r="642" spans="1:28" hidden="1">
      <c r="A642" s="566" t="s">
        <v>1335</v>
      </c>
      <c r="B642" s="566" t="s">
        <v>466</v>
      </c>
      <c r="C642" s="566" t="s">
        <v>471</v>
      </c>
      <c r="D642" s="566" t="s">
        <v>472</v>
      </c>
      <c r="E642" s="566" t="s">
        <v>473</v>
      </c>
      <c r="F642" s="566" t="s">
        <v>474</v>
      </c>
      <c r="G642" s="567">
        <v>0</v>
      </c>
      <c r="H642" s="566" t="s">
        <v>475</v>
      </c>
      <c r="I642" s="568">
        <v>2</v>
      </c>
      <c r="J642" s="569">
        <v>1</v>
      </c>
      <c r="K642" s="569">
        <v>1</v>
      </c>
      <c r="L642" s="566"/>
      <c r="M642" s="566" t="s">
        <v>476</v>
      </c>
      <c r="N642" s="570">
        <v>454</v>
      </c>
      <c r="O642" s="566"/>
      <c r="P642" s="566" t="s">
        <v>477</v>
      </c>
      <c r="Q642" s="568">
        <v>909678</v>
      </c>
      <c r="R642" s="568">
        <v>7</v>
      </c>
      <c r="S642" s="566" t="s">
        <v>1407</v>
      </c>
      <c r="T642" s="586" t="s">
        <v>1442</v>
      </c>
      <c r="U642" s="586" t="s">
        <v>468</v>
      </c>
      <c r="V642" s="586" t="s">
        <v>469</v>
      </c>
      <c r="W642" s="587" t="s">
        <v>470</v>
      </c>
      <c r="X642" s="586" t="s">
        <v>1380</v>
      </c>
      <c r="Y642" s="586" t="s">
        <v>1338</v>
      </c>
      <c r="Z642" s="587" t="s">
        <v>1806</v>
      </c>
      <c r="AA642" s="588">
        <v>454</v>
      </c>
      <c r="AB642" s="586"/>
    </row>
    <row r="643" spans="1:28" hidden="1">
      <c r="A643" s="566" t="s">
        <v>1335</v>
      </c>
      <c r="B643" s="566" t="s">
        <v>466</v>
      </c>
      <c r="C643" s="566" t="s">
        <v>471</v>
      </c>
      <c r="D643" s="566" t="s">
        <v>472</v>
      </c>
      <c r="E643" s="566" t="s">
        <v>473</v>
      </c>
      <c r="F643" s="566" t="s">
        <v>474</v>
      </c>
      <c r="G643" s="567">
        <v>0</v>
      </c>
      <c r="H643" s="566" t="s">
        <v>481</v>
      </c>
      <c r="I643" s="568">
        <v>2</v>
      </c>
      <c r="J643" s="569">
        <v>1</v>
      </c>
      <c r="K643" s="569">
        <v>1</v>
      </c>
      <c r="L643" s="566"/>
      <c r="M643" s="566" t="s">
        <v>476</v>
      </c>
      <c r="N643" s="570">
        <v>526</v>
      </c>
      <c r="O643" s="566"/>
      <c r="P643" s="566" t="s">
        <v>477</v>
      </c>
      <c r="Q643" s="568">
        <v>909678</v>
      </c>
      <c r="R643" s="568">
        <v>8</v>
      </c>
      <c r="S643" s="566" t="s">
        <v>1410</v>
      </c>
      <c r="T643" s="586" t="s">
        <v>1442</v>
      </c>
      <c r="U643" s="586" t="s">
        <v>468</v>
      </c>
      <c r="V643" s="586" t="s">
        <v>469</v>
      </c>
      <c r="W643" s="587" t="s">
        <v>480</v>
      </c>
      <c r="X643" s="586" t="s">
        <v>1380</v>
      </c>
      <c r="Y643" s="586" t="s">
        <v>1338</v>
      </c>
      <c r="Z643" s="587" t="s">
        <v>1807</v>
      </c>
      <c r="AA643" s="588">
        <v>526</v>
      </c>
      <c r="AB643" s="586"/>
    </row>
    <row r="644" spans="1:28" hidden="1">
      <c r="A644" s="566" t="s">
        <v>1335</v>
      </c>
      <c r="B644" s="566" t="s">
        <v>466</v>
      </c>
      <c r="C644" s="566" t="s">
        <v>487</v>
      </c>
      <c r="D644" s="566" t="s">
        <v>472</v>
      </c>
      <c r="E644" s="566" t="s">
        <v>473</v>
      </c>
      <c r="F644" s="566" t="s">
        <v>489</v>
      </c>
      <c r="G644" s="567">
        <v>50</v>
      </c>
      <c r="H644" s="566" t="s">
        <v>500</v>
      </c>
      <c r="I644" s="568">
        <v>2</v>
      </c>
      <c r="J644" s="569">
        <v>1</v>
      </c>
      <c r="K644" s="569">
        <v>1</v>
      </c>
      <c r="L644" s="566"/>
      <c r="M644" s="566" t="s">
        <v>476</v>
      </c>
      <c r="N644" s="570">
        <v>706</v>
      </c>
      <c r="O644" s="566"/>
      <c r="P644" s="566" t="s">
        <v>477</v>
      </c>
      <c r="Q644" s="568">
        <v>909678</v>
      </c>
      <c r="R644" s="568">
        <v>11</v>
      </c>
      <c r="S644" s="566" t="s">
        <v>1412</v>
      </c>
      <c r="T644" s="586" t="s">
        <v>1442</v>
      </c>
      <c r="U644" s="586" t="s">
        <v>468</v>
      </c>
      <c r="V644" s="586" t="s">
        <v>469</v>
      </c>
      <c r="W644" s="587" t="s">
        <v>499</v>
      </c>
      <c r="X644" s="586" t="s">
        <v>1380</v>
      </c>
      <c r="Y644" s="586" t="s">
        <v>1338</v>
      </c>
      <c r="Z644" s="587" t="s">
        <v>1808</v>
      </c>
      <c r="AA644" s="588">
        <v>706</v>
      </c>
      <c r="AB644" s="586"/>
    </row>
    <row r="645" spans="1:28" hidden="1">
      <c r="A645" s="566" t="s">
        <v>1335</v>
      </c>
      <c r="B645" s="566" t="s">
        <v>466</v>
      </c>
      <c r="C645" s="566" t="s">
        <v>487</v>
      </c>
      <c r="D645" s="566" t="s">
        <v>472</v>
      </c>
      <c r="E645" s="566" t="s">
        <v>473</v>
      </c>
      <c r="F645" s="566" t="s">
        <v>489</v>
      </c>
      <c r="G645" s="567">
        <v>50</v>
      </c>
      <c r="H645" s="566" t="s">
        <v>505</v>
      </c>
      <c r="I645" s="568">
        <v>2</v>
      </c>
      <c r="J645" s="569">
        <v>1</v>
      </c>
      <c r="K645" s="569">
        <v>1</v>
      </c>
      <c r="L645" s="566"/>
      <c r="M645" s="566" t="s">
        <v>476</v>
      </c>
      <c r="N645" s="570">
        <v>778</v>
      </c>
      <c r="O645" s="566"/>
      <c r="P645" s="566" t="s">
        <v>477</v>
      </c>
      <c r="Q645" s="568">
        <v>909678</v>
      </c>
      <c r="R645" s="568">
        <v>20</v>
      </c>
      <c r="S645" s="566" t="s">
        <v>1414</v>
      </c>
      <c r="T645" s="586" t="s">
        <v>1442</v>
      </c>
      <c r="U645" s="586" t="s">
        <v>468</v>
      </c>
      <c r="V645" s="586" t="s">
        <v>469</v>
      </c>
      <c r="W645" s="587" t="s">
        <v>504</v>
      </c>
      <c r="X645" s="586" t="s">
        <v>1380</v>
      </c>
      <c r="Y645" s="586" t="s">
        <v>1338</v>
      </c>
      <c r="Z645" s="587" t="s">
        <v>1809</v>
      </c>
      <c r="AA645" s="588">
        <v>778</v>
      </c>
      <c r="AB645" s="586"/>
    </row>
    <row r="646" spans="1:28" hidden="1">
      <c r="A646" s="566" t="s">
        <v>1335</v>
      </c>
      <c r="B646" s="566" t="s">
        <v>466</v>
      </c>
      <c r="C646" s="566" t="s">
        <v>471</v>
      </c>
      <c r="D646" s="566" t="s">
        <v>472</v>
      </c>
      <c r="E646" s="566" t="s">
        <v>473</v>
      </c>
      <c r="F646" s="566" t="s">
        <v>474</v>
      </c>
      <c r="G646" s="567">
        <v>0</v>
      </c>
      <c r="H646" s="566" t="s">
        <v>479</v>
      </c>
      <c r="I646" s="568">
        <v>2</v>
      </c>
      <c r="J646" s="569">
        <v>50</v>
      </c>
      <c r="K646" s="569">
        <v>50</v>
      </c>
      <c r="L646" s="566"/>
      <c r="M646" s="566" t="s">
        <v>476</v>
      </c>
      <c r="N646" s="570">
        <v>1031</v>
      </c>
      <c r="O646" s="566"/>
      <c r="P646" s="566" t="s">
        <v>477</v>
      </c>
      <c r="Q646" s="568">
        <v>909678</v>
      </c>
      <c r="R646" s="568">
        <v>25</v>
      </c>
      <c r="S646" s="566" t="s">
        <v>1336</v>
      </c>
      <c r="T646" s="586" t="s">
        <v>253</v>
      </c>
      <c r="U646" s="586" t="s">
        <v>468</v>
      </c>
      <c r="V646" s="586" t="s">
        <v>469</v>
      </c>
      <c r="W646" s="587" t="s">
        <v>1274</v>
      </c>
      <c r="X646" s="586" t="s">
        <v>1337</v>
      </c>
      <c r="Y646" s="586" t="s">
        <v>1338</v>
      </c>
      <c r="Z646" s="587" t="s">
        <v>1810</v>
      </c>
      <c r="AA646" s="588">
        <v>1031</v>
      </c>
      <c r="AB646" s="586"/>
    </row>
    <row r="647" spans="1:28" hidden="1">
      <c r="A647" s="566" t="s">
        <v>1335</v>
      </c>
      <c r="B647" s="566" t="s">
        <v>466</v>
      </c>
      <c r="C647" s="566" t="s">
        <v>471</v>
      </c>
      <c r="D647" s="566" t="s">
        <v>472</v>
      </c>
      <c r="E647" s="566" t="s">
        <v>473</v>
      </c>
      <c r="F647" s="566" t="s">
        <v>474</v>
      </c>
      <c r="G647" s="567">
        <v>0</v>
      </c>
      <c r="H647" s="566" t="s">
        <v>484</v>
      </c>
      <c r="I647" s="568">
        <v>2</v>
      </c>
      <c r="J647" s="569">
        <v>50</v>
      </c>
      <c r="K647" s="569">
        <v>50</v>
      </c>
      <c r="L647" s="566"/>
      <c r="M647" s="566" t="s">
        <v>476</v>
      </c>
      <c r="N647" s="570">
        <v>1067</v>
      </c>
      <c r="O647" s="566"/>
      <c r="P647" s="566" t="s">
        <v>477</v>
      </c>
      <c r="Q647" s="568">
        <v>909678</v>
      </c>
      <c r="R647" s="568">
        <v>26</v>
      </c>
      <c r="S647" s="566" t="s">
        <v>1340</v>
      </c>
      <c r="T647" s="586" t="s">
        <v>253</v>
      </c>
      <c r="U647" s="586" t="s">
        <v>468</v>
      </c>
      <c r="V647" s="586" t="s">
        <v>469</v>
      </c>
      <c r="W647" s="587" t="s">
        <v>1275</v>
      </c>
      <c r="X647" s="586" t="s">
        <v>1337</v>
      </c>
      <c r="Y647" s="586" t="s">
        <v>1338</v>
      </c>
      <c r="Z647" s="587" t="s">
        <v>1811</v>
      </c>
      <c r="AA647" s="588">
        <v>1067</v>
      </c>
      <c r="AB647" s="586"/>
    </row>
    <row r="648" spans="1:28" hidden="1">
      <c r="A648" s="566" t="s">
        <v>1335</v>
      </c>
      <c r="B648" s="566" t="s">
        <v>466</v>
      </c>
      <c r="C648" s="566" t="s">
        <v>487</v>
      </c>
      <c r="D648" s="566" t="s">
        <v>472</v>
      </c>
      <c r="E648" s="566" t="s">
        <v>473</v>
      </c>
      <c r="F648" s="566" t="s">
        <v>489</v>
      </c>
      <c r="G648" s="567">
        <v>50</v>
      </c>
      <c r="H648" s="566" t="s">
        <v>490</v>
      </c>
      <c r="I648" s="568">
        <v>2</v>
      </c>
      <c r="J648" s="569">
        <v>50</v>
      </c>
      <c r="K648" s="569">
        <v>50</v>
      </c>
      <c r="L648" s="566"/>
      <c r="M648" s="566" t="s">
        <v>476</v>
      </c>
      <c r="N648" s="570">
        <v>1103</v>
      </c>
      <c r="O648" s="566"/>
      <c r="P648" s="566" t="s">
        <v>477</v>
      </c>
      <c r="Q648" s="568">
        <v>909678</v>
      </c>
      <c r="R648" s="568">
        <v>28</v>
      </c>
      <c r="S648" s="566" t="s">
        <v>1342</v>
      </c>
      <c r="T648" s="586" t="s">
        <v>253</v>
      </c>
      <c r="U648" s="586" t="s">
        <v>468</v>
      </c>
      <c r="V648" s="586" t="s">
        <v>469</v>
      </c>
      <c r="W648" s="587" t="s">
        <v>485</v>
      </c>
      <c r="X648" s="586" t="s">
        <v>1337</v>
      </c>
      <c r="Y648" s="586" t="s">
        <v>1338</v>
      </c>
      <c r="Z648" s="587" t="s">
        <v>1812</v>
      </c>
      <c r="AA648" s="588">
        <v>1103</v>
      </c>
      <c r="AB648" s="586"/>
    </row>
    <row r="649" spans="1:28" hidden="1">
      <c r="A649" s="566" t="s">
        <v>1335</v>
      </c>
      <c r="B649" s="566" t="s">
        <v>466</v>
      </c>
      <c r="C649" s="566" t="s">
        <v>487</v>
      </c>
      <c r="D649" s="566" t="s">
        <v>472</v>
      </c>
      <c r="E649" s="566" t="s">
        <v>473</v>
      </c>
      <c r="F649" s="566" t="s">
        <v>489</v>
      </c>
      <c r="G649" s="567">
        <v>50</v>
      </c>
      <c r="H649" s="566" t="s">
        <v>494</v>
      </c>
      <c r="I649" s="568">
        <v>2</v>
      </c>
      <c r="J649" s="569">
        <v>50</v>
      </c>
      <c r="K649" s="569">
        <v>50</v>
      </c>
      <c r="L649" s="566"/>
      <c r="M649" s="566" t="s">
        <v>476</v>
      </c>
      <c r="N649" s="570">
        <v>1139</v>
      </c>
      <c r="O649" s="566"/>
      <c r="P649" s="566" t="s">
        <v>477</v>
      </c>
      <c r="Q649" s="568">
        <v>909678</v>
      </c>
      <c r="R649" s="568">
        <v>29</v>
      </c>
      <c r="S649" s="566" t="s">
        <v>1344</v>
      </c>
      <c r="T649" s="586" t="s">
        <v>253</v>
      </c>
      <c r="U649" s="586" t="s">
        <v>468</v>
      </c>
      <c r="V649" s="586" t="s">
        <v>469</v>
      </c>
      <c r="W649" s="587" t="s">
        <v>491</v>
      </c>
      <c r="X649" s="586" t="s">
        <v>1337</v>
      </c>
      <c r="Y649" s="586" t="s">
        <v>1338</v>
      </c>
      <c r="Z649" s="587" t="s">
        <v>1813</v>
      </c>
      <c r="AA649" s="588">
        <v>1139</v>
      </c>
      <c r="AB649" s="586"/>
    </row>
    <row r="650" spans="1:28" hidden="1">
      <c r="A650" s="566" t="s">
        <v>1335</v>
      </c>
      <c r="B650" s="566" t="s">
        <v>466</v>
      </c>
      <c r="C650" s="566" t="s">
        <v>487</v>
      </c>
      <c r="D650" s="566" t="s">
        <v>472</v>
      </c>
      <c r="E650" s="566" t="s">
        <v>473</v>
      </c>
      <c r="F650" s="566" t="s">
        <v>489</v>
      </c>
      <c r="G650" s="567">
        <v>50</v>
      </c>
      <c r="H650" s="566" t="s">
        <v>498</v>
      </c>
      <c r="I650" s="568">
        <v>2</v>
      </c>
      <c r="J650" s="569">
        <v>50</v>
      </c>
      <c r="K650" s="569">
        <v>50</v>
      </c>
      <c r="L650" s="566"/>
      <c r="M650" s="566" t="s">
        <v>476</v>
      </c>
      <c r="N650" s="570">
        <v>1175</v>
      </c>
      <c r="O650" s="566"/>
      <c r="P650" s="566" t="s">
        <v>477</v>
      </c>
      <c r="Q650" s="568">
        <v>909678</v>
      </c>
      <c r="R650" s="568">
        <v>30</v>
      </c>
      <c r="S650" s="566" t="s">
        <v>1346</v>
      </c>
      <c r="T650" s="586" t="s">
        <v>253</v>
      </c>
      <c r="U650" s="586" t="s">
        <v>468</v>
      </c>
      <c r="V650" s="586" t="s">
        <v>469</v>
      </c>
      <c r="W650" s="587" t="s">
        <v>495</v>
      </c>
      <c r="X650" s="586" t="s">
        <v>1337</v>
      </c>
      <c r="Y650" s="586" t="s">
        <v>1338</v>
      </c>
      <c r="Z650" s="587" t="s">
        <v>1814</v>
      </c>
      <c r="AA650" s="588">
        <v>1175</v>
      </c>
      <c r="AB650" s="586"/>
    </row>
    <row r="651" spans="1:28" hidden="1">
      <c r="A651" s="566" t="s">
        <v>1335</v>
      </c>
      <c r="B651" s="566" t="s">
        <v>466</v>
      </c>
      <c r="C651" s="566" t="s">
        <v>487</v>
      </c>
      <c r="D651" s="566" t="s">
        <v>472</v>
      </c>
      <c r="E651" s="566" t="s">
        <v>473</v>
      </c>
      <c r="F651" s="566" t="s">
        <v>489</v>
      </c>
      <c r="G651" s="567">
        <v>50</v>
      </c>
      <c r="H651" s="566" t="s">
        <v>503</v>
      </c>
      <c r="I651" s="568">
        <v>2</v>
      </c>
      <c r="J651" s="569">
        <v>50</v>
      </c>
      <c r="K651" s="569">
        <v>50</v>
      </c>
      <c r="L651" s="566"/>
      <c r="M651" s="566" t="s">
        <v>476</v>
      </c>
      <c r="N651" s="570">
        <v>1211</v>
      </c>
      <c r="O651" s="566"/>
      <c r="P651" s="566" t="s">
        <v>477</v>
      </c>
      <c r="Q651" s="568">
        <v>909678</v>
      </c>
      <c r="R651" s="568">
        <v>31</v>
      </c>
      <c r="S651" s="566" t="s">
        <v>1348</v>
      </c>
      <c r="T651" s="586" t="s">
        <v>253</v>
      </c>
      <c r="U651" s="586" t="s">
        <v>468</v>
      </c>
      <c r="V651" s="586" t="s">
        <v>469</v>
      </c>
      <c r="W651" s="587" t="s">
        <v>1276</v>
      </c>
      <c r="X651" s="586" t="s">
        <v>1337</v>
      </c>
      <c r="Y651" s="586" t="s">
        <v>1338</v>
      </c>
      <c r="Z651" s="587" t="s">
        <v>1815</v>
      </c>
      <c r="AA651" s="588">
        <v>1211</v>
      </c>
      <c r="AB651" s="586"/>
    </row>
    <row r="652" spans="1:28" hidden="1">
      <c r="A652" s="566" t="s">
        <v>1335</v>
      </c>
      <c r="B652" s="566" t="s">
        <v>466</v>
      </c>
      <c r="C652" s="566" t="s">
        <v>487</v>
      </c>
      <c r="D652" s="566" t="s">
        <v>472</v>
      </c>
      <c r="E652" s="566" t="s">
        <v>473</v>
      </c>
      <c r="F652" s="566" t="s">
        <v>489</v>
      </c>
      <c r="G652" s="567">
        <v>50</v>
      </c>
      <c r="H652" s="566" t="s">
        <v>508</v>
      </c>
      <c r="I652" s="568">
        <v>2</v>
      </c>
      <c r="J652" s="569">
        <v>50</v>
      </c>
      <c r="K652" s="569">
        <v>50</v>
      </c>
      <c r="L652" s="566"/>
      <c r="M652" s="566" t="s">
        <v>476</v>
      </c>
      <c r="N652" s="570">
        <v>1247</v>
      </c>
      <c r="O652" s="566"/>
      <c r="P652" s="566" t="s">
        <v>477</v>
      </c>
      <c r="Q652" s="568">
        <v>909678</v>
      </c>
      <c r="R652" s="568">
        <v>32</v>
      </c>
      <c r="S652" s="566" t="s">
        <v>1350</v>
      </c>
      <c r="T652" s="586" t="s">
        <v>253</v>
      </c>
      <c r="U652" s="586" t="s">
        <v>468</v>
      </c>
      <c r="V652" s="586" t="s">
        <v>469</v>
      </c>
      <c r="W652" s="587" t="s">
        <v>1277</v>
      </c>
      <c r="X652" s="586" t="s">
        <v>1337</v>
      </c>
      <c r="Y652" s="586" t="s">
        <v>1338</v>
      </c>
      <c r="Z652" s="587" t="s">
        <v>1816</v>
      </c>
      <c r="AA652" s="588">
        <v>1247</v>
      </c>
      <c r="AB652" s="586"/>
    </row>
    <row r="653" spans="1:28" hidden="1">
      <c r="A653" s="566" t="s">
        <v>1335</v>
      </c>
      <c r="B653" s="566" t="s">
        <v>466</v>
      </c>
      <c r="C653" s="566" t="s">
        <v>471</v>
      </c>
      <c r="D653" s="566" t="s">
        <v>472</v>
      </c>
      <c r="E653" s="566" t="s">
        <v>473</v>
      </c>
      <c r="F653" s="566" t="s">
        <v>474</v>
      </c>
      <c r="G653" s="567">
        <v>0</v>
      </c>
      <c r="H653" s="566" t="s">
        <v>1755</v>
      </c>
      <c r="I653" s="568">
        <v>2</v>
      </c>
      <c r="J653" s="569">
        <v>50</v>
      </c>
      <c r="K653" s="569">
        <v>50</v>
      </c>
      <c r="L653" s="566"/>
      <c r="M653" s="566" t="s">
        <v>476</v>
      </c>
      <c r="N653" s="570">
        <v>1283</v>
      </c>
      <c r="O653" s="566"/>
      <c r="P653" s="566" t="s">
        <v>477</v>
      </c>
      <c r="Q653" s="568">
        <v>909678</v>
      </c>
      <c r="R653" s="568">
        <v>27</v>
      </c>
      <c r="S653" s="566" t="s">
        <v>1353</v>
      </c>
      <c r="T653" s="586" t="s">
        <v>253</v>
      </c>
      <c r="U653" s="586" t="s">
        <v>468</v>
      </c>
      <c r="V653" s="586" t="s">
        <v>469</v>
      </c>
      <c r="W653" s="587" t="s">
        <v>1354</v>
      </c>
      <c r="X653" s="586" t="s">
        <v>1337</v>
      </c>
      <c r="Y653" s="586" t="s">
        <v>1338</v>
      </c>
      <c r="Z653" s="587" t="s">
        <v>1817</v>
      </c>
      <c r="AA653" s="588">
        <v>1283</v>
      </c>
      <c r="AB653" s="586"/>
    </row>
    <row r="654" spans="1:28" hidden="1">
      <c r="A654" s="566" t="s">
        <v>1335</v>
      </c>
      <c r="B654" s="566" t="s">
        <v>466</v>
      </c>
      <c r="C654" s="566" t="s">
        <v>487</v>
      </c>
      <c r="D654" s="566" t="s">
        <v>472</v>
      </c>
      <c r="E654" s="566" t="s">
        <v>473</v>
      </c>
      <c r="F654" s="566" t="s">
        <v>489</v>
      </c>
      <c r="G654" s="567">
        <v>50</v>
      </c>
      <c r="H654" s="566" t="s">
        <v>1757</v>
      </c>
      <c r="I654" s="568">
        <v>2</v>
      </c>
      <c r="J654" s="569">
        <v>50</v>
      </c>
      <c r="K654" s="569">
        <v>50</v>
      </c>
      <c r="L654" s="566"/>
      <c r="M654" s="566" t="s">
        <v>476</v>
      </c>
      <c r="N654" s="570">
        <v>1319</v>
      </c>
      <c r="O654" s="566"/>
      <c r="P654" s="566" t="s">
        <v>477</v>
      </c>
      <c r="Q654" s="568">
        <v>909678</v>
      </c>
      <c r="R654" s="568">
        <v>33</v>
      </c>
      <c r="S654" s="566" t="s">
        <v>1357</v>
      </c>
      <c r="T654" s="586" t="s">
        <v>253</v>
      </c>
      <c r="U654" s="586" t="s">
        <v>468</v>
      </c>
      <c r="V654" s="586" t="s">
        <v>469</v>
      </c>
      <c r="W654" s="587" t="s">
        <v>1358</v>
      </c>
      <c r="X654" s="586" t="s">
        <v>1337</v>
      </c>
      <c r="Y654" s="586" t="s">
        <v>1338</v>
      </c>
      <c r="Z654" s="587" t="s">
        <v>1818</v>
      </c>
      <c r="AA654" s="588">
        <v>1319</v>
      </c>
      <c r="AB654" s="586"/>
    </row>
    <row r="655" spans="1:28" hidden="1">
      <c r="A655" s="566" t="s">
        <v>1335</v>
      </c>
      <c r="B655" s="566" t="s">
        <v>466</v>
      </c>
      <c r="C655" s="566" t="s">
        <v>471</v>
      </c>
      <c r="D655" s="566" t="s">
        <v>472</v>
      </c>
      <c r="E655" s="566" t="s">
        <v>473</v>
      </c>
      <c r="F655" s="566" t="s">
        <v>474</v>
      </c>
      <c r="G655" s="567">
        <v>0</v>
      </c>
      <c r="H655" s="566" t="s">
        <v>511</v>
      </c>
      <c r="I655" s="568">
        <v>2</v>
      </c>
      <c r="J655" s="569">
        <v>50</v>
      </c>
      <c r="K655" s="569">
        <v>50</v>
      </c>
      <c r="L655" s="566"/>
      <c r="M655" s="566" t="s">
        <v>476</v>
      </c>
      <c r="N655" s="570">
        <v>923</v>
      </c>
      <c r="O655" s="566"/>
      <c r="P655" s="566" t="s">
        <v>477</v>
      </c>
      <c r="Q655" s="568">
        <v>909678</v>
      </c>
      <c r="R655" s="568">
        <v>22</v>
      </c>
      <c r="S655" s="566" t="s">
        <v>1360</v>
      </c>
      <c r="T655" s="586" t="s">
        <v>253</v>
      </c>
      <c r="U655" s="586" t="s">
        <v>468</v>
      </c>
      <c r="V655" s="586" t="s">
        <v>469</v>
      </c>
      <c r="W655" s="587" t="s">
        <v>509</v>
      </c>
      <c r="X655" s="586" t="s">
        <v>1337</v>
      </c>
      <c r="Y655" s="586" t="s">
        <v>1338</v>
      </c>
      <c r="Z655" s="587" t="s">
        <v>1819</v>
      </c>
      <c r="AA655" s="588">
        <v>923</v>
      </c>
      <c r="AB655" s="586"/>
    </row>
    <row r="656" spans="1:28" hidden="1">
      <c r="A656" s="566" t="s">
        <v>1335</v>
      </c>
      <c r="B656" s="566" t="s">
        <v>466</v>
      </c>
      <c r="C656" s="566" t="s">
        <v>471</v>
      </c>
      <c r="D656" s="566" t="s">
        <v>472</v>
      </c>
      <c r="E656" s="566" t="s">
        <v>473</v>
      </c>
      <c r="F656" s="566" t="s">
        <v>474</v>
      </c>
      <c r="G656" s="567">
        <v>0</v>
      </c>
      <c r="H656" s="566" t="s">
        <v>213</v>
      </c>
      <c r="I656" s="568">
        <v>2</v>
      </c>
      <c r="J656" s="569">
        <v>50</v>
      </c>
      <c r="K656" s="569">
        <v>50</v>
      </c>
      <c r="L656" s="566"/>
      <c r="M656" s="566" t="s">
        <v>476</v>
      </c>
      <c r="N656" s="570">
        <v>959</v>
      </c>
      <c r="O656" s="566"/>
      <c r="P656" s="566" t="s">
        <v>477</v>
      </c>
      <c r="Q656" s="568">
        <v>909678</v>
      </c>
      <c r="R656" s="568">
        <v>23</v>
      </c>
      <c r="S656" s="566" t="s">
        <v>1362</v>
      </c>
      <c r="T656" s="586" t="s">
        <v>253</v>
      </c>
      <c r="U656" s="586" t="s">
        <v>468</v>
      </c>
      <c r="V656" s="586" t="s">
        <v>469</v>
      </c>
      <c r="W656" s="587" t="s">
        <v>512</v>
      </c>
      <c r="X656" s="586" t="s">
        <v>1337</v>
      </c>
      <c r="Y656" s="586" t="s">
        <v>1338</v>
      </c>
      <c r="Z656" s="587" t="s">
        <v>1820</v>
      </c>
      <c r="AA656" s="588">
        <v>959</v>
      </c>
      <c r="AB656" s="586"/>
    </row>
    <row r="657" spans="1:28" hidden="1">
      <c r="A657" s="566" t="s">
        <v>1335</v>
      </c>
      <c r="B657" s="566" t="s">
        <v>466</v>
      </c>
      <c r="C657" s="566" t="s">
        <v>471</v>
      </c>
      <c r="D657" s="566" t="s">
        <v>472</v>
      </c>
      <c r="E657" s="566" t="s">
        <v>473</v>
      </c>
      <c r="F657" s="566" t="s">
        <v>474</v>
      </c>
      <c r="G657" s="567">
        <v>0</v>
      </c>
      <c r="H657" s="566" t="s">
        <v>516</v>
      </c>
      <c r="I657" s="568">
        <v>2</v>
      </c>
      <c r="J657" s="569">
        <v>50</v>
      </c>
      <c r="K657" s="569">
        <v>50</v>
      </c>
      <c r="L657" s="566"/>
      <c r="M657" s="566" t="s">
        <v>476</v>
      </c>
      <c r="N657" s="570">
        <v>995</v>
      </c>
      <c r="O657" s="566"/>
      <c r="P657" s="566" t="s">
        <v>477</v>
      </c>
      <c r="Q657" s="568">
        <v>909678</v>
      </c>
      <c r="R657" s="568">
        <v>24</v>
      </c>
      <c r="S657" s="566" t="s">
        <v>1364</v>
      </c>
      <c r="T657" s="586" t="s">
        <v>253</v>
      </c>
      <c r="U657" s="586" t="s">
        <v>468</v>
      </c>
      <c r="V657" s="586" t="s">
        <v>469</v>
      </c>
      <c r="W657" s="587" t="s">
        <v>514</v>
      </c>
      <c r="X657" s="586" t="s">
        <v>1337</v>
      </c>
      <c r="Y657" s="586" t="s">
        <v>1338</v>
      </c>
      <c r="Z657" s="587" t="s">
        <v>1821</v>
      </c>
      <c r="AA657" s="588">
        <v>995</v>
      </c>
      <c r="AB657" s="586"/>
    </row>
    <row r="658" spans="1:28" hidden="1">
      <c r="A658" s="566" t="s">
        <v>1335</v>
      </c>
      <c r="B658" s="566" t="s">
        <v>466</v>
      </c>
      <c r="C658" s="566" t="s">
        <v>471</v>
      </c>
      <c r="D658" s="566" t="s">
        <v>472</v>
      </c>
      <c r="E658" s="566" t="s">
        <v>473</v>
      </c>
      <c r="F658" s="566" t="s">
        <v>474</v>
      </c>
      <c r="G658" s="567">
        <v>0</v>
      </c>
      <c r="H658" s="566" t="s">
        <v>479</v>
      </c>
      <c r="I658" s="568">
        <v>2</v>
      </c>
      <c r="J658" s="569">
        <v>74</v>
      </c>
      <c r="K658" s="569">
        <v>74</v>
      </c>
      <c r="L658" s="566"/>
      <c r="M658" s="566" t="s">
        <v>476</v>
      </c>
      <c r="N658" s="570">
        <v>1571</v>
      </c>
      <c r="O658" s="566"/>
      <c r="P658" s="566" t="s">
        <v>477</v>
      </c>
      <c r="Q658" s="568">
        <v>909678</v>
      </c>
      <c r="R658" s="568">
        <v>40</v>
      </c>
      <c r="S658" s="566" t="s">
        <v>1366</v>
      </c>
      <c r="T658" s="586" t="s">
        <v>253</v>
      </c>
      <c r="U658" s="586" t="s">
        <v>468</v>
      </c>
      <c r="V658" s="586" t="s">
        <v>469</v>
      </c>
      <c r="W658" s="587" t="s">
        <v>1274</v>
      </c>
      <c r="X658" s="586" t="s">
        <v>1337</v>
      </c>
      <c r="Y658" s="586" t="s">
        <v>1367</v>
      </c>
      <c r="Z658" s="587" t="s">
        <v>1822</v>
      </c>
      <c r="AA658" s="588">
        <v>1571</v>
      </c>
      <c r="AB658" s="586"/>
    </row>
    <row r="659" spans="1:28" hidden="1">
      <c r="A659" s="566" t="s">
        <v>1335</v>
      </c>
      <c r="B659" s="566" t="s">
        <v>466</v>
      </c>
      <c r="C659" s="566" t="s">
        <v>471</v>
      </c>
      <c r="D659" s="566" t="s">
        <v>472</v>
      </c>
      <c r="E659" s="566" t="s">
        <v>473</v>
      </c>
      <c r="F659" s="566" t="s">
        <v>474</v>
      </c>
      <c r="G659" s="567">
        <v>0</v>
      </c>
      <c r="H659" s="566" t="s">
        <v>484</v>
      </c>
      <c r="I659" s="568">
        <v>2</v>
      </c>
      <c r="J659" s="569">
        <v>74</v>
      </c>
      <c r="K659" s="569">
        <v>74</v>
      </c>
      <c r="L659" s="566"/>
      <c r="M659" s="566" t="s">
        <v>476</v>
      </c>
      <c r="N659" s="570">
        <v>1607</v>
      </c>
      <c r="O659" s="566"/>
      <c r="P659" s="566" t="s">
        <v>477</v>
      </c>
      <c r="Q659" s="568">
        <v>909678</v>
      </c>
      <c r="R659" s="568">
        <v>41</v>
      </c>
      <c r="S659" s="566" t="s">
        <v>1369</v>
      </c>
      <c r="T659" s="586" t="s">
        <v>253</v>
      </c>
      <c r="U659" s="586" t="s">
        <v>468</v>
      </c>
      <c r="V659" s="586" t="s">
        <v>469</v>
      </c>
      <c r="W659" s="587" t="s">
        <v>1275</v>
      </c>
      <c r="X659" s="586" t="s">
        <v>1337</v>
      </c>
      <c r="Y659" s="586" t="s">
        <v>1367</v>
      </c>
      <c r="Z659" s="587" t="s">
        <v>1823</v>
      </c>
      <c r="AA659" s="588">
        <v>1607</v>
      </c>
      <c r="AB659" s="586"/>
    </row>
    <row r="660" spans="1:28" hidden="1">
      <c r="A660" s="566" t="s">
        <v>1335</v>
      </c>
      <c r="B660" s="566" t="s">
        <v>466</v>
      </c>
      <c r="C660" s="566" t="s">
        <v>487</v>
      </c>
      <c r="D660" s="566" t="s">
        <v>472</v>
      </c>
      <c r="E660" s="566" t="s">
        <v>473</v>
      </c>
      <c r="F660" s="566" t="s">
        <v>489</v>
      </c>
      <c r="G660" s="567">
        <v>50</v>
      </c>
      <c r="H660" s="566" t="s">
        <v>503</v>
      </c>
      <c r="I660" s="568">
        <v>2</v>
      </c>
      <c r="J660" s="569">
        <v>74</v>
      </c>
      <c r="K660" s="569">
        <v>74</v>
      </c>
      <c r="L660" s="566"/>
      <c r="M660" s="566" t="s">
        <v>476</v>
      </c>
      <c r="N660" s="570">
        <v>1643</v>
      </c>
      <c r="O660" s="566"/>
      <c r="P660" s="566" t="s">
        <v>477</v>
      </c>
      <c r="Q660" s="568">
        <v>909678</v>
      </c>
      <c r="R660" s="568">
        <v>43</v>
      </c>
      <c r="S660" s="566" t="s">
        <v>1371</v>
      </c>
      <c r="T660" s="586" t="s">
        <v>253</v>
      </c>
      <c r="U660" s="586" t="s">
        <v>468</v>
      </c>
      <c r="V660" s="586" t="s">
        <v>469</v>
      </c>
      <c r="W660" s="587" t="s">
        <v>1276</v>
      </c>
      <c r="X660" s="586" t="s">
        <v>1337</v>
      </c>
      <c r="Y660" s="586" t="s">
        <v>1367</v>
      </c>
      <c r="Z660" s="587" t="s">
        <v>1824</v>
      </c>
      <c r="AA660" s="588">
        <v>1643</v>
      </c>
      <c r="AB660" s="586"/>
    </row>
    <row r="661" spans="1:28" hidden="1">
      <c r="A661" s="566" t="s">
        <v>1335</v>
      </c>
      <c r="B661" s="566" t="s">
        <v>466</v>
      </c>
      <c r="C661" s="566" t="s">
        <v>487</v>
      </c>
      <c r="D661" s="566" t="s">
        <v>472</v>
      </c>
      <c r="E661" s="566" t="s">
        <v>473</v>
      </c>
      <c r="F661" s="566" t="s">
        <v>489</v>
      </c>
      <c r="G661" s="567">
        <v>50</v>
      </c>
      <c r="H661" s="566" t="s">
        <v>508</v>
      </c>
      <c r="I661" s="568">
        <v>2</v>
      </c>
      <c r="J661" s="569">
        <v>74</v>
      </c>
      <c r="K661" s="569">
        <v>74</v>
      </c>
      <c r="L661" s="566"/>
      <c r="M661" s="566" t="s">
        <v>476</v>
      </c>
      <c r="N661" s="570">
        <v>1679</v>
      </c>
      <c r="O661" s="566"/>
      <c r="P661" s="566" t="s">
        <v>477</v>
      </c>
      <c r="Q661" s="568">
        <v>909678</v>
      </c>
      <c r="R661" s="568">
        <v>44</v>
      </c>
      <c r="S661" s="566" t="s">
        <v>1373</v>
      </c>
      <c r="T661" s="586" t="s">
        <v>253</v>
      </c>
      <c r="U661" s="586" t="s">
        <v>468</v>
      </c>
      <c r="V661" s="586" t="s">
        <v>469</v>
      </c>
      <c r="W661" s="587" t="s">
        <v>1277</v>
      </c>
      <c r="X661" s="586" t="s">
        <v>1337</v>
      </c>
      <c r="Y661" s="586" t="s">
        <v>1367</v>
      </c>
      <c r="Z661" s="587" t="s">
        <v>1825</v>
      </c>
      <c r="AA661" s="588">
        <v>1679</v>
      </c>
      <c r="AB661" s="586"/>
    </row>
    <row r="662" spans="1:28" hidden="1">
      <c r="A662" s="566" t="s">
        <v>1335</v>
      </c>
      <c r="B662" s="566" t="s">
        <v>466</v>
      </c>
      <c r="C662" s="566" t="s">
        <v>471</v>
      </c>
      <c r="D662" s="566" t="s">
        <v>472</v>
      </c>
      <c r="E662" s="566" t="s">
        <v>473</v>
      </c>
      <c r="F662" s="566" t="s">
        <v>474</v>
      </c>
      <c r="G662" s="567">
        <v>0</v>
      </c>
      <c r="H662" s="566" t="s">
        <v>1755</v>
      </c>
      <c r="I662" s="568">
        <v>2</v>
      </c>
      <c r="J662" s="569">
        <v>74</v>
      </c>
      <c r="K662" s="569">
        <v>74</v>
      </c>
      <c r="L662" s="566"/>
      <c r="M662" s="566" t="s">
        <v>476</v>
      </c>
      <c r="N662" s="570">
        <v>1715</v>
      </c>
      <c r="O662" s="566"/>
      <c r="P662" s="566" t="s">
        <v>477</v>
      </c>
      <c r="Q662" s="568">
        <v>909678</v>
      </c>
      <c r="R662" s="568">
        <v>42</v>
      </c>
      <c r="S662" s="566" t="s">
        <v>1375</v>
      </c>
      <c r="T662" s="586" t="s">
        <v>253</v>
      </c>
      <c r="U662" s="586" t="s">
        <v>468</v>
      </c>
      <c r="V662" s="586" t="s">
        <v>469</v>
      </c>
      <c r="W662" s="587" t="s">
        <v>1354</v>
      </c>
      <c r="X662" s="586" t="s">
        <v>1337</v>
      </c>
      <c r="Y662" s="586" t="s">
        <v>1367</v>
      </c>
      <c r="Z662" s="587" t="s">
        <v>1826</v>
      </c>
      <c r="AA662" s="588">
        <v>1715</v>
      </c>
      <c r="AB662" s="586"/>
    </row>
    <row r="663" spans="1:28" hidden="1">
      <c r="A663" s="566" t="s">
        <v>1335</v>
      </c>
      <c r="B663" s="566" t="s">
        <v>466</v>
      </c>
      <c r="C663" s="566" t="s">
        <v>487</v>
      </c>
      <c r="D663" s="566" t="s">
        <v>472</v>
      </c>
      <c r="E663" s="566" t="s">
        <v>473</v>
      </c>
      <c r="F663" s="566" t="s">
        <v>489</v>
      </c>
      <c r="G663" s="567">
        <v>50</v>
      </c>
      <c r="H663" s="566" t="s">
        <v>1757</v>
      </c>
      <c r="I663" s="568">
        <v>2</v>
      </c>
      <c r="J663" s="569">
        <v>74</v>
      </c>
      <c r="K663" s="569">
        <v>74</v>
      </c>
      <c r="L663" s="566"/>
      <c r="M663" s="566" t="s">
        <v>476</v>
      </c>
      <c r="N663" s="570">
        <v>1751</v>
      </c>
      <c r="O663" s="566"/>
      <c r="P663" s="566" t="s">
        <v>477</v>
      </c>
      <c r="Q663" s="568">
        <v>909678</v>
      </c>
      <c r="R663" s="568">
        <v>45</v>
      </c>
      <c r="S663" s="566" t="s">
        <v>1377</v>
      </c>
      <c r="T663" s="586" t="s">
        <v>253</v>
      </c>
      <c r="U663" s="586" t="s">
        <v>468</v>
      </c>
      <c r="V663" s="586" t="s">
        <v>469</v>
      </c>
      <c r="W663" s="587" t="s">
        <v>1358</v>
      </c>
      <c r="X663" s="586" t="s">
        <v>1337</v>
      </c>
      <c r="Y663" s="586" t="s">
        <v>1367</v>
      </c>
      <c r="Z663" s="587" t="s">
        <v>1827</v>
      </c>
      <c r="AA663" s="588">
        <v>1751</v>
      </c>
      <c r="AB663" s="586"/>
    </row>
    <row r="664" spans="1:28" hidden="1">
      <c r="A664" s="566" t="s">
        <v>1335</v>
      </c>
      <c r="B664" s="566" t="s">
        <v>466</v>
      </c>
      <c r="C664" s="566" t="s">
        <v>471</v>
      </c>
      <c r="D664" s="566" t="s">
        <v>472</v>
      </c>
      <c r="E664" s="566" t="s">
        <v>473</v>
      </c>
      <c r="F664" s="566" t="s">
        <v>474</v>
      </c>
      <c r="G664" s="567">
        <v>0</v>
      </c>
      <c r="H664" s="566" t="s">
        <v>479</v>
      </c>
      <c r="I664" s="568">
        <v>2</v>
      </c>
      <c r="J664" s="569">
        <v>2</v>
      </c>
      <c r="K664" s="569">
        <v>2</v>
      </c>
      <c r="L664" s="566"/>
      <c r="M664" s="566" t="s">
        <v>476</v>
      </c>
      <c r="N664" s="570">
        <v>491</v>
      </c>
      <c r="O664" s="566"/>
      <c r="P664" s="566" t="s">
        <v>477</v>
      </c>
      <c r="Q664" s="568">
        <v>909678</v>
      </c>
      <c r="R664" s="568">
        <v>10</v>
      </c>
      <c r="S664" s="566" t="s">
        <v>1382</v>
      </c>
      <c r="T664" s="586" t="s">
        <v>253</v>
      </c>
      <c r="U664" s="586" t="s">
        <v>468</v>
      </c>
      <c r="V664" s="586" t="s">
        <v>469</v>
      </c>
      <c r="W664" s="587" t="s">
        <v>1274</v>
      </c>
      <c r="X664" s="586" t="s">
        <v>1380</v>
      </c>
      <c r="Y664" s="586" t="s">
        <v>1338</v>
      </c>
      <c r="Z664" s="587" t="s">
        <v>1011</v>
      </c>
      <c r="AA664" s="588">
        <v>491</v>
      </c>
      <c r="AB664" s="586"/>
    </row>
    <row r="665" spans="1:28" hidden="1">
      <c r="A665" s="566" t="s">
        <v>1335</v>
      </c>
      <c r="B665" s="566" t="s">
        <v>466</v>
      </c>
      <c r="C665" s="566" t="s">
        <v>471</v>
      </c>
      <c r="D665" s="566" t="s">
        <v>472</v>
      </c>
      <c r="E665" s="566" t="s">
        <v>473</v>
      </c>
      <c r="F665" s="566" t="s">
        <v>474</v>
      </c>
      <c r="G665" s="567">
        <v>0</v>
      </c>
      <c r="H665" s="566" t="s">
        <v>484</v>
      </c>
      <c r="I665" s="568">
        <v>2</v>
      </c>
      <c r="J665" s="569">
        <v>2</v>
      </c>
      <c r="K665" s="569">
        <v>2</v>
      </c>
      <c r="L665" s="566"/>
      <c r="M665" s="566" t="s">
        <v>476</v>
      </c>
      <c r="N665" s="570">
        <v>563</v>
      </c>
      <c r="O665" s="566"/>
      <c r="P665" s="566" t="s">
        <v>477</v>
      </c>
      <c r="Q665" s="568">
        <v>909678</v>
      </c>
      <c r="R665" s="568">
        <v>15</v>
      </c>
      <c r="S665" s="566" t="s">
        <v>483</v>
      </c>
      <c r="T665" s="586" t="s">
        <v>253</v>
      </c>
      <c r="U665" s="586" t="s">
        <v>468</v>
      </c>
      <c r="V665" s="586" t="s">
        <v>469</v>
      </c>
      <c r="W665" s="587" t="s">
        <v>1275</v>
      </c>
      <c r="X665" s="586" t="s">
        <v>1380</v>
      </c>
      <c r="Y665" s="586" t="s">
        <v>1338</v>
      </c>
      <c r="Z665" s="587" t="s">
        <v>1012</v>
      </c>
      <c r="AA665" s="588">
        <v>563</v>
      </c>
      <c r="AB665" s="586"/>
    </row>
    <row r="666" spans="1:28" hidden="1">
      <c r="A666" s="566" t="s">
        <v>1335</v>
      </c>
      <c r="B666" s="566" t="s">
        <v>466</v>
      </c>
      <c r="C666" s="566" t="s">
        <v>487</v>
      </c>
      <c r="D666" s="566" t="s">
        <v>472</v>
      </c>
      <c r="E666" s="566" t="s">
        <v>473</v>
      </c>
      <c r="F666" s="566" t="s">
        <v>489</v>
      </c>
      <c r="G666" s="567">
        <v>50</v>
      </c>
      <c r="H666" s="566" t="s">
        <v>490</v>
      </c>
      <c r="I666" s="568">
        <v>2</v>
      </c>
      <c r="J666" s="569">
        <v>2</v>
      </c>
      <c r="K666" s="569">
        <v>2</v>
      </c>
      <c r="L666" s="566"/>
      <c r="M666" s="566" t="s">
        <v>476</v>
      </c>
      <c r="N666" s="570">
        <v>599</v>
      </c>
      <c r="O666" s="566"/>
      <c r="P666" s="566" t="s">
        <v>477</v>
      </c>
      <c r="Q666" s="568">
        <v>909678</v>
      </c>
      <c r="R666" s="568">
        <v>16</v>
      </c>
      <c r="S666" s="566" t="s">
        <v>488</v>
      </c>
      <c r="T666" s="586" t="s">
        <v>253</v>
      </c>
      <c r="U666" s="586" t="s">
        <v>468</v>
      </c>
      <c r="V666" s="586" t="s">
        <v>469</v>
      </c>
      <c r="W666" s="587" t="s">
        <v>485</v>
      </c>
      <c r="X666" s="586" t="s">
        <v>1380</v>
      </c>
      <c r="Y666" s="586" t="s">
        <v>1338</v>
      </c>
      <c r="Z666" s="587" t="s">
        <v>1013</v>
      </c>
      <c r="AA666" s="588">
        <v>599</v>
      </c>
      <c r="AB666" s="586"/>
    </row>
    <row r="667" spans="1:28" hidden="1">
      <c r="A667" s="566" t="s">
        <v>1335</v>
      </c>
      <c r="B667" s="566" t="s">
        <v>466</v>
      </c>
      <c r="C667" s="566" t="s">
        <v>487</v>
      </c>
      <c r="D667" s="566" t="s">
        <v>472</v>
      </c>
      <c r="E667" s="566" t="s">
        <v>473</v>
      </c>
      <c r="F667" s="566" t="s">
        <v>489</v>
      </c>
      <c r="G667" s="567">
        <v>50</v>
      </c>
      <c r="H667" s="566" t="s">
        <v>494</v>
      </c>
      <c r="I667" s="568">
        <v>2</v>
      </c>
      <c r="J667" s="569">
        <v>2</v>
      </c>
      <c r="K667" s="569">
        <v>2</v>
      </c>
      <c r="L667" s="566"/>
      <c r="M667" s="566" t="s">
        <v>476</v>
      </c>
      <c r="N667" s="570">
        <v>635</v>
      </c>
      <c r="O667" s="566"/>
      <c r="P667" s="566" t="s">
        <v>477</v>
      </c>
      <c r="Q667" s="568">
        <v>909678</v>
      </c>
      <c r="R667" s="568">
        <v>17</v>
      </c>
      <c r="S667" s="566" t="s">
        <v>493</v>
      </c>
      <c r="T667" s="586" t="s">
        <v>253</v>
      </c>
      <c r="U667" s="586" t="s">
        <v>468</v>
      </c>
      <c r="V667" s="586" t="s">
        <v>469</v>
      </c>
      <c r="W667" s="587" t="s">
        <v>491</v>
      </c>
      <c r="X667" s="586" t="s">
        <v>1380</v>
      </c>
      <c r="Y667" s="586" t="s">
        <v>1338</v>
      </c>
      <c r="Z667" s="587" t="s">
        <v>1014</v>
      </c>
      <c r="AA667" s="588">
        <v>635</v>
      </c>
      <c r="AB667" s="586"/>
    </row>
    <row r="668" spans="1:28" hidden="1">
      <c r="A668" s="566" t="s">
        <v>1335</v>
      </c>
      <c r="B668" s="566" t="s">
        <v>466</v>
      </c>
      <c r="C668" s="566" t="s">
        <v>487</v>
      </c>
      <c r="D668" s="566" t="s">
        <v>472</v>
      </c>
      <c r="E668" s="566" t="s">
        <v>473</v>
      </c>
      <c r="F668" s="566" t="s">
        <v>489</v>
      </c>
      <c r="G668" s="567">
        <v>50</v>
      </c>
      <c r="H668" s="566" t="s">
        <v>498</v>
      </c>
      <c r="I668" s="568">
        <v>2</v>
      </c>
      <c r="J668" s="569">
        <v>2</v>
      </c>
      <c r="K668" s="569">
        <v>2</v>
      </c>
      <c r="L668" s="566"/>
      <c r="M668" s="566" t="s">
        <v>476</v>
      </c>
      <c r="N668" s="570">
        <v>671</v>
      </c>
      <c r="O668" s="566"/>
      <c r="P668" s="566" t="s">
        <v>477</v>
      </c>
      <c r="Q668" s="568">
        <v>909678</v>
      </c>
      <c r="R668" s="568">
        <v>18</v>
      </c>
      <c r="S668" s="566" t="s">
        <v>497</v>
      </c>
      <c r="T668" s="586" t="s">
        <v>253</v>
      </c>
      <c r="U668" s="586" t="s">
        <v>468</v>
      </c>
      <c r="V668" s="586" t="s">
        <v>469</v>
      </c>
      <c r="W668" s="587" t="s">
        <v>495</v>
      </c>
      <c r="X668" s="586" t="s">
        <v>1380</v>
      </c>
      <c r="Y668" s="586" t="s">
        <v>1338</v>
      </c>
      <c r="Z668" s="587" t="s">
        <v>1015</v>
      </c>
      <c r="AA668" s="588">
        <v>671</v>
      </c>
      <c r="AB668" s="586"/>
    </row>
    <row r="669" spans="1:28" hidden="1">
      <c r="A669" s="566" t="s">
        <v>1335</v>
      </c>
      <c r="B669" s="566" t="s">
        <v>466</v>
      </c>
      <c r="C669" s="566" t="s">
        <v>487</v>
      </c>
      <c r="D669" s="566" t="s">
        <v>472</v>
      </c>
      <c r="E669" s="566" t="s">
        <v>473</v>
      </c>
      <c r="F669" s="566" t="s">
        <v>489</v>
      </c>
      <c r="G669" s="567">
        <v>50</v>
      </c>
      <c r="H669" s="566" t="s">
        <v>503</v>
      </c>
      <c r="I669" s="568">
        <v>2</v>
      </c>
      <c r="J669" s="569">
        <v>2</v>
      </c>
      <c r="K669" s="569">
        <v>2</v>
      </c>
      <c r="L669" s="566"/>
      <c r="M669" s="566" t="s">
        <v>476</v>
      </c>
      <c r="N669" s="570">
        <v>743</v>
      </c>
      <c r="O669" s="566"/>
      <c r="P669" s="566" t="s">
        <v>477</v>
      </c>
      <c r="Q669" s="568">
        <v>909678</v>
      </c>
      <c r="R669" s="568">
        <v>19</v>
      </c>
      <c r="S669" s="566" t="s">
        <v>502</v>
      </c>
      <c r="T669" s="586" t="s">
        <v>253</v>
      </c>
      <c r="U669" s="586" t="s">
        <v>468</v>
      </c>
      <c r="V669" s="586" t="s">
        <v>469</v>
      </c>
      <c r="W669" s="587" t="s">
        <v>1276</v>
      </c>
      <c r="X669" s="586" t="s">
        <v>1380</v>
      </c>
      <c r="Y669" s="586" t="s">
        <v>1338</v>
      </c>
      <c r="Z669" s="587" t="s">
        <v>1016</v>
      </c>
      <c r="AA669" s="588">
        <v>743</v>
      </c>
      <c r="AB669" s="586"/>
    </row>
    <row r="670" spans="1:28" hidden="1">
      <c r="A670" s="566" t="s">
        <v>1335</v>
      </c>
      <c r="B670" s="566" t="s">
        <v>466</v>
      </c>
      <c r="C670" s="566" t="s">
        <v>487</v>
      </c>
      <c r="D670" s="566" t="s">
        <v>472</v>
      </c>
      <c r="E670" s="566" t="s">
        <v>473</v>
      </c>
      <c r="F670" s="566" t="s">
        <v>489</v>
      </c>
      <c r="G670" s="567">
        <v>50</v>
      </c>
      <c r="H670" s="566" t="s">
        <v>508</v>
      </c>
      <c r="I670" s="568">
        <v>2</v>
      </c>
      <c r="J670" s="569">
        <v>2</v>
      </c>
      <c r="K670" s="569">
        <v>2</v>
      </c>
      <c r="L670" s="566"/>
      <c r="M670" s="566" t="s">
        <v>476</v>
      </c>
      <c r="N670" s="570">
        <v>815</v>
      </c>
      <c r="O670" s="566"/>
      <c r="P670" s="566" t="s">
        <v>477</v>
      </c>
      <c r="Q670" s="568">
        <v>909678</v>
      </c>
      <c r="R670" s="568">
        <v>21</v>
      </c>
      <c r="S670" s="566" t="s">
        <v>507</v>
      </c>
      <c r="T670" s="586" t="s">
        <v>253</v>
      </c>
      <c r="U670" s="586" t="s">
        <v>468</v>
      </c>
      <c r="V670" s="586" t="s">
        <v>469</v>
      </c>
      <c r="W670" s="587" t="s">
        <v>1277</v>
      </c>
      <c r="X670" s="586" t="s">
        <v>1380</v>
      </c>
      <c r="Y670" s="586" t="s">
        <v>1338</v>
      </c>
      <c r="Z670" s="587" t="s">
        <v>1017</v>
      </c>
      <c r="AA670" s="588">
        <v>815</v>
      </c>
      <c r="AB670" s="586"/>
    </row>
    <row r="671" spans="1:28" hidden="1">
      <c r="A671" s="566" t="s">
        <v>1335</v>
      </c>
      <c r="B671" s="566" t="s">
        <v>466</v>
      </c>
      <c r="C671" s="566" t="s">
        <v>471</v>
      </c>
      <c r="D671" s="566" t="s">
        <v>472</v>
      </c>
      <c r="E671" s="566" t="s">
        <v>473</v>
      </c>
      <c r="F671" s="566" t="s">
        <v>474</v>
      </c>
      <c r="G671" s="567">
        <v>0</v>
      </c>
      <c r="H671" s="566" t="s">
        <v>1755</v>
      </c>
      <c r="I671" s="568">
        <v>2</v>
      </c>
      <c r="J671" s="569">
        <v>2</v>
      </c>
      <c r="K671" s="569">
        <v>2</v>
      </c>
      <c r="L671" s="566"/>
      <c r="M671" s="566" t="s">
        <v>476</v>
      </c>
      <c r="N671" s="570">
        <v>851</v>
      </c>
      <c r="O671" s="566"/>
      <c r="P671" s="566" t="s">
        <v>477</v>
      </c>
      <c r="Q671" s="568">
        <v>909678</v>
      </c>
      <c r="R671" s="568">
        <v>46</v>
      </c>
      <c r="S671" s="566" t="s">
        <v>1383</v>
      </c>
      <c r="T671" s="586" t="s">
        <v>253</v>
      </c>
      <c r="U671" s="586" t="s">
        <v>468</v>
      </c>
      <c r="V671" s="586" t="s">
        <v>469</v>
      </c>
      <c r="W671" s="587" t="s">
        <v>1354</v>
      </c>
      <c r="X671" s="586" t="s">
        <v>1380</v>
      </c>
      <c r="Y671" s="586" t="s">
        <v>1338</v>
      </c>
      <c r="Z671" s="587" t="s">
        <v>1828</v>
      </c>
      <c r="AA671" s="588">
        <v>851</v>
      </c>
      <c r="AB671" s="586"/>
    </row>
    <row r="672" spans="1:28" hidden="1">
      <c r="A672" s="566" t="s">
        <v>1335</v>
      </c>
      <c r="B672" s="566" t="s">
        <v>466</v>
      </c>
      <c r="C672" s="566" t="s">
        <v>487</v>
      </c>
      <c r="D672" s="566" t="s">
        <v>472</v>
      </c>
      <c r="E672" s="566" t="s">
        <v>473</v>
      </c>
      <c r="F672" s="566" t="s">
        <v>489</v>
      </c>
      <c r="G672" s="567">
        <v>50</v>
      </c>
      <c r="H672" s="566" t="s">
        <v>1757</v>
      </c>
      <c r="I672" s="568">
        <v>2</v>
      </c>
      <c r="J672" s="569">
        <v>2</v>
      </c>
      <c r="K672" s="569">
        <v>2</v>
      </c>
      <c r="L672" s="566"/>
      <c r="M672" s="566" t="s">
        <v>476</v>
      </c>
      <c r="N672" s="570">
        <v>887</v>
      </c>
      <c r="O672" s="566"/>
      <c r="P672" s="566" t="s">
        <v>477</v>
      </c>
      <c r="Q672" s="568">
        <v>909678</v>
      </c>
      <c r="R672" s="568">
        <v>47</v>
      </c>
      <c r="S672" s="566" t="s">
        <v>1385</v>
      </c>
      <c r="T672" s="586" t="s">
        <v>253</v>
      </c>
      <c r="U672" s="586" t="s">
        <v>468</v>
      </c>
      <c r="V672" s="586" t="s">
        <v>469</v>
      </c>
      <c r="W672" s="587" t="s">
        <v>1358</v>
      </c>
      <c r="X672" s="586" t="s">
        <v>1380</v>
      </c>
      <c r="Y672" s="586" t="s">
        <v>1338</v>
      </c>
      <c r="Z672" s="587" t="s">
        <v>1829</v>
      </c>
      <c r="AA672" s="588">
        <v>887</v>
      </c>
      <c r="AB672" s="586"/>
    </row>
    <row r="673" spans="1:28" hidden="1">
      <c r="A673" s="566" t="s">
        <v>1335</v>
      </c>
      <c r="B673" s="566" t="s">
        <v>466</v>
      </c>
      <c r="C673" s="566" t="s">
        <v>471</v>
      </c>
      <c r="D673" s="566" t="s">
        <v>472</v>
      </c>
      <c r="E673" s="566" t="s">
        <v>473</v>
      </c>
      <c r="F673" s="566" t="s">
        <v>474</v>
      </c>
      <c r="G673" s="567">
        <v>0</v>
      </c>
      <c r="H673" s="566" t="s">
        <v>511</v>
      </c>
      <c r="I673" s="568">
        <v>2</v>
      </c>
      <c r="J673" s="569">
        <v>2</v>
      </c>
      <c r="K673" s="569">
        <v>2</v>
      </c>
      <c r="L673" s="566"/>
      <c r="M673" s="566" t="s">
        <v>476</v>
      </c>
      <c r="N673" s="570">
        <v>347</v>
      </c>
      <c r="O673" s="566"/>
      <c r="P673" s="566" t="s">
        <v>477</v>
      </c>
      <c r="Q673" s="568">
        <v>909678</v>
      </c>
      <c r="R673" s="568">
        <v>5</v>
      </c>
      <c r="S673" s="566" t="s">
        <v>1392</v>
      </c>
      <c r="T673" s="586" t="s">
        <v>253</v>
      </c>
      <c r="U673" s="586" t="s">
        <v>468</v>
      </c>
      <c r="V673" s="586" t="s">
        <v>469</v>
      </c>
      <c r="W673" s="587" t="s">
        <v>509</v>
      </c>
      <c r="X673" s="586" t="s">
        <v>1380</v>
      </c>
      <c r="Y673" s="586" t="s">
        <v>1338</v>
      </c>
      <c r="Z673" s="587" t="s">
        <v>1018</v>
      </c>
      <c r="AA673" s="588">
        <v>347</v>
      </c>
      <c r="AB673" s="586"/>
    </row>
    <row r="674" spans="1:28" hidden="1">
      <c r="A674" s="566" t="s">
        <v>1335</v>
      </c>
      <c r="B674" s="566" t="s">
        <v>466</v>
      </c>
      <c r="C674" s="566" t="s">
        <v>471</v>
      </c>
      <c r="D674" s="566" t="s">
        <v>472</v>
      </c>
      <c r="E674" s="566" t="s">
        <v>473</v>
      </c>
      <c r="F674" s="566" t="s">
        <v>474</v>
      </c>
      <c r="G674" s="567">
        <v>0</v>
      </c>
      <c r="H674" s="566" t="s">
        <v>213</v>
      </c>
      <c r="I674" s="568">
        <v>2</v>
      </c>
      <c r="J674" s="569">
        <v>2</v>
      </c>
      <c r="K674" s="569">
        <v>2</v>
      </c>
      <c r="L674" s="566"/>
      <c r="M674" s="566" t="s">
        <v>476</v>
      </c>
      <c r="N674" s="570">
        <v>383</v>
      </c>
      <c r="O674" s="566"/>
      <c r="P674" s="566" t="s">
        <v>477</v>
      </c>
      <c r="Q674" s="568">
        <v>909678</v>
      </c>
      <c r="R674" s="568">
        <v>6</v>
      </c>
      <c r="S674" s="566" t="s">
        <v>1393</v>
      </c>
      <c r="T674" s="586" t="s">
        <v>253</v>
      </c>
      <c r="U674" s="586" t="s">
        <v>468</v>
      </c>
      <c r="V674" s="586" t="s">
        <v>469</v>
      </c>
      <c r="W674" s="587" t="s">
        <v>512</v>
      </c>
      <c r="X674" s="586" t="s">
        <v>1380</v>
      </c>
      <c r="Y674" s="586" t="s">
        <v>1338</v>
      </c>
      <c r="Z674" s="587" t="s">
        <v>1019</v>
      </c>
      <c r="AA674" s="588">
        <v>383</v>
      </c>
      <c r="AB674" s="586"/>
    </row>
    <row r="675" spans="1:28" hidden="1">
      <c r="A675" s="566" t="s">
        <v>1335</v>
      </c>
      <c r="B675" s="566" t="s">
        <v>466</v>
      </c>
      <c r="C675" s="566" t="s">
        <v>471</v>
      </c>
      <c r="D675" s="566" t="s">
        <v>472</v>
      </c>
      <c r="E675" s="566" t="s">
        <v>473</v>
      </c>
      <c r="F675" s="566" t="s">
        <v>474</v>
      </c>
      <c r="G675" s="567">
        <v>0</v>
      </c>
      <c r="H675" s="566" t="s">
        <v>516</v>
      </c>
      <c r="I675" s="568">
        <v>2</v>
      </c>
      <c r="J675" s="569">
        <v>2</v>
      </c>
      <c r="K675" s="569">
        <v>2</v>
      </c>
      <c r="L675" s="566"/>
      <c r="M675" s="566" t="s">
        <v>476</v>
      </c>
      <c r="N675" s="570">
        <v>419</v>
      </c>
      <c r="O675" s="566"/>
      <c r="P675" s="566" t="s">
        <v>477</v>
      </c>
      <c r="Q675" s="568">
        <v>909678</v>
      </c>
      <c r="R675" s="568">
        <v>14</v>
      </c>
      <c r="S675" s="566" t="s">
        <v>1394</v>
      </c>
      <c r="T675" s="586" t="s">
        <v>253</v>
      </c>
      <c r="U675" s="586" t="s">
        <v>468</v>
      </c>
      <c r="V675" s="586" t="s">
        <v>469</v>
      </c>
      <c r="W675" s="587" t="s">
        <v>514</v>
      </c>
      <c r="X675" s="586" t="s">
        <v>1380</v>
      </c>
      <c r="Y675" s="586" t="s">
        <v>1338</v>
      </c>
      <c r="Z675" s="587" t="s">
        <v>1020</v>
      </c>
      <c r="AA675" s="588">
        <v>419</v>
      </c>
      <c r="AB675" s="586"/>
    </row>
    <row r="676" spans="1:28" hidden="1">
      <c r="A676" s="566" t="s">
        <v>1335</v>
      </c>
      <c r="B676" s="566" t="s">
        <v>466</v>
      </c>
      <c r="C676" s="566" t="s">
        <v>471</v>
      </c>
      <c r="D676" s="566" t="s">
        <v>472</v>
      </c>
      <c r="E676" s="566" t="s">
        <v>473</v>
      </c>
      <c r="F676" s="566" t="s">
        <v>474</v>
      </c>
      <c r="G676" s="567">
        <v>0</v>
      </c>
      <c r="H676" s="566" t="s">
        <v>479</v>
      </c>
      <c r="I676" s="568">
        <v>2</v>
      </c>
      <c r="J676" s="569">
        <v>26</v>
      </c>
      <c r="K676" s="569">
        <v>26</v>
      </c>
      <c r="L676" s="566"/>
      <c r="M676" s="566" t="s">
        <v>476</v>
      </c>
      <c r="N676" s="570">
        <v>1355</v>
      </c>
      <c r="O676" s="566"/>
      <c r="P676" s="566" t="s">
        <v>477</v>
      </c>
      <c r="Q676" s="568">
        <v>909678</v>
      </c>
      <c r="R676" s="568">
        <v>34</v>
      </c>
      <c r="S676" s="566" t="s">
        <v>1395</v>
      </c>
      <c r="T676" s="586" t="s">
        <v>253</v>
      </c>
      <c r="U676" s="586" t="s">
        <v>468</v>
      </c>
      <c r="V676" s="586" t="s">
        <v>469</v>
      </c>
      <c r="W676" s="587" t="s">
        <v>1274</v>
      </c>
      <c r="X676" s="586" t="s">
        <v>1380</v>
      </c>
      <c r="Y676" s="586" t="s">
        <v>1367</v>
      </c>
      <c r="Z676" s="587" t="s">
        <v>1830</v>
      </c>
      <c r="AA676" s="588">
        <v>1355</v>
      </c>
      <c r="AB676" s="586"/>
    </row>
    <row r="677" spans="1:28" hidden="1">
      <c r="A677" s="566" t="s">
        <v>1335</v>
      </c>
      <c r="B677" s="566" t="s">
        <v>466</v>
      </c>
      <c r="C677" s="566" t="s">
        <v>471</v>
      </c>
      <c r="D677" s="566" t="s">
        <v>472</v>
      </c>
      <c r="E677" s="566" t="s">
        <v>473</v>
      </c>
      <c r="F677" s="566" t="s">
        <v>474</v>
      </c>
      <c r="G677" s="567">
        <v>0</v>
      </c>
      <c r="H677" s="566" t="s">
        <v>484</v>
      </c>
      <c r="I677" s="568">
        <v>2</v>
      </c>
      <c r="J677" s="569">
        <v>26</v>
      </c>
      <c r="K677" s="569">
        <v>26</v>
      </c>
      <c r="L677" s="566"/>
      <c r="M677" s="566" t="s">
        <v>476</v>
      </c>
      <c r="N677" s="570">
        <v>1391</v>
      </c>
      <c r="O677" s="566"/>
      <c r="P677" s="566" t="s">
        <v>477</v>
      </c>
      <c r="Q677" s="568">
        <v>909678</v>
      </c>
      <c r="R677" s="568">
        <v>35</v>
      </c>
      <c r="S677" s="566" t="s">
        <v>1397</v>
      </c>
      <c r="T677" s="586" t="s">
        <v>253</v>
      </c>
      <c r="U677" s="586" t="s">
        <v>468</v>
      </c>
      <c r="V677" s="586" t="s">
        <v>469</v>
      </c>
      <c r="W677" s="587" t="s">
        <v>1275</v>
      </c>
      <c r="X677" s="586" t="s">
        <v>1380</v>
      </c>
      <c r="Y677" s="586" t="s">
        <v>1367</v>
      </c>
      <c r="Z677" s="587" t="s">
        <v>1831</v>
      </c>
      <c r="AA677" s="588">
        <v>1391</v>
      </c>
      <c r="AB677" s="586"/>
    </row>
    <row r="678" spans="1:28" hidden="1">
      <c r="A678" s="566" t="s">
        <v>1335</v>
      </c>
      <c r="B678" s="566" t="s">
        <v>466</v>
      </c>
      <c r="C678" s="566" t="s">
        <v>487</v>
      </c>
      <c r="D678" s="566" t="s">
        <v>472</v>
      </c>
      <c r="E678" s="566" t="s">
        <v>473</v>
      </c>
      <c r="F678" s="566" t="s">
        <v>489</v>
      </c>
      <c r="G678" s="567">
        <v>50</v>
      </c>
      <c r="H678" s="566" t="s">
        <v>503</v>
      </c>
      <c r="I678" s="568">
        <v>2</v>
      </c>
      <c r="J678" s="569">
        <v>26</v>
      </c>
      <c r="K678" s="569">
        <v>26</v>
      </c>
      <c r="L678" s="566"/>
      <c r="M678" s="566" t="s">
        <v>476</v>
      </c>
      <c r="N678" s="570">
        <v>1427</v>
      </c>
      <c r="O678" s="566"/>
      <c r="P678" s="566" t="s">
        <v>477</v>
      </c>
      <c r="Q678" s="568">
        <v>909678</v>
      </c>
      <c r="R678" s="568">
        <v>37</v>
      </c>
      <c r="S678" s="566" t="s">
        <v>1399</v>
      </c>
      <c r="T678" s="586" t="s">
        <v>253</v>
      </c>
      <c r="U678" s="586" t="s">
        <v>468</v>
      </c>
      <c r="V678" s="586" t="s">
        <v>469</v>
      </c>
      <c r="W678" s="587" t="s">
        <v>1276</v>
      </c>
      <c r="X678" s="586" t="s">
        <v>1380</v>
      </c>
      <c r="Y678" s="586" t="s">
        <v>1367</v>
      </c>
      <c r="Z678" s="587" t="s">
        <v>1832</v>
      </c>
      <c r="AA678" s="588">
        <v>1427</v>
      </c>
      <c r="AB678" s="586"/>
    </row>
    <row r="679" spans="1:28" hidden="1">
      <c r="A679" s="566" t="s">
        <v>1335</v>
      </c>
      <c r="B679" s="566" t="s">
        <v>466</v>
      </c>
      <c r="C679" s="566" t="s">
        <v>487</v>
      </c>
      <c r="D679" s="566" t="s">
        <v>472</v>
      </c>
      <c r="E679" s="566" t="s">
        <v>473</v>
      </c>
      <c r="F679" s="566" t="s">
        <v>489</v>
      </c>
      <c r="G679" s="567">
        <v>50</v>
      </c>
      <c r="H679" s="566" t="s">
        <v>508</v>
      </c>
      <c r="I679" s="568">
        <v>2</v>
      </c>
      <c r="J679" s="569">
        <v>26</v>
      </c>
      <c r="K679" s="569">
        <v>26</v>
      </c>
      <c r="L679" s="566"/>
      <c r="M679" s="566" t="s">
        <v>476</v>
      </c>
      <c r="N679" s="570">
        <v>1463</v>
      </c>
      <c r="O679" s="566"/>
      <c r="P679" s="566" t="s">
        <v>477</v>
      </c>
      <c r="Q679" s="568">
        <v>909678</v>
      </c>
      <c r="R679" s="568">
        <v>38</v>
      </c>
      <c r="S679" s="566" t="s">
        <v>1401</v>
      </c>
      <c r="T679" s="586" t="s">
        <v>253</v>
      </c>
      <c r="U679" s="586" t="s">
        <v>468</v>
      </c>
      <c r="V679" s="586" t="s">
        <v>469</v>
      </c>
      <c r="W679" s="587" t="s">
        <v>1277</v>
      </c>
      <c r="X679" s="586" t="s">
        <v>1380</v>
      </c>
      <c r="Y679" s="586" t="s">
        <v>1367</v>
      </c>
      <c r="Z679" s="587" t="s">
        <v>1833</v>
      </c>
      <c r="AA679" s="588">
        <v>1463</v>
      </c>
      <c r="AB679" s="586"/>
    </row>
    <row r="680" spans="1:28" hidden="1">
      <c r="A680" s="566" t="s">
        <v>1335</v>
      </c>
      <c r="B680" s="566" t="s">
        <v>466</v>
      </c>
      <c r="C680" s="566" t="s">
        <v>471</v>
      </c>
      <c r="D680" s="566" t="s">
        <v>472</v>
      </c>
      <c r="E680" s="566" t="s">
        <v>473</v>
      </c>
      <c r="F680" s="566" t="s">
        <v>474</v>
      </c>
      <c r="G680" s="567">
        <v>0</v>
      </c>
      <c r="H680" s="566" t="s">
        <v>1755</v>
      </c>
      <c r="I680" s="568">
        <v>2</v>
      </c>
      <c r="J680" s="569">
        <v>26</v>
      </c>
      <c r="K680" s="569">
        <v>26</v>
      </c>
      <c r="L680" s="566"/>
      <c r="M680" s="566" t="s">
        <v>476</v>
      </c>
      <c r="N680" s="570">
        <v>1499</v>
      </c>
      <c r="O680" s="566"/>
      <c r="P680" s="566" t="s">
        <v>477</v>
      </c>
      <c r="Q680" s="568">
        <v>909678</v>
      </c>
      <c r="R680" s="568">
        <v>36</v>
      </c>
      <c r="S680" s="566" t="s">
        <v>1403</v>
      </c>
      <c r="T680" s="586" t="s">
        <v>253</v>
      </c>
      <c r="U680" s="586" t="s">
        <v>468</v>
      </c>
      <c r="V680" s="586" t="s">
        <v>469</v>
      </c>
      <c r="W680" s="587" t="s">
        <v>1354</v>
      </c>
      <c r="X680" s="586" t="s">
        <v>1380</v>
      </c>
      <c r="Y680" s="586" t="s">
        <v>1367</v>
      </c>
      <c r="Z680" s="587" t="s">
        <v>1834</v>
      </c>
      <c r="AA680" s="588">
        <v>1499</v>
      </c>
      <c r="AB680" s="586"/>
    </row>
    <row r="681" spans="1:28" hidden="1">
      <c r="A681" s="566" t="s">
        <v>1335</v>
      </c>
      <c r="B681" s="566" t="s">
        <v>466</v>
      </c>
      <c r="C681" s="566" t="s">
        <v>487</v>
      </c>
      <c r="D681" s="566" t="s">
        <v>472</v>
      </c>
      <c r="E681" s="566" t="s">
        <v>473</v>
      </c>
      <c r="F681" s="566" t="s">
        <v>489</v>
      </c>
      <c r="G681" s="567">
        <v>50</v>
      </c>
      <c r="H681" s="566" t="s">
        <v>1757</v>
      </c>
      <c r="I681" s="568">
        <v>2</v>
      </c>
      <c r="J681" s="569">
        <v>26</v>
      </c>
      <c r="K681" s="569">
        <v>26</v>
      </c>
      <c r="L681" s="566"/>
      <c r="M681" s="566" t="s">
        <v>476</v>
      </c>
      <c r="N681" s="570">
        <v>1535</v>
      </c>
      <c r="O681" s="566"/>
      <c r="P681" s="566" t="s">
        <v>477</v>
      </c>
      <c r="Q681" s="568">
        <v>909678</v>
      </c>
      <c r="R681" s="568">
        <v>39</v>
      </c>
      <c r="S681" s="566" t="s">
        <v>1405</v>
      </c>
      <c r="T681" s="586" t="s">
        <v>253</v>
      </c>
      <c r="U681" s="586" t="s">
        <v>468</v>
      </c>
      <c r="V681" s="586" t="s">
        <v>469</v>
      </c>
      <c r="W681" s="587" t="s">
        <v>1358</v>
      </c>
      <c r="X681" s="586" t="s">
        <v>1380</v>
      </c>
      <c r="Y681" s="586" t="s">
        <v>1367</v>
      </c>
      <c r="Z681" s="587" t="s">
        <v>1835</v>
      </c>
      <c r="AA681" s="588">
        <v>1535</v>
      </c>
      <c r="AB681" s="586"/>
    </row>
    <row r="682" spans="1:28" hidden="1">
      <c r="A682" s="566" t="s">
        <v>1335</v>
      </c>
      <c r="B682" s="566" t="s">
        <v>466</v>
      </c>
      <c r="C682" s="566" t="s">
        <v>471</v>
      </c>
      <c r="D682" s="566" t="s">
        <v>472</v>
      </c>
      <c r="E682" s="566" t="s">
        <v>473</v>
      </c>
      <c r="F682" s="566" t="s">
        <v>474</v>
      </c>
      <c r="G682" s="567">
        <v>0</v>
      </c>
      <c r="H682" s="566" t="s">
        <v>475</v>
      </c>
      <c r="I682" s="568">
        <v>2</v>
      </c>
      <c r="J682" s="569">
        <v>2</v>
      </c>
      <c r="K682" s="569">
        <v>2</v>
      </c>
      <c r="L682" s="566"/>
      <c r="M682" s="566" t="s">
        <v>476</v>
      </c>
      <c r="N682" s="570">
        <v>455</v>
      </c>
      <c r="O682" s="566"/>
      <c r="P682" s="566" t="s">
        <v>477</v>
      </c>
      <c r="Q682" s="568">
        <v>909678</v>
      </c>
      <c r="R682" s="568">
        <v>7</v>
      </c>
      <c r="S682" s="566" t="s">
        <v>1407</v>
      </c>
      <c r="T682" s="586" t="s">
        <v>1473</v>
      </c>
      <c r="U682" s="586" t="s">
        <v>468</v>
      </c>
      <c r="V682" s="586" t="s">
        <v>469</v>
      </c>
      <c r="W682" s="587" t="s">
        <v>470</v>
      </c>
      <c r="X682" s="586" t="s">
        <v>1380</v>
      </c>
      <c r="Y682" s="586" t="s">
        <v>1338</v>
      </c>
      <c r="Z682" s="587" t="s">
        <v>1836</v>
      </c>
      <c r="AA682" s="588">
        <v>455</v>
      </c>
      <c r="AB682" s="586"/>
    </row>
    <row r="683" spans="1:28" hidden="1">
      <c r="A683" s="566" t="s">
        <v>1335</v>
      </c>
      <c r="B683" s="566" t="s">
        <v>466</v>
      </c>
      <c r="C683" s="566" t="s">
        <v>471</v>
      </c>
      <c r="D683" s="566" t="s">
        <v>472</v>
      </c>
      <c r="E683" s="566" t="s">
        <v>473</v>
      </c>
      <c r="F683" s="566" t="s">
        <v>474</v>
      </c>
      <c r="G683" s="567">
        <v>0</v>
      </c>
      <c r="H683" s="566" t="s">
        <v>481</v>
      </c>
      <c r="I683" s="568">
        <v>2</v>
      </c>
      <c r="J683" s="569">
        <v>2</v>
      </c>
      <c r="K683" s="569">
        <v>2</v>
      </c>
      <c r="L683" s="566"/>
      <c r="M683" s="566" t="s">
        <v>476</v>
      </c>
      <c r="N683" s="570">
        <v>527</v>
      </c>
      <c r="O683" s="566"/>
      <c r="P683" s="566" t="s">
        <v>477</v>
      </c>
      <c r="Q683" s="568">
        <v>909678</v>
      </c>
      <c r="R683" s="568">
        <v>8</v>
      </c>
      <c r="S683" s="566" t="s">
        <v>1410</v>
      </c>
      <c r="T683" s="586" t="s">
        <v>1473</v>
      </c>
      <c r="U683" s="586" t="s">
        <v>468</v>
      </c>
      <c r="V683" s="586" t="s">
        <v>469</v>
      </c>
      <c r="W683" s="587" t="s">
        <v>480</v>
      </c>
      <c r="X683" s="586" t="s">
        <v>1380</v>
      </c>
      <c r="Y683" s="586" t="s">
        <v>1338</v>
      </c>
      <c r="Z683" s="587" t="s">
        <v>1837</v>
      </c>
      <c r="AA683" s="588">
        <v>527</v>
      </c>
      <c r="AB683" s="586"/>
    </row>
    <row r="684" spans="1:28" hidden="1">
      <c r="A684" s="566" t="s">
        <v>1335</v>
      </c>
      <c r="B684" s="566" t="s">
        <v>466</v>
      </c>
      <c r="C684" s="566" t="s">
        <v>487</v>
      </c>
      <c r="D684" s="566" t="s">
        <v>472</v>
      </c>
      <c r="E684" s="566" t="s">
        <v>473</v>
      </c>
      <c r="F684" s="566" t="s">
        <v>489</v>
      </c>
      <c r="G684" s="567">
        <v>50</v>
      </c>
      <c r="H684" s="566" t="s">
        <v>500</v>
      </c>
      <c r="I684" s="568">
        <v>2</v>
      </c>
      <c r="J684" s="569">
        <v>2</v>
      </c>
      <c r="K684" s="569">
        <v>2</v>
      </c>
      <c r="L684" s="566"/>
      <c r="M684" s="566" t="s">
        <v>476</v>
      </c>
      <c r="N684" s="570">
        <v>707</v>
      </c>
      <c r="O684" s="566"/>
      <c r="P684" s="566" t="s">
        <v>477</v>
      </c>
      <c r="Q684" s="568">
        <v>909678</v>
      </c>
      <c r="R684" s="568">
        <v>11</v>
      </c>
      <c r="S684" s="566" t="s">
        <v>1412</v>
      </c>
      <c r="T684" s="586" t="s">
        <v>1473</v>
      </c>
      <c r="U684" s="586" t="s">
        <v>468</v>
      </c>
      <c r="V684" s="586" t="s">
        <v>469</v>
      </c>
      <c r="W684" s="587" t="s">
        <v>499</v>
      </c>
      <c r="X684" s="586" t="s">
        <v>1380</v>
      </c>
      <c r="Y684" s="586" t="s">
        <v>1338</v>
      </c>
      <c r="Z684" s="587" t="s">
        <v>1838</v>
      </c>
      <c r="AA684" s="588">
        <v>707</v>
      </c>
      <c r="AB684" s="586"/>
    </row>
    <row r="685" spans="1:28" hidden="1">
      <c r="A685" s="566" t="s">
        <v>1335</v>
      </c>
      <c r="B685" s="566" t="s">
        <v>466</v>
      </c>
      <c r="C685" s="566" t="s">
        <v>487</v>
      </c>
      <c r="D685" s="566" t="s">
        <v>472</v>
      </c>
      <c r="E685" s="566" t="s">
        <v>473</v>
      </c>
      <c r="F685" s="566" t="s">
        <v>489</v>
      </c>
      <c r="G685" s="567">
        <v>50</v>
      </c>
      <c r="H685" s="566" t="s">
        <v>505</v>
      </c>
      <c r="I685" s="568">
        <v>2</v>
      </c>
      <c r="J685" s="569">
        <v>2</v>
      </c>
      <c r="K685" s="569">
        <v>2</v>
      </c>
      <c r="L685" s="566"/>
      <c r="M685" s="566" t="s">
        <v>476</v>
      </c>
      <c r="N685" s="570">
        <v>779</v>
      </c>
      <c r="O685" s="566"/>
      <c r="P685" s="566" t="s">
        <v>477</v>
      </c>
      <c r="Q685" s="568">
        <v>909678</v>
      </c>
      <c r="R685" s="568">
        <v>20</v>
      </c>
      <c r="S685" s="566" t="s">
        <v>1414</v>
      </c>
      <c r="T685" s="586" t="s">
        <v>1473</v>
      </c>
      <c r="U685" s="586" t="s">
        <v>468</v>
      </c>
      <c r="V685" s="586" t="s">
        <v>469</v>
      </c>
      <c r="W685" s="587" t="s">
        <v>504</v>
      </c>
      <c r="X685" s="586" t="s">
        <v>1380</v>
      </c>
      <c r="Y685" s="586" t="s">
        <v>1338</v>
      </c>
      <c r="Z685" s="587" t="s">
        <v>1839</v>
      </c>
      <c r="AA685" s="588">
        <v>779</v>
      </c>
      <c r="AB685" s="586"/>
    </row>
    <row r="686" spans="1:28" hidden="1">
      <c r="A686" s="566" t="s">
        <v>1335</v>
      </c>
      <c r="B686" s="566" t="s">
        <v>466</v>
      </c>
      <c r="C686" s="566" t="s">
        <v>471</v>
      </c>
      <c r="D686" s="566" t="s">
        <v>472</v>
      </c>
      <c r="E686" s="566" t="s">
        <v>473</v>
      </c>
      <c r="F686" s="566" t="s">
        <v>474</v>
      </c>
      <c r="G686" s="567">
        <v>0</v>
      </c>
      <c r="H686" s="566" t="s">
        <v>479</v>
      </c>
      <c r="I686" s="568">
        <v>2</v>
      </c>
      <c r="J686" s="569">
        <v>54</v>
      </c>
      <c r="K686" s="569">
        <v>54</v>
      </c>
      <c r="L686" s="566"/>
      <c r="M686" s="566" t="s">
        <v>476</v>
      </c>
      <c r="N686" s="570">
        <v>1035</v>
      </c>
      <c r="O686" s="566"/>
      <c r="P686" s="566" t="s">
        <v>477</v>
      </c>
      <c r="Q686" s="568">
        <v>909678</v>
      </c>
      <c r="R686" s="568">
        <v>25</v>
      </c>
      <c r="S686" s="566" t="s">
        <v>1336</v>
      </c>
      <c r="T686" s="575" t="s">
        <v>467</v>
      </c>
      <c r="U686" s="575" t="s">
        <v>468</v>
      </c>
      <c r="V686" s="575" t="s">
        <v>517</v>
      </c>
      <c r="W686" s="576" t="s">
        <v>1274</v>
      </c>
      <c r="X686" s="575" t="s">
        <v>1337</v>
      </c>
      <c r="Y686" s="575" t="s">
        <v>1338</v>
      </c>
      <c r="Z686" s="576" t="s">
        <v>1840</v>
      </c>
      <c r="AA686" s="577">
        <v>1035</v>
      </c>
      <c r="AB686" s="575"/>
    </row>
    <row r="687" spans="1:28" hidden="1">
      <c r="A687" s="566" t="s">
        <v>1335</v>
      </c>
      <c r="B687" s="566" t="s">
        <v>466</v>
      </c>
      <c r="C687" s="566" t="s">
        <v>471</v>
      </c>
      <c r="D687" s="566" t="s">
        <v>472</v>
      </c>
      <c r="E687" s="566" t="s">
        <v>473</v>
      </c>
      <c r="F687" s="566" t="s">
        <v>474</v>
      </c>
      <c r="G687" s="567">
        <v>0</v>
      </c>
      <c r="H687" s="566" t="s">
        <v>484</v>
      </c>
      <c r="I687" s="568">
        <v>2</v>
      </c>
      <c r="J687" s="569">
        <v>54</v>
      </c>
      <c r="K687" s="569">
        <v>54</v>
      </c>
      <c r="L687" s="566"/>
      <c r="M687" s="566" t="s">
        <v>476</v>
      </c>
      <c r="N687" s="570">
        <v>1071</v>
      </c>
      <c r="O687" s="566"/>
      <c r="P687" s="566" t="s">
        <v>477</v>
      </c>
      <c r="Q687" s="568">
        <v>909678</v>
      </c>
      <c r="R687" s="568">
        <v>26</v>
      </c>
      <c r="S687" s="566" t="s">
        <v>1340</v>
      </c>
      <c r="T687" s="575" t="s">
        <v>467</v>
      </c>
      <c r="U687" s="575" t="s">
        <v>468</v>
      </c>
      <c r="V687" s="575" t="s">
        <v>517</v>
      </c>
      <c r="W687" s="576" t="s">
        <v>1275</v>
      </c>
      <c r="X687" s="575" t="s">
        <v>1337</v>
      </c>
      <c r="Y687" s="575" t="s">
        <v>1338</v>
      </c>
      <c r="Z687" s="576" t="s">
        <v>1841</v>
      </c>
      <c r="AA687" s="577">
        <v>1071</v>
      </c>
      <c r="AB687" s="575"/>
    </row>
    <row r="688" spans="1:28" hidden="1">
      <c r="A688" s="566" t="s">
        <v>1335</v>
      </c>
      <c r="B688" s="566" t="s">
        <v>466</v>
      </c>
      <c r="C688" s="566" t="s">
        <v>487</v>
      </c>
      <c r="D688" s="566" t="s">
        <v>472</v>
      </c>
      <c r="E688" s="566" t="s">
        <v>473</v>
      </c>
      <c r="F688" s="566" t="s">
        <v>489</v>
      </c>
      <c r="G688" s="567">
        <v>50</v>
      </c>
      <c r="H688" s="566" t="s">
        <v>490</v>
      </c>
      <c r="I688" s="568">
        <v>2</v>
      </c>
      <c r="J688" s="569">
        <v>54</v>
      </c>
      <c r="K688" s="569">
        <v>54</v>
      </c>
      <c r="L688" s="566"/>
      <c r="M688" s="566" t="s">
        <v>476</v>
      </c>
      <c r="N688" s="570">
        <v>1107</v>
      </c>
      <c r="O688" s="566"/>
      <c r="P688" s="566" t="s">
        <v>477</v>
      </c>
      <c r="Q688" s="568">
        <v>909678</v>
      </c>
      <c r="R688" s="568">
        <v>28</v>
      </c>
      <c r="S688" s="566" t="s">
        <v>1342</v>
      </c>
      <c r="T688" s="575" t="s">
        <v>467</v>
      </c>
      <c r="U688" s="575" t="s">
        <v>468</v>
      </c>
      <c r="V688" s="575" t="s">
        <v>517</v>
      </c>
      <c r="W688" s="576" t="s">
        <v>485</v>
      </c>
      <c r="X688" s="575" t="s">
        <v>1337</v>
      </c>
      <c r="Y688" s="575" t="s">
        <v>1338</v>
      </c>
      <c r="Z688" s="576" t="s">
        <v>1842</v>
      </c>
      <c r="AA688" s="577">
        <v>1107</v>
      </c>
      <c r="AB688" s="575"/>
    </row>
    <row r="689" spans="1:28" hidden="1">
      <c r="A689" s="566" t="s">
        <v>1335</v>
      </c>
      <c r="B689" s="566" t="s">
        <v>466</v>
      </c>
      <c r="C689" s="566" t="s">
        <v>487</v>
      </c>
      <c r="D689" s="566" t="s">
        <v>472</v>
      </c>
      <c r="E689" s="566" t="s">
        <v>473</v>
      </c>
      <c r="F689" s="566" t="s">
        <v>489</v>
      </c>
      <c r="G689" s="567">
        <v>50</v>
      </c>
      <c r="H689" s="566" t="s">
        <v>494</v>
      </c>
      <c r="I689" s="568">
        <v>2</v>
      </c>
      <c r="J689" s="569">
        <v>54</v>
      </c>
      <c r="K689" s="569">
        <v>54</v>
      </c>
      <c r="L689" s="566"/>
      <c r="M689" s="566" t="s">
        <v>476</v>
      </c>
      <c r="N689" s="570">
        <v>1143</v>
      </c>
      <c r="O689" s="566"/>
      <c r="P689" s="566" t="s">
        <v>477</v>
      </c>
      <c r="Q689" s="568">
        <v>909678</v>
      </c>
      <c r="R689" s="568">
        <v>29</v>
      </c>
      <c r="S689" s="566" t="s">
        <v>1344</v>
      </c>
      <c r="T689" s="575" t="s">
        <v>467</v>
      </c>
      <c r="U689" s="575" t="s">
        <v>468</v>
      </c>
      <c r="V689" s="575" t="s">
        <v>517</v>
      </c>
      <c r="W689" s="576" t="s">
        <v>491</v>
      </c>
      <c r="X689" s="575" t="s">
        <v>1337</v>
      </c>
      <c r="Y689" s="575" t="s">
        <v>1338</v>
      </c>
      <c r="Z689" s="576" t="s">
        <v>1843</v>
      </c>
      <c r="AA689" s="577">
        <v>1143</v>
      </c>
      <c r="AB689" s="575"/>
    </row>
    <row r="690" spans="1:28" hidden="1">
      <c r="A690" s="566" t="s">
        <v>1335</v>
      </c>
      <c r="B690" s="566" t="s">
        <v>466</v>
      </c>
      <c r="C690" s="566" t="s">
        <v>487</v>
      </c>
      <c r="D690" s="566" t="s">
        <v>472</v>
      </c>
      <c r="E690" s="566" t="s">
        <v>473</v>
      </c>
      <c r="F690" s="566" t="s">
        <v>489</v>
      </c>
      <c r="G690" s="567">
        <v>50</v>
      </c>
      <c r="H690" s="566" t="s">
        <v>498</v>
      </c>
      <c r="I690" s="568">
        <v>2</v>
      </c>
      <c r="J690" s="569">
        <v>54</v>
      </c>
      <c r="K690" s="569">
        <v>54</v>
      </c>
      <c r="L690" s="566"/>
      <c r="M690" s="566" t="s">
        <v>476</v>
      </c>
      <c r="N690" s="570">
        <v>1179</v>
      </c>
      <c r="O690" s="566"/>
      <c r="P690" s="566" t="s">
        <v>477</v>
      </c>
      <c r="Q690" s="568">
        <v>909678</v>
      </c>
      <c r="R690" s="568">
        <v>30</v>
      </c>
      <c r="S690" s="566" t="s">
        <v>1346</v>
      </c>
      <c r="T690" s="575" t="s">
        <v>467</v>
      </c>
      <c r="U690" s="575" t="s">
        <v>468</v>
      </c>
      <c r="V690" s="575" t="s">
        <v>517</v>
      </c>
      <c r="W690" s="576" t="s">
        <v>495</v>
      </c>
      <c r="X690" s="575" t="s">
        <v>1337</v>
      </c>
      <c r="Y690" s="575" t="s">
        <v>1338</v>
      </c>
      <c r="Z690" s="576" t="s">
        <v>1844</v>
      </c>
      <c r="AA690" s="577">
        <v>1179</v>
      </c>
      <c r="AB690" s="575"/>
    </row>
    <row r="691" spans="1:28" hidden="1">
      <c r="A691" s="566" t="s">
        <v>1335</v>
      </c>
      <c r="B691" s="566" t="s">
        <v>466</v>
      </c>
      <c r="C691" s="566" t="s">
        <v>487</v>
      </c>
      <c r="D691" s="566" t="s">
        <v>472</v>
      </c>
      <c r="E691" s="566" t="s">
        <v>473</v>
      </c>
      <c r="F691" s="566" t="s">
        <v>489</v>
      </c>
      <c r="G691" s="567">
        <v>50</v>
      </c>
      <c r="H691" s="566" t="s">
        <v>503</v>
      </c>
      <c r="I691" s="568">
        <v>2</v>
      </c>
      <c r="J691" s="569">
        <v>54</v>
      </c>
      <c r="K691" s="569">
        <v>54</v>
      </c>
      <c r="L691" s="566"/>
      <c r="M691" s="566" t="s">
        <v>476</v>
      </c>
      <c r="N691" s="570">
        <v>1215</v>
      </c>
      <c r="O691" s="566"/>
      <c r="P691" s="566" t="s">
        <v>477</v>
      </c>
      <c r="Q691" s="568">
        <v>909678</v>
      </c>
      <c r="R691" s="568">
        <v>31</v>
      </c>
      <c r="S691" s="566" t="s">
        <v>1348</v>
      </c>
      <c r="T691" s="575" t="s">
        <v>467</v>
      </c>
      <c r="U691" s="575" t="s">
        <v>468</v>
      </c>
      <c r="V691" s="575" t="s">
        <v>517</v>
      </c>
      <c r="W691" s="576" t="s">
        <v>1276</v>
      </c>
      <c r="X691" s="575" t="s">
        <v>1337</v>
      </c>
      <c r="Y691" s="575" t="s">
        <v>1338</v>
      </c>
      <c r="Z691" s="576" t="s">
        <v>1845</v>
      </c>
      <c r="AA691" s="577">
        <v>1215</v>
      </c>
      <c r="AB691" s="575"/>
    </row>
    <row r="692" spans="1:28" hidden="1">
      <c r="A692" s="566" t="s">
        <v>1335</v>
      </c>
      <c r="B692" s="566" t="s">
        <v>466</v>
      </c>
      <c r="C692" s="566" t="s">
        <v>487</v>
      </c>
      <c r="D692" s="566" t="s">
        <v>472</v>
      </c>
      <c r="E692" s="566" t="s">
        <v>473</v>
      </c>
      <c r="F692" s="566" t="s">
        <v>489</v>
      </c>
      <c r="G692" s="567">
        <v>50</v>
      </c>
      <c r="H692" s="566" t="s">
        <v>508</v>
      </c>
      <c r="I692" s="568">
        <v>2</v>
      </c>
      <c r="J692" s="569">
        <v>54</v>
      </c>
      <c r="K692" s="569">
        <v>54</v>
      </c>
      <c r="L692" s="566"/>
      <c r="M692" s="566" t="s">
        <v>476</v>
      </c>
      <c r="N692" s="570">
        <v>1251</v>
      </c>
      <c r="O692" s="566"/>
      <c r="P692" s="566" t="s">
        <v>477</v>
      </c>
      <c r="Q692" s="568">
        <v>909678</v>
      </c>
      <c r="R692" s="568">
        <v>32</v>
      </c>
      <c r="S692" s="566" t="s">
        <v>1350</v>
      </c>
      <c r="T692" s="575" t="s">
        <v>467</v>
      </c>
      <c r="U692" s="575" t="s">
        <v>468</v>
      </c>
      <c r="V692" s="575" t="s">
        <v>517</v>
      </c>
      <c r="W692" s="576" t="s">
        <v>1277</v>
      </c>
      <c r="X692" s="575" t="s">
        <v>1337</v>
      </c>
      <c r="Y692" s="575" t="s">
        <v>1338</v>
      </c>
      <c r="Z692" s="576" t="s">
        <v>1846</v>
      </c>
      <c r="AA692" s="577">
        <v>1251</v>
      </c>
      <c r="AB692" s="575"/>
    </row>
    <row r="693" spans="1:28" hidden="1">
      <c r="A693" s="566" t="s">
        <v>1335</v>
      </c>
      <c r="B693" s="566" t="s">
        <v>466</v>
      </c>
      <c r="C693" s="566" t="s">
        <v>471</v>
      </c>
      <c r="D693" s="566" t="s">
        <v>472</v>
      </c>
      <c r="E693" s="566" t="s">
        <v>473</v>
      </c>
      <c r="F693" s="566" t="s">
        <v>474</v>
      </c>
      <c r="G693" s="567">
        <v>0</v>
      </c>
      <c r="H693" s="566" t="s">
        <v>1755</v>
      </c>
      <c r="I693" s="568">
        <v>2</v>
      </c>
      <c r="J693" s="569">
        <v>54</v>
      </c>
      <c r="K693" s="569">
        <v>54</v>
      </c>
      <c r="L693" s="566"/>
      <c r="M693" s="566" t="s">
        <v>476</v>
      </c>
      <c r="N693" s="570">
        <v>1287</v>
      </c>
      <c r="O693" s="566"/>
      <c r="P693" s="566" t="s">
        <v>477</v>
      </c>
      <c r="Q693" s="568">
        <v>909678</v>
      </c>
      <c r="R693" s="568">
        <v>27</v>
      </c>
      <c r="S693" s="566" t="s">
        <v>1353</v>
      </c>
      <c r="T693" s="575" t="s">
        <v>467</v>
      </c>
      <c r="U693" s="575" t="s">
        <v>468</v>
      </c>
      <c r="V693" s="575" t="s">
        <v>517</v>
      </c>
      <c r="W693" s="576" t="s">
        <v>1354</v>
      </c>
      <c r="X693" s="575" t="s">
        <v>1337</v>
      </c>
      <c r="Y693" s="575" t="s">
        <v>1338</v>
      </c>
      <c r="Z693" s="576" t="s">
        <v>1847</v>
      </c>
      <c r="AA693" s="577">
        <v>1287</v>
      </c>
      <c r="AB693" s="575"/>
    </row>
    <row r="694" spans="1:28" hidden="1">
      <c r="A694" s="566" t="s">
        <v>1335</v>
      </c>
      <c r="B694" s="566" t="s">
        <v>466</v>
      </c>
      <c r="C694" s="566" t="s">
        <v>487</v>
      </c>
      <c r="D694" s="566" t="s">
        <v>472</v>
      </c>
      <c r="E694" s="566" t="s">
        <v>473</v>
      </c>
      <c r="F694" s="566" t="s">
        <v>489</v>
      </c>
      <c r="G694" s="567">
        <v>50</v>
      </c>
      <c r="H694" s="566" t="s">
        <v>1757</v>
      </c>
      <c r="I694" s="568">
        <v>2</v>
      </c>
      <c r="J694" s="569">
        <v>54</v>
      </c>
      <c r="K694" s="569">
        <v>54</v>
      </c>
      <c r="L694" s="566"/>
      <c r="M694" s="566" t="s">
        <v>476</v>
      </c>
      <c r="N694" s="570">
        <v>1323</v>
      </c>
      <c r="O694" s="566"/>
      <c r="P694" s="566" t="s">
        <v>477</v>
      </c>
      <c r="Q694" s="568">
        <v>909678</v>
      </c>
      <c r="R694" s="568">
        <v>33</v>
      </c>
      <c r="S694" s="566" t="s">
        <v>1357</v>
      </c>
      <c r="T694" s="575" t="s">
        <v>467</v>
      </c>
      <c r="U694" s="575" t="s">
        <v>468</v>
      </c>
      <c r="V694" s="575" t="s">
        <v>517</v>
      </c>
      <c r="W694" s="576" t="s">
        <v>1358</v>
      </c>
      <c r="X694" s="575" t="s">
        <v>1337</v>
      </c>
      <c r="Y694" s="575" t="s">
        <v>1338</v>
      </c>
      <c r="Z694" s="576" t="s">
        <v>1848</v>
      </c>
      <c r="AA694" s="577">
        <v>1323</v>
      </c>
      <c r="AB694" s="575"/>
    </row>
    <row r="695" spans="1:28" hidden="1">
      <c r="A695" s="566" t="s">
        <v>1335</v>
      </c>
      <c r="B695" s="566" t="s">
        <v>466</v>
      </c>
      <c r="C695" s="566" t="s">
        <v>471</v>
      </c>
      <c r="D695" s="566" t="s">
        <v>472</v>
      </c>
      <c r="E695" s="566" t="s">
        <v>473</v>
      </c>
      <c r="F695" s="566" t="s">
        <v>474</v>
      </c>
      <c r="G695" s="567">
        <v>0</v>
      </c>
      <c r="H695" s="566" t="s">
        <v>511</v>
      </c>
      <c r="I695" s="568">
        <v>2</v>
      </c>
      <c r="J695" s="569">
        <v>54</v>
      </c>
      <c r="K695" s="569">
        <v>54</v>
      </c>
      <c r="L695" s="566"/>
      <c r="M695" s="566" t="s">
        <v>476</v>
      </c>
      <c r="N695" s="570">
        <v>927</v>
      </c>
      <c r="O695" s="566"/>
      <c r="P695" s="566" t="s">
        <v>477</v>
      </c>
      <c r="Q695" s="568">
        <v>909678</v>
      </c>
      <c r="R695" s="568">
        <v>22</v>
      </c>
      <c r="S695" s="566" t="s">
        <v>1360</v>
      </c>
      <c r="T695" s="575" t="s">
        <v>467</v>
      </c>
      <c r="U695" s="575" t="s">
        <v>468</v>
      </c>
      <c r="V695" s="575" t="s">
        <v>517</v>
      </c>
      <c r="W695" s="576" t="s">
        <v>509</v>
      </c>
      <c r="X695" s="575" t="s">
        <v>1337</v>
      </c>
      <c r="Y695" s="575" t="s">
        <v>1338</v>
      </c>
      <c r="Z695" s="576" t="s">
        <v>1849</v>
      </c>
      <c r="AA695" s="577">
        <v>927</v>
      </c>
      <c r="AB695" s="575"/>
    </row>
    <row r="696" spans="1:28" hidden="1">
      <c r="A696" s="566" t="s">
        <v>1335</v>
      </c>
      <c r="B696" s="566" t="s">
        <v>466</v>
      </c>
      <c r="C696" s="566" t="s">
        <v>471</v>
      </c>
      <c r="D696" s="566" t="s">
        <v>472</v>
      </c>
      <c r="E696" s="566" t="s">
        <v>473</v>
      </c>
      <c r="F696" s="566" t="s">
        <v>474</v>
      </c>
      <c r="G696" s="567">
        <v>0</v>
      </c>
      <c r="H696" s="566" t="s">
        <v>213</v>
      </c>
      <c r="I696" s="568">
        <v>2</v>
      </c>
      <c r="J696" s="569">
        <v>54</v>
      </c>
      <c r="K696" s="569">
        <v>54</v>
      </c>
      <c r="L696" s="566"/>
      <c r="M696" s="566" t="s">
        <v>476</v>
      </c>
      <c r="N696" s="570">
        <v>963</v>
      </c>
      <c r="O696" s="566"/>
      <c r="P696" s="566" t="s">
        <v>477</v>
      </c>
      <c r="Q696" s="568">
        <v>909678</v>
      </c>
      <c r="R696" s="568">
        <v>23</v>
      </c>
      <c r="S696" s="566" t="s">
        <v>1362</v>
      </c>
      <c r="T696" s="575" t="s">
        <v>467</v>
      </c>
      <c r="U696" s="575" t="s">
        <v>468</v>
      </c>
      <c r="V696" s="575" t="s">
        <v>517</v>
      </c>
      <c r="W696" s="576" t="s">
        <v>512</v>
      </c>
      <c r="X696" s="575" t="s">
        <v>1337</v>
      </c>
      <c r="Y696" s="575" t="s">
        <v>1338</v>
      </c>
      <c r="Z696" s="576" t="s">
        <v>1850</v>
      </c>
      <c r="AA696" s="577">
        <v>963</v>
      </c>
      <c r="AB696" s="575"/>
    </row>
    <row r="697" spans="1:28" hidden="1">
      <c r="A697" s="566" t="s">
        <v>1335</v>
      </c>
      <c r="B697" s="566" t="s">
        <v>466</v>
      </c>
      <c r="C697" s="566" t="s">
        <v>471</v>
      </c>
      <c r="D697" s="566" t="s">
        <v>472</v>
      </c>
      <c r="E697" s="566" t="s">
        <v>473</v>
      </c>
      <c r="F697" s="566" t="s">
        <v>474</v>
      </c>
      <c r="G697" s="567">
        <v>0</v>
      </c>
      <c r="H697" s="566" t="s">
        <v>516</v>
      </c>
      <c r="I697" s="568">
        <v>2</v>
      </c>
      <c r="J697" s="569">
        <v>54</v>
      </c>
      <c r="K697" s="569">
        <v>54</v>
      </c>
      <c r="L697" s="566"/>
      <c r="M697" s="566" t="s">
        <v>476</v>
      </c>
      <c r="N697" s="570">
        <v>999</v>
      </c>
      <c r="O697" s="566"/>
      <c r="P697" s="566" t="s">
        <v>477</v>
      </c>
      <c r="Q697" s="568">
        <v>909678</v>
      </c>
      <c r="R697" s="568">
        <v>24</v>
      </c>
      <c r="S697" s="566" t="s">
        <v>1364</v>
      </c>
      <c r="T697" s="575" t="s">
        <v>467</v>
      </c>
      <c r="U697" s="575" t="s">
        <v>468</v>
      </c>
      <c r="V697" s="575" t="s">
        <v>517</v>
      </c>
      <c r="W697" s="576" t="s">
        <v>514</v>
      </c>
      <c r="X697" s="575" t="s">
        <v>1337</v>
      </c>
      <c r="Y697" s="575" t="s">
        <v>1338</v>
      </c>
      <c r="Z697" s="576" t="s">
        <v>1851</v>
      </c>
      <c r="AA697" s="577">
        <v>999</v>
      </c>
      <c r="AB697" s="575"/>
    </row>
    <row r="698" spans="1:28" hidden="1">
      <c r="A698" s="566" t="s">
        <v>1335</v>
      </c>
      <c r="B698" s="566" t="s">
        <v>466</v>
      </c>
      <c r="C698" s="566" t="s">
        <v>471</v>
      </c>
      <c r="D698" s="566" t="s">
        <v>472</v>
      </c>
      <c r="E698" s="566" t="s">
        <v>473</v>
      </c>
      <c r="F698" s="566" t="s">
        <v>474</v>
      </c>
      <c r="G698" s="567">
        <v>0</v>
      </c>
      <c r="H698" s="566" t="s">
        <v>479</v>
      </c>
      <c r="I698" s="568">
        <v>2</v>
      </c>
      <c r="J698" s="569">
        <v>78</v>
      </c>
      <c r="K698" s="569">
        <v>78</v>
      </c>
      <c r="L698" s="566"/>
      <c r="M698" s="566" t="s">
        <v>476</v>
      </c>
      <c r="N698" s="570">
        <v>1575</v>
      </c>
      <c r="O698" s="566"/>
      <c r="P698" s="566" t="s">
        <v>477</v>
      </c>
      <c r="Q698" s="568">
        <v>909678</v>
      </c>
      <c r="R698" s="568">
        <v>40</v>
      </c>
      <c r="S698" s="566" t="s">
        <v>1366</v>
      </c>
      <c r="T698" s="575" t="s">
        <v>467</v>
      </c>
      <c r="U698" s="575" t="s">
        <v>468</v>
      </c>
      <c r="V698" s="575" t="s">
        <v>517</v>
      </c>
      <c r="W698" s="576" t="s">
        <v>1274</v>
      </c>
      <c r="X698" s="575" t="s">
        <v>1337</v>
      </c>
      <c r="Y698" s="575" t="s">
        <v>1367</v>
      </c>
      <c r="Z698" s="576" t="s">
        <v>1852</v>
      </c>
      <c r="AA698" s="577">
        <v>1575</v>
      </c>
      <c r="AB698" s="575"/>
    </row>
    <row r="699" spans="1:28" hidden="1">
      <c r="A699" s="566" t="s">
        <v>1335</v>
      </c>
      <c r="B699" s="566" t="s">
        <v>466</v>
      </c>
      <c r="C699" s="566" t="s">
        <v>471</v>
      </c>
      <c r="D699" s="566" t="s">
        <v>472</v>
      </c>
      <c r="E699" s="566" t="s">
        <v>473</v>
      </c>
      <c r="F699" s="566" t="s">
        <v>474</v>
      </c>
      <c r="G699" s="567">
        <v>0</v>
      </c>
      <c r="H699" s="566" t="s">
        <v>484</v>
      </c>
      <c r="I699" s="568">
        <v>2</v>
      </c>
      <c r="J699" s="569">
        <v>78</v>
      </c>
      <c r="K699" s="569">
        <v>78</v>
      </c>
      <c r="L699" s="566"/>
      <c r="M699" s="566" t="s">
        <v>476</v>
      </c>
      <c r="N699" s="570">
        <v>1611</v>
      </c>
      <c r="O699" s="566"/>
      <c r="P699" s="566" t="s">
        <v>477</v>
      </c>
      <c r="Q699" s="568">
        <v>909678</v>
      </c>
      <c r="R699" s="568">
        <v>41</v>
      </c>
      <c r="S699" s="566" t="s">
        <v>1369</v>
      </c>
      <c r="T699" s="575" t="s">
        <v>467</v>
      </c>
      <c r="U699" s="575" t="s">
        <v>468</v>
      </c>
      <c r="V699" s="575" t="s">
        <v>517</v>
      </c>
      <c r="W699" s="576" t="s">
        <v>1275</v>
      </c>
      <c r="X699" s="575" t="s">
        <v>1337</v>
      </c>
      <c r="Y699" s="575" t="s">
        <v>1367</v>
      </c>
      <c r="Z699" s="576" t="s">
        <v>1853</v>
      </c>
      <c r="AA699" s="577">
        <v>1611</v>
      </c>
      <c r="AB699" s="575"/>
    </row>
    <row r="700" spans="1:28" hidden="1">
      <c r="A700" s="566" t="s">
        <v>1335</v>
      </c>
      <c r="B700" s="566" t="s">
        <v>466</v>
      </c>
      <c r="C700" s="566" t="s">
        <v>487</v>
      </c>
      <c r="D700" s="566" t="s">
        <v>472</v>
      </c>
      <c r="E700" s="566" t="s">
        <v>473</v>
      </c>
      <c r="F700" s="566" t="s">
        <v>489</v>
      </c>
      <c r="G700" s="567">
        <v>50</v>
      </c>
      <c r="H700" s="566" t="s">
        <v>503</v>
      </c>
      <c r="I700" s="568">
        <v>2</v>
      </c>
      <c r="J700" s="569">
        <v>78</v>
      </c>
      <c r="K700" s="569">
        <v>78</v>
      </c>
      <c r="L700" s="566"/>
      <c r="M700" s="566" t="s">
        <v>476</v>
      </c>
      <c r="N700" s="570">
        <v>1647</v>
      </c>
      <c r="O700" s="566"/>
      <c r="P700" s="566" t="s">
        <v>477</v>
      </c>
      <c r="Q700" s="568">
        <v>909678</v>
      </c>
      <c r="R700" s="568">
        <v>43</v>
      </c>
      <c r="S700" s="566" t="s">
        <v>1371</v>
      </c>
      <c r="T700" s="575" t="s">
        <v>467</v>
      </c>
      <c r="U700" s="575" t="s">
        <v>468</v>
      </c>
      <c r="V700" s="575" t="s">
        <v>517</v>
      </c>
      <c r="W700" s="576" t="s">
        <v>1276</v>
      </c>
      <c r="X700" s="575" t="s">
        <v>1337</v>
      </c>
      <c r="Y700" s="575" t="s">
        <v>1367</v>
      </c>
      <c r="Z700" s="576" t="s">
        <v>1854</v>
      </c>
      <c r="AA700" s="577">
        <v>1647</v>
      </c>
      <c r="AB700" s="575"/>
    </row>
    <row r="701" spans="1:28" hidden="1">
      <c r="A701" s="566" t="s">
        <v>1335</v>
      </c>
      <c r="B701" s="566" t="s">
        <v>466</v>
      </c>
      <c r="C701" s="566" t="s">
        <v>487</v>
      </c>
      <c r="D701" s="566" t="s">
        <v>472</v>
      </c>
      <c r="E701" s="566" t="s">
        <v>473</v>
      </c>
      <c r="F701" s="566" t="s">
        <v>489</v>
      </c>
      <c r="G701" s="567">
        <v>50</v>
      </c>
      <c r="H701" s="566" t="s">
        <v>508</v>
      </c>
      <c r="I701" s="568">
        <v>2</v>
      </c>
      <c r="J701" s="569">
        <v>78</v>
      </c>
      <c r="K701" s="569">
        <v>78</v>
      </c>
      <c r="L701" s="566"/>
      <c r="M701" s="566" t="s">
        <v>476</v>
      </c>
      <c r="N701" s="570">
        <v>1683</v>
      </c>
      <c r="O701" s="566"/>
      <c r="P701" s="566" t="s">
        <v>477</v>
      </c>
      <c r="Q701" s="568">
        <v>909678</v>
      </c>
      <c r="R701" s="568">
        <v>44</v>
      </c>
      <c r="S701" s="566" t="s">
        <v>1373</v>
      </c>
      <c r="T701" s="575" t="s">
        <v>467</v>
      </c>
      <c r="U701" s="575" t="s">
        <v>468</v>
      </c>
      <c r="V701" s="575" t="s">
        <v>517</v>
      </c>
      <c r="W701" s="576" t="s">
        <v>1277</v>
      </c>
      <c r="X701" s="575" t="s">
        <v>1337</v>
      </c>
      <c r="Y701" s="575" t="s">
        <v>1367</v>
      </c>
      <c r="Z701" s="576" t="s">
        <v>1855</v>
      </c>
      <c r="AA701" s="577">
        <v>1683</v>
      </c>
      <c r="AB701" s="575"/>
    </row>
    <row r="702" spans="1:28" hidden="1">
      <c r="A702" s="566" t="s">
        <v>1335</v>
      </c>
      <c r="B702" s="566" t="s">
        <v>466</v>
      </c>
      <c r="C702" s="566" t="s">
        <v>471</v>
      </c>
      <c r="D702" s="566" t="s">
        <v>472</v>
      </c>
      <c r="E702" s="566" t="s">
        <v>473</v>
      </c>
      <c r="F702" s="566" t="s">
        <v>474</v>
      </c>
      <c r="G702" s="567">
        <v>0</v>
      </c>
      <c r="H702" s="566" t="s">
        <v>1755</v>
      </c>
      <c r="I702" s="568">
        <v>2</v>
      </c>
      <c r="J702" s="569">
        <v>78</v>
      </c>
      <c r="K702" s="569">
        <v>78</v>
      </c>
      <c r="L702" s="566"/>
      <c r="M702" s="566" t="s">
        <v>476</v>
      </c>
      <c r="N702" s="570">
        <v>1719</v>
      </c>
      <c r="O702" s="566"/>
      <c r="P702" s="566" t="s">
        <v>477</v>
      </c>
      <c r="Q702" s="568">
        <v>909678</v>
      </c>
      <c r="R702" s="568">
        <v>42</v>
      </c>
      <c r="S702" s="566" t="s">
        <v>1375</v>
      </c>
      <c r="T702" s="575" t="s">
        <v>467</v>
      </c>
      <c r="U702" s="575" t="s">
        <v>468</v>
      </c>
      <c r="V702" s="575" t="s">
        <v>517</v>
      </c>
      <c r="W702" s="576" t="s">
        <v>1354</v>
      </c>
      <c r="X702" s="575" t="s">
        <v>1337</v>
      </c>
      <c r="Y702" s="575" t="s">
        <v>1367</v>
      </c>
      <c r="Z702" s="576" t="s">
        <v>1856</v>
      </c>
      <c r="AA702" s="577">
        <v>1719</v>
      </c>
      <c r="AB702" s="575"/>
    </row>
    <row r="703" spans="1:28" hidden="1">
      <c r="A703" s="566" t="s">
        <v>1335</v>
      </c>
      <c r="B703" s="566" t="s">
        <v>466</v>
      </c>
      <c r="C703" s="566" t="s">
        <v>487</v>
      </c>
      <c r="D703" s="566" t="s">
        <v>472</v>
      </c>
      <c r="E703" s="566" t="s">
        <v>473</v>
      </c>
      <c r="F703" s="566" t="s">
        <v>489</v>
      </c>
      <c r="G703" s="567">
        <v>50</v>
      </c>
      <c r="H703" s="566" t="s">
        <v>1757</v>
      </c>
      <c r="I703" s="568">
        <v>2</v>
      </c>
      <c r="J703" s="569">
        <v>78</v>
      </c>
      <c r="K703" s="569">
        <v>78</v>
      </c>
      <c r="L703" s="566"/>
      <c r="M703" s="566" t="s">
        <v>476</v>
      </c>
      <c r="N703" s="570">
        <v>1755</v>
      </c>
      <c r="O703" s="566"/>
      <c r="P703" s="566" t="s">
        <v>477</v>
      </c>
      <c r="Q703" s="568">
        <v>909678</v>
      </c>
      <c r="R703" s="568">
        <v>45</v>
      </c>
      <c r="S703" s="566" t="s">
        <v>1377</v>
      </c>
      <c r="T703" s="575" t="s">
        <v>467</v>
      </c>
      <c r="U703" s="575" t="s">
        <v>468</v>
      </c>
      <c r="V703" s="575" t="s">
        <v>517</v>
      </c>
      <c r="W703" s="576" t="s">
        <v>1358</v>
      </c>
      <c r="X703" s="575" t="s">
        <v>1337</v>
      </c>
      <c r="Y703" s="575" t="s">
        <v>1367</v>
      </c>
      <c r="Z703" s="576" t="s">
        <v>1857</v>
      </c>
      <c r="AA703" s="577">
        <v>1755</v>
      </c>
      <c r="AB703" s="575"/>
    </row>
    <row r="704" spans="1:28" hidden="1">
      <c r="A704" s="566" t="s">
        <v>1335</v>
      </c>
      <c r="B704" s="566" t="s">
        <v>466</v>
      </c>
      <c r="C704" s="566" t="s">
        <v>471</v>
      </c>
      <c r="D704" s="566" t="s">
        <v>472</v>
      </c>
      <c r="E704" s="566" t="s">
        <v>473</v>
      </c>
      <c r="F704" s="566" t="s">
        <v>474</v>
      </c>
      <c r="G704" s="567">
        <v>0</v>
      </c>
      <c r="H704" s="566" t="s">
        <v>479</v>
      </c>
      <c r="I704" s="568">
        <v>2</v>
      </c>
      <c r="J704" s="569">
        <v>6</v>
      </c>
      <c r="K704" s="569">
        <v>6</v>
      </c>
      <c r="L704" s="566"/>
      <c r="M704" s="566" t="s">
        <v>476</v>
      </c>
      <c r="N704" s="570">
        <v>495</v>
      </c>
      <c r="O704" s="566"/>
      <c r="P704" s="566" t="s">
        <v>477</v>
      </c>
      <c r="Q704" s="568">
        <v>909678</v>
      </c>
      <c r="R704" s="568">
        <v>10</v>
      </c>
      <c r="S704" s="566" t="s">
        <v>1382</v>
      </c>
      <c r="T704" s="575" t="s">
        <v>467</v>
      </c>
      <c r="U704" s="575" t="s">
        <v>468</v>
      </c>
      <c r="V704" s="575" t="s">
        <v>517</v>
      </c>
      <c r="W704" s="576" t="s">
        <v>1274</v>
      </c>
      <c r="X704" s="575" t="s">
        <v>1380</v>
      </c>
      <c r="Y704" s="575" t="s">
        <v>1338</v>
      </c>
      <c r="Z704" s="576" t="s">
        <v>518</v>
      </c>
      <c r="AA704" s="577">
        <v>495</v>
      </c>
      <c r="AB704" s="575"/>
    </row>
    <row r="705" spans="1:28" hidden="1">
      <c r="A705" s="566" t="s">
        <v>1335</v>
      </c>
      <c r="B705" s="566" t="s">
        <v>466</v>
      </c>
      <c r="C705" s="566" t="s">
        <v>471</v>
      </c>
      <c r="D705" s="566" t="s">
        <v>472</v>
      </c>
      <c r="E705" s="566" t="s">
        <v>473</v>
      </c>
      <c r="F705" s="566" t="s">
        <v>474</v>
      </c>
      <c r="G705" s="567">
        <v>0</v>
      </c>
      <c r="H705" s="566" t="s">
        <v>484</v>
      </c>
      <c r="I705" s="568">
        <v>2</v>
      </c>
      <c r="J705" s="569">
        <v>6</v>
      </c>
      <c r="K705" s="569">
        <v>6</v>
      </c>
      <c r="L705" s="566"/>
      <c r="M705" s="566" t="s">
        <v>476</v>
      </c>
      <c r="N705" s="570">
        <v>567</v>
      </c>
      <c r="O705" s="566"/>
      <c r="P705" s="566" t="s">
        <v>477</v>
      </c>
      <c r="Q705" s="568">
        <v>909678</v>
      </c>
      <c r="R705" s="568">
        <v>15</v>
      </c>
      <c r="S705" s="566" t="s">
        <v>483</v>
      </c>
      <c r="T705" s="575" t="s">
        <v>467</v>
      </c>
      <c r="U705" s="575" t="s">
        <v>468</v>
      </c>
      <c r="V705" s="575" t="s">
        <v>517</v>
      </c>
      <c r="W705" s="576" t="s">
        <v>1275</v>
      </c>
      <c r="X705" s="575" t="s">
        <v>1380</v>
      </c>
      <c r="Y705" s="575" t="s">
        <v>1338</v>
      </c>
      <c r="Z705" s="576" t="s">
        <v>519</v>
      </c>
      <c r="AA705" s="577">
        <v>567</v>
      </c>
      <c r="AB705" s="575"/>
    </row>
    <row r="706" spans="1:28" hidden="1">
      <c r="A706" s="566" t="s">
        <v>1335</v>
      </c>
      <c r="B706" s="566" t="s">
        <v>466</v>
      </c>
      <c r="C706" s="566" t="s">
        <v>487</v>
      </c>
      <c r="D706" s="566" t="s">
        <v>472</v>
      </c>
      <c r="E706" s="566" t="s">
        <v>473</v>
      </c>
      <c r="F706" s="566" t="s">
        <v>489</v>
      </c>
      <c r="G706" s="567">
        <v>50</v>
      </c>
      <c r="H706" s="566" t="s">
        <v>490</v>
      </c>
      <c r="I706" s="568">
        <v>2</v>
      </c>
      <c r="J706" s="569">
        <v>6</v>
      </c>
      <c r="K706" s="569">
        <v>6</v>
      </c>
      <c r="L706" s="566"/>
      <c r="M706" s="566" t="s">
        <v>476</v>
      </c>
      <c r="N706" s="570">
        <v>603</v>
      </c>
      <c r="O706" s="566"/>
      <c r="P706" s="566" t="s">
        <v>477</v>
      </c>
      <c r="Q706" s="568">
        <v>909678</v>
      </c>
      <c r="R706" s="568">
        <v>16</v>
      </c>
      <c r="S706" s="566" t="s">
        <v>488</v>
      </c>
      <c r="T706" s="575" t="s">
        <v>467</v>
      </c>
      <c r="U706" s="575" t="s">
        <v>468</v>
      </c>
      <c r="V706" s="575" t="s">
        <v>517</v>
      </c>
      <c r="W706" s="576" t="s">
        <v>485</v>
      </c>
      <c r="X706" s="575" t="s">
        <v>1380</v>
      </c>
      <c r="Y706" s="575" t="s">
        <v>1338</v>
      </c>
      <c r="Z706" s="576" t="s">
        <v>520</v>
      </c>
      <c r="AA706" s="577">
        <v>603</v>
      </c>
      <c r="AB706" s="575"/>
    </row>
    <row r="707" spans="1:28" hidden="1">
      <c r="A707" s="566" t="s">
        <v>1335</v>
      </c>
      <c r="B707" s="566" t="s">
        <v>466</v>
      </c>
      <c r="C707" s="566" t="s">
        <v>487</v>
      </c>
      <c r="D707" s="566" t="s">
        <v>472</v>
      </c>
      <c r="E707" s="566" t="s">
        <v>473</v>
      </c>
      <c r="F707" s="566" t="s">
        <v>489</v>
      </c>
      <c r="G707" s="567">
        <v>50</v>
      </c>
      <c r="H707" s="566" t="s">
        <v>494</v>
      </c>
      <c r="I707" s="568">
        <v>2</v>
      </c>
      <c r="J707" s="569">
        <v>6</v>
      </c>
      <c r="K707" s="569">
        <v>6</v>
      </c>
      <c r="L707" s="566"/>
      <c r="M707" s="566" t="s">
        <v>476</v>
      </c>
      <c r="N707" s="570">
        <v>639</v>
      </c>
      <c r="O707" s="566"/>
      <c r="P707" s="566" t="s">
        <v>477</v>
      </c>
      <c r="Q707" s="568">
        <v>909678</v>
      </c>
      <c r="R707" s="568">
        <v>17</v>
      </c>
      <c r="S707" s="566" t="s">
        <v>493</v>
      </c>
      <c r="T707" s="575" t="s">
        <v>467</v>
      </c>
      <c r="U707" s="575" t="s">
        <v>468</v>
      </c>
      <c r="V707" s="575" t="s">
        <v>517</v>
      </c>
      <c r="W707" s="576" t="s">
        <v>491</v>
      </c>
      <c r="X707" s="575" t="s">
        <v>1380</v>
      </c>
      <c r="Y707" s="575" t="s">
        <v>1338</v>
      </c>
      <c r="Z707" s="576" t="s">
        <v>521</v>
      </c>
      <c r="AA707" s="577">
        <v>639</v>
      </c>
      <c r="AB707" s="575"/>
    </row>
    <row r="708" spans="1:28" hidden="1">
      <c r="A708" s="566" t="s">
        <v>1335</v>
      </c>
      <c r="B708" s="566" t="s">
        <v>466</v>
      </c>
      <c r="C708" s="566" t="s">
        <v>487</v>
      </c>
      <c r="D708" s="566" t="s">
        <v>472</v>
      </c>
      <c r="E708" s="566" t="s">
        <v>473</v>
      </c>
      <c r="F708" s="566" t="s">
        <v>489</v>
      </c>
      <c r="G708" s="567">
        <v>50</v>
      </c>
      <c r="H708" s="566" t="s">
        <v>498</v>
      </c>
      <c r="I708" s="568">
        <v>2</v>
      </c>
      <c r="J708" s="569">
        <v>6</v>
      </c>
      <c r="K708" s="569">
        <v>6</v>
      </c>
      <c r="L708" s="566"/>
      <c r="M708" s="566" t="s">
        <v>476</v>
      </c>
      <c r="N708" s="570">
        <v>675</v>
      </c>
      <c r="O708" s="566"/>
      <c r="P708" s="566" t="s">
        <v>477</v>
      </c>
      <c r="Q708" s="568">
        <v>909678</v>
      </c>
      <c r="R708" s="568">
        <v>18</v>
      </c>
      <c r="S708" s="566" t="s">
        <v>497</v>
      </c>
      <c r="T708" s="575" t="s">
        <v>467</v>
      </c>
      <c r="U708" s="575" t="s">
        <v>468</v>
      </c>
      <c r="V708" s="575" t="s">
        <v>517</v>
      </c>
      <c r="W708" s="576" t="s">
        <v>495</v>
      </c>
      <c r="X708" s="575" t="s">
        <v>1380</v>
      </c>
      <c r="Y708" s="575" t="s">
        <v>1338</v>
      </c>
      <c r="Z708" s="576" t="s">
        <v>522</v>
      </c>
      <c r="AA708" s="577">
        <v>675</v>
      </c>
      <c r="AB708" s="575"/>
    </row>
    <row r="709" spans="1:28" hidden="1">
      <c r="A709" s="566" t="s">
        <v>1335</v>
      </c>
      <c r="B709" s="566" t="s">
        <v>466</v>
      </c>
      <c r="C709" s="566" t="s">
        <v>487</v>
      </c>
      <c r="D709" s="566" t="s">
        <v>472</v>
      </c>
      <c r="E709" s="566" t="s">
        <v>473</v>
      </c>
      <c r="F709" s="566" t="s">
        <v>489</v>
      </c>
      <c r="G709" s="567">
        <v>50</v>
      </c>
      <c r="H709" s="566" t="s">
        <v>503</v>
      </c>
      <c r="I709" s="568">
        <v>2</v>
      </c>
      <c r="J709" s="569">
        <v>6</v>
      </c>
      <c r="K709" s="569">
        <v>6</v>
      </c>
      <c r="L709" s="566"/>
      <c r="M709" s="566" t="s">
        <v>476</v>
      </c>
      <c r="N709" s="570">
        <v>747</v>
      </c>
      <c r="O709" s="566"/>
      <c r="P709" s="566" t="s">
        <v>477</v>
      </c>
      <c r="Q709" s="568">
        <v>909678</v>
      </c>
      <c r="R709" s="568">
        <v>19</v>
      </c>
      <c r="S709" s="566" t="s">
        <v>502</v>
      </c>
      <c r="T709" s="575" t="s">
        <v>467</v>
      </c>
      <c r="U709" s="575" t="s">
        <v>468</v>
      </c>
      <c r="V709" s="575" t="s">
        <v>517</v>
      </c>
      <c r="W709" s="576" t="s">
        <v>1276</v>
      </c>
      <c r="X709" s="575" t="s">
        <v>1380</v>
      </c>
      <c r="Y709" s="575" t="s">
        <v>1338</v>
      </c>
      <c r="Z709" s="576" t="s">
        <v>523</v>
      </c>
      <c r="AA709" s="577">
        <v>747</v>
      </c>
      <c r="AB709" s="575"/>
    </row>
    <row r="710" spans="1:28" hidden="1">
      <c r="A710" s="566" t="s">
        <v>1335</v>
      </c>
      <c r="B710" s="566" t="s">
        <v>466</v>
      </c>
      <c r="C710" s="566" t="s">
        <v>487</v>
      </c>
      <c r="D710" s="566" t="s">
        <v>472</v>
      </c>
      <c r="E710" s="566" t="s">
        <v>473</v>
      </c>
      <c r="F710" s="566" t="s">
        <v>489</v>
      </c>
      <c r="G710" s="567">
        <v>50</v>
      </c>
      <c r="H710" s="566" t="s">
        <v>508</v>
      </c>
      <c r="I710" s="568">
        <v>2</v>
      </c>
      <c r="J710" s="569">
        <v>6</v>
      </c>
      <c r="K710" s="569">
        <v>6</v>
      </c>
      <c r="L710" s="566"/>
      <c r="M710" s="566" t="s">
        <v>476</v>
      </c>
      <c r="N710" s="570">
        <v>819</v>
      </c>
      <c r="O710" s="566"/>
      <c r="P710" s="566" t="s">
        <v>477</v>
      </c>
      <c r="Q710" s="568">
        <v>909678</v>
      </c>
      <c r="R710" s="568">
        <v>21</v>
      </c>
      <c r="S710" s="566" t="s">
        <v>507</v>
      </c>
      <c r="T710" s="575" t="s">
        <v>467</v>
      </c>
      <c r="U710" s="575" t="s">
        <v>468</v>
      </c>
      <c r="V710" s="575" t="s">
        <v>517</v>
      </c>
      <c r="W710" s="576" t="s">
        <v>1277</v>
      </c>
      <c r="X710" s="575" t="s">
        <v>1380</v>
      </c>
      <c r="Y710" s="575" t="s">
        <v>1338</v>
      </c>
      <c r="Z710" s="576" t="s">
        <v>524</v>
      </c>
      <c r="AA710" s="577">
        <v>819</v>
      </c>
      <c r="AB710" s="575"/>
    </row>
    <row r="711" spans="1:28" hidden="1">
      <c r="A711" s="566" t="s">
        <v>1335</v>
      </c>
      <c r="B711" s="566" t="s">
        <v>466</v>
      </c>
      <c r="C711" s="566" t="s">
        <v>471</v>
      </c>
      <c r="D711" s="566" t="s">
        <v>472</v>
      </c>
      <c r="E711" s="566" t="s">
        <v>473</v>
      </c>
      <c r="F711" s="566" t="s">
        <v>474</v>
      </c>
      <c r="G711" s="567">
        <v>0</v>
      </c>
      <c r="H711" s="566" t="s">
        <v>1755</v>
      </c>
      <c r="I711" s="568">
        <v>2</v>
      </c>
      <c r="J711" s="569">
        <v>6</v>
      </c>
      <c r="K711" s="569">
        <v>6</v>
      </c>
      <c r="L711" s="566"/>
      <c r="M711" s="566" t="s">
        <v>476</v>
      </c>
      <c r="N711" s="570">
        <v>855</v>
      </c>
      <c r="O711" s="566"/>
      <c r="P711" s="566" t="s">
        <v>477</v>
      </c>
      <c r="Q711" s="568">
        <v>909678</v>
      </c>
      <c r="R711" s="568">
        <v>46</v>
      </c>
      <c r="S711" s="566" t="s">
        <v>1383</v>
      </c>
      <c r="T711" s="575" t="s">
        <v>467</v>
      </c>
      <c r="U711" s="575" t="s">
        <v>468</v>
      </c>
      <c r="V711" s="575" t="s">
        <v>517</v>
      </c>
      <c r="W711" s="576" t="s">
        <v>1354</v>
      </c>
      <c r="X711" s="575" t="s">
        <v>1380</v>
      </c>
      <c r="Y711" s="575" t="s">
        <v>1338</v>
      </c>
      <c r="Z711" s="576" t="s">
        <v>1858</v>
      </c>
      <c r="AA711" s="577">
        <v>855</v>
      </c>
      <c r="AB711" s="575"/>
    </row>
    <row r="712" spans="1:28" hidden="1">
      <c r="A712" s="566" t="s">
        <v>1335</v>
      </c>
      <c r="B712" s="566" t="s">
        <v>466</v>
      </c>
      <c r="C712" s="566" t="s">
        <v>487</v>
      </c>
      <c r="D712" s="566" t="s">
        <v>472</v>
      </c>
      <c r="E712" s="566" t="s">
        <v>473</v>
      </c>
      <c r="F712" s="566" t="s">
        <v>489</v>
      </c>
      <c r="G712" s="567">
        <v>50</v>
      </c>
      <c r="H712" s="566" t="s">
        <v>1757</v>
      </c>
      <c r="I712" s="568">
        <v>2</v>
      </c>
      <c r="J712" s="569">
        <v>6</v>
      </c>
      <c r="K712" s="569">
        <v>6</v>
      </c>
      <c r="L712" s="566"/>
      <c r="M712" s="566" t="s">
        <v>476</v>
      </c>
      <c r="N712" s="570">
        <v>891</v>
      </c>
      <c r="O712" s="566"/>
      <c r="P712" s="566" t="s">
        <v>477</v>
      </c>
      <c r="Q712" s="568">
        <v>909678</v>
      </c>
      <c r="R712" s="568">
        <v>47</v>
      </c>
      <c r="S712" s="566" t="s">
        <v>1385</v>
      </c>
      <c r="T712" s="575" t="s">
        <v>467</v>
      </c>
      <c r="U712" s="575" t="s">
        <v>468</v>
      </c>
      <c r="V712" s="575" t="s">
        <v>517</v>
      </c>
      <c r="W712" s="576" t="s">
        <v>1358</v>
      </c>
      <c r="X712" s="575" t="s">
        <v>1380</v>
      </c>
      <c r="Y712" s="575" t="s">
        <v>1338</v>
      </c>
      <c r="Z712" s="576" t="s">
        <v>1859</v>
      </c>
      <c r="AA712" s="577">
        <v>891</v>
      </c>
      <c r="AB712" s="575"/>
    </row>
    <row r="713" spans="1:28" hidden="1">
      <c r="A713" s="566" t="s">
        <v>1335</v>
      </c>
      <c r="B713" s="566" t="s">
        <v>466</v>
      </c>
      <c r="C713" s="566" t="s">
        <v>471</v>
      </c>
      <c r="D713" s="566" t="s">
        <v>472</v>
      </c>
      <c r="E713" s="566" t="s">
        <v>473</v>
      </c>
      <c r="F713" s="566" t="s">
        <v>474</v>
      </c>
      <c r="G713" s="567">
        <v>0</v>
      </c>
      <c r="H713" s="566" t="s">
        <v>511</v>
      </c>
      <c r="I713" s="568">
        <v>2</v>
      </c>
      <c r="J713" s="569">
        <v>6</v>
      </c>
      <c r="K713" s="569">
        <v>6</v>
      </c>
      <c r="L713" s="566"/>
      <c r="M713" s="566" t="s">
        <v>476</v>
      </c>
      <c r="N713" s="570">
        <v>351</v>
      </c>
      <c r="O713" s="566"/>
      <c r="P713" s="566" t="s">
        <v>477</v>
      </c>
      <c r="Q713" s="568">
        <v>909678</v>
      </c>
      <c r="R713" s="568">
        <v>5</v>
      </c>
      <c r="S713" s="566" t="s">
        <v>1392</v>
      </c>
      <c r="T713" s="575" t="s">
        <v>467</v>
      </c>
      <c r="U713" s="575" t="s">
        <v>468</v>
      </c>
      <c r="V713" s="575" t="s">
        <v>517</v>
      </c>
      <c r="W713" s="576" t="s">
        <v>509</v>
      </c>
      <c r="X713" s="575" t="s">
        <v>1380</v>
      </c>
      <c r="Y713" s="575" t="s">
        <v>1338</v>
      </c>
      <c r="Z713" s="576" t="s">
        <v>525</v>
      </c>
      <c r="AA713" s="577">
        <v>351</v>
      </c>
      <c r="AB713" s="575"/>
    </row>
    <row r="714" spans="1:28" hidden="1">
      <c r="A714" s="566" t="s">
        <v>1335</v>
      </c>
      <c r="B714" s="566" t="s">
        <v>466</v>
      </c>
      <c r="C714" s="566" t="s">
        <v>471</v>
      </c>
      <c r="D714" s="566" t="s">
        <v>472</v>
      </c>
      <c r="E714" s="566" t="s">
        <v>473</v>
      </c>
      <c r="F714" s="566" t="s">
        <v>474</v>
      </c>
      <c r="G714" s="567">
        <v>0</v>
      </c>
      <c r="H714" s="566" t="s">
        <v>213</v>
      </c>
      <c r="I714" s="568">
        <v>2</v>
      </c>
      <c r="J714" s="569">
        <v>6</v>
      </c>
      <c r="K714" s="569">
        <v>6</v>
      </c>
      <c r="L714" s="566"/>
      <c r="M714" s="566" t="s">
        <v>476</v>
      </c>
      <c r="N714" s="570">
        <v>387</v>
      </c>
      <c r="O714" s="566"/>
      <c r="P714" s="566" t="s">
        <v>477</v>
      </c>
      <c r="Q714" s="568">
        <v>909678</v>
      </c>
      <c r="R714" s="568">
        <v>6</v>
      </c>
      <c r="S714" s="566" t="s">
        <v>1393</v>
      </c>
      <c r="T714" s="575" t="s">
        <v>467</v>
      </c>
      <c r="U714" s="575" t="s">
        <v>468</v>
      </c>
      <c r="V714" s="575" t="s">
        <v>517</v>
      </c>
      <c r="W714" s="576" t="s">
        <v>512</v>
      </c>
      <c r="X714" s="575" t="s">
        <v>1380</v>
      </c>
      <c r="Y714" s="575" t="s">
        <v>1338</v>
      </c>
      <c r="Z714" s="576" t="s">
        <v>526</v>
      </c>
      <c r="AA714" s="577">
        <v>387</v>
      </c>
      <c r="AB714" s="575"/>
    </row>
    <row r="715" spans="1:28" hidden="1">
      <c r="A715" s="566" t="s">
        <v>1335</v>
      </c>
      <c r="B715" s="566" t="s">
        <v>466</v>
      </c>
      <c r="C715" s="566" t="s">
        <v>471</v>
      </c>
      <c r="D715" s="566" t="s">
        <v>472</v>
      </c>
      <c r="E715" s="566" t="s">
        <v>473</v>
      </c>
      <c r="F715" s="566" t="s">
        <v>474</v>
      </c>
      <c r="G715" s="567">
        <v>0</v>
      </c>
      <c r="H715" s="566" t="s">
        <v>516</v>
      </c>
      <c r="I715" s="568">
        <v>2</v>
      </c>
      <c r="J715" s="569">
        <v>6</v>
      </c>
      <c r="K715" s="569">
        <v>6</v>
      </c>
      <c r="L715" s="566"/>
      <c r="M715" s="566" t="s">
        <v>476</v>
      </c>
      <c r="N715" s="570">
        <v>423</v>
      </c>
      <c r="O715" s="566"/>
      <c r="P715" s="566" t="s">
        <v>477</v>
      </c>
      <c r="Q715" s="568">
        <v>909678</v>
      </c>
      <c r="R715" s="568">
        <v>14</v>
      </c>
      <c r="S715" s="566" t="s">
        <v>1394</v>
      </c>
      <c r="T715" s="575" t="s">
        <v>467</v>
      </c>
      <c r="U715" s="575" t="s">
        <v>468</v>
      </c>
      <c r="V715" s="575" t="s">
        <v>517</v>
      </c>
      <c r="W715" s="576" t="s">
        <v>514</v>
      </c>
      <c r="X715" s="575" t="s">
        <v>1380</v>
      </c>
      <c r="Y715" s="575" t="s">
        <v>1338</v>
      </c>
      <c r="Z715" s="576" t="s">
        <v>527</v>
      </c>
      <c r="AA715" s="577">
        <v>423</v>
      </c>
      <c r="AB715" s="575"/>
    </row>
    <row r="716" spans="1:28" hidden="1">
      <c r="A716" s="566" t="s">
        <v>1335</v>
      </c>
      <c r="B716" s="566" t="s">
        <v>466</v>
      </c>
      <c r="C716" s="566" t="s">
        <v>471</v>
      </c>
      <c r="D716" s="566" t="s">
        <v>472</v>
      </c>
      <c r="E716" s="566" t="s">
        <v>473</v>
      </c>
      <c r="F716" s="566" t="s">
        <v>474</v>
      </c>
      <c r="G716" s="567">
        <v>0</v>
      </c>
      <c r="H716" s="566" t="s">
        <v>479</v>
      </c>
      <c r="I716" s="568">
        <v>2</v>
      </c>
      <c r="J716" s="569">
        <v>30</v>
      </c>
      <c r="K716" s="569">
        <v>30</v>
      </c>
      <c r="L716" s="566"/>
      <c r="M716" s="566" t="s">
        <v>476</v>
      </c>
      <c r="N716" s="570">
        <v>1359</v>
      </c>
      <c r="O716" s="566"/>
      <c r="P716" s="566" t="s">
        <v>477</v>
      </c>
      <c r="Q716" s="568">
        <v>909678</v>
      </c>
      <c r="R716" s="568">
        <v>34</v>
      </c>
      <c r="S716" s="566" t="s">
        <v>1395</v>
      </c>
      <c r="T716" s="575" t="s">
        <v>467</v>
      </c>
      <c r="U716" s="575" t="s">
        <v>468</v>
      </c>
      <c r="V716" s="575" t="s">
        <v>517</v>
      </c>
      <c r="W716" s="576" t="s">
        <v>1274</v>
      </c>
      <c r="X716" s="575" t="s">
        <v>1380</v>
      </c>
      <c r="Y716" s="575" t="s">
        <v>1367</v>
      </c>
      <c r="Z716" s="576" t="s">
        <v>1860</v>
      </c>
      <c r="AA716" s="577">
        <v>1359</v>
      </c>
      <c r="AB716" s="575"/>
    </row>
    <row r="717" spans="1:28" hidden="1">
      <c r="A717" s="566" t="s">
        <v>1335</v>
      </c>
      <c r="B717" s="566" t="s">
        <v>466</v>
      </c>
      <c r="C717" s="566" t="s">
        <v>471</v>
      </c>
      <c r="D717" s="566" t="s">
        <v>472</v>
      </c>
      <c r="E717" s="566" t="s">
        <v>473</v>
      </c>
      <c r="F717" s="566" t="s">
        <v>474</v>
      </c>
      <c r="G717" s="567">
        <v>0</v>
      </c>
      <c r="H717" s="566" t="s">
        <v>484</v>
      </c>
      <c r="I717" s="568">
        <v>2</v>
      </c>
      <c r="J717" s="569">
        <v>30</v>
      </c>
      <c r="K717" s="569">
        <v>30</v>
      </c>
      <c r="L717" s="566"/>
      <c r="M717" s="566" t="s">
        <v>476</v>
      </c>
      <c r="N717" s="570">
        <v>1395</v>
      </c>
      <c r="O717" s="566"/>
      <c r="P717" s="566" t="s">
        <v>477</v>
      </c>
      <c r="Q717" s="568">
        <v>909678</v>
      </c>
      <c r="R717" s="568">
        <v>35</v>
      </c>
      <c r="S717" s="566" t="s">
        <v>1397</v>
      </c>
      <c r="T717" s="575" t="s">
        <v>467</v>
      </c>
      <c r="U717" s="575" t="s">
        <v>468</v>
      </c>
      <c r="V717" s="575" t="s">
        <v>517</v>
      </c>
      <c r="W717" s="576" t="s">
        <v>1275</v>
      </c>
      <c r="X717" s="575" t="s">
        <v>1380</v>
      </c>
      <c r="Y717" s="575" t="s">
        <v>1367</v>
      </c>
      <c r="Z717" s="576" t="s">
        <v>1861</v>
      </c>
      <c r="AA717" s="577">
        <v>1395</v>
      </c>
      <c r="AB717" s="575"/>
    </row>
    <row r="718" spans="1:28" hidden="1">
      <c r="A718" s="566" t="s">
        <v>1335</v>
      </c>
      <c r="B718" s="566" t="s">
        <v>466</v>
      </c>
      <c r="C718" s="566" t="s">
        <v>487</v>
      </c>
      <c r="D718" s="566" t="s">
        <v>472</v>
      </c>
      <c r="E718" s="566" t="s">
        <v>473</v>
      </c>
      <c r="F718" s="566" t="s">
        <v>489</v>
      </c>
      <c r="G718" s="567">
        <v>50</v>
      </c>
      <c r="H718" s="566" t="s">
        <v>503</v>
      </c>
      <c r="I718" s="568">
        <v>2</v>
      </c>
      <c r="J718" s="569">
        <v>30</v>
      </c>
      <c r="K718" s="569">
        <v>30</v>
      </c>
      <c r="L718" s="566"/>
      <c r="M718" s="566" t="s">
        <v>476</v>
      </c>
      <c r="N718" s="570">
        <v>1431</v>
      </c>
      <c r="O718" s="566"/>
      <c r="P718" s="566" t="s">
        <v>477</v>
      </c>
      <c r="Q718" s="568">
        <v>909678</v>
      </c>
      <c r="R718" s="568">
        <v>37</v>
      </c>
      <c r="S718" s="566" t="s">
        <v>1399</v>
      </c>
      <c r="T718" s="575" t="s">
        <v>467</v>
      </c>
      <c r="U718" s="575" t="s">
        <v>468</v>
      </c>
      <c r="V718" s="575" t="s">
        <v>517</v>
      </c>
      <c r="W718" s="576" t="s">
        <v>1276</v>
      </c>
      <c r="X718" s="575" t="s">
        <v>1380</v>
      </c>
      <c r="Y718" s="575" t="s">
        <v>1367</v>
      </c>
      <c r="Z718" s="576" t="s">
        <v>1862</v>
      </c>
      <c r="AA718" s="577">
        <v>1431</v>
      </c>
      <c r="AB718" s="575"/>
    </row>
    <row r="719" spans="1:28" hidden="1">
      <c r="A719" s="566" t="s">
        <v>1335</v>
      </c>
      <c r="B719" s="566" t="s">
        <v>466</v>
      </c>
      <c r="C719" s="566" t="s">
        <v>487</v>
      </c>
      <c r="D719" s="566" t="s">
        <v>472</v>
      </c>
      <c r="E719" s="566" t="s">
        <v>473</v>
      </c>
      <c r="F719" s="566" t="s">
        <v>489</v>
      </c>
      <c r="G719" s="567">
        <v>50</v>
      </c>
      <c r="H719" s="566" t="s">
        <v>508</v>
      </c>
      <c r="I719" s="568">
        <v>2</v>
      </c>
      <c r="J719" s="569">
        <v>30</v>
      </c>
      <c r="K719" s="569">
        <v>30</v>
      </c>
      <c r="L719" s="566"/>
      <c r="M719" s="566" t="s">
        <v>476</v>
      </c>
      <c r="N719" s="570">
        <v>1467</v>
      </c>
      <c r="O719" s="566"/>
      <c r="P719" s="566" t="s">
        <v>477</v>
      </c>
      <c r="Q719" s="568">
        <v>909678</v>
      </c>
      <c r="R719" s="568">
        <v>38</v>
      </c>
      <c r="S719" s="566" t="s">
        <v>1401</v>
      </c>
      <c r="T719" s="575" t="s">
        <v>467</v>
      </c>
      <c r="U719" s="575" t="s">
        <v>468</v>
      </c>
      <c r="V719" s="575" t="s">
        <v>517</v>
      </c>
      <c r="W719" s="576" t="s">
        <v>1277</v>
      </c>
      <c r="X719" s="575" t="s">
        <v>1380</v>
      </c>
      <c r="Y719" s="575" t="s">
        <v>1367</v>
      </c>
      <c r="Z719" s="576" t="s">
        <v>1863</v>
      </c>
      <c r="AA719" s="577">
        <v>1467</v>
      </c>
      <c r="AB719" s="575"/>
    </row>
    <row r="720" spans="1:28" hidden="1">
      <c r="A720" s="566" t="s">
        <v>1335</v>
      </c>
      <c r="B720" s="566" t="s">
        <v>466</v>
      </c>
      <c r="C720" s="566" t="s">
        <v>471</v>
      </c>
      <c r="D720" s="566" t="s">
        <v>472</v>
      </c>
      <c r="E720" s="566" t="s">
        <v>473</v>
      </c>
      <c r="F720" s="566" t="s">
        <v>474</v>
      </c>
      <c r="G720" s="567">
        <v>0</v>
      </c>
      <c r="H720" s="566" t="s">
        <v>1755</v>
      </c>
      <c r="I720" s="568">
        <v>2</v>
      </c>
      <c r="J720" s="569">
        <v>30</v>
      </c>
      <c r="K720" s="569">
        <v>30</v>
      </c>
      <c r="L720" s="566"/>
      <c r="M720" s="566" t="s">
        <v>476</v>
      </c>
      <c r="N720" s="570">
        <v>1503</v>
      </c>
      <c r="O720" s="566"/>
      <c r="P720" s="566" t="s">
        <v>477</v>
      </c>
      <c r="Q720" s="568">
        <v>909678</v>
      </c>
      <c r="R720" s="568">
        <v>36</v>
      </c>
      <c r="S720" s="566" t="s">
        <v>1403</v>
      </c>
      <c r="T720" s="575" t="s">
        <v>467</v>
      </c>
      <c r="U720" s="575" t="s">
        <v>468</v>
      </c>
      <c r="V720" s="575" t="s">
        <v>517</v>
      </c>
      <c r="W720" s="576" t="s">
        <v>1354</v>
      </c>
      <c r="X720" s="575" t="s">
        <v>1380</v>
      </c>
      <c r="Y720" s="575" t="s">
        <v>1367</v>
      </c>
      <c r="Z720" s="576" t="s">
        <v>1864</v>
      </c>
      <c r="AA720" s="577">
        <v>1503</v>
      </c>
      <c r="AB720" s="575"/>
    </row>
    <row r="721" spans="1:28" hidden="1">
      <c r="A721" s="566" t="s">
        <v>1335</v>
      </c>
      <c r="B721" s="566" t="s">
        <v>466</v>
      </c>
      <c r="C721" s="566" t="s">
        <v>487</v>
      </c>
      <c r="D721" s="566" t="s">
        <v>472</v>
      </c>
      <c r="E721" s="566" t="s">
        <v>473</v>
      </c>
      <c r="F721" s="566" t="s">
        <v>489</v>
      </c>
      <c r="G721" s="567">
        <v>50</v>
      </c>
      <c r="H721" s="566" t="s">
        <v>1757</v>
      </c>
      <c r="I721" s="568">
        <v>2</v>
      </c>
      <c r="J721" s="569">
        <v>30</v>
      </c>
      <c r="K721" s="569">
        <v>30</v>
      </c>
      <c r="L721" s="566"/>
      <c r="M721" s="566" t="s">
        <v>476</v>
      </c>
      <c r="N721" s="570">
        <v>1539</v>
      </c>
      <c r="O721" s="566"/>
      <c r="P721" s="566" t="s">
        <v>477</v>
      </c>
      <c r="Q721" s="568">
        <v>909678</v>
      </c>
      <c r="R721" s="568">
        <v>39</v>
      </c>
      <c r="S721" s="566" t="s">
        <v>1405</v>
      </c>
      <c r="T721" s="575" t="s">
        <v>467</v>
      </c>
      <c r="U721" s="575" t="s">
        <v>468</v>
      </c>
      <c r="V721" s="575" t="s">
        <v>517</v>
      </c>
      <c r="W721" s="576" t="s">
        <v>1358</v>
      </c>
      <c r="X721" s="575" t="s">
        <v>1380</v>
      </c>
      <c r="Y721" s="575" t="s">
        <v>1367</v>
      </c>
      <c r="Z721" s="576" t="s">
        <v>1865</v>
      </c>
      <c r="AA721" s="577">
        <v>1539</v>
      </c>
      <c r="AB721" s="575"/>
    </row>
    <row r="722" spans="1:28" hidden="1">
      <c r="A722" s="566" t="s">
        <v>1335</v>
      </c>
      <c r="B722" s="566" t="s">
        <v>466</v>
      </c>
      <c r="C722" s="566" t="s">
        <v>471</v>
      </c>
      <c r="D722" s="566" t="s">
        <v>472</v>
      </c>
      <c r="E722" s="566" t="s">
        <v>473</v>
      </c>
      <c r="F722" s="566" t="s">
        <v>474</v>
      </c>
      <c r="G722" s="567">
        <v>0</v>
      </c>
      <c r="H722" s="566" t="s">
        <v>475</v>
      </c>
      <c r="I722" s="568">
        <v>2</v>
      </c>
      <c r="J722" s="569">
        <v>6</v>
      </c>
      <c r="K722" s="569">
        <v>6</v>
      </c>
      <c r="L722" s="566"/>
      <c r="M722" s="566" t="s">
        <v>476</v>
      </c>
      <c r="N722" s="570">
        <v>459</v>
      </c>
      <c r="O722" s="566"/>
      <c r="P722" s="566" t="s">
        <v>477</v>
      </c>
      <c r="Q722" s="568">
        <v>909678</v>
      </c>
      <c r="R722" s="568">
        <v>7</v>
      </c>
      <c r="S722" s="566" t="s">
        <v>1407</v>
      </c>
      <c r="T722" s="575" t="s">
        <v>1408</v>
      </c>
      <c r="U722" s="575" t="s">
        <v>468</v>
      </c>
      <c r="V722" s="575" t="s">
        <v>517</v>
      </c>
      <c r="W722" s="576" t="s">
        <v>470</v>
      </c>
      <c r="X722" s="575" t="s">
        <v>1380</v>
      </c>
      <c r="Y722" s="575" t="s">
        <v>1338</v>
      </c>
      <c r="Z722" s="576" t="s">
        <v>1866</v>
      </c>
      <c r="AA722" s="577">
        <v>459</v>
      </c>
      <c r="AB722" s="575"/>
    </row>
    <row r="723" spans="1:28" hidden="1">
      <c r="A723" s="566" t="s">
        <v>1335</v>
      </c>
      <c r="B723" s="566" t="s">
        <v>466</v>
      </c>
      <c r="C723" s="566" t="s">
        <v>471</v>
      </c>
      <c r="D723" s="566" t="s">
        <v>472</v>
      </c>
      <c r="E723" s="566" t="s">
        <v>473</v>
      </c>
      <c r="F723" s="566" t="s">
        <v>474</v>
      </c>
      <c r="G723" s="567">
        <v>0</v>
      </c>
      <c r="H723" s="566" t="s">
        <v>481</v>
      </c>
      <c r="I723" s="568">
        <v>2</v>
      </c>
      <c r="J723" s="569">
        <v>6</v>
      </c>
      <c r="K723" s="569">
        <v>6</v>
      </c>
      <c r="L723" s="566"/>
      <c r="M723" s="566" t="s">
        <v>476</v>
      </c>
      <c r="N723" s="570">
        <v>531</v>
      </c>
      <c r="O723" s="566"/>
      <c r="P723" s="566" t="s">
        <v>477</v>
      </c>
      <c r="Q723" s="568">
        <v>909678</v>
      </c>
      <c r="R723" s="568">
        <v>8</v>
      </c>
      <c r="S723" s="566" t="s">
        <v>1410</v>
      </c>
      <c r="T723" s="575" t="s">
        <v>1408</v>
      </c>
      <c r="U723" s="575" t="s">
        <v>468</v>
      </c>
      <c r="V723" s="575" t="s">
        <v>517</v>
      </c>
      <c r="W723" s="576" t="s">
        <v>480</v>
      </c>
      <c r="X723" s="575" t="s">
        <v>1380</v>
      </c>
      <c r="Y723" s="575" t="s">
        <v>1338</v>
      </c>
      <c r="Z723" s="576" t="s">
        <v>1867</v>
      </c>
      <c r="AA723" s="577">
        <v>531</v>
      </c>
      <c r="AB723" s="575"/>
    </row>
    <row r="724" spans="1:28" hidden="1">
      <c r="A724" s="566" t="s">
        <v>1335</v>
      </c>
      <c r="B724" s="566" t="s">
        <v>466</v>
      </c>
      <c r="C724" s="566" t="s">
        <v>487</v>
      </c>
      <c r="D724" s="566" t="s">
        <v>472</v>
      </c>
      <c r="E724" s="566" t="s">
        <v>473</v>
      </c>
      <c r="F724" s="566" t="s">
        <v>489</v>
      </c>
      <c r="G724" s="567">
        <v>50</v>
      </c>
      <c r="H724" s="566" t="s">
        <v>500</v>
      </c>
      <c r="I724" s="568">
        <v>2</v>
      </c>
      <c r="J724" s="569">
        <v>6</v>
      </c>
      <c r="K724" s="569">
        <v>6</v>
      </c>
      <c r="L724" s="566"/>
      <c r="M724" s="566" t="s">
        <v>476</v>
      </c>
      <c r="N724" s="570">
        <v>711</v>
      </c>
      <c r="O724" s="566"/>
      <c r="P724" s="566" t="s">
        <v>477</v>
      </c>
      <c r="Q724" s="568">
        <v>909678</v>
      </c>
      <c r="R724" s="568">
        <v>11</v>
      </c>
      <c r="S724" s="566" t="s">
        <v>1412</v>
      </c>
      <c r="T724" s="575" t="s">
        <v>1408</v>
      </c>
      <c r="U724" s="575" t="s">
        <v>468</v>
      </c>
      <c r="V724" s="575" t="s">
        <v>517</v>
      </c>
      <c r="W724" s="576" t="s">
        <v>499</v>
      </c>
      <c r="X724" s="575" t="s">
        <v>1380</v>
      </c>
      <c r="Y724" s="575" t="s">
        <v>1338</v>
      </c>
      <c r="Z724" s="576" t="s">
        <v>1868</v>
      </c>
      <c r="AA724" s="577">
        <v>711</v>
      </c>
      <c r="AB724" s="575"/>
    </row>
    <row r="725" spans="1:28" hidden="1">
      <c r="A725" s="566" t="s">
        <v>1335</v>
      </c>
      <c r="B725" s="566" t="s">
        <v>466</v>
      </c>
      <c r="C725" s="566" t="s">
        <v>487</v>
      </c>
      <c r="D725" s="566" t="s">
        <v>472</v>
      </c>
      <c r="E725" s="566" t="s">
        <v>473</v>
      </c>
      <c r="F725" s="566" t="s">
        <v>489</v>
      </c>
      <c r="G725" s="567">
        <v>50</v>
      </c>
      <c r="H725" s="566" t="s">
        <v>505</v>
      </c>
      <c r="I725" s="568">
        <v>2</v>
      </c>
      <c r="J725" s="569">
        <v>6</v>
      </c>
      <c r="K725" s="569">
        <v>6</v>
      </c>
      <c r="L725" s="566"/>
      <c r="M725" s="566" t="s">
        <v>476</v>
      </c>
      <c r="N725" s="570">
        <v>783</v>
      </c>
      <c r="O725" s="566"/>
      <c r="P725" s="566" t="s">
        <v>477</v>
      </c>
      <c r="Q725" s="568">
        <v>909678</v>
      </c>
      <c r="R725" s="568">
        <v>20</v>
      </c>
      <c r="S725" s="566" t="s">
        <v>1414</v>
      </c>
      <c r="T725" s="575" t="s">
        <v>1408</v>
      </c>
      <c r="U725" s="575" t="s">
        <v>468</v>
      </c>
      <c r="V725" s="575" t="s">
        <v>517</v>
      </c>
      <c r="W725" s="576" t="s">
        <v>504</v>
      </c>
      <c r="X725" s="575" t="s">
        <v>1380</v>
      </c>
      <c r="Y725" s="575" t="s">
        <v>1338</v>
      </c>
      <c r="Z725" s="576" t="s">
        <v>1869</v>
      </c>
      <c r="AA725" s="577">
        <v>783</v>
      </c>
      <c r="AB725" s="575"/>
    </row>
    <row r="726" spans="1:28" hidden="1">
      <c r="A726" s="566" t="s">
        <v>1335</v>
      </c>
      <c r="B726" s="566" t="s">
        <v>466</v>
      </c>
      <c r="C726" s="566" t="s">
        <v>471</v>
      </c>
      <c r="D726" s="566" t="s">
        <v>472</v>
      </c>
      <c r="E726" s="566" t="s">
        <v>473</v>
      </c>
      <c r="F726" s="566" t="s">
        <v>474</v>
      </c>
      <c r="G726" s="567">
        <v>0</v>
      </c>
      <c r="H726" s="566" t="s">
        <v>479</v>
      </c>
      <c r="I726" s="568">
        <v>2</v>
      </c>
      <c r="J726" s="569">
        <v>52</v>
      </c>
      <c r="K726" s="569">
        <v>52</v>
      </c>
      <c r="L726" s="566"/>
      <c r="M726" s="566" t="s">
        <v>476</v>
      </c>
      <c r="N726" s="570">
        <v>1033</v>
      </c>
      <c r="O726" s="566"/>
      <c r="P726" s="566" t="s">
        <v>477</v>
      </c>
      <c r="Q726" s="568">
        <v>909678</v>
      </c>
      <c r="R726" s="568">
        <v>25</v>
      </c>
      <c r="S726" s="566" t="s">
        <v>1336</v>
      </c>
      <c r="T726" s="586" t="s">
        <v>779</v>
      </c>
      <c r="U726" s="586" t="s">
        <v>468</v>
      </c>
      <c r="V726" s="586" t="s">
        <v>517</v>
      </c>
      <c r="W726" s="587" t="s">
        <v>1274</v>
      </c>
      <c r="X726" s="586" t="s">
        <v>1337</v>
      </c>
      <c r="Y726" s="586" t="s">
        <v>1338</v>
      </c>
      <c r="Z726" s="587" t="s">
        <v>1870</v>
      </c>
      <c r="AA726" s="588">
        <v>1033</v>
      </c>
      <c r="AB726" s="586"/>
    </row>
    <row r="727" spans="1:28" hidden="1">
      <c r="A727" s="566" t="s">
        <v>1335</v>
      </c>
      <c r="B727" s="566" t="s">
        <v>466</v>
      </c>
      <c r="C727" s="566" t="s">
        <v>471</v>
      </c>
      <c r="D727" s="566" t="s">
        <v>472</v>
      </c>
      <c r="E727" s="566" t="s">
        <v>473</v>
      </c>
      <c r="F727" s="566" t="s">
        <v>474</v>
      </c>
      <c r="G727" s="567">
        <v>0</v>
      </c>
      <c r="H727" s="566" t="s">
        <v>484</v>
      </c>
      <c r="I727" s="568">
        <v>2</v>
      </c>
      <c r="J727" s="569">
        <v>52</v>
      </c>
      <c r="K727" s="569">
        <v>52</v>
      </c>
      <c r="L727" s="566"/>
      <c r="M727" s="566" t="s">
        <v>476</v>
      </c>
      <c r="N727" s="570">
        <v>1069</v>
      </c>
      <c r="O727" s="566"/>
      <c r="P727" s="566" t="s">
        <v>477</v>
      </c>
      <c r="Q727" s="568">
        <v>909678</v>
      </c>
      <c r="R727" s="568">
        <v>26</v>
      </c>
      <c r="S727" s="566" t="s">
        <v>1340</v>
      </c>
      <c r="T727" s="586" t="s">
        <v>779</v>
      </c>
      <c r="U727" s="586" t="s">
        <v>468</v>
      </c>
      <c r="V727" s="586" t="s">
        <v>517</v>
      </c>
      <c r="W727" s="587" t="s">
        <v>1275</v>
      </c>
      <c r="X727" s="586" t="s">
        <v>1337</v>
      </c>
      <c r="Y727" s="586" t="s">
        <v>1338</v>
      </c>
      <c r="Z727" s="587" t="s">
        <v>1871</v>
      </c>
      <c r="AA727" s="588">
        <v>1069</v>
      </c>
      <c r="AB727" s="586"/>
    </row>
    <row r="728" spans="1:28" hidden="1">
      <c r="A728" s="566" t="s">
        <v>1335</v>
      </c>
      <c r="B728" s="566" t="s">
        <v>466</v>
      </c>
      <c r="C728" s="566" t="s">
        <v>487</v>
      </c>
      <c r="D728" s="566" t="s">
        <v>472</v>
      </c>
      <c r="E728" s="566" t="s">
        <v>473</v>
      </c>
      <c r="F728" s="566" t="s">
        <v>489</v>
      </c>
      <c r="G728" s="567">
        <v>50</v>
      </c>
      <c r="H728" s="566" t="s">
        <v>490</v>
      </c>
      <c r="I728" s="568">
        <v>2</v>
      </c>
      <c r="J728" s="569">
        <v>52</v>
      </c>
      <c r="K728" s="569">
        <v>52</v>
      </c>
      <c r="L728" s="566"/>
      <c r="M728" s="566" t="s">
        <v>476</v>
      </c>
      <c r="N728" s="570">
        <v>1105</v>
      </c>
      <c r="O728" s="566"/>
      <c r="P728" s="566" t="s">
        <v>477</v>
      </c>
      <c r="Q728" s="568">
        <v>909678</v>
      </c>
      <c r="R728" s="568">
        <v>28</v>
      </c>
      <c r="S728" s="566" t="s">
        <v>1342</v>
      </c>
      <c r="T728" s="586" t="s">
        <v>779</v>
      </c>
      <c r="U728" s="586" t="s">
        <v>468</v>
      </c>
      <c r="V728" s="586" t="s">
        <v>517</v>
      </c>
      <c r="W728" s="587" t="s">
        <v>485</v>
      </c>
      <c r="X728" s="586" t="s">
        <v>1337</v>
      </c>
      <c r="Y728" s="586" t="s">
        <v>1338</v>
      </c>
      <c r="Z728" s="587" t="s">
        <v>1872</v>
      </c>
      <c r="AA728" s="588">
        <v>1105</v>
      </c>
      <c r="AB728" s="586"/>
    </row>
    <row r="729" spans="1:28" hidden="1">
      <c r="A729" s="566" t="s">
        <v>1335</v>
      </c>
      <c r="B729" s="566" t="s">
        <v>466</v>
      </c>
      <c r="C729" s="566" t="s">
        <v>487</v>
      </c>
      <c r="D729" s="566" t="s">
        <v>472</v>
      </c>
      <c r="E729" s="566" t="s">
        <v>473</v>
      </c>
      <c r="F729" s="566" t="s">
        <v>489</v>
      </c>
      <c r="G729" s="567">
        <v>50</v>
      </c>
      <c r="H729" s="566" t="s">
        <v>494</v>
      </c>
      <c r="I729" s="568">
        <v>2</v>
      </c>
      <c r="J729" s="569">
        <v>52</v>
      </c>
      <c r="K729" s="569">
        <v>52</v>
      </c>
      <c r="L729" s="566"/>
      <c r="M729" s="566" t="s">
        <v>476</v>
      </c>
      <c r="N729" s="570">
        <v>1141</v>
      </c>
      <c r="O729" s="566"/>
      <c r="P729" s="566" t="s">
        <v>477</v>
      </c>
      <c r="Q729" s="568">
        <v>909678</v>
      </c>
      <c r="R729" s="568">
        <v>29</v>
      </c>
      <c r="S729" s="566" t="s">
        <v>1344</v>
      </c>
      <c r="T729" s="586" t="s">
        <v>779</v>
      </c>
      <c r="U729" s="586" t="s">
        <v>468</v>
      </c>
      <c r="V729" s="586" t="s">
        <v>517</v>
      </c>
      <c r="W729" s="587" t="s">
        <v>491</v>
      </c>
      <c r="X729" s="586" t="s">
        <v>1337</v>
      </c>
      <c r="Y729" s="586" t="s">
        <v>1338</v>
      </c>
      <c r="Z729" s="587" t="s">
        <v>1873</v>
      </c>
      <c r="AA729" s="588">
        <v>1141</v>
      </c>
      <c r="AB729" s="586"/>
    </row>
    <row r="730" spans="1:28" hidden="1">
      <c r="A730" s="566" t="s">
        <v>1335</v>
      </c>
      <c r="B730" s="566" t="s">
        <v>466</v>
      </c>
      <c r="C730" s="566" t="s">
        <v>487</v>
      </c>
      <c r="D730" s="566" t="s">
        <v>472</v>
      </c>
      <c r="E730" s="566" t="s">
        <v>473</v>
      </c>
      <c r="F730" s="566" t="s">
        <v>489</v>
      </c>
      <c r="G730" s="567">
        <v>50</v>
      </c>
      <c r="H730" s="566" t="s">
        <v>498</v>
      </c>
      <c r="I730" s="568">
        <v>2</v>
      </c>
      <c r="J730" s="569">
        <v>52</v>
      </c>
      <c r="K730" s="569">
        <v>52</v>
      </c>
      <c r="L730" s="566"/>
      <c r="M730" s="566" t="s">
        <v>476</v>
      </c>
      <c r="N730" s="570">
        <v>1177</v>
      </c>
      <c r="O730" s="566"/>
      <c r="P730" s="566" t="s">
        <v>477</v>
      </c>
      <c r="Q730" s="568">
        <v>909678</v>
      </c>
      <c r="R730" s="568">
        <v>30</v>
      </c>
      <c r="S730" s="566" t="s">
        <v>1346</v>
      </c>
      <c r="T730" s="586" t="s">
        <v>779</v>
      </c>
      <c r="U730" s="586" t="s">
        <v>468</v>
      </c>
      <c r="V730" s="586" t="s">
        <v>517</v>
      </c>
      <c r="W730" s="587" t="s">
        <v>495</v>
      </c>
      <c r="X730" s="586" t="s">
        <v>1337</v>
      </c>
      <c r="Y730" s="586" t="s">
        <v>1338</v>
      </c>
      <c r="Z730" s="587" t="s">
        <v>1874</v>
      </c>
      <c r="AA730" s="588">
        <v>1177</v>
      </c>
      <c r="AB730" s="586"/>
    </row>
    <row r="731" spans="1:28" hidden="1">
      <c r="A731" s="566" t="s">
        <v>1335</v>
      </c>
      <c r="B731" s="566" t="s">
        <v>466</v>
      </c>
      <c r="C731" s="566" t="s">
        <v>487</v>
      </c>
      <c r="D731" s="566" t="s">
        <v>472</v>
      </c>
      <c r="E731" s="566" t="s">
        <v>473</v>
      </c>
      <c r="F731" s="566" t="s">
        <v>489</v>
      </c>
      <c r="G731" s="567">
        <v>50</v>
      </c>
      <c r="H731" s="566" t="s">
        <v>503</v>
      </c>
      <c r="I731" s="568">
        <v>2</v>
      </c>
      <c r="J731" s="569">
        <v>52</v>
      </c>
      <c r="K731" s="569">
        <v>52</v>
      </c>
      <c r="L731" s="566"/>
      <c r="M731" s="566" t="s">
        <v>476</v>
      </c>
      <c r="N731" s="570">
        <v>1213</v>
      </c>
      <c r="O731" s="566"/>
      <c r="P731" s="566" t="s">
        <v>477</v>
      </c>
      <c r="Q731" s="568">
        <v>909678</v>
      </c>
      <c r="R731" s="568">
        <v>31</v>
      </c>
      <c r="S731" s="566" t="s">
        <v>1348</v>
      </c>
      <c r="T731" s="586" t="s">
        <v>779</v>
      </c>
      <c r="U731" s="586" t="s">
        <v>468</v>
      </c>
      <c r="V731" s="586" t="s">
        <v>517</v>
      </c>
      <c r="W731" s="587" t="s">
        <v>1276</v>
      </c>
      <c r="X731" s="586" t="s">
        <v>1337</v>
      </c>
      <c r="Y731" s="586" t="s">
        <v>1338</v>
      </c>
      <c r="Z731" s="587" t="s">
        <v>1875</v>
      </c>
      <c r="AA731" s="588">
        <v>1213</v>
      </c>
      <c r="AB731" s="586"/>
    </row>
    <row r="732" spans="1:28" hidden="1">
      <c r="A732" s="566" t="s">
        <v>1335</v>
      </c>
      <c r="B732" s="566" t="s">
        <v>466</v>
      </c>
      <c r="C732" s="566" t="s">
        <v>487</v>
      </c>
      <c r="D732" s="566" t="s">
        <v>472</v>
      </c>
      <c r="E732" s="566" t="s">
        <v>473</v>
      </c>
      <c r="F732" s="566" t="s">
        <v>489</v>
      </c>
      <c r="G732" s="567">
        <v>50</v>
      </c>
      <c r="H732" s="566" t="s">
        <v>508</v>
      </c>
      <c r="I732" s="568">
        <v>2</v>
      </c>
      <c r="J732" s="569">
        <v>52</v>
      </c>
      <c r="K732" s="569">
        <v>52</v>
      </c>
      <c r="L732" s="566"/>
      <c r="M732" s="566" t="s">
        <v>476</v>
      </c>
      <c r="N732" s="570">
        <v>1249</v>
      </c>
      <c r="O732" s="566"/>
      <c r="P732" s="566" t="s">
        <v>477</v>
      </c>
      <c r="Q732" s="568">
        <v>909678</v>
      </c>
      <c r="R732" s="568">
        <v>32</v>
      </c>
      <c r="S732" s="566" t="s">
        <v>1350</v>
      </c>
      <c r="T732" s="586" t="s">
        <v>779</v>
      </c>
      <c r="U732" s="586" t="s">
        <v>468</v>
      </c>
      <c r="V732" s="586" t="s">
        <v>517</v>
      </c>
      <c r="W732" s="587" t="s">
        <v>1277</v>
      </c>
      <c r="X732" s="586" t="s">
        <v>1337</v>
      </c>
      <c r="Y732" s="586" t="s">
        <v>1338</v>
      </c>
      <c r="Z732" s="587" t="s">
        <v>1876</v>
      </c>
      <c r="AA732" s="588">
        <v>1249</v>
      </c>
      <c r="AB732" s="586"/>
    </row>
    <row r="733" spans="1:28" hidden="1">
      <c r="A733" s="566" t="s">
        <v>1335</v>
      </c>
      <c r="B733" s="566" t="s">
        <v>466</v>
      </c>
      <c r="C733" s="566" t="s">
        <v>471</v>
      </c>
      <c r="D733" s="566" t="s">
        <v>472</v>
      </c>
      <c r="E733" s="566" t="s">
        <v>473</v>
      </c>
      <c r="F733" s="566" t="s">
        <v>474</v>
      </c>
      <c r="G733" s="567">
        <v>0</v>
      </c>
      <c r="H733" s="566" t="s">
        <v>1755</v>
      </c>
      <c r="I733" s="568">
        <v>2</v>
      </c>
      <c r="J733" s="569">
        <v>52</v>
      </c>
      <c r="K733" s="569">
        <v>52</v>
      </c>
      <c r="L733" s="566"/>
      <c r="M733" s="566" t="s">
        <v>476</v>
      </c>
      <c r="N733" s="570">
        <v>1285</v>
      </c>
      <c r="O733" s="566"/>
      <c r="P733" s="566" t="s">
        <v>477</v>
      </c>
      <c r="Q733" s="568">
        <v>909678</v>
      </c>
      <c r="R733" s="568">
        <v>27</v>
      </c>
      <c r="S733" s="566" t="s">
        <v>1353</v>
      </c>
      <c r="T733" s="586" t="s">
        <v>779</v>
      </c>
      <c r="U733" s="586" t="s">
        <v>468</v>
      </c>
      <c r="V733" s="586" t="s">
        <v>517</v>
      </c>
      <c r="W733" s="587" t="s">
        <v>1354</v>
      </c>
      <c r="X733" s="586" t="s">
        <v>1337</v>
      </c>
      <c r="Y733" s="586" t="s">
        <v>1338</v>
      </c>
      <c r="Z733" s="587" t="s">
        <v>1877</v>
      </c>
      <c r="AA733" s="588">
        <v>1285</v>
      </c>
      <c r="AB733" s="586"/>
    </row>
    <row r="734" spans="1:28" hidden="1">
      <c r="A734" s="566" t="s">
        <v>1335</v>
      </c>
      <c r="B734" s="566" t="s">
        <v>466</v>
      </c>
      <c r="C734" s="566" t="s">
        <v>487</v>
      </c>
      <c r="D734" s="566" t="s">
        <v>472</v>
      </c>
      <c r="E734" s="566" t="s">
        <v>473</v>
      </c>
      <c r="F734" s="566" t="s">
        <v>489</v>
      </c>
      <c r="G734" s="567">
        <v>50</v>
      </c>
      <c r="H734" s="566" t="s">
        <v>1757</v>
      </c>
      <c r="I734" s="568">
        <v>2</v>
      </c>
      <c r="J734" s="569">
        <v>52</v>
      </c>
      <c r="K734" s="569">
        <v>52</v>
      </c>
      <c r="L734" s="566"/>
      <c r="M734" s="566" t="s">
        <v>476</v>
      </c>
      <c r="N734" s="570">
        <v>1321</v>
      </c>
      <c r="O734" s="566"/>
      <c r="P734" s="566" t="s">
        <v>477</v>
      </c>
      <c r="Q734" s="568">
        <v>909678</v>
      </c>
      <c r="R734" s="568">
        <v>33</v>
      </c>
      <c r="S734" s="566" t="s">
        <v>1357</v>
      </c>
      <c r="T734" s="586" t="s">
        <v>779</v>
      </c>
      <c r="U734" s="586" t="s">
        <v>468</v>
      </c>
      <c r="V734" s="586" t="s">
        <v>517</v>
      </c>
      <c r="W734" s="587" t="s">
        <v>1358</v>
      </c>
      <c r="X734" s="586" t="s">
        <v>1337</v>
      </c>
      <c r="Y734" s="586" t="s">
        <v>1338</v>
      </c>
      <c r="Z734" s="587" t="s">
        <v>1878</v>
      </c>
      <c r="AA734" s="588">
        <v>1321</v>
      </c>
      <c r="AB734" s="586"/>
    </row>
    <row r="735" spans="1:28" hidden="1">
      <c r="A735" s="566" t="s">
        <v>1335</v>
      </c>
      <c r="B735" s="566" t="s">
        <v>466</v>
      </c>
      <c r="C735" s="566" t="s">
        <v>471</v>
      </c>
      <c r="D735" s="566" t="s">
        <v>472</v>
      </c>
      <c r="E735" s="566" t="s">
        <v>473</v>
      </c>
      <c r="F735" s="566" t="s">
        <v>474</v>
      </c>
      <c r="G735" s="567">
        <v>0</v>
      </c>
      <c r="H735" s="566" t="s">
        <v>511</v>
      </c>
      <c r="I735" s="568">
        <v>2</v>
      </c>
      <c r="J735" s="569">
        <v>52</v>
      </c>
      <c r="K735" s="569">
        <v>52</v>
      </c>
      <c r="L735" s="566"/>
      <c r="M735" s="566" t="s">
        <v>476</v>
      </c>
      <c r="N735" s="570">
        <v>925</v>
      </c>
      <c r="O735" s="566"/>
      <c r="P735" s="566" t="s">
        <v>477</v>
      </c>
      <c r="Q735" s="568">
        <v>909678</v>
      </c>
      <c r="R735" s="568">
        <v>22</v>
      </c>
      <c r="S735" s="566" t="s">
        <v>1360</v>
      </c>
      <c r="T735" s="586" t="s">
        <v>779</v>
      </c>
      <c r="U735" s="586" t="s">
        <v>468</v>
      </c>
      <c r="V735" s="586" t="s">
        <v>517</v>
      </c>
      <c r="W735" s="587" t="s">
        <v>509</v>
      </c>
      <c r="X735" s="586" t="s">
        <v>1337</v>
      </c>
      <c r="Y735" s="586" t="s">
        <v>1338</v>
      </c>
      <c r="Z735" s="587" t="s">
        <v>1879</v>
      </c>
      <c r="AA735" s="588">
        <v>925</v>
      </c>
      <c r="AB735" s="586"/>
    </row>
    <row r="736" spans="1:28" hidden="1">
      <c r="A736" s="566" t="s">
        <v>1335</v>
      </c>
      <c r="B736" s="566" t="s">
        <v>466</v>
      </c>
      <c r="C736" s="566" t="s">
        <v>471</v>
      </c>
      <c r="D736" s="566" t="s">
        <v>472</v>
      </c>
      <c r="E736" s="566" t="s">
        <v>473</v>
      </c>
      <c r="F736" s="566" t="s">
        <v>474</v>
      </c>
      <c r="G736" s="567">
        <v>0</v>
      </c>
      <c r="H736" s="566" t="s">
        <v>213</v>
      </c>
      <c r="I736" s="568">
        <v>2</v>
      </c>
      <c r="J736" s="569">
        <v>52</v>
      </c>
      <c r="K736" s="569">
        <v>52</v>
      </c>
      <c r="L736" s="566"/>
      <c r="M736" s="566" t="s">
        <v>476</v>
      </c>
      <c r="N736" s="570">
        <v>961</v>
      </c>
      <c r="O736" s="566"/>
      <c r="P736" s="566" t="s">
        <v>477</v>
      </c>
      <c r="Q736" s="568">
        <v>909678</v>
      </c>
      <c r="R736" s="568">
        <v>23</v>
      </c>
      <c r="S736" s="566" t="s">
        <v>1362</v>
      </c>
      <c r="T736" s="586" t="s">
        <v>779</v>
      </c>
      <c r="U736" s="586" t="s">
        <v>468</v>
      </c>
      <c r="V736" s="586" t="s">
        <v>517</v>
      </c>
      <c r="W736" s="587" t="s">
        <v>512</v>
      </c>
      <c r="X736" s="586" t="s">
        <v>1337</v>
      </c>
      <c r="Y736" s="586" t="s">
        <v>1338</v>
      </c>
      <c r="Z736" s="587" t="s">
        <v>1880</v>
      </c>
      <c r="AA736" s="588">
        <v>961</v>
      </c>
      <c r="AB736" s="586"/>
    </row>
    <row r="737" spans="1:28" hidden="1">
      <c r="A737" s="566" t="s">
        <v>1335</v>
      </c>
      <c r="B737" s="566" t="s">
        <v>466</v>
      </c>
      <c r="C737" s="566" t="s">
        <v>471</v>
      </c>
      <c r="D737" s="566" t="s">
        <v>472</v>
      </c>
      <c r="E737" s="566" t="s">
        <v>473</v>
      </c>
      <c r="F737" s="566" t="s">
        <v>474</v>
      </c>
      <c r="G737" s="567">
        <v>0</v>
      </c>
      <c r="H737" s="566" t="s">
        <v>516</v>
      </c>
      <c r="I737" s="568">
        <v>2</v>
      </c>
      <c r="J737" s="569">
        <v>52</v>
      </c>
      <c r="K737" s="569">
        <v>52</v>
      </c>
      <c r="L737" s="566"/>
      <c r="M737" s="566" t="s">
        <v>476</v>
      </c>
      <c r="N737" s="570">
        <v>997</v>
      </c>
      <c r="O737" s="566"/>
      <c r="P737" s="566" t="s">
        <v>477</v>
      </c>
      <c r="Q737" s="568">
        <v>909678</v>
      </c>
      <c r="R737" s="568">
        <v>24</v>
      </c>
      <c r="S737" s="566" t="s">
        <v>1364</v>
      </c>
      <c r="T737" s="586" t="s">
        <v>779</v>
      </c>
      <c r="U737" s="586" t="s">
        <v>468</v>
      </c>
      <c r="V737" s="586" t="s">
        <v>517</v>
      </c>
      <c r="W737" s="587" t="s">
        <v>514</v>
      </c>
      <c r="X737" s="586" t="s">
        <v>1337</v>
      </c>
      <c r="Y737" s="586" t="s">
        <v>1338</v>
      </c>
      <c r="Z737" s="587" t="s">
        <v>1881</v>
      </c>
      <c r="AA737" s="588">
        <v>997</v>
      </c>
      <c r="AB737" s="586"/>
    </row>
    <row r="738" spans="1:28" hidden="1">
      <c r="A738" s="566" t="s">
        <v>1335</v>
      </c>
      <c r="B738" s="566" t="s">
        <v>466</v>
      </c>
      <c r="C738" s="566" t="s">
        <v>471</v>
      </c>
      <c r="D738" s="566" t="s">
        <v>472</v>
      </c>
      <c r="E738" s="566" t="s">
        <v>473</v>
      </c>
      <c r="F738" s="566" t="s">
        <v>474</v>
      </c>
      <c r="G738" s="567">
        <v>0</v>
      </c>
      <c r="H738" s="566" t="s">
        <v>479</v>
      </c>
      <c r="I738" s="568">
        <v>2</v>
      </c>
      <c r="J738" s="569">
        <v>76</v>
      </c>
      <c r="K738" s="569">
        <v>76</v>
      </c>
      <c r="L738" s="566"/>
      <c r="M738" s="566" t="s">
        <v>476</v>
      </c>
      <c r="N738" s="570">
        <v>1573</v>
      </c>
      <c r="O738" s="566"/>
      <c r="P738" s="566" t="s">
        <v>477</v>
      </c>
      <c r="Q738" s="568">
        <v>909678</v>
      </c>
      <c r="R738" s="568">
        <v>40</v>
      </c>
      <c r="S738" s="566" t="s">
        <v>1366</v>
      </c>
      <c r="T738" s="586" t="s">
        <v>779</v>
      </c>
      <c r="U738" s="586" t="s">
        <v>468</v>
      </c>
      <c r="V738" s="586" t="s">
        <v>517</v>
      </c>
      <c r="W738" s="587" t="s">
        <v>1274</v>
      </c>
      <c r="X738" s="586" t="s">
        <v>1337</v>
      </c>
      <c r="Y738" s="586" t="s">
        <v>1367</v>
      </c>
      <c r="Z738" s="587" t="s">
        <v>1882</v>
      </c>
      <c r="AA738" s="588">
        <v>1573</v>
      </c>
      <c r="AB738" s="586"/>
    </row>
    <row r="739" spans="1:28" hidden="1">
      <c r="A739" s="566" t="s">
        <v>1335</v>
      </c>
      <c r="B739" s="566" t="s">
        <v>466</v>
      </c>
      <c r="C739" s="566" t="s">
        <v>471</v>
      </c>
      <c r="D739" s="566" t="s">
        <v>472</v>
      </c>
      <c r="E739" s="566" t="s">
        <v>473</v>
      </c>
      <c r="F739" s="566" t="s">
        <v>474</v>
      </c>
      <c r="G739" s="567">
        <v>0</v>
      </c>
      <c r="H739" s="566" t="s">
        <v>484</v>
      </c>
      <c r="I739" s="568">
        <v>2</v>
      </c>
      <c r="J739" s="569">
        <v>76</v>
      </c>
      <c r="K739" s="569">
        <v>76</v>
      </c>
      <c r="L739" s="566"/>
      <c r="M739" s="566" t="s">
        <v>476</v>
      </c>
      <c r="N739" s="570">
        <v>1609</v>
      </c>
      <c r="O739" s="566"/>
      <c r="P739" s="566" t="s">
        <v>477</v>
      </c>
      <c r="Q739" s="568">
        <v>909678</v>
      </c>
      <c r="R739" s="568">
        <v>41</v>
      </c>
      <c r="S739" s="566" t="s">
        <v>1369</v>
      </c>
      <c r="T739" s="586" t="s">
        <v>779</v>
      </c>
      <c r="U739" s="586" t="s">
        <v>468</v>
      </c>
      <c r="V739" s="586" t="s">
        <v>517</v>
      </c>
      <c r="W739" s="587" t="s">
        <v>1275</v>
      </c>
      <c r="X739" s="586" t="s">
        <v>1337</v>
      </c>
      <c r="Y739" s="586" t="s">
        <v>1367</v>
      </c>
      <c r="Z739" s="587" t="s">
        <v>1883</v>
      </c>
      <c r="AA739" s="588">
        <v>1609</v>
      </c>
      <c r="AB739" s="586"/>
    </row>
    <row r="740" spans="1:28" hidden="1">
      <c r="A740" s="566" t="s">
        <v>1335</v>
      </c>
      <c r="B740" s="566" t="s">
        <v>466</v>
      </c>
      <c r="C740" s="566" t="s">
        <v>487</v>
      </c>
      <c r="D740" s="566" t="s">
        <v>472</v>
      </c>
      <c r="E740" s="566" t="s">
        <v>473</v>
      </c>
      <c r="F740" s="566" t="s">
        <v>489</v>
      </c>
      <c r="G740" s="567">
        <v>50</v>
      </c>
      <c r="H740" s="566" t="s">
        <v>503</v>
      </c>
      <c r="I740" s="568">
        <v>2</v>
      </c>
      <c r="J740" s="569">
        <v>76</v>
      </c>
      <c r="K740" s="569">
        <v>76</v>
      </c>
      <c r="L740" s="566"/>
      <c r="M740" s="566" t="s">
        <v>476</v>
      </c>
      <c r="N740" s="570">
        <v>1645</v>
      </c>
      <c r="O740" s="566"/>
      <c r="P740" s="566" t="s">
        <v>477</v>
      </c>
      <c r="Q740" s="568">
        <v>909678</v>
      </c>
      <c r="R740" s="568">
        <v>43</v>
      </c>
      <c r="S740" s="566" t="s">
        <v>1371</v>
      </c>
      <c r="T740" s="586" t="s">
        <v>779</v>
      </c>
      <c r="U740" s="586" t="s">
        <v>468</v>
      </c>
      <c r="V740" s="586" t="s">
        <v>517</v>
      </c>
      <c r="W740" s="587" t="s">
        <v>1276</v>
      </c>
      <c r="X740" s="586" t="s">
        <v>1337</v>
      </c>
      <c r="Y740" s="586" t="s">
        <v>1367</v>
      </c>
      <c r="Z740" s="587" t="s">
        <v>1884</v>
      </c>
      <c r="AA740" s="588">
        <v>1645</v>
      </c>
      <c r="AB740" s="586"/>
    </row>
    <row r="741" spans="1:28" hidden="1">
      <c r="A741" s="566" t="s">
        <v>1335</v>
      </c>
      <c r="B741" s="566" t="s">
        <v>466</v>
      </c>
      <c r="C741" s="566" t="s">
        <v>487</v>
      </c>
      <c r="D741" s="566" t="s">
        <v>472</v>
      </c>
      <c r="E741" s="566" t="s">
        <v>473</v>
      </c>
      <c r="F741" s="566" t="s">
        <v>489</v>
      </c>
      <c r="G741" s="567">
        <v>50</v>
      </c>
      <c r="H741" s="566" t="s">
        <v>508</v>
      </c>
      <c r="I741" s="568">
        <v>2</v>
      </c>
      <c r="J741" s="569">
        <v>76</v>
      </c>
      <c r="K741" s="569">
        <v>76</v>
      </c>
      <c r="L741" s="566"/>
      <c r="M741" s="566" t="s">
        <v>476</v>
      </c>
      <c r="N741" s="570">
        <v>1681</v>
      </c>
      <c r="O741" s="566"/>
      <c r="P741" s="566" t="s">
        <v>477</v>
      </c>
      <c r="Q741" s="568">
        <v>909678</v>
      </c>
      <c r="R741" s="568">
        <v>44</v>
      </c>
      <c r="S741" s="566" t="s">
        <v>1373</v>
      </c>
      <c r="T741" s="586" t="s">
        <v>779</v>
      </c>
      <c r="U741" s="586" t="s">
        <v>468</v>
      </c>
      <c r="V741" s="586" t="s">
        <v>517</v>
      </c>
      <c r="W741" s="587" t="s">
        <v>1277</v>
      </c>
      <c r="X741" s="586" t="s">
        <v>1337</v>
      </c>
      <c r="Y741" s="586" t="s">
        <v>1367</v>
      </c>
      <c r="Z741" s="587" t="s">
        <v>1885</v>
      </c>
      <c r="AA741" s="588">
        <v>1681</v>
      </c>
      <c r="AB741" s="586"/>
    </row>
    <row r="742" spans="1:28" hidden="1">
      <c r="A742" s="566" t="s">
        <v>1335</v>
      </c>
      <c r="B742" s="566" t="s">
        <v>466</v>
      </c>
      <c r="C742" s="566" t="s">
        <v>471</v>
      </c>
      <c r="D742" s="566" t="s">
        <v>472</v>
      </c>
      <c r="E742" s="566" t="s">
        <v>473</v>
      </c>
      <c r="F742" s="566" t="s">
        <v>474</v>
      </c>
      <c r="G742" s="567">
        <v>0</v>
      </c>
      <c r="H742" s="566" t="s">
        <v>1755</v>
      </c>
      <c r="I742" s="568">
        <v>2</v>
      </c>
      <c r="J742" s="569">
        <v>76</v>
      </c>
      <c r="K742" s="569">
        <v>76</v>
      </c>
      <c r="L742" s="566"/>
      <c r="M742" s="566" t="s">
        <v>476</v>
      </c>
      <c r="N742" s="570">
        <v>1717</v>
      </c>
      <c r="O742" s="566"/>
      <c r="P742" s="566" t="s">
        <v>477</v>
      </c>
      <c r="Q742" s="568">
        <v>909678</v>
      </c>
      <c r="R742" s="568">
        <v>42</v>
      </c>
      <c r="S742" s="566" t="s">
        <v>1375</v>
      </c>
      <c r="T742" s="586" t="s">
        <v>779</v>
      </c>
      <c r="U742" s="586" t="s">
        <v>468</v>
      </c>
      <c r="V742" s="586" t="s">
        <v>517</v>
      </c>
      <c r="W742" s="587" t="s">
        <v>1354</v>
      </c>
      <c r="X742" s="586" t="s">
        <v>1337</v>
      </c>
      <c r="Y742" s="586" t="s">
        <v>1367</v>
      </c>
      <c r="Z742" s="587" t="s">
        <v>1886</v>
      </c>
      <c r="AA742" s="588">
        <v>1717</v>
      </c>
      <c r="AB742" s="586"/>
    </row>
    <row r="743" spans="1:28" hidden="1">
      <c r="A743" s="566" t="s">
        <v>1335</v>
      </c>
      <c r="B743" s="566" t="s">
        <v>466</v>
      </c>
      <c r="C743" s="566" t="s">
        <v>487</v>
      </c>
      <c r="D743" s="566" t="s">
        <v>472</v>
      </c>
      <c r="E743" s="566" t="s">
        <v>473</v>
      </c>
      <c r="F743" s="566" t="s">
        <v>489</v>
      </c>
      <c r="G743" s="567">
        <v>50</v>
      </c>
      <c r="H743" s="566" t="s">
        <v>1757</v>
      </c>
      <c r="I743" s="568">
        <v>2</v>
      </c>
      <c r="J743" s="569">
        <v>76</v>
      </c>
      <c r="K743" s="569">
        <v>76</v>
      </c>
      <c r="L743" s="566"/>
      <c r="M743" s="566" t="s">
        <v>476</v>
      </c>
      <c r="N743" s="570">
        <v>1753</v>
      </c>
      <c r="O743" s="566"/>
      <c r="P743" s="566" t="s">
        <v>477</v>
      </c>
      <c r="Q743" s="568">
        <v>909678</v>
      </c>
      <c r="R743" s="568">
        <v>45</v>
      </c>
      <c r="S743" s="566" t="s">
        <v>1377</v>
      </c>
      <c r="T743" s="586" t="s">
        <v>779</v>
      </c>
      <c r="U743" s="586" t="s">
        <v>468</v>
      </c>
      <c r="V743" s="586" t="s">
        <v>517</v>
      </c>
      <c r="W743" s="587" t="s">
        <v>1358</v>
      </c>
      <c r="X743" s="586" t="s">
        <v>1337</v>
      </c>
      <c r="Y743" s="586" t="s">
        <v>1367</v>
      </c>
      <c r="Z743" s="587" t="s">
        <v>1887</v>
      </c>
      <c r="AA743" s="588">
        <v>1753</v>
      </c>
      <c r="AB743" s="586"/>
    </row>
    <row r="744" spans="1:28" hidden="1">
      <c r="A744" s="566" t="s">
        <v>1335</v>
      </c>
      <c r="B744" s="566" t="s">
        <v>466</v>
      </c>
      <c r="C744" s="566" t="s">
        <v>471</v>
      </c>
      <c r="D744" s="566" t="s">
        <v>472</v>
      </c>
      <c r="E744" s="566" t="s">
        <v>473</v>
      </c>
      <c r="F744" s="566" t="s">
        <v>474</v>
      </c>
      <c r="G744" s="567">
        <v>0</v>
      </c>
      <c r="H744" s="566" t="s">
        <v>479</v>
      </c>
      <c r="I744" s="568">
        <v>2</v>
      </c>
      <c r="J744" s="569">
        <v>4</v>
      </c>
      <c r="K744" s="569">
        <v>4</v>
      </c>
      <c r="L744" s="566"/>
      <c r="M744" s="566" t="s">
        <v>476</v>
      </c>
      <c r="N744" s="570">
        <v>493</v>
      </c>
      <c r="O744" s="566"/>
      <c r="P744" s="566" t="s">
        <v>477</v>
      </c>
      <c r="Q744" s="568">
        <v>909678</v>
      </c>
      <c r="R744" s="568">
        <v>10</v>
      </c>
      <c r="S744" s="566" t="s">
        <v>1382</v>
      </c>
      <c r="T744" s="586" t="s">
        <v>779</v>
      </c>
      <c r="U744" s="586" t="s">
        <v>468</v>
      </c>
      <c r="V744" s="586" t="s">
        <v>517</v>
      </c>
      <c r="W744" s="587" t="s">
        <v>1274</v>
      </c>
      <c r="X744" s="586" t="s">
        <v>1380</v>
      </c>
      <c r="Y744" s="586" t="s">
        <v>1338</v>
      </c>
      <c r="Z744" s="587" t="s">
        <v>790</v>
      </c>
      <c r="AA744" s="588">
        <v>493</v>
      </c>
      <c r="AB744" s="586"/>
    </row>
    <row r="745" spans="1:28" hidden="1">
      <c r="A745" s="566" t="s">
        <v>1335</v>
      </c>
      <c r="B745" s="566" t="s">
        <v>466</v>
      </c>
      <c r="C745" s="566" t="s">
        <v>471</v>
      </c>
      <c r="D745" s="566" t="s">
        <v>472</v>
      </c>
      <c r="E745" s="566" t="s">
        <v>473</v>
      </c>
      <c r="F745" s="566" t="s">
        <v>474</v>
      </c>
      <c r="G745" s="567">
        <v>0</v>
      </c>
      <c r="H745" s="566" t="s">
        <v>484</v>
      </c>
      <c r="I745" s="568">
        <v>2</v>
      </c>
      <c r="J745" s="569">
        <v>4</v>
      </c>
      <c r="K745" s="569">
        <v>4</v>
      </c>
      <c r="L745" s="566"/>
      <c r="M745" s="566" t="s">
        <v>476</v>
      </c>
      <c r="N745" s="570">
        <v>565</v>
      </c>
      <c r="O745" s="566"/>
      <c r="P745" s="566" t="s">
        <v>477</v>
      </c>
      <c r="Q745" s="568">
        <v>909678</v>
      </c>
      <c r="R745" s="568">
        <v>15</v>
      </c>
      <c r="S745" s="566" t="s">
        <v>483</v>
      </c>
      <c r="T745" s="586" t="s">
        <v>779</v>
      </c>
      <c r="U745" s="586" t="s">
        <v>468</v>
      </c>
      <c r="V745" s="586" t="s">
        <v>517</v>
      </c>
      <c r="W745" s="587" t="s">
        <v>1275</v>
      </c>
      <c r="X745" s="586" t="s">
        <v>1380</v>
      </c>
      <c r="Y745" s="586" t="s">
        <v>1338</v>
      </c>
      <c r="Z745" s="587" t="s">
        <v>791</v>
      </c>
      <c r="AA745" s="588">
        <v>565</v>
      </c>
      <c r="AB745" s="586"/>
    </row>
    <row r="746" spans="1:28" hidden="1">
      <c r="A746" s="566" t="s">
        <v>1335</v>
      </c>
      <c r="B746" s="566" t="s">
        <v>466</v>
      </c>
      <c r="C746" s="566" t="s">
        <v>487</v>
      </c>
      <c r="D746" s="566" t="s">
        <v>472</v>
      </c>
      <c r="E746" s="566" t="s">
        <v>473</v>
      </c>
      <c r="F746" s="566" t="s">
        <v>489</v>
      </c>
      <c r="G746" s="567">
        <v>50</v>
      </c>
      <c r="H746" s="566" t="s">
        <v>490</v>
      </c>
      <c r="I746" s="568">
        <v>2</v>
      </c>
      <c r="J746" s="569">
        <v>4</v>
      </c>
      <c r="K746" s="569">
        <v>4</v>
      </c>
      <c r="L746" s="566"/>
      <c r="M746" s="566" t="s">
        <v>476</v>
      </c>
      <c r="N746" s="570">
        <v>601</v>
      </c>
      <c r="O746" s="566"/>
      <c r="P746" s="566" t="s">
        <v>477</v>
      </c>
      <c r="Q746" s="568">
        <v>909678</v>
      </c>
      <c r="R746" s="568">
        <v>16</v>
      </c>
      <c r="S746" s="566" t="s">
        <v>488</v>
      </c>
      <c r="T746" s="586" t="s">
        <v>779</v>
      </c>
      <c r="U746" s="586" t="s">
        <v>468</v>
      </c>
      <c r="V746" s="586" t="s">
        <v>517</v>
      </c>
      <c r="W746" s="587" t="s">
        <v>485</v>
      </c>
      <c r="X746" s="586" t="s">
        <v>1380</v>
      </c>
      <c r="Y746" s="586" t="s">
        <v>1338</v>
      </c>
      <c r="Z746" s="587" t="s">
        <v>792</v>
      </c>
      <c r="AA746" s="588">
        <v>601</v>
      </c>
      <c r="AB746" s="586"/>
    </row>
    <row r="747" spans="1:28" hidden="1">
      <c r="A747" s="566" t="s">
        <v>1335</v>
      </c>
      <c r="B747" s="566" t="s">
        <v>466</v>
      </c>
      <c r="C747" s="566" t="s">
        <v>487</v>
      </c>
      <c r="D747" s="566" t="s">
        <v>472</v>
      </c>
      <c r="E747" s="566" t="s">
        <v>473</v>
      </c>
      <c r="F747" s="566" t="s">
        <v>489</v>
      </c>
      <c r="G747" s="567">
        <v>50</v>
      </c>
      <c r="H747" s="566" t="s">
        <v>494</v>
      </c>
      <c r="I747" s="568">
        <v>2</v>
      </c>
      <c r="J747" s="569">
        <v>4</v>
      </c>
      <c r="K747" s="569">
        <v>4</v>
      </c>
      <c r="L747" s="566"/>
      <c r="M747" s="566" t="s">
        <v>476</v>
      </c>
      <c r="N747" s="570">
        <v>637</v>
      </c>
      <c r="O747" s="566"/>
      <c r="P747" s="566" t="s">
        <v>477</v>
      </c>
      <c r="Q747" s="568">
        <v>909678</v>
      </c>
      <c r="R747" s="568">
        <v>17</v>
      </c>
      <c r="S747" s="566" t="s">
        <v>493</v>
      </c>
      <c r="T747" s="586" t="s">
        <v>779</v>
      </c>
      <c r="U747" s="586" t="s">
        <v>468</v>
      </c>
      <c r="V747" s="586" t="s">
        <v>517</v>
      </c>
      <c r="W747" s="587" t="s">
        <v>491</v>
      </c>
      <c r="X747" s="586" t="s">
        <v>1380</v>
      </c>
      <c r="Y747" s="586" t="s">
        <v>1338</v>
      </c>
      <c r="Z747" s="587" t="s">
        <v>793</v>
      </c>
      <c r="AA747" s="588">
        <v>637</v>
      </c>
      <c r="AB747" s="586"/>
    </row>
    <row r="748" spans="1:28" hidden="1">
      <c r="A748" s="566" t="s">
        <v>1335</v>
      </c>
      <c r="B748" s="566" t="s">
        <v>466</v>
      </c>
      <c r="C748" s="566" t="s">
        <v>487</v>
      </c>
      <c r="D748" s="566" t="s">
        <v>472</v>
      </c>
      <c r="E748" s="566" t="s">
        <v>473</v>
      </c>
      <c r="F748" s="566" t="s">
        <v>489</v>
      </c>
      <c r="G748" s="567">
        <v>50</v>
      </c>
      <c r="H748" s="566" t="s">
        <v>498</v>
      </c>
      <c r="I748" s="568">
        <v>2</v>
      </c>
      <c r="J748" s="569">
        <v>4</v>
      </c>
      <c r="K748" s="569">
        <v>4</v>
      </c>
      <c r="L748" s="566"/>
      <c r="M748" s="566" t="s">
        <v>476</v>
      </c>
      <c r="N748" s="570">
        <v>673</v>
      </c>
      <c r="O748" s="566"/>
      <c r="P748" s="566" t="s">
        <v>477</v>
      </c>
      <c r="Q748" s="568">
        <v>909678</v>
      </c>
      <c r="R748" s="568">
        <v>18</v>
      </c>
      <c r="S748" s="566" t="s">
        <v>497</v>
      </c>
      <c r="T748" s="586" t="s">
        <v>779</v>
      </c>
      <c r="U748" s="586" t="s">
        <v>468</v>
      </c>
      <c r="V748" s="586" t="s">
        <v>517</v>
      </c>
      <c r="W748" s="587" t="s">
        <v>495</v>
      </c>
      <c r="X748" s="586" t="s">
        <v>1380</v>
      </c>
      <c r="Y748" s="586" t="s">
        <v>1338</v>
      </c>
      <c r="Z748" s="587" t="s">
        <v>794</v>
      </c>
      <c r="AA748" s="588">
        <v>673</v>
      </c>
      <c r="AB748" s="586"/>
    </row>
    <row r="749" spans="1:28" hidden="1">
      <c r="A749" s="566" t="s">
        <v>1335</v>
      </c>
      <c r="B749" s="566" t="s">
        <v>466</v>
      </c>
      <c r="C749" s="566" t="s">
        <v>487</v>
      </c>
      <c r="D749" s="566" t="s">
        <v>472</v>
      </c>
      <c r="E749" s="566" t="s">
        <v>473</v>
      </c>
      <c r="F749" s="566" t="s">
        <v>489</v>
      </c>
      <c r="G749" s="567">
        <v>50</v>
      </c>
      <c r="H749" s="566" t="s">
        <v>503</v>
      </c>
      <c r="I749" s="568">
        <v>2</v>
      </c>
      <c r="J749" s="569">
        <v>4</v>
      </c>
      <c r="K749" s="569">
        <v>4</v>
      </c>
      <c r="L749" s="566"/>
      <c r="M749" s="566" t="s">
        <v>476</v>
      </c>
      <c r="N749" s="570">
        <v>745</v>
      </c>
      <c r="O749" s="566"/>
      <c r="P749" s="566" t="s">
        <v>477</v>
      </c>
      <c r="Q749" s="568">
        <v>909678</v>
      </c>
      <c r="R749" s="568">
        <v>19</v>
      </c>
      <c r="S749" s="566" t="s">
        <v>502</v>
      </c>
      <c r="T749" s="586" t="s">
        <v>779</v>
      </c>
      <c r="U749" s="586" t="s">
        <v>468</v>
      </c>
      <c r="V749" s="586" t="s">
        <v>517</v>
      </c>
      <c r="W749" s="587" t="s">
        <v>1276</v>
      </c>
      <c r="X749" s="586" t="s">
        <v>1380</v>
      </c>
      <c r="Y749" s="586" t="s">
        <v>1338</v>
      </c>
      <c r="Z749" s="587" t="s">
        <v>795</v>
      </c>
      <c r="AA749" s="588">
        <v>745</v>
      </c>
      <c r="AB749" s="586"/>
    </row>
    <row r="750" spans="1:28" hidden="1">
      <c r="A750" s="566" t="s">
        <v>1335</v>
      </c>
      <c r="B750" s="566" t="s">
        <v>466</v>
      </c>
      <c r="C750" s="566" t="s">
        <v>487</v>
      </c>
      <c r="D750" s="566" t="s">
        <v>472</v>
      </c>
      <c r="E750" s="566" t="s">
        <v>473</v>
      </c>
      <c r="F750" s="566" t="s">
        <v>489</v>
      </c>
      <c r="G750" s="567">
        <v>50</v>
      </c>
      <c r="H750" s="566" t="s">
        <v>508</v>
      </c>
      <c r="I750" s="568">
        <v>2</v>
      </c>
      <c r="J750" s="569">
        <v>4</v>
      </c>
      <c r="K750" s="569">
        <v>4</v>
      </c>
      <c r="L750" s="566"/>
      <c r="M750" s="566" t="s">
        <v>476</v>
      </c>
      <c r="N750" s="570">
        <v>817</v>
      </c>
      <c r="O750" s="566"/>
      <c r="P750" s="566" t="s">
        <v>477</v>
      </c>
      <c r="Q750" s="568">
        <v>909678</v>
      </c>
      <c r="R750" s="568">
        <v>21</v>
      </c>
      <c r="S750" s="566" t="s">
        <v>507</v>
      </c>
      <c r="T750" s="586" t="s">
        <v>779</v>
      </c>
      <c r="U750" s="586" t="s">
        <v>468</v>
      </c>
      <c r="V750" s="586" t="s">
        <v>517</v>
      </c>
      <c r="W750" s="587" t="s">
        <v>1277</v>
      </c>
      <c r="X750" s="586" t="s">
        <v>1380</v>
      </c>
      <c r="Y750" s="586" t="s">
        <v>1338</v>
      </c>
      <c r="Z750" s="587" t="s">
        <v>796</v>
      </c>
      <c r="AA750" s="588">
        <v>817</v>
      </c>
      <c r="AB750" s="586"/>
    </row>
    <row r="751" spans="1:28" hidden="1">
      <c r="A751" s="566" t="s">
        <v>1335</v>
      </c>
      <c r="B751" s="566" t="s">
        <v>466</v>
      </c>
      <c r="C751" s="566" t="s">
        <v>471</v>
      </c>
      <c r="D751" s="566" t="s">
        <v>472</v>
      </c>
      <c r="E751" s="566" t="s">
        <v>473</v>
      </c>
      <c r="F751" s="566" t="s">
        <v>474</v>
      </c>
      <c r="G751" s="567">
        <v>0</v>
      </c>
      <c r="H751" s="566" t="s">
        <v>1755</v>
      </c>
      <c r="I751" s="568">
        <v>2</v>
      </c>
      <c r="J751" s="569">
        <v>4</v>
      </c>
      <c r="K751" s="569">
        <v>4</v>
      </c>
      <c r="L751" s="566"/>
      <c r="M751" s="566" t="s">
        <v>476</v>
      </c>
      <c r="N751" s="570">
        <v>853</v>
      </c>
      <c r="O751" s="566"/>
      <c r="P751" s="566" t="s">
        <v>477</v>
      </c>
      <c r="Q751" s="568">
        <v>909678</v>
      </c>
      <c r="R751" s="568">
        <v>46</v>
      </c>
      <c r="S751" s="566" t="s">
        <v>1383</v>
      </c>
      <c r="T751" s="586" t="s">
        <v>779</v>
      </c>
      <c r="U751" s="586" t="s">
        <v>468</v>
      </c>
      <c r="V751" s="586" t="s">
        <v>517</v>
      </c>
      <c r="W751" s="587" t="s">
        <v>1354</v>
      </c>
      <c r="X751" s="586" t="s">
        <v>1380</v>
      </c>
      <c r="Y751" s="586" t="s">
        <v>1338</v>
      </c>
      <c r="Z751" s="587" t="s">
        <v>1888</v>
      </c>
      <c r="AA751" s="588">
        <v>853</v>
      </c>
      <c r="AB751" s="586"/>
    </row>
    <row r="752" spans="1:28" hidden="1">
      <c r="A752" s="566" t="s">
        <v>1335</v>
      </c>
      <c r="B752" s="566" t="s">
        <v>466</v>
      </c>
      <c r="C752" s="566" t="s">
        <v>487</v>
      </c>
      <c r="D752" s="566" t="s">
        <v>472</v>
      </c>
      <c r="E752" s="566" t="s">
        <v>473</v>
      </c>
      <c r="F752" s="566" t="s">
        <v>489</v>
      </c>
      <c r="G752" s="567">
        <v>50</v>
      </c>
      <c r="H752" s="566" t="s">
        <v>1757</v>
      </c>
      <c r="I752" s="568">
        <v>2</v>
      </c>
      <c r="J752" s="569">
        <v>4</v>
      </c>
      <c r="K752" s="569">
        <v>4</v>
      </c>
      <c r="L752" s="566"/>
      <c r="M752" s="566" t="s">
        <v>476</v>
      </c>
      <c r="N752" s="570">
        <v>889</v>
      </c>
      <c r="O752" s="566"/>
      <c r="P752" s="566" t="s">
        <v>477</v>
      </c>
      <c r="Q752" s="568">
        <v>909678</v>
      </c>
      <c r="R752" s="568">
        <v>47</v>
      </c>
      <c r="S752" s="566" t="s">
        <v>1385</v>
      </c>
      <c r="T752" s="586" t="s">
        <v>779</v>
      </c>
      <c r="U752" s="586" t="s">
        <v>468</v>
      </c>
      <c r="V752" s="586" t="s">
        <v>517</v>
      </c>
      <c r="W752" s="587" t="s">
        <v>1358</v>
      </c>
      <c r="X752" s="586" t="s">
        <v>1380</v>
      </c>
      <c r="Y752" s="586" t="s">
        <v>1338</v>
      </c>
      <c r="Z752" s="587" t="s">
        <v>1889</v>
      </c>
      <c r="AA752" s="588">
        <v>889</v>
      </c>
      <c r="AB752" s="586"/>
    </row>
    <row r="753" spans="1:28" hidden="1">
      <c r="A753" s="566" t="s">
        <v>1335</v>
      </c>
      <c r="B753" s="566" t="s">
        <v>466</v>
      </c>
      <c r="C753" s="566" t="s">
        <v>471</v>
      </c>
      <c r="D753" s="566" t="s">
        <v>472</v>
      </c>
      <c r="E753" s="566" t="s">
        <v>473</v>
      </c>
      <c r="F753" s="566" t="s">
        <v>474</v>
      </c>
      <c r="G753" s="567">
        <v>0</v>
      </c>
      <c r="H753" s="566" t="s">
        <v>511</v>
      </c>
      <c r="I753" s="568">
        <v>2</v>
      </c>
      <c r="J753" s="569">
        <v>4</v>
      </c>
      <c r="K753" s="569">
        <v>4</v>
      </c>
      <c r="L753" s="566"/>
      <c r="M753" s="566" t="s">
        <v>476</v>
      </c>
      <c r="N753" s="570">
        <v>349</v>
      </c>
      <c r="O753" s="566"/>
      <c r="P753" s="566" t="s">
        <v>477</v>
      </c>
      <c r="Q753" s="568">
        <v>909678</v>
      </c>
      <c r="R753" s="568">
        <v>5</v>
      </c>
      <c r="S753" s="566" t="s">
        <v>1392</v>
      </c>
      <c r="T753" s="586" t="s">
        <v>779</v>
      </c>
      <c r="U753" s="586" t="s">
        <v>468</v>
      </c>
      <c r="V753" s="586" t="s">
        <v>517</v>
      </c>
      <c r="W753" s="587" t="s">
        <v>509</v>
      </c>
      <c r="X753" s="586" t="s">
        <v>1380</v>
      </c>
      <c r="Y753" s="586" t="s">
        <v>1338</v>
      </c>
      <c r="Z753" s="587" t="s">
        <v>797</v>
      </c>
      <c r="AA753" s="588">
        <v>349</v>
      </c>
      <c r="AB753" s="586"/>
    </row>
    <row r="754" spans="1:28" hidden="1">
      <c r="A754" s="566" t="s">
        <v>1335</v>
      </c>
      <c r="B754" s="566" t="s">
        <v>466</v>
      </c>
      <c r="C754" s="566" t="s">
        <v>471</v>
      </c>
      <c r="D754" s="566" t="s">
        <v>472</v>
      </c>
      <c r="E754" s="566" t="s">
        <v>473</v>
      </c>
      <c r="F754" s="566" t="s">
        <v>474</v>
      </c>
      <c r="G754" s="567">
        <v>0</v>
      </c>
      <c r="H754" s="566" t="s">
        <v>213</v>
      </c>
      <c r="I754" s="568">
        <v>2</v>
      </c>
      <c r="J754" s="569">
        <v>4</v>
      </c>
      <c r="K754" s="569">
        <v>4</v>
      </c>
      <c r="L754" s="566"/>
      <c r="M754" s="566" t="s">
        <v>476</v>
      </c>
      <c r="N754" s="570">
        <v>385</v>
      </c>
      <c r="O754" s="566"/>
      <c r="P754" s="566" t="s">
        <v>477</v>
      </c>
      <c r="Q754" s="568">
        <v>909678</v>
      </c>
      <c r="R754" s="568">
        <v>6</v>
      </c>
      <c r="S754" s="566" t="s">
        <v>1393</v>
      </c>
      <c r="T754" s="586" t="s">
        <v>779</v>
      </c>
      <c r="U754" s="586" t="s">
        <v>468</v>
      </c>
      <c r="V754" s="586" t="s">
        <v>517</v>
      </c>
      <c r="W754" s="587" t="s">
        <v>512</v>
      </c>
      <c r="X754" s="586" t="s">
        <v>1380</v>
      </c>
      <c r="Y754" s="586" t="s">
        <v>1338</v>
      </c>
      <c r="Z754" s="587" t="s">
        <v>798</v>
      </c>
      <c r="AA754" s="588">
        <v>385</v>
      </c>
      <c r="AB754" s="586"/>
    </row>
    <row r="755" spans="1:28" hidden="1">
      <c r="A755" s="566" t="s">
        <v>1335</v>
      </c>
      <c r="B755" s="566" t="s">
        <v>466</v>
      </c>
      <c r="C755" s="566" t="s">
        <v>471</v>
      </c>
      <c r="D755" s="566" t="s">
        <v>472</v>
      </c>
      <c r="E755" s="566" t="s">
        <v>473</v>
      </c>
      <c r="F755" s="566" t="s">
        <v>474</v>
      </c>
      <c r="G755" s="567">
        <v>0</v>
      </c>
      <c r="H755" s="566" t="s">
        <v>516</v>
      </c>
      <c r="I755" s="568">
        <v>2</v>
      </c>
      <c r="J755" s="569">
        <v>4</v>
      </c>
      <c r="K755" s="569">
        <v>4</v>
      </c>
      <c r="L755" s="566"/>
      <c r="M755" s="566" t="s">
        <v>476</v>
      </c>
      <c r="N755" s="570">
        <v>421</v>
      </c>
      <c r="O755" s="566"/>
      <c r="P755" s="566" t="s">
        <v>477</v>
      </c>
      <c r="Q755" s="568">
        <v>909678</v>
      </c>
      <c r="R755" s="568">
        <v>14</v>
      </c>
      <c r="S755" s="566" t="s">
        <v>1394</v>
      </c>
      <c r="T755" s="586" t="s">
        <v>779</v>
      </c>
      <c r="U755" s="586" t="s">
        <v>468</v>
      </c>
      <c r="V755" s="586" t="s">
        <v>517</v>
      </c>
      <c r="W755" s="587" t="s">
        <v>514</v>
      </c>
      <c r="X755" s="586" t="s">
        <v>1380</v>
      </c>
      <c r="Y755" s="586" t="s">
        <v>1338</v>
      </c>
      <c r="Z755" s="587" t="s">
        <v>799</v>
      </c>
      <c r="AA755" s="588">
        <v>421</v>
      </c>
      <c r="AB755" s="586"/>
    </row>
    <row r="756" spans="1:28" hidden="1">
      <c r="A756" s="566" t="s">
        <v>1335</v>
      </c>
      <c r="B756" s="566" t="s">
        <v>466</v>
      </c>
      <c r="C756" s="566" t="s">
        <v>471</v>
      </c>
      <c r="D756" s="566" t="s">
        <v>472</v>
      </c>
      <c r="E756" s="566" t="s">
        <v>473</v>
      </c>
      <c r="F756" s="566" t="s">
        <v>474</v>
      </c>
      <c r="G756" s="567">
        <v>0</v>
      </c>
      <c r="H756" s="566" t="s">
        <v>479</v>
      </c>
      <c r="I756" s="568">
        <v>2</v>
      </c>
      <c r="J756" s="569">
        <v>28</v>
      </c>
      <c r="K756" s="569">
        <v>28</v>
      </c>
      <c r="L756" s="566"/>
      <c r="M756" s="566" t="s">
        <v>476</v>
      </c>
      <c r="N756" s="570">
        <v>1357</v>
      </c>
      <c r="O756" s="566"/>
      <c r="P756" s="566" t="s">
        <v>477</v>
      </c>
      <c r="Q756" s="568">
        <v>909678</v>
      </c>
      <c r="R756" s="568">
        <v>34</v>
      </c>
      <c r="S756" s="566" t="s">
        <v>1395</v>
      </c>
      <c r="T756" s="586" t="s">
        <v>779</v>
      </c>
      <c r="U756" s="586" t="s">
        <v>468</v>
      </c>
      <c r="V756" s="586" t="s">
        <v>517</v>
      </c>
      <c r="W756" s="587" t="s">
        <v>1274</v>
      </c>
      <c r="X756" s="586" t="s">
        <v>1380</v>
      </c>
      <c r="Y756" s="586" t="s">
        <v>1367</v>
      </c>
      <c r="Z756" s="587" t="s">
        <v>1890</v>
      </c>
      <c r="AA756" s="588">
        <v>1357</v>
      </c>
      <c r="AB756" s="586"/>
    </row>
    <row r="757" spans="1:28" hidden="1">
      <c r="A757" s="566" t="s">
        <v>1335</v>
      </c>
      <c r="B757" s="566" t="s">
        <v>466</v>
      </c>
      <c r="C757" s="566" t="s">
        <v>471</v>
      </c>
      <c r="D757" s="566" t="s">
        <v>472</v>
      </c>
      <c r="E757" s="566" t="s">
        <v>473</v>
      </c>
      <c r="F757" s="566" t="s">
        <v>474</v>
      </c>
      <c r="G757" s="567">
        <v>0</v>
      </c>
      <c r="H757" s="566" t="s">
        <v>484</v>
      </c>
      <c r="I757" s="568">
        <v>2</v>
      </c>
      <c r="J757" s="569">
        <v>28</v>
      </c>
      <c r="K757" s="569">
        <v>28</v>
      </c>
      <c r="L757" s="566"/>
      <c r="M757" s="566" t="s">
        <v>476</v>
      </c>
      <c r="N757" s="570">
        <v>1393</v>
      </c>
      <c r="O757" s="566"/>
      <c r="P757" s="566" t="s">
        <v>477</v>
      </c>
      <c r="Q757" s="568">
        <v>909678</v>
      </c>
      <c r="R757" s="568">
        <v>35</v>
      </c>
      <c r="S757" s="566" t="s">
        <v>1397</v>
      </c>
      <c r="T757" s="586" t="s">
        <v>779</v>
      </c>
      <c r="U757" s="586" t="s">
        <v>468</v>
      </c>
      <c r="V757" s="586" t="s">
        <v>517</v>
      </c>
      <c r="W757" s="587" t="s">
        <v>1275</v>
      </c>
      <c r="X757" s="586" t="s">
        <v>1380</v>
      </c>
      <c r="Y757" s="586" t="s">
        <v>1367</v>
      </c>
      <c r="Z757" s="587" t="s">
        <v>1891</v>
      </c>
      <c r="AA757" s="588">
        <v>1393</v>
      </c>
      <c r="AB757" s="586"/>
    </row>
    <row r="758" spans="1:28" hidden="1">
      <c r="A758" s="566" t="s">
        <v>1335</v>
      </c>
      <c r="B758" s="566" t="s">
        <v>466</v>
      </c>
      <c r="C758" s="566" t="s">
        <v>487</v>
      </c>
      <c r="D758" s="566" t="s">
        <v>472</v>
      </c>
      <c r="E758" s="566" t="s">
        <v>473</v>
      </c>
      <c r="F758" s="566" t="s">
        <v>489</v>
      </c>
      <c r="G758" s="567">
        <v>50</v>
      </c>
      <c r="H758" s="566" t="s">
        <v>503</v>
      </c>
      <c r="I758" s="568">
        <v>2</v>
      </c>
      <c r="J758" s="569">
        <v>28</v>
      </c>
      <c r="K758" s="569">
        <v>28</v>
      </c>
      <c r="L758" s="566"/>
      <c r="M758" s="566" t="s">
        <v>476</v>
      </c>
      <c r="N758" s="570">
        <v>1429</v>
      </c>
      <c r="O758" s="566"/>
      <c r="P758" s="566" t="s">
        <v>477</v>
      </c>
      <c r="Q758" s="568">
        <v>909678</v>
      </c>
      <c r="R758" s="568">
        <v>37</v>
      </c>
      <c r="S758" s="566" t="s">
        <v>1399</v>
      </c>
      <c r="T758" s="586" t="s">
        <v>779</v>
      </c>
      <c r="U758" s="586" t="s">
        <v>468</v>
      </c>
      <c r="V758" s="586" t="s">
        <v>517</v>
      </c>
      <c r="W758" s="587" t="s">
        <v>1276</v>
      </c>
      <c r="X758" s="586" t="s">
        <v>1380</v>
      </c>
      <c r="Y758" s="586" t="s">
        <v>1367</v>
      </c>
      <c r="Z758" s="587" t="s">
        <v>1892</v>
      </c>
      <c r="AA758" s="588">
        <v>1429</v>
      </c>
      <c r="AB758" s="586"/>
    </row>
    <row r="759" spans="1:28" hidden="1">
      <c r="A759" s="566" t="s">
        <v>1335</v>
      </c>
      <c r="B759" s="566" t="s">
        <v>466</v>
      </c>
      <c r="C759" s="566" t="s">
        <v>487</v>
      </c>
      <c r="D759" s="566" t="s">
        <v>472</v>
      </c>
      <c r="E759" s="566" t="s">
        <v>473</v>
      </c>
      <c r="F759" s="566" t="s">
        <v>489</v>
      </c>
      <c r="G759" s="567">
        <v>50</v>
      </c>
      <c r="H759" s="566" t="s">
        <v>508</v>
      </c>
      <c r="I759" s="568">
        <v>2</v>
      </c>
      <c r="J759" s="569">
        <v>28</v>
      </c>
      <c r="K759" s="569">
        <v>28</v>
      </c>
      <c r="L759" s="566"/>
      <c r="M759" s="566" t="s">
        <v>476</v>
      </c>
      <c r="N759" s="570">
        <v>1465</v>
      </c>
      <c r="O759" s="566"/>
      <c r="P759" s="566" t="s">
        <v>477</v>
      </c>
      <c r="Q759" s="568">
        <v>909678</v>
      </c>
      <c r="R759" s="568">
        <v>38</v>
      </c>
      <c r="S759" s="566" t="s">
        <v>1401</v>
      </c>
      <c r="T759" s="586" t="s">
        <v>779</v>
      </c>
      <c r="U759" s="586" t="s">
        <v>468</v>
      </c>
      <c r="V759" s="586" t="s">
        <v>517</v>
      </c>
      <c r="W759" s="587" t="s">
        <v>1277</v>
      </c>
      <c r="X759" s="586" t="s">
        <v>1380</v>
      </c>
      <c r="Y759" s="586" t="s">
        <v>1367</v>
      </c>
      <c r="Z759" s="587" t="s">
        <v>1893</v>
      </c>
      <c r="AA759" s="588">
        <v>1465</v>
      </c>
      <c r="AB759" s="586"/>
    </row>
    <row r="760" spans="1:28" hidden="1">
      <c r="A760" s="566" t="s">
        <v>1335</v>
      </c>
      <c r="B760" s="566" t="s">
        <v>466</v>
      </c>
      <c r="C760" s="566" t="s">
        <v>471</v>
      </c>
      <c r="D760" s="566" t="s">
        <v>472</v>
      </c>
      <c r="E760" s="566" t="s">
        <v>473</v>
      </c>
      <c r="F760" s="566" t="s">
        <v>474</v>
      </c>
      <c r="G760" s="567">
        <v>0</v>
      </c>
      <c r="H760" s="566" t="s">
        <v>1755</v>
      </c>
      <c r="I760" s="568">
        <v>2</v>
      </c>
      <c r="J760" s="569">
        <v>28</v>
      </c>
      <c r="K760" s="569">
        <v>28</v>
      </c>
      <c r="L760" s="566"/>
      <c r="M760" s="566" t="s">
        <v>476</v>
      </c>
      <c r="N760" s="570">
        <v>1501</v>
      </c>
      <c r="O760" s="566"/>
      <c r="P760" s="566" t="s">
        <v>477</v>
      </c>
      <c r="Q760" s="568">
        <v>909678</v>
      </c>
      <c r="R760" s="568">
        <v>36</v>
      </c>
      <c r="S760" s="566" t="s">
        <v>1403</v>
      </c>
      <c r="T760" s="586" t="s">
        <v>779</v>
      </c>
      <c r="U760" s="586" t="s">
        <v>468</v>
      </c>
      <c r="V760" s="586" t="s">
        <v>517</v>
      </c>
      <c r="W760" s="587" t="s">
        <v>1354</v>
      </c>
      <c r="X760" s="586" t="s">
        <v>1380</v>
      </c>
      <c r="Y760" s="586" t="s">
        <v>1367</v>
      </c>
      <c r="Z760" s="587" t="s">
        <v>1894</v>
      </c>
      <c r="AA760" s="588">
        <v>1501</v>
      </c>
      <c r="AB760" s="586"/>
    </row>
    <row r="761" spans="1:28" hidden="1">
      <c r="A761" s="566" t="s">
        <v>1335</v>
      </c>
      <c r="B761" s="566" t="s">
        <v>466</v>
      </c>
      <c r="C761" s="566" t="s">
        <v>487</v>
      </c>
      <c r="D761" s="566" t="s">
        <v>472</v>
      </c>
      <c r="E761" s="566" t="s">
        <v>473</v>
      </c>
      <c r="F761" s="566" t="s">
        <v>489</v>
      </c>
      <c r="G761" s="567">
        <v>50</v>
      </c>
      <c r="H761" s="566" t="s">
        <v>1757</v>
      </c>
      <c r="I761" s="568">
        <v>2</v>
      </c>
      <c r="J761" s="569">
        <v>28</v>
      </c>
      <c r="K761" s="569">
        <v>28</v>
      </c>
      <c r="L761" s="566"/>
      <c r="M761" s="566" t="s">
        <v>476</v>
      </c>
      <c r="N761" s="570">
        <v>1537</v>
      </c>
      <c r="O761" s="566"/>
      <c r="P761" s="566" t="s">
        <v>477</v>
      </c>
      <c r="Q761" s="568">
        <v>909678</v>
      </c>
      <c r="R761" s="568">
        <v>39</v>
      </c>
      <c r="S761" s="566" t="s">
        <v>1405</v>
      </c>
      <c r="T761" s="586" t="s">
        <v>779</v>
      </c>
      <c r="U761" s="586" t="s">
        <v>468</v>
      </c>
      <c r="V761" s="586" t="s">
        <v>517</v>
      </c>
      <c r="W761" s="587" t="s">
        <v>1358</v>
      </c>
      <c r="X761" s="586" t="s">
        <v>1380</v>
      </c>
      <c r="Y761" s="586" t="s">
        <v>1367</v>
      </c>
      <c r="Z761" s="587" t="s">
        <v>1895</v>
      </c>
      <c r="AA761" s="588">
        <v>1537</v>
      </c>
      <c r="AB761" s="586"/>
    </row>
    <row r="762" spans="1:28" hidden="1">
      <c r="A762" s="566" t="s">
        <v>1335</v>
      </c>
      <c r="B762" s="566" t="s">
        <v>466</v>
      </c>
      <c r="C762" s="566" t="s">
        <v>471</v>
      </c>
      <c r="D762" s="566" t="s">
        <v>472</v>
      </c>
      <c r="E762" s="566" t="s">
        <v>473</v>
      </c>
      <c r="F762" s="566" t="s">
        <v>474</v>
      </c>
      <c r="G762" s="567">
        <v>0</v>
      </c>
      <c r="H762" s="566" t="s">
        <v>475</v>
      </c>
      <c r="I762" s="568">
        <v>2</v>
      </c>
      <c r="J762" s="569">
        <v>4</v>
      </c>
      <c r="K762" s="569">
        <v>4</v>
      </c>
      <c r="L762" s="566"/>
      <c r="M762" s="566" t="s">
        <v>476</v>
      </c>
      <c r="N762" s="570">
        <v>457</v>
      </c>
      <c r="O762" s="566"/>
      <c r="P762" s="566" t="s">
        <v>477</v>
      </c>
      <c r="Q762" s="568">
        <v>909678</v>
      </c>
      <c r="R762" s="568">
        <v>7</v>
      </c>
      <c r="S762" s="566" t="s">
        <v>1407</v>
      </c>
      <c r="T762" s="586" t="s">
        <v>1442</v>
      </c>
      <c r="U762" s="586" t="s">
        <v>468</v>
      </c>
      <c r="V762" s="586" t="s">
        <v>517</v>
      </c>
      <c r="W762" s="587" t="s">
        <v>470</v>
      </c>
      <c r="X762" s="586" t="s">
        <v>1380</v>
      </c>
      <c r="Y762" s="586" t="s">
        <v>1338</v>
      </c>
      <c r="Z762" s="587" t="s">
        <v>1896</v>
      </c>
      <c r="AA762" s="588">
        <v>457</v>
      </c>
      <c r="AB762" s="586"/>
    </row>
    <row r="763" spans="1:28" hidden="1">
      <c r="A763" s="566" t="s">
        <v>1335</v>
      </c>
      <c r="B763" s="566" t="s">
        <v>466</v>
      </c>
      <c r="C763" s="566" t="s">
        <v>471</v>
      </c>
      <c r="D763" s="566" t="s">
        <v>472</v>
      </c>
      <c r="E763" s="566" t="s">
        <v>473</v>
      </c>
      <c r="F763" s="566" t="s">
        <v>474</v>
      </c>
      <c r="G763" s="567">
        <v>0</v>
      </c>
      <c r="H763" s="566" t="s">
        <v>481</v>
      </c>
      <c r="I763" s="568">
        <v>2</v>
      </c>
      <c r="J763" s="569">
        <v>4</v>
      </c>
      <c r="K763" s="569">
        <v>4</v>
      </c>
      <c r="L763" s="566"/>
      <c r="M763" s="566" t="s">
        <v>476</v>
      </c>
      <c r="N763" s="570">
        <v>529</v>
      </c>
      <c r="O763" s="566"/>
      <c r="P763" s="566" t="s">
        <v>477</v>
      </c>
      <c r="Q763" s="568">
        <v>909678</v>
      </c>
      <c r="R763" s="568">
        <v>8</v>
      </c>
      <c r="S763" s="566" t="s">
        <v>1410</v>
      </c>
      <c r="T763" s="586" t="s">
        <v>1442</v>
      </c>
      <c r="U763" s="586" t="s">
        <v>468</v>
      </c>
      <c r="V763" s="586" t="s">
        <v>517</v>
      </c>
      <c r="W763" s="587" t="s">
        <v>480</v>
      </c>
      <c r="X763" s="586" t="s">
        <v>1380</v>
      </c>
      <c r="Y763" s="586" t="s">
        <v>1338</v>
      </c>
      <c r="Z763" s="587" t="s">
        <v>1897</v>
      </c>
      <c r="AA763" s="588">
        <v>529</v>
      </c>
      <c r="AB763" s="586"/>
    </row>
    <row r="764" spans="1:28" hidden="1">
      <c r="A764" s="566" t="s">
        <v>1335</v>
      </c>
      <c r="B764" s="566" t="s">
        <v>466</v>
      </c>
      <c r="C764" s="566" t="s">
        <v>487</v>
      </c>
      <c r="D764" s="566" t="s">
        <v>472</v>
      </c>
      <c r="E764" s="566" t="s">
        <v>473</v>
      </c>
      <c r="F764" s="566" t="s">
        <v>489</v>
      </c>
      <c r="G764" s="567">
        <v>50</v>
      </c>
      <c r="H764" s="566" t="s">
        <v>500</v>
      </c>
      <c r="I764" s="568">
        <v>2</v>
      </c>
      <c r="J764" s="569">
        <v>4</v>
      </c>
      <c r="K764" s="569">
        <v>4</v>
      </c>
      <c r="L764" s="566"/>
      <c r="M764" s="566" t="s">
        <v>476</v>
      </c>
      <c r="N764" s="570">
        <v>709</v>
      </c>
      <c r="O764" s="566"/>
      <c r="P764" s="566" t="s">
        <v>477</v>
      </c>
      <c r="Q764" s="568">
        <v>909678</v>
      </c>
      <c r="R764" s="568">
        <v>11</v>
      </c>
      <c r="S764" s="566" t="s">
        <v>1412</v>
      </c>
      <c r="T764" s="586" t="s">
        <v>1442</v>
      </c>
      <c r="U764" s="586" t="s">
        <v>468</v>
      </c>
      <c r="V764" s="586" t="s">
        <v>517</v>
      </c>
      <c r="W764" s="587" t="s">
        <v>499</v>
      </c>
      <c r="X764" s="586" t="s">
        <v>1380</v>
      </c>
      <c r="Y764" s="586" t="s">
        <v>1338</v>
      </c>
      <c r="Z764" s="587" t="s">
        <v>1898</v>
      </c>
      <c r="AA764" s="588">
        <v>709</v>
      </c>
      <c r="AB764" s="586"/>
    </row>
    <row r="765" spans="1:28" hidden="1">
      <c r="A765" s="566" t="s">
        <v>1335</v>
      </c>
      <c r="B765" s="566" t="s">
        <v>466</v>
      </c>
      <c r="C765" s="566" t="s">
        <v>487</v>
      </c>
      <c r="D765" s="566" t="s">
        <v>472</v>
      </c>
      <c r="E765" s="566" t="s">
        <v>473</v>
      </c>
      <c r="F765" s="566" t="s">
        <v>489</v>
      </c>
      <c r="G765" s="567">
        <v>50</v>
      </c>
      <c r="H765" s="566" t="s">
        <v>505</v>
      </c>
      <c r="I765" s="568">
        <v>2</v>
      </c>
      <c r="J765" s="569">
        <v>4</v>
      </c>
      <c r="K765" s="569">
        <v>4</v>
      </c>
      <c r="L765" s="566"/>
      <c r="M765" s="566" t="s">
        <v>476</v>
      </c>
      <c r="N765" s="570">
        <v>781</v>
      </c>
      <c r="O765" s="566"/>
      <c r="P765" s="566" t="s">
        <v>477</v>
      </c>
      <c r="Q765" s="568">
        <v>909678</v>
      </c>
      <c r="R765" s="568">
        <v>20</v>
      </c>
      <c r="S765" s="566" t="s">
        <v>1414</v>
      </c>
      <c r="T765" s="586" t="s">
        <v>1442</v>
      </c>
      <c r="U765" s="586" t="s">
        <v>468</v>
      </c>
      <c r="V765" s="586" t="s">
        <v>517</v>
      </c>
      <c r="W765" s="587" t="s">
        <v>504</v>
      </c>
      <c r="X765" s="586" t="s">
        <v>1380</v>
      </c>
      <c r="Y765" s="586" t="s">
        <v>1338</v>
      </c>
      <c r="Z765" s="587" t="s">
        <v>1899</v>
      </c>
      <c r="AA765" s="588">
        <v>781</v>
      </c>
      <c r="AB765" s="586"/>
    </row>
    <row r="766" spans="1:28" hidden="1">
      <c r="A766" s="566" t="s">
        <v>1335</v>
      </c>
      <c r="B766" s="566" t="s">
        <v>466</v>
      </c>
      <c r="C766" s="566" t="s">
        <v>471</v>
      </c>
      <c r="D766" s="566" t="s">
        <v>472</v>
      </c>
      <c r="E766" s="566" t="s">
        <v>473</v>
      </c>
      <c r="F766" s="566" t="s">
        <v>474</v>
      </c>
      <c r="G766" s="567">
        <v>0</v>
      </c>
      <c r="H766" s="566" t="s">
        <v>479</v>
      </c>
      <c r="I766" s="568">
        <v>2</v>
      </c>
      <c r="J766" s="569">
        <v>53</v>
      </c>
      <c r="K766" s="569">
        <v>53</v>
      </c>
      <c r="L766" s="566"/>
      <c r="M766" s="566" t="s">
        <v>476</v>
      </c>
      <c r="N766" s="570">
        <v>1034</v>
      </c>
      <c r="O766" s="566"/>
      <c r="P766" s="566" t="s">
        <v>477</v>
      </c>
      <c r="Q766" s="568">
        <v>909678</v>
      </c>
      <c r="R766" s="568">
        <v>25</v>
      </c>
      <c r="S766" s="566" t="s">
        <v>1336</v>
      </c>
      <c r="T766" s="586" t="s">
        <v>253</v>
      </c>
      <c r="U766" s="586" t="s">
        <v>468</v>
      </c>
      <c r="V766" s="586" t="s">
        <v>517</v>
      </c>
      <c r="W766" s="587" t="s">
        <v>1274</v>
      </c>
      <c r="X766" s="586" t="s">
        <v>1337</v>
      </c>
      <c r="Y766" s="586" t="s">
        <v>1338</v>
      </c>
      <c r="Z766" s="587" t="s">
        <v>1900</v>
      </c>
      <c r="AA766" s="588">
        <v>1034</v>
      </c>
      <c r="AB766" s="586"/>
    </row>
    <row r="767" spans="1:28" hidden="1">
      <c r="A767" s="566" t="s">
        <v>1335</v>
      </c>
      <c r="B767" s="566" t="s">
        <v>466</v>
      </c>
      <c r="C767" s="566" t="s">
        <v>471</v>
      </c>
      <c r="D767" s="566" t="s">
        <v>472</v>
      </c>
      <c r="E767" s="566" t="s">
        <v>473</v>
      </c>
      <c r="F767" s="566" t="s">
        <v>474</v>
      </c>
      <c r="G767" s="567">
        <v>0</v>
      </c>
      <c r="H767" s="566" t="s">
        <v>484</v>
      </c>
      <c r="I767" s="568">
        <v>2</v>
      </c>
      <c r="J767" s="569">
        <v>53</v>
      </c>
      <c r="K767" s="569">
        <v>53</v>
      </c>
      <c r="L767" s="566"/>
      <c r="M767" s="566" t="s">
        <v>476</v>
      </c>
      <c r="N767" s="570">
        <v>1070</v>
      </c>
      <c r="O767" s="566"/>
      <c r="P767" s="566" t="s">
        <v>477</v>
      </c>
      <c r="Q767" s="568">
        <v>909678</v>
      </c>
      <c r="R767" s="568">
        <v>26</v>
      </c>
      <c r="S767" s="566" t="s">
        <v>1340</v>
      </c>
      <c r="T767" s="586" t="s">
        <v>253</v>
      </c>
      <c r="U767" s="586" t="s">
        <v>468</v>
      </c>
      <c r="V767" s="586" t="s">
        <v>517</v>
      </c>
      <c r="W767" s="587" t="s">
        <v>1275</v>
      </c>
      <c r="X767" s="586" t="s">
        <v>1337</v>
      </c>
      <c r="Y767" s="586" t="s">
        <v>1338</v>
      </c>
      <c r="Z767" s="587" t="s">
        <v>1901</v>
      </c>
      <c r="AA767" s="588">
        <v>1070</v>
      </c>
      <c r="AB767" s="586"/>
    </row>
    <row r="768" spans="1:28" hidden="1">
      <c r="A768" s="566" t="s">
        <v>1335</v>
      </c>
      <c r="B768" s="566" t="s">
        <v>466</v>
      </c>
      <c r="C768" s="566" t="s">
        <v>487</v>
      </c>
      <c r="D768" s="566" t="s">
        <v>472</v>
      </c>
      <c r="E768" s="566" t="s">
        <v>473</v>
      </c>
      <c r="F768" s="566" t="s">
        <v>489</v>
      </c>
      <c r="G768" s="567">
        <v>50</v>
      </c>
      <c r="H768" s="566" t="s">
        <v>490</v>
      </c>
      <c r="I768" s="568">
        <v>2</v>
      </c>
      <c r="J768" s="569">
        <v>53</v>
      </c>
      <c r="K768" s="569">
        <v>53</v>
      </c>
      <c r="L768" s="566"/>
      <c r="M768" s="566" t="s">
        <v>476</v>
      </c>
      <c r="N768" s="570">
        <v>1106</v>
      </c>
      <c r="O768" s="566"/>
      <c r="P768" s="566" t="s">
        <v>477</v>
      </c>
      <c r="Q768" s="568">
        <v>909678</v>
      </c>
      <c r="R768" s="568">
        <v>28</v>
      </c>
      <c r="S768" s="566" t="s">
        <v>1342</v>
      </c>
      <c r="T768" s="586" t="s">
        <v>253</v>
      </c>
      <c r="U768" s="586" t="s">
        <v>468</v>
      </c>
      <c r="V768" s="586" t="s">
        <v>517</v>
      </c>
      <c r="W768" s="587" t="s">
        <v>485</v>
      </c>
      <c r="X768" s="586" t="s">
        <v>1337</v>
      </c>
      <c r="Y768" s="586" t="s">
        <v>1338</v>
      </c>
      <c r="Z768" s="587" t="s">
        <v>1902</v>
      </c>
      <c r="AA768" s="588">
        <v>1106</v>
      </c>
      <c r="AB768" s="586"/>
    </row>
    <row r="769" spans="1:28" hidden="1">
      <c r="A769" s="566" t="s">
        <v>1335</v>
      </c>
      <c r="B769" s="566" t="s">
        <v>466</v>
      </c>
      <c r="C769" s="566" t="s">
        <v>487</v>
      </c>
      <c r="D769" s="566" t="s">
        <v>472</v>
      </c>
      <c r="E769" s="566" t="s">
        <v>473</v>
      </c>
      <c r="F769" s="566" t="s">
        <v>489</v>
      </c>
      <c r="G769" s="567">
        <v>50</v>
      </c>
      <c r="H769" s="566" t="s">
        <v>494</v>
      </c>
      <c r="I769" s="568">
        <v>2</v>
      </c>
      <c r="J769" s="569">
        <v>53</v>
      </c>
      <c r="K769" s="569">
        <v>53</v>
      </c>
      <c r="L769" s="566"/>
      <c r="M769" s="566" t="s">
        <v>476</v>
      </c>
      <c r="N769" s="570">
        <v>1142</v>
      </c>
      <c r="O769" s="566"/>
      <c r="P769" s="566" t="s">
        <v>477</v>
      </c>
      <c r="Q769" s="568">
        <v>909678</v>
      </c>
      <c r="R769" s="568">
        <v>29</v>
      </c>
      <c r="S769" s="566" t="s">
        <v>1344</v>
      </c>
      <c r="T769" s="586" t="s">
        <v>253</v>
      </c>
      <c r="U769" s="586" t="s">
        <v>468</v>
      </c>
      <c r="V769" s="586" t="s">
        <v>517</v>
      </c>
      <c r="W769" s="587" t="s">
        <v>491</v>
      </c>
      <c r="X769" s="586" t="s">
        <v>1337</v>
      </c>
      <c r="Y769" s="586" t="s">
        <v>1338</v>
      </c>
      <c r="Z769" s="587" t="s">
        <v>1903</v>
      </c>
      <c r="AA769" s="588">
        <v>1142</v>
      </c>
      <c r="AB769" s="586"/>
    </row>
    <row r="770" spans="1:28" hidden="1">
      <c r="A770" s="566" t="s">
        <v>1335</v>
      </c>
      <c r="B770" s="566" t="s">
        <v>466</v>
      </c>
      <c r="C770" s="566" t="s">
        <v>487</v>
      </c>
      <c r="D770" s="566" t="s">
        <v>472</v>
      </c>
      <c r="E770" s="566" t="s">
        <v>473</v>
      </c>
      <c r="F770" s="566" t="s">
        <v>489</v>
      </c>
      <c r="G770" s="567">
        <v>50</v>
      </c>
      <c r="H770" s="566" t="s">
        <v>498</v>
      </c>
      <c r="I770" s="568">
        <v>2</v>
      </c>
      <c r="J770" s="569">
        <v>53</v>
      </c>
      <c r="K770" s="569">
        <v>53</v>
      </c>
      <c r="L770" s="566"/>
      <c r="M770" s="566" t="s">
        <v>476</v>
      </c>
      <c r="N770" s="570">
        <v>1178</v>
      </c>
      <c r="O770" s="566"/>
      <c r="P770" s="566" t="s">
        <v>477</v>
      </c>
      <c r="Q770" s="568">
        <v>909678</v>
      </c>
      <c r="R770" s="568">
        <v>30</v>
      </c>
      <c r="S770" s="566" t="s">
        <v>1346</v>
      </c>
      <c r="T770" s="586" t="s">
        <v>253</v>
      </c>
      <c r="U770" s="586" t="s">
        <v>468</v>
      </c>
      <c r="V770" s="586" t="s">
        <v>517</v>
      </c>
      <c r="W770" s="587" t="s">
        <v>495</v>
      </c>
      <c r="X770" s="586" t="s">
        <v>1337</v>
      </c>
      <c r="Y770" s="586" t="s">
        <v>1338</v>
      </c>
      <c r="Z770" s="587" t="s">
        <v>1904</v>
      </c>
      <c r="AA770" s="588">
        <v>1178</v>
      </c>
      <c r="AB770" s="586"/>
    </row>
    <row r="771" spans="1:28" hidden="1">
      <c r="A771" s="566" t="s">
        <v>1335</v>
      </c>
      <c r="B771" s="566" t="s">
        <v>466</v>
      </c>
      <c r="C771" s="566" t="s">
        <v>487</v>
      </c>
      <c r="D771" s="566" t="s">
        <v>472</v>
      </c>
      <c r="E771" s="566" t="s">
        <v>473</v>
      </c>
      <c r="F771" s="566" t="s">
        <v>489</v>
      </c>
      <c r="G771" s="567">
        <v>50</v>
      </c>
      <c r="H771" s="566" t="s">
        <v>503</v>
      </c>
      <c r="I771" s="568">
        <v>2</v>
      </c>
      <c r="J771" s="569">
        <v>53</v>
      </c>
      <c r="K771" s="569">
        <v>53</v>
      </c>
      <c r="L771" s="566"/>
      <c r="M771" s="566" t="s">
        <v>476</v>
      </c>
      <c r="N771" s="570">
        <v>1214</v>
      </c>
      <c r="O771" s="566"/>
      <c r="P771" s="566" t="s">
        <v>477</v>
      </c>
      <c r="Q771" s="568">
        <v>909678</v>
      </c>
      <c r="R771" s="568">
        <v>31</v>
      </c>
      <c r="S771" s="566" t="s">
        <v>1348</v>
      </c>
      <c r="T771" s="586" t="s">
        <v>253</v>
      </c>
      <c r="U771" s="586" t="s">
        <v>468</v>
      </c>
      <c r="V771" s="586" t="s">
        <v>517</v>
      </c>
      <c r="W771" s="587" t="s">
        <v>1276</v>
      </c>
      <c r="X771" s="586" t="s">
        <v>1337</v>
      </c>
      <c r="Y771" s="586" t="s">
        <v>1338</v>
      </c>
      <c r="Z771" s="587" t="s">
        <v>1905</v>
      </c>
      <c r="AA771" s="588">
        <v>1214</v>
      </c>
      <c r="AB771" s="586"/>
    </row>
    <row r="772" spans="1:28" hidden="1">
      <c r="A772" s="566" t="s">
        <v>1335</v>
      </c>
      <c r="B772" s="566" t="s">
        <v>466</v>
      </c>
      <c r="C772" s="566" t="s">
        <v>487</v>
      </c>
      <c r="D772" s="566" t="s">
        <v>472</v>
      </c>
      <c r="E772" s="566" t="s">
        <v>473</v>
      </c>
      <c r="F772" s="566" t="s">
        <v>489</v>
      </c>
      <c r="G772" s="567">
        <v>50</v>
      </c>
      <c r="H772" s="566" t="s">
        <v>508</v>
      </c>
      <c r="I772" s="568">
        <v>2</v>
      </c>
      <c r="J772" s="569">
        <v>53</v>
      </c>
      <c r="K772" s="569">
        <v>53</v>
      </c>
      <c r="L772" s="566"/>
      <c r="M772" s="566" t="s">
        <v>476</v>
      </c>
      <c r="N772" s="570">
        <v>1250</v>
      </c>
      <c r="O772" s="566"/>
      <c r="P772" s="566" t="s">
        <v>477</v>
      </c>
      <c r="Q772" s="568">
        <v>909678</v>
      </c>
      <c r="R772" s="568">
        <v>32</v>
      </c>
      <c r="S772" s="566" t="s">
        <v>1350</v>
      </c>
      <c r="T772" s="586" t="s">
        <v>253</v>
      </c>
      <c r="U772" s="586" t="s">
        <v>468</v>
      </c>
      <c r="V772" s="586" t="s">
        <v>517</v>
      </c>
      <c r="W772" s="587" t="s">
        <v>1277</v>
      </c>
      <c r="X772" s="586" t="s">
        <v>1337</v>
      </c>
      <c r="Y772" s="586" t="s">
        <v>1338</v>
      </c>
      <c r="Z772" s="587" t="s">
        <v>1906</v>
      </c>
      <c r="AA772" s="588">
        <v>1250</v>
      </c>
      <c r="AB772" s="586"/>
    </row>
    <row r="773" spans="1:28" hidden="1">
      <c r="A773" s="566" t="s">
        <v>1335</v>
      </c>
      <c r="B773" s="566" t="s">
        <v>466</v>
      </c>
      <c r="C773" s="566" t="s">
        <v>471</v>
      </c>
      <c r="D773" s="566" t="s">
        <v>472</v>
      </c>
      <c r="E773" s="566" t="s">
        <v>473</v>
      </c>
      <c r="F773" s="566" t="s">
        <v>474</v>
      </c>
      <c r="G773" s="567">
        <v>0</v>
      </c>
      <c r="H773" s="566" t="s">
        <v>1755</v>
      </c>
      <c r="I773" s="568">
        <v>2</v>
      </c>
      <c r="J773" s="569">
        <v>53</v>
      </c>
      <c r="K773" s="569">
        <v>53</v>
      </c>
      <c r="L773" s="566"/>
      <c r="M773" s="566" t="s">
        <v>476</v>
      </c>
      <c r="N773" s="570">
        <v>1286</v>
      </c>
      <c r="O773" s="566"/>
      <c r="P773" s="566" t="s">
        <v>477</v>
      </c>
      <c r="Q773" s="568">
        <v>909678</v>
      </c>
      <c r="R773" s="568">
        <v>27</v>
      </c>
      <c r="S773" s="566" t="s">
        <v>1353</v>
      </c>
      <c r="T773" s="586" t="s">
        <v>253</v>
      </c>
      <c r="U773" s="586" t="s">
        <v>468</v>
      </c>
      <c r="V773" s="586" t="s">
        <v>517</v>
      </c>
      <c r="W773" s="587" t="s">
        <v>1354</v>
      </c>
      <c r="X773" s="586" t="s">
        <v>1337</v>
      </c>
      <c r="Y773" s="586" t="s">
        <v>1338</v>
      </c>
      <c r="Z773" s="587" t="s">
        <v>1907</v>
      </c>
      <c r="AA773" s="588">
        <v>1286</v>
      </c>
      <c r="AB773" s="586"/>
    </row>
    <row r="774" spans="1:28" hidden="1">
      <c r="A774" s="566" t="s">
        <v>1335</v>
      </c>
      <c r="B774" s="566" t="s">
        <v>466</v>
      </c>
      <c r="C774" s="566" t="s">
        <v>487</v>
      </c>
      <c r="D774" s="566" t="s">
        <v>472</v>
      </c>
      <c r="E774" s="566" t="s">
        <v>473</v>
      </c>
      <c r="F774" s="566" t="s">
        <v>489</v>
      </c>
      <c r="G774" s="567">
        <v>50</v>
      </c>
      <c r="H774" s="566" t="s">
        <v>1757</v>
      </c>
      <c r="I774" s="568">
        <v>2</v>
      </c>
      <c r="J774" s="569">
        <v>53</v>
      </c>
      <c r="K774" s="569">
        <v>53</v>
      </c>
      <c r="L774" s="566"/>
      <c r="M774" s="566" t="s">
        <v>476</v>
      </c>
      <c r="N774" s="570">
        <v>1322</v>
      </c>
      <c r="O774" s="566"/>
      <c r="P774" s="566" t="s">
        <v>477</v>
      </c>
      <c r="Q774" s="568">
        <v>909678</v>
      </c>
      <c r="R774" s="568">
        <v>33</v>
      </c>
      <c r="S774" s="566" t="s">
        <v>1357</v>
      </c>
      <c r="T774" s="586" t="s">
        <v>253</v>
      </c>
      <c r="U774" s="586" t="s">
        <v>468</v>
      </c>
      <c r="V774" s="586" t="s">
        <v>517</v>
      </c>
      <c r="W774" s="587" t="s">
        <v>1358</v>
      </c>
      <c r="X774" s="586" t="s">
        <v>1337</v>
      </c>
      <c r="Y774" s="586" t="s">
        <v>1338</v>
      </c>
      <c r="Z774" s="587" t="s">
        <v>1908</v>
      </c>
      <c r="AA774" s="588">
        <v>1322</v>
      </c>
      <c r="AB774" s="586"/>
    </row>
    <row r="775" spans="1:28" hidden="1">
      <c r="A775" s="566" t="s">
        <v>1335</v>
      </c>
      <c r="B775" s="566" t="s">
        <v>466</v>
      </c>
      <c r="C775" s="566" t="s">
        <v>471</v>
      </c>
      <c r="D775" s="566" t="s">
        <v>472</v>
      </c>
      <c r="E775" s="566" t="s">
        <v>473</v>
      </c>
      <c r="F775" s="566" t="s">
        <v>474</v>
      </c>
      <c r="G775" s="567">
        <v>0</v>
      </c>
      <c r="H775" s="566" t="s">
        <v>511</v>
      </c>
      <c r="I775" s="568">
        <v>2</v>
      </c>
      <c r="J775" s="569">
        <v>53</v>
      </c>
      <c r="K775" s="569">
        <v>53</v>
      </c>
      <c r="L775" s="566"/>
      <c r="M775" s="566" t="s">
        <v>476</v>
      </c>
      <c r="N775" s="570">
        <v>926</v>
      </c>
      <c r="O775" s="566"/>
      <c r="P775" s="566" t="s">
        <v>477</v>
      </c>
      <c r="Q775" s="568">
        <v>909678</v>
      </c>
      <c r="R775" s="568">
        <v>22</v>
      </c>
      <c r="S775" s="566" t="s">
        <v>1360</v>
      </c>
      <c r="T775" s="586" t="s">
        <v>253</v>
      </c>
      <c r="U775" s="586" t="s">
        <v>468</v>
      </c>
      <c r="V775" s="586" t="s">
        <v>517</v>
      </c>
      <c r="W775" s="587" t="s">
        <v>509</v>
      </c>
      <c r="X775" s="586" t="s">
        <v>1337</v>
      </c>
      <c r="Y775" s="586" t="s">
        <v>1338</v>
      </c>
      <c r="Z775" s="587" t="s">
        <v>1909</v>
      </c>
      <c r="AA775" s="588">
        <v>926</v>
      </c>
      <c r="AB775" s="586"/>
    </row>
    <row r="776" spans="1:28" hidden="1">
      <c r="A776" s="566" t="s">
        <v>1335</v>
      </c>
      <c r="B776" s="566" t="s">
        <v>466</v>
      </c>
      <c r="C776" s="566" t="s">
        <v>471</v>
      </c>
      <c r="D776" s="566" t="s">
        <v>472</v>
      </c>
      <c r="E776" s="566" t="s">
        <v>473</v>
      </c>
      <c r="F776" s="566" t="s">
        <v>474</v>
      </c>
      <c r="G776" s="567">
        <v>0</v>
      </c>
      <c r="H776" s="566" t="s">
        <v>213</v>
      </c>
      <c r="I776" s="568">
        <v>2</v>
      </c>
      <c r="J776" s="569">
        <v>53</v>
      </c>
      <c r="K776" s="569">
        <v>53</v>
      </c>
      <c r="L776" s="566"/>
      <c r="M776" s="566" t="s">
        <v>476</v>
      </c>
      <c r="N776" s="570">
        <v>962</v>
      </c>
      <c r="O776" s="566"/>
      <c r="P776" s="566" t="s">
        <v>477</v>
      </c>
      <c r="Q776" s="568">
        <v>909678</v>
      </c>
      <c r="R776" s="568">
        <v>23</v>
      </c>
      <c r="S776" s="566" t="s">
        <v>1362</v>
      </c>
      <c r="T776" s="586" t="s">
        <v>253</v>
      </c>
      <c r="U776" s="586" t="s">
        <v>468</v>
      </c>
      <c r="V776" s="586" t="s">
        <v>517</v>
      </c>
      <c r="W776" s="587" t="s">
        <v>512</v>
      </c>
      <c r="X776" s="586" t="s">
        <v>1337</v>
      </c>
      <c r="Y776" s="586" t="s">
        <v>1338</v>
      </c>
      <c r="Z776" s="587" t="s">
        <v>1910</v>
      </c>
      <c r="AA776" s="588">
        <v>962</v>
      </c>
      <c r="AB776" s="586"/>
    </row>
    <row r="777" spans="1:28" hidden="1">
      <c r="A777" s="566" t="s">
        <v>1335</v>
      </c>
      <c r="B777" s="566" t="s">
        <v>466</v>
      </c>
      <c r="C777" s="566" t="s">
        <v>471</v>
      </c>
      <c r="D777" s="566" t="s">
        <v>472</v>
      </c>
      <c r="E777" s="566" t="s">
        <v>473</v>
      </c>
      <c r="F777" s="566" t="s">
        <v>474</v>
      </c>
      <c r="G777" s="567">
        <v>0</v>
      </c>
      <c r="H777" s="566" t="s">
        <v>516</v>
      </c>
      <c r="I777" s="568">
        <v>2</v>
      </c>
      <c r="J777" s="569">
        <v>53</v>
      </c>
      <c r="K777" s="569">
        <v>53</v>
      </c>
      <c r="L777" s="566"/>
      <c r="M777" s="566" t="s">
        <v>476</v>
      </c>
      <c r="N777" s="570">
        <v>998</v>
      </c>
      <c r="O777" s="566"/>
      <c r="P777" s="566" t="s">
        <v>477</v>
      </c>
      <c r="Q777" s="568">
        <v>909678</v>
      </c>
      <c r="R777" s="568">
        <v>24</v>
      </c>
      <c r="S777" s="566" t="s">
        <v>1364</v>
      </c>
      <c r="T777" s="586" t="s">
        <v>253</v>
      </c>
      <c r="U777" s="586" t="s">
        <v>468</v>
      </c>
      <c r="V777" s="586" t="s">
        <v>517</v>
      </c>
      <c r="W777" s="587" t="s">
        <v>514</v>
      </c>
      <c r="X777" s="586" t="s">
        <v>1337</v>
      </c>
      <c r="Y777" s="586" t="s">
        <v>1338</v>
      </c>
      <c r="Z777" s="587" t="s">
        <v>1911</v>
      </c>
      <c r="AA777" s="588">
        <v>998</v>
      </c>
      <c r="AB777" s="586"/>
    </row>
    <row r="778" spans="1:28" hidden="1">
      <c r="A778" s="566" t="s">
        <v>1335</v>
      </c>
      <c r="B778" s="566" t="s">
        <v>466</v>
      </c>
      <c r="C778" s="566" t="s">
        <v>471</v>
      </c>
      <c r="D778" s="566" t="s">
        <v>472</v>
      </c>
      <c r="E778" s="566" t="s">
        <v>473</v>
      </c>
      <c r="F778" s="566" t="s">
        <v>474</v>
      </c>
      <c r="G778" s="567">
        <v>0</v>
      </c>
      <c r="H778" s="566" t="s">
        <v>479</v>
      </c>
      <c r="I778" s="568">
        <v>2</v>
      </c>
      <c r="J778" s="569">
        <v>77</v>
      </c>
      <c r="K778" s="569">
        <v>77</v>
      </c>
      <c r="L778" s="566"/>
      <c r="M778" s="566" t="s">
        <v>476</v>
      </c>
      <c r="N778" s="570">
        <v>1574</v>
      </c>
      <c r="O778" s="566"/>
      <c r="P778" s="566" t="s">
        <v>477</v>
      </c>
      <c r="Q778" s="568">
        <v>909678</v>
      </c>
      <c r="R778" s="568">
        <v>40</v>
      </c>
      <c r="S778" s="566" t="s">
        <v>1366</v>
      </c>
      <c r="T778" s="586" t="s">
        <v>253</v>
      </c>
      <c r="U778" s="586" t="s">
        <v>468</v>
      </c>
      <c r="V778" s="586" t="s">
        <v>517</v>
      </c>
      <c r="W778" s="587" t="s">
        <v>1274</v>
      </c>
      <c r="X778" s="586" t="s">
        <v>1337</v>
      </c>
      <c r="Y778" s="586" t="s">
        <v>1367</v>
      </c>
      <c r="Z778" s="587" t="s">
        <v>1912</v>
      </c>
      <c r="AA778" s="588">
        <v>1574</v>
      </c>
      <c r="AB778" s="586"/>
    </row>
    <row r="779" spans="1:28" hidden="1">
      <c r="A779" s="566" t="s">
        <v>1335</v>
      </c>
      <c r="B779" s="566" t="s">
        <v>466</v>
      </c>
      <c r="C779" s="566" t="s">
        <v>471</v>
      </c>
      <c r="D779" s="566" t="s">
        <v>472</v>
      </c>
      <c r="E779" s="566" t="s">
        <v>473</v>
      </c>
      <c r="F779" s="566" t="s">
        <v>474</v>
      </c>
      <c r="G779" s="567">
        <v>0</v>
      </c>
      <c r="H779" s="566" t="s">
        <v>484</v>
      </c>
      <c r="I779" s="568">
        <v>2</v>
      </c>
      <c r="J779" s="569">
        <v>77</v>
      </c>
      <c r="K779" s="569">
        <v>77</v>
      </c>
      <c r="L779" s="566"/>
      <c r="M779" s="566" t="s">
        <v>476</v>
      </c>
      <c r="N779" s="570">
        <v>1610</v>
      </c>
      <c r="O779" s="566"/>
      <c r="P779" s="566" t="s">
        <v>477</v>
      </c>
      <c r="Q779" s="568">
        <v>909678</v>
      </c>
      <c r="R779" s="568">
        <v>41</v>
      </c>
      <c r="S779" s="566" t="s">
        <v>1369</v>
      </c>
      <c r="T779" s="586" t="s">
        <v>253</v>
      </c>
      <c r="U779" s="586" t="s">
        <v>468</v>
      </c>
      <c r="V779" s="586" t="s">
        <v>517</v>
      </c>
      <c r="W779" s="587" t="s">
        <v>1275</v>
      </c>
      <c r="X779" s="586" t="s">
        <v>1337</v>
      </c>
      <c r="Y779" s="586" t="s">
        <v>1367</v>
      </c>
      <c r="Z779" s="587" t="s">
        <v>1913</v>
      </c>
      <c r="AA779" s="588">
        <v>1610</v>
      </c>
      <c r="AB779" s="586"/>
    </row>
    <row r="780" spans="1:28" hidden="1">
      <c r="A780" s="566" t="s">
        <v>1335</v>
      </c>
      <c r="B780" s="566" t="s">
        <v>466</v>
      </c>
      <c r="C780" s="566" t="s">
        <v>487</v>
      </c>
      <c r="D780" s="566" t="s">
        <v>472</v>
      </c>
      <c r="E780" s="566" t="s">
        <v>473</v>
      </c>
      <c r="F780" s="566" t="s">
        <v>489</v>
      </c>
      <c r="G780" s="567">
        <v>50</v>
      </c>
      <c r="H780" s="566" t="s">
        <v>503</v>
      </c>
      <c r="I780" s="568">
        <v>2</v>
      </c>
      <c r="J780" s="569">
        <v>77</v>
      </c>
      <c r="K780" s="569">
        <v>77</v>
      </c>
      <c r="L780" s="566"/>
      <c r="M780" s="566" t="s">
        <v>476</v>
      </c>
      <c r="N780" s="570">
        <v>1646</v>
      </c>
      <c r="O780" s="566"/>
      <c r="P780" s="566" t="s">
        <v>477</v>
      </c>
      <c r="Q780" s="568">
        <v>909678</v>
      </c>
      <c r="R780" s="568">
        <v>43</v>
      </c>
      <c r="S780" s="566" t="s">
        <v>1371</v>
      </c>
      <c r="T780" s="586" t="s">
        <v>253</v>
      </c>
      <c r="U780" s="586" t="s">
        <v>468</v>
      </c>
      <c r="V780" s="586" t="s">
        <v>517</v>
      </c>
      <c r="W780" s="587" t="s">
        <v>1276</v>
      </c>
      <c r="X780" s="586" t="s">
        <v>1337</v>
      </c>
      <c r="Y780" s="586" t="s">
        <v>1367</v>
      </c>
      <c r="Z780" s="587" t="s">
        <v>1914</v>
      </c>
      <c r="AA780" s="588">
        <v>1646</v>
      </c>
      <c r="AB780" s="586"/>
    </row>
    <row r="781" spans="1:28" hidden="1">
      <c r="A781" s="566" t="s">
        <v>1335</v>
      </c>
      <c r="B781" s="566" t="s">
        <v>466</v>
      </c>
      <c r="C781" s="566" t="s">
        <v>487</v>
      </c>
      <c r="D781" s="566" t="s">
        <v>472</v>
      </c>
      <c r="E781" s="566" t="s">
        <v>473</v>
      </c>
      <c r="F781" s="566" t="s">
        <v>489</v>
      </c>
      <c r="G781" s="567">
        <v>50</v>
      </c>
      <c r="H781" s="566" t="s">
        <v>508</v>
      </c>
      <c r="I781" s="568">
        <v>2</v>
      </c>
      <c r="J781" s="569">
        <v>77</v>
      </c>
      <c r="K781" s="569">
        <v>77</v>
      </c>
      <c r="L781" s="566"/>
      <c r="M781" s="566" t="s">
        <v>476</v>
      </c>
      <c r="N781" s="570">
        <v>1682</v>
      </c>
      <c r="O781" s="566"/>
      <c r="P781" s="566" t="s">
        <v>477</v>
      </c>
      <c r="Q781" s="568">
        <v>909678</v>
      </c>
      <c r="R781" s="568">
        <v>44</v>
      </c>
      <c r="S781" s="566" t="s">
        <v>1373</v>
      </c>
      <c r="T781" s="586" t="s">
        <v>253</v>
      </c>
      <c r="U781" s="586" t="s">
        <v>468</v>
      </c>
      <c r="V781" s="586" t="s">
        <v>517</v>
      </c>
      <c r="W781" s="587" t="s">
        <v>1277</v>
      </c>
      <c r="X781" s="586" t="s">
        <v>1337</v>
      </c>
      <c r="Y781" s="586" t="s">
        <v>1367</v>
      </c>
      <c r="Z781" s="587" t="s">
        <v>1915</v>
      </c>
      <c r="AA781" s="588">
        <v>1682</v>
      </c>
      <c r="AB781" s="586"/>
    </row>
    <row r="782" spans="1:28" hidden="1">
      <c r="A782" s="566" t="s">
        <v>1335</v>
      </c>
      <c r="B782" s="566" t="s">
        <v>466</v>
      </c>
      <c r="C782" s="566" t="s">
        <v>471</v>
      </c>
      <c r="D782" s="566" t="s">
        <v>472</v>
      </c>
      <c r="E782" s="566" t="s">
        <v>473</v>
      </c>
      <c r="F782" s="566" t="s">
        <v>474</v>
      </c>
      <c r="G782" s="567">
        <v>0</v>
      </c>
      <c r="H782" s="566" t="s">
        <v>1755</v>
      </c>
      <c r="I782" s="568">
        <v>2</v>
      </c>
      <c r="J782" s="569">
        <v>77</v>
      </c>
      <c r="K782" s="569">
        <v>77</v>
      </c>
      <c r="L782" s="566"/>
      <c r="M782" s="566" t="s">
        <v>476</v>
      </c>
      <c r="N782" s="570">
        <v>1718</v>
      </c>
      <c r="O782" s="566"/>
      <c r="P782" s="566" t="s">
        <v>477</v>
      </c>
      <c r="Q782" s="568">
        <v>909678</v>
      </c>
      <c r="R782" s="568">
        <v>42</v>
      </c>
      <c r="S782" s="566" t="s">
        <v>1375</v>
      </c>
      <c r="T782" s="586" t="s">
        <v>253</v>
      </c>
      <c r="U782" s="586" t="s">
        <v>468</v>
      </c>
      <c r="V782" s="586" t="s">
        <v>517</v>
      </c>
      <c r="W782" s="587" t="s">
        <v>1354</v>
      </c>
      <c r="X782" s="586" t="s">
        <v>1337</v>
      </c>
      <c r="Y782" s="586" t="s">
        <v>1367</v>
      </c>
      <c r="Z782" s="587" t="s">
        <v>1916</v>
      </c>
      <c r="AA782" s="588">
        <v>1718</v>
      </c>
      <c r="AB782" s="586"/>
    </row>
    <row r="783" spans="1:28" hidden="1">
      <c r="A783" s="566" t="s">
        <v>1335</v>
      </c>
      <c r="B783" s="566" t="s">
        <v>466</v>
      </c>
      <c r="C783" s="566" t="s">
        <v>487</v>
      </c>
      <c r="D783" s="566" t="s">
        <v>472</v>
      </c>
      <c r="E783" s="566" t="s">
        <v>473</v>
      </c>
      <c r="F783" s="566" t="s">
        <v>489</v>
      </c>
      <c r="G783" s="567">
        <v>50</v>
      </c>
      <c r="H783" s="566" t="s">
        <v>1757</v>
      </c>
      <c r="I783" s="568">
        <v>2</v>
      </c>
      <c r="J783" s="569">
        <v>77</v>
      </c>
      <c r="K783" s="569">
        <v>77</v>
      </c>
      <c r="L783" s="566"/>
      <c r="M783" s="566" t="s">
        <v>476</v>
      </c>
      <c r="N783" s="570">
        <v>1754</v>
      </c>
      <c r="O783" s="566"/>
      <c r="P783" s="566" t="s">
        <v>477</v>
      </c>
      <c r="Q783" s="568">
        <v>909678</v>
      </c>
      <c r="R783" s="568">
        <v>45</v>
      </c>
      <c r="S783" s="566" t="s">
        <v>1377</v>
      </c>
      <c r="T783" s="586" t="s">
        <v>253</v>
      </c>
      <c r="U783" s="586" t="s">
        <v>468</v>
      </c>
      <c r="V783" s="586" t="s">
        <v>517</v>
      </c>
      <c r="W783" s="587" t="s">
        <v>1358</v>
      </c>
      <c r="X783" s="586" t="s">
        <v>1337</v>
      </c>
      <c r="Y783" s="586" t="s">
        <v>1367</v>
      </c>
      <c r="Z783" s="587" t="s">
        <v>1917</v>
      </c>
      <c r="AA783" s="588">
        <v>1754</v>
      </c>
      <c r="AB783" s="586"/>
    </row>
    <row r="784" spans="1:28" hidden="1">
      <c r="A784" s="566" t="s">
        <v>1335</v>
      </c>
      <c r="B784" s="566" t="s">
        <v>466</v>
      </c>
      <c r="C784" s="566" t="s">
        <v>471</v>
      </c>
      <c r="D784" s="566" t="s">
        <v>472</v>
      </c>
      <c r="E784" s="566" t="s">
        <v>473</v>
      </c>
      <c r="F784" s="566" t="s">
        <v>474</v>
      </c>
      <c r="G784" s="567">
        <v>0</v>
      </c>
      <c r="H784" s="566" t="s">
        <v>479</v>
      </c>
      <c r="I784" s="568">
        <v>2</v>
      </c>
      <c r="J784" s="569">
        <v>5</v>
      </c>
      <c r="K784" s="569">
        <v>5</v>
      </c>
      <c r="L784" s="566"/>
      <c r="M784" s="566" t="s">
        <v>476</v>
      </c>
      <c r="N784" s="570">
        <v>494</v>
      </c>
      <c r="O784" s="566"/>
      <c r="P784" s="566" t="s">
        <v>477</v>
      </c>
      <c r="Q784" s="568">
        <v>909678</v>
      </c>
      <c r="R784" s="568">
        <v>10</v>
      </c>
      <c r="S784" s="566" t="s">
        <v>1382</v>
      </c>
      <c r="T784" s="586" t="s">
        <v>253</v>
      </c>
      <c r="U784" s="586" t="s">
        <v>468</v>
      </c>
      <c r="V784" s="586" t="s">
        <v>517</v>
      </c>
      <c r="W784" s="587" t="s">
        <v>1274</v>
      </c>
      <c r="X784" s="586" t="s">
        <v>1380</v>
      </c>
      <c r="Y784" s="586" t="s">
        <v>1338</v>
      </c>
      <c r="Z784" s="587" t="s">
        <v>1021</v>
      </c>
      <c r="AA784" s="588">
        <v>494</v>
      </c>
      <c r="AB784" s="586"/>
    </row>
    <row r="785" spans="1:28" hidden="1">
      <c r="A785" s="566" t="s">
        <v>1335</v>
      </c>
      <c r="B785" s="566" t="s">
        <v>466</v>
      </c>
      <c r="C785" s="566" t="s">
        <v>471</v>
      </c>
      <c r="D785" s="566" t="s">
        <v>472</v>
      </c>
      <c r="E785" s="566" t="s">
        <v>473</v>
      </c>
      <c r="F785" s="566" t="s">
        <v>474</v>
      </c>
      <c r="G785" s="567">
        <v>0</v>
      </c>
      <c r="H785" s="566" t="s">
        <v>484</v>
      </c>
      <c r="I785" s="568">
        <v>2</v>
      </c>
      <c r="J785" s="569">
        <v>5</v>
      </c>
      <c r="K785" s="569">
        <v>5</v>
      </c>
      <c r="L785" s="566"/>
      <c r="M785" s="566" t="s">
        <v>476</v>
      </c>
      <c r="N785" s="570">
        <v>566</v>
      </c>
      <c r="O785" s="566"/>
      <c r="P785" s="566" t="s">
        <v>477</v>
      </c>
      <c r="Q785" s="568">
        <v>909678</v>
      </c>
      <c r="R785" s="568">
        <v>15</v>
      </c>
      <c r="S785" s="566" t="s">
        <v>483</v>
      </c>
      <c r="T785" s="586" t="s">
        <v>253</v>
      </c>
      <c r="U785" s="586" t="s">
        <v>468</v>
      </c>
      <c r="V785" s="586" t="s">
        <v>517</v>
      </c>
      <c r="W785" s="587" t="s">
        <v>1275</v>
      </c>
      <c r="X785" s="586" t="s">
        <v>1380</v>
      </c>
      <c r="Y785" s="586" t="s">
        <v>1338</v>
      </c>
      <c r="Z785" s="587" t="s">
        <v>1022</v>
      </c>
      <c r="AA785" s="588">
        <v>566</v>
      </c>
      <c r="AB785" s="586"/>
    </row>
    <row r="786" spans="1:28" hidden="1">
      <c r="A786" s="566" t="s">
        <v>1335</v>
      </c>
      <c r="B786" s="566" t="s">
        <v>466</v>
      </c>
      <c r="C786" s="566" t="s">
        <v>487</v>
      </c>
      <c r="D786" s="566" t="s">
        <v>472</v>
      </c>
      <c r="E786" s="566" t="s">
        <v>473</v>
      </c>
      <c r="F786" s="566" t="s">
        <v>489</v>
      </c>
      <c r="G786" s="567">
        <v>50</v>
      </c>
      <c r="H786" s="566" t="s">
        <v>490</v>
      </c>
      <c r="I786" s="568">
        <v>2</v>
      </c>
      <c r="J786" s="569">
        <v>5</v>
      </c>
      <c r="K786" s="569">
        <v>5</v>
      </c>
      <c r="L786" s="566"/>
      <c r="M786" s="566" t="s">
        <v>476</v>
      </c>
      <c r="N786" s="570">
        <v>602</v>
      </c>
      <c r="O786" s="566"/>
      <c r="P786" s="566" t="s">
        <v>477</v>
      </c>
      <c r="Q786" s="568">
        <v>909678</v>
      </c>
      <c r="R786" s="568">
        <v>16</v>
      </c>
      <c r="S786" s="566" t="s">
        <v>488</v>
      </c>
      <c r="T786" s="586" t="s">
        <v>253</v>
      </c>
      <c r="U786" s="586" t="s">
        <v>468</v>
      </c>
      <c r="V786" s="586" t="s">
        <v>517</v>
      </c>
      <c r="W786" s="587" t="s">
        <v>485</v>
      </c>
      <c r="X786" s="586" t="s">
        <v>1380</v>
      </c>
      <c r="Y786" s="586" t="s">
        <v>1338</v>
      </c>
      <c r="Z786" s="587" t="s">
        <v>1023</v>
      </c>
      <c r="AA786" s="588">
        <v>602</v>
      </c>
      <c r="AB786" s="586"/>
    </row>
    <row r="787" spans="1:28" hidden="1">
      <c r="A787" s="566" t="s">
        <v>1335</v>
      </c>
      <c r="B787" s="566" t="s">
        <v>466</v>
      </c>
      <c r="C787" s="566" t="s">
        <v>487</v>
      </c>
      <c r="D787" s="566" t="s">
        <v>472</v>
      </c>
      <c r="E787" s="566" t="s">
        <v>473</v>
      </c>
      <c r="F787" s="566" t="s">
        <v>489</v>
      </c>
      <c r="G787" s="567">
        <v>50</v>
      </c>
      <c r="H787" s="566" t="s">
        <v>494</v>
      </c>
      <c r="I787" s="568">
        <v>2</v>
      </c>
      <c r="J787" s="569">
        <v>5</v>
      </c>
      <c r="K787" s="569">
        <v>5</v>
      </c>
      <c r="L787" s="566"/>
      <c r="M787" s="566" t="s">
        <v>476</v>
      </c>
      <c r="N787" s="570">
        <v>638</v>
      </c>
      <c r="O787" s="566"/>
      <c r="P787" s="566" t="s">
        <v>477</v>
      </c>
      <c r="Q787" s="568">
        <v>909678</v>
      </c>
      <c r="R787" s="568">
        <v>17</v>
      </c>
      <c r="S787" s="566" t="s">
        <v>493</v>
      </c>
      <c r="T787" s="586" t="s">
        <v>253</v>
      </c>
      <c r="U787" s="586" t="s">
        <v>468</v>
      </c>
      <c r="V787" s="586" t="s">
        <v>517</v>
      </c>
      <c r="W787" s="587" t="s">
        <v>491</v>
      </c>
      <c r="X787" s="586" t="s">
        <v>1380</v>
      </c>
      <c r="Y787" s="586" t="s">
        <v>1338</v>
      </c>
      <c r="Z787" s="587" t="s">
        <v>1024</v>
      </c>
      <c r="AA787" s="588">
        <v>638</v>
      </c>
      <c r="AB787" s="586"/>
    </row>
    <row r="788" spans="1:28" hidden="1">
      <c r="A788" s="566" t="s">
        <v>1335</v>
      </c>
      <c r="B788" s="566" t="s">
        <v>466</v>
      </c>
      <c r="C788" s="566" t="s">
        <v>487</v>
      </c>
      <c r="D788" s="566" t="s">
        <v>472</v>
      </c>
      <c r="E788" s="566" t="s">
        <v>473</v>
      </c>
      <c r="F788" s="566" t="s">
        <v>489</v>
      </c>
      <c r="G788" s="567">
        <v>50</v>
      </c>
      <c r="H788" s="566" t="s">
        <v>498</v>
      </c>
      <c r="I788" s="568">
        <v>2</v>
      </c>
      <c r="J788" s="569">
        <v>5</v>
      </c>
      <c r="K788" s="569">
        <v>5</v>
      </c>
      <c r="L788" s="566"/>
      <c r="M788" s="566" t="s">
        <v>476</v>
      </c>
      <c r="N788" s="570">
        <v>674</v>
      </c>
      <c r="O788" s="566"/>
      <c r="P788" s="566" t="s">
        <v>477</v>
      </c>
      <c r="Q788" s="568">
        <v>909678</v>
      </c>
      <c r="R788" s="568">
        <v>18</v>
      </c>
      <c r="S788" s="566" t="s">
        <v>497</v>
      </c>
      <c r="T788" s="586" t="s">
        <v>253</v>
      </c>
      <c r="U788" s="586" t="s">
        <v>468</v>
      </c>
      <c r="V788" s="586" t="s">
        <v>517</v>
      </c>
      <c r="W788" s="587" t="s">
        <v>495</v>
      </c>
      <c r="X788" s="586" t="s">
        <v>1380</v>
      </c>
      <c r="Y788" s="586" t="s">
        <v>1338</v>
      </c>
      <c r="Z788" s="587" t="s">
        <v>1025</v>
      </c>
      <c r="AA788" s="588">
        <v>674</v>
      </c>
      <c r="AB788" s="586"/>
    </row>
    <row r="789" spans="1:28" hidden="1">
      <c r="A789" s="566" t="s">
        <v>1335</v>
      </c>
      <c r="B789" s="566" t="s">
        <v>466</v>
      </c>
      <c r="C789" s="566" t="s">
        <v>487</v>
      </c>
      <c r="D789" s="566" t="s">
        <v>472</v>
      </c>
      <c r="E789" s="566" t="s">
        <v>473</v>
      </c>
      <c r="F789" s="566" t="s">
        <v>489</v>
      </c>
      <c r="G789" s="567">
        <v>50</v>
      </c>
      <c r="H789" s="566" t="s">
        <v>503</v>
      </c>
      <c r="I789" s="568">
        <v>2</v>
      </c>
      <c r="J789" s="569">
        <v>5</v>
      </c>
      <c r="K789" s="569">
        <v>5</v>
      </c>
      <c r="L789" s="566"/>
      <c r="M789" s="566" t="s">
        <v>476</v>
      </c>
      <c r="N789" s="570">
        <v>746</v>
      </c>
      <c r="O789" s="566"/>
      <c r="P789" s="566" t="s">
        <v>477</v>
      </c>
      <c r="Q789" s="568">
        <v>909678</v>
      </c>
      <c r="R789" s="568">
        <v>19</v>
      </c>
      <c r="S789" s="566" t="s">
        <v>502</v>
      </c>
      <c r="T789" s="586" t="s">
        <v>253</v>
      </c>
      <c r="U789" s="586" t="s">
        <v>468</v>
      </c>
      <c r="V789" s="586" t="s">
        <v>517</v>
      </c>
      <c r="W789" s="587" t="s">
        <v>1276</v>
      </c>
      <c r="X789" s="586" t="s">
        <v>1380</v>
      </c>
      <c r="Y789" s="586" t="s">
        <v>1338</v>
      </c>
      <c r="Z789" s="587" t="s">
        <v>1026</v>
      </c>
      <c r="AA789" s="588">
        <v>746</v>
      </c>
      <c r="AB789" s="586"/>
    </row>
    <row r="790" spans="1:28" hidden="1">
      <c r="A790" s="566" t="s">
        <v>1335</v>
      </c>
      <c r="B790" s="566" t="s">
        <v>466</v>
      </c>
      <c r="C790" s="566" t="s">
        <v>487</v>
      </c>
      <c r="D790" s="566" t="s">
        <v>472</v>
      </c>
      <c r="E790" s="566" t="s">
        <v>473</v>
      </c>
      <c r="F790" s="566" t="s">
        <v>489</v>
      </c>
      <c r="G790" s="567">
        <v>50</v>
      </c>
      <c r="H790" s="566" t="s">
        <v>508</v>
      </c>
      <c r="I790" s="568">
        <v>2</v>
      </c>
      <c r="J790" s="569">
        <v>5</v>
      </c>
      <c r="K790" s="569">
        <v>5</v>
      </c>
      <c r="L790" s="566"/>
      <c r="M790" s="566" t="s">
        <v>476</v>
      </c>
      <c r="N790" s="570">
        <v>818</v>
      </c>
      <c r="O790" s="566"/>
      <c r="P790" s="566" t="s">
        <v>477</v>
      </c>
      <c r="Q790" s="568">
        <v>909678</v>
      </c>
      <c r="R790" s="568">
        <v>21</v>
      </c>
      <c r="S790" s="566" t="s">
        <v>507</v>
      </c>
      <c r="T790" s="586" t="s">
        <v>253</v>
      </c>
      <c r="U790" s="586" t="s">
        <v>468</v>
      </c>
      <c r="V790" s="586" t="s">
        <v>517</v>
      </c>
      <c r="W790" s="587" t="s">
        <v>1277</v>
      </c>
      <c r="X790" s="586" t="s">
        <v>1380</v>
      </c>
      <c r="Y790" s="586" t="s">
        <v>1338</v>
      </c>
      <c r="Z790" s="587" t="s">
        <v>1027</v>
      </c>
      <c r="AA790" s="588">
        <v>818</v>
      </c>
      <c r="AB790" s="586"/>
    </row>
    <row r="791" spans="1:28" hidden="1">
      <c r="A791" s="566" t="s">
        <v>1335</v>
      </c>
      <c r="B791" s="566" t="s">
        <v>466</v>
      </c>
      <c r="C791" s="566" t="s">
        <v>471</v>
      </c>
      <c r="D791" s="566" t="s">
        <v>472</v>
      </c>
      <c r="E791" s="566" t="s">
        <v>473</v>
      </c>
      <c r="F791" s="566" t="s">
        <v>474</v>
      </c>
      <c r="G791" s="567">
        <v>0</v>
      </c>
      <c r="H791" s="566" t="s">
        <v>1755</v>
      </c>
      <c r="I791" s="568">
        <v>2</v>
      </c>
      <c r="J791" s="569">
        <v>5</v>
      </c>
      <c r="K791" s="569">
        <v>5</v>
      </c>
      <c r="L791" s="566"/>
      <c r="M791" s="566" t="s">
        <v>476</v>
      </c>
      <c r="N791" s="570">
        <v>854</v>
      </c>
      <c r="O791" s="566"/>
      <c r="P791" s="566" t="s">
        <v>477</v>
      </c>
      <c r="Q791" s="568">
        <v>909678</v>
      </c>
      <c r="R791" s="568">
        <v>46</v>
      </c>
      <c r="S791" s="566" t="s">
        <v>1383</v>
      </c>
      <c r="T791" s="586" t="s">
        <v>253</v>
      </c>
      <c r="U791" s="586" t="s">
        <v>468</v>
      </c>
      <c r="V791" s="586" t="s">
        <v>517</v>
      </c>
      <c r="W791" s="587" t="s">
        <v>1354</v>
      </c>
      <c r="X791" s="586" t="s">
        <v>1380</v>
      </c>
      <c r="Y791" s="586" t="s">
        <v>1338</v>
      </c>
      <c r="Z791" s="587" t="s">
        <v>1918</v>
      </c>
      <c r="AA791" s="588">
        <v>854</v>
      </c>
      <c r="AB791" s="586"/>
    </row>
    <row r="792" spans="1:28" hidden="1">
      <c r="A792" s="566" t="s">
        <v>1335</v>
      </c>
      <c r="B792" s="566" t="s">
        <v>466</v>
      </c>
      <c r="C792" s="566" t="s">
        <v>487</v>
      </c>
      <c r="D792" s="566" t="s">
        <v>472</v>
      </c>
      <c r="E792" s="566" t="s">
        <v>473</v>
      </c>
      <c r="F792" s="566" t="s">
        <v>489</v>
      </c>
      <c r="G792" s="567">
        <v>50</v>
      </c>
      <c r="H792" s="566" t="s">
        <v>1757</v>
      </c>
      <c r="I792" s="568">
        <v>2</v>
      </c>
      <c r="J792" s="569">
        <v>5</v>
      </c>
      <c r="K792" s="569">
        <v>5</v>
      </c>
      <c r="L792" s="566"/>
      <c r="M792" s="566" t="s">
        <v>476</v>
      </c>
      <c r="N792" s="570">
        <v>890</v>
      </c>
      <c r="O792" s="566"/>
      <c r="P792" s="566" t="s">
        <v>477</v>
      </c>
      <c r="Q792" s="568">
        <v>909678</v>
      </c>
      <c r="R792" s="568">
        <v>47</v>
      </c>
      <c r="S792" s="566" t="s">
        <v>1385</v>
      </c>
      <c r="T792" s="586" t="s">
        <v>253</v>
      </c>
      <c r="U792" s="586" t="s">
        <v>468</v>
      </c>
      <c r="V792" s="586" t="s">
        <v>517</v>
      </c>
      <c r="W792" s="587" t="s">
        <v>1358</v>
      </c>
      <c r="X792" s="586" t="s">
        <v>1380</v>
      </c>
      <c r="Y792" s="586" t="s">
        <v>1338</v>
      </c>
      <c r="Z792" s="587" t="s">
        <v>1919</v>
      </c>
      <c r="AA792" s="588">
        <v>890</v>
      </c>
      <c r="AB792" s="586"/>
    </row>
    <row r="793" spans="1:28" hidden="1">
      <c r="A793" s="566" t="s">
        <v>1335</v>
      </c>
      <c r="B793" s="566" t="s">
        <v>466</v>
      </c>
      <c r="C793" s="566" t="s">
        <v>471</v>
      </c>
      <c r="D793" s="566" t="s">
        <v>472</v>
      </c>
      <c r="E793" s="566" t="s">
        <v>473</v>
      </c>
      <c r="F793" s="566" t="s">
        <v>474</v>
      </c>
      <c r="G793" s="567">
        <v>0</v>
      </c>
      <c r="H793" s="566" t="s">
        <v>511</v>
      </c>
      <c r="I793" s="568">
        <v>2</v>
      </c>
      <c r="J793" s="569">
        <v>5</v>
      </c>
      <c r="K793" s="569">
        <v>5</v>
      </c>
      <c r="L793" s="566"/>
      <c r="M793" s="566" t="s">
        <v>476</v>
      </c>
      <c r="N793" s="570">
        <v>350</v>
      </c>
      <c r="O793" s="566"/>
      <c r="P793" s="566" t="s">
        <v>477</v>
      </c>
      <c r="Q793" s="568">
        <v>909678</v>
      </c>
      <c r="R793" s="568">
        <v>5</v>
      </c>
      <c r="S793" s="566" t="s">
        <v>1392</v>
      </c>
      <c r="T793" s="586" t="s">
        <v>253</v>
      </c>
      <c r="U793" s="586" t="s">
        <v>468</v>
      </c>
      <c r="V793" s="586" t="s">
        <v>517</v>
      </c>
      <c r="W793" s="587" t="s">
        <v>509</v>
      </c>
      <c r="X793" s="586" t="s">
        <v>1380</v>
      </c>
      <c r="Y793" s="586" t="s">
        <v>1338</v>
      </c>
      <c r="Z793" s="587" t="s">
        <v>1028</v>
      </c>
      <c r="AA793" s="588">
        <v>350</v>
      </c>
      <c r="AB793" s="586"/>
    </row>
    <row r="794" spans="1:28" hidden="1">
      <c r="A794" s="566" t="s">
        <v>1335</v>
      </c>
      <c r="B794" s="566" t="s">
        <v>466</v>
      </c>
      <c r="C794" s="566" t="s">
        <v>471</v>
      </c>
      <c r="D794" s="566" t="s">
        <v>472</v>
      </c>
      <c r="E794" s="566" t="s">
        <v>473</v>
      </c>
      <c r="F794" s="566" t="s">
        <v>474</v>
      </c>
      <c r="G794" s="567">
        <v>0</v>
      </c>
      <c r="H794" s="566" t="s">
        <v>213</v>
      </c>
      <c r="I794" s="568">
        <v>2</v>
      </c>
      <c r="J794" s="569">
        <v>5</v>
      </c>
      <c r="K794" s="569">
        <v>5</v>
      </c>
      <c r="L794" s="566"/>
      <c r="M794" s="566" t="s">
        <v>476</v>
      </c>
      <c r="N794" s="570">
        <v>386</v>
      </c>
      <c r="O794" s="566"/>
      <c r="P794" s="566" t="s">
        <v>477</v>
      </c>
      <c r="Q794" s="568">
        <v>909678</v>
      </c>
      <c r="R794" s="568">
        <v>6</v>
      </c>
      <c r="S794" s="566" t="s">
        <v>1393</v>
      </c>
      <c r="T794" s="586" t="s">
        <v>253</v>
      </c>
      <c r="U794" s="586" t="s">
        <v>468</v>
      </c>
      <c r="V794" s="586" t="s">
        <v>517</v>
      </c>
      <c r="W794" s="587" t="s">
        <v>512</v>
      </c>
      <c r="X794" s="586" t="s">
        <v>1380</v>
      </c>
      <c r="Y794" s="586" t="s">
        <v>1338</v>
      </c>
      <c r="Z794" s="587" t="s">
        <v>1029</v>
      </c>
      <c r="AA794" s="588">
        <v>386</v>
      </c>
      <c r="AB794" s="586"/>
    </row>
    <row r="795" spans="1:28" hidden="1">
      <c r="A795" s="566" t="s">
        <v>1335</v>
      </c>
      <c r="B795" s="566" t="s">
        <v>466</v>
      </c>
      <c r="C795" s="566" t="s">
        <v>471</v>
      </c>
      <c r="D795" s="566" t="s">
        <v>472</v>
      </c>
      <c r="E795" s="566" t="s">
        <v>473</v>
      </c>
      <c r="F795" s="566" t="s">
        <v>474</v>
      </c>
      <c r="G795" s="567">
        <v>0</v>
      </c>
      <c r="H795" s="566" t="s">
        <v>516</v>
      </c>
      <c r="I795" s="568">
        <v>2</v>
      </c>
      <c r="J795" s="569">
        <v>5</v>
      </c>
      <c r="K795" s="569">
        <v>5</v>
      </c>
      <c r="L795" s="566"/>
      <c r="M795" s="566" t="s">
        <v>476</v>
      </c>
      <c r="N795" s="570">
        <v>422</v>
      </c>
      <c r="O795" s="566"/>
      <c r="P795" s="566" t="s">
        <v>477</v>
      </c>
      <c r="Q795" s="568">
        <v>909678</v>
      </c>
      <c r="R795" s="568">
        <v>14</v>
      </c>
      <c r="S795" s="566" t="s">
        <v>1394</v>
      </c>
      <c r="T795" s="586" t="s">
        <v>253</v>
      </c>
      <c r="U795" s="586" t="s">
        <v>468</v>
      </c>
      <c r="V795" s="586" t="s">
        <v>517</v>
      </c>
      <c r="W795" s="587" t="s">
        <v>514</v>
      </c>
      <c r="X795" s="586" t="s">
        <v>1380</v>
      </c>
      <c r="Y795" s="586" t="s">
        <v>1338</v>
      </c>
      <c r="Z795" s="587" t="s">
        <v>1030</v>
      </c>
      <c r="AA795" s="588">
        <v>422</v>
      </c>
      <c r="AB795" s="586"/>
    </row>
    <row r="796" spans="1:28" hidden="1">
      <c r="A796" s="566" t="s">
        <v>1335</v>
      </c>
      <c r="B796" s="566" t="s">
        <v>466</v>
      </c>
      <c r="C796" s="566" t="s">
        <v>471</v>
      </c>
      <c r="D796" s="566" t="s">
        <v>472</v>
      </c>
      <c r="E796" s="566" t="s">
        <v>473</v>
      </c>
      <c r="F796" s="566" t="s">
        <v>474</v>
      </c>
      <c r="G796" s="567">
        <v>0</v>
      </c>
      <c r="H796" s="566" t="s">
        <v>479</v>
      </c>
      <c r="I796" s="568">
        <v>2</v>
      </c>
      <c r="J796" s="569">
        <v>29</v>
      </c>
      <c r="K796" s="569">
        <v>29</v>
      </c>
      <c r="L796" s="566"/>
      <c r="M796" s="566" t="s">
        <v>476</v>
      </c>
      <c r="N796" s="570">
        <v>1358</v>
      </c>
      <c r="O796" s="566"/>
      <c r="P796" s="566" t="s">
        <v>477</v>
      </c>
      <c r="Q796" s="568">
        <v>909678</v>
      </c>
      <c r="R796" s="568">
        <v>34</v>
      </c>
      <c r="S796" s="566" t="s">
        <v>1395</v>
      </c>
      <c r="T796" s="586" t="s">
        <v>253</v>
      </c>
      <c r="U796" s="586" t="s">
        <v>468</v>
      </c>
      <c r="V796" s="586" t="s">
        <v>517</v>
      </c>
      <c r="W796" s="587" t="s">
        <v>1274</v>
      </c>
      <c r="X796" s="586" t="s">
        <v>1380</v>
      </c>
      <c r="Y796" s="586" t="s">
        <v>1367</v>
      </c>
      <c r="Z796" s="587" t="s">
        <v>1920</v>
      </c>
      <c r="AA796" s="588">
        <v>1358</v>
      </c>
      <c r="AB796" s="586"/>
    </row>
    <row r="797" spans="1:28" hidden="1">
      <c r="A797" s="566" t="s">
        <v>1335</v>
      </c>
      <c r="B797" s="566" t="s">
        <v>466</v>
      </c>
      <c r="C797" s="566" t="s">
        <v>471</v>
      </c>
      <c r="D797" s="566" t="s">
        <v>472</v>
      </c>
      <c r="E797" s="566" t="s">
        <v>473</v>
      </c>
      <c r="F797" s="566" t="s">
        <v>474</v>
      </c>
      <c r="G797" s="567">
        <v>0</v>
      </c>
      <c r="H797" s="566" t="s">
        <v>484</v>
      </c>
      <c r="I797" s="568">
        <v>2</v>
      </c>
      <c r="J797" s="569">
        <v>29</v>
      </c>
      <c r="K797" s="569">
        <v>29</v>
      </c>
      <c r="L797" s="566"/>
      <c r="M797" s="566" t="s">
        <v>476</v>
      </c>
      <c r="N797" s="570">
        <v>1394</v>
      </c>
      <c r="O797" s="566"/>
      <c r="P797" s="566" t="s">
        <v>477</v>
      </c>
      <c r="Q797" s="568">
        <v>909678</v>
      </c>
      <c r="R797" s="568">
        <v>35</v>
      </c>
      <c r="S797" s="566" t="s">
        <v>1397</v>
      </c>
      <c r="T797" s="586" t="s">
        <v>253</v>
      </c>
      <c r="U797" s="586" t="s">
        <v>468</v>
      </c>
      <c r="V797" s="586" t="s">
        <v>517</v>
      </c>
      <c r="W797" s="587" t="s">
        <v>1275</v>
      </c>
      <c r="X797" s="586" t="s">
        <v>1380</v>
      </c>
      <c r="Y797" s="586" t="s">
        <v>1367</v>
      </c>
      <c r="Z797" s="587" t="s">
        <v>1921</v>
      </c>
      <c r="AA797" s="588">
        <v>1394</v>
      </c>
      <c r="AB797" s="586"/>
    </row>
    <row r="798" spans="1:28" hidden="1">
      <c r="A798" s="566" t="s">
        <v>1335</v>
      </c>
      <c r="B798" s="566" t="s">
        <v>466</v>
      </c>
      <c r="C798" s="566" t="s">
        <v>487</v>
      </c>
      <c r="D798" s="566" t="s">
        <v>472</v>
      </c>
      <c r="E798" s="566" t="s">
        <v>473</v>
      </c>
      <c r="F798" s="566" t="s">
        <v>489</v>
      </c>
      <c r="G798" s="567">
        <v>50</v>
      </c>
      <c r="H798" s="566" t="s">
        <v>503</v>
      </c>
      <c r="I798" s="568">
        <v>2</v>
      </c>
      <c r="J798" s="569">
        <v>29</v>
      </c>
      <c r="K798" s="569">
        <v>29</v>
      </c>
      <c r="L798" s="566"/>
      <c r="M798" s="566" t="s">
        <v>476</v>
      </c>
      <c r="N798" s="570">
        <v>1430</v>
      </c>
      <c r="O798" s="566"/>
      <c r="P798" s="566" t="s">
        <v>477</v>
      </c>
      <c r="Q798" s="568">
        <v>909678</v>
      </c>
      <c r="R798" s="568">
        <v>37</v>
      </c>
      <c r="S798" s="566" t="s">
        <v>1399</v>
      </c>
      <c r="T798" s="586" t="s">
        <v>253</v>
      </c>
      <c r="U798" s="586" t="s">
        <v>468</v>
      </c>
      <c r="V798" s="586" t="s">
        <v>517</v>
      </c>
      <c r="W798" s="587" t="s">
        <v>1276</v>
      </c>
      <c r="X798" s="586" t="s">
        <v>1380</v>
      </c>
      <c r="Y798" s="586" t="s">
        <v>1367</v>
      </c>
      <c r="Z798" s="587" t="s">
        <v>1922</v>
      </c>
      <c r="AA798" s="588">
        <v>1430</v>
      </c>
      <c r="AB798" s="586"/>
    </row>
    <row r="799" spans="1:28" hidden="1">
      <c r="A799" s="566" t="s">
        <v>1335</v>
      </c>
      <c r="B799" s="566" t="s">
        <v>466</v>
      </c>
      <c r="C799" s="566" t="s">
        <v>487</v>
      </c>
      <c r="D799" s="566" t="s">
        <v>472</v>
      </c>
      <c r="E799" s="566" t="s">
        <v>473</v>
      </c>
      <c r="F799" s="566" t="s">
        <v>489</v>
      </c>
      <c r="G799" s="567">
        <v>50</v>
      </c>
      <c r="H799" s="566" t="s">
        <v>508</v>
      </c>
      <c r="I799" s="568">
        <v>2</v>
      </c>
      <c r="J799" s="569">
        <v>29</v>
      </c>
      <c r="K799" s="569">
        <v>29</v>
      </c>
      <c r="L799" s="566"/>
      <c r="M799" s="566" t="s">
        <v>476</v>
      </c>
      <c r="N799" s="570">
        <v>1466</v>
      </c>
      <c r="O799" s="566"/>
      <c r="P799" s="566" t="s">
        <v>477</v>
      </c>
      <c r="Q799" s="568">
        <v>909678</v>
      </c>
      <c r="R799" s="568">
        <v>38</v>
      </c>
      <c r="S799" s="566" t="s">
        <v>1401</v>
      </c>
      <c r="T799" s="586" t="s">
        <v>253</v>
      </c>
      <c r="U799" s="586" t="s">
        <v>468</v>
      </c>
      <c r="V799" s="586" t="s">
        <v>517</v>
      </c>
      <c r="W799" s="587" t="s">
        <v>1277</v>
      </c>
      <c r="X799" s="586" t="s">
        <v>1380</v>
      </c>
      <c r="Y799" s="586" t="s">
        <v>1367</v>
      </c>
      <c r="Z799" s="587" t="s">
        <v>1923</v>
      </c>
      <c r="AA799" s="588">
        <v>1466</v>
      </c>
      <c r="AB799" s="586"/>
    </row>
    <row r="800" spans="1:28" hidden="1">
      <c r="A800" s="566" t="s">
        <v>1335</v>
      </c>
      <c r="B800" s="566" t="s">
        <v>466</v>
      </c>
      <c r="C800" s="566" t="s">
        <v>471</v>
      </c>
      <c r="D800" s="566" t="s">
        <v>472</v>
      </c>
      <c r="E800" s="566" t="s">
        <v>473</v>
      </c>
      <c r="F800" s="566" t="s">
        <v>474</v>
      </c>
      <c r="G800" s="567">
        <v>0</v>
      </c>
      <c r="H800" s="566" t="s">
        <v>1755</v>
      </c>
      <c r="I800" s="568">
        <v>2</v>
      </c>
      <c r="J800" s="569">
        <v>29</v>
      </c>
      <c r="K800" s="569">
        <v>29</v>
      </c>
      <c r="L800" s="566"/>
      <c r="M800" s="566" t="s">
        <v>476</v>
      </c>
      <c r="N800" s="570">
        <v>1502</v>
      </c>
      <c r="O800" s="566"/>
      <c r="P800" s="566" t="s">
        <v>477</v>
      </c>
      <c r="Q800" s="568">
        <v>909678</v>
      </c>
      <c r="R800" s="568">
        <v>36</v>
      </c>
      <c r="S800" s="566" t="s">
        <v>1403</v>
      </c>
      <c r="T800" s="586" t="s">
        <v>253</v>
      </c>
      <c r="U800" s="586" t="s">
        <v>468</v>
      </c>
      <c r="V800" s="586" t="s">
        <v>517</v>
      </c>
      <c r="W800" s="587" t="s">
        <v>1354</v>
      </c>
      <c r="X800" s="586" t="s">
        <v>1380</v>
      </c>
      <c r="Y800" s="586" t="s">
        <v>1367</v>
      </c>
      <c r="Z800" s="587" t="s">
        <v>1924</v>
      </c>
      <c r="AA800" s="588">
        <v>1502</v>
      </c>
      <c r="AB800" s="586"/>
    </row>
    <row r="801" spans="1:28" hidden="1">
      <c r="A801" s="566" t="s">
        <v>1335</v>
      </c>
      <c r="B801" s="566" t="s">
        <v>466</v>
      </c>
      <c r="C801" s="566" t="s">
        <v>487</v>
      </c>
      <c r="D801" s="566" t="s">
        <v>472</v>
      </c>
      <c r="E801" s="566" t="s">
        <v>473</v>
      </c>
      <c r="F801" s="566" t="s">
        <v>489</v>
      </c>
      <c r="G801" s="567">
        <v>50</v>
      </c>
      <c r="H801" s="566" t="s">
        <v>1757</v>
      </c>
      <c r="I801" s="568">
        <v>2</v>
      </c>
      <c r="J801" s="569">
        <v>29</v>
      </c>
      <c r="K801" s="569">
        <v>29</v>
      </c>
      <c r="L801" s="566"/>
      <c r="M801" s="566" t="s">
        <v>476</v>
      </c>
      <c r="N801" s="570">
        <v>1538</v>
      </c>
      <c r="O801" s="566"/>
      <c r="P801" s="566" t="s">
        <v>477</v>
      </c>
      <c r="Q801" s="568">
        <v>909678</v>
      </c>
      <c r="R801" s="568">
        <v>39</v>
      </c>
      <c r="S801" s="566" t="s">
        <v>1405</v>
      </c>
      <c r="T801" s="586" t="s">
        <v>253</v>
      </c>
      <c r="U801" s="586" t="s">
        <v>468</v>
      </c>
      <c r="V801" s="586" t="s">
        <v>517</v>
      </c>
      <c r="W801" s="587" t="s">
        <v>1358</v>
      </c>
      <c r="X801" s="586" t="s">
        <v>1380</v>
      </c>
      <c r="Y801" s="586" t="s">
        <v>1367</v>
      </c>
      <c r="Z801" s="587" t="s">
        <v>1925</v>
      </c>
      <c r="AA801" s="588">
        <v>1538</v>
      </c>
      <c r="AB801" s="586"/>
    </row>
    <row r="802" spans="1:28" hidden="1">
      <c r="A802" s="566" t="s">
        <v>1335</v>
      </c>
      <c r="B802" s="566" t="s">
        <v>466</v>
      </c>
      <c r="C802" s="566" t="s">
        <v>471</v>
      </c>
      <c r="D802" s="566" t="s">
        <v>472</v>
      </c>
      <c r="E802" s="566" t="s">
        <v>473</v>
      </c>
      <c r="F802" s="566" t="s">
        <v>474</v>
      </c>
      <c r="G802" s="567">
        <v>0</v>
      </c>
      <c r="H802" s="566" t="s">
        <v>475</v>
      </c>
      <c r="I802" s="568">
        <v>2</v>
      </c>
      <c r="J802" s="569">
        <v>5</v>
      </c>
      <c r="K802" s="569">
        <v>5</v>
      </c>
      <c r="L802" s="566"/>
      <c r="M802" s="566" t="s">
        <v>476</v>
      </c>
      <c r="N802" s="570">
        <v>458</v>
      </c>
      <c r="O802" s="566"/>
      <c r="P802" s="566" t="s">
        <v>477</v>
      </c>
      <c r="Q802" s="568">
        <v>909678</v>
      </c>
      <c r="R802" s="568">
        <v>7</v>
      </c>
      <c r="S802" s="566" t="s">
        <v>1407</v>
      </c>
      <c r="T802" s="586" t="s">
        <v>1473</v>
      </c>
      <c r="U802" s="586" t="s">
        <v>468</v>
      </c>
      <c r="V802" s="586" t="s">
        <v>517</v>
      </c>
      <c r="W802" s="587" t="s">
        <v>470</v>
      </c>
      <c r="X802" s="586" t="s">
        <v>1380</v>
      </c>
      <c r="Y802" s="586" t="s">
        <v>1338</v>
      </c>
      <c r="Z802" s="587" t="s">
        <v>1926</v>
      </c>
      <c r="AA802" s="588">
        <v>458</v>
      </c>
      <c r="AB802" s="586"/>
    </row>
    <row r="803" spans="1:28" hidden="1">
      <c r="A803" s="566" t="s">
        <v>1335</v>
      </c>
      <c r="B803" s="566" t="s">
        <v>466</v>
      </c>
      <c r="C803" s="566" t="s">
        <v>471</v>
      </c>
      <c r="D803" s="566" t="s">
        <v>472</v>
      </c>
      <c r="E803" s="566" t="s">
        <v>473</v>
      </c>
      <c r="F803" s="566" t="s">
        <v>474</v>
      </c>
      <c r="G803" s="567">
        <v>0</v>
      </c>
      <c r="H803" s="566" t="s">
        <v>481</v>
      </c>
      <c r="I803" s="568">
        <v>2</v>
      </c>
      <c r="J803" s="569">
        <v>5</v>
      </c>
      <c r="K803" s="569">
        <v>5</v>
      </c>
      <c r="L803" s="566"/>
      <c r="M803" s="566" t="s">
        <v>476</v>
      </c>
      <c r="N803" s="570">
        <v>530</v>
      </c>
      <c r="O803" s="566"/>
      <c r="P803" s="566" t="s">
        <v>477</v>
      </c>
      <c r="Q803" s="568">
        <v>909678</v>
      </c>
      <c r="R803" s="568">
        <v>8</v>
      </c>
      <c r="S803" s="566" t="s">
        <v>1410</v>
      </c>
      <c r="T803" s="586" t="s">
        <v>1473</v>
      </c>
      <c r="U803" s="586" t="s">
        <v>468</v>
      </c>
      <c r="V803" s="586" t="s">
        <v>517</v>
      </c>
      <c r="W803" s="587" t="s">
        <v>480</v>
      </c>
      <c r="X803" s="586" t="s">
        <v>1380</v>
      </c>
      <c r="Y803" s="586" t="s">
        <v>1338</v>
      </c>
      <c r="Z803" s="587" t="s">
        <v>1927</v>
      </c>
      <c r="AA803" s="588">
        <v>530</v>
      </c>
      <c r="AB803" s="586"/>
    </row>
    <row r="804" spans="1:28" hidden="1">
      <c r="A804" s="566" t="s">
        <v>1335</v>
      </c>
      <c r="B804" s="566" t="s">
        <v>466</v>
      </c>
      <c r="C804" s="566" t="s">
        <v>487</v>
      </c>
      <c r="D804" s="566" t="s">
        <v>472</v>
      </c>
      <c r="E804" s="566" t="s">
        <v>473</v>
      </c>
      <c r="F804" s="566" t="s">
        <v>489</v>
      </c>
      <c r="G804" s="567">
        <v>50</v>
      </c>
      <c r="H804" s="566" t="s">
        <v>500</v>
      </c>
      <c r="I804" s="568">
        <v>2</v>
      </c>
      <c r="J804" s="569">
        <v>5</v>
      </c>
      <c r="K804" s="569">
        <v>5</v>
      </c>
      <c r="L804" s="566"/>
      <c r="M804" s="566" t="s">
        <v>476</v>
      </c>
      <c r="N804" s="570">
        <v>710</v>
      </c>
      <c r="O804" s="566"/>
      <c r="P804" s="566" t="s">
        <v>477</v>
      </c>
      <c r="Q804" s="568">
        <v>909678</v>
      </c>
      <c r="R804" s="568">
        <v>11</v>
      </c>
      <c r="S804" s="566" t="s">
        <v>1412</v>
      </c>
      <c r="T804" s="586" t="s">
        <v>1473</v>
      </c>
      <c r="U804" s="586" t="s">
        <v>468</v>
      </c>
      <c r="V804" s="586" t="s">
        <v>517</v>
      </c>
      <c r="W804" s="587" t="s">
        <v>499</v>
      </c>
      <c r="X804" s="586" t="s">
        <v>1380</v>
      </c>
      <c r="Y804" s="586" t="s">
        <v>1338</v>
      </c>
      <c r="Z804" s="587" t="s">
        <v>1928</v>
      </c>
      <c r="AA804" s="588">
        <v>710</v>
      </c>
      <c r="AB804" s="586"/>
    </row>
    <row r="805" spans="1:28" hidden="1">
      <c r="A805" s="566" t="s">
        <v>1335</v>
      </c>
      <c r="B805" s="566" t="s">
        <v>466</v>
      </c>
      <c r="C805" s="566" t="s">
        <v>487</v>
      </c>
      <c r="D805" s="566" t="s">
        <v>472</v>
      </c>
      <c r="E805" s="566" t="s">
        <v>473</v>
      </c>
      <c r="F805" s="566" t="s">
        <v>489</v>
      </c>
      <c r="G805" s="567">
        <v>50</v>
      </c>
      <c r="H805" s="566" t="s">
        <v>505</v>
      </c>
      <c r="I805" s="568">
        <v>2</v>
      </c>
      <c r="J805" s="569">
        <v>5</v>
      </c>
      <c r="K805" s="569">
        <v>5</v>
      </c>
      <c r="L805" s="566"/>
      <c r="M805" s="566" t="s">
        <v>476</v>
      </c>
      <c r="N805" s="570">
        <v>782</v>
      </c>
      <c r="O805" s="566"/>
      <c r="P805" s="566" t="s">
        <v>477</v>
      </c>
      <c r="Q805" s="568">
        <v>909678</v>
      </c>
      <c r="R805" s="568">
        <v>20</v>
      </c>
      <c r="S805" s="566" t="s">
        <v>1414</v>
      </c>
      <c r="T805" s="586" t="s">
        <v>1473</v>
      </c>
      <c r="U805" s="586" t="s">
        <v>468</v>
      </c>
      <c r="V805" s="586" t="s">
        <v>517</v>
      </c>
      <c r="W805" s="587" t="s">
        <v>504</v>
      </c>
      <c r="X805" s="586" t="s">
        <v>1380</v>
      </c>
      <c r="Y805" s="586" t="s">
        <v>1338</v>
      </c>
      <c r="Z805" s="587" t="s">
        <v>1929</v>
      </c>
      <c r="AA805" s="588">
        <v>782</v>
      </c>
      <c r="AB805" s="586"/>
    </row>
    <row r="806" spans="1:28" hidden="1">
      <c r="A806" s="566" t="s">
        <v>1335</v>
      </c>
      <c r="B806" s="566" t="s">
        <v>466</v>
      </c>
      <c r="C806" s="566" t="s">
        <v>471</v>
      </c>
      <c r="D806" s="566" t="s">
        <v>472</v>
      </c>
      <c r="E806" s="566" t="s">
        <v>473</v>
      </c>
      <c r="F806" s="566" t="s">
        <v>474</v>
      </c>
      <c r="G806" s="567">
        <v>0</v>
      </c>
      <c r="H806" s="566" t="s">
        <v>479</v>
      </c>
      <c r="I806" s="568">
        <v>2</v>
      </c>
      <c r="J806" s="569">
        <v>57</v>
      </c>
      <c r="K806" s="569">
        <v>57</v>
      </c>
      <c r="L806" s="566"/>
      <c r="M806" s="566" t="s">
        <v>476</v>
      </c>
      <c r="N806" s="570">
        <v>1038</v>
      </c>
      <c r="O806" s="566"/>
      <c r="P806" s="566" t="s">
        <v>477</v>
      </c>
      <c r="Q806" s="568">
        <v>909678</v>
      </c>
      <c r="R806" s="568">
        <v>25</v>
      </c>
      <c r="S806" s="566" t="s">
        <v>1336</v>
      </c>
      <c r="T806" s="575" t="s">
        <v>467</v>
      </c>
      <c r="U806" s="575" t="s">
        <v>468</v>
      </c>
      <c r="V806" s="575" t="s">
        <v>528</v>
      </c>
      <c r="W806" s="576" t="s">
        <v>1274</v>
      </c>
      <c r="X806" s="575" t="s">
        <v>1337</v>
      </c>
      <c r="Y806" s="575" t="s">
        <v>1338</v>
      </c>
      <c r="Z806" s="576" t="s">
        <v>1930</v>
      </c>
      <c r="AA806" s="577">
        <v>1038</v>
      </c>
      <c r="AB806" s="575"/>
    </row>
    <row r="807" spans="1:28" hidden="1">
      <c r="A807" s="566" t="s">
        <v>1335</v>
      </c>
      <c r="B807" s="566" t="s">
        <v>466</v>
      </c>
      <c r="C807" s="566" t="s">
        <v>471</v>
      </c>
      <c r="D807" s="566" t="s">
        <v>472</v>
      </c>
      <c r="E807" s="566" t="s">
        <v>473</v>
      </c>
      <c r="F807" s="566" t="s">
        <v>474</v>
      </c>
      <c r="G807" s="567">
        <v>0</v>
      </c>
      <c r="H807" s="566" t="s">
        <v>484</v>
      </c>
      <c r="I807" s="568">
        <v>2</v>
      </c>
      <c r="J807" s="569">
        <v>57</v>
      </c>
      <c r="K807" s="569">
        <v>57</v>
      </c>
      <c r="L807" s="566"/>
      <c r="M807" s="566" t="s">
        <v>476</v>
      </c>
      <c r="N807" s="570">
        <v>1074</v>
      </c>
      <c r="O807" s="566"/>
      <c r="P807" s="566" t="s">
        <v>477</v>
      </c>
      <c r="Q807" s="568">
        <v>909678</v>
      </c>
      <c r="R807" s="568">
        <v>26</v>
      </c>
      <c r="S807" s="566" t="s">
        <v>1340</v>
      </c>
      <c r="T807" s="575" t="s">
        <v>467</v>
      </c>
      <c r="U807" s="575" t="s">
        <v>468</v>
      </c>
      <c r="V807" s="575" t="s">
        <v>528</v>
      </c>
      <c r="W807" s="576" t="s">
        <v>1275</v>
      </c>
      <c r="X807" s="575" t="s">
        <v>1337</v>
      </c>
      <c r="Y807" s="575" t="s">
        <v>1338</v>
      </c>
      <c r="Z807" s="576" t="s">
        <v>1931</v>
      </c>
      <c r="AA807" s="577">
        <v>1074</v>
      </c>
      <c r="AB807" s="575"/>
    </row>
    <row r="808" spans="1:28" hidden="1">
      <c r="A808" s="566" t="s">
        <v>1335</v>
      </c>
      <c r="B808" s="566" t="s">
        <v>466</v>
      </c>
      <c r="C808" s="566" t="s">
        <v>487</v>
      </c>
      <c r="D808" s="566" t="s">
        <v>472</v>
      </c>
      <c r="E808" s="566" t="s">
        <v>473</v>
      </c>
      <c r="F808" s="566" t="s">
        <v>489</v>
      </c>
      <c r="G808" s="567">
        <v>50</v>
      </c>
      <c r="H808" s="566" t="s">
        <v>490</v>
      </c>
      <c r="I808" s="568">
        <v>2</v>
      </c>
      <c r="J808" s="569">
        <v>57</v>
      </c>
      <c r="K808" s="569">
        <v>57</v>
      </c>
      <c r="L808" s="566"/>
      <c r="M808" s="566" t="s">
        <v>476</v>
      </c>
      <c r="N808" s="570">
        <v>1110</v>
      </c>
      <c r="O808" s="566"/>
      <c r="P808" s="566" t="s">
        <v>477</v>
      </c>
      <c r="Q808" s="568">
        <v>909678</v>
      </c>
      <c r="R808" s="568">
        <v>28</v>
      </c>
      <c r="S808" s="566" t="s">
        <v>1342</v>
      </c>
      <c r="T808" s="575" t="s">
        <v>467</v>
      </c>
      <c r="U808" s="575" t="s">
        <v>468</v>
      </c>
      <c r="V808" s="575" t="s">
        <v>528</v>
      </c>
      <c r="W808" s="576" t="s">
        <v>485</v>
      </c>
      <c r="X808" s="575" t="s">
        <v>1337</v>
      </c>
      <c r="Y808" s="575" t="s">
        <v>1338</v>
      </c>
      <c r="Z808" s="576" t="s">
        <v>1932</v>
      </c>
      <c r="AA808" s="577">
        <v>1110</v>
      </c>
      <c r="AB808" s="575"/>
    </row>
    <row r="809" spans="1:28" hidden="1">
      <c r="A809" s="566" t="s">
        <v>1335</v>
      </c>
      <c r="B809" s="566" t="s">
        <v>466</v>
      </c>
      <c r="C809" s="566" t="s">
        <v>487</v>
      </c>
      <c r="D809" s="566" t="s">
        <v>472</v>
      </c>
      <c r="E809" s="566" t="s">
        <v>473</v>
      </c>
      <c r="F809" s="566" t="s">
        <v>489</v>
      </c>
      <c r="G809" s="567">
        <v>50</v>
      </c>
      <c r="H809" s="566" t="s">
        <v>494</v>
      </c>
      <c r="I809" s="568">
        <v>2</v>
      </c>
      <c r="J809" s="569">
        <v>57</v>
      </c>
      <c r="K809" s="569">
        <v>57</v>
      </c>
      <c r="L809" s="566"/>
      <c r="M809" s="566" t="s">
        <v>476</v>
      </c>
      <c r="N809" s="570">
        <v>1146</v>
      </c>
      <c r="O809" s="566"/>
      <c r="P809" s="566" t="s">
        <v>477</v>
      </c>
      <c r="Q809" s="568">
        <v>909678</v>
      </c>
      <c r="R809" s="568">
        <v>29</v>
      </c>
      <c r="S809" s="566" t="s">
        <v>1344</v>
      </c>
      <c r="T809" s="575" t="s">
        <v>467</v>
      </c>
      <c r="U809" s="575" t="s">
        <v>468</v>
      </c>
      <c r="V809" s="575" t="s">
        <v>528</v>
      </c>
      <c r="W809" s="576" t="s">
        <v>491</v>
      </c>
      <c r="X809" s="575" t="s">
        <v>1337</v>
      </c>
      <c r="Y809" s="575" t="s">
        <v>1338</v>
      </c>
      <c r="Z809" s="576" t="s">
        <v>1933</v>
      </c>
      <c r="AA809" s="577">
        <v>1146</v>
      </c>
      <c r="AB809" s="575"/>
    </row>
    <row r="810" spans="1:28" hidden="1">
      <c r="A810" s="566" t="s">
        <v>1335</v>
      </c>
      <c r="B810" s="566" t="s">
        <v>466</v>
      </c>
      <c r="C810" s="566" t="s">
        <v>487</v>
      </c>
      <c r="D810" s="566" t="s">
        <v>472</v>
      </c>
      <c r="E810" s="566" t="s">
        <v>473</v>
      </c>
      <c r="F810" s="566" t="s">
        <v>489</v>
      </c>
      <c r="G810" s="567">
        <v>50</v>
      </c>
      <c r="H810" s="566" t="s">
        <v>498</v>
      </c>
      <c r="I810" s="568">
        <v>2</v>
      </c>
      <c r="J810" s="569">
        <v>57</v>
      </c>
      <c r="K810" s="569">
        <v>57</v>
      </c>
      <c r="L810" s="566"/>
      <c r="M810" s="566" t="s">
        <v>476</v>
      </c>
      <c r="N810" s="570">
        <v>1182</v>
      </c>
      <c r="O810" s="566"/>
      <c r="P810" s="566" t="s">
        <v>477</v>
      </c>
      <c r="Q810" s="568">
        <v>909678</v>
      </c>
      <c r="R810" s="568">
        <v>30</v>
      </c>
      <c r="S810" s="566" t="s">
        <v>1346</v>
      </c>
      <c r="T810" s="575" t="s">
        <v>467</v>
      </c>
      <c r="U810" s="575" t="s">
        <v>468</v>
      </c>
      <c r="V810" s="575" t="s">
        <v>528</v>
      </c>
      <c r="W810" s="576" t="s">
        <v>495</v>
      </c>
      <c r="X810" s="575" t="s">
        <v>1337</v>
      </c>
      <c r="Y810" s="575" t="s">
        <v>1338</v>
      </c>
      <c r="Z810" s="576" t="s">
        <v>1934</v>
      </c>
      <c r="AA810" s="577">
        <v>1182</v>
      </c>
      <c r="AB810" s="575"/>
    </row>
    <row r="811" spans="1:28" hidden="1">
      <c r="A811" s="566" t="s">
        <v>1335</v>
      </c>
      <c r="B811" s="566" t="s">
        <v>466</v>
      </c>
      <c r="C811" s="566" t="s">
        <v>487</v>
      </c>
      <c r="D811" s="566" t="s">
        <v>472</v>
      </c>
      <c r="E811" s="566" t="s">
        <v>473</v>
      </c>
      <c r="F811" s="566" t="s">
        <v>489</v>
      </c>
      <c r="G811" s="567">
        <v>50</v>
      </c>
      <c r="H811" s="566" t="s">
        <v>503</v>
      </c>
      <c r="I811" s="568">
        <v>2</v>
      </c>
      <c r="J811" s="569">
        <v>57</v>
      </c>
      <c r="K811" s="569">
        <v>57</v>
      </c>
      <c r="L811" s="566"/>
      <c r="M811" s="566" t="s">
        <v>476</v>
      </c>
      <c r="N811" s="570">
        <v>1218</v>
      </c>
      <c r="O811" s="566"/>
      <c r="P811" s="566" t="s">
        <v>477</v>
      </c>
      <c r="Q811" s="568">
        <v>909678</v>
      </c>
      <c r="R811" s="568">
        <v>31</v>
      </c>
      <c r="S811" s="566" t="s">
        <v>1348</v>
      </c>
      <c r="T811" s="575" t="s">
        <v>467</v>
      </c>
      <c r="U811" s="575" t="s">
        <v>468</v>
      </c>
      <c r="V811" s="575" t="s">
        <v>528</v>
      </c>
      <c r="W811" s="576" t="s">
        <v>1276</v>
      </c>
      <c r="X811" s="575" t="s">
        <v>1337</v>
      </c>
      <c r="Y811" s="575" t="s">
        <v>1338</v>
      </c>
      <c r="Z811" s="576" t="s">
        <v>1935</v>
      </c>
      <c r="AA811" s="577">
        <v>1218</v>
      </c>
      <c r="AB811" s="575"/>
    </row>
    <row r="812" spans="1:28" hidden="1">
      <c r="A812" s="566" t="s">
        <v>1335</v>
      </c>
      <c r="B812" s="566" t="s">
        <v>466</v>
      </c>
      <c r="C812" s="566" t="s">
        <v>487</v>
      </c>
      <c r="D812" s="566" t="s">
        <v>472</v>
      </c>
      <c r="E812" s="566" t="s">
        <v>473</v>
      </c>
      <c r="F812" s="566" t="s">
        <v>489</v>
      </c>
      <c r="G812" s="567">
        <v>50</v>
      </c>
      <c r="H812" s="566" t="s">
        <v>508</v>
      </c>
      <c r="I812" s="568">
        <v>2</v>
      </c>
      <c r="J812" s="569">
        <v>57</v>
      </c>
      <c r="K812" s="569">
        <v>57</v>
      </c>
      <c r="L812" s="566"/>
      <c r="M812" s="566" t="s">
        <v>476</v>
      </c>
      <c r="N812" s="570">
        <v>1254</v>
      </c>
      <c r="O812" s="566"/>
      <c r="P812" s="566" t="s">
        <v>477</v>
      </c>
      <c r="Q812" s="568">
        <v>909678</v>
      </c>
      <c r="R812" s="568">
        <v>32</v>
      </c>
      <c r="S812" s="566" t="s">
        <v>1350</v>
      </c>
      <c r="T812" s="575" t="s">
        <v>467</v>
      </c>
      <c r="U812" s="575" t="s">
        <v>468</v>
      </c>
      <c r="V812" s="575" t="s">
        <v>528</v>
      </c>
      <c r="W812" s="576" t="s">
        <v>1277</v>
      </c>
      <c r="X812" s="575" t="s">
        <v>1337</v>
      </c>
      <c r="Y812" s="575" t="s">
        <v>1338</v>
      </c>
      <c r="Z812" s="576" t="s">
        <v>1936</v>
      </c>
      <c r="AA812" s="577">
        <v>1254</v>
      </c>
      <c r="AB812" s="575"/>
    </row>
    <row r="813" spans="1:28" hidden="1">
      <c r="A813" s="566" t="s">
        <v>1335</v>
      </c>
      <c r="B813" s="566" t="s">
        <v>466</v>
      </c>
      <c r="C813" s="566" t="s">
        <v>471</v>
      </c>
      <c r="D813" s="566" t="s">
        <v>472</v>
      </c>
      <c r="E813" s="566" t="s">
        <v>473</v>
      </c>
      <c r="F813" s="566" t="s">
        <v>474</v>
      </c>
      <c r="G813" s="567">
        <v>0</v>
      </c>
      <c r="H813" s="566" t="s">
        <v>1755</v>
      </c>
      <c r="I813" s="568">
        <v>2</v>
      </c>
      <c r="J813" s="569">
        <v>57</v>
      </c>
      <c r="K813" s="569">
        <v>57</v>
      </c>
      <c r="L813" s="566"/>
      <c r="M813" s="566" t="s">
        <v>476</v>
      </c>
      <c r="N813" s="570">
        <v>1290</v>
      </c>
      <c r="O813" s="566"/>
      <c r="P813" s="566" t="s">
        <v>477</v>
      </c>
      <c r="Q813" s="568">
        <v>909678</v>
      </c>
      <c r="R813" s="568">
        <v>27</v>
      </c>
      <c r="S813" s="566" t="s">
        <v>1353</v>
      </c>
      <c r="T813" s="575" t="s">
        <v>467</v>
      </c>
      <c r="U813" s="575" t="s">
        <v>468</v>
      </c>
      <c r="V813" s="575" t="s">
        <v>528</v>
      </c>
      <c r="W813" s="576" t="s">
        <v>1354</v>
      </c>
      <c r="X813" s="575" t="s">
        <v>1337</v>
      </c>
      <c r="Y813" s="575" t="s">
        <v>1338</v>
      </c>
      <c r="Z813" s="576" t="s">
        <v>1937</v>
      </c>
      <c r="AA813" s="577">
        <v>1290</v>
      </c>
      <c r="AB813" s="575"/>
    </row>
    <row r="814" spans="1:28" hidden="1">
      <c r="A814" s="566" t="s">
        <v>1335</v>
      </c>
      <c r="B814" s="566" t="s">
        <v>466</v>
      </c>
      <c r="C814" s="566" t="s">
        <v>487</v>
      </c>
      <c r="D814" s="566" t="s">
        <v>472</v>
      </c>
      <c r="E814" s="566" t="s">
        <v>473</v>
      </c>
      <c r="F814" s="566" t="s">
        <v>489</v>
      </c>
      <c r="G814" s="567">
        <v>50</v>
      </c>
      <c r="H814" s="566" t="s">
        <v>1757</v>
      </c>
      <c r="I814" s="568">
        <v>2</v>
      </c>
      <c r="J814" s="569">
        <v>57</v>
      </c>
      <c r="K814" s="569">
        <v>57</v>
      </c>
      <c r="L814" s="566"/>
      <c r="M814" s="566" t="s">
        <v>476</v>
      </c>
      <c r="N814" s="570">
        <v>1326</v>
      </c>
      <c r="O814" s="566"/>
      <c r="P814" s="566" t="s">
        <v>477</v>
      </c>
      <c r="Q814" s="568">
        <v>909678</v>
      </c>
      <c r="R814" s="568">
        <v>33</v>
      </c>
      <c r="S814" s="566" t="s">
        <v>1357</v>
      </c>
      <c r="T814" s="575" t="s">
        <v>467</v>
      </c>
      <c r="U814" s="575" t="s">
        <v>468</v>
      </c>
      <c r="V814" s="575" t="s">
        <v>528</v>
      </c>
      <c r="W814" s="576" t="s">
        <v>1358</v>
      </c>
      <c r="X814" s="575" t="s">
        <v>1337</v>
      </c>
      <c r="Y814" s="575" t="s">
        <v>1338</v>
      </c>
      <c r="Z814" s="576" t="s">
        <v>1938</v>
      </c>
      <c r="AA814" s="577">
        <v>1326</v>
      </c>
      <c r="AB814" s="575"/>
    </row>
    <row r="815" spans="1:28" hidden="1">
      <c r="A815" s="566" t="s">
        <v>1335</v>
      </c>
      <c r="B815" s="566" t="s">
        <v>466</v>
      </c>
      <c r="C815" s="566" t="s">
        <v>471</v>
      </c>
      <c r="D815" s="566" t="s">
        <v>472</v>
      </c>
      <c r="E815" s="566" t="s">
        <v>473</v>
      </c>
      <c r="F815" s="566" t="s">
        <v>474</v>
      </c>
      <c r="G815" s="567">
        <v>0</v>
      </c>
      <c r="H815" s="566" t="s">
        <v>511</v>
      </c>
      <c r="I815" s="568">
        <v>2</v>
      </c>
      <c r="J815" s="569">
        <v>57</v>
      </c>
      <c r="K815" s="569">
        <v>57</v>
      </c>
      <c r="L815" s="566"/>
      <c r="M815" s="566" t="s">
        <v>476</v>
      </c>
      <c r="N815" s="570">
        <v>930</v>
      </c>
      <c r="O815" s="566"/>
      <c r="P815" s="566" t="s">
        <v>477</v>
      </c>
      <c r="Q815" s="568">
        <v>909678</v>
      </c>
      <c r="R815" s="568">
        <v>22</v>
      </c>
      <c r="S815" s="566" t="s">
        <v>1360</v>
      </c>
      <c r="T815" s="575" t="s">
        <v>467</v>
      </c>
      <c r="U815" s="575" t="s">
        <v>468</v>
      </c>
      <c r="V815" s="575" t="s">
        <v>528</v>
      </c>
      <c r="W815" s="576" t="s">
        <v>509</v>
      </c>
      <c r="X815" s="575" t="s">
        <v>1337</v>
      </c>
      <c r="Y815" s="575" t="s">
        <v>1338</v>
      </c>
      <c r="Z815" s="576" t="s">
        <v>1939</v>
      </c>
      <c r="AA815" s="577">
        <v>930</v>
      </c>
      <c r="AB815" s="575"/>
    </row>
    <row r="816" spans="1:28" hidden="1">
      <c r="A816" s="566" t="s">
        <v>1335</v>
      </c>
      <c r="B816" s="566" t="s">
        <v>466</v>
      </c>
      <c r="C816" s="566" t="s">
        <v>471</v>
      </c>
      <c r="D816" s="566" t="s">
        <v>472</v>
      </c>
      <c r="E816" s="566" t="s">
        <v>473</v>
      </c>
      <c r="F816" s="566" t="s">
        <v>474</v>
      </c>
      <c r="G816" s="567">
        <v>0</v>
      </c>
      <c r="H816" s="566" t="s">
        <v>213</v>
      </c>
      <c r="I816" s="568">
        <v>2</v>
      </c>
      <c r="J816" s="569">
        <v>57</v>
      </c>
      <c r="K816" s="569">
        <v>57</v>
      </c>
      <c r="L816" s="566"/>
      <c r="M816" s="566" t="s">
        <v>476</v>
      </c>
      <c r="N816" s="570">
        <v>966</v>
      </c>
      <c r="O816" s="566"/>
      <c r="P816" s="566" t="s">
        <v>477</v>
      </c>
      <c r="Q816" s="568">
        <v>909678</v>
      </c>
      <c r="R816" s="568">
        <v>23</v>
      </c>
      <c r="S816" s="566" t="s">
        <v>1362</v>
      </c>
      <c r="T816" s="575" t="s">
        <v>467</v>
      </c>
      <c r="U816" s="575" t="s">
        <v>468</v>
      </c>
      <c r="V816" s="575" t="s">
        <v>528</v>
      </c>
      <c r="W816" s="576" t="s">
        <v>512</v>
      </c>
      <c r="X816" s="575" t="s">
        <v>1337</v>
      </c>
      <c r="Y816" s="575" t="s">
        <v>1338</v>
      </c>
      <c r="Z816" s="576" t="s">
        <v>1940</v>
      </c>
      <c r="AA816" s="577">
        <v>966</v>
      </c>
      <c r="AB816" s="575"/>
    </row>
    <row r="817" spans="1:28" hidden="1">
      <c r="A817" s="566" t="s">
        <v>1335</v>
      </c>
      <c r="B817" s="566" t="s">
        <v>466</v>
      </c>
      <c r="C817" s="566" t="s">
        <v>471</v>
      </c>
      <c r="D817" s="566" t="s">
        <v>472</v>
      </c>
      <c r="E817" s="566" t="s">
        <v>473</v>
      </c>
      <c r="F817" s="566" t="s">
        <v>474</v>
      </c>
      <c r="G817" s="567">
        <v>0</v>
      </c>
      <c r="H817" s="566" t="s">
        <v>516</v>
      </c>
      <c r="I817" s="568">
        <v>2</v>
      </c>
      <c r="J817" s="569">
        <v>57</v>
      </c>
      <c r="K817" s="569">
        <v>57</v>
      </c>
      <c r="L817" s="566"/>
      <c r="M817" s="566" t="s">
        <v>476</v>
      </c>
      <c r="N817" s="570">
        <v>1002</v>
      </c>
      <c r="O817" s="566"/>
      <c r="P817" s="566" t="s">
        <v>477</v>
      </c>
      <c r="Q817" s="568">
        <v>909678</v>
      </c>
      <c r="R817" s="568">
        <v>24</v>
      </c>
      <c r="S817" s="566" t="s">
        <v>1364</v>
      </c>
      <c r="T817" s="575" t="s">
        <v>467</v>
      </c>
      <c r="U817" s="575" t="s">
        <v>468</v>
      </c>
      <c r="V817" s="575" t="s">
        <v>528</v>
      </c>
      <c r="W817" s="576" t="s">
        <v>514</v>
      </c>
      <c r="X817" s="575" t="s">
        <v>1337</v>
      </c>
      <c r="Y817" s="575" t="s">
        <v>1338</v>
      </c>
      <c r="Z817" s="576" t="s">
        <v>1941</v>
      </c>
      <c r="AA817" s="577">
        <v>1002</v>
      </c>
      <c r="AB817" s="575"/>
    </row>
    <row r="818" spans="1:28" hidden="1">
      <c r="A818" s="566" t="s">
        <v>1335</v>
      </c>
      <c r="B818" s="566" t="s">
        <v>466</v>
      </c>
      <c r="C818" s="566" t="s">
        <v>471</v>
      </c>
      <c r="D818" s="566" t="s">
        <v>472</v>
      </c>
      <c r="E818" s="566" t="s">
        <v>473</v>
      </c>
      <c r="F818" s="566" t="s">
        <v>474</v>
      </c>
      <c r="G818" s="567">
        <v>0</v>
      </c>
      <c r="H818" s="566" t="s">
        <v>479</v>
      </c>
      <c r="I818" s="568">
        <v>2</v>
      </c>
      <c r="J818" s="569">
        <v>81</v>
      </c>
      <c r="K818" s="569">
        <v>81</v>
      </c>
      <c r="L818" s="566"/>
      <c r="M818" s="566" t="s">
        <v>476</v>
      </c>
      <c r="N818" s="570">
        <v>1578</v>
      </c>
      <c r="O818" s="566"/>
      <c r="P818" s="566" t="s">
        <v>477</v>
      </c>
      <c r="Q818" s="568">
        <v>909678</v>
      </c>
      <c r="R818" s="568">
        <v>40</v>
      </c>
      <c r="S818" s="566" t="s">
        <v>1366</v>
      </c>
      <c r="T818" s="575" t="s">
        <v>467</v>
      </c>
      <c r="U818" s="575" t="s">
        <v>468</v>
      </c>
      <c r="V818" s="575" t="s">
        <v>528</v>
      </c>
      <c r="W818" s="576" t="s">
        <v>1274</v>
      </c>
      <c r="X818" s="575" t="s">
        <v>1337</v>
      </c>
      <c r="Y818" s="575" t="s">
        <v>1367</v>
      </c>
      <c r="Z818" s="576" t="s">
        <v>1942</v>
      </c>
      <c r="AA818" s="577">
        <v>1578</v>
      </c>
      <c r="AB818" s="575"/>
    </row>
    <row r="819" spans="1:28" hidden="1">
      <c r="A819" s="566" t="s">
        <v>1335</v>
      </c>
      <c r="B819" s="566" t="s">
        <v>466</v>
      </c>
      <c r="C819" s="566" t="s">
        <v>471</v>
      </c>
      <c r="D819" s="566" t="s">
        <v>472</v>
      </c>
      <c r="E819" s="566" t="s">
        <v>473</v>
      </c>
      <c r="F819" s="566" t="s">
        <v>474</v>
      </c>
      <c r="G819" s="567">
        <v>0</v>
      </c>
      <c r="H819" s="566" t="s">
        <v>484</v>
      </c>
      <c r="I819" s="568">
        <v>2</v>
      </c>
      <c r="J819" s="569">
        <v>81</v>
      </c>
      <c r="K819" s="569">
        <v>81</v>
      </c>
      <c r="L819" s="566"/>
      <c r="M819" s="566" t="s">
        <v>476</v>
      </c>
      <c r="N819" s="570">
        <v>1614</v>
      </c>
      <c r="O819" s="566"/>
      <c r="P819" s="566" t="s">
        <v>477</v>
      </c>
      <c r="Q819" s="568">
        <v>909678</v>
      </c>
      <c r="R819" s="568">
        <v>41</v>
      </c>
      <c r="S819" s="566" t="s">
        <v>1369</v>
      </c>
      <c r="T819" s="575" t="s">
        <v>467</v>
      </c>
      <c r="U819" s="575" t="s">
        <v>468</v>
      </c>
      <c r="V819" s="575" t="s">
        <v>528</v>
      </c>
      <c r="W819" s="576" t="s">
        <v>1275</v>
      </c>
      <c r="X819" s="575" t="s">
        <v>1337</v>
      </c>
      <c r="Y819" s="575" t="s">
        <v>1367</v>
      </c>
      <c r="Z819" s="576" t="s">
        <v>1943</v>
      </c>
      <c r="AA819" s="577">
        <v>1614</v>
      </c>
      <c r="AB819" s="575"/>
    </row>
    <row r="820" spans="1:28" hidden="1">
      <c r="A820" s="566" t="s">
        <v>1335</v>
      </c>
      <c r="B820" s="566" t="s">
        <v>466</v>
      </c>
      <c r="C820" s="566" t="s">
        <v>487</v>
      </c>
      <c r="D820" s="566" t="s">
        <v>472</v>
      </c>
      <c r="E820" s="566" t="s">
        <v>473</v>
      </c>
      <c r="F820" s="566" t="s">
        <v>489</v>
      </c>
      <c r="G820" s="567">
        <v>50</v>
      </c>
      <c r="H820" s="566" t="s">
        <v>503</v>
      </c>
      <c r="I820" s="568">
        <v>2</v>
      </c>
      <c r="J820" s="569">
        <v>81</v>
      </c>
      <c r="K820" s="569">
        <v>81</v>
      </c>
      <c r="L820" s="566"/>
      <c r="M820" s="566" t="s">
        <v>476</v>
      </c>
      <c r="N820" s="570">
        <v>1650</v>
      </c>
      <c r="O820" s="566"/>
      <c r="P820" s="566" t="s">
        <v>477</v>
      </c>
      <c r="Q820" s="568">
        <v>909678</v>
      </c>
      <c r="R820" s="568">
        <v>43</v>
      </c>
      <c r="S820" s="566" t="s">
        <v>1371</v>
      </c>
      <c r="T820" s="575" t="s">
        <v>467</v>
      </c>
      <c r="U820" s="575" t="s">
        <v>468</v>
      </c>
      <c r="V820" s="575" t="s">
        <v>528</v>
      </c>
      <c r="W820" s="576" t="s">
        <v>1276</v>
      </c>
      <c r="X820" s="575" t="s">
        <v>1337</v>
      </c>
      <c r="Y820" s="575" t="s">
        <v>1367</v>
      </c>
      <c r="Z820" s="576" t="s">
        <v>1944</v>
      </c>
      <c r="AA820" s="577">
        <v>1650</v>
      </c>
      <c r="AB820" s="575"/>
    </row>
    <row r="821" spans="1:28" hidden="1">
      <c r="A821" s="566" t="s">
        <v>1335</v>
      </c>
      <c r="B821" s="566" t="s">
        <v>466</v>
      </c>
      <c r="C821" s="566" t="s">
        <v>487</v>
      </c>
      <c r="D821" s="566" t="s">
        <v>472</v>
      </c>
      <c r="E821" s="566" t="s">
        <v>473</v>
      </c>
      <c r="F821" s="566" t="s">
        <v>489</v>
      </c>
      <c r="G821" s="567">
        <v>50</v>
      </c>
      <c r="H821" s="566" t="s">
        <v>508</v>
      </c>
      <c r="I821" s="568">
        <v>2</v>
      </c>
      <c r="J821" s="569">
        <v>81</v>
      </c>
      <c r="K821" s="569">
        <v>81</v>
      </c>
      <c r="L821" s="566"/>
      <c r="M821" s="566" t="s">
        <v>476</v>
      </c>
      <c r="N821" s="570">
        <v>1686</v>
      </c>
      <c r="O821" s="566"/>
      <c r="P821" s="566" t="s">
        <v>477</v>
      </c>
      <c r="Q821" s="568">
        <v>909678</v>
      </c>
      <c r="R821" s="568">
        <v>44</v>
      </c>
      <c r="S821" s="566" t="s">
        <v>1373</v>
      </c>
      <c r="T821" s="575" t="s">
        <v>467</v>
      </c>
      <c r="U821" s="575" t="s">
        <v>468</v>
      </c>
      <c r="V821" s="575" t="s">
        <v>528</v>
      </c>
      <c r="W821" s="576" t="s">
        <v>1277</v>
      </c>
      <c r="X821" s="575" t="s">
        <v>1337</v>
      </c>
      <c r="Y821" s="575" t="s">
        <v>1367</v>
      </c>
      <c r="Z821" s="576" t="s">
        <v>1945</v>
      </c>
      <c r="AA821" s="577">
        <v>1686</v>
      </c>
      <c r="AB821" s="575"/>
    </row>
    <row r="822" spans="1:28" hidden="1">
      <c r="A822" s="566" t="s">
        <v>1335</v>
      </c>
      <c r="B822" s="566" t="s">
        <v>466</v>
      </c>
      <c r="C822" s="566" t="s">
        <v>471</v>
      </c>
      <c r="D822" s="566" t="s">
        <v>472</v>
      </c>
      <c r="E822" s="566" t="s">
        <v>473</v>
      </c>
      <c r="F822" s="566" t="s">
        <v>474</v>
      </c>
      <c r="G822" s="567">
        <v>0</v>
      </c>
      <c r="H822" s="566" t="s">
        <v>1755</v>
      </c>
      <c r="I822" s="568">
        <v>2</v>
      </c>
      <c r="J822" s="569">
        <v>81</v>
      </c>
      <c r="K822" s="569">
        <v>81</v>
      </c>
      <c r="L822" s="566"/>
      <c r="M822" s="566" t="s">
        <v>476</v>
      </c>
      <c r="N822" s="570">
        <v>1722</v>
      </c>
      <c r="O822" s="566"/>
      <c r="P822" s="566" t="s">
        <v>477</v>
      </c>
      <c r="Q822" s="568">
        <v>909678</v>
      </c>
      <c r="R822" s="568">
        <v>42</v>
      </c>
      <c r="S822" s="566" t="s">
        <v>1375</v>
      </c>
      <c r="T822" s="575" t="s">
        <v>467</v>
      </c>
      <c r="U822" s="575" t="s">
        <v>468</v>
      </c>
      <c r="V822" s="575" t="s">
        <v>528</v>
      </c>
      <c r="W822" s="576" t="s">
        <v>1354</v>
      </c>
      <c r="X822" s="575" t="s">
        <v>1337</v>
      </c>
      <c r="Y822" s="575" t="s">
        <v>1367</v>
      </c>
      <c r="Z822" s="576" t="s">
        <v>1946</v>
      </c>
      <c r="AA822" s="577">
        <v>1722</v>
      </c>
      <c r="AB822" s="575"/>
    </row>
    <row r="823" spans="1:28" hidden="1">
      <c r="A823" s="566" t="s">
        <v>1335</v>
      </c>
      <c r="B823" s="566" t="s">
        <v>466</v>
      </c>
      <c r="C823" s="566" t="s">
        <v>487</v>
      </c>
      <c r="D823" s="566" t="s">
        <v>472</v>
      </c>
      <c r="E823" s="566" t="s">
        <v>473</v>
      </c>
      <c r="F823" s="566" t="s">
        <v>489</v>
      </c>
      <c r="G823" s="567">
        <v>50</v>
      </c>
      <c r="H823" s="566" t="s">
        <v>1757</v>
      </c>
      <c r="I823" s="568">
        <v>2</v>
      </c>
      <c r="J823" s="569">
        <v>81</v>
      </c>
      <c r="K823" s="569">
        <v>81</v>
      </c>
      <c r="L823" s="566"/>
      <c r="M823" s="566" t="s">
        <v>476</v>
      </c>
      <c r="N823" s="570">
        <v>1758</v>
      </c>
      <c r="O823" s="566"/>
      <c r="P823" s="566" t="s">
        <v>477</v>
      </c>
      <c r="Q823" s="568">
        <v>909678</v>
      </c>
      <c r="R823" s="568">
        <v>45</v>
      </c>
      <c r="S823" s="566" t="s">
        <v>1377</v>
      </c>
      <c r="T823" s="575" t="s">
        <v>467</v>
      </c>
      <c r="U823" s="575" t="s">
        <v>468</v>
      </c>
      <c r="V823" s="575" t="s">
        <v>528</v>
      </c>
      <c r="W823" s="576" t="s">
        <v>1358</v>
      </c>
      <c r="X823" s="575" t="s">
        <v>1337</v>
      </c>
      <c r="Y823" s="575" t="s">
        <v>1367</v>
      </c>
      <c r="Z823" s="576" t="s">
        <v>1947</v>
      </c>
      <c r="AA823" s="577">
        <v>1758</v>
      </c>
      <c r="AB823" s="575"/>
    </row>
    <row r="824" spans="1:28" hidden="1">
      <c r="A824" s="566" t="s">
        <v>1335</v>
      </c>
      <c r="B824" s="566" t="s">
        <v>466</v>
      </c>
      <c r="C824" s="566" t="s">
        <v>471</v>
      </c>
      <c r="D824" s="566" t="s">
        <v>472</v>
      </c>
      <c r="E824" s="566" t="s">
        <v>473</v>
      </c>
      <c r="F824" s="566" t="s">
        <v>474</v>
      </c>
      <c r="G824" s="567">
        <v>0</v>
      </c>
      <c r="H824" s="566" t="s">
        <v>479</v>
      </c>
      <c r="I824" s="568">
        <v>2</v>
      </c>
      <c r="J824" s="569">
        <v>9</v>
      </c>
      <c r="K824" s="569">
        <v>9</v>
      </c>
      <c r="L824" s="566"/>
      <c r="M824" s="566" t="s">
        <v>476</v>
      </c>
      <c r="N824" s="570">
        <v>498</v>
      </c>
      <c r="O824" s="566"/>
      <c r="P824" s="566" t="s">
        <v>477</v>
      </c>
      <c r="Q824" s="568">
        <v>909678</v>
      </c>
      <c r="R824" s="568">
        <v>10</v>
      </c>
      <c r="S824" s="566" t="s">
        <v>1382</v>
      </c>
      <c r="T824" s="575" t="s">
        <v>467</v>
      </c>
      <c r="U824" s="575" t="s">
        <v>468</v>
      </c>
      <c r="V824" s="575" t="s">
        <v>528</v>
      </c>
      <c r="W824" s="576" t="s">
        <v>1274</v>
      </c>
      <c r="X824" s="575" t="s">
        <v>1380</v>
      </c>
      <c r="Y824" s="575" t="s">
        <v>1338</v>
      </c>
      <c r="Z824" s="576" t="s">
        <v>529</v>
      </c>
      <c r="AA824" s="577">
        <v>498</v>
      </c>
      <c r="AB824" s="575"/>
    </row>
    <row r="825" spans="1:28" hidden="1">
      <c r="A825" s="566" t="s">
        <v>1335</v>
      </c>
      <c r="B825" s="566" t="s">
        <v>466</v>
      </c>
      <c r="C825" s="566" t="s">
        <v>471</v>
      </c>
      <c r="D825" s="566" t="s">
        <v>472</v>
      </c>
      <c r="E825" s="566" t="s">
        <v>473</v>
      </c>
      <c r="F825" s="566" t="s">
        <v>474</v>
      </c>
      <c r="G825" s="567">
        <v>0</v>
      </c>
      <c r="H825" s="566" t="s">
        <v>484</v>
      </c>
      <c r="I825" s="568">
        <v>2</v>
      </c>
      <c r="J825" s="569">
        <v>9</v>
      </c>
      <c r="K825" s="569">
        <v>9</v>
      </c>
      <c r="L825" s="566"/>
      <c r="M825" s="566" t="s">
        <v>476</v>
      </c>
      <c r="N825" s="570">
        <v>570</v>
      </c>
      <c r="O825" s="566"/>
      <c r="P825" s="566" t="s">
        <v>477</v>
      </c>
      <c r="Q825" s="568">
        <v>909678</v>
      </c>
      <c r="R825" s="568">
        <v>15</v>
      </c>
      <c r="S825" s="566" t="s">
        <v>483</v>
      </c>
      <c r="T825" s="575" t="s">
        <v>467</v>
      </c>
      <c r="U825" s="575" t="s">
        <v>468</v>
      </c>
      <c r="V825" s="575" t="s">
        <v>528</v>
      </c>
      <c r="W825" s="576" t="s">
        <v>1275</v>
      </c>
      <c r="X825" s="575" t="s">
        <v>1380</v>
      </c>
      <c r="Y825" s="575" t="s">
        <v>1338</v>
      </c>
      <c r="Z825" s="576" t="s">
        <v>530</v>
      </c>
      <c r="AA825" s="577">
        <v>570</v>
      </c>
      <c r="AB825" s="575"/>
    </row>
    <row r="826" spans="1:28" hidden="1">
      <c r="A826" s="566" t="s">
        <v>1335</v>
      </c>
      <c r="B826" s="566" t="s">
        <v>466</v>
      </c>
      <c r="C826" s="566" t="s">
        <v>487</v>
      </c>
      <c r="D826" s="566" t="s">
        <v>472</v>
      </c>
      <c r="E826" s="566" t="s">
        <v>473</v>
      </c>
      <c r="F826" s="566" t="s">
        <v>489</v>
      </c>
      <c r="G826" s="567">
        <v>50</v>
      </c>
      <c r="H826" s="566" t="s">
        <v>490</v>
      </c>
      <c r="I826" s="568">
        <v>2</v>
      </c>
      <c r="J826" s="569">
        <v>9</v>
      </c>
      <c r="K826" s="569">
        <v>9</v>
      </c>
      <c r="L826" s="566"/>
      <c r="M826" s="566" t="s">
        <v>476</v>
      </c>
      <c r="N826" s="570">
        <v>606</v>
      </c>
      <c r="O826" s="566"/>
      <c r="P826" s="566" t="s">
        <v>477</v>
      </c>
      <c r="Q826" s="568">
        <v>909678</v>
      </c>
      <c r="R826" s="568">
        <v>16</v>
      </c>
      <c r="S826" s="566" t="s">
        <v>488</v>
      </c>
      <c r="T826" s="575" t="s">
        <v>467</v>
      </c>
      <c r="U826" s="575" t="s">
        <v>468</v>
      </c>
      <c r="V826" s="575" t="s">
        <v>528</v>
      </c>
      <c r="W826" s="576" t="s">
        <v>485</v>
      </c>
      <c r="X826" s="575" t="s">
        <v>1380</v>
      </c>
      <c r="Y826" s="575" t="s">
        <v>1338</v>
      </c>
      <c r="Z826" s="576" t="s">
        <v>531</v>
      </c>
      <c r="AA826" s="577">
        <v>606</v>
      </c>
      <c r="AB826" s="575"/>
    </row>
    <row r="827" spans="1:28" hidden="1">
      <c r="A827" s="566" t="s">
        <v>1335</v>
      </c>
      <c r="B827" s="566" t="s">
        <v>466</v>
      </c>
      <c r="C827" s="566" t="s">
        <v>487</v>
      </c>
      <c r="D827" s="566" t="s">
        <v>472</v>
      </c>
      <c r="E827" s="566" t="s">
        <v>473</v>
      </c>
      <c r="F827" s="566" t="s">
        <v>489</v>
      </c>
      <c r="G827" s="567">
        <v>50</v>
      </c>
      <c r="H827" s="566" t="s">
        <v>494</v>
      </c>
      <c r="I827" s="568">
        <v>2</v>
      </c>
      <c r="J827" s="569">
        <v>9</v>
      </c>
      <c r="K827" s="569">
        <v>9</v>
      </c>
      <c r="L827" s="566"/>
      <c r="M827" s="566" t="s">
        <v>476</v>
      </c>
      <c r="N827" s="570">
        <v>642</v>
      </c>
      <c r="O827" s="566"/>
      <c r="P827" s="566" t="s">
        <v>477</v>
      </c>
      <c r="Q827" s="568">
        <v>909678</v>
      </c>
      <c r="R827" s="568">
        <v>17</v>
      </c>
      <c r="S827" s="566" t="s">
        <v>493</v>
      </c>
      <c r="T827" s="575" t="s">
        <v>467</v>
      </c>
      <c r="U827" s="575" t="s">
        <v>468</v>
      </c>
      <c r="V827" s="575" t="s">
        <v>528</v>
      </c>
      <c r="W827" s="576" t="s">
        <v>491</v>
      </c>
      <c r="X827" s="575" t="s">
        <v>1380</v>
      </c>
      <c r="Y827" s="575" t="s">
        <v>1338</v>
      </c>
      <c r="Z827" s="576" t="s">
        <v>532</v>
      </c>
      <c r="AA827" s="577">
        <v>642</v>
      </c>
      <c r="AB827" s="575"/>
    </row>
    <row r="828" spans="1:28" hidden="1">
      <c r="A828" s="566" t="s">
        <v>1335</v>
      </c>
      <c r="B828" s="566" t="s">
        <v>466</v>
      </c>
      <c r="C828" s="566" t="s">
        <v>487</v>
      </c>
      <c r="D828" s="566" t="s">
        <v>472</v>
      </c>
      <c r="E828" s="566" t="s">
        <v>473</v>
      </c>
      <c r="F828" s="566" t="s">
        <v>489</v>
      </c>
      <c r="G828" s="567">
        <v>50</v>
      </c>
      <c r="H828" s="566" t="s">
        <v>498</v>
      </c>
      <c r="I828" s="568">
        <v>2</v>
      </c>
      <c r="J828" s="569">
        <v>9</v>
      </c>
      <c r="K828" s="569">
        <v>9</v>
      </c>
      <c r="L828" s="566"/>
      <c r="M828" s="566" t="s">
        <v>476</v>
      </c>
      <c r="N828" s="570">
        <v>678</v>
      </c>
      <c r="O828" s="566"/>
      <c r="P828" s="566" t="s">
        <v>477</v>
      </c>
      <c r="Q828" s="568">
        <v>909678</v>
      </c>
      <c r="R828" s="568">
        <v>18</v>
      </c>
      <c r="S828" s="566" t="s">
        <v>497</v>
      </c>
      <c r="T828" s="575" t="s">
        <v>467</v>
      </c>
      <c r="U828" s="575" t="s">
        <v>468</v>
      </c>
      <c r="V828" s="575" t="s">
        <v>528</v>
      </c>
      <c r="W828" s="576" t="s">
        <v>495</v>
      </c>
      <c r="X828" s="575" t="s">
        <v>1380</v>
      </c>
      <c r="Y828" s="575" t="s">
        <v>1338</v>
      </c>
      <c r="Z828" s="576" t="s">
        <v>533</v>
      </c>
      <c r="AA828" s="577">
        <v>678</v>
      </c>
      <c r="AB828" s="575"/>
    </row>
    <row r="829" spans="1:28" hidden="1">
      <c r="A829" s="566" t="s">
        <v>1335</v>
      </c>
      <c r="B829" s="566" t="s">
        <v>466</v>
      </c>
      <c r="C829" s="566" t="s">
        <v>487</v>
      </c>
      <c r="D829" s="566" t="s">
        <v>472</v>
      </c>
      <c r="E829" s="566" t="s">
        <v>473</v>
      </c>
      <c r="F829" s="566" t="s">
        <v>489</v>
      </c>
      <c r="G829" s="567">
        <v>50</v>
      </c>
      <c r="H829" s="566" t="s">
        <v>503</v>
      </c>
      <c r="I829" s="568">
        <v>2</v>
      </c>
      <c r="J829" s="569">
        <v>9</v>
      </c>
      <c r="K829" s="569">
        <v>9</v>
      </c>
      <c r="L829" s="566"/>
      <c r="M829" s="566" t="s">
        <v>476</v>
      </c>
      <c r="N829" s="570">
        <v>750</v>
      </c>
      <c r="O829" s="566"/>
      <c r="P829" s="566" t="s">
        <v>477</v>
      </c>
      <c r="Q829" s="568">
        <v>909678</v>
      </c>
      <c r="R829" s="568">
        <v>19</v>
      </c>
      <c r="S829" s="566" t="s">
        <v>502</v>
      </c>
      <c r="T829" s="575" t="s">
        <v>467</v>
      </c>
      <c r="U829" s="575" t="s">
        <v>468</v>
      </c>
      <c r="V829" s="575" t="s">
        <v>528</v>
      </c>
      <c r="W829" s="576" t="s">
        <v>1276</v>
      </c>
      <c r="X829" s="575" t="s">
        <v>1380</v>
      </c>
      <c r="Y829" s="575" t="s">
        <v>1338</v>
      </c>
      <c r="Z829" s="576" t="s">
        <v>534</v>
      </c>
      <c r="AA829" s="577">
        <v>750</v>
      </c>
      <c r="AB829" s="575"/>
    </row>
    <row r="830" spans="1:28" hidden="1">
      <c r="A830" s="566" t="s">
        <v>1335</v>
      </c>
      <c r="B830" s="566" t="s">
        <v>466</v>
      </c>
      <c r="C830" s="566" t="s">
        <v>487</v>
      </c>
      <c r="D830" s="566" t="s">
        <v>472</v>
      </c>
      <c r="E830" s="566" t="s">
        <v>473</v>
      </c>
      <c r="F830" s="566" t="s">
        <v>489</v>
      </c>
      <c r="G830" s="567">
        <v>50</v>
      </c>
      <c r="H830" s="566" t="s">
        <v>508</v>
      </c>
      <c r="I830" s="568">
        <v>2</v>
      </c>
      <c r="J830" s="569">
        <v>9</v>
      </c>
      <c r="K830" s="569">
        <v>9</v>
      </c>
      <c r="L830" s="566"/>
      <c r="M830" s="566" t="s">
        <v>476</v>
      </c>
      <c r="N830" s="570">
        <v>822</v>
      </c>
      <c r="O830" s="566"/>
      <c r="P830" s="566" t="s">
        <v>477</v>
      </c>
      <c r="Q830" s="568">
        <v>909678</v>
      </c>
      <c r="R830" s="568">
        <v>21</v>
      </c>
      <c r="S830" s="566" t="s">
        <v>507</v>
      </c>
      <c r="T830" s="575" t="s">
        <v>467</v>
      </c>
      <c r="U830" s="575" t="s">
        <v>468</v>
      </c>
      <c r="V830" s="575" t="s">
        <v>528</v>
      </c>
      <c r="W830" s="576" t="s">
        <v>1277</v>
      </c>
      <c r="X830" s="575" t="s">
        <v>1380</v>
      </c>
      <c r="Y830" s="575" t="s">
        <v>1338</v>
      </c>
      <c r="Z830" s="576" t="s">
        <v>535</v>
      </c>
      <c r="AA830" s="577">
        <v>822</v>
      </c>
      <c r="AB830" s="575"/>
    </row>
    <row r="831" spans="1:28" hidden="1">
      <c r="A831" s="566" t="s">
        <v>1335</v>
      </c>
      <c r="B831" s="566" t="s">
        <v>466</v>
      </c>
      <c r="C831" s="566" t="s">
        <v>471</v>
      </c>
      <c r="D831" s="566" t="s">
        <v>472</v>
      </c>
      <c r="E831" s="566" t="s">
        <v>473</v>
      </c>
      <c r="F831" s="566" t="s">
        <v>474</v>
      </c>
      <c r="G831" s="567">
        <v>0</v>
      </c>
      <c r="H831" s="566" t="s">
        <v>1755</v>
      </c>
      <c r="I831" s="568">
        <v>2</v>
      </c>
      <c r="J831" s="569">
        <v>9</v>
      </c>
      <c r="K831" s="569">
        <v>9</v>
      </c>
      <c r="L831" s="566"/>
      <c r="M831" s="566" t="s">
        <v>476</v>
      </c>
      <c r="N831" s="570">
        <v>858</v>
      </c>
      <c r="O831" s="566"/>
      <c r="P831" s="566" t="s">
        <v>477</v>
      </c>
      <c r="Q831" s="568">
        <v>909678</v>
      </c>
      <c r="R831" s="568">
        <v>46</v>
      </c>
      <c r="S831" s="566" t="s">
        <v>1383</v>
      </c>
      <c r="T831" s="575" t="s">
        <v>467</v>
      </c>
      <c r="U831" s="575" t="s">
        <v>468</v>
      </c>
      <c r="V831" s="575" t="s">
        <v>528</v>
      </c>
      <c r="W831" s="576" t="s">
        <v>1354</v>
      </c>
      <c r="X831" s="575" t="s">
        <v>1380</v>
      </c>
      <c r="Y831" s="575" t="s">
        <v>1338</v>
      </c>
      <c r="Z831" s="576" t="s">
        <v>1948</v>
      </c>
      <c r="AA831" s="577">
        <v>858</v>
      </c>
      <c r="AB831" s="575"/>
    </row>
    <row r="832" spans="1:28" hidden="1">
      <c r="A832" s="566" t="s">
        <v>1335</v>
      </c>
      <c r="B832" s="566" t="s">
        <v>466</v>
      </c>
      <c r="C832" s="566" t="s">
        <v>487</v>
      </c>
      <c r="D832" s="566" t="s">
        <v>472</v>
      </c>
      <c r="E832" s="566" t="s">
        <v>473</v>
      </c>
      <c r="F832" s="566" t="s">
        <v>489</v>
      </c>
      <c r="G832" s="567">
        <v>50</v>
      </c>
      <c r="H832" s="566" t="s">
        <v>1757</v>
      </c>
      <c r="I832" s="568">
        <v>2</v>
      </c>
      <c r="J832" s="569">
        <v>9</v>
      </c>
      <c r="K832" s="569">
        <v>9</v>
      </c>
      <c r="L832" s="566"/>
      <c r="M832" s="566" t="s">
        <v>476</v>
      </c>
      <c r="N832" s="570">
        <v>894</v>
      </c>
      <c r="O832" s="566"/>
      <c r="P832" s="566" t="s">
        <v>477</v>
      </c>
      <c r="Q832" s="568">
        <v>909678</v>
      </c>
      <c r="R832" s="568">
        <v>47</v>
      </c>
      <c r="S832" s="566" t="s">
        <v>1385</v>
      </c>
      <c r="T832" s="575" t="s">
        <v>467</v>
      </c>
      <c r="U832" s="575" t="s">
        <v>468</v>
      </c>
      <c r="V832" s="575" t="s">
        <v>528</v>
      </c>
      <c r="W832" s="576" t="s">
        <v>1358</v>
      </c>
      <c r="X832" s="575" t="s">
        <v>1380</v>
      </c>
      <c r="Y832" s="575" t="s">
        <v>1338</v>
      </c>
      <c r="Z832" s="576" t="s">
        <v>1949</v>
      </c>
      <c r="AA832" s="577">
        <v>894</v>
      </c>
      <c r="AB832" s="575"/>
    </row>
    <row r="833" spans="1:28" hidden="1">
      <c r="A833" s="566" t="s">
        <v>1335</v>
      </c>
      <c r="B833" s="566" t="s">
        <v>466</v>
      </c>
      <c r="C833" s="566" t="s">
        <v>471</v>
      </c>
      <c r="D833" s="566" t="s">
        <v>472</v>
      </c>
      <c r="E833" s="566" t="s">
        <v>473</v>
      </c>
      <c r="F833" s="566" t="s">
        <v>474</v>
      </c>
      <c r="G833" s="567">
        <v>0</v>
      </c>
      <c r="H833" s="566" t="s">
        <v>511</v>
      </c>
      <c r="I833" s="568">
        <v>2</v>
      </c>
      <c r="J833" s="569">
        <v>9</v>
      </c>
      <c r="K833" s="569">
        <v>9</v>
      </c>
      <c r="L833" s="566"/>
      <c r="M833" s="566" t="s">
        <v>476</v>
      </c>
      <c r="N833" s="570">
        <v>354</v>
      </c>
      <c r="O833" s="566"/>
      <c r="P833" s="566" t="s">
        <v>477</v>
      </c>
      <c r="Q833" s="568">
        <v>909678</v>
      </c>
      <c r="R833" s="568">
        <v>5</v>
      </c>
      <c r="S833" s="566" t="s">
        <v>1392</v>
      </c>
      <c r="T833" s="575" t="s">
        <v>467</v>
      </c>
      <c r="U833" s="575" t="s">
        <v>468</v>
      </c>
      <c r="V833" s="575" t="s">
        <v>528</v>
      </c>
      <c r="W833" s="576" t="s">
        <v>509</v>
      </c>
      <c r="X833" s="575" t="s">
        <v>1380</v>
      </c>
      <c r="Y833" s="575" t="s">
        <v>1338</v>
      </c>
      <c r="Z833" s="576" t="s">
        <v>536</v>
      </c>
      <c r="AA833" s="577">
        <v>354</v>
      </c>
      <c r="AB833" s="575"/>
    </row>
    <row r="834" spans="1:28" hidden="1">
      <c r="A834" s="566" t="s">
        <v>1335</v>
      </c>
      <c r="B834" s="566" t="s">
        <v>466</v>
      </c>
      <c r="C834" s="566" t="s">
        <v>471</v>
      </c>
      <c r="D834" s="566" t="s">
        <v>472</v>
      </c>
      <c r="E834" s="566" t="s">
        <v>473</v>
      </c>
      <c r="F834" s="566" t="s">
        <v>474</v>
      </c>
      <c r="G834" s="567">
        <v>0</v>
      </c>
      <c r="H834" s="566" t="s">
        <v>213</v>
      </c>
      <c r="I834" s="568">
        <v>2</v>
      </c>
      <c r="J834" s="569">
        <v>9</v>
      </c>
      <c r="K834" s="569">
        <v>9</v>
      </c>
      <c r="L834" s="566"/>
      <c r="M834" s="566" t="s">
        <v>476</v>
      </c>
      <c r="N834" s="570">
        <v>390</v>
      </c>
      <c r="O834" s="566"/>
      <c r="P834" s="566" t="s">
        <v>477</v>
      </c>
      <c r="Q834" s="568">
        <v>909678</v>
      </c>
      <c r="R834" s="568">
        <v>6</v>
      </c>
      <c r="S834" s="566" t="s">
        <v>1393</v>
      </c>
      <c r="T834" s="575" t="s">
        <v>467</v>
      </c>
      <c r="U834" s="575" t="s">
        <v>468</v>
      </c>
      <c r="V834" s="575" t="s">
        <v>528</v>
      </c>
      <c r="W834" s="576" t="s">
        <v>512</v>
      </c>
      <c r="X834" s="575" t="s">
        <v>1380</v>
      </c>
      <c r="Y834" s="575" t="s">
        <v>1338</v>
      </c>
      <c r="Z834" s="576" t="s">
        <v>537</v>
      </c>
      <c r="AA834" s="577">
        <v>390</v>
      </c>
      <c r="AB834" s="575"/>
    </row>
    <row r="835" spans="1:28" hidden="1">
      <c r="A835" s="566" t="s">
        <v>1335</v>
      </c>
      <c r="B835" s="566" t="s">
        <v>466</v>
      </c>
      <c r="C835" s="566" t="s">
        <v>471</v>
      </c>
      <c r="D835" s="566" t="s">
        <v>472</v>
      </c>
      <c r="E835" s="566" t="s">
        <v>473</v>
      </c>
      <c r="F835" s="566" t="s">
        <v>474</v>
      </c>
      <c r="G835" s="567">
        <v>0</v>
      </c>
      <c r="H835" s="566" t="s">
        <v>516</v>
      </c>
      <c r="I835" s="568">
        <v>2</v>
      </c>
      <c r="J835" s="569">
        <v>9</v>
      </c>
      <c r="K835" s="569">
        <v>9</v>
      </c>
      <c r="L835" s="566"/>
      <c r="M835" s="566" t="s">
        <v>476</v>
      </c>
      <c r="N835" s="570">
        <v>426</v>
      </c>
      <c r="O835" s="566"/>
      <c r="P835" s="566" t="s">
        <v>477</v>
      </c>
      <c r="Q835" s="568">
        <v>909678</v>
      </c>
      <c r="R835" s="568">
        <v>14</v>
      </c>
      <c r="S835" s="566" t="s">
        <v>1394</v>
      </c>
      <c r="T835" s="575" t="s">
        <v>467</v>
      </c>
      <c r="U835" s="575" t="s">
        <v>468</v>
      </c>
      <c r="V835" s="575" t="s">
        <v>528</v>
      </c>
      <c r="W835" s="576" t="s">
        <v>514</v>
      </c>
      <c r="X835" s="575" t="s">
        <v>1380</v>
      </c>
      <c r="Y835" s="575" t="s">
        <v>1338</v>
      </c>
      <c r="Z835" s="576" t="s">
        <v>538</v>
      </c>
      <c r="AA835" s="577">
        <v>426</v>
      </c>
      <c r="AB835" s="575"/>
    </row>
    <row r="836" spans="1:28" hidden="1">
      <c r="A836" s="566" t="s">
        <v>1335</v>
      </c>
      <c r="B836" s="566" t="s">
        <v>466</v>
      </c>
      <c r="C836" s="566" t="s">
        <v>471</v>
      </c>
      <c r="D836" s="566" t="s">
        <v>472</v>
      </c>
      <c r="E836" s="566" t="s">
        <v>473</v>
      </c>
      <c r="F836" s="566" t="s">
        <v>474</v>
      </c>
      <c r="G836" s="567">
        <v>0</v>
      </c>
      <c r="H836" s="566" t="s">
        <v>479</v>
      </c>
      <c r="I836" s="568">
        <v>2</v>
      </c>
      <c r="J836" s="569">
        <v>33</v>
      </c>
      <c r="K836" s="569">
        <v>33</v>
      </c>
      <c r="L836" s="566"/>
      <c r="M836" s="566" t="s">
        <v>476</v>
      </c>
      <c r="N836" s="570">
        <v>1362</v>
      </c>
      <c r="O836" s="566"/>
      <c r="P836" s="566" t="s">
        <v>477</v>
      </c>
      <c r="Q836" s="568">
        <v>909678</v>
      </c>
      <c r="R836" s="568">
        <v>34</v>
      </c>
      <c r="S836" s="566" t="s">
        <v>1395</v>
      </c>
      <c r="T836" s="575" t="s">
        <v>467</v>
      </c>
      <c r="U836" s="575" t="s">
        <v>468</v>
      </c>
      <c r="V836" s="575" t="s">
        <v>528</v>
      </c>
      <c r="W836" s="576" t="s">
        <v>1274</v>
      </c>
      <c r="X836" s="575" t="s">
        <v>1380</v>
      </c>
      <c r="Y836" s="575" t="s">
        <v>1367</v>
      </c>
      <c r="Z836" s="576" t="s">
        <v>1950</v>
      </c>
      <c r="AA836" s="577">
        <v>1362</v>
      </c>
      <c r="AB836" s="575"/>
    </row>
    <row r="837" spans="1:28" hidden="1">
      <c r="A837" s="566" t="s">
        <v>1335</v>
      </c>
      <c r="B837" s="566" t="s">
        <v>466</v>
      </c>
      <c r="C837" s="566" t="s">
        <v>471</v>
      </c>
      <c r="D837" s="566" t="s">
        <v>472</v>
      </c>
      <c r="E837" s="566" t="s">
        <v>473</v>
      </c>
      <c r="F837" s="566" t="s">
        <v>474</v>
      </c>
      <c r="G837" s="567">
        <v>0</v>
      </c>
      <c r="H837" s="566" t="s">
        <v>484</v>
      </c>
      <c r="I837" s="568">
        <v>2</v>
      </c>
      <c r="J837" s="569">
        <v>33</v>
      </c>
      <c r="K837" s="569">
        <v>33</v>
      </c>
      <c r="L837" s="566"/>
      <c r="M837" s="566" t="s">
        <v>476</v>
      </c>
      <c r="N837" s="570">
        <v>1398</v>
      </c>
      <c r="O837" s="566"/>
      <c r="P837" s="566" t="s">
        <v>477</v>
      </c>
      <c r="Q837" s="568">
        <v>909678</v>
      </c>
      <c r="R837" s="568">
        <v>35</v>
      </c>
      <c r="S837" s="566" t="s">
        <v>1397</v>
      </c>
      <c r="T837" s="575" t="s">
        <v>467</v>
      </c>
      <c r="U837" s="575" t="s">
        <v>468</v>
      </c>
      <c r="V837" s="575" t="s">
        <v>528</v>
      </c>
      <c r="W837" s="576" t="s">
        <v>1275</v>
      </c>
      <c r="X837" s="575" t="s">
        <v>1380</v>
      </c>
      <c r="Y837" s="575" t="s">
        <v>1367</v>
      </c>
      <c r="Z837" s="576" t="s">
        <v>1951</v>
      </c>
      <c r="AA837" s="577">
        <v>1398</v>
      </c>
      <c r="AB837" s="575"/>
    </row>
    <row r="838" spans="1:28" hidden="1">
      <c r="A838" s="566" t="s">
        <v>1335</v>
      </c>
      <c r="B838" s="566" t="s">
        <v>466</v>
      </c>
      <c r="C838" s="566" t="s">
        <v>487</v>
      </c>
      <c r="D838" s="566" t="s">
        <v>472</v>
      </c>
      <c r="E838" s="566" t="s">
        <v>473</v>
      </c>
      <c r="F838" s="566" t="s">
        <v>489</v>
      </c>
      <c r="G838" s="567">
        <v>50</v>
      </c>
      <c r="H838" s="566" t="s">
        <v>503</v>
      </c>
      <c r="I838" s="568">
        <v>2</v>
      </c>
      <c r="J838" s="569">
        <v>33</v>
      </c>
      <c r="K838" s="569">
        <v>33</v>
      </c>
      <c r="L838" s="566"/>
      <c r="M838" s="566" t="s">
        <v>476</v>
      </c>
      <c r="N838" s="570">
        <v>1434</v>
      </c>
      <c r="O838" s="566"/>
      <c r="P838" s="566" t="s">
        <v>477</v>
      </c>
      <c r="Q838" s="568">
        <v>909678</v>
      </c>
      <c r="R838" s="568">
        <v>37</v>
      </c>
      <c r="S838" s="566" t="s">
        <v>1399</v>
      </c>
      <c r="T838" s="575" t="s">
        <v>467</v>
      </c>
      <c r="U838" s="575" t="s">
        <v>468</v>
      </c>
      <c r="V838" s="575" t="s">
        <v>528</v>
      </c>
      <c r="W838" s="576" t="s">
        <v>1276</v>
      </c>
      <c r="X838" s="575" t="s">
        <v>1380</v>
      </c>
      <c r="Y838" s="575" t="s">
        <v>1367</v>
      </c>
      <c r="Z838" s="576" t="s">
        <v>1952</v>
      </c>
      <c r="AA838" s="577">
        <v>1434</v>
      </c>
      <c r="AB838" s="575"/>
    </row>
    <row r="839" spans="1:28" hidden="1">
      <c r="A839" s="566" t="s">
        <v>1335</v>
      </c>
      <c r="B839" s="566" t="s">
        <v>466</v>
      </c>
      <c r="C839" s="566" t="s">
        <v>487</v>
      </c>
      <c r="D839" s="566" t="s">
        <v>472</v>
      </c>
      <c r="E839" s="566" t="s">
        <v>473</v>
      </c>
      <c r="F839" s="566" t="s">
        <v>489</v>
      </c>
      <c r="G839" s="567">
        <v>50</v>
      </c>
      <c r="H839" s="566" t="s">
        <v>508</v>
      </c>
      <c r="I839" s="568">
        <v>2</v>
      </c>
      <c r="J839" s="569">
        <v>33</v>
      </c>
      <c r="K839" s="569">
        <v>33</v>
      </c>
      <c r="L839" s="566"/>
      <c r="M839" s="566" t="s">
        <v>476</v>
      </c>
      <c r="N839" s="570">
        <v>1470</v>
      </c>
      <c r="O839" s="566"/>
      <c r="P839" s="566" t="s">
        <v>477</v>
      </c>
      <c r="Q839" s="568">
        <v>909678</v>
      </c>
      <c r="R839" s="568">
        <v>38</v>
      </c>
      <c r="S839" s="566" t="s">
        <v>1401</v>
      </c>
      <c r="T839" s="575" t="s">
        <v>467</v>
      </c>
      <c r="U839" s="575" t="s">
        <v>468</v>
      </c>
      <c r="V839" s="575" t="s">
        <v>528</v>
      </c>
      <c r="W839" s="576" t="s">
        <v>1277</v>
      </c>
      <c r="X839" s="575" t="s">
        <v>1380</v>
      </c>
      <c r="Y839" s="575" t="s">
        <v>1367</v>
      </c>
      <c r="Z839" s="576" t="s">
        <v>1953</v>
      </c>
      <c r="AA839" s="577">
        <v>1470</v>
      </c>
      <c r="AB839" s="575"/>
    </row>
    <row r="840" spans="1:28" hidden="1">
      <c r="A840" s="566" t="s">
        <v>1335</v>
      </c>
      <c r="B840" s="566" t="s">
        <v>466</v>
      </c>
      <c r="C840" s="566" t="s">
        <v>471</v>
      </c>
      <c r="D840" s="566" t="s">
        <v>472</v>
      </c>
      <c r="E840" s="566" t="s">
        <v>473</v>
      </c>
      <c r="F840" s="566" t="s">
        <v>474</v>
      </c>
      <c r="G840" s="567">
        <v>0</v>
      </c>
      <c r="H840" s="566" t="s">
        <v>1755</v>
      </c>
      <c r="I840" s="568">
        <v>2</v>
      </c>
      <c r="J840" s="569">
        <v>33</v>
      </c>
      <c r="K840" s="569">
        <v>33</v>
      </c>
      <c r="L840" s="566"/>
      <c r="M840" s="566" t="s">
        <v>476</v>
      </c>
      <c r="N840" s="570">
        <v>1506</v>
      </c>
      <c r="O840" s="566"/>
      <c r="P840" s="566" t="s">
        <v>477</v>
      </c>
      <c r="Q840" s="568">
        <v>909678</v>
      </c>
      <c r="R840" s="568">
        <v>36</v>
      </c>
      <c r="S840" s="566" t="s">
        <v>1403</v>
      </c>
      <c r="T840" s="575" t="s">
        <v>467</v>
      </c>
      <c r="U840" s="575" t="s">
        <v>468</v>
      </c>
      <c r="V840" s="575" t="s">
        <v>528</v>
      </c>
      <c r="W840" s="576" t="s">
        <v>1354</v>
      </c>
      <c r="X840" s="575" t="s">
        <v>1380</v>
      </c>
      <c r="Y840" s="575" t="s">
        <v>1367</v>
      </c>
      <c r="Z840" s="576" t="s">
        <v>1954</v>
      </c>
      <c r="AA840" s="577">
        <v>1506</v>
      </c>
      <c r="AB840" s="575"/>
    </row>
    <row r="841" spans="1:28" hidden="1">
      <c r="A841" s="566" t="s">
        <v>1335</v>
      </c>
      <c r="B841" s="566" t="s">
        <v>466</v>
      </c>
      <c r="C841" s="566" t="s">
        <v>487</v>
      </c>
      <c r="D841" s="566" t="s">
        <v>472</v>
      </c>
      <c r="E841" s="566" t="s">
        <v>473</v>
      </c>
      <c r="F841" s="566" t="s">
        <v>489</v>
      </c>
      <c r="G841" s="567">
        <v>50</v>
      </c>
      <c r="H841" s="566" t="s">
        <v>1757</v>
      </c>
      <c r="I841" s="568">
        <v>2</v>
      </c>
      <c r="J841" s="569">
        <v>33</v>
      </c>
      <c r="K841" s="569">
        <v>33</v>
      </c>
      <c r="L841" s="566"/>
      <c r="M841" s="566" t="s">
        <v>476</v>
      </c>
      <c r="N841" s="570">
        <v>1542</v>
      </c>
      <c r="O841" s="566"/>
      <c r="P841" s="566" t="s">
        <v>477</v>
      </c>
      <c r="Q841" s="568">
        <v>909678</v>
      </c>
      <c r="R841" s="568">
        <v>39</v>
      </c>
      <c r="S841" s="566" t="s">
        <v>1405</v>
      </c>
      <c r="T841" s="575" t="s">
        <v>467</v>
      </c>
      <c r="U841" s="575" t="s">
        <v>468</v>
      </c>
      <c r="V841" s="575" t="s">
        <v>528</v>
      </c>
      <c r="W841" s="576" t="s">
        <v>1358</v>
      </c>
      <c r="X841" s="575" t="s">
        <v>1380</v>
      </c>
      <c r="Y841" s="575" t="s">
        <v>1367</v>
      </c>
      <c r="Z841" s="576" t="s">
        <v>1955</v>
      </c>
      <c r="AA841" s="577">
        <v>1542</v>
      </c>
      <c r="AB841" s="575"/>
    </row>
    <row r="842" spans="1:28" hidden="1">
      <c r="A842" s="566" t="s">
        <v>1335</v>
      </c>
      <c r="B842" s="566" t="s">
        <v>466</v>
      </c>
      <c r="C842" s="566" t="s">
        <v>471</v>
      </c>
      <c r="D842" s="566" t="s">
        <v>472</v>
      </c>
      <c r="E842" s="566" t="s">
        <v>473</v>
      </c>
      <c r="F842" s="566" t="s">
        <v>474</v>
      </c>
      <c r="G842" s="567">
        <v>0</v>
      </c>
      <c r="H842" s="566" t="s">
        <v>475</v>
      </c>
      <c r="I842" s="568">
        <v>2</v>
      </c>
      <c r="J842" s="569">
        <v>9</v>
      </c>
      <c r="K842" s="569">
        <v>9</v>
      </c>
      <c r="L842" s="566"/>
      <c r="M842" s="566" t="s">
        <v>476</v>
      </c>
      <c r="N842" s="570">
        <v>462</v>
      </c>
      <c r="O842" s="566"/>
      <c r="P842" s="566" t="s">
        <v>477</v>
      </c>
      <c r="Q842" s="568">
        <v>909678</v>
      </c>
      <c r="R842" s="568">
        <v>7</v>
      </c>
      <c r="S842" s="566" t="s">
        <v>1407</v>
      </c>
      <c r="T842" s="575" t="s">
        <v>1408</v>
      </c>
      <c r="U842" s="575" t="s">
        <v>468</v>
      </c>
      <c r="V842" s="575" t="s">
        <v>528</v>
      </c>
      <c r="W842" s="576" t="s">
        <v>470</v>
      </c>
      <c r="X842" s="575" t="s">
        <v>1380</v>
      </c>
      <c r="Y842" s="575" t="s">
        <v>1338</v>
      </c>
      <c r="Z842" s="576" t="s">
        <v>1956</v>
      </c>
      <c r="AA842" s="577">
        <v>462</v>
      </c>
      <c r="AB842" s="575"/>
    </row>
    <row r="843" spans="1:28" hidden="1">
      <c r="A843" s="566" t="s">
        <v>1335</v>
      </c>
      <c r="B843" s="566" t="s">
        <v>466</v>
      </c>
      <c r="C843" s="566" t="s">
        <v>471</v>
      </c>
      <c r="D843" s="566" t="s">
        <v>472</v>
      </c>
      <c r="E843" s="566" t="s">
        <v>473</v>
      </c>
      <c r="F843" s="566" t="s">
        <v>474</v>
      </c>
      <c r="G843" s="567">
        <v>0</v>
      </c>
      <c r="H843" s="566" t="s">
        <v>481</v>
      </c>
      <c r="I843" s="568">
        <v>2</v>
      </c>
      <c r="J843" s="569">
        <v>9</v>
      </c>
      <c r="K843" s="569">
        <v>9</v>
      </c>
      <c r="L843" s="566"/>
      <c r="M843" s="566" t="s">
        <v>476</v>
      </c>
      <c r="N843" s="570">
        <v>534</v>
      </c>
      <c r="O843" s="566"/>
      <c r="P843" s="566" t="s">
        <v>477</v>
      </c>
      <c r="Q843" s="568">
        <v>909678</v>
      </c>
      <c r="R843" s="568">
        <v>8</v>
      </c>
      <c r="S843" s="566" t="s">
        <v>1410</v>
      </c>
      <c r="T843" s="575" t="s">
        <v>1408</v>
      </c>
      <c r="U843" s="575" t="s">
        <v>468</v>
      </c>
      <c r="V843" s="575" t="s">
        <v>528</v>
      </c>
      <c r="W843" s="576" t="s">
        <v>480</v>
      </c>
      <c r="X843" s="575" t="s">
        <v>1380</v>
      </c>
      <c r="Y843" s="575" t="s">
        <v>1338</v>
      </c>
      <c r="Z843" s="576" t="s">
        <v>1957</v>
      </c>
      <c r="AA843" s="577">
        <v>534</v>
      </c>
      <c r="AB843" s="575"/>
    </row>
    <row r="844" spans="1:28" hidden="1">
      <c r="A844" s="566" t="s">
        <v>1335</v>
      </c>
      <c r="B844" s="566" t="s">
        <v>466</v>
      </c>
      <c r="C844" s="566" t="s">
        <v>487</v>
      </c>
      <c r="D844" s="566" t="s">
        <v>472</v>
      </c>
      <c r="E844" s="566" t="s">
        <v>473</v>
      </c>
      <c r="F844" s="566" t="s">
        <v>489</v>
      </c>
      <c r="G844" s="567">
        <v>50</v>
      </c>
      <c r="H844" s="566" t="s">
        <v>500</v>
      </c>
      <c r="I844" s="568">
        <v>2</v>
      </c>
      <c r="J844" s="569">
        <v>9</v>
      </c>
      <c r="K844" s="569">
        <v>9</v>
      </c>
      <c r="L844" s="566"/>
      <c r="M844" s="566" t="s">
        <v>476</v>
      </c>
      <c r="N844" s="570">
        <v>714</v>
      </c>
      <c r="O844" s="566"/>
      <c r="P844" s="566" t="s">
        <v>477</v>
      </c>
      <c r="Q844" s="568">
        <v>909678</v>
      </c>
      <c r="R844" s="568">
        <v>11</v>
      </c>
      <c r="S844" s="566" t="s">
        <v>1412</v>
      </c>
      <c r="T844" s="575" t="s">
        <v>1408</v>
      </c>
      <c r="U844" s="575" t="s">
        <v>468</v>
      </c>
      <c r="V844" s="575" t="s">
        <v>528</v>
      </c>
      <c r="W844" s="576" t="s">
        <v>499</v>
      </c>
      <c r="X844" s="575" t="s">
        <v>1380</v>
      </c>
      <c r="Y844" s="575" t="s">
        <v>1338</v>
      </c>
      <c r="Z844" s="576" t="s">
        <v>1958</v>
      </c>
      <c r="AA844" s="577">
        <v>714</v>
      </c>
      <c r="AB844" s="575"/>
    </row>
    <row r="845" spans="1:28" hidden="1">
      <c r="A845" s="566" t="s">
        <v>1335</v>
      </c>
      <c r="B845" s="566" t="s">
        <v>466</v>
      </c>
      <c r="C845" s="566" t="s">
        <v>487</v>
      </c>
      <c r="D845" s="566" t="s">
        <v>472</v>
      </c>
      <c r="E845" s="566" t="s">
        <v>473</v>
      </c>
      <c r="F845" s="566" t="s">
        <v>489</v>
      </c>
      <c r="G845" s="567">
        <v>50</v>
      </c>
      <c r="H845" s="566" t="s">
        <v>505</v>
      </c>
      <c r="I845" s="568">
        <v>2</v>
      </c>
      <c r="J845" s="569">
        <v>9</v>
      </c>
      <c r="K845" s="569">
        <v>9</v>
      </c>
      <c r="L845" s="566"/>
      <c r="M845" s="566" t="s">
        <v>476</v>
      </c>
      <c r="N845" s="570">
        <v>786</v>
      </c>
      <c r="O845" s="566"/>
      <c r="P845" s="566" t="s">
        <v>477</v>
      </c>
      <c r="Q845" s="568">
        <v>909678</v>
      </c>
      <c r="R845" s="568">
        <v>20</v>
      </c>
      <c r="S845" s="566" t="s">
        <v>1414</v>
      </c>
      <c r="T845" s="575" t="s">
        <v>1408</v>
      </c>
      <c r="U845" s="575" t="s">
        <v>468</v>
      </c>
      <c r="V845" s="575" t="s">
        <v>528</v>
      </c>
      <c r="W845" s="576" t="s">
        <v>504</v>
      </c>
      <c r="X845" s="575" t="s">
        <v>1380</v>
      </c>
      <c r="Y845" s="575" t="s">
        <v>1338</v>
      </c>
      <c r="Z845" s="576" t="s">
        <v>1959</v>
      </c>
      <c r="AA845" s="577">
        <v>786</v>
      </c>
      <c r="AB845" s="575"/>
    </row>
    <row r="846" spans="1:28" hidden="1">
      <c r="A846" s="566" t="s">
        <v>1335</v>
      </c>
      <c r="B846" s="566" t="s">
        <v>466</v>
      </c>
      <c r="C846" s="566" t="s">
        <v>471</v>
      </c>
      <c r="D846" s="566" t="s">
        <v>472</v>
      </c>
      <c r="E846" s="566" t="s">
        <v>473</v>
      </c>
      <c r="F846" s="566" t="s">
        <v>474</v>
      </c>
      <c r="G846" s="567">
        <v>0</v>
      </c>
      <c r="H846" s="566" t="s">
        <v>479</v>
      </c>
      <c r="I846" s="568">
        <v>2</v>
      </c>
      <c r="J846" s="569">
        <v>55</v>
      </c>
      <c r="K846" s="569">
        <v>55</v>
      </c>
      <c r="L846" s="566"/>
      <c r="M846" s="566" t="s">
        <v>476</v>
      </c>
      <c r="N846" s="570">
        <v>1036</v>
      </c>
      <c r="O846" s="566"/>
      <c r="P846" s="566" t="s">
        <v>477</v>
      </c>
      <c r="Q846" s="568">
        <v>909678</v>
      </c>
      <c r="R846" s="568">
        <v>25</v>
      </c>
      <c r="S846" s="566" t="s">
        <v>1336</v>
      </c>
      <c r="T846" s="586" t="s">
        <v>779</v>
      </c>
      <c r="U846" s="586" t="s">
        <v>468</v>
      </c>
      <c r="V846" s="586" t="s">
        <v>528</v>
      </c>
      <c r="W846" s="587" t="s">
        <v>1274</v>
      </c>
      <c r="X846" s="586" t="s">
        <v>1337</v>
      </c>
      <c r="Y846" s="586" t="s">
        <v>1338</v>
      </c>
      <c r="Z846" s="587" t="s">
        <v>1960</v>
      </c>
      <c r="AA846" s="588">
        <v>1036</v>
      </c>
      <c r="AB846" s="586"/>
    </row>
    <row r="847" spans="1:28" hidden="1">
      <c r="A847" s="566" t="s">
        <v>1335</v>
      </c>
      <c r="B847" s="566" t="s">
        <v>466</v>
      </c>
      <c r="C847" s="566" t="s">
        <v>471</v>
      </c>
      <c r="D847" s="566" t="s">
        <v>472</v>
      </c>
      <c r="E847" s="566" t="s">
        <v>473</v>
      </c>
      <c r="F847" s="566" t="s">
        <v>474</v>
      </c>
      <c r="G847" s="567">
        <v>0</v>
      </c>
      <c r="H847" s="566" t="s">
        <v>484</v>
      </c>
      <c r="I847" s="568">
        <v>2</v>
      </c>
      <c r="J847" s="569">
        <v>55</v>
      </c>
      <c r="K847" s="569">
        <v>55</v>
      </c>
      <c r="L847" s="566"/>
      <c r="M847" s="566" t="s">
        <v>476</v>
      </c>
      <c r="N847" s="570">
        <v>1072</v>
      </c>
      <c r="O847" s="566"/>
      <c r="P847" s="566" t="s">
        <v>477</v>
      </c>
      <c r="Q847" s="568">
        <v>909678</v>
      </c>
      <c r="R847" s="568">
        <v>26</v>
      </c>
      <c r="S847" s="566" t="s">
        <v>1340</v>
      </c>
      <c r="T847" s="586" t="s">
        <v>779</v>
      </c>
      <c r="U847" s="586" t="s">
        <v>468</v>
      </c>
      <c r="V847" s="586" t="s">
        <v>528</v>
      </c>
      <c r="W847" s="587" t="s">
        <v>1275</v>
      </c>
      <c r="X847" s="586" t="s">
        <v>1337</v>
      </c>
      <c r="Y847" s="586" t="s">
        <v>1338</v>
      </c>
      <c r="Z847" s="587" t="s">
        <v>1961</v>
      </c>
      <c r="AA847" s="588">
        <v>1072</v>
      </c>
      <c r="AB847" s="586"/>
    </row>
    <row r="848" spans="1:28" hidden="1">
      <c r="A848" s="566" t="s">
        <v>1335</v>
      </c>
      <c r="B848" s="566" t="s">
        <v>466</v>
      </c>
      <c r="C848" s="566" t="s">
        <v>487</v>
      </c>
      <c r="D848" s="566" t="s">
        <v>472</v>
      </c>
      <c r="E848" s="566" t="s">
        <v>473</v>
      </c>
      <c r="F848" s="566" t="s">
        <v>489</v>
      </c>
      <c r="G848" s="567">
        <v>50</v>
      </c>
      <c r="H848" s="566" t="s">
        <v>490</v>
      </c>
      <c r="I848" s="568">
        <v>2</v>
      </c>
      <c r="J848" s="569">
        <v>55</v>
      </c>
      <c r="K848" s="569">
        <v>55</v>
      </c>
      <c r="L848" s="566"/>
      <c r="M848" s="566" t="s">
        <v>476</v>
      </c>
      <c r="N848" s="570">
        <v>1108</v>
      </c>
      <c r="O848" s="566"/>
      <c r="P848" s="566" t="s">
        <v>477</v>
      </c>
      <c r="Q848" s="568">
        <v>909678</v>
      </c>
      <c r="R848" s="568">
        <v>28</v>
      </c>
      <c r="S848" s="566" t="s">
        <v>1342</v>
      </c>
      <c r="T848" s="586" t="s">
        <v>779</v>
      </c>
      <c r="U848" s="586" t="s">
        <v>468</v>
      </c>
      <c r="V848" s="586" t="s">
        <v>528</v>
      </c>
      <c r="W848" s="587" t="s">
        <v>485</v>
      </c>
      <c r="X848" s="586" t="s">
        <v>1337</v>
      </c>
      <c r="Y848" s="586" t="s">
        <v>1338</v>
      </c>
      <c r="Z848" s="587" t="s">
        <v>1962</v>
      </c>
      <c r="AA848" s="588">
        <v>1108</v>
      </c>
      <c r="AB848" s="586"/>
    </row>
    <row r="849" spans="1:28" hidden="1">
      <c r="A849" s="566" t="s">
        <v>1335</v>
      </c>
      <c r="B849" s="566" t="s">
        <v>466</v>
      </c>
      <c r="C849" s="566" t="s">
        <v>487</v>
      </c>
      <c r="D849" s="566" t="s">
        <v>472</v>
      </c>
      <c r="E849" s="566" t="s">
        <v>473</v>
      </c>
      <c r="F849" s="566" t="s">
        <v>489</v>
      </c>
      <c r="G849" s="567">
        <v>50</v>
      </c>
      <c r="H849" s="566" t="s">
        <v>494</v>
      </c>
      <c r="I849" s="568">
        <v>2</v>
      </c>
      <c r="J849" s="569">
        <v>55</v>
      </c>
      <c r="K849" s="569">
        <v>55</v>
      </c>
      <c r="L849" s="566"/>
      <c r="M849" s="566" t="s">
        <v>476</v>
      </c>
      <c r="N849" s="570">
        <v>1144</v>
      </c>
      <c r="O849" s="566"/>
      <c r="P849" s="566" t="s">
        <v>477</v>
      </c>
      <c r="Q849" s="568">
        <v>909678</v>
      </c>
      <c r="R849" s="568">
        <v>29</v>
      </c>
      <c r="S849" s="566" t="s">
        <v>1344</v>
      </c>
      <c r="T849" s="586" t="s">
        <v>779</v>
      </c>
      <c r="U849" s="586" t="s">
        <v>468</v>
      </c>
      <c r="V849" s="586" t="s">
        <v>528</v>
      </c>
      <c r="W849" s="587" t="s">
        <v>491</v>
      </c>
      <c r="X849" s="586" t="s">
        <v>1337</v>
      </c>
      <c r="Y849" s="586" t="s">
        <v>1338</v>
      </c>
      <c r="Z849" s="587" t="s">
        <v>1963</v>
      </c>
      <c r="AA849" s="588">
        <v>1144</v>
      </c>
      <c r="AB849" s="586"/>
    </row>
    <row r="850" spans="1:28" hidden="1">
      <c r="A850" s="566" t="s">
        <v>1335</v>
      </c>
      <c r="B850" s="566" t="s">
        <v>466</v>
      </c>
      <c r="C850" s="566" t="s">
        <v>487</v>
      </c>
      <c r="D850" s="566" t="s">
        <v>472</v>
      </c>
      <c r="E850" s="566" t="s">
        <v>473</v>
      </c>
      <c r="F850" s="566" t="s">
        <v>489</v>
      </c>
      <c r="G850" s="567">
        <v>50</v>
      </c>
      <c r="H850" s="566" t="s">
        <v>498</v>
      </c>
      <c r="I850" s="568">
        <v>2</v>
      </c>
      <c r="J850" s="569">
        <v>55</v>
      </c>
      <c r="K850" s="569">
        <v>55</v>
      </c>
      <c r="L850" s="566"/>
      <c r="M850" s="566" t="s">
        <v>476</v>
      </c>
      <c r="N850" s="570">
        <v>1180</v>
      </c>
      <c r="O850" s="566"/>
      <c r="P850" s="566" t="s">
        <v>477</v>
      </c>
      <c r="Q850" s="568">
        <v>909678</v>
      </c>
      <c r="R850" s="568">
        <v>30</v>
      </c>
      <c r="S850" s="566" t="s">
        <v>1346</v>
      </c>
      <c r="T850" s="586" t="s">
        <v>779</v>
      </c>
      <c r="U850" s="586" t="s">
        <v>468</v>
      </c>
      <c r="V850" s="586" t="s">
        <v>528</v>
      </c>
      <c r="W850" s="587" t="s">
        <v>495</v>
      </c>
      <c r="X850" s="586" t="s">
        <v>1337</v>
      </c>
      <c r="Y850" s="586" t="s">
        <v>1338</v>
      </c>
      <c r="Z850" s="587" t="s">
        <v>1964</v>
      </c>
      <c r="AA850" s="588">
        <v>1180</v>
      </c>
      <c r="AB850" s="586"/>
    </row>
    <row r="851" spans="1:28" hidden="1">
      <c r="A851" s="566" t="s">
        <v>1335</v>
      </c>
      <c r="B851" s="566" t="s">
        <v>466</v>
      </c>
      <c r="C851" s="566" t="s">
        <v>487</v>
      </c>
      <c r="D851" s="566" t="s">
        <v>472</v>
      </c>
      <c r="E851" s="566" t="s">
        <v>473</v>
      </c>
      <c r="F851" s="566" t="s">
        <v>489</v>
      </c>
      <c r="G851" s="567">
        <v>50</v>
      </c>
      <c r="H851" s="566" t="s">
        <v>503</v>
      </c>
      <c r="I851" s="568">
        <v>2</v>
      </c>
      <c r="J851" s="569">
        <v>55</v>
      </c>
      <c r="K851" s="569">
        <v>55</v>
      </c>
      <c r="L851" s="566"/>
      <c r="M851" s="566" t="s">
        <v>476</v>
      </c>
      <c r="N851" s="570">
        <v>1216</v>
      </c>
      <c r="O851" s="566"/>
      <c r="P851" s="566" t="s">
        <v>477</v>
      </c>
      <c r="Q851" s="568">
        <v>909678</v>
      </c>
      <c r="R851" s="568">
        <v>31</v>
      </c>
      <c r="S851" s="566" t="s">
        <v>1348</v>
      </c>
      <c r="T851" s="586" t="s">
        <v>779</v>
      </c>
      <c r="U851" s="586" t="s">
        <v>468</v>
      </c>
      <c r="V851" s="586" t="s">
        <v>528</v>
      </c>
      <c r="W851" s="587" t="s">
        <v>1276</v>
      </c>
      <c r="X851" s="586" t="s">
        <v>1337</v>
      </c>
      <c r="Y851" s="586" t="s">
        <v>1338</v>
      </c>
      <c r="Z851" s="587" t="s">
        <v>1965</v>
      </c>
      <c r="AA851" s="588">
        <v>1216</v>
      </c>
      <c r="AB851" s="586"/>
    </row>
    <row r="852" spans="1:28" hidden="1">
      <c r="A852" s="566" t="s">
        <v>1335</v>
      </c>
      <c r="B852" s="566" t="s">
        <v>466</v>
      </c>
      <c r="C852" s="566" t="s">
        <v>487</v>
      </c>
      <c r="D852" s="566" t="s">
        <v>472</v>
      </c>
      <c r="E852" s="566" t="s">
        <v>473</v>
      </c>
      <c r="F852" s="566" t="s">
        <v>489</v>
      </c>
      <c r="G852" s="567">
        <v>50</v>
      </c>
      <c r="H852" s="566" t="s">
        <v>508</v>
      </c>
      <c r="I852" s="568">
        <v>2</v>
      </c>
      <c r="J852" s="569">
        <v>55</v>
      </c>
      <c r="K852" s="569">
        <v>55</v>
      </c>
      <c r="L852" s="566"/>
      <c r="M852" s="566" t="s">
        <v>476</v>
      </c>
      <c r="N852" s="570">
        <v>1252</v>
      </c>
      <c r="O852" s="566"/>
      <c r="P852" s="566" t="s">
        <v>477</v>
      </c>
      <c r="Q852" s="568">
        <v>909678</v>
      </c>
      <c r="R852" s="568">
        <v>32</v>
      </c>
      <c r="S852" s="566" t="s">
        <v>1350</v>
      </c>
      <c r="T852" s="586" t="s">
        <v>779</v>
      </c>
      <c r="U852" s="586" t="s">
        <v>468</v>
      </c>
      <c r="V852" s="586" t="s">
        <v>528</v>
      </c>
      <c r="W852" s="587" t="s">
        <v>1277</v>
      </c>
      <c r="X852" s="586" t="s">
        <v>1337</v>
      </c>
      <c r="Y852" s="586" t="s">
        <v>1338</v>
      </c>
      <c r="Z852" s="587" t="s">
        <v>1966</v>
      </c>
      <c r="AA852" s="588">
        <v>1252</v>
      </c>
      <c r="AB852" s="586"/>
    </row>
    <row r="853" spans="1:28" hidden="1">
      <c r="A853" s="566" t="s">
        <v>1335</v>
      </c>
      <c r="B853" s="566" t="s">
        <v>466</v>
      </c>
      <c r="C853" s="566" t="s">
        <v>471</v>
      </c>
      <c r="D853" s="566" t="s">
        <v>472</v>
      </c>
      <c r="E853" s="566" t="s">
        <v>473</v>
      </c>
      <c r="F853" s="566" t="s">
        <v>474</v>
      </c>
      <c r="G853" s="567">
        <v>0</v>
      </c>
      <c r="H853" s="566" t="s">
        <v>1755</v>
      </c>
      <c r="I853" s="568">
        <v>2</v>
      </c>
      <c r="J853" s="569">
        <v>55</v>
      </c>
      <c r="K853" s="569">
        <v>55</v>
      </c>
      <c r="L853" s="566"/>
      <c r="M853" s="566" t="s">
        <v>476</v>
      </c>
      <c r="N853" s="570">
        <v>1288</v>
      </c>
      <c r="O853" s="566"/>
      <c r="P853" s="566" t="s">
        <v>477</v>
      </c>
      <c r="Q853" s="568">
        <v>909678</v>
      </c>
      <c r="R853" s="568">
        <v>27</v>
      </c>
      <c r="S853" s="566" t="s">
        <v>1353</v>
      </c>
      <c r="T853" s="586" t="s">
        <v>779</v>
      </c>
      <c r="U853" s="586" t="s">
        <v>468</v>
      </c>
      <c r="V853" s="586" t="s">
        <v>528</v>
      </c>
      <c r="W853" s="587" t="s">
        <v>1354</v>
      </c>
      <c r="X853" s="586" t="s">
        <v>1337</v>
      </c>
      <c r="Y853" s="586" t="s">
        <v>1338</v>
      </c>
      <c r="Z853" s="587" t="s">
        <v>1967</v>
      </c>
      <c r="AA853" s="588">
        <v>1288</v>
      </c>
      <c r="AB853" s="586"/>
    </row>
    <row r="854" spans="1:28" hidden="1">
      <c r="A854" s="566" t="s">
        <v>1335</v>
      </c>
      <c r="B854" s="566" t="s">
        <v>466</v>
      </c>
      <c r="C854" s="566" t="s">
        <v>487</v>
      </c>
      <c r="D854" s="566" t="s">
        <v>472</v>
      </c>
      <c r="E854" s="566" t="s">
        <v>473</v>
      </c>
      <c r="F854" s="566" t="s">
        <v>489</v>
      </c>
      <c r="G854" s="567">
        <v>50</v>
      </c>
      <c r="H854" s="566" t="s">
        <v>1757</v>
      </c>
      <c r="I854" s="568">
        <v>2</v>
      </c>
      <c r="J854" s="569">
        <v>55</v>
      </c>
      <c r="K854" s="569">
        <v>55</v>
      </c>
      <c r="L854" s="566"/>
      <c r="M854" s="566" t="s">
        <v>476</v>
      </c>
      <c r="N854" s="570">
        <v>1324</v>
      </c>
      <c r="O854" s="566"/>
      <c r="P854" s="566" t="s">
        <v>477</v>
      </c>
      <c r="Q854" s="568">
        <v>909678</v>
      </c>
      <c r="R854" s="568">
        <v>33</v>
      </c>
      <c r="S854" s="566" t="s">
        <v>1357</v>
      </c>
      <c r="T854" s="586" t="s">
        <v>779</v>
      </c>
      <c r="U854" s="586" t="s">
        <v>468</v>
      </c>
      <c r="V854" s="586" t="s">
        <v>528</v>
      </c>
      <c r="W854" s="587" t="s">
        <v>1358</v>
      </c>
      <c r="X854" s="586" t="s">
        <v>1337</v>
      </c>
      <c r="Y854" s="586" t="s">
        <v>1338</v>
      </c>
      <c r="Z854" s="587" t="s">
        <v>1968</v>
      </c>
      <c r="AA854" s="588">
        <v>1324</v>
      </c>
      <c r="AB854" s="586"/>
    </row>
    <row r="855" spans="1:28" hidden="1">
      <c r="A855" s="566" t="s">
        <v>1335</v>
      </c>
      <c r="B855" s="566" t="s">
        <v>466</v>
      </c>
      <c r="C855" s="566" t="s">
        <v>471</v>
      </c>
      <c r="D855" s="566" t="s">
        <v>472</v>
      </c>
      <c r="E855" s="566" t="s">
        <v>473</v>
      </c>
      <c r="F855" s="566" t="s">
        <v>474</v>
      </c>
      <c r="G855" s="567">
        <v>0</v>
      </c>
      <c r="H855" s="566" t="s">
        <v>511</v>
      </c>
      <c r="I855" s="568">
        <v>2</v>
      </c>
      <c r="J855" s="569">
        <v>55</v>
      </c>
      <c r="K855" s="569">
        <v>55</v>
      </c>
      <c r="L855" s="566"/>
      <c r="M855" s="566" t="s">
        <v>476</v>
      </c>
      <c r="N855" s="570">
        <v>928</v>
      </c>
      <c r="O855" s="566"/>
      <c r="P855" s="566" t="s">
        <v>477</v>
      </c>
      <c r="Q855" s="568">
        <v>909678</v>
      </c>
      <c r="R855" s="568">
        <v>22</v>
      </c>
      <c r="S855" s="566" t="s">
        <v>1360</v>
      </c>
      <c r="T855" s="586" t="s">
        <v>779</v>
      </c>
      <c r="U855" s="586" t="s">
        <v>468</v>
      </c>
      <c r="V855" s="586" t="s">
        <v>528</v>
      </c>
      <c r="W855" s="587" t="s">
        <v>509</v>
      </c>
      <c r="X855" s="586" t="s">
        <v>1337</v>
      </c>
      <c r="Y855" s="586" t="s">
        <v>1338</v>
      </c>
      <c r="Z855" s="587" t="s">
        <v>1969</v>
      </c>
      <c r="AA855" s="588">
        <v>928</v>
      </c>
      <c r="AB855" s="586"/>
    </row>
    <row r="856" spans="1:28" hidden="1">
      <c r="A856" s="566" t="s">
        <v>1335</v>
      </c>
      <c r="B856" s="566" t="s">
        <v>466</v>
      </c>
      <c r="C856" s="566" t="s">
        <v>471</v>
      </c>
      <c r="D856" s="566" t="s">
        <v>472</v>
      </c>
      <c r="E856" s="566" t="s">
        <v>473</v>
      </c>
      <c r="F856" s="566" t="s">
        <v>474</v>
      </c>
      <c r="G856" s="567">
        <v>0</v>
      </c>
      <c r="H856" s="566" t="s">
        <v>213</v>
      </c>
      <c r="I856" s="568">
        <v>2</v>
      </c>
      <c r="J856" s="569">
        <v>55</v>
      </c>
      <c r="K856" s="569">
        <v>55</v>
      </c>
      <c r="L856" s="566"/>
      <c r="M856" s="566" t="s">
        <v>476</v>
      </c>
      <c r="N856" s="570">
        <v>964</v>
      </c>
      <c r="O856" s="566"/>
      <c r="P856" s="566" t="s">
        <v>477</v>
      </c>
      <c r="Q856" s="568">
        <v>909678</v>
      </c>
      <c r="R856" s="568">
        <v>23</v>
      </c>
      <c r="S856" s="566" t="s">
        <v>1362</v>
      </c>
      <c r="T856" s="586" t="s">
        <v>779</v>
      </c>
      <c r="U856" s="586" t="s">
        <v>468</v>
      </c>
      <c r="V856" s="586" t="s">
        <v>528</v>
      </c>
      <c r="W856" s="587" t="s">
        <v>512</v>
      </c>
      <c r="X856" s="586" t="s">
        <v>1337</v>
      </c>
      <c r="Y856" s="586" t="s">
        <v>1338</v>
      </c>
      <c r="Z856" s="587" t="s">
        <v>1970</v>
      </c>
      <c r="AA856" s="588">
        <v>964</v>
      </c>
      <c r="AB856" s="586"/>
    </row>
    <row r="857" spans="1:28" hidden="1">
      <c r="A857" s="566" t="s">
        <v>1335</v>
      </c>
      <c r="B857" s="566" t="s">
        <v>466</v>
      </c>
      <c r="C857" s="566" t="s">
        <v>471</v>
      </c>
      <c r="D857" s="566" t="s">
        <v>472</v>
      </c>
      <c r="E857" s="566" t="s">
        <v>473</v>
      </c>
      <c r="F857" s="566" t="s">
        <v>474</v>
      </c>
      <c r="G857" s="567">
        <v>0</v>
      </c>
      <c r="H857" s="566" t="s">
        <v>516</v>
      </c>
      <c r="I857" s="568">
        <v>2</v>
      </c>
      <c r="J857" s="569">
        <v>55</v>
      </c>
      <c r="K857" s="569">
        <v>55</v>
      </c>
      <c r="L857" s="566"/>
      <c r="M857" s="566" t="s">
        <v>476</v>
      </c>
      <c r="N857" s="570">
        <v>1000</v>
      </c>
      <c r="O857" s="566"/>
      <c r="P857" s="566" t="s">
        <v>477</v>
      </c>
      <c r="Q857" s="568">
        <v>909678</v>
      </c>
      <c r="R857" s="568">
        <v>24</v>
      </c>
      <c r="S857" s="566" t="s">
        <v>1364</v>
      </c>
      <c r="T857" s="586" t="s">
        <v>779</v>
      </c>
      <c r="U857" s="586" t="s">
        <v>468</v>
      </c>
      <c r="V857" s="586" t="s">
        <v>528</v>
      </c>
      <c r="W857" s="587" t="s">
        <v>514</v>
      </c>
      <c r="X857" s="586" t="s">
        <v>1337</v>
      </c>
      <c r="Y857" s="586" t="s">
        <v>1338</v>
      </c>
      <c r="Z857" s="587" t="s">
        <v>1971</v>
      </c>
      <c r="AA857" s="588">
        <v>1000</v>
      </c>
      <c r="AB857" s="586"/>
    </row>
    <row r="858" spans="1:28" hidden="1">
      <c r="A858" s="566" t="s">
        <v>1335</v>
      </c>
      <c r="B858" s="566" t="s">
        <v>466</v>
      </c>
      <c r="C858" s="566" t="s">
        <v>471</v>
      </c>
      <c r="D858" s="566" t="s">
        <v>472</v>
      </c>
      <c r="E858" s="566" t="s">
        <v>473</v>
      </c>
      <c r="F858" s="566" t="s">
        <v>474</v>
      </c>
      <c r="G858" s="567">
        <v>0</v>
      </c>
      <c r="H858" s="566" t="s">
        <v>479</v>
      </c>
      <c r="I858" s="568">
        <v>2</v>
      </c>
      <c r="J858" s="569">
        <v>79</v>
      </c>
      <c r="K858" s="569">
        <v>79</v>
      </c>
      <c r="L858" s="566"/>
      <c r="M858" s="566" t="s">
        <v>476</v>
      </c>
      <c r="N858" s="570">
        <v>1576</v>
      </c>
      <c r="O858" s="566"/>
      <c r="P858" s="566" t="s">
        <v>477</v>
      </c>
      <c r="Q858" s="568">
        <v>909678</v>
      </c>
      <c r="R858" s="568">
        <v>40</v>
      </c>
      <c r="S858" s="566" t="s">
        <v>1366</v>
      </c>
      <c r="T858" s="586" t="s">
        <v>779</v>
      </c>
      <c r="U858" s="586" t="s">
        <v>468</v>
      </c>
      <c r="V858" s="586" t="s">
        <v>528</v>
      </c>
      <c r="W858" s="587" t="s">
        <v>1274</v>
      </c>
      <c r="X858" s="586" t="s">
        <v>1337</v>
      </c>
      <c r="Y858" s="586" t="s">
        <v>1367</v>
      </c>
      <c r="Z858" s="587" t="s">
        <v>1972</v>
      </c>
      <c r="AA858" s="588">
        <v>1576</v>
      </c>
      <c r="AB858" s="586"/>
    </row>
    <row r="859" spans="1:28" hidden="1">
      <c r="A859" s="566" t="s">
        <v>1335</v>
      </c>
      <c r="B859" s="566" t="s">
        <v>466</v>
      </c>
      <c r="C859" s="566" t="s">
        <v>471</v>
      </c>
      <c r="D859" s="566" t="s">
        <v>472</v>
      </c>
      <c r="E859" s="566" t="s">
        <v>473</v>
      </c>
      <c r="F859" s="566" t="s">
        <v>474</v>
      </c>
      <c r="G859" s="567">
        <v>0</v>
      </c>
      <c r="H859" s="566" t="s">
        <v>484</v>
      </c>
      <c r="I859" s="568">
        <v>2</v>
      </c>
      <c r="J859" s="569">
        <v>79</v>
      </c>
      <c r="K859" s="569">
        <v>79</v>
      </c>
      <c r="L859" s="566"/>
      <c r="M859" s="566" t="s">
        <v>476</v>
      </c>
      <c r="N859" s="570">
        <v>1612</v>
      </c>
      <c r="O859" s="566"/>
      <c r="P859" s="566" t="s">
        <v>477</v>
      </c>
      <c r="Q859" s="568">
        <v>909678</v>
      </c>
      <c r="R859" s="568">
        <v>41</v>
      </c>
      <c r="S859" s="566" t="s">
        <v>1369</v>
      </c>
      <c r="T859" s="586" t="s">
        <v>779</v>
      </c>
      <c r="U859" s="586" t="s">
        <v>468</v>
      </c>
      <c r="V859" s="586" t="s">
        <v>528</v>
      </c>
      <c r="W859" s="587" t="s">
        <v>1275</v>
      </c>
      <c r="X859" s="586" t="s">
        <v>1337</v>
      </c>
      <c r="Y859" s="586" t="s">
        <v>1367</v>
      </c>
      <c r="Z859" s="587" t="s">
        <v>1973</v>
      </c>
      <c r="AA859" s="588">
        <v>1612</v>
      </c>
      <c r="AB859" s="586"/>
    </row>
    <row r="860" spans="1:28" hidden="1">
      <c r="A860" s="566" t="s">
        <v>1335</v>
      </c>
      <c r="B860" s="566" t="s">
        <v>466</v>
      </c>
      <c r="C860" s="566" t="s">
        <v>487</v>
      </c>
      <c r="D860" s="566" t="s">
        <v>472</v>
      </c>
      <c r="E860" s="566" t="s">
        <v>473</v>
      </c>
      <c r="F860" s="566" t="s">
        <v>489</v>
      </c>
      <c r="G860" s="567">
        <v>50</v>
      </c>
      <c r="H860" s="566" t="s">
        <v>503</v>
      </c>
      <c r="I860" s="568">
        <v>2</v>
      </c>
      <c r="J860" s="569">
        <v>79</v>
      </c>
      <c r="K860" s="569">
        <v>79</v>
      </c>
      <c r="L860" s="566"/>
      <c r="M860" s="566" t="s">
        <v>476</v>
      </c>
      <c r="N860" s="570">
        <v>1648</v>
      </c>
      <c r="O860" s="566"/>
      <c r="P860" s="566" t="s">
        <v>477</v>
      </c>
      <c r="Q860" s="568">
        <v>909678</v>
      </c>
      <c r="R860" s="568">
        <v>43</v>
      </c>
      <c r="S860" s="566" t="s">
        <v>1371</v>
      </c>
      <c r="T860" s="586" t="s">
        <v>779</v>
      </c>
      <c r="U860" s="586" t="s">
        <v>468</v>
      </c>
      <c r="V860" s="586" t="s">
        <v>528</v>
      </c>
      <c r="W860" s="587" t="s">
        <v>1276</v>
      </c>
      <c r="X860" s="586" t="s">
        <v>1337</v>
      </c>
      <c r="Y860" s="586" t="s">
        <v>1367</v>
      </c>
      <c r="Z860" s="587" t="s">
        <v>1974</v>
      </c>
      <c r="AA860" s="588">
        <v>1648</v>
      </c>
      <c r="AB860" s="586"/>
    </row>
    <row r="861" spans="1:28" hidden="1">
      <c r="A861" s="566" t="s">
        <v>1335</v>
      </c>
      <c r="B861" s="566" t="s">
        <v>466</v>
      </c>
      <c r="C861" s="566" t="s">
        <v>487</v>
      </c>
      <c r="D861" s="566" t="s">
        <v>472</v>
      </c>
      <c r="E861" s="566" t="s">
        <v>473</v>
      </c>
      <c r="F861" s="566" t="s">
        <v>489</v>
      </c>
      <c r="G861" s="567">
        <v>50</v>
      </c>
      <c r="H861" s="566" t="s">
        <v>508</v>
      </c>
      <c r="I861" s="568">
        <v>2</v>
      </c>
      <c r="J861" s="569">
        <v>79</v>
      </c>
      <c r="K861" s="569">
        <v>79</v>
      </c>
      <c r="L861" s="566"/>
      <c r="M861" s="566" t="s">
        <v>476</v>
      </c>
      <c r="N861" s="570">
        <v>1684</v>
      </c>
      <c r="O861" s="566"/>
      <c r="P861" s="566" t="s">
        <v>477</v>
      </c>
      <c r="Q861" s="568">
        <v>909678</v>
      </c>
      <c r="R861" s="568">
        <v>44</v>
      </c>
      <c r="S861" s="566" t="s">
        <v>1373</v>
      </c>
      <c r="T861" s="586" t="s">
        <v>779</v>
      </c>
      <c r="U861" s="586" t="s">
        <v>468</v>
      </c>
      <c r="V861" s="586" t="s">
        <v>528</v>
      </c>
      <c r="W861" s="587" t="s">
        <v>1277</v>
      </c>
      <c r="X861" s="586" t="s">
        <v>1337</v>
      </c>
      <c r="Y861" s="586" t="s">
        <v>1367</v>
      </c>
      <c r="Z861" s="587" t="s">
        <v>1975</v>
      </c>
      <c r="AA861" s="588">
        <v>1684</v>
      </c>
      <c r="AB861" s="586"/>
    </row>
    <row r="862" spans="1:28" hidden="1">
      <c r="A862" s="566" t="s">
        <v>1335</v>
      </c>
      <c r="B862" s="566" t="s">
        <v>466</v>
      </c>
      <c r="C862" s="566" t="s">
        <v>471</v>
      </c>
      <c r="D862" s="566" t="s">
        <v>472</v>
      </c>
      <c r="E862" s="566" t="s">
        <v>473</v>
      </c>
      <c r="F862" s="566" t="s">
        <v>474</v>
      </c>
      <c r="G862" s="567">
        <v>0</v>
      </c>
      <c r="H862" s="566" t="s">
        <v>1755</v>
      </c>
      <c r="I862" s="568">
        <v>2</v>
      </c>
      <c r="J862" s="569">
        <v>79</v>
      </c>
      <c r="K862" s="569">
        <v>79</v>
      </c>
      <c r="L862" s="566"/>
      <c r="M862" s="566" t="s">
        <v>476</v>
      </c>
      <c r="N862" s="570">
        <v>1720</v>
      </c>
      <c r="O862" s="566"/>
      <c r="P862" s="566" t="s">
        <v>477</v>
      </c>
      <c r="Q862" s="568">
        <v>909678</v>
      </c>
      <c r="R862" s="568">
        <v>42</v>
      </c>
      <c r="S862" s="566" t="s">
        <v>1375</v>
      </c>
      <c r="T862" s="586" t="s">
        <v>779</v>
      </c>
      <c r="U862" s="586" t="s">
        <v>468</v>
      </c>
      <c r="V862" s="586" t="s">
        <v>528</v>
      </c>
      <c r="W862" s="587" t="s">
        <v>1354</v>
      </c>
      <c r="X862" s="586" t="s">
        <v>1337</v>
      </c>
      <c r="Y862" s="586" t="s">
        <v>1367</v>
      </c>
      <c r="Z862" s="587" t="s">
        <v>1976</v>
      </c>
      <c r="AA862" s="588">
        <v>1720</v>
      </c>
      <c r="AB862" s="586"/>
    </row>
    <row r="863" spans="1:28" hidden="1">
      <c r="A863" s="566" t="s">
        <v>1335</v>
      </c>
      <c r="B863" s="566" t="s">
        <v>466</v>
      </c>
      <c r="C863" s="566" t="s">
        <v>487</v>
      </c>
      <c r="D863" s="566" t="s">
        <v>472</v>
      </c>
      <c r="E863" s="566" t="s">
        <v>473</v>
      </c>
      <c r="F863" s="566" t="s">
        <v>489</v>
      </c>
      <c r="G863" s="567">
        <v>50</v>
      </c>
      <c r="H863" s="566" t="s">
        <v>1757</v>
      </c>
      <c r="I863" s="568">
        <v>2</v>
      </c>
      <c r="J863" s="569">
        <v>79</v>
      </c>
      <c r="K863" s="569">
        <v>79</v>
      </c>
      <c r="L863" s="566"/>
      <c r="M863" s="566" t="s">
        <v>476</v>
      </c>
      <c r="N863" s="570">
        <v>1756</v>
      </c>
      <c r="O863" s="566"/>
      <c r="P863" s="566" t="s">
        <v>477</v>
      </c>
      <c r="Q863" s="568">
        <v>909678</v>
      </c>
      <c r="R863" s="568">
        <v>45</v>
      </c>
      <c r="S863" s="566" t="s">
        <v>1377</v>
      </c>
      <c r="T863" s="586" t="s">
        <v>779</v>
      </c>
      <c r="U863" s="586" t="s">
        <v>468</v>
      </c>
      <c r="V863" s="586" t="s">
        <v>528</v>
      </c>
      <c r="W863" s="587" t="s">
        <v>1358</v>
      </c>
      <c r="X863" s="586" t="s">
        <v>1337</v>
      </c>
      <c r="Y863" s="586" t="s">
        <v>1367</v>
      </c>
      <c r="Z863" s="587" t="s">
        <v>1977</v>
      </c>
      <c r="AA863" s="588">
        <v>1756</v>
      </c>
      <c r="AB863" s="586"/>
    </row>
    <row r="864" spans="1:28" hidden="1">
      <c r="A864" s="566" t="s">
        <v>1335</v>
      </c>
      <c r="B864" s="566" t="s">
        <v>466</v>
      </c>
      <c r="C864" s="566" t="s">
        <v>471</v>
      </c>
      <c r="D864" s="566" t="s">
        <v>472</v>
      </c>
      <c r="E864" s="566" t="s">
        <v>473</v>
      </c>
      <c r="F864" s="566" t="s">
        <v>474</v>
      </c>
      <c r="G864" s="567">
        <v>0</v>
      </c>
      <c r="H864" s="566" t="s">
        <v>479</v>
      </c>
      <c r="I864" s="568">
        <v>2</v>
      </c>
      <c r="J864" s="569">
        <v>7</v>
      </c>
      <c r="K864" s="569">
        <v>7</v>
      </c>
      <c r="L864" s="566"/>
      <c r="M864" s="566" t="s">
        <v>476</v>
      </c>
      <c r="N864" s="570">
        <v>496</v>
      </c>
      <c r="O864" s="566"/>
      <c r="P864" s="566" t="s">
        <v>477</v>
      </c>
      <c r="Q864" s="568">
        <v>909678</v>
      </c>
      <c r="R864" s="568">
        <v>10</v>
      </c>
      <c r="S864" s="566" t="s">
        <v>1382</v>
      </c>
      <c r="T864" s="586" t="s">
        <v>779</v>
      </c>
      <c r="U864" s="586" t="s">
        <v>468</v>
      </c>
      <c r="V864" s="586" t="s">
        <v>528</v>
      </c>
      <c r="W864" s="587" t="s">
        <v>1274</v>
      </c>
      <c r="X864" s="586" t="s">
        <v>1380</v>
      </c>
      <c r="Y864" s="586" t="s">
        <v>1338</v>
      </c>
      <c r="Z864" s="587" t="s">
        <v>800</v>
      </c>
      <c r="AA864" s="588">
        <v>496</v>
      </c>
      <c r="AB864" s="586"/>
    </row>
    <row r="865" spans="1:28" hidden="1">
      <c r="A865" s="566" t="s">
        <v>1335</v>
      </c>
      <c r="B865" s="566" t="s">
        <v>466</v>
      </c>
      <c r="C865" s="566" t="s">
        <v>471</v>
      </c>
      <c r="D865" s="566" t="s">
        <v>472</v>
      </c>
      <c r="E865" s="566" t="s">
        <v>473</v>
      </c>
      <c r="F865" s="566" t="s">
        <v>474</v>
      </c>
      <c r="G865" s="567">
        <v>0</v>
      </c>
      <c r="H865" s="566" t="s">
        <v>484</v>
      </c>
      <c r="I865" s="568">
        <v>2</v>
      </c>
      <c r="J865" s="569">
        <v>7</v>
      </c>
      <c r="K865" s="569">
        <v>7</v>
      </c>
      <c r="L865" s="566"/>
      <c r="M865" s="566" t="s">
        <v>476</v>
      </c>
      <c r="N865" s="570">
        <v>568</v>
      </c>
      <c r="O865" s="566"/>
      <c r="P865" s="566" t="s">
        <v>477</v>
      </c>
      <c r="Q865" s="568">
        <v>909678</v>
      </c>
      <c r="R865" s="568">
        <v>15</v>
      </c>
      <c r="S865" s="566" t="s">
        <v>483</v>
      </c>
      <c r="T865" s="586" t="s">
        <v>779</v>
      </c>
      <c r="U865" s="586" t="s">
        <v>468</v>
      </c>
      <c r="V865" s="586" t="s">
        <v>528</v>
      </c>
      <c r="W865" s="587" t="s">
        <v>1275</v>
      </c>
      <c r="X865" s="586" t="s">
        <v>1380</v>
      </c>
      <c r="Y865" s="586" t="s">
        <v>1338</v>
      </c>
      <c r="Z865" s="587" t="s">
        <v>801</v>
      </c>
      <c r="AA865" s="588">
        <v>568</v>
      </c>
      <c r="AB865" s="586"/>
    </row>
    <row r="866" spans="1:28" hidden="1">
      <c r="A866" s="566" t="s">
        <v>1335</v>
      </c>
      <c r="B866" s="566" t="s">
        <v>466</v>
      </c>
      <c r="C866" s="566" t="s">
        <v>487</v>
      </c>
      <c r="D866" s="566" t="s">
        <v>472</v>
      </c>
      <c r="E866" s="566" t="s">
        <v>473</v>
      </c>
      <c r="F866" s="566" t="s">
        <v>489</v>
      </c>
      <c r="G866" s="567">
        <v>50</v>
      </c>
      <c r="H866" s="566" t="s">
        <v>490</v>
      </c>
      <c r="I866" s="568">
        <v>2</v>
      </c>
      <c r="J866" s="569">
        <v>7</v>
      </c>
      <c r="K866" s="569">
        <v>7</v>
      </c>
      <c r="L866" s="566"/>
      <c r="M866" s="566" t="s">
        <v>476</v>
      </c>
      <c r="N866" s="570">
        <v>604</v>
      </c>
      <c r="O866" s="566"/>
      <c r="P866" s="566" t="s">
        <v>477</v>
      </c>
      <c r="Q866" s="568">
        <v>909678</v>
      </c>
      <c r="R866" s="568">
        <v>16</v>
      </c>
      <c r="S866" s="566" t="s">
        <v>488</v>
      </c>
      <c r="T866" s="586" t="s">
        <v>779</v>
      </c>
      <c r="U866" s="586" t="s">
        <v>468</v>
      </c>
      <c r="V866" s="586" t="s">
        <v>528</v>
      </c>
      <c r="W866" s="587" t="s">
        <v>485</v>
      </c>
      <c r="X866" s="586" t="s">
        <v>1380</v>
      </c>
      <c r="Y866" s="586" t="s">
        <v>1338</v>
      </c>
      <c r="Z866" s="587" t="s">
        <v>802</v>
      </c>
      <c r="AA866" s="588">
        <v>604</v>
      </c>
      <c r="AB866" s="586"/>
    </row>
    <row r="867" spans="1:28" hidden="1">
      <c r="A867" s="566" t="s">
        <v>1335</v>
      </c>
      <c r="B867" s="566" t="s">
        <v>466</v>
      </c>
      <c r="C867" s="566" t="s">
        <v>487</v>
      </c>
      <c r="D867" s="566" t="s">
        <v>472</v>
      </c>
      <c r="E867" s="566" t="s">
        <v>473</v>
      </c>
      <c r="F867" s="566" t="s">
        <v>489</v>
      </c>
      <c r="G867" s="567">
        <v>50</v>
      </c>
      <c r="H867" s="566" t="s">
        <v>494</v>
      </c>
      <c r="I867" s="568">
        <v>2</v>
      </c>
      <c r="J867" s="569">
        <v>7</v>
      </c>
      <c r="K867" s="569">
        <v>7</v>
      </c>
      <c r="L867" s="566"/>
      <c r="M867" s="566" t="s">
        <v>476</v>
      </c>
      <c r="N867" s="570">
        <v>640</v>
      </c>
      <c r="O867" s="566"/>
      <c r="P867" s="566" t="s">
        <v>477</v>
      </c>
      <c r="Q867" s="568">
        <v>909678</v>
      </c>
      <c r="R867" s="568">
        <v>17</v>
      </c>
      <c r="S867" s="566" t="s">
        <v>493</v>
      </c>
      <c r="T867" s="586" t="s">
        <v>779</v>
      </c>
      <c r="U867" s="586" t="s">
        <v>468</v>
      </c>
      <c r="V867" s="586" t="s">
        <v>528</v>
      </c>
      <c r="W867" s="587" t="s">
        <v>491</v>
      </c>
      <c r="X867" s="586" t="s">
        <v>1380</v>
      </c>
      <c r="Y867" s="586" t="s">
        <v>1338</v>
      </c>
      <c r="Z867" s="587" t="s">
        <v>803</v>
      </c>
      <c r="AA867" s="588">
        <v>640</v>
      </c>
      <c r="AB867" s="586"/>
    </row>
    <row r="868" spans="1:28" hidden="1">
      <c r="A868" s="566" t="s">
        <v>1335</v>
      </c>
      <c r="B868" s="566" t="s">
        <v>466</v>
      </c>
      <c r="C868" s="566" t="s">
        <v>487</v>
      </c>
      <c r="D868" s="566" t="s">
        <v>472</v>
      </c>
      <c r="E868" s="566" t="s">
        <v>473</v>
      </c>
      <c r="F868" s="566" t="s">
        <v>489</v>
      </c>
      <c r="G868" s="567">
        <v>50</v>
      </c>
      <c r="H868" s="566" t="s">
        <v>498</v>
      </c>
      <c r="I868" s="568">
        <v>2</v>
      </c>
      <c r="J868" s="569">
        <v>7</v>
      </c>
      <c r="K868" s="569">
        <v>7</v>
      </c>
      <c r="L868" s="566"/>
      <c r="M868" s="566" t="s">
        <v>476</v>
      </c>
      <c r="N868" s="570">
        <v>676</v>
      </c>
      <c r="O868" s="566"/>
      <c r="P868" s="566" t="s">
        <v>477</v>
      </c>
      <c r="Q868" s="568">
        <v>909678</v>
      </c>
      <c r="R868" s="568">
        <v>18</v>
      </c>
      <c r="S868" s="566" t="s">
        <v>497</v>
      </c>
      <c r="T868" s="586" t="s">
        <v>779</v>
      </c>
      <c r="U868" s="586" t="s">
        <v>468</v>
      </c>
      <c r="V868" s="586" t="s">
        <v>528</v>
      </c>
      <c r="W868" s="587" t="s">
        <v>495</v>
      </c>
      <c r="X868" s="586" t="s">
        <v>1380</v>
      </c>
      <c r="Y868" s="586" t="s">
        <v>1338</v>
      </c>
      <c r="Z868" s="587" t="s">
        <v>804</v>
      </c>
      <c r="AA868" s="588">
        <v>676</v>
      </c>
      <c r="AB868" s="586"/>
    </row>
    <row r="869" spans="1:28" hidden="1">
      <c r="A869" s="566" t="s">
        <v>1335</v>
      </c>
      <c r="B869" s="566" t="s">
        <v>466</v>
      </c>
      <c r="C869" s="566" t="s">
        <v>487</v>
      </c>
      <c r="D869" s="566" t="s">
        <v>472</v>
      </c>
      <c r="E869" s="566" t="s">
        <v>473</v>
      </c>
      <c r="F869" s="566" t="s">
        <v>489</v>
      </c>
      <c r="G869" s="567">
        <v>50</v>
      </c>
      <c r="H869" s="566" t="s">
        <v>503</v>
      </c>
      <c r="I869" s="568">
        <v>2</v>
      </c>
      <c r="J869" s="569">
        <v>7</v>
      </c>
      <c r="K869" s="569">
        <v>7</v>
      </c>
      <c r="L869" s="566"/>
      <c r="M869" s="566" t="s">
        <v>476</v>
      </c>
      <c r="N869" s="570">
        <v>748</v>
      </c>
      <c r="O869" s="566"/>
      <c r="P869" s="566" t="s">
        <v>477</v>
      </c>
      <c r="Q869" s="568">
        <v>909678</v>
      </c>
      <c r="R869" s="568">
        <v>19</v>
      </c>
      <c r="S869" s="566" t="s">
        <v>502</v>
      </c>
      <c r="T869" s="586" t="s">
        <v>779</v>
      </c>
      <c r="U869" s="586" t="s">
        <v>468</v>
      </c>
      <c r="V869" s="586" t="s">
        <v>528</v>
      </c>
      <c r="W869" s="587" t="s">
        <v>1276</v>
      </c>
      <c r="X869" s="586" t="s">
        <v>1380</v>
      </c>
      <c r="Y869" s="586" t="s">
        <v>1338</v>
      </c>
      <c r="Z869" s="587" t="s">
        <v>805</v>
      </c>
      <c r="AA869" s="588">
        <v>748</v>
      </c>
      <c r="AB869" s="586"/>
    </row>
    <row r="870" spans="1:28" hidden="1">
      <c r="A870" s="566" t="s">
        <v>1335</v>
      </c>
      <c r="B870" s="566" t="s">
        <v>466</v>
      </c>
      <c r="C870" s="566" t="s">
        <v>487</v>
      </c>
      <c r="D870" s="566" t="s">
        <v>472</v>
      </c>
      <c r="E870" s="566" t="s">
        <v>473</v>
      </c>
      <c r="F870" s="566" t="s">
        <v>489</v>
      </c>
      <c r="G870" s="567">
        <v>50</v>
      </c>
      <c r="H870" s="566" t="s">
        <v>508</v>
      </c>
      <c r="I870" s="568">
        <v>2</v>
      </c>
      <c r="J870" s="569">
        <v>7</v>
      </c>
      <c r="K870" s="569">
        <v>7</v>
      </c>
      <c r="L870" s="566"/>
      <c r="M870" s="566" t="s">
        <v>476</v>
      </c>
      <c r="N870" s="570">
        <v>820</v>
      </c>
      <c r="O870" s="566"/>
      <c r="P870" s="566" t="s">
        <v>477</v>
      </c>
      <c r="Q870" s="568">
        <v>909678</v>
      </c>
      <c r="R870" s="568">
        <v>21</v>
      </c>
      <c r="S870" s="566" t="s">
        <v>507</v>
      </c>
      <c r="T870" s="586" t="s">
        <v>779</v>
      </c>
      <c r="U870" s="586" t="s">
        <v>468</v>
      </c>
      <c r="V870" s="586" t="s">
        <v>528</v>
      </c>
      <c r="W870" s="587" t="s">
        <v>1277</v>
      </c>
      <c r="X870" s="586" t="s">
        <v>1380</v>
      </c>
      <c r="Y870" s="586" t="s">
        <v>1338</v>
      </c>
      <c r="Z870" s="587" t="s">
        <v>806</v>
      </c>
      <c r="AA870" s="588">
        <v>820</v>
      </c>
      <c r="AB870" s="586"/>
    </row>
    <row r="871" spans="1:28" hidden="1">
      <c r="A871" s="566" t="s">
        <v>1335</v>
      </c>
      <c r="B871" s="566" t="s">
        <v>466</v>
      </c>
      <c r="C871" s="566" t="s">
        <v>471</v>
      </c>
      <c r="D871" s="566" t="s">
        <v>472</v>
      </c>
      <c r="E871" s="566" t="s">
        <v>473</v>
      </c>
      <c r="F871" s="566" t="s">
        <v>474</v>
      </c>
      <c r="G871" s="567">
        <v>0</v>
      </c>
      <c r="H871" s="566" t="s">
        <v>1755</v>
      </c>
      <c r="I871" s="568">
        <v>2</v>
      </c>
      <c r="J871" s="569">
        <v>7</v>
      </c>
      <c r="K871" s="569">
        <v>7</v>
      </c>
      <c r="L871" s="566"/>
      <c r="M871" s="566" t="s">
        <v>476</v>
      </c>
      <c r="N871" s="570">
        <v>856</v>
      </c>
      <c r="O871" s="566"/>
      <c r="P871" s="566" t="s">
        <v>477</v>
      </c>
      <c r="Q871" s="568">
        <v>909678</v>
      </c>
      <c r="R871" s="568">
        <v>46</v>
      </c>
      <c r="S871" s="566" t="s">
        <v>1383</v>
      </c>
      <c r="T871" s="586" t="s">
        <v>779</v>
      </c>
      <c r="U871" s="586" t="s">
        <v>468</v>
      </c>
      <c r="V871" s="586" t="s">
        <v>528</v>
      </c>
      <c r="W871" s="587" t="s">
        <v>1354</v>
      </c>
      <c r="X871" s="586" t="s">
        <v>1380</v>
      </c>
      <c r="Y871" s="586" t="s">
        <v>1338</v>
      </c>
      <c r="Z871" s="587" t="s">
        <v>1978</v>
      </c>
      <c r="AA871" s="588">
        <v>856</v>
      </c>
      <c r="AB871" s="586"/>
    </row>
    <row r="872" spans="1:28" hidden="1">
      <c r="A872" s="566" t="s">
        <v>1335</v>
      </c>
      <c r="B872" s="566" t="s">
        <v>466</v>
      </c>
      <c r="C872" s="566" t="s">
        <v>487</v>
      </c>
      <c r="D872" s="566" t="s">
        <v>472</v>
      </c>
      <c r="E872" s="566" t="s">
        <v>473</v>
      </c>
      <c r="F872" s="566" t="s">
        <v>489</v>
      </c>
      <c r="G872" s="567">
        <v>50</v>
      </c>
      <c r="H872" s="566" t="s">
        <v>1757</v>
      </c>
      <c r="I872" s="568">
        <v>2</v>
      </c>
      <c r="J872" s="569">
        <v>7</v>
      </c>
      <c r="K872" s="569">
        <v>7</v>
      </c>
      <c r="L872" s="566"/>
      <c r="M872" s="566" t="s">
        <v>476</v>
      </c>
      <c r="N872" s="570">
        <v>892</v>
      </c>
      <c r="O872" s="566"/>
      <c r="P872" s="566" t="s">
        <v>477</v>
      </c>
      <c r="Q872" s="568">
        <v>909678</v>
      </c>
      <c r="R872" s="568">
        <v>47</v>
      </c>
      <c r="S872" s="566" t="s">
        <v>1385</v>
      </c>
      <c r="T872" s="586" t="s">
        <v>779</v>
      </c>
      <c r="U872" s="586" t="s">
        <v>468</v>
      </c>
      <c r="V872" s="586" t="s">
        <v>528</v>
      </c>
      <c r="W872" s="587" t="s">
        <v>1358</v>
      </c>
      <c r="X872" s="586" t="s">
        <v>1380</v>
      </c>
      <c r="Y872" s="586" t="s">
        <v>1338</v>
      </c>
      <c r="Z872" s="587" t="s">
        <v>1979</v>
      </c>
      <c r="AA872" s="588">
        <v>892</v>
      </c>
      <c r="AB872" s="586"/>
    </row>
    <row r="873" spans="1:28" hidden="1">
      <c r="A873" s="566" t="s">
        <v>1335</v>
      </c>
      <c r="B873" s="566" t="s">
        <v>466</v>
      </c>
      <c r="C873" s="566" t="s">
        <v>471</v>
      </c>
      <c r="D873" s="566" t="s">
        <v>472</v>
      </c>
      <c r="E873" s="566" t="s">
        <v>473</v>
      </c>
      <c r="F873" s="566" t="s">
        <v>474</v>
      </c>
      <c r="G873" s="567">
        <v>0</v>
      </c>
      <c r="H873" s="566" t="s">
        <v>511</v>
      </c>
      <c r="I873" s="568">
        <v>2</v>
      </c>
      <c r="J873" s="569">
        <v>7</v>
      </c>
      <c r="K873" s="569">
        <v>7</v>
      </c>
      <c r="L873" s="566"/>
      <c r="M873" s="566" t="s">
        <v>476</v>
      </c>
      <c r="N873" s="570">
        <v>352</v>
      </c>
      <c r="O873" s="566"/>
      <c r="P873" s="566" t="s">
        <v>477</v>
      </c>
      <c r="Q873" s="568">
        <v>909678</v>
      </c>
      <c r="R873" s="568">
        <v>5</v>
      </c>
      <c r="S873" s="566" t="s">
        <v>1392</v>
      </c>
      <c r="T873" s="586" t="s">
        <v>779</v>
      </c>
      <c r="U873" s="586" t="s">
        <v>468</v>
      </c>
      <c r="V873" s="586" t="s">
        <v>528</v>
      </c>
      <c r="W873" s="587" t="s">
        <v>509</v>
      </c>
      <c r="X873" s="586" t="s">
        <v>1380</v>
      </c>
      <c r="Y873" s="586" t="s">
        <v>1338</v>
      </c>
      <c r="Z873" s="587" t="s">
        <v>807</v>
      </c>
      <c r="AA873" s="588">
        <v>352</v>
      </c>
      <c r="AB873" s="586"/>
    </row>
    <row r="874" spans="1:28" hidden="1">
      <c r="A874" s="566" t="s">
        <v>1335</v>
      </c>
      <c r="B874" s="566" t="s">
        <v>466</v>
      </c>
      <c r="C874" s="566" t="s">
        <v>471</v>
      </c>
      <c r="D874" s="566" t="s">
        <v>472</v>
      </c>
      <c r="E874" s="566" t="s">
        <v>473</v>
      </c>
      <c r="F874" s="566" t="s">
        <v>474</v>
      </c>
      <c r="G874" s="567">
        <v>0</v>
      </c>
      <c r="H874" s="566" t="s">
        <v>213</v>
      </c>
      <c r="I874" s="568">
        <v>2</v>
      </c>
      <c r="J874" s="569">
        <v>7</v>
      </c>
      <c r="K874" s="569">
        <v>7</v>
      </c>
      <c r="L874" s="566"/>
      <c r="M874" s="566" t="s">
        <v>476</v>
      </c>
      <c r="N874" s="570">
        <v>388</v>
      </c>
      <c r="O874" s="566"/>
      <c r="P874" s="566" t="s">
        <v>477</v>
      </c>
      <c r="Q874" s="568">
        <v>909678</v>
      </c>
      <c r="R874" s="568">
        <v>6</v>
      </c>
      <c r="S874" s="566" t="s">
        <v>1393</v>
      </c>
      <c r="T874" s="586" t="s">
        <v>779</v>
      </c>
      <c r="U874" s="586" t="s">
        <v>468</v>
      </c>
      <c r="V874" s="586" t="s">
        <v>528</v>
      </c>
      <c r="W874" s="587" t="s">
        <v>512</v>
      </c>
      <c r="X874" s="586" t="s">
        <v>1380</v>
      </c>
      <c r="Y874" s="586" t="s">
        <v>1338</v>
      </c>
      <c r="Z874" s="587" t="s">
        <v>808</v>
      </c>
      <c r="AA874" s="588">
        <v>388</v>
      </c>
      <c r="AB874" s="586"/>
    </row>
    <row r="875" spans="1:28" hidden="1">
      <c r="A875" s="566" t="s">
        <v>1335</v>
      </c>
      <c r="B875" s="566" t="s">
        <v>466</v>
      </c>
      <c r="C875" s="566" t="s">
        <v>471</v>
      </c>
      <c r="D875" s="566" t="s">
        <v>472</v>
      </c>
      <c r="E875" s="566" t="s">
        <v>473</v>
      </c>
      <c r="F875" s="566" t="s">
        <v>474</v>
      </c>
      <c r="G875" s="567">
        <v>0</v>
      </c>
      <c r="H875" s="566" t="s">
        <v>516</v>
      </c>
      <c r="I875" s="568">
        <v>2</v>
      </c>
      <c r="J875" s="569">
        <v>7</v>
      </c>
      <c r="K875" s="569">
        <v>7</v>
      </c>
      <c r="L875" s="566"/>
      <c r="M875" s="566" t="s">
        <v>476</v>
      </c>
      <c r="N875" s="570">
        <v>424</v>
      </c>
      <c r="O875" s="566"/>
      <c r="P875" s="566" t="s">
        <v>477</v>
      </c>
      <c r="Q875" s="568">
        <v>909678</v>
      </c>
      <c r="R875" s="568">
        <v>14</v>
      </c>
      <c r="S875" s="566" t="s">
        <v>1394</v>
      </c>
      <c r="T875" s="586" t="s">
        <v>779</v>
      </c>
      <c r="U875" s="586" t="s">
        <v>468</v>
      </c>
      <c r="V875" s="586" t="s">
        <v>528</v>
      </c>
      <c r="W875" s="587" t="s">
        <v>514</v>
      </c>
      <c r="X875" s="586" t="s">
        <v>1380</v>
      </c>
      <c r="Y875" s="586" t="s">
        <v>1338</v>
      </c>
      <c r="Z875" s="587" t="s">
        <v>809</v>
      </c>
      <c r="AA875" s="588">
        <v>424</v>
      </c>
      <c r="AB875" s="586"/>
    </row>
    <row r="876" spans="1:28" hidden="1">
      <c r="A876" s="566" t="s">
        <v>1335</v>
      </c>
      <c r="B876" s="566" t="s">
        <v>466</v>
      </c>
      <c r="C876" s="566" t="s">
        <v>471</v>
      </c>
      <c r="D876" s="566" t="s">
        <v>472</v>
      </c>
      <c r="E876" s="566" t="s">
        <v>473</v>
      </c>
      <c r="F876" s="566" t="s">
        <v>474</v>
      </c>
      <c r="G876" s="567">
        <v>0</v>
      </c>
      <c r="H876" s="566" t="s">
        <v>479</v>
      </c>
      <c r="I876" s="568">
        <v>2</v>
      </c>
      <c r="J876" s="569">
        <v>31</v>
      </c>
      <c r="K876" s="569">
        <v>31</v>
      </c>
      <c r="L876" s="566"/>
      <c r="M876" s="566" t="s">
        <v>476</v>
      </c>
      <c r="N876" s="570">
        <v>1360</v>
      </c>
      <c r="O876" s="566"/>
      <c r="P876" s="566" t="s">
        <v>477</v>
      </c>
      <c r="Q876" s="568">
        <v>909678</v>
      </c>
      <c r="R876" s="568">
        <v>34</v>
      </c>
      <c r="S876" s="566" t="s">
        <v>1395</v>
      </c>
      <c r="T876" s="586" t="s">
        <v>779</v>
      </c>
      <c r="U876" s="586" t="s">
        <v>468</v>
      </c>
      <c r="V876" s="586" t="s">
        <v>528</v>
      </c>
      <c r="W876" s="587" t="s">
        <v>1274</v>
      </c>
      <c r="X876" s="586" t="s">
        <v>1380</v>
      </c>
      <c r="Y876" s="586" t="s">
        <v>1367</v>
      </c>
      <c r="Z876" s="587" t="s">
        <v>1980</v>
      </c>
      <c r="AA876" s="588">
        <v>1360</v>
      </c>
      <c r="AB876" s="586"/>
    </row>
    <row r="877" spans="1:28" hidden="1">
      <c r="A877" s="566" t="s">
        <v>1335</v>
      </c>
      <c r="B877" s="566" t="s">
        <v>466</v>
      </c>
      <c r="C877" s="566" t="s">
        <v>471</v>
      </c>
      <c r="D877" s="566" t="s">
        <v>472</v>
      </c>
      <c r="E877" s="566" t="s">
        <v>473</v>
      </c>
      <c r="F877" s="566" t="s">
        <v>474</v>
      </c>
      <c r="G877" s="567">
        <v>0</v>
      </c>
      <c r="H877" s="566" t="s">
        <v>484</v>
      </c>
      <c r="I877" s="568">
        <v>2</v>
      </c>
      <c r="J877" s="569">
        <v>31</v>
      </c>
      <c r="K877" s="569">
        <v>31</v>
      </c>
      <c r="L877" s="566"/>
      <c r="M877" s="566" t="s">
        <v>476</v>
      </c>
      <c r="N877" s="570">
        <v>1396</v>
      </c>
      <c r="O877" s="566"/>
      <c r="P877" s="566" t="s">
        <v>477</v>
      </c>
      <c r="Q877" s="568">
        <v>909678</v>
      </c>
      <c r="R877" s="568">
        <v>35</v>
      </c>
      <c r="S877" s="566" t="s">
        <v>1397</v>
      </c>
      <c r="T877" s="586" t="s">
        <v>779</v>
      </c>
      <c r="U877" s="586" t="s">
        <v>468</v>
      </c>
      <c r="V877" s="586" t="s">
        <v>528</v>
      </c>
      <c r="W877" s="587" t="s">
        <v>1275</v>
      </c>
      <c r="X877" s="586" t="s">
        <v>1380</v>
      </c>
      <c r="Y877" s="586" t="s">
        <v>1367</v>
      </c>
      <c r="Z877" s="587" t="s">
        <v>1981</v>
      </c>
      <c r="AA877" s="588">
        <v>1396</v>
      </c>
      <c r="AB877" s="586"/>
    </row>
    <row r="878" spans="1:28" hidden="1">
      <c r="A878" s="566" t="s">
        <v>1335</v>
      </c>
      <c r="B878" s="566" t="s">
        <v>466</v>
      </c>
      <c r="C878" s="566" t="s">
        <v>487</v>
      </c>
      <c r="D878" s="566" t="s">
        <v>472</v>
      </c>
      <c r="E878" s="566" t="s">
        <v>473</v>
      </c>
      <c r="F878" s="566" t="s">
        <v>489</v>
      </c>
      <c r="G878" s="567">
        <v>50</v>
      </c>
      <c r="H878" s="566" t="s">
        <v>503</v>
      </c>
      <c r="I878" s="568">
        <v>2</v>
      </c>
      <c r="J878" s="569">
        <v>31</v>
      </c>
      <c r="K878" s="569">
        <v>31</v>
      </c>
      <c r="L878" s="566"/>
      <c r="M878" s="566" t="s">
        <v>476</v>
      </c>
      <c r="N878" s="570">
        <v>1432</v>
      </c>
      <c r="O878" s="566"/>
      <c r="P878" s="566" t="s">
        <v>477</v>
      </c>
      <c r="Q878" s="568">
        <v>909678</v>
      </c>
      <c r="R878" s="568">
        <v>37</v>
      </c>
      <c r="S878" s="566" t="s">
        <v>1399</v>
      </c>
      <c r="T878" s="586" t="s">
        <v>779</v>
      </c>
      <c r="U878" s="586" t="s">
        <v>468</v>
      </c>
      <c r="V878" s="586" t="s">
        <v>528</v>
      </c>
      <c r="W878" s="587" t="s">
        <v>1276</v>
      </c>
      <c r="X878" s="586" t="s">
        <v>1380</v>
      </c>
      <c r="Y878" s="586" t="s">
        <v>1367</v>
      </c>
      <c r="Z878" s="587" t="s">
        <v>1982</v>
      </c>
      <c r="AA878" s="588">
        <v>1432</v>
      </c>
      <c r="AB878" s="586"/>
    </row>
    <row r="879" spans="1:28" hidden="1">
      <c r="A879" s="566" t="s">
        <v>1335</v>
      </c>
      <c r="B879" s="566" t="s">
        <v>466</v>
      </c>
      <c r="C879" s="566" t="s">
        <v>487</v>
      </c>
      <c r="D879" s="566" t="s">
        <v>472</v>
      </c>
      <c r="E879" s="566" t="s">
        <v>473</v>
      </c>
      <c r="F879" s="566" t="s">
        <v>489</v>
      </c>
      <c r="G879" s="567">
        <v>50</v>
      </c>
      <c r="H879" s="566" t="s">
        <v>508</v>
      </c>
      <c r="I879" s="568">
        <v>2</v>
      </c>
      <c r="J879" s="569">
        <v>31</v>
      </c>
      <c r="K879" s="569">
        <v>31</v>
      </c>
      <c r="L879" s="566"/>
      <c r="M879" s="566" t="s">
        <v>476</v>
      </c>
      <c r="N879" s="570">
        <v>1468</v>
      </c>
      <c r="O879" s="566"/>
      <c r="P879" s="566" t="s">
        <v>477</v>
      </c>
      <c r="Q879" s="568">
        <v>909678</v>
      </c>
      <c r="R879" s="568">
        <v>38</v>
      </c>
      <c r="S879" s="566" t="s">
        <v>1401</v>
      </c>
      <c r="T879" s="586" t="s">
        <v>779</v>
      </c>
      <c r="U879" s="586" t="s">
        <v>468</v>
      </c>
      <c r="V879" s="586" t="s">
        <v>528</v>
      </c>
      <c r="W879" s="587" t="s">
        <v>1277</v>
      </c>
      <c r="X879" s="586" t="s">
        <v>1380</v>
      </c>
      <c r="Y879" s="586" t="s">
        <v>1367</v>
      </c>
      <c r="Z879" s="587" t="s">
        <v>1983</v>
      </c>
      <c r="AA879" s="588">
        <v>1468</v>
      </c>
      <c r="AB879" s="586"/>
    </row>
    <row r="880" spans="1:28" hidden="1">
      <c r="A880" s="566" t="s">
        <v>1335</v>
      </c>
      <c r="B880" s="566" t="s">
        <v>466</v>
      </c>
      <c r="C880" s="566" t="s">
        <v>471</v>
      </c>
      <c r="D880" s="566" t="s">
        <v>472</v>
      </c>
      <c r="E880" s="566" t="s">
        <v>473</v>
      </c>
      <c r="F880" s="566" t="s">
        <v>474</v>
      </c>
      <c r="G880" s="567">
        <v>0</v>
      </c>
      <c r="H880" s="566" t="s">
        <v>1755</v>
      </c>
      <c r="I880" s="568">
        <v>2</v>
      </c>
      <c r="J880" s="569">
        <v>31</v>
      </c>
      <c r="K880" s="569">
        <v>31</v>
      </c>
      <c r="L880" s="566"/>
      <c r="M880" s="566" t="s">
        <v>476</v>
      </c>
      <c r="N880" s="570">
        <v>1504</v>
      </c>
      <c r="O880" s="566"/>
      <c r="P880" s="566" t="s">
        <v>477</v>
      </c>
      <c r="Q880" s="568">
        <v>909678</v>
      </c>
      <c r="R880" s="568">
        <v>36</v>
      </c>
      <c r="S880" s="566" t="s">
        <v>1403</v>
      </c>
      <c r="T880" s="586" t="s">
        <v>779</v>
      </c>
      <c r="U880" s="586" t="s">
        <v>468</v>
      </c>
      <c r="V880" s="586" t="s">
        <v>528</v>
      </c>
      <c r="W880" s="587" t="s">
        <v>1354</v>
      </c>
      <c r="X880" s="586" t="s">
        <v>1380</v>
      </c>
      <c r="Y880" s="586" t="s">
        <v>1367</v>
      </c>
      <c r="Z880" s="587" t="s">
        <v>1984</v>
      </c>
      <c r="AA880" s="588">
        <v>1504</v>
      </c>
      <c r="AB880" s="586"/>
    </row>
    <row r="881" spans="1:28" hidden="1">
      <c r="A881" s="566" t="s">
        <v>1335</v>
      </c>
      <c r="B881" s="566" t="s">
        <v>466</v>
      </c>
      <c r="C881" s="566" t="s">
        <v>487</v>
      </c>
      <c r="D881" s="566" t="s">
        <v>472</v>
      </c>
      <c r="E881" s="566" t="s">
        <v>473</v>
      </c>
      <c r="F881" s="566" t="s">
        <v>489</v>
      </c>
      <c r="G881" s="567">
        <v>50</v>
      </c>
      <c r="H881" s="566" t="s">
        <v>1757</v>
      </c>
      <c r="I881" s="568">
        <v>2</v>
      </c>
      <c r="J881" s="569">
        <v>31</v>
      </c>
      <c r="K881" s="569">
        <v>31</v>
      </c>
      <c r="L881" s="566"/>
      <c r="M881" s="566" t="s">
        <v>476</v>
      </c>
      <c r="N881" s="570">
        <v>1540</v>
      </c>
      <c r="O881" s="566"/>
      <c r="P881" s="566" t="s">
        <v>477</v>
      </c>
      <c r="Q881" s="568">
        <v>909678</v>
      </c>
      <c r="R881" s="568">
        <v>39</v>
      </c>
      <c r="S881" s="566" t="s">
        <v>1405</v>
      </c>
      <c r="T881" s="586" t="s">
        <v>779</v>
      </c>
      <c r="U881" s="586" t="s">
        <v>468</v>
      </c>
      <c r="V881" s="586" t="s">
        <v>528</v>
      </c>
      <c r="W881" s="587" t="s">
        <v>1358</v>
      </c>
      <c r="X881" s="586" t="s">
        <v>1380</v>
      </c>
      <c r="Y881" s="586" t="s">
        <v>1367</v>
      </c>
      <c r="Z881" s="587" t="s">
        <v>1985</v>
      </c>
      <c r="AA881" s="588">
        <v>1540</v>
      </c>
      <c r="AB881" s="586"/>
    </row>
    <row r="882" spans="1:28" hidden="1">
      <c r="A882" s="566" t="s">
        <v>1335</v>
      </c>
      <c r="B882" s="566" t="s">
        <v>466</v>
      </c>
      <c r="C882" s="566" t="s">
        <v>471</v>
      </c>
      <c r="D882" s="566" t="s">
        <v>472</v>
      </c>
      <c r="E882" s="566" t="s">
        <v>473</v>
      </c>
      <c r="F882" s="566" t="s">
        <v>474</v>
      </c>
      <c r="G882" s="567">
        <v>0</v>
      </c>
      <c r="H882" s="566" t="s">
        <v>475</v>
      </c>
      <c r="I882" s="568">
        <v>2</v>
      </c>
      <c r="J882" s="569">
        <v>7</v>
      </c>
      <c r="K882" s="569">
        <v>7</v>
      </c>
      <c r="L882" s="566"/>
      <c r="M882" s="566" t="s">
        <v>476</v>
      </c>
      <c r="N882" s="570">
        <v>460</v>
      </c>
      <c r="O882" s="566"/>
      <c r="P882" s="566" t="s">
        <v>477</v>
      </c>
      <c r="Q882" s="568">
        <v>909678</v>
      </c>
      <c r="R882" s="568">
        <v>7</v>
      </c>
      <c r="S882" s="566" t="s">
        <v>1407</v>
      </c>
      <c r="T882" s="586" t="s">
        <v>1442</v>
      </c>
      <c r="U882" s="586" t="s">
        <v>468</v>
      </c>
      <c r="V882" s="586" t="s">
        <v>528</v>
      </c>
      <c r="W882" s="587" t="s">
        <v>470</v>
      </c>
      <c r="X882" s="586" t="s">
        <v>1380</v>
      </c>
      <c r="Y882" s="586" t="s">
        <v>1338</v>
      </c>
      <c r="Z882" s="587" t="s">
        <v>1986</v>
      </c>
      <c r="AA882" s="588">
        <v>460</v>
      </c>
      <c r="AB882" s="586"/>
    </row>
    <row r="883" spans="1:28" hidden="1">
      <c r="A883" s="566" t="s">
        <v>1335</v>
      </c>
      <c r="B883" s="566" t="s">
        <v>466</v>
      </c>
      <c r="C883" s="566" t="s">
        <v>471</v>
      </c>
      <c r="D883" s="566" t="s">
        <v>472</v>
      </c>
      <c r="E883" s="566" t="s">
        <v>473</v>
      </c>
      <c r="F883" s="566" t="s">
        <v>474</v>
      </c>
      <c r="G883" s="567">
        <v>0</v>
      </c>
      <c r="H883" s="566" t="s">
        <v>481</v>
      </c>
      <c r="I883" s="568">
        <v>2</v>
      </c>
      <c r="J883" s="569">
        <v>7</v>
      </c>
      <c r="K883" s="569">
        <v>7</v>
      </c>
      <c r="L883" s="566"/>
      <c r="M883" s="566" t="s">
        <v>476</v>
      </c>
      <c r="N883" s="570">
        <v>532</v>
      </c>
      <c r="O883" s="566"/>
      <c r="P883" s="566" t="s">
        <v>477</v>
      </c>
      <c r="Q883" s="568">
        <v>909678</v>
      </c>
      <c r="R883" s="568">
        <v>8</v>
      </c>
      <c r="S883" s="566" t="s">
        <v>1410</v>
      </c>
      <c r="T883" s="586" t="s">
        <v>1442</v>
      </c>
      <c r="U883" s="586" t="s">
        <v>468</v>
      </c>
      <c r="V883" s="586" t="s">
        <v>528</v>
      </c>
      <c r="W883" s="587" t="s">
        <v>480</v>
      </c>
      <c r="X883" s="586" t="s">
        <v>1380</v>
      </c>
      <c r="Y883" s="586" t="s">
        <v>1338</v>
      </c>
      <c r="Z883" s="587" t="s">
        <v>1987</v>
      </c>
      <c r="AA883" s="588">
        <v>532</v>
      </c>
      <c r="AB883" s="586"/>
    </row>
    <row r="884" spans="1:28" hidden="1">
      <c r="A884" s="566" t="s">
        <v>1335</v>
      </c>
      <c r="B884" s="566" t="s">
        <v>466</v>
      </c>
      <c r="C884" s="566" t="s">
        <v>487</v>
      </c>
      <c r="D884" s="566" t="s">
        <v>472</v>
      </c>
      <c r="E884" s="566" t="s">
        <v>473</v>
      </c>
      <c r="F884" s="566" t="s">
        <v>489</v>
      </c>
      <c r="G884" s="567">
        <v>50</v>
      </c>
      <c r="H884" s="566" t="s">
        <v>500</v>
      </c>
      <c r="I884" s="568">
        <v>2</v>
      </c>
      <c r="J884" s="569">
        <v>7</v>
      </c>
      <c r="K884" s="569">
        <v>7</v>
      </c>
      <c r="L884" s="566"/>
      <c r="M884" s="566" t="s">
        <v>476</v>
      </c>
      <c r="N884" s="570">
        <v>712</v>
      </c>
      <c r="O884" s="566"/>
      <c r="P884" s="566" t="s">
        <v>477</v>
      </c>
      <c r="Q884" s="568">
        <v>909678</v>
      </c>
      <c r="R884" s="568">
        <v>11</v>
      </c>
      <c r="S884" s="566" t="s">
        <v>1412</v>
      </c>
      <c r="T884" s="586" t="s">
        <v>1442</v>
      </c>
      <c r="U884" s="586" t="s">
        <v>468</v>
      </c>
      <c r="V884" s="586" t="s">
        <v>528</v>
      </c>
      <c r="W884" s="587" t="s">
        <v>499</v>
      </c>
      <c r="X884" s="586" t="s">
        <v>1380</v>
      </c>
      <c r="Y884" s="586" t="s">
        <v>1338</v>
      </c>
      <c r="Z884" s="587" t="s">
        <v>1988</v>
      </c>
      <c r="AA884" s="588">
        <v>712</v>
      </c>
      <c r="AB884" s="586"/>
    </row>
    <row r="885" spans="1:28" hidden="1">
      <c r="A885" s="566" t="s">
        <v>1335</v>
      </c>
      <c r="B885" s="566" t="s">
        <v>466</v>
      </c>
      <c r="C885" s="566" t="s">
        <v>487</v>
      </c>
      <c r="D885" s="566" t="s">
        <v>472</v>
      </c>
      <c r="E885" s="566" t="s">
        <v>473</v>
      </c>
      <c r="F885" s="566" t="s">
        <v>489</v>
      </c>
      <c r="G885" s="567">
        <v>50</v>
      </c>
      <c r="H885" s="566" t="s">
        <v>505</v>
      </c>
      <c r="I885" s="568">
        <v>2</v>
      </c>
      <c r="J885" s="569">
        <v>7</v>
      </c>
      <c r="K885" s="569">
        <v>7</v>
      </c>
      <c r="L885" s="566"/>
      <c r="M885" s="566" t="s">
        <v>476</v>
      </c>
      <c r="N885" s="570">
        <v>784</v>
      </c>
      <c r="O885" s="566"/>
      <c r="P885" s="566" t="s">
        <v>477</v>
      </c>
      <c r="Q885" s="568">
        <v>909678</v>
      </c>
      <c r="R885" s="568">
        <v>20</v>
      </c>
      <c r="S885" s="566" t="s">
        <v>1414</v>
      </c>
      <c r="T885" s="586" t="s">
        <v>1442</v>
      </c>
      <c r="U885" s="586" t="s">
        <v>468</v>
      </c>
      <c r="V885" s="586" t="s">
        <v>528</v>
      </c>
      <c r="W885" s="587" t="s">
        <v>504</v>
      </c>
      <c r="X885" s="586" t="s">
        <v>1380</v>
      </c>
      <c r="Y885" s="586" t="s">
        <v>1338</v>
      </c>
      <c r="Z885" s="587" t="s">
        <v>1989</v>
      </c>
      <c r="AA885" s="588">
        <v>784</v>
      </c>
      <c r="AB885" s="586"/>
    </row>
    <row r="886" spans="1:28" hidden="1">
      <c r="A886" s="566" t="s">
        <v>1335</v>
      </c>
      <c r="B886" s="566" t="s">
        <v>466</v>
      </c>
      <c r="C886" s="566" t="s">
        <v>471</v>
      </c>
      <c r="D886" s="566" t="s">
        <v>472</v>
      </c>
      <c r="E886" s="566" t="s">
        <v>473</v>
      </c>
      <c r="F886" s="566" t="s">
        <v>474</v>
      </c>
      <c r="G886" s="567">
        <v>0</v>
      </c>
      <c r="H886" s="566" t="s">
        <v>479</v>
      </c>
      <c r="I886" s="568">
        <v>2</v>
      </c>
      <c r="J886" s="569">
        <v>56</v>
      </c>
      <c r="K886" s="569">
        <v>56</v>
      </c>
      <c r="L886" s="566"/>
      <c r="M886" s="566" t="s">
        <v>476</v>
      </c>
      <c r="N886" s="570">
        <v>1037</v>
      </c>
      <c r="O886" s="566"/>
      <c r="P886" s="566" t="s">
        <v>477</v>
      </c>
      <c r="Q886" s="568">
        <v>909678</v>
      </c>
      <c r="R886" s="568">
        <v>25</v>
      </c>
      <c r="S886" s="566" t="s">
        <v>1336</v>
      </c>
      <c r="T886" s="586" t="s">
        <v>253</v>
      </c>
      <c r="U886" s="586" t="s">
        <v>468</v>
      </c>
      <c r="V886" s="586" t="s">
        <v>528</v>
      </c>
      <c r="W886" s="587" t="s">
        <v>1274</v>
      </c>
      <c r="X886" s="586" t="s">
        <v>1337</v>
      </c>
      <c r="Y886" s="586" t="s">
        <v>1338</v>
      </c>
      <c r="Z886" s="587" t="s">
        <v>1990</v>
      </c>
      <c r="AA886" s="588">
        <v>1037</v>
      </c>
      <c r="AB886" s="586"/>
    </row>
    <row r="887" spans="1:28" hidden="1">
      <c r="A887" s="566" t="s">
        <v>1335</v>
      </c>
      <c r="B887" s="566" t="s">
        <v>466</v>
      </c>
      <c r="C887" s="566" t="s">
        <v>471</v>
      </c>
      <c r="D887" s="566" t="s">
        <v>472</v>
      </c>
      <c r="E887" s="566" t="s">
        <v>473</v>
      </c>
      <c r="F887" s="566" t="s">
        <v>474</v>
      </c>
      <c r="G887" s="567">
        <v>0</v>
      </c>
      <c r="H887" s="566" t="s">
        <v>484</v>
      </c>
      <c r="I887" s="568">
        <v>2</v>
      </c>
      <c r="J887" s="569">
        <v>56</v>
      </c>
      <c r="K887" s="569">
        <v>56</v>
      </c>
      <c r="L887" s="566"/>
      <c r="M887" s="566" t="s">
        <v>476</v>
      </c>
      <c r="N887" s="570">
        <v>1073</v>
      </c>
      <c r="O887" s="566"/>
      <c r="P887" s="566" t="s">
        <v>477</v>
      </c>
      <c r="Q887" s="568">
        <v>909678</v>
      </c>
      <c r="R887" s="568">
        <v>26</v>
      </c>
      <c r="S887" s="566" t="s">
        <v>1340</v>
      </c>
      <c r="T887" s="586" t="s">
        <v>253</v>
      </c>
      <c r="U887" s="586" t="s">
        <v>468</v>
      </c>
      <c r="V887" s="586" t="s">
        <v>528</v>
      </c>
      <c r="W887" s="587" t="s">
        <v>1275</v>
      </c>
      <c r="X887" s="586" t="s">
        <v>1337</v>
      </c>
      <c r="Y887" s="586" t="s">
        <v>1338</v>
      </c>
      <c r="Z887" s="587" t="s">
        <v>1991</v>
      </c>
      <c r="AA887" s="588">
        <v>1073</v>
      </c>
      <c r="AB887" s="586"/>
    </row>
    <row r="888" spans="1:28" hidden="1">
      <c r="A888" s="566" t="s">
        <v>1335</v>
      </c>
      <c r="B888" s="566" t="s">
        <v>466</v>
      </c>
      <c r="C888" s="566" t="s">
        <v>487</v>
      </c>
      <c r="D888" s="566" t="s">
        <v>472</v>
      </c>
      <c r="E888" s="566" t="s">
        <v>473</v>
      </c>
      <c r="F888" s="566" t="s">
        <v>489</v>
      </c>
      <c r="G888" s="567">
        <v>50</v>
      </c>
      <c r="H888" s="566" t="s">
        <v>490</v>
      </c>
      <c r="I888" s="568">
        <v>2</v>
      </c>
      <c r="J888" s="569">
        <v>56</v>
      </c>
      <c r="K888" s="569">
        <v>56</v>
      </c>
      <c r="L888" s="566"/>
      <c r="M888" s="566" t="s">
        <v>476</v>
      </c>
      <c r="N888" s="570">
        <v>1109</v>
      </c>
      <c r="O888" s="566"/>
      <c r="P888" s="566" t="s">
        <v>477</v>
      </c>
      <c r="Q888" s="568">
        <v>909678</v>
      </c>
      <c r="R888" s="568">
        <v>28</v>
      </c>
      <c r="S888" s="566" t="s">
        <v>1342</v>
      </c>
      <c r="T888" s="586" t="s">
        <v>253</v>
      </c>
      <c r="U888" s="586" t="s">
        <v>468</v>
      </c>
      <c r="V888" s="586" t="s">
        <v>528</v>
      </c>
      <c r="W888" s="587" t="s">
        <v>485</v>
      </c>
      <c r="X888" s="586" t="s">
        <v>1337</v>
      </c>
      <c r="Y888" s="586" t="s">
        <v>1338</v>
      </c>
      <c r="Z888" s="587" t="s">
        <v>1992</v>
      </c>
      <c r="AA888" s="588">
        <v>1109</v>
      </c>
      <c r="AB888" s="586"/>
    </row>
    <row r="889" spans="1:28" hidden="1">
      <c r="A889" s="566" t="s">
        <v>1335</v>
      </c>
      <c r="B889" s="566" t="s">
        <v>466</v>
      </c>
      <c r="C889" s="566" t="s">
        <v>487</v>
      </c>
      <c r="D889" s="566" t="s">
        <v>472</v>
      </c>
      <c r="E889" s="566" t="s">
        <v>473</v>
      </c>
      <c r="F889" s="566" t="s">
        <v>489</v>
      </c>
      <c r="G889" s="567">
        <v>50</v>
      </c>
      <c r="H889" s="566" t="s">
        <v>494</v>
      </c>
      <c r="I889" s="568">
        <v>2</v>
      </c>
      <c r="J889" s="569">
        <v>56</v>
      </c>
      <c r="K889" s="569">
        <v>56</v>
      </c>
      <c r="L889" s="566"/>
      <c r="M889" s="566" t="s">
        <v>476</v>
      </c>
      <c r="N889" s="570">
        <v>1145</v>
      </c>
      <c r="O889" s="566"/>
      <c r="P889" s="566" t="s">
        <v>477</v>
      </c>
      <c r="Q889" s="568">
        <v>909678</v>
      </c>
      <c r="R889" s="568">
        <v>29</v>
      </c>
      <c r="S889" s="566" t="s">
        <v>1344</v>
      </c>
      <c r="T889" s="586" t="s">
        <v>253</v>
      </c>
      <c r="U889" s="586" t="s">
        <v>468</v>
      </c>
      <c r="V889" s="586" t="s">
        <v>528</v>
      </c>
      <c r="W889" s="587" t="s">
        <v>491</v>
      </c>
      <c r="X889" s="586" t="s">
        <v>1337</v>
      </c>
      <c r="Y889" s="586" t="s">
        <v>1338</v>
      </c>
      <c r="Z889" s="587" t="s">
        <v>1993</v>
      </c>
      <c r="AA889" s="588">
        <v>1145</v>
      </c>
      <c r="AB889" s="586"/>
    </row>
    <row r="890" spans="1:28" hidden="1">
      <c r="A890" s="566" t="s">
        <v>1335</v>
      </c>
      <c r="B890" s="566" t="s">
        <v>466</v>
      </c>
      <c r="C890" s="566" t="s">
        <v>487</v>
      </c>
      <c r="D890" s="566" t="s">
        <v>472</v>
      </c>
      <c r="E890" s="566" t="s">
        <v>473</v>
      </c>
      <c r="F890" s="566" t="s">
        <v>489</v>
      </c>
      <c r="G890" s="567">
        <v>50</v>
      </c>
      <c r="H890" s="566" t="s">
        <v>498</v>
      </c>
      <c r="I890" s="568">
        <v>2</v>
      </c>
      <c r="J890" s="569">
        <v>56</v>
      </c>
      <c r="K890" s="569">
        <v>56</v>
      </c>
      <c r="L890" s="566"/>
      <c r="M890" s="566" t="s">
        <v>476</v>
      </c>
      <c r="N890" s="570">
        <v>1181</v>
      </c>
      <c r="O890" s="566"/>
      <c r="P890" s="566" t="s">
        <v>477</v>
      </c>
      <c r="Q890" s="568">
        <v>909678</v>
      </c>
      <c r="R890" s="568">
        <v>30</v>
      </c>
      <c r="S890" s="566" t="s">
        <v>1346</v>
      </c>
      <c r="T890" s="586" t="s">
        <v>253</v>
      </c>
      <c r="U890" s="586" t="s">
        <v>468</v>
      </c>
      <c r="V890" s="586" t="s">
        <v>528</v>
      </c>
      <c r="W890" s="587" t="s">
        <v>495</v>
      </c>
      <c r="X890" s="586" t="s">
        <v>1337</v>
      </c>
      <c r="Y890" s="586" t="s">
        <v>1338</v>
      </c>
      <c r="Z890" s="587" t="s">
        <v>1994</v>
      </c>
      <c r="AA890" s="588">
        <v>1181</v>
      </c>
      <c r="AB890" s="586"/>
    </row>
    <row r="891" spans="1:28" hidden="1">
      <c r="A891" s="566" t="s">
        <v>1335</v>
      </c>
      <c r="B891" s="566" t="s">
        <v>466</v>
      </c>
      <c r="C891" s="566" t="s">
        <v>487</v>
      </c>
      <c r="D891" s="566" t="s">
        <v>472</v>
      </c>
      <c r="E891" s="566" t="s">
        <v>473</v>
      </c>
      <c r="F891" s="566" t="s">
        <v>489</v>
      </c>
      <c r="G891" s="567">
        <v>50</v>
      </c>
      <c r="H891" s="566" t="s">
        <v>503</v>
      </c>
      <c r="I891" s="568">
        <v>2</v>
      </c>
      <c r="J891" s="569">
        <v>56</v>
      </c>
      <c r="K891" s="569">
        <v>56</v>
      </c>
      <c r="L891" s="566"/>
      <c r="M891" s="566" t="s">
        <v>476</v>
      </c>
      <c r="N891" s="570">
        <v>1217</v>
      </c>
      <c r="O891" s="566"/>
      <c r="P891" s="566" t="s">
        <v>477</v>
      </c>
      <c r="Q891" s="568">
        <v>909678</v>
      </c>
      <c r="R891" s="568">
        <v>31</v>
      </c>
      <c r="S891" s="566" t="s">
        <v>1348</v>
      </c>
      <c r="T891" s="586" t="s">
        <v>253</v>
      </c>
      <c r="U891" s="586" t="s">
        <v>468</v>
      </c>
      <c r="V891" s="586" t="s">
        <v>528</v>
      </c>
      <c r="W891" s="587" t="s">
        <v>1276</v>
      </c>
      <c r="X891" s="586" t="s">
        <v>1337</v>
      </c>
      <c r="Y891" s="586" t="s">
        <v>1338</v>
      </c>
      <c r="Z891" s="587" t="s">
        <v>1995</v>
      </c>
      <c r="AA891" s="588">
        <v>1217</v>
      </c>
      <c r="AB891" s="586"/>
    </row>
    <row r="892" spans="1:28" hidden="1">
      <c r="A892" s="566" t="s">
        <v>1335</v>
      </c>
      <c r="B892" s="566" t="s">
        <v>466</v>
      </c>
      <c r="C892" s="566" t="s">
        <v>487</v>
      </c>
      <c r="D892" s="566" t="s">
        <v>472</v>
      </c>
      <c r="E892" s="566" t="s">
        <v>473</v>
      </c>
      <c r="F892" s="566" t="s">
        <v>489</v>
      </c>
      <c r="G892" s="567">
        <v>50</v>
      </c>
      <c r="H892" s="566" t="s">
        <v>508</v>
      </c>
      <c r="I892" s="568">
        <v>2</v>
      </c>
      <c r="J892" s="569">
        <v>56</v>
      </c>
      <c r="K892" s="569">
        <v>56</v>
      </c>
      <c r="L892" s="566"/>
      <c r="M892" s="566" t="s">
        <v>476</v>
      </c>
      <c r="N892" s="570">
        <v>1253</v>
      </c>
      <c r="O892" s="566"/>
      <c r="P892" s="566" t="s">
        <v>477</v>
      </c>
      <c r="Q892" s="568">
        <v>909678</v>
      </c>
      <c r="R892" s="568">
        <v>32</v>
      </c>
      <c r="S892" s="566" t="s">
        <v>1350</v>
      </c>
      <c r="T892" s="586" t="s">
        <v>253</v>
      </c>
      <c r="U892" s="586" t="s">
        <v>468</v>
      </c>
      <c r="V892" s="586" t="s">
        <v>528</v>
      </c>
      <c r="W892" s="587" t="s">
        <v>1277</v>
      </c>
      <c r="X892" s="586" t="s">
        <v>1337</v>
      </c>
      <c r="Y892" s="586" t="s">
        <v>1338</v>
      </c>
      <c r="Z892" s="587" t="s">
        <v>1996</v>
      </c>
      <c r="AA892" s="588">
        <v>1253</v>
      </c>
      <c r="AB892" s="586"/>
    </row>
    <row r="893" spans="1:28" hidden="1">
      <c r="A893" s="566" t="s">
        <v>1335</v>
      </c>
      <c r="B893" s="566" t="s">
        <v>466</v>
      </c>
      <c r="C893" s="566" t="s">
        <v>471</v>
      </c>
      <c r="D893" s="566" t="s">
        <v>472</v>
      </c>
      <c r="E893" s="566" t="s">
        <v>473</v>
      </c>
      <c r="F893" s="566" t="s">
        <v>474</v>
      </c>
      <c r="G893" s="567">
        <v>0</v>
      </c>
      <c r="H893" s="566" t="s">
        <v>1755</v>
      </c>
      <c r="I893" s="568">
        <v>2</v>
      </c>
      <c r="J893" s="569">
        <v>56</v>
      </c>
      <c r="K893" s="569">
        <v>56</v>
      </c>
      <c r="L893" s="566"/>
      <c r="M893" s="566" t="s">
        <v>476</v>
      </c>
      <c r="N893" s="570">
        <v>1289</v>
      </c>
      <c r="O893" s="566"/>
      <c r="P893" s="566" t="s">
        <v>477</v>
      </c>
      <c r="Q893" s="568">
        <v>909678</v>
      </c>
      <c r="R893" s="568">
        <v>27</v>
      </c>
      <c r="S893" s="566" t="s">
        <v>1353</v>
      </c>
      <c r="T893" s="586" t="s">
        <v>253</v>
      </c>
      <c r="U893" s="586" t="s">
        <v>468</v>
      </c>
      <c r="V893" s="586" t="s">
        <v>528</v>
      </c>
      <c r="W893" s="587" t="s">
        <v>1354</v>
      </c>
      <c r="X893" s="586" t="s">
        <v>1337</v>
      </c>
      <c r="Y893" s="586" t="s">
        <v>1338</v>
      </c>
      <c r="Z893" s="587" t="s">
        <v>1997</v>
      </c>
      <c r="AA893" s="588">
        <v>1289</v>
      </c>
      <c r="AB893" s="586"/>
    </row>
    <row r="894" spans="1:28" hidden="1">
      <c r="A894" s="566" t="s">
        <v>1335</v>
      </c>
      <c r="B894" s="566" t="s">
        <v>466</v>
      </c>
      <c r="C894" s="566" t="s">
        <v>487</v>
      </c>
      <c r="D894" s="566" t="s">
        <v>472</v>
      </c>
      <c r="E894" s="566" t="s">
        <v>473</v>
      </c>
      <c r="F894" s="566" t="s">
        <v>489</v>
      </c>
      <c r="G894" s="567">
        <v>50</v>
      </c>
      <c r="H894" s="566" t="s">
        <v>1757</v>
      </c>
      <c r="I894" s="568">
        <v>2</v>
      </c>
      <c r="J894" s="569">
        <v>56</v>
      </c>
      <c r="K894" s="569">
        <v>56</v>
      </c>
      <c r="L894" s="566"/>
      <c r="M894" s="566" t="s">
        <v>476</v>
      </c>
      <c r="N894" s="570">
        <v>1325</v>
      </c>
      <c r="O894" s="566"/>
      <c r="P894" s="566" t="s">
        <v>477</v>
      </c>
      <c r="Q894" s="568">
        <v>909678</v>
      </c>
      <c r="R894" s="568">
        <v>33</v>
      </c>
      <c r="S894" s="566" t="s">
        <v>1357</v>
      </c>
      <c r="T894" s="586" t="s">
        <v>253</v>
      </c>
      <c r="U894" s="586" t="s">
        <v>468</v>
      </c>
      <c r="V894" s="586" t="s">
        <v>528</v>
      </c>
      <c r="W894" s="587" t="s">
        <v>1358</v>
      </c>
      <c r="X894" s="586" t="s">
        <v>1337</v>
      </c>
      <c r="Y894" s="586" t="s">
        <v>1338</v>
      </c>
      <c r="Z894" s="587" t="s">
        <v>1998</v>
      </c>
      <c r="AA894" s="588">
        <v>1325</v>
      </c>
      <c r="AB894" s="586"/>
    </row>
    <row r="895" spans="1:28" hidden="1">
      <c r="A895" s="566" t="s">
        <v>1335</v>
      </c>
      <c r="B895" s="566" t="s">
        <v>466</v>
      </c>
      <c r="C895" s="566" t="s">
        <v>471</v>
      </c>
      <c r="D895" s="566" t="s">
        <v>472</v>
      </c>
      <c r="E895" s="566" t="s">
        <v>473</v>
      </c>
      <c r="F895" s="566" t="s">
        <v>474</v>
      </c>
      <c r="G895" s="567">
        <v>0</v>
      </c>
      <c r="H895" s="566" t="s">
        <v>511</v>
      </c>
      <c r="I895" s="568">
        <v>2</v>
      </c>
      <c r="J895" s="569">
        <v>56</v>
      </c>
      <c r="K895" s="569">
        <v>56</v>
      </c>
      <c r="L895" s="566"/>
      <c r="M895" s="566" t="s">
        <v>476</v>
      </c>
      <c r="N895" s="570">
        <v>929</v>
      </c>
      <c r="O895" s="566"/>
      <c r="P895" s="566" t="s">
        <v>477</v>
      </c>
      <c r="Q895" s="568">
        <v>909678</v>
      </c>
      <c r="R895" s="568">
        <v>22</v>
      </c>
      <c r="S895" s="566" t="s">
        <v>1360</v>
      </c>
      <c r="T895" s="586" t="s">
        <v>253</v>
      </c>
      <c r="U895" s="586" t="s">
        <v>468</v>
      </c>
      <c r="V895" s="586" t="s">
        <v>528</v>
      </c>
      <c r="W895" s="587" t="s">
        <v>509</v>
      </c>
      <c r="X895" s="586" t="s">
        <v>1337</v>
      </c>
      <c r="Y895" s="586" t="s">
        <v>1338</v>
      </c>
      <c r="Z895" s="587" t="s">
        <v>1999</v>
      </c>
      <c r="AA895" s="588">
        <v>929</v>
      </c>
      <c r="AB895" s="586"/>
    </row>
    <row r="896" spans="1:28" hidden="1">
      <c r="A896" s="566" t="s">
        <v>1335</v>
      </c>
      <c r="B896" s="566" t="s">
        <v>466</v>
      </c>
      <c r="C896" s="566" t="s">
        <v>471</v>
      </c>
      <c r="D896" s="566" t="s">
        <v>472</v>
      </c>
      <c r="E896" s="566" t="s">
        <v>473</v>
      </c>
      <c r="F896" s="566" t="s">
        <v>474</v>
      </c>
      <c r="G896" s="567">
        <v>0</v>
      </c>
      <c r="H896" s="566" t="s">
        <v>213</v>
      </c>
      <c r="I896" s="568">
        <v>2</v>
      </c>
      <c r="J896" s="569">
        <v>56</v>
      </c>
      <c r="K896" s="569">
        <v>56</v>
      </c>
      <c r="L896" s="566"/>
      <c r="M896" s="566" t="s">
        <v>476</v>
      </c>
      <c r="N896" s="570">
        <v>965</v>
      </c>
      <c r="O896" s="566"/>
      <c r="P896" s="566" t="s">
        <v>477</v>
      </c>
      <c r="Q896" s="568">
        <v>909678</v>
      </c>
      <c r="R896" s="568">
        <v>23</v>
      </c>
      <c r="S896" s="566" t="s">
        <v>1362</v>
      </c>
      <c r="T896" s="586" t="s">
        <v>253</v>
      </c>
      <c r="U896" s="586" t="s">
        <v>468</v>
      </c>
      <c r="V896" s="586" t="s">
        <v>528</v>
      </c>
      <c r="W896" s="587" t="s">
        <v>512</v>
      </c>
      <c r="X896" s="586" t="s">
        <v>1337</v>
      </c>
      <c r="Y896" s="586" t="s">
        <v>1338</v>
      </c>
      <c r="Z896" s="587" t="s">
        <v>2000</v>
      </c>
      <c r="AA896" s="588">
        <v>965</v>
      </c>
      <c r="AB896" s="586"/>
    </row>
    <row r="897" spans="1:28" hidden="1">
      <c r="A897" s="566" t="s">
        <v>1335</v>
      </c>
      <c r="B897" s="566" t="s">
        <v>466</v>
      </c>
      <c r="C897" s="566" t="s">
        <v>471</v>
      </c>
      <c r="D897" s="566" t="s">
        <v>472</v>
      </c>
      <c r="E897" s="566" t="s">
        <v>473</v>
      </c>
      <c r="F897" s="566" t="s">
        <v>474</v>
      </c>
      <c r="G897" s="567">
        <v>0</v>
      </c>
      <c r="H897" s="566" t="s">
        <v>516</v>
      </c>
      <c r="I897" s="568">
        <v>2</v>
      </c>
      <c r="J897" s="569">
        <v>56</v>
      </c>
      <c r="K897" s="569">
        <v>56</v>
      </c>
      <c r="L897" s="566"/>
      <c r="M897" s="566" t="s">
        <v>476</v>
      </c>
      <c r="N897" s="570">
        <v>1001</v>
      </c>
      <c r="O897" s="566"/>
      <c r="P897" s="566" t="s">
        <v>477</v>
      </c>
      <c r="Q897" s="568">
        <v>909678</v>
      </c>
      <c r="R897" s="568">
        <v>24</v>
      </c>
      <c r="S897" s="566" t="s">
        <v>1364</v>
      </c>
      <c r="T897" s="586" t="s">
        <v>253</v>
      </c>
      <c r="U897" s="586" t="s">
        <v>468</v>
      </c>
      <c r="V897" s="586" t="s">
        <v>528</v>
      </c>
      <c r="W897" s="587" t="s">
        <v>514</v>
      </c>
      <c r="X897" s="586" t="s">
        <v>1337</v>
      </c>
      <c r="Y897" s="586" t="s">
        <v>1338</v>
      </c>
      <c r="Z897" s="587" t="s">
        <v>2001</v>
      </c>
      <c r="AA897" s="588">
        <v>1001</v>
      </c>
      <c r="AB897" s="586"/>
    </row>
    <row r="898" spans="1:28" hidden="1">
      <c r="A898" s="566" t="s">
        <v>1335</v>
      </c>
      <c r="B898" s="566" t="s">
        <v>466</v>
      </c>
      <c r="C898" s="566" t="s">
        <v>471</v>
      </c>
      <c r="D898" s="566" t="s">
        <v>472</v>
      </c>
      <c r="E898" s="566" t="s">
        <v>473</v>
      </c>
      <c r="F898" s="566" t="s">
        <v>474</v>
      </c>
      <c r="G898" s="567">
        <v>0</v>
      </c>
      <c r="H898" s="566" t="s">
        <v>479</v>
      </c>
      <c r="I898" s="568">
        <v>2</v>
      </c>
      <c r="J898" s="569">
        <v>80</v>
      </c>
      <c r="K898" s="569">
        <v>80</v>
      </c>
      <c r="L898" s="566"/>
      <c r="M898" s="566" t="s">
        <v>476</v>
      </c>
      <c r="N898" s="570">
        <v>1577</v>
      </c>
      <c r="O898" s="566"/>
      <c r="P898" s="566" t="s">
        <v>477</v>
      </c>
      <c r="Q898" s="568">
        <v>909678</v>
      </c>
      <c r="R898" s="568">
        <v>40</v>
      </c>
      <c r="S898" s="566" t="s">
        <v>1366</v>
      </c>
      <c r="T898" s="586" t="s">
        <v>253</v>
      </c>
      <c r="U898" s="586" t="s">
        <v>468</v>
      </c>
      <c r="V898" s="586" t="s">
        <v>528</v>
      </c>
      <c r="W898" s="587" t="s">
        <v>1274</v>
      </c>
      <c r="X898" s="586" t="s">
        <v>1337</v>
      </c>
      <c r="Y898" s="586" t="s">
        <v>1367</v>
      </c>
      <c r="Z898" s="587" t="s">
        <v>2002</v>
      </c>
      <c r="AA898" s="588">
        <v>1577</v>
      </c>
      <c r="AB898" s="586"/>
    </row>
    <row r="899" spans="1:28" hidden="1">
      <c r="A899" s="566" t="s">
        <v>1335</v>
      </c>
      <c r="B899" s="566" t="s">
        <v>466</v>
      </c>
      <c r="C899" s="566" t="s">
        <v>471</v>
      </c>
      <c r="D899" s="566" t="s">
        <v>472</v>
      </c>
      <c r="E899" s="566" t="s">
        <v>473</v>
      </c>
      <c r="F899" s="566" t="s">
        <v>474</v>
      </c>
      <c r="G899" s="567">
        <v>0</v>
      </c>
      <c r="H899" s="566" t="s">
        <v>484</v>
      </c>
      <c r="I899" s="568">
        <v>2</v>
      </c>
      <c r="J899" s="569">
        <v>80</v>
      </c>
      <c r="K899" s="569">
        <v>80</v>
      </c>
      <c r="L899" s="566"/>
      <c r="M899" s="566" t="s">
        <v>476</v>
      </c>
      <c r="N899" s="570">
        <v>1613</v>
      </c>
      <c r="O899" s="566"/>
      <c r="P899" s="566" t="s">
        <v>477</v>
      </c>
      <c r="Q899" s="568">
        <v>909678</v>
      </c>
      <c r="R899" s="568">
        <v>41</v>
      </c>
      <c r="S899" s="566" t="s">
        <v>1369</v>
      </c>
      <c r="T899" s="586" t="s">
        <v>253</v>
      </c>
      <c r="U899" s="586" t="s">
        <v>468</v>
      </c>
      <c r="V899" s="586" t="s">
        <v>528</v>
      </c>
      <c r="W899" s="587" t="s">
        <v>1275</v>
      </c>
      <c r="X899" s="586" t="s">
        <v>1337</v>
      </c>
      <c r="Y899" s="586" t="s">
        <v>1367</v>
      </c>
      <c r="Z899" s="587" t="s">
        <v>2003</v>
      </c>
      <c r="AA899" s="588">
        <v>1613</v>
      </c>
      <c r="AB899" s="586"/>
    </row>
    <row r="900" spans="1:28" hidden="1">
      <c r="A900" s="566" t="s">
        <v>1335</v>
      </c>
      <c r="B900" s="566" t="s">
        <v>466</v>
      </c>
      <c r="C900" s="566" t="s">
        <v>487</v>
      </c>
      <c r="D900" s="566" t="s">
        <v>472</v>
      </c>
      <c r="E900" s="566" t="s">
        <v>473</v>
      </c>
      <c r="F900" s="566" t="s">
        <v>489</v>
      </c>
      <c r="G900" s="567">
        <v>50</v>
      </c>
      <c r="H900" s="566" t="s">
        <v>503</v>
      </c>
      <c r="I900" s="568">
        <v>2</v>
      </c>
      <c r="J900" s="569">
        <v>80</v>
      </c>
      <c r="K900" s="569">
        <v>80</v>
      </c>
      <c r="L900" s="566"/>
      <c r="M900" s="566" t="s">
        <v>476</v>
      </c>
      <c r="N900" s="570">
        <v>1649</v>
      </c>
      <c r="O900" s="566"/>
      <c r="P900" s="566" t="s">
        <v>477</v>
      </c>
      <c r="Q900" s="568">
        <v>909678</v>
      </c>
      <c r="R900" s="568">
        <v>43</v>
      </c>
      <c r="S900" s="566" t="s">
        <v>1371</v>
      </c>
      <c r="T900" s="586" t="s">
        <v>253</v>
      </c>
      <c r="U900" s="586" t="s">
        <v>468</v>
      </c>
      <c r="V900" s="586" t="s">
        <v>528</v>
      </c>
      <c r="W900" s="587" t="s">
        <v>1276</v>
      </c>
      <c r="X900" s="586" t="s">
        <v>1337</v>
      </c>
      <c r="Y900" s="586" t="s">
        <v>1367</v>
      </c>
      <c r="Z900" s="587" t="s">
        <v>2004</v>
      </c>
      <c r="AA900" s="588">
        <v>1649</v>
      </c>
      <c r="AB900" s="586"/>
    </row>
    <row r="901" spans="1:28" hidden="1">
      <c r="A901" s="566" t="s">
        <v>1335</v>
      </c>
      <c r="B901" s="566" t="s">
        <v>466</v>
      </c>
      <c r="C901" s="566" t="s">
        <v>487</v>
      </c>
      <c r="D901" s="566" t="s">
        <v>472</v>
      </c>
      <c r="E901" s="566" t="s">
        <v>473</v>
      </c>
      <c r="F901" s="566" t="s">
        <v>489</v>
      </c>
      <c r="G901" s="567">
        <v>50</v>
      </c>
      <c r="H901" s="566" t="s">
        <v>508</v>
      </c>
      <c r="I901" s="568">
        <v>2</v>
      </c>
      <c r="J901" s="569">
        <v>80</v>
      </c>
      <c r="K901" s="569">
        <v>80</v>
      </c>
      <c r="L901" s="566"/>
      <c r="M901" s="566" t="s">
        <v>476</v>
      </c>
      <c r="N901" s="570">
        <v>1685</v>
      </c>
      <c r="O901" s="566"/>
      <c r="P901" s="566" t="s">
        <v>477</v>
      </c>
      <c r="Q901" s="568">
        <v>909678</v>
      </c>
      <c r="R901" s="568">
        <v>44</v>
      </c>
      <c r="S901" s="566" t="s">
        <v>1373</v>
      </c>
      <c r="T901" s="586" t="s">
        <v>253</v>
      </c>
      <c r="U901" s="586" t="s">
        <v>468</v>
      </c>
      <c r="V901" s="586" t="s">
        <v>528</v>
      </c>
      <c r="W901" s="587" t="s">
        <v>1277</v>
      </c>
      <c r="X901" s="586" t="s">
        <v>1337</v>
      </c>
      <c r="Y901" s="586" t="s">
        <v>1367</v>
      </c>
      <c r="Z901" s="587" t="s">
        <v>2005</v>
      </c>
      <c r="AA901" s="588">
        <v>1685</v>
      </c>
      <c r="AB901" s="586"/>
    </row>
    <row r="902" spans="1:28" hidden="1">
      <c r="A902" s="566" t="s">
        <v>1335</v>
      </c>
      <c r="B902" s="566" t="s">
        <v>466</v>
      </c>
      <c r="C902" s="566" t="s">
        <v>471</v>
      </c>
      <c r="D902" s="566" t="s">
        <v>472</v>
      </c>
      <c r="E902" s="566" t="s">
        <v>473</v>
      </c>
      <c r="F902" s="566" t="s">
        <v>474</v>
      </c>
      <c r="G902" s="567">
        <v>0</v>
      </c>
      <c r="H902" s="566" t="s">
        <v>1755</v>
      </c>
      <c r="I902" s="568">
        <v>2</v>
      </c>
      <c r="J902" s="569">
        <v>80</v>
      </c>
      <c r="K902" s="569">
        <v>80</v>
      </c>
      <c r="L902" s="566"/>
      <c r="M902" s="566" t="s">
        <v>476</v>
      </c>
      <c r="N902" s="570">
        <v>1721</v>
      </c>
      <c r="O902" s="566"/>
      <c r="P902" s="566" t="s">
        <v>477</v>
      </c>
      <c r="Q902" s="568">
        <v>909678</v>
      </c>
      <c r="R902" s="568">
        <v>42</v>
      </c>
      <c r="S902" s="566" t="s">
        <v>1375</v>
      </c>
      <c r="T902" s="586" t="s">
        <v>253</v>
      </c>
      <c r="U902" s="586" t="s">
        <v>468</v>
      </c>
      <c r="V902" s="586" t="s">
        <v>528</v>
      </c>
      <c r="W902" s="587" t="s">
        <v>1354</v>
      </c>
      <c r="X902" s="586" t="s">
        <v>1337</v>
      </c>
      <c r="Y902" s="586" t="s">
        <v>1367</v>
      </c>
      <c r="Z902" s="587" t="s">
        <v>2006</v>
      </c>
      <c r="AA902" s="588">
        <v>1721</v>
      </c>
      <c r="AB902" s="586"/>
    </row>
    <row r="903" spans="1:28" hidden="1">
      <c r="A903" s="566" t="s">
        <v>1335</v>
      </c>
      <c r="B903" s="566" t="s">
        <v>466</v>
      </c>
      <c r="C903" s="566" t="s">
        <v>487</v>
      </c>
      <c r="D903" s="566" t="s">
        <v>472</v>
      </c>
      <c r="E903" s="566" t="s">
        <v>473</v>
      </c>
      <c r="F903" s="566" t="s">
        <v>489</v>
      </c>
      <c r="G903" s="567">
        <v>50</v>
      </c>
      <c r="H903" s="566" t="s">
        <v>1757</v>
      </c>
      <c r="I903" s="568">
        <v>2</v>
      </c>
      <c r="J903" s="569">
        <v>80</v>
      </c>
      <c r="K903" s="569">
        <v>80</v>
      </c>
      <c r="L903" s="566"/>
      <c r="M903" s="566" t="s">
        <v>476</v>
      </c>
      <c r="N903" s="570">
        <v>1757</v>
      </c>
      <c r="O903" s="566"/>
      <c r="P903" s="566" t="s">
        <v>477</v>
      </c>
      <c r="Q903" s="568">
        <v>909678</v>
      </c>
      <c r="R903" s="568">
        <v>45</v>
      </c>
      <c r="S903" s="566" t="s">
        <v>1377</v>
      </c>
      <c r="T903" s="586" t="s">
        <v>253</v>
      </c>
      <c r="U903" s="586" t="s">
        <v>468</v>
      </c>
      <c r="V903" s="586" t="s">
        <v>528</v>
      </c>
      <c r="W903" s="587" t="s">
        <v>1358</v>
      </c>
      <c r="X903" s="586" t="s">
        <v>1337</v>
      </c>
      <c r="Y903" s="586" t="s">
        <v>1367</v>
      </c>
      <c r="Z903" s="587" t="s">
        <v>2007</v>
      </c>
      <c r="AA903" s="588">
        <v>1757</v>
      </c>
      <c r="AB903" s="586"/>
    </row>
    <row r="904" spans="1:28" hidden="1">
      <c r="A904" s="566" t="s">
        <v>1335</v>
      </c>
      <c r="B904" s="566" t="s">
        <v>466</v>
      </c>
      <c r="C904" s="566" t="s">
        <v>471</v>
      </c>
      <c r="D904" s="566" t="s">
        <v>472</v>
      </c>
      <c r="E904" s="566" t="s">
        <v>473</v>
      </c>
      <c r="F904" s="566" t="s">
        <v>474</v>
      </c>
      <c r="G904" s="567">
        <v>0</v>
      </c>
      <c r="H904" s="566" t="s">
        <v>479</v>
      </c>
      <c r="I904" s="568">
        <v>2</v>
      </c>
      <c r="J904" s="569">
        <v>8</v>
      </c>
      <c r="K904" s="569">
        <v>8</v>
      </c>
      <c r="L904" s="566"/>
      <c r="M904" s="566" t="s">
        <v>476</v>
      </c>
      <c r="N904" s="570">
        <v>497</v>
      </c>
      <c r="O904" s="566"/>
      <c r="P904" s="566" t="s">
        <v>477</v>
      </c>
      <c r="Q904" s="568">
        <v>909678</v>
      </c>
      <c r="R904" s="568">
        <v>10</v>
      </c>
      <c r="S904" s="566" t="s">
        <v>1382</v>
      </c>
      <c r="T904" s="586" t="s">
        <v>253</v>
      </c>
      <c r="U904" s="586" t="s">
        <v>468</v>
      </c>
      <c r="V904" s="586" t="s">
        <v>528</v>
      </c>
      <c r="W904" s="587" t="s">
        <v>1274</v>
      </c>
      <c r="X904" s="586" t="s">
        <v>1380</v>
      </c>
      <c r="Y904" s="586" t="s">
        <v>1338</v>
      </c>
      <c r="Z904" s="587" t="s">
        <v>1031</v>
      </c>
      <c r="AA904" s="588">
        <v>497</v>
      </c>
      <c r="AB904" s="586"/>
    </row>
    <row r="905" spans="1:28" hidden="1">
      <c r="A905" s="566" t="s">
        <v>1335</v>
      </c>
      <c r="B905" s="566" t="s">
        <v>466</v>
      </c>
      <c r="C905" s="566" t="s">
        <v>471</v>
      </c>
      <c r="D905" s="566" t="s">
        <v>472</v>
      </c>
      <c r="E905" s="566" t="s">
        <v>473</v>
      </c>
      <c r="F905" s="566" t="s">
        <v>474</v>
      </c>
      <c r="G905" s="567">
        <v>0</v>
      </c>
      <c r="H905" s="566" t="s">
        <v>484</v>
      </c>
      <c r="I905" s="568">
        <v>2</v>
      </c>
      <c r="J905" s="569">
        <v>8</v>
      </c>
      <c r="K905" s="569">
        <v>8</v>
      </c>
      <c r="L905" s="566"/>
      <c r="M905" s="566" t="s">
        <v>476</v>
      </c>
      <c r="N905" s="570">
        <v>569</v>
      </c>
      <c r="O905" s="566"/>
      <c r="P905" s="566" t="s">
        <v>477</v>
      </c>
      <c r="Q905" s="568">
        <v>909678</v>
      </c>
      <c r="R905" s="568">
        <v>15</v>
      </c>
      <c r="S905" s="566" t="s">
        <v>483</v>
      </c>
      <c r="T905" s="586" t="s">
        <v>253</v>
      </c>
      <c r="U905" s="586" t="s">
        <v>468</v>
      </c>
      <c r="V905" s="586" t="s">
        <v>528</v>
      </c>
      <c r="W905" s="587" t="s">
        <v>1275</v>
      </c>
      <c r="X905" s="586" t="s">
        <v>1380</v>
      </c>
      <c r="Y905" s="586" t="s">
        <v>1338</v>
      </c>
      <c r="Z905" s="587" t="s">
        <v>1032</v>
      </c>
      <c r="AA905" s="588">
        <v>569</v>
      </c>
      <c r="AB905" s="586"/>
    </row>
    <row r="906" spans="1:28" hidden="1">
      <c r="A906" s="566" t="s">
        <v>1335</v>
      </c>
      <c r="B906" s="566" t="s">
        <v>466</v>
      </c>
      <c r="C906" s="566" t="s">
        <v>487</v>
      </c>
      <c r="D906" s="566" t="s">
        <v>472</v>
      </c>
      <c r="E906" s="566" t="s">
        <v>473</v>
      </c>
      <c r="F906" s="566" t="s">
        <v>489</v>
      </c>
      <c r="G906" s="567">
        <v>50</v>
      </c>
      <c r="H906" s="566" t="s">
        <v>490</v>
      </c>
      <c r="I906" s="568">
        <v>2</v>
      </c>
      <c r="J906" s="569">
        <v>8</v>
      </c>
      <c r="K906" s="569">
        <v>8</v>
      </c>
      <c r="L906" s="566"/>
      <c r="M906" s="566" t="s">
        <v>476</v>
      </c>
      <c r="N906" s="570">
        <v>605</v>
      </c>
      <c r="O906" s="566"/>
      <c r="P906" s="566" t="s">
        <v>477</v>
      </c>
      <c r="Q906" s="568">
        <v>909678</v>
      </c>
      <c r="R906" s="568">
        <v>16</v>
      </c>
      <c r="S906" s="566" t="s">
        <v>488</v>
      </c>
      <c r="T906" s="586" t="s">
        <v>253</v>
      </c>
      <c r="U906" s="586" t="s">
        <v>468</v>
      </c>
      <c r="V906" s="586" t="s">
        <v>528</v>
      </c>
      <c r="W906" s="587" t="s">
        <v>485</v>
      </c>
      <c r="X906" s="586" t="s">
        <v>1380</v>
      </c>
      <c r="Y906" s="586" t="s">
        <v>1338</v>
      </c>
      <c r="Z906" s="587" t="s">
        <v>1033</v>
      </c>
      <c r="AA906" s="588">
        <v>605</v>
      </c>
      <c r="AB906" s="586"/>
    </row>
    <row r="907" spans="1:28" hidden="1">
      <c r="A907" s="566" t="s">
        <v>1335</v>
      </c>
      <c r="B907" s="566" t="s">
        <v>466</v>
      </c>
      <c r="C907" s="566" t="s">
        <v>487</v>
      </c>
      <c r="D907" s="566" t="s">
        <v>472</v>
      </c>
      <c r="E907" s="566" t="s">
        <v>473</v>
      </c>
      <c r="F907" s="566" t="s">
        <v>489</v>
      </c>
      <c r="G907" s="567">
        <v>50</v>
      </c>
      <c r="H907" s="566" t="s">
        <v>494</v>
      </c>
      <c r="I907" s="568">
        <v>2</v>
      </c>
      <c r="J907" s="569">
        <v>8</v>
      </c>
      <c r="K907" s="569">
        <v>8</v>
      </c>
      <c r="L907" s="566"/>
      <c r="M907" s="566" t="s">
        <v>476</v>
      </c>
      <c r="N907" s="570">
        <v>641</v>
      </c>
      <c r="O907" s="566"/>
      <c r="P907" s="566" t="s">
        <v>477</v>
      </c>
      <c r="Q907" s="568">
        <v>909678</v>
      </c>
      <c r="R907" s="568">
        <v>17</v>
      </c>
      <c r="S907" s="566" t="s">
        <v>493</v>
      </c>
      <c r="T907" s="586" t="s">
        <v>253</v>
      </c>
      <c r="U907" s="586" t="s">
        <v>468</v>
      </c>
      <c r="V907" s="586" t="s">
        <v>528</v>
      </c>
      <c r="W907" s="587" t="s">
        <v>491</v>
      </c>
      <c r="X907" s="586" t="s">
        <v>1380</v>
      </c>
      <c r="Y907" s="586" t="s">
        <v>1338</v>
      </c>
      <c r="Z907" s="587" t="s">
        <v>1034</v>
      </c>
      <c r="AA907" s="588">
        <v>641</v>
      </c>
      <c r="AB907" s="586"/>
    </row>
    <row r="908" spans="1:28" hidden="1">
      <c r="A908" s="566" t="s">
        <v>1335</v>
      </c>
      <c r="B908" s="566" t="s">
        <v>466</v>
      </c>
      <c r="C908" s="566" t="s">
        <v>487</v>
      </c>
      <c r="D908" s="566" t="s">
        <v>472</v>
      </c>
      <c r="E908" s="566" t="s">
        <v>473</v>
      </c>
      <c r="F908" s="566" t="s">
        <v>489</v>
      </c>
      <c r="G908" s="567">
        <v>50</v>
      </c>
      <c r="H908" s="566" t="s">
        <v>498</v>
      </c>
      <c r="I908" s="568">
        <v>2</v>
      </c>
      <c r="J908" s="569">
        <v>8</v>
      </c>
      <c r="K908" s="569">
        <v>8</v>
      </c>
      <c r="L908" s="566"/>
      <c r="M908" s="566" t="s">
        <v>476</v>
      </c>
      <c r="N908" s="570">
        <v>677</v>
      </c>
      <c r="O908" s="566"/>
      <c r="P908" s="566" t="s">
        <v>477</v>
      </c>
      <c r="Q908" s="568">
        <v>909678</v>
      </c>
      <c r="R908" s="568">
        <v>18</v>
      </c>
      <c r="S908" s="566" t="s">
        <v>497</v>
      </c>
      <c r="T908" s="586" t="s">
        <v>253</v>
      </c>
      <c r="U908" s="586" t="s">
        <v>468</v>
      </c>
      <c r="V908" s="586" t="s">
        <v>528</v>
      </c>
      <c r="W908" s="587" t="s">
        <v>495</v>
      </c>
      <c r="X908" s="586" t="s">
        <v>1380</v>
      </c>
      <c r="Y908" s="586" t="s">
        <v>1338</v>
      </c>
      <c r="Z908" s="587" t="s">
        <v>1035</v>
      </c>
      <c r="AA908" s="588">
        <v>677</v>
      </c>
      <c r="AB908" s="586"/>
    </row>
    <row r="909" spans="1:28" hidden="1">
      <c r="A909" s="566" t="s">
        <v>1335</v>
      </c>
      <c r="B909" s="566" t="s">
        <v>466</v>
      </c>
      <c r="C909" s="566" t="s">
        <v>487</v>
      </c>
      <c r="D909" s="566" t="s">
        <v>472</v>
      </c>
      <c r="E909" s="566" t="s">
        <v>473</v>
      </c>
      <c r="F909" s="566" t="s">
        <v>489</v>
      </c>
      <c r="G909" s="567">
        <v>50</v>
      </c>
      <c r="H909" s="566" t="s">
        <v>503</v>
      </c>
      <c r="I909" s="568">
        <v>2</v>
      </c>
      <c r="J909" s="569">
        <v>8</v>
      </c>
      <c r="K909" s="569">
        <v>8</v>
      </c>
      <c r="L909" s="566"/>
      <c r="M909" s="566" t="s">
        <v>476</v>
      </c>
      <c r="N909" s="570">
        <v>749</v>
      </c>
      <c r="O909" s="566"/>
      <c r="P909" s="566" t="s">
        <v>477</v>
      </c>
      <c r="Q909" s="568">
        <v>909678</v>
      </c>
      <c r="R909" s="568">
        <v>19</v>
      </c>
      <c r="S909" s="566" t="s">
        <v>502</v>
      </c>
      <c r="T909" s="586" t="s">
        <v>253</v>
      </c>
      <c r="U909" s="586" t="s">
        <v>468</v>
      </c>
      <c r="V909" s="586" t="s">
        <v>528</v>
      </c>
      <c r="W909" s="587" t="s">
        <v>1276</v>
      </c>
      <c r="X909" s="586" t="s">
        <v>1380</v>
      </c>
      <c r="Y909" s="586" t="s">
        <v>1338</v>
      </c>
      <c r="Z909" s="587" t="s">
        <v>1036</v>
      </c>
      <c r="AA909" s="588">
        <v>749</v>
      </c>
      <c r="AB909" s="586"/>
    </row>
    <row r="910" spans="1:28" hidden="1">
      <c r="A910" s="566" t="s">
        <v>1335</v>
      </c>
      <c r="B910" s="566" t="s">
        <v>466</v>
      </c>
      <c r="C910" s="566" t="s">
        <v>487</v>
      </c>
      <c r="D910" s="566" t="s">
        <v>472</v>
      </c>
      <c r="E910" s="566" t="s">
        <v>473</v>
      </c>
      <c r="F910" s="566" t="s">
        <v>489</v>
      </c>
      <c r="G910" s="567">
        <v>50</v>
      </c>
      <c r="H910" s="566" t="s">
        <v>508</v>
      </c>
      <c r="I910" s="568">
        <v>2</v>
      </c>
      <c r="J910" s="569">
        <v>8</v>
      </c>
      <c r="K910" s="569">
        <v>8</v>
      </c>
      <c r="L910" s="566"/>
      <c r="M910" s="566" t="s">
        <v>476</v>
      </c>
      <c r="N910" s="570">
        <v>821</v>
      </c>
      <c r="O910" s="566"/>
      <c r="P910" s="566" t="s">
        <v>477</v>
      </c>
      <c r="Q910" s="568">
        <v>909678</v>
      </c>
      <c r="R910" s="568">
        <v>21</v>
      </c>
      <c r="S910" s="566" t="s">
        <v>507</v>
      </c>
      <c r="T910" s="586" t="s">
        <v>253</v>
      </c>
      <c r="U910" s="586" t="s">
        <v>468</v>
      </c>
      <c r="V910" s="586" t="s">
        <v>528</v>
      </c>
      <c r="W910" s="587" t="s">
        <v>1277</v>
      </c>
      <c r="X910" s="586" t="s">
        <v>1380</v>
      </c>
      <c r="Y910" s="586" t="s">
        <v>1338</v>
      </c>
      <c r="Z910" s="587" t="s">
        <v>1037</v>
      </c>
      <c r="AA910" s="588">
        <v>821</v>
      </c>
      <c r="AB910" s="586"/>
    </row>
    <row r="911" spans="1:28" hidden="1">
      <c r="A911" s="566" t="s">
        <v>1335</v>
      </c>
      <c r="B911" s="566" t="s">
        <v>466</v>
      </c>
      <c r="C911" s="566" t="s">
        <v>471</v>
      </c>
      <c r="D911" s="566" t="s">
        <v>472</v>
      </c>
      <c r="E911" s="566" t="s">
        <v>473</v>
      </c>
      <c r="F911" s="566" t="s">
        <v>474</v>
      </c>
      <c r="G911" s="567">
        <v>0</v>
      </c>
      <c r="H911" s="566" t="s">
        <v>1755</v>
      </c>
      <c r="I911" s="568">
        <v>2</v>
      </c>
      <c r="J911" s="569">
        <v>8</v>
      </c>
      <c r="K911" s="569">
        <v>8</v>
      </c>
      <c r="L911" s="566"/>
      <c r="M911" s="566" t="s">
        <v>476</v>
      </c>
      <c r="N911" s="570">
        <v>857</v>
      </c>
      <c r="O911" s="566"/>
      <c r="P911" s="566" t="s">
        <v>477</v>
      </c>
      <c r="Q911" s="568">
        <v>909678</v>
      </c>
      <c r="R911" s="568">
        <v>46</v>
      </c>
      <c r="S911" s="566" t="s">
        <v>1383</v>
      </c>
      <c r="T911" s="586" t="s">
        <v>253</v>
      </c>
      <c r="U911" s="586" t="s">
        <v>468</v>
      </c>
      <c r="V911" s="586" t="s">
        <v>528</v>
      </c>
      <c r="W911" s="587" t="s">
        <v>1354</v>
      </c>
      <c r="X911" s="586" t="s">
        <v>1380</v>
      </c>
      <c r="Y911" s="586" t="s">
        <v>1338</v>
      </c>
      <c r="Z911" s="587" t="s">
        <v>2008</v>
      </c>
      <c r="AA911" s="588">
        <v>857</v>
      </c>
      <c r="AB911" s="586"/>
    </row>
    <row r="912" spans="1:28" hidden="1">
      <c r="A912" s="566" t="s">
        <v>1335</v>
      </c>
      <c r="B912" s="566" t="s">
        <v>466</v>
      </c>
      <c r="C912" s="566" t="s">
        <v>487</v>
      </c>
      <c r="D912" s="566" t="s">
        <v>472</v>
      </c>
      <c r="E912" s="566" t="s">
        <v>473</v>
      </c>
      <c r="F912" s="566" t="s">
        <v>489</v>
      </c>
      <c r="G912" s="567">
        <v>50</v>
      </c>
      <c r="H912" s="566" t="s">
        <v>1757</v>
      </c>
      <c r="I912" s="568">
        <v>2</v>
      </c>
      <c r="J912" s="569">
        <v>8</v>
      </c>
      <c r="K912" s="569">
        <v>8</v>
      </c>
      <c r="L912" s="566"/>
      <c r="M912" s="566" t="s">
        <v>476</v>
      </c>
      <c r="N912" s="570">
        <v>893</v>
      </c>
      <c r="O912" s="566"/>
      <c r="P912" s="566" t="s">
        <v>477</v>
      </c>
      <c r="Q912" s="568">
        <v>909678</v>
      </c>
      <c r="R912" s="568">
        <v>47</v>
      </c>
      <c r="S912" s="566" t="s">
        <v>1385</v>
      </c>
      <c r="T912" s="586" t="s">
        <v>253</v>
      </c>
      <c r="U912" s="586" t="s">
        <v>468</v>
      </c>
      <c r="V912" s="586" t="s">
        <v>528</v>
      </c>
      <c r="W912" s="587" t="s">
        <v>1358</v>
      </c>
      <c r="X912" s="586" t="s">
        <v>1380</v>
      </c>
      <c r="Y912" s="586" t="s">
        <v>1338</v>
      </c>
      <c r="Z912" s="587" t="s">
        <v>2009</v>
      </c>
      <c r="AA912" s="588">
        <v>893</v>
      </c>
      <c r="AB912" s="586"/>
    </row>
    <row r="913" spans="1:28" hidden="1">
      <c r="A913" s="566" t="s">
        <v>1335</v>
      </c>
      <c r="B913" s="566" t="s">
        <v>466</v>
      </c>
      <c r="C913" s="566" t="s">
        <v>471</v>
      </c>
      <c r="D913" s="566" t="s">
        <v>472</v>
      </c>
      <c r="E913" s="566" t="s">
        <v>473</v>
      </c>
      <c r="F913" s="566" t="s">
        <v>474</v>
      </c>
      <c r="G913" s="567">
        <v>0</v>
      </c>
      <c r="H913" s="566" t="s">
        <v>511</v>
      </c>
      <c r="I913" s="568">
        <v>2</v>
      </c>
      <c r="J913" s="569">
        <v>8</v>
      </c>
      <c r="K913" s="569">
        <v>8</v>
      </c>
      <c r="L913" s="566"/>
      <c r="M913" s="566" t="s">
        <v>476</v>
      </c>
      <c r="N913" s="570">
        <v>353</v>
      </c>
      <c r="O913" s="566"/>
      <c r="P913" s="566" t="s">
        <v>477</v>
      </c>
      <c r="Q913" s="568">
        <v>909678</v>
      </c>
      <c r="R913" s="568">
        <v>5</v>
      </c>
      <c r="S913" s="566" t="s">
        <v>1392</v>
      </c>
      <c r="T913" s="586" t="s">
        <v>253</v>
      </c>
      <c r="U913" s="586" t="s">
        <v>468</v>
      </c>
      <c r="V913" s="586" t="s">
        <v>528</v>
      </c>
      <c r="W913" s="587" t="s">
        <v>509</v>
      </c>
      <c r="X913" s="586" t="s">
        <v>1380</v>
      </c>
      <c r="Y913" s="586" t="s">
        <v>1338</v>
      </c>
      <c r="Z913" s="587" t="s">
        <v>1038</v>
      </c>
      <c r="AA913" s="588">
        <v>353</v>
      </c>
      <c r="AB913" s="586"/>
    </row>
    <row r="914" spans="1:28" hidden="1">
      <c r="A914" s="566" t="s">
        <v>1335</v>
      </c>
      <c r="B914" s="566" t="s">
        <v>466</v>
      </c>
      <c r="C914" s="566" t="s">
        <v>471</v>
      </c>
      <c r="D914" s="566" t="s">
        <v>472</v>
      </c>
      <c r="E914" s="566" t="s">
        <v>473</v>
      </c>
      <c r="F914" s="566" t="s">
        <v>474</v>
      </c>
      <c r="G914" s="567">
        <v>0</v>
      </c>
      <c r="H914" s="566" t="s">
        <v>213</v>
      </c>
      <c r="I914" s="568">
        <v>2</v>
      </c>
      <c r="J914" s="569">
        <v>8</v>
      </c>
      <c r="K914" s="569">
        <v>8</v>
      </c>
      <c r="L914" s="566"/>
      <c r="M914" s="566" t="s">
        <v>476</v>
      </c>
      <c r="N914" s="570">
        <v>389</v>
      </c>
      <c r="O914" s="566"/>
      <c r="P914" s="566" t="s">
        <v>477</v>
      </c>
      <c r="Q914" s="568">
        <v>909678</v>
      </c>
      <c r="R914" s="568">
        <v>6</v>
      </c>
      <c r="S914" s="566" t="s">
        <v>1393</v>
      </c>
      <c r="T914" s="586" t="s">
        <v>253</v>
      </c>
      <c r="U914" s="586" t="s">
        <v>468</v>
      </c>
      <c r="V914" s="586" t="s">
        <v>528</v>
      </c>
      <c r="W914" s="587" t="s">
        <v>512</v>
      </c>
      <c r="X914" s="586" t="s">
        <v>1380</v>
      </c>
      <c r="Y914" s="586" t="s">
        <v>1338</v>
      </c>
      <c r="Z914" s="587" t="s">
        <v>1039</v>
      </c>
      <c r="AA914" s="588">
        <v>389</v>
      </c>
      <c r="AB914" s="586"/>
    </row>
    <row r="915" spans="1:28" hidden="1">
      <c r="A915" s="566" t="s">
        <v>1335</v>
      </c>
      <c r="B915" s="566" t="s">
        <v>466</v>
      </c>
      <c r="C915" s="566" t="s">
        <v>471</v>
      </c>
      <c r="D915" s="566" t="s">
        <v>472</v>
      </c>
      <c r="E915" s="566" t="s">
        <v>473</v>
      </c>
      <c r="F915" s="566" t="s">
        <v>474</v>
      </c>
      <c r="G915" s="567">
        <v>0</v>
      </c>
      <c r="H915" s="566" t="s">
        <v>516</v>
      </c>
      <c r="I915" s="568">
        <v>2</v>
      </c>
      <c r="J915" s="569">
        <v>8</v>
      </c>
      <c r="K915" s="569">
        <v>8</v>
      </c>
      <c r="L915" s="566"/>
      <c r="M915" s="566" t="s">
        <v>476</v>
      </c>
      <c r="N915" s="570">
        <v>425</v>
      </c>
      <c r="O915" s="566"/>
      <c r="P915" s="566" t="s">
        <v>477</v>
      </c>
      <c r="Q915" s="568">
        <v>909678</v>
      </c>
      <c r="R915" s="568">
        <v>14</v>
      </c>
      <c r="S915" s="566" t="s">
        <v>1394</v>
      </c>
      <c r="T915" s="586" t="s">
        <v>253</v>
      </c>
      <c r="U915" s="586" t="s">
        <v>468</v>
      </c>
      <c r="V915" s="586" t="s">
        <v>528</v>
      </c>
      <c r="W915" s="587" t="s">
        <v>514</v>
      </c>
      <c r="X915" s="586" t="s">
        <v>1380</v>
      </c>
      <c r="Y915" s="586" t="s">
        <v>1338</v>
      </c>
      <c r="Z915" s="587" t="s">
        <v>1040</v>
      </c>
      <c r="AA915" s="588">
        <v>425</v>
      </c>
      <c r="AB915" s="586"/>
    </row>
    <row r="916" spans="1:28" hidden="1">
      <c r="A916" s="566" t="s">
        <v>1335</v>
      </c>
      <c r="B916" s="566" t="s">
        <v>466</v>
      </c>
      <c r="C916" s="566" t="s">
        <v>471</v>
      </c>
      <c r="D916" s="566" t="s">
        <v>472</v>
      </c>
      <c r="E916" s="566" t="s">
        <v>473</v>
      </c>
      <c r="F916" s="566" t="s">
        <v>474</v>
      </c>
      <c r="G916" s="567">
        <v>0</v>
      </c>
      <c r="H916" s="566" t="s">
        <v>479</v>
      </c>
      <c r="I916" s="568">
        <v>2</v>
      </c>
      <c r="J916" s="569">
        <v>32</v>
      </c>
      <c r="K916" s="569">
        <v>32</v>
      </c>
      <c r="L916" s="566"/>
      <c r="M916" s="566" t="s">
        <v>476</v>
      </c>
      <c r="N916" s="570">
        <v>1361</v>
      </c>
      <c r="O916" s="566"/>
      <c r="P916" s="566" t="s">
        <v>477</v>
      </c>
      <c r="Q916" s="568">
        <v>909678</v>
      </c>
      <c r="R916" s="568">
        <v>34</v>
      </c>
      <c r="S916" s="566" t="s">
        <v>1395</v>
      </c>
      <c r="T916" s="586" t="s">
        <v>253</v>
      </c>
      <c r="U916" s="586" t="s">
        <v>468</v>
      </c>
      <c r="V916" s="586" t="s">
        <v>528</v>
      </c>
      <c r="W916" s="587" t="s">
        <v>1274</v>
      </c>
      <c r="X916" s="586" t="s">
        <v>1380</v>
      </c>
      <c r="Y916" s="586" t="s">
        <v>1367</v>
      </c>
      <c r="Z916" s="587" t="s">
        <v>2010</v>
      </c>
      <c r="AA916" s="588">
        <v>1361</v>
      </c>
      <c r="AB916" s="586"/>
    </row>
    <row r="917" spans="1:28" hidden="1">
      <c r="A917" s="566" t="s">
        <v>1335</v>
      </c>
      <c r="B917" s="566" t="s">
        <v>466</v>
      </c>
      <c r="C917" s="566" t="s">
        <v>471</v>
      </c>
      <c r="D917" s="566" t="s">
        <v>472</v>
      </c>
      <c r="E917" s="566" t="s">
        <v>473</v>
      </c>
      <c r="F917" s="566" t="s">
        <v>474</v>
      </c>
      <c r="G917" s="567">
        <v>0</v>
      </c>
      <c r="H917" s="566" t="s">
        <v>484</v>
      </c>
      <c r="I917" s="568">
        <v>2</v>
      </c>
      <c r="J917" s="569">
        <v>32</v>
      </c>
      <c r="K917" s="569">
        <v>32</v>
      </c>
      <c r="L917" s="566"/>
      <c r="M917" s="566" t="s">
        <v>476</v>
      </c>
      <c r="N917" s="570">
        <v>1397</v>
      </c>
      <c r="O917" s="566"/>
      <c r="P917" s="566" t="s">
        <v>477</v>
      </c>
      <c r="Q917" s="568">
        <v>909678</v>
      </c>
      <c r="R917" s="568">
        <v>35</v>
      </c>
      <c r="S917" s="566" t="s">
        <v>1397</v>
      </c>
      <c r="T917" s="586" t="s">
        <v>253</v>
      </c>
      <c r="U917" s="586" t="s">
        <v>468</v>
      </c>
      <c r="V917" s="586" t="s">
        <v>528</v>
      </c>
      <c r="W917" s="587" t="s">
        <v>1275</v>
      </c>
      <c r="X917" s="586" t="s">
        <v>1380</v>
      </c>
      <c r="Y917" s="586" t="s">
        <v>1367</v>
      </c>
      <c r="Z917" s="587" t="s">
        <v>2011</v>
      </c>
      <c r="AA917" s="588">
        <v>1397</v>
      </c>
      <c r="AB917" s="586"/>
    </row>
    <row r="918" spans="1:28" hidden="1">
      <c r="A918" s="566" t="s">
        <v>1335</v>
      </c>
      <c r="B918" s="566" t="s">
        <v>466</v>
      </c>
      <c r="C918" s="566" t="s">
        <v>487</v>
      </c>
      <c r="D918" s="566" t="s">
        <v>472</v>
      </c>
      <c r="E918" s="566" t="s">
        <v>473</v>
      </c>
      <c r="F918" s="566" t="s">
        <v>489</v>
      </c>
      <c r="G918" s="567">
        <v>50</v>
      </c>
      <c r="H918" s="566" t="s">
        <v>503</v>
      </c>
      <c r="I918" s="568">
        <v>2</v>
      </c>
      <c r="J918" s="569">
        <v>32</v>
      </c>
      <c r="K918" s="569">
        <v>32</v>
      </c>
      <c r="L918" s="566"/>
      <c r="M918" s="566" t="s">
        <v>476</v>
      </c>
      <c r="N918" s="570">
        <v>1433</v>
      </c>
      <c r="O918" s="566"/>
      <c r="P918" s="566" t="s">
        <v>477</v>
      </c>
      <c r="Q918" s="568">
        <v>909678</v>
      </c>
      <c r="R918" s="568">
        <v>37</v>
      </c>
      <c r="S918" s="566" t="s">
        <v>1399</v>
      </c>
      <c r="T918" s="586" t="s">
        <v>253</v>
      </c>
      <c r="U918" s="586" t="s">
        <v>468</v>
      </c>
      <c r="V918" s="586" t="s">
        <v>528</v>
      </c>
      <c r="W918" s="587" t="s">
        <v>1276</v>
      </c>
      <c r="X918" s="586" t="s">
        <v>1380</v>
      </c>
      <c r="Y918" s="586" t="s">
        <v>1367</v>
      </c>
      <c r="Z918" s="587" t="s">
        <v>2012</v>
      </c>
      <c r="AA918" s="588">
        <v>1433</v>
      </c>
      <c r="AB918" s="586"/>
    </row>
    <row r="919" spans="1:28" hidden="1">
      <c r="A919" s="566" t="s">
        <v>1335</v>
      </c>
      <c r="B919" s="566" t="s">
        <v>466</v>
      </c>
      <c r="C919" s="566" t="s">
        <v>487</v>
      </c>
      <c r="D919" s="566" t="s">
        <v>472</v>
      </c>
      <c r="E919" s="566" t="s">
        <v>473</v>
      </c>
      <c r="F919" s="566" t="s">
        <v>489</v>
      </c>
      <c r="G919" s="567">
        <v>50</v>
      </c>
      <c r="H919" s="566" t="s">
        <v>508</v>
      </c>
      <c r="I919" s="568">
        <v>2</v>
      </c>
      <c r="J919" s="569">
        <v>32</v>
      </c>
      <c r="K919" s="569">
        <v>32</v>
      </c>
      <c r="L919" s="566"/>
      <c r="M919" s="566" t="s">
        <v>476</v>
      </c>
      <c r="N919" s="570">
        <v>1469</v>
      </c>
      <c r="O919" s="566"/>
      <c r="P919" s="566" t="s">
        <v>477</v>
      </c>
      <c r="Q919" s="568">
        <v>909678</v>
      </c>
      <c r="R919" s="568">
        <v>38</v>
      </c>
      <c r="S919" s="566" t="s">
        <v>1401</v>
      </c>
      <c r="T919" s="586" t="s">
        <v>253</v>
      </c>
      <c r="U919" s="586" t="s">
        <v>468</v>
      </c>
      <c r="V919" s="586" t="s">
        <v>528</v>
      </c>
      <c r="W919" s="587" t="s">
        <v>1277</v>
      </c>
      <c r="X919" s="586" t="s">
        <v>1380</v>
      </c>
      <c r="Y919" s="586" t="s">
        <v>1367</v>
      </c>
      <c r="Z919" s="587" t="s">
        <v>2013</v>
      </c>
      <c r="AA919" s="588">
        <v>1469</v>
      </c>
      <c r="AB919" s="586"/>
    </row>
    <row r="920" spans="1:28" hidden="1">
      <c r="A920" s="566" t="s">
        <v>1335</v>
      </c>
      <c r="B920" s="566" t="s">
        <v>466</v>
      </c>
      <c r="C920" s="566" t="s">
        <v>471</v>
      </c>
      <c r="D920" s="566" t="s">
        <v>472</v>
      </c>
      <c r="E920" s="566" t="s">
        <v>473</v>
      </c>
      <c r="F920" s="566" t="s">
        <v>474</v>
      </c>
      <c r="G920" s="567">
        <v>0</v>
      </c>
      <c r="H920" s="566" t="s">
        <v>1755</v>
      </c>
      <c r="I920" s="568">
        <v>2</v>
      </c>
      <c r="J920" s="569">
        <v>32</v>
      </c>
      <c r="K920" s="569">
        <v>32</v>
      </c>
      <c r="L920" s="566"/>
      <c r="M920" s="566" t="s">
        <v>476</v>
      </c>
      <c r="N920" s="570">
        <v>1505</v>
      </c>
      <c r="O920" s="566"/>
      <c r="P920" s="566" t="s">
        <v>477</v>
      </c>
      <c r="Q920" s="568">
        <v>909678</v>
      </c>
      <c r="R920" s="568">
        <v>36</v>
      </c>
      <c r="S920" s="566" t="s">
        <v>1403</v>
      </c>
      <c r="T920" s="586" t="s">
        <v>253</v>
      </c>
      <c r="U920" s="586" t="s">
        <v>468</v>
      </c>
      <c r="V920" s="586" t="s">
        <v>528</v>
      </c>
      <c r="W920" s="587" t="s">
        <v>1354</v>
      </c>
      <c r="X920" s="586" t="s">
        <v>1380</v>
      </c>
      <c r="Y920" s="586" t="s">
        <v>1367</v>
      </c>
      <c r="Z920" s="587" t="s">
        <v>2014</v>
      </c>
      <c r="AA920" s="588">
        <v>1505</v>
      </c>
      <c r="AB920" s="586"/>
    </row>
    <row r="921" spans="1:28" hidden="1">
      <c r="A921" s="566" t="s">
        <v>1335</v>
      </c>
      <c r="B921" s="566" t="s">
        <v>466</v>
      </c>
      <c r="C921" s="566" t="s">
        <v>487</v>
      </c>
      <c r="D921" s="566" t="s">
        <v>472</v>
      </c>
      <c r="E921" s="566" t="s">
        <v>473</v>
      </c>
      <c r="F921" s="566" t="s">
        <v>489</v>
      </c>
      <c r="G921" s="567">
        <v>50</v>
      </c>
      <c r="H921" s="566" t="s">
        <v>1757</v>
      </c>
      <c r="I921" s="568">
        <v>2</v>
      </c>
      <c r="J921" s="569">
        <v>32</v>
      </c>
      <c r="K921" s="569">
        <v>32</v>
      </c>
      <c r="L921" s="566"/>
      <c r="M921" s="566" t="s">
        <v>476</v>
      </c>
      <c r="N921" s="570">
        <v>1541</v>
      </c>
      <c r="O921" s="566"/>
      <c r="P921" s="566" t="s">
        <v>477</v>
      </c>
      <c r="Q921" s="568">
        <v>909678</v>
      </c>
      <c r="R921" s="568">
        <v>39</v>
      </c>
      <c r="S921" s="566" t="s">
        <v>1405</v>
      </c>
      <c r="T921" s="586" t="s">
        <v>253</v>
      </c>
      <c r="U921" s="586" t="s">
        <v>468</v>
      </c>
      <c r="V921" s="586" t="s">
        <v>528</v>
      </c>
      <c r="W921" s="587" t="s">
        <v>1358</v>
      </c>
      <c r="X921" s="586" t="s">
        <v>1380</v>
      </c>
      <c r="Y921" s="586" t="s">
        <v>1367</v>
      </c>
      <c r="Z921" s="587" t="s">
        <v>2015</v>
      </c>
      <c r="AA921" s="588">
        <v>1541</v>
      </c>
      <c r="AB921" s="586"/>
    </row>
    <row r="922" spans="1:28" hidden="1">
      <c r="A922" s="566" t="s">
        <v>1335</v>
      </c>
      <c r="B922" s="566" t="s">
        <v>466</v>
      </c>
      <c r="C922" s="566" t="s">
        <v>471</v>
      </c>
      <c r="D922" s="566" t="s">
        <v>472</v>
      </c>
      <c r="E922" s="566" t="s">
        <v>473</v>
      </c>
      <c r="F922" s="566" t="s">
        <v>474</v>
      </c>
      <c r="G922" s="567">
        <v>0</v>
      </c>
      <c r="H922" s="566" t="s">
        <v>475</v>
      </c>
      <c r="I922" s="568">
        <v>2</v>
      </c>
      <c r="J922" s="569">
        <v>8</v>
      </c>
      <c r="K922" s="569">
        <v>8</v>
      </c>
      <c r="L922" s="566"/>
      <c r="M922" s="566" t="s">
        <v>476</v>
      </c>
      <c r="N922" s="570">
        <v>461</v>
      </c>
      <c r="O922" s="566"/>
      <c r="P922" s="566" t="s">
        <v>477</v>
      </c>
      <c r="Q922" s="568">
        <v>909678</v>
      </c>
      <c r="R922" s="568">
        <v>7</v>
      </c>
      <c r="S922" s="566" t="s">
        <v>1407</v>
      </c>
      <c r="T922" s="586" t="s">
        <v>1473</v>
      </c>
      <c r="U922" s="586" t="s">
        <v>468</v>
      </c>
      <c r="V922" s="586" t="s">
        <v>528</v>
      </c>
      <c r="W922" s="587" t="s">
        <v>470</v>
      </c>
      <c r="X922" s="586" t="s">
        <v>1380</v>
      </c>
      <c r="Y922" s="586" t="s">
        <v>1338</v>
      </c>
      <c r="Z922" s="587" t="s">
        <v>2016</v>
      </c>
      <c r="AA922" s="588">
        <v>461</v>
      </c>
      <c r="AB922" s="586"/>
    </row>
    <row r="923" spans="1:28" hidden="1">
      <c r="A923" s="566" t="s">
        <v>1335</v>
      </c>
      <c r="B923" s="566" t="s">
        <v>466</v>
      </c>
      <c r="C923" s="566" t="s">
        <v>471</v>
      </c>
      <c r="D923" s="566" t="s">
        <v>472</v>
      </c>
      <c r="E923" s="566" t="s">
        <v>473</v>
      </c>
      <c r="F923" s="566" t="s">
        <v>474</v>
      </c>
      <c r="G923" s="567">
        <v>0</v>
      </c>
      <c r="H923" s="566" t="s">
        <v>481</v>
      </c>
      <c r="I923" s="568">
        <v>2</v>
      </c>
      <c r="J923" s="569">
        <v>8</v>
      </c>
      <c r="K923" s="569">
        <v>8</v>
      </c>
      <c r="L923" s="566"/>
      <c r="M923" s="566" t="s">
        <v>476</v>
      </c>
      <c r="N923" s="570">
        <v>533</v>
      </c>
      <c r="O923" s="566"/>
      <c r="P923" s="566" t="s">
        <v>477</v>
      </c>
      <c r="Q923" s="568">
        <v>909678</v>
      </c>
      <c r="R923" s="568">
        <v>8</v>
      </c>
      <c r="S923" s="566" t="s">
        <v>1410</v>
      </c>
      <c r="T923" s="586" t="s">
        <v>1473</v>
      </c>
      <c r="U923" s="586" t="s">
        <v>468</v>
      </c>
      <c r="V923" s="586" t="s">
        <v>528</v>
      </c>
      <c r="W923" s="587" t="s">
        <v>480</v>
      </c>
      <c r="X923" s="586" t="s">
        <v>1380</v>
      </c>
      <c r="Y923" s="586" t="s">
        <v>1338</v>
      </c>
      <c r="Z923" s="587" t="s">
        <v>2017</v>
      </c>
      <c r="AA923" s="588">
        <v>533</v>
      </c>
      <c r="AB923" s="586"/>
    </row>
    <row r="924" spans="1:28" hidden="1">
      <c r="A924" s="566" t="s">
        <v>1335</v>
      </c>
      <c r="B924" s="566" t="s">
        <v>466</v>
      </c>
      <c r="C924" s="566" t="s">
        <v>487</v>
      </c>
      <c r="D924" s="566" t="s">
        <v>472</v>
      </c>
      <c r="E924" s="566" t="s">
        <v>473</v>
      </c>
      <c r="F924" s="566" t="s">
        <v>489</v>
      </c>
      <c r="G924" s="567">
        <v>50</v>
      </c>
      <c r="H924" s="566" t="s">
        <v>500</v>
      </c>
      <c r="I924" s="568">
        <v>2</v>
      </c>
      <c r="J924" s="569">
        <v>8</v>
      </c>
      <c r="K924" s="569">
        <v>8</v>
      </c>
      <c r="L924" s="566"/>
      <c r="M924" s="566" t="s">
        <v>476</v>
      </c>
      <c r="N924" s="570">
        <v>713</v>
      </c>
      <c r="O924" s="566"/>
      <c r="P924" s="566" t="s">
        <v>477</v>
      </c>
      <c r="Q924" s="568">
        <v>909678</v>
      </c>
      <c r="R924" s="568">
        <v>11</v>
      </c>
      <c r="S924" s="566" t="s">
        <v>1412</v>
      </c>
      <c r="T924" s="586" t="s">
        <v>1473</v>
      </c>
      <c r="U924" s="586" t="s">
        <v>468</v>
      </c>
      <c r="V924" s="586" t="s">
        <v>528</v>
      </c>
      <c r="W924" s="587" t="s">
        <v>499</v>
      </c>
      <c r="X924" s="586" t="s">
        <v>1380</v>
      </c>
      <c r="Y924" s="586" t="s">
        <v>1338</v>
      </c>
      <c r="Z924" s="587" t="s">
        <v>2018</v>
      </c>
      <c r="AA924" s="588">
        <v>713</v>
      </c>
      <c r="AB924" s="586"/>
    </row>
    <row r="925" spans="1:28" hidden="1">
      <c r="A925" s="566" t="s">
        <v>1335</v>
      </c>
      <c r="B925" s="566" t="s">
        <v>466</v>
      </c>
      <c r="C925" s="566" t="s">
        <v>487</v>
      </c>
      <c r="D925" s="566" t="s">
        <v>472</v>
      </c>
      <c r="E925" s="566" t="s">
        <v>473</v>
      </c>
      <c r="F925" s="566" t="s">
        <v>489</v>
      </c>
      <c r="G925" s="567">
        <v>50</v>
      </c>
      <c r="H925" s="566" t="s">
        <v>505</v>
      </c>
      <c r="I925" s="568">
        <v>2</v>
      </c>
      <c r="J925" s="569">
        <v>8</v>
      </c>
      <c r="K925" s="569">
        <v>8</v>
      </c>
      <c r="L925" s="566"/>
      <c r="M925" s="566" t="s">
        <v>476</v>
      </c>
      <c r="N925" s="570">
        <v>785</v>
      </c>
      <c r="O925" s="566"/>
      <c r="P925" s="566" t="s">
        <v>477</v>
      </c>
      <c r="Q925" s="568">
        <v>909678</v>
      </c>
      <c r="R925" s="568">
        <v>20</v>
      </c>
      <c r="S925" s="566" t="s">
        <v>1414</v>
      </c>
      <c r="T925" s="586" t="s">
        <v>1473</v>
      </c>
      <c r="U925" s="586" t="s">
        <v>468</v>
      </c>
      <c r="V925" s="586" t="s">
        <v>528</v>
      </c>
      <c r="W925" s="587" t="s">
        <v>504</v>
      </c>
      <c r="X925" s="586" t="s">
        <v>1380</v>
      </c>
      <c r="Y925" s="586" t="s">
        <v>1338</v>
      </c>
      <c r="Z925" s="587" t="s">
        <v>2019</v>
      </c>
      <c r="AA925" s="588">
        <v>785</v>
      </c>
      <c r="AB925" s="586"/>
    </row>
    <row r="926" spans="1:28" hidden="1">
      <c r="A926" s="566" t="s">
        <v>1335</v>
      </c>
      <c r="B926" s="566" t="s">
        <v>466</v>
      </c>
      <c r="C926" s="566" t="s">
        <v>471</v>
      </c>
      <c r="D926" s="566" t="s">
        <v>472</v>
      </c>
      <c r="E926" s="566" t="s">
        <v>473</v>
      </c>
      <c r="F926" s="566" t="s">
        <v>474</v>
      </c>
      <c r="G926" s="567">
        <v>0</v>
      </c>
      <c r="H926" s="566" t="s">
        <v>479</v>
      </c>
      <c r="I926" s="568">
        <v>2</v>
      </c>
      <c r="J926" s="569">
        <v>60</v>
      </c>
      <c r="K926" s="569">
        <v>60</v>
      </c>
      <c r="L926" s="566"/>
      <c r="M926" s="566" t="s">
        <v>476</v>
      </c>
      <c r="N926" s="570">
        <v>1041</v>
      </c>
      <c r="O926" s="566"/>
      <c r="P926" s="566" t="s">
        <v>477</v>
      </c>
      <c r="Q926" s="568">
        <v>909678</v>
      </c>
      <c r="R926" s="568">
        <v>25</v>
      </c>
      <c r="S926" s="566" t="s">
        <v>1336</v>
      </c>
      <c r="T926" s="575" t="s">
        <v>467</v>
      </c>
      <c r="U926" s="575" t="s">
        <v>468</v>
      </c>
      <c r="V926" s="575" t="s">
        <v>539</v>
      </c>
      <c r="W926" s="576" t="s">
        <v>1274</v>
      </c>
      <c r="X926" s="575" t="s">
        <v>1337</v>
      </c>
      <c r="Y926" s="575" t="s">
        <v>1338</v>
      </c>
      <c r="Z926" s="576" t="s">
        <v>2020</v>
      </c>
      <c r="AA926" s="577">
        <v>1041</v>
      </c>
      <c r="AB926" s="575"/>
    </row>
    <row r="927" spans="1:28" hidden="1">
      <c r="A927" s="566" t="s">
        <v>1335</v>
      </c>
      <c r="B927" s="566" t="s">
        <v>466</v>
      </c>
      <c r="C927" s="566" t="s">
        <v>471</v>
      </c>
      <c r="D927" s="566" t="s">
        <v>472</v>
      </c>
      <c r="E927" s="566" t="s">
        <v>473</v>
      </c>
      <c r="F927" s="566" t="s">
        <v>474</v>
      </c>
      <c r="G927" s="567">
        <v>0</v>
      </c>
      <c r="H927" s="566" t="s">
        <v>484</v>
      </c>
      <c r="I927" s="568">
        <v>2</v>
      </c>
      <c r="J927" s="569">
        <v>60</v>
      </c>
      <c r="K927" s="569">
        <v>60</v>
      </c>
      <c r="L927" s="566"/>
      <c r="M927" s="566" t="s">
        <v>476</v>
      </c>
      <c r="N927" s="570">
        <v>1077</v>
      </c>
      <c r="O927" s="566"/>
      <c r="P927" s="566" t="s">
        <v>477</v>
      </c>
      <c r="Q927" s="568">
        <v>909678</v>
      </c>
      <c r="R927" s="568">
        <v>26</v>
      </c>
      <c r="S927" s="566" t="s">
        <v>1340</v>
      </c>
      <c r="T927" s="575" t="s">
        <v>467</v>
      </c>
      <c r="U927" s="575" t="s">
        <v>468</v>
      </c>
      <c r="V927" s="575" t="s">
        <v>539</v>
      </c>
      <c r="W927" s="576" t="s">
        <v>1275</v>
      </c>
      <c r="X927" s="575" t="s">
        <v>1337</v>
      </c>
      <c r="Y927" s="575" t="s">
        <v>1338</v>
      </c>
      <c r="Z927" s="576" t="s">
        <v>2021</v>
      </c>
      <c r="AA927" s="577">
        <v>1077</v>
      </c>
      <c r="AB927" s="575"/>
    </row>
    <row r="928" spans="1:28" hidden="1">
      <c r="A928" s="566" t="s">
        <v>1335</v>
      </c>
      <c r="B928" s="566" t="s">
        <v>466</v>
      </c>
      <c r="C928" s="566" t="s">
        <v>487</v>
      </c>
      <c r="D928" s="566" t="s">
        <v>472</v>
      </c>
      <c r="E928" s="566" t="s">
        <v>473</v>
      </c>
      <c r="F928" s="566" t="s">
        <v>489</v>
      </c>
      <c r="G928" s="567">
        <v>50</v>
      </c>
      <c r="H928" s="566" t="s">
        <v>490</v>
      </c>
      <c r="I928" s="568">
        <v>2</v>
      </c>
      <c r="J928" s="569">
        <v>60</v>
      </c>
      <c r="K928" s="569">
        <v>60</v>
      </c>
      <c r="L928" s="566"/>
      <c r="M928" s="566" t="s">
        <v>476</v>
      </c>
      <c r="N928" s="570">
        <v>1113</v>
      </c>
      <c r="O928" s="566"/>
      <c r="P928" s="566" t="s">
        <v>477</v>
      </c>
      <c r="Q928" s="568">
        <v>909678</v>
      </c>
      <c r="R928" s="568">
        <v>28</v>
      </c>
      <c r="S928" s="566" t="s">
        <v>1342</v>
      </c>
      <c r="T928" s="575" t="s">
        <v>467</v>
      </c>
      <c r="U928" s="575" t="s">
        <v>468</v>
      </c>
      <c r="V928" s="575" t="s">
        <v>539</v>
      </c>
      <c r="W928" s="576" t="s">
        <v>485</v>
      </c>
      <c r="X928" s="575" t="s">
        <v>1337</v>
      </c>
      <c r="Y928" s="575" t="s">
        <v>1338</v>
      </c>
      <c r="Z928" s="576" t="s">
        <v>2022</v>
      </c>
      <c r="AA928" s="577">
        <v>1113</v>
      </c>
      <c r="AB928" s="575"/>
    </row>
    <row r="929" spans="1:28" hidden="1">
      <c r="A929" s="566" t="s">
        <v>1335</v>
      </c>
      <c r="B929" s="566" t="s">
        <v>466</v>
      </c>
      <c r="C929" s="566" t="s">
        <v>487</v>
      </c>
      <c r="D929" s="566" t="s">
        <v>472</v>
      </c>
      <c r="E929" s="566" t="s">
        <v>473</v>
      </c>
      <c r="F929" s="566" t="s">
        <v>489</v>
      </c>
      <c r="G929" s="567">
        <v>50</v>
      </c>
      <c r="H929" s="566" t="s">
        <v>494</v>
      </c>
      <c r="I929" s="568">
        <v>2</v>
      </c>
      <c r="J929" s="569">
        <v>60</v>
      </c>
      <c r="K929" s="569">
        <v>60</v>
      </c>
      <c r="L929" s="566"/>
      <c r="M929" s="566" t="s">
        <v>476</v>
      </c>
      <c r="N929" s="570">
        <v>1149</v>
      </c>
      <c r="O929" s="566"/>
      <c r="P929" s="566" t="s">
        <v>477</v>
      </c>
      <c r="Q929" s="568">
        <v>909678</v>
      </c>
      <c r="R929" s="568">
        <v>29</v>
      </c>
      <c r="S929" s="566" t="s">
        <v>1344</v>
      </c>
      <c r="T929" s="575" t="s">
        <v>467</v>
      </c>
      <c r="U929" s="575" t="s">
        <v>468</v>
      </c>
      <c r="V929" s="575" t="s">
        <v>539</v>
      </c>
      <c r="W929" s="576" t="s">
        <v>491</v>
      </c>
      <c r="X929" s="575" t="s">
        <v>1337</v>
      </c>
      <c r="Y929" s="575" t="s">
        <v>1338</v>
      </c>
      <c r="Z929" s="576" t="s">
        <v>2023</v>
      </c>
      <c r="AA929" s="577">
        <v>1149</v>
      </c>
      <c r="AB929" s="575"/>
    </row>
    <row r="930" spans="1:28" hidden="1">
      <c r="A930" s="566" t="s">
        <v>1335</v>
      </c>
      <c r="B930" s="566" t="s">
        <v>466</v>
      </c>
      <c r="C930" s="566" t="s">
        <v>487</v>
      </c>
      <c r="D930" s="566" t="s">
        <v>472</v>
      </c>
      <c r="E930" s="566" t="s">
        <v>473</v>
      </c>
      <c r="F930" s="566" t="s">
        <v>489</v>
      </c>
      <c r="G930" s="567">
        <v>50</v>
      </c>
      <c r="H930" s="566" t="s">
        <v>498</v>
      </c>
      <c r="I930" s="568">
        <v>2</v>
      </c>
      <c r="J930" s="569">
        <v>60</v>
      </c>
      <c r="K930" s="569">
        <v>60</v>
      </c>
      <c r="L930" s="566"/>
      <c r="M930" s="566" t="s">
        <v>476</v>
      </c>
      <c r="N930" s="570">
        <v>1185</v>
      </c>
      <c r="O930" s="566"/>
      <c r="P930" s="566" t="s">
        <v>477</v>
      </c>
      <c r="Q930" s="568">
        <v>909678</v>
      </c>
      <c r="R930" s="568">
        <v>30</v>
      </c>
      <c r="S930" s="566" t="s">
        <v>1346</v>
      </c>
      <c r="T930" s="575" t="s">
        <v>467</v>
      </c>
      <c r="U930" s="575" t="s">
        <v>468</v>
      </c>
      <c r="V930" s="575" t="s">
        <v>539</v>
      </c>
      <c r="W930" s="576" t="s">
        <v>495</v>
      </c>
      <c r="X930" s="575" t="s">
        <v>1337</v>
      </c>
      <c r="Y930" s="575" t="s">
        <v>1338</v>
      </c>
      <c r="Z930" s="576" t="s">
        <v>2024</v>
      </c>
      <c r="AA930" s="577">
        <v>1185</v>
      </c>
      <c r="AB930" s="575"/>
    </row>
    <row r="931" spans="1:28" hidden="1">
      <c r="A931" s="566" t="s">
        <v>1335</v>
      </c>
      <c r="B931" s="566" t="s">
        <v>466</v>
      </c>
      <c r="C931" s="566" t="s">
        <v>487</v>
      </c>
      <c r="D931" s="566" t="s">
        <v>472</v>
      </c>
      <c r="E931" s="566" t="s">
        <v>473</v>
      </c>
      <c r="F931" s="566" t="s">
        <v>489</v>
      </c>
      <c r="G931" s="567">
        <v>50</v>
      </c>
      <c r="H931" s="566" t="s">
        <v>503</v>
      </c>
      <c r="I931" s="568">
        <v>2</v>
      </c>
      <c r="J931" s="569">
        <v>60</v>
      </c>
      <c r="K931" s="569">
        <v>60</v>
      </c>
      <c r="L931" s="566"/>
      <c r="M931" s="566" t="s">
        <v>476</v>
      </c>
      <c r="N931" s="570">
        <v>1221</v>
      </c>
      <c r="O931" s="566"/>
      <c r="P931" s="566" t="s">
        <v>477</v>
      </c>
      <c r="Q931" s="568">
        <v>909678</v>
      </c>
      <c r="R931" s="568">
        <v>31</v>
      </c>
      <c r="S931" s="566" t="s">
        <v>1348</v>
      </c>
      <c r="T931" s="575" t="s">
        <v>467</v>
      </c>
      <c r="U931" s="575" t="s">
        <v>468</v>
      </c>
      <c r="V931" s="575" t="s">
        <v>539</v>
      </c>
      <c r="W931" s="576" t="s">
        <v>1276</v>
      </c>
      <c r="X931" s="575" t="s">
        <v>1337</v>
      </c>
      <c r="Y931" s="575" t="s">
        <v>1338</v>
      </c>
      <c r="Z931" s="576" t="s">
        <v>2025</v>
      </c>
      <c r="AA931" s="577">
        <v>1221</v>
      </c>
      <c r="AB931" s="575"/>
    </row>
    <row r="932" spans="1:28" hidden="1">
      <c r="A932" s="566" t="s">
        <v>1335</v>
      </c>
      <c r="B932" s="566" t="s">
        <v>466</v>
      </c>
      <c r="C932" s="566" t="s">
        <v>487</v>
      </c>
      <c r="D932" s="566" t="s">
        <v>472</v>
      </c>
      <c r="E932" s="566" t="s">
        <v>473</v>
      </c>
      <c r="F932" s="566" t="s">
        <v>489</v>
      </c>
      <c r="G932" s="567">
        <v>50</v>
      </c>
      <c r="H932" s="566" t="s">
        <v>508</v>
      </c>
      <c r="I932" s="568">
        <v>2</v>
      </c>
      <c r="J932" s="569">
        <v>60</v>
      </c>
      <c r="K932" s="569">
        <v>60</v>
      </c>
      <c r="L932" s="566"/>
      <c r="M932" s="566" t="s">
        <v>476</v>
      </c>
      <c r="N932" s="570">
        <v>1257</v>
      </c>
      <c r="O932" s="566"/>
      <c r="P932" s="566" t="s">
        <v>477</v>
      </c>
      <c r="Q932" s="568">
        <v>909678</v>
      </c>
      <c r="R932" s="568">
        <v>32</v>
      </c>
      <c r="S932" s="566" t="s">
        <v>1350</v>
      </c>
      <c r="T932" s="575" t="s">
        <v>467</v>
      </c>
      <c r="U932" s="575" t="s">
        <v>468</v>
      </c>
      <c r="V932" s="575" t="s">
        <v>539</v>
      </c>
      <c r="W932" s="576" t="s">
        <v>1277</v>
      </c>
      <c r="X932" s="575" t="s">
        <v>1337</v>
      </c>
      <c r="Y932" s="575" t="s">
        <v>1338</v>
      </c>
      <c r="Z932" s="576" t="s">
        <v>2026</v>
      </c>
      <c r="AA932" s="577">
        <v>1257</v>
      </c>
      <c r="AB932" s="575"/>
    </row>
    <row r="933" spans="1:28" hidden="1">
      <c r="A933" s="566" t="s">
        <v>1335</v>
      </c>
      <c r="B933" s="566" t="s">
        <v>466</v>
      </c>
      <c r="C933" s="566" t="s">
        <v>471</v>
      </c>
      <c r="D933" s="566" t="s">
        <v>472</v>
      </c>
      <c r="E933" s="566" t="s">
        <v>473</v>
      </c>
      <c r="F933" s="566" t="s">
        <v>474</v>
      </c>
      <c r="G933" s="567">
        <v>0</v>
      </c>
      <c r="H933" s="566" t="s">
        <v>1755</v>
      </c>
      <c r="I933" s="568">
        <v>2</v>
      </c>
      <c r="J933" s="569">
        <v>60</v>
      </c>
      <c r="K933" s="569">
        <v>60</v>
      </c>
      <c r="L933" s="566"/>
      <c r="M933" s="566" t="s">
        <v>476</v>
      </c>
      <c r="N933" s="570">
        <v>1293</v>
      </c>
      <c r="O933" s="566"/>
      <c r="P933" s="566" t="s">
        <v>477</v>
      </c>
      <c r="Q933" s="568">
        <v>909678</v>
      </c>
      <c r="R933" s="568">
        <v>27</v>
      </c>
      <c r="S933" s="566" t="s">
        <v>1353</v>
      </c>
      <c r="T933" s="575" t="s">
        <v>467</v>
      </c>
      <c r="U933" s="575" t="s">
        <v>468</v>
      </c>
      <c r="V933" s="575" t="s">
        <v>539</v>
      </c>
      <c r="W933" s="576" t="s">
        <v>1354</v>
      </c>
      <c r="X933" s="575" t="s">
        <v>1337</v>
      </c>
      <c r="Y933" s="575" t="s">
        <v>1338</v>
      </c>
      <c r="Z933" s="576" t="s">
        <v>2027</v>
      </c>
      <c r="AA933" s="577">
        <v>1293</v>
      </c>
      <c r="AB933" s="575"/>
    </row>
    <row r="934" spans="1:28" hidden="1">
      <c r="A934" s="566" t="s">
        <v>1335</v>
      </c>
      <c r="B934" s="566" t="s">
        <v>466</v>
      </c>
      <c r="C934" s="566" t="s">
        <v>487</v>
      </c>
      <c r="D934" s="566" t="s">
        <v>472</v>
      </c>
      <c r="E934" s="566" t="s">
        <v>473</v>
      </c>
      <c r="F934" s="566" t="s">
        <v>489</v>
      </c>
      <c r="G934" s="567">
        <v>50</v>
      </c>
      <c r="H934" s="566" t="s">
        <v>1757</v>
      </c>
      <c r="I934" s="568">
        <v>2</v>
      </c>
      <c r="J934" s="569">
        <v>60</v>
      </c>
      <c r="K934" s="569">
        <v>60</v>
      </c>
      <c r="L934" s="566"/>
      <c r="M934" s="566" t="s">
        <v>476</v>
      </c>
      <c r="N934" s="570">
        <v>1329</v>
      </c>
      <c r="O934" s="566"/>
      <c r="P934" s="566" t="s">
        <v>477</v>
      </c>
      <c r="Q934" s="568">
        <v>909678</v>
      </c>
      <c r="R934" s="568">
        <v>33</v>
      </c>
      <c r="S934" s="566" t="s">
        <v>1357</v>
      </c>
      <c r="T934" s="575" t="s">
        <v>467</v>
      </c>
      <c r="U934" s="575" t="s">
        <v>468</v>
      </c>
      <c r="V934" s="575" t="s">
        <v>539</v>
      </c>
      <c r="W934" s="576" t="s">
        <v>1358</v>
      </c>
      <c r="X934" s="575" t="s">
        <v>1337</v>
      </c>
      <c r="Y934" s="575" t="s">
        <v>1338</v>
      </c>
      <c r="Z934" s="576" t="s">
        <v>2028</v>
      </c>
      <c r="AA934" s="577">
        <v>1329</v>
      </c>
      <c r="AB934" s="575"/>
    </row>
    <row r="935" spans="1:28" hidden="1">
      <c r="A935" s="566" t="s">
        <v>1335</v>
      </c>
      <c r="B935" s="566" t="s">
        <v>466</v>
      </c>
      <c r="C935" s="566" t="s">
        <v>471</v>
      </c>
      <c r="D935" s="566" t="s">
        <v>472</v>
      </c>
      <c r="E935" s="566" t="s">
        <v>473</v>
      </c>
      <c r="F935" s="566" t="s">
        <v>474</v>
      </c>
      <c r="G935" s="567">
        <v>0</v>
      </c>
      <c r="H935" s="566" t="s">
        <v>511</v>
      </c>
      <c r="I935" s="568">
        <v>2</v>
      </c>
      <c r="J935" s="569">
        <v>60</v>
      </c>
      <c r="K935" s="569">
        <v>60</v>
      </c>
      <c r="L935" s="566"/>
      <c r="M935" s="566" t="s">
        <v>476</v>
      </c>
      <c r="N935" s="570">
        <v>933</v>
      </c>
      <c r="O935" s="566"/>
      <c r="P935" s="566" t="s">
        <v>477</v>
      </c>
      <c r="Q935" s="568">
        <v>909678</v>
      </c>
      <c r="R935" s="568">
        <v>22</v>
      </c>
      <c r="S935" s="566" t="s">
        <v>1360</v>
      </c>
      <c r="T935" s="575" t="s">
        <v>467</v>
      </c>
      <c r="U935" s="575" t="s">
        <v>468</v>
      </c>
      <c r="V935" s="575" t="s">
        <v>539</v>
      </c>
      <c r="W935" s="576" t="s">
        <v>509</v>
      </c>
      <c r="X935" s="575" t="s">
        <v>1337</v>
      </c>
      <c r="Y935" s="575" t="s">
        <v>1338</v>
      </c>
      <c r="Z935" s="576" t="s">
        <v>2029</v>
      </c>
      <c r="AA935" s="577">
        <v>933</v>
      </c>
      <c r="AB935" s="575"/>
    </row>
    <row r="936" spans="1:28" hidden="1">
      <c r="A936" s="566" t="s">
        <v>1335</v>
      </c>
      <c r="B936" s="566" t="s">
        <v>466</v>
      </c>
      <c r="C936" s="566" t="s">
        <v>471</v>
      </c>
      <c r="D936" s="566" t="s">
        <v>472</v>
      </c>
      <c r="E936" s="566" t="s">
        <v>473</v>
      </c>
      <c r="F936" s="566" t="s">
        <v>474</v>
      </c>
      <c r="G936" s="567">
        <v>0</v>
      </c>
      <c r="H936" s="566" t="s">
        <v>213</v>
      </c>
      <c r="I936" s="568">
        <v>2</v>
      </c>
      <c r="J936" s="569">
        <v>60</v>
      </c>
      <c r="K936" s="569">
        <v>60</v>
      </c>
      <c r="L936" s="566"/>
      <c r="M936" s="566" t="s">
        <v>476</v>
      </c>
      <c r="N936" s="570">
        <v>969</v>
      </c>
      <c r="O936" s="566"/>
      <c r="P936" s="566" t="s">
        <v>477</v>
      </c>
      <c r="Q936" s="568">
        <v>909678</v>
      </c>
      <c r="R936" s="568">
        <v>23</v>
      </c>
      <c r="S936" s="566" t="s">
        <v>1362</v>
      </c>
      <c r="T936" s="575" t="s">
        <v>467</v>
      </c>
      <c r="U936" s="575" t="s">
        <v>468</v>
      </c>
      <c r="V936" s="575" t="s">
        <v>539</v>
      </c>
      <c r="W936" s="576" t="s">
        <v>512</v>
      </c>
      <c r="X936" s="575" t="s">
        <v>1337</v>
      </c>
      <c r="Y936" s="575" t="s">
        <v>1338</v>
      </c>
      <c r="Z936" s="576" t="s">
        <v>2030</v>
      </c>
      <c r="AA936" s="577">
        <v>969</v>
      </c>
      <c r="AB936" s="575"/>
    </row>
    <row r="937" spans="1:28" hidden="1">
      <c r="A937" s="566" t="s">
        <v>1335</v>
      </c>
      <c r="B937" s="566" t="s">
        <v>466</v>
      </c>
      <c r="C937" s="566" t="s">
        <v>471</v>
      </c>
      <c r="D937" s="566" t="s">
        <v>472</v>
      </c>
      <c r="E937" s="566" t="s">
        <v>473</v>
      </c>
      <c r="F937" s="566" t="s">
        <v>474</v>
      </c>
      <c r="G937" s="567">
        <v>0</v>
      </c>
      <c r="H937" s="566" t="s">
        <v>516</v>
      </c>
      <c r="I937" s="568">
        <v>2</v>
      </c>
      <c r="J937" s="569">
        <v>60</v>
      </c>
      <c r="K937" s="569">
        <v>60</v>
      </c>
      <c r="L937" s="566"/>
      <c r="M937" s="566" t="s">
        <v>476</v>
      </c>
      <c r="N937" s="570">
        <v>1005</v>
      </c>
      <c r="O937" s="566"/>
      <c r="P937" s="566" t="s">
        <v>477</v>
      </c>
      <c r="Q937" s="568">
        <v>909678</v>
      </c>
      <c r="R937" s="568">
        <v>24</v>
      </c>
      <c r="S937" s="566" t="s">
        <v>1364</v>
      </c>
      <c r="T937" s="575" t="s">
        <v>467</v>
      </c>
      <c r="U937" s="575" t="s">
        <v>468</v>
      </c>
      <c r="V937" s="575" t="s">
        <v>539</v>
      </c>
      <c r="W937" s="576" t="s">
        <v>514</v>
      </c>
      <c r="X937" s="575" t="s">
        <v>1337</v>
      </c>
      <c r="Y937" s="575" t="s">
        <v>1338</v>
      </c>
      <c r="Z937" s="576" t="s">
        <v>2031</v>
      </c>
      <c r="AA937" s="577">
        <v>1005</v>
      </c>
      <c r="AB937" s="575"/>
    </row>
    <row r="938" spans="1:28" hidden="1">
      <c r="A938" s="566" t="s">
        <v>1335</v>
      </c>
      <c r="B938" s="566" t="s">
        <v>466</v>
      </c>
      <c r="C938" s="566" t="s">
        <v>471</v>
      </c>
      <c r="D938" s="566" t="s">
        <v>472</v>
      </c>
      <c r="E938" s="566" t="s">
        <v>473</v>
      </c>
      <c r="F938" s="566" t="s">
        <v>474</v>
      </c>
      <c r="G938" s="567">
        <v>0</v>
      </c>
      <c r="H938" s="566" t="s">
        <v>479</v>
      </c>
      <c r="I938" s="568">
        <v>2</v>
      </c>
      <c r="J938" s="569">
        <v>84</v>
      </c>
      <c r="K938" s="569">
        <v>84</v>
      </c>
      <c r="L938" s="566"/>
      <c r="M938" s="566" t="s">
        <v>476</v>
      </c>
      <c r="N938" s="570">
        <v>1581</v>
      </c>
      <c r="O938" s="566"/>
      <c r="P938" s="566" t="s">
        <v>477</v>
      </c>
      <c r="Q938" s="568">
        <v>909678</v>
      </c>
      <c r="R938" s="568">
        <v>40</v>
      </c>
      <c r="S938" s="566" t="s">
        <v>1366</v>
      </c>
      <c r="T938" s="575" t="s">
        <v>467</v>
      </c>
      <c r="U938" s="575" t="s">
        <v>468</v>
      </c>
      <c r="V938" s="575" t="s">
        <v>539</v>
      </c>
      <c r="W938" s="576" t="s">
        <v>1274</v>
      </c>
      <c r="X938" s="575" t="s">
        <v>1337</v>
      </c>
      <c r="Y938" s="575" t="s">
        <v>1367</v>
      </c>
      <c r="Z938" s="576" t="s">
        <v>2032</v>
      </c>
      <c r="AA938" s="577">
        <v>1581</v>
      </c>
      <c r="AB938" s="575"/>
    </row>
    <row r="939" spans="1:28" hidden="1">
      <c r="A939" s="566" t="s">
        <v>1335</v>
      </c>
      <c r="B939" s="566" t="s">
        <v>466</v>
      </c>
      <c r="C939" s="566" t="s">
        <v>471</v>
      </c>
      <c r="D939" s="566" t="s">
        <v>472</v>
      </c>
      <c r="E939" s="566" t="s">
        <v>473</v>
      </c>
      <c r="F939" s="566" t="s">
        <v>474</v>
      </c>
      <c r="G939" s="567">
        <v>0</v>
      </c>
      <c r="H939" s="566" t="s">
        <v>484</v>
      </c>
      <c r="I939" s="568">
        <v>2</v>
      </c>
      <c r="J939" s="569">
        <v>84</v>
      </c>
      <c r="K939" s="569">
        <v>84</v>
      </c>
      <c r="L939" s="566"/>
      <c r="M939" s="566" t="s">
        <v>476</v>
      </c>
      <c r="N939" s="570">
        <v>1617</v>
      </c>
      <c r="O939" s="566"/>
      <c r="P939" s="566" t="s">
        <v>477</v>
      </c>
      <c r="Q939" s="568">
        <v>909678</v>
      </c>
      <c r="R939" s="568">
        <v>41</v>
      </c>
      <c r="S939" s="566" t="s">
        <v>1369</v>
      </c>
      <c r="T939" s="575" t="s">
        <v>467</v>
      </c>
      <c r="U939" s="575" t="s">
        <v>468</v>
      </c>
      <c r="V939" s="575" t="s">
        <v>539</v>
      </c>
      <c r="W939" s="576" t="s">
        <v>1275</v>
      </c>
      <c r="X939" s="575" t="s">
        <v>1337</v>
      </c>
      <c r="Y939" s="575" t="s">
        <v>1367</v>
      </c>
      <c r="Z939" s="576" t="s">
        <v>2033</v>
      </c>
      <c r="AA939" s="577">
        <v>1617</v>
      </c>
      <c r="AB939" s="575"/>
    </row>
    <row r="940" spans="1:28" hidden="1">
      <c r="A940" s="566" t="s">
        <v>1335</v>
      </c>
      <c r="B940" s="566" t="s">
        <v>466</v>
      </c>
      <c r="C940" s="566" t="s">
        <v>487</v>
      </c>
      <c r="D940" s="566" t="s">
        <v>472</v>
      </c>
      <c r="E940" s="566" t="s">
        <v>473</v>
      </c>
      <c r="F940" s="566" t="s">
        <v>489</v>
      </c>
      <c r="G940" s="567">
        <v>50</v>
      </c>
      <c r="H940" s="566" t="s">
        <v>503</v>
      </c>
      <c r="I940" s="568">
        <v>2</v>
      </c>
      <c r="J940" s="569">
        <v>84</v>
      </c>
      <c r="K940" s="569">
        <v>84</v>
      </c>
      <c r="L940" s="566"/>
      <c r="M940" s="566" t="s">
        <v>476</v>
      </c>
      <c r="N940" s="570">
        <v>1653</v>
      </c>
      <c r="O940" s="566"/>
      <c r="P940" s="566" t="s">
        <v>477</v>
      </c>
      <c r="Q940" s="568">
        <v>909678</v>
      </c>
      <c r="R940" s="568">
        <v>43</v>
      </c>
      <c r="S940" s="566" t="s">
        <v>1371</v>
      </c>
      <c r="T940" s="575" t="s">
        <v>467</v>
      </c>
      <c r="U940" s="575" t="s">
        <v>468</v>
      </c>
      <c r="V940" s="575" t="s">
        <v>539</v>
      </c>
      <c r="W940" s="576" t="s">
        <v>1276</v>
      </c>
      <c r="X940" s="575" t="s">
        <v>1337</v>
      </c>
      <c r="Y940" s="575" t="s">
        <v>1367</v>
      </c>
      <c r="Z940" s="576" t="s">
        <v>2034</v>
      </c>
      <c r="AA940" s="577">
        <v>1653</v>
      </c>
      <c r="AB940" s="575"/>
    </row>
    <row r="941" spans="1:28" hidden="1">
      <c r="A941" s="566" t="s">
        <v>1335</v>
      </c>
      <c r="B941" s="566" t="s">
        <v>466</v>
      </c>
      <c r="C941" s="566" t="s">
        <v>487</v>
      </c>
      <c r="D941" s="566" t="s">
        <v>472</v>
      </c>
      <c r="E941" s="566" t="s">
        <v>473</v>
      </c>
      <c r="F941" s="566" t="s">
        <v>489</v>
      </c>
      <c r="G941" s="567">
        <v>50</v>
      </c>
      <c r="H941" s="566" t="s">
        <v>508</v>
      </c>
      <c r="I941" s="568">
        <v>2</v>
      </c>
      <c r="J941" s="569">
        <v>84</v>
      </c>
      <c r="K941" s="569">
        <v>84</v>
      </c>
      <c r="L941" s="566"/>
      <c r="M941" s="566" t="s">
        <v>476</v>
      </c>
      <c r="N941" s="570">
        <v>1689</v>
      </c>
      <c r="O941" s="566"/>
      <c r="P941" s="566" t="s">
        <v>477</v>
      </c>
      <c r="Q941" s="568">
        <v>909678</v>
      </c>
      <c r="R941" s="568">
        <v>44</v>
      </c>
      <c r="S941" s="566" t="s">
        <v>1373</v>
      </c>
      <c r="T941" s="575" t="s">
        <v>467</v>
      </c>
      <c r="U941" s="575" t="s">
        <v>468</v>
      </c>
      <c r="V941" s="575" t="s">
        <v>539</v>
      </c>
      <c r="W941" s="576" t="s">
        <v>1277</v>
      </c>
      <c r="X941" s="575" t="s">
        <v>1337</v>
      </c>
      <c r="Y941" s="575" t="s">
        <v>1367</v>
      </c>
      <c r="Z941" s="576" t="s">
        <v>2035</v>
      </c>
      <c r="AA941" s="577">
        <v>1689</v>
      </c>
      <c r="AB941" s="575"/>
    </row>
    <row r="942" spans="1:28" hidden="1">
      <c r="A942" s="566" t="s">
        <v>1335</v>
      </c>
      <c r="B942" s="566" t="s">
        <v>466</v>
      </c>
      <c r="C942" s="566" t="s">
        <v>471</v>
      </c>
      <c r="D942" s="566" t="s">
        <v>472</v>
      </c>
      <c r="E942" s="566" t="s">
        <v>473</v>
      </c>
      <c r="F942" s="566" t="s">
        <v>474</v>
      </c>
      <c r="G942" s="567">
        <v>0</v>
      </c>
      <c r="H942" s="566" t="s">
        <v>1755</v>
      </c>
      <c r="I942" s="568">
        <v>2</v>
      </c>
      <c r="J942" s="569">
        <v>84</v>
      </c>
      <c r="K942" s="569">
        <v>84</v>
      </c>
      <c r="L942" s="566"/>
      <c r="M942" s="566" t="s">
        <v>476</v>
      </c>
      <c r="N942" s="570">
        <v>1725</v>
      </c>
      <c r="O942" s="566"/>
      <c r="P942" s="566" t="s">
        <v>477</v>
      </c>
      <c r="Q942" s="568">
        <v>909678</v>
      </c>
      <c r="R942" s="568">
        <v>42</v>
      </c>
      <c r="S942" s="566" t="s">
        <v>1375</v>
      </c>
      <c r="T942" s="575" t="s">
        <v>467</v>
      </c>
      <c r="U942" s="575" t="s">
        <v>468</v>
      </c>
      <c r="V942" s="575" t="s">
        <v>539</v>
      </c>
      <c r="W942" s="576" t="s">
        <v>1354</v>
      </c>
      <c r="X942" s="575" t="s">
        <v>1337</v>
      </c>
      <c r="Y942" s="575" t="s">
        <v>1367</v>
      </c>
      <c r="Z942" s="576" t="s">
        <v>2036</v>
      </c>
      <c r="AA942" s="577">
        <v>1725</v>
      </c>
      <c r="AB942" s="575"/>
    </row>
    <row r="943" spans="1:28" hidden="1">
      <c r="A943" s="566" t="s">
        <v>1335</v>
      </c>
      <c r="B943" s="566" t="s">
        <v>466</v>
      </c>
      <c r="C943" s="566" t="s">
        <v>487</v>
      </c>
      <c r="D943" s="566" t="s">
        <v>472</v>
      </c>
      <c r="E943" s="566" t="s">
        <v>473</v>
      </c>
      <c r="F943" s="566" t="s">
        <v>489</v>
      </c>
      <c r="G943" s="567">
        <v>50</v>
      </c>
      <c r="H943" s="566" t="s">
        <v>1757</v>
      </c>
      <c r="I943" s="568">
        <v>2</v>
      </c>
      <c r="J943" s="569">
        <v>84</v>
      </c>
      <c r="K943" s="569">
        <v>84</v>
      </c>
      <c r="L943" s="566"/>
      <c r="M943" s="566" t="s">
        <v>476</v>
      </c>
      <c r="N943" s="570">
        <v>1761</v>
      </c>
      <c r="O943" s="566"/>
      <c r="P943" s="566" t="s">
        <v>477</v>
      </c>
      <c r="Q943" s="568">
        <v>909678</v>
      </c>
      <c r="R943" s="568">
        <v>45</v>
      </c>
      <c r="S943" s="566" t="s">
        <v>1377</v>
      </c>
      <c r="T943" s="575" t="s">
        <v>467</v>
      </c>
      <c r="U943" s="575" t="s">
        <v>468</v>
      </c>
      <c r="V943" s="575" t="s">
        <v>539</v>
      </c>
      <c r="W943" s="576" t="s">
        <v>1358</v>
      </c>
      <c r="X943" s="575" t="s">
        <v>1337</v>
      </c>
      <c r="Y943" s="575" t="s">
        <v>1367</v>
      </c>
      <c r="Z943" s="576" t="s">
        <v>2037</v>
      </c>
      <c r="AA943" s="577">
        <v>1761</v>
      </c>
      <c r="AB943" s="575"/>
    </row>
    <row r="944" spans="1:28" hidden="1">
      <c r="A944" s="566" t="s">
        <v>1335</v>
      </c>
      <c r="B944" s="566" t="s">
        <v>466</v>
      </c>
      <c r="C944" s="566" t="s">
        <v>471</v>
      </c>
      <c r="D944" s="566" t="s">
        <v>472</v>
      </c>
      <c r="E944" s="566" t="s">
        <v>473</v>
      </c>
      <c r="F944" s="566" t="s">
        <v>474</v>
      </c>
      <c r="G944" s="567">
        <v>0</v>
      </c>
      <c r="H944" s="566" t="s">
        <v>479</v>
      </c>
      <c r="I944" s="568">
        <v>2</v>
      </c>
      <c r="J944" s="569">
        <v>12</v>
      </c>
      <c r="K944" s="569">
        <v>12</v>
      </c>
      <c r="L944" s="566"/>
      <c r="M944" s="566" t="s">
        <v>476</v>
      </c>
      <c r="N944" s="570">
        <v>501</v>
      </c>
      <c r="O944" s="566"/>
      <c r="P944" s="566" t="s">
        <v>477</v>
      </c>
      <c r="Q944" s="568">
        <v>909678</v>
      </c>
      <c r="R944" s="568">
        <v>10</v>
      </c>
      <c r="S944" s="566" t="s">
        <v>1382</v>
      </c>
      <c r="T944" s="575" t="s">
        <v>467</v>
      </c>
      <c r="U944" s="575" t="s">
        <v>468</v>
      </c>
      <c r="V944" s="575" t="s">
        <v>539</v>
      </c>
      <c r="W944" s="576" t="s">
        <v>1274</v>
      </c>
      <c r="X944" s="575" t="s">
        <v>1380</v>
      </c>
      <c r="Y944" s="575" t="s">
        <v>1338</v>
      </c>
      <c r="Z944" s="576" t="s">
        <v>540</v>
      </c>
      <c r="AA944" s="577">
        <v>501</v>
      </c>
      <c r="AB944" s="575"/>
    </row>
    <row r="945" spans="1:28" hidden="1">
      <c r="A945" s="566" t="s">
        <v>1335</v>
      </c>
      <c r="B945" s="566" t="s">
        <v>466</v>
      </c>
      <c r="C945" s="566" t="s">
        <v>471</v>
      </c>
      <c r="D945" s="566" t="s">
        <v>472</v>
      </c>
      <c r="E945" s="566" t="s">
        <v>473</v>
      </c>
      <c r="F945" s="566" t="s">
        <v>474</v>
      </c>
      <c r="G945" s="567">
        <v>0</v>
      </c>
      <c r="H945" s="566" t="s">
        <v>484</v>
      </c>
      <c r="I945" s="568">
        <v>2</v>
      </c>
      <c r="J945" s="569">
        <v>12</v>
      </c>
      <c r="K945" s="569">
        <v>12</v>
      </c>
      <c r="L945" s="566"/>
      <c r="M945" s="566" t="s">
        <v>476</v>
      </c>
      <c r="N945" s="570">
        <v>573</v>
      </c>
      <c r="O945" s="566"/>
      <c r="P945" s="566" t="s">
        <v>477</v>
      </c>
      <c r="Q945" s="568">
        <v>909678</v>
      </c>
      <c r="R945" s="568">
        <v>15</v>
      </c>
      <c r="S945" s="566" t="s">
        <v>483</v>
      </c>
      <c r="T945" s="575" t="s">
        <v>467</v>
      </c>
      <c r="U945" s="575" t="s">
        <v>468</v>
      </c>
      <c r="V945" s="575" t="s">
        <v>539</v>
      </c>
      <c r="W945" s="576" t="s">
        <v>1275</v>
      </c>
      <c r="X945" s="575" t="s">
        <v>1380</v>
      </c>
      <c r="Y945" s="575" t="s">
        <v>1338</v>
      </c>
      <c r="Z945" s="576" t="s">
        <v>541</v>
      </c>
      <c r="AA945" s="577">
        <v>573</v>
      </c>
      <c r="AB945" s="575"/>
    </row>
    <row r="946" spans="1:28" hidden="1">
      <c r="A946" s="566" t="s">
        <v>1335</v>
      </c>
      <c r="B946" s="566" t="s">
        <v>466</v>
      </c>
      <c r="C946" s="566" t="s">
        <v>487</v>
      </c>
      <c r="D946" s="566" t="s">
        <v>472</v>
      </c>
      <c r="E946" s="566" t="s">
        <v>473</v>
      </c>
      <c r="F946" s="566" t="s">
        <v>489</v>
      </c>
      <c r="G946" s="567">
        <v>50</v>
      </c>
      <c r="H946" s="566" t="s">
        <v>490</v>
      </c>
      <c r="I946" s="568">
        <v>2</v>
      </c>
      <c r="J946" s="569">
        <v>12</v>
      </c>
      <c r="K946" s="569">
        <v>12</v>
      </c>
      <c r="L946" s="566"/>
      <c r="M946" s="566" t="s">
        <v>476</v>
      </c>
      <c r="N946" s="570">
        <v>609</v>
      </c>
      <c r="O946" s="566"/>
      <c r="P946" s="566" t="s">
        <v>477</v>
      </c>
      <c r="Q946" s="568">
        <v>909678</v>
      </c>
      <c r="R946" s="568">
        <v>16</v>
      </c>
      <c r="S946" s="566" t="s">
        <v>488</v>
      </c>
      <c r="T946" s="575" t="s">
        <v>467</v>
      </c>
      <c r="U946" s="575" t="s">
        <v>468</v>
      </c>
      <c r="V946" s="575" t="s">
        <v>539</v>
      </c>
      <c r="W946" s="576" t="s">
        <v>485</v>
      </c>
      <c r="X946" s="575" t="s">
        <v>1380</v>
      </c>
      <c r="Y946" s="575" t="s">
        <v>1338</v>
      </c>
      <c r="Z946" s="576" t="s">
        <v>542</v>
      </c>
      <c r="AA946" s="577">
        <v>609</v>
      </c>
      <c r="AB946" s="575"/>
    </row>
    <row r="947" spans="1:28" hidden="1">
      <c r="A947" s="566" t="s">
        <v>1335</v>
      </c>
      <c r="B947" s="566" t="s">
        <v>466</v>
      </c>
      <c r="C947" s="566" t="s">
        <v>487</v>
      </c>
      <c r="D947" s="566" t="s">
        <v>472</v>
      </c>
      <c r="E947" s="566" t="s">
        <v>473</v>
      </c>
      <c r="F947" s="566" t="s">
        <v>489</v>
      </c>
      <c r="G947" s="567">
        <v>50</v>
      </c>
      <c r="H947" s="566" t="s">
        <v>494</v>
      </c>
      <c r="I947" s="568">
        <v>2</v>
      </c>
      <c r="J947" s="569">
        <v>12</v>
      </c>
      <c r="K947" s="569">
        <v>12</v>
      </c>
      <c r="L947" s="566"/>
      <c r="M947" s="566" t="s">
        <v>476</v>
      </c>
      <c r="N947" s="570">
        <v>645</v>
      </c>
      <c r="O947" s="566"/>
      <c r="P947" s="566" t="s">
        <v>477</v>
      </c>
      <c r="Q947" s="568">
        <v>909678</v>
      </c>
      <c r="R947" s="568">
        <v>17</v>
      </c>
      <c r="S947" s="566" t="s">
        <v>493</v>
      </c>
      <c r="T947" s="575" t="s">
        <v>467</v>
      </c>
      <c r="U947" s="575" t="s">
        <v>468</v>
      </c>
      <c r="V947" s="575" t="s">
        <v>539</v>
      </c>
      <c r="W947" s="576" t="s">
        <v>491</v>
      </c>
      <c r="X947" s="575" t="s">
        <v>1380</v>
      </c>
      <c r="Y947" s="575" t="s">
        <v>1338</v>
      </c>
      <c r="Z947" s="576" t="s">
        <v>543</v>
      </c>
      <c r="AA947" s="577">
        <v>645</v>
      </c>
      <c r="AB947" s="575"/>
    </row>
    <row r="948" spans="1:28" hidden="1">
      <c r="A948" s="566" t="s">
        <v>1335</v>
      </c>
      <c r="B948" s="566" t="s">
        <v>466</v>
      </c>
      <c r="C948" s="566" t="s">
        <v>487</v>
      </c>
      <c r="D948" s="566" t="s">
        <v>472</v>
      </c>
      <c r="E948" s="566" t="s">
        <v>473</v>
      </c>
      <c r="F948" s="566" t="s">
        <v>489</v>
      </c>
      <c r="G948" s="567">
        <v>50</v>
      </c>
      <c r="H948" s="566" t="s">
        <v>498</v>
      </c>
      <c r="I948" s="568">
        <v>2</v>
      </c>
      <c r="J948" s="569">
        <v>12</v>
      </c>
      <c r="K948" s="569">
        <v>12</v>
      </c>
      <c r="L948" s="566"/>
      <c r="M948" s="566" t="s">
        <v>476</v>
      </c>
      <c r="N948" s="570">
        <v>681</v>
      </c>
      <c r="O948" s="566"/>
      <c r="P948" s="566" t="s">
        <v>477</v>
      </c>
      <c r="Q948" s="568">
        <v>909678</v>
      </c>
      <c r="R948" s="568">
        <v>18</v>
      </c>
      <c r="S948" s="566" t="s">
        <v>497</v>
      </c>
      <c r="T948" s="575" t="s">
        <v>467</v>
      </c>
      <c r="U948" s="575" t="s">
        <v>468</v>
      </c>
      <c r="V948" s="575" t="s">
        <v>539</v>
      </c>
      <c r="W948" s="576" t="s">
        <v>495</v>
      </c>
      <c r="X948" s="575" t="s">
        <v>1380</v>
      </c>
      <c r="Y948" s="575" t="s">
        <v>1338</v>
      </c>
      <c r="Z948" s="576" t="s">
        <v>544</v>
      </c>
      <c r="AA948" s="577">
        <v>681</v>
      </c>
      <c r="AB948" s="575"/>
    </row>
    <row r="949" spans="1:28" hidden="1">
      <c r="A949" s="566" t="s">
        <v>1335</v>
      </c>
      <c r="B949" s="566" t="s">
        <v>466</v>
      </c>
      <c r="C949" s="566" t="s">
        <v>487</v>
      </c>
      <c r="D949" s="566" t="s">
        <v>472</v>
      </c>
      <c r="E949" s="566" t="s">
        <v>473</v>
      </c>
      <c r="F949" s="566" t="s">
        <v>489</v>
      </c>
      <c r="G949" s="567">
        <v>50</v>
      </c>
      <c r="H949" s="566" t="s">
        <v>503</v>
      </c>
      <c r="I949" s="568">
        <v>2</v>
      </c>
      <c r="J949" s="569">
        <v>12</v>
      </c>
      <c r="K949" s="569">
        <v>12</v>
      </c>
      <c r="L949" s="566"/>
      <c r="M949" s="566" t="s">
        <v>476</v>
      </c>
      <c r="N949" s="570">
        <v>753</v>
      </c>
      <c r="O949" s="566"/>
      <c r="P949" s="566" t="s">
        <v>477</v>
      </c>
      <c r="Q949" s="568">
        <v>909678</v>
      </c>
      <c r="R949" s="568">
        <v>19</v>
      </c>
      <c r="S949" s="566" t="s">
        <v>502</v>
      </c>
      <c r="T949" s="575" t="s">
        <v>467</v>
      </c>
      <c r="U949" s="575" t="s">
        <v>468</v>
      </c>
      <c r="V949" s="575" t="s">
        <v>539</v>
      </c>
      <c r="W949" s="576" t="s">
        <v>1276</v>
      </c>
      <c r="X949" s="575" t="s">
        <v>1380</v>
      </c>
      <c r="Y949" s="575" t="s">
        <v>1338</v>
      </c>
      <c r="Z949" s="576" t="s">
        <v>545</v>
      </c>
      <c r="AA949" s="577">
        <v>753</v>
      </c>
      <c r="AB949" s="575"/>
    </row>
    <row r="950" spans="1:28" hidden="1">
      <c r="A950" s="566" t="s">
        <v>1335</v>
      </c>
      <c r="B950" s="566" t="s">
        <v>466</v>
      </c>
      <c r="C950" s="566" t="s">
        <v>487</v>
      </c>
      <c r="D950" s="566" t="s">
        <v>472</v>
      </c>
      <c r="E950" s="566" t="s">
        <v>473</v>
      </c>
      <c r="F950" s="566" t="s">
        <v>489</v>
      </c>
      <c r="G950" s="567">
        <v>50</v>
      </c>
      <c r="H950" s="566" t="s">
        <v>508</v>
      </c>
      <c r="I950" s="568">
        <v>2</v>
      </c>
      <c r="J950" s="569">
        <v>12</v>
      </c>
      <c r="K950" s="569">
        <v>12</v>
      </c>
      <c r="L950" s="566"/>
      <c r="M950" s="566" t="s">
        <v>476</v>
      </c>
      <c r="N950" s="570">
        <v>825</v>
      </c>
      <c r="O950" s="566"/>
      <c r="P950" s="566" t="s">
        <v>477</v>
      </c>
      <c r="Q950" s="568">
        <v>909678</v>
      </c>
      <c r="R950" s="568">
        <v>21</v>
      </c>
      <c r="S950" s="566" t="s">
        <v>507</v>
      </c>
      <c r="T950" s="575" t="s">
        <v>467</v>
      </c>
      <c r="U950" s="575" t="s">
        <v>468</v>
      </c>
      <c r="V950" s="575" t="s">
        <v>539</v>
      </c>
      <c r="W950" s="576" t="s">
        <v>1277</v>
      </c>
      <c r="X950" s="575" t="s">
        <v>1380</v>
      </c>
      <c r="Y950" s="575" t="s">
        <v>1338</v>
      </c>
      <c r="Z950" s="576" t="s">
        <v>546</v>
      </c>
      <c r="AA950" s="577">
        <v>825</v>
      </c>
      <c r="AB950" s="575"/>
    </row>
    <row r="951" spans="1:28" hidden="1">
      <c r="A951" s="566" t="s">
        <v>1335</v>
      </c>
      <c r="B951" s="566" t="s">
        <v>466</v>
      </c>
      <c r="C951" s="566" t="s">
        <v>471</v>
      </c>
      <c r="D951" s="566" t="s">
        <v>472</v>
      </c>
      <c r="E951" s="566" t="s">
        <v>473</v>
      </c>
      <c r="F951" s="566" t="s">
        <v>474</v>
      </c>
      <c r="G951" s="567">
        <v>0</v>
      </c>
      <c r="H951" s="566" t="s">
        <v>1755</v>
      </c>
      <c r="I951" s="568">
        <v>2</v>
      </c>
      <c r="J951" s="569">
        <v>12</v>
      </c>
      <c r="K951" s="569">
        <v>12</v>
      </c>
      <c r="L951" s="566"/>
      <c r="M951" s="566" t="s">
        <v>476</v>
      </c>
      <c r="N951" s="570">
        <v>861</v>
      </c>
      <c r="O951" s="566"/>
      <c r="P951" s="566" t="s">
        <v>477</v>
      </c>
      <c r="Q951" s="568">
        <v>909678</v>
      </c>
      <c r="R951" s="568">
        <v>46</v>
      </c>
      <c r="S951" s="566" t="s">
        <v>1383</v>
      </c>
      <c r="T951" s="575" t="s">
        <v>467</v>
      </c>
      <c r="U951" s="575" t="s">
        <v>468</v>
      </c>
      <c r="V951" s="575" t="s">
        <v>539</v>
      </c>
      <c r="W951" s="576" t="s">
        <v>1354</v>
      </c>
      <c r="X951" s="575" t="s">
        <v>1380</v>
      </c>
      <c r="Y951" s="575" t="s">
        <v>1338</v>
      </c>
      <c r="Z951" s="576" t="s">
        <v>2038</v>
      </c>
      <c r="AA951" s="577">
        <v>861</v>
      </c>
      <c r="AB951" s="575"/>
    </row>
    <row r="952" spans="1:28" hidden="1">
      <c r="A952" s="566" t="s">
        <v>1335</v>
      </c>
      <c r="B952" s="566" t="s">
        <v>466</v>
      </c>
      <c r="C952" s="566" t="s">
        <v>487</v>
      </c>
      <c r="D952" s="566" t="s">
        <v>472</v>
      </c>
      <c r="E952" s="566" t="s">
        <v>473</v>
      </c>
      <c r="F952" s="566" t="s">
        <v>489</v>
      </c>
      <c r="G952" s="567">
        <v>50</v>
      </c>
      <c r="H952" s="566" t="s">
        <v>1757</v>
      </c>
      <c r="I952" s="568">
        <v>2</v>
      </c>
      <c r="J952" s="569">
        <v>12</v>
      </c>
      <c r="K952" s="569">
        <v>12</v>
      </c>
      <c r="L952" s="566"/>
      <c r="M952" s="566" t="s">
        <v>476</v>
      </c>
      <c r="N952" s="570">
        <v>897</v>
      </c>
      <c r="O952" s="566"/>
      <c r="P952" s="566" t="s">
        <v>477</v>
      </c>
      <c r="Q952" s="568">
        <v>909678</v>
      </c>
      <c r="R952" s="568">
        <v>47</v>
      </c>
      <c r="S952" s="566" t="s">
        <v>1385</v>
      </c>
      <c r="T952" s="575" t="s">
        <v>467</v>
      </c>
      <c r="U952" s="575" t="s">
        <v>468</v>
      </c>
      <c r="V952" s="575" t="s">
        <v>539</v>
      </c>
      <c r="W952" s="576" t="s">
        <v>1358</v>
      </c>
      <c r="X952" s="575" t="s">
        <v>1380</v>
      </c>
      <c r="Y952" s="575" t="s">
        <v>1338</v>
      </c>
      <c r="Z952" s="576" t="s">
        <v>2039</v>
      </c>
      <c r="AA952" s="577">
        <v>897</v>
      </c>
      <c r="AB952" s="575"/>
    </row>
    <row r="953" spans="1:28" hidden="1">
      <c r="A953" s="566" t="s">
        <v>1335</v>
      </c>
      <c r="B953" s="566" t="s">
        <v>466</v>
      </c>
      <c r="C953" s="566" t="s">
        <v>471</v>
      </c>
      <c r="D953" s="566" t="s">
        <v>472</v>
      </c>
      <c r="E953" s="566" t="s">
        <v>473</v>
      </c>
      <c r="F953" s="566" t="s">
        <v>474</v>
      </c>
      <c r="G953" s="567">
        <v>0</v>
      </c>
      <c r="H953" s="566" t="s">
        <v>511</v>
      </c>
      <c r="I953" s="568">
        <v>2</v>
      </c>
      <c r="J953" s="569">
        <v>12</v>
      </c>
      <c r="K953" s="569">
        <v>12</v>
      </c>
      <c r="L953" s="566"/>
      <c r="M953" s="566" t="s">
        <v>476</v>
      </c>
      <c r="N953" s="570">
        <v>357</v>
      </c>
      <c r="O953" s="566"/>
      <c r="P953" s="566" t="s">
        <v>477</v>
      </c>
      <c r="Q953" s="568">
        <v>909678</v>
      </c>
      <c r="R953" s="568">
        <v>5</v>
      </c>
      <c r="S953" s="566" t="s">
        <v>1392</v>
      </c>
      <c r="T953" s="575" t="s">
        <v>467</v>
      </c>
      <c r="U953" s="575" t="s">
        <v>468</v>
      </c>
      <c r="V953" s="575" t="s">
        <v>539</v>
      </c>
      <c r="W953" s="576" t="s">
        <v>509</v>
      </c>
      <c r="X953" s="575" t="s">
        <v>1380</v>
      </c>
      <c r="Y953" s="575" t="s">
        <v>1338</v>
      </c>
      <c r="Z953" s="576" t="s">
        <v>547</v>
      </c>
      <c r="AA953" s="577">
        <v>357</v>
      </c>
      <c r="AB953" s="575"/>
    </row>
    <row r="954" spans="1:28" hidden="1">
      <c r="A954" s="566" t="s">
        <v>1335</v>
      </c>
      <c r="B954" s="566" t="s">
        <v>466</v>
      </c>
      <c r="C954" s="566" t="s">
        <v>471</v>
      </c>
      <c r="D954" s="566" t="s">
        <v>472</v>
      </c>
      <c r="E954" s="566" t="s">
        <v>473</v>
      </c>
      <c r="F954" s="566" t="s">
        <v>474</v>
      </c>
      <c r="G954" s="567">
        <v>0</v>
      </c>
      <c r="H954" s="566" t="s">
        <v>213</v>
      </c>
      <c r="I954" s="568">
        <v>2</v>
      </c>
      <c r="J954" s="569">
        <v>12</v>
      </c>
      <c r="K954" s="569">
        <v>12</v>
      </c>
      <c r="L954" s="566"/>
      <c r="M954" s="566" t="s">
        <v>476</v>
      </c>
      <c r="N954" s="570">
        <v>393</v>
      </c>
      <c r="O954" s="566"/>
      <c r="P954" s="566" t="s">
        <v>477</v>
      </c>
      <c r="Q954" s="568">
        <v>909678</v>
      </c>
      <c r="R954" s="568">
        <v>6</v>
      </c>
      <c r="S954" s="566" t="s">
        <v>1393</v>
      </c>
      <c r="T954" s="575" t="s">
        <v>467</v>
      </c>
      <c r="U954" s="575" t="s">
        <v>468</v>
      </c>
      <c r="V954" s="575" t="s">
        <v>539</v>
      </c>
      <c r="W954" s="576" t="s">
        <v>512</v>
      </c>
      <c r="X954" s="575" t="s">
        <v>1380</v>
      </c>
      <c r="Y954" s="575" t="s">
        <v>1338</v>
      </c>
      <c r="Z954" s="576" t="s">
        <v>548</v>
      </c>
      <c r="AA954" s="577">
        <v>393</v>
      </c>
      <c r="AB954" s="575"/>
    </row>
    <row r="955" spans="1:28" hidden="1">
      <c r="A955" s="566" t="s">
        <v>1335</v>
      </c>
      <c r="B955" s="566" t="s">
        <v>466</v>
      </c>
      <c r="C955" s="566" t="s">
        <v>471</v>
      </c>
      <c r="D955" s="566" t="s">
        <v>472</v>
      </c>
      <c r="E955" s="566" t="s">
        <v>473</v>
      </c>
      <c r="F955" s="566" t="s">
        <v>474</v>
      </c>
      <c r="G955" s="567">
        <v>0</v>
      </c>
      <c r="H955" s="566" t="s">
        <v>516</v>
      </c>
      <c r="I955" s="568">
        <v>2</v>
      </c>
      <c r="J955" s="569">
        <v>12</v>
      </c>
      <c r="K955" s="569">
        <v>12</v>
      </c>
      <c r="L955" s="566"/>
      <c r="M955" s="566" t="s">
        <v>476</v>
      </c>
      <c r="N955" s="570">
        <v>429</v>
      </c>
      <c r="O955" s="566"/>
      <c r="P955" s="566" t="s">
        <v>477</v>
      </c>
      <c r="Q955" s="568">
        <v>909678</v>
      </c>
      <c r="R955" s="568">
        <v>14</v>
      </c>
      <c r="S955" s="566" t="s">
        <v>1394</v>
      </c>
      <c r="T955" s="575" t="s">
        <v>467</v>
      </c>
      <c r="U955" s="575" t="s">
        <v>468</v>
      </c>
      <c r="V955" s="575" t="s">
        <v>539</v>
      </c>
      <c r="W955" s="576" t="s">
        <v>514</v>
      </c>
      <c r="X955" s="575" t="s">
        <v>1380</v>
      </c>
      <c r="Y955" s="575" t="s">
        <v>1338</v>
      </c>
      <c r="Z955" s="576" t="s">
        <v>549</v>
      </c>
      <c r="AA955" s="577">
        <v>429</v>
      </c>
      <c r="AB955" s="575"/>
    </row>
    <row r="956" spans="1:28" hidden="1">
      <c r="A956" s="566" t="s">
        <v>1335</v>
      </c>
      <c r="B956" s="566" t="s">
        <v>466</v>
      </c>
      <c r="C956" s="566" t="s">
        <v>471</v>
      </c>
      <c r="D956" s="566" t="s">
        <v>472</v>
      </c>
      <c r="E956" s="566" t="s">
        <v>473</v>
      </c>
      <c r="F956" s="566" t="s">
        <v>474</v>
      </c>
      <c r="G956" s="567">
        <v>0</v>
      </c>
      <c r="H956" s="566" t="s">
        <v>479</v>
      </c>
      <c r="I956" s="568">
        <v>2</v>
      </c>
      <c r="J956" s="569">
        <v>36</v>
      </c>
      <c r="K956" s="569">
        <v>36</v>
      </c>
      <c r="L956" s="566"/>
      <c r="M956" s="566" t="s">
        <v>476</v>
      </c>
      <c r="N956" s="570">
        <v>1365</v>
      </c>
      <c r="O956" s="566"/>
      <c r="P956" s="566" t="s">
        <v>477</v>
      </c>
      <c r="Q956" s="568">
        <v>909678</v>
      </c>
      <c r="R956" s="568">
        <v>34</v>
      </c>
      <c r="S956" s="566" t="s">
        <v>1395</v>
      </c>
      <c r="T956" s="575" t="s">
        <v>467</v>
      </c>
      <c r="U956" s="575" t="s">
        <v>468</v>
      </c>
      <c r="V956" s="575" t="s">
        <v>539</v>
      </c>
      <c r="W956" s="576" t="s">
        <v>1274</v>
      </c>
      <c r="X956" s="575" t="s">
        <v>1380</v>
      </c>
      <c r="Y956" s="575" t="s">
        <v>1367</v>
      </c>
      <c r="Z956" s="576" t="s">
        <v>2040</v>
      </c>
      <c r="AA956" s="577">
        <v>1365</v>
      </c>
      <c r="AB956" s="575"/>
    </row>
    <row r="957" spans="1:28" hidden="1">
      <c r="A957" s="566" t="s">
        <v>1335</v>
      </c>
      <c r="B957" s="566" t="s">
        <v>466</v>
      </c>
      <c r="C957" s="566" t="s">
        <v>471</v>
      </c>
      <c r="D957" s="566" t="s">
        <v>472</v>
      </c>
      <c r="E957" s="566" t="s">
        <v>473</v>
      </c>
      <c r="F957" s="566" t="s">
        <v>474</v>
      </c>
      <c r="G957" s="567">
        <v>0</v>
      </c>
      <c r="H957" s="566" t="s">
        <v>484</v>
      </c>
      <c r="I957" s="568">
        <v>2</v>
      </c>
      <c r="J957" s="569">
        <v>36</v>
      </c>
      <c r="K957" s="569">
        <v>36</v>
      </c>
      <c r="L957" s="566"/>
      <c r="M957" s="566" t="s">
        <v>476</v>
      </c>
      <c r="N957" s="570">
        <v>1401</v>
      </c>
      <c r="O957" s="566"/>
      <c r="P957" s="566" t="s">
        <v>477</v>
      </c>
      <c r="Q957" s="568">
        <v>909678</v>
      </c>
      <c r="R957" s="568">
        <v>35</v>
      </c>
      <c r="S957" s="566" t="s">
        <v>1397</v>
      </c>
      <c r="T957" s="575" t="s">
        <v>467</v>
      </c>
      <c r="U957" s="575" t="s">
        <v>468</v>
      </c>
      <c r="V957" s="575" t="s">
        <v>539</v>
      </c>
      <c r="W957" s="576" t="s">
        <v>1275</v>
      </c>
      <c r="X957" s="575" t="s">
        <v>1380</v>
      </c>
      <c r="Y957" s="575" t="s">
        <v>1367</v>
      </c>
      <c r="Z957" s="576" t="s">
        <v>2041</v>
      </c>
      <c r="AA957" s="577">
        <v>1401</v>
      </c>
      <c r="AB957" s="575"/>
    </row>
    <row r="958" spans="1:28" hidden="1">
      <c r="A958" s="566" t="s">
        <v>1335</v>
      </c>
      <c r="B958" s="566" t="s">
        <v>466</v>
      </c>
      <c r="C958" s="566" t="s">
        <v>487</v>
      </c>
      <c r="D958" s="566" t="s">
        <v>472</v>
      </c>
      <c r="E958" s="566" t="s">
        <v>473</v>
      </c>
      <c r="F958" s="566" t="s">
        <v>489</v>
      </c>
      <c r="G958" s="567">
        <v>50</v>
      </c>
      <c r="H958" s="566" t="s">
        <v>503</v>
      </c>
      <c r="I958" s="568">
        <v>2</v>
      </c>
      <c r="J958" s="569">
        <v>36</v>
      </c>
      <c r="K958" s="569">
        <v>36</v>
      </c>
      <c r="L958" s="566"/>
      <c r="M958" s="566" t="s">
        <v>476</v>
      </c>
      <c r="N958" s="570">
        <v>1437</v>
      </c>
      <c r="O958" s="566"/>
      <c r="P958" s="566" t="s">
        <v>477</v>
      </c>
      <c r="Q958" s="568">
        <v>909678</v>
      </c>
      <c r="R958" s="568">
        <v>37</v>
      </c>
      <c r="S958" s="566" t="s">
        <v>1399</v>
      </c>
      <c r="T958" s="575" t="s">
        <v>467</v>
      </c>
      <c r="U958" s="575" t="s">
        <v>468</v>
      </c>
      <c r="V958" s="575" t="s">
        <v>539</v>
      </c>
      <c r="W958" s="576" t="s">
        <v>1276</v>
      </c>
      <c r="X958" s="575" t="s">
        <v>1380</v>
      </c>
      <c r="Y958" s="575" t="s">
        <v>1367</v>
      </c>
      <c r="Z958" s="576" t="s">
        <v>2042</v>
      </c>
      <c r="AA958" s="577">
        <v>1437</v>
      </c>
      <c r="AB958" s="575"/>
    </row>
    <row r="959" spans="1:28" hidden="1">
      <c r="A959" s="566" t="s">
        <v>1335</v>
      </c>
      <c r="B959" s="566" t="s">
        <v>466</v>
      </c>
      <c r="C959" s="566" t="s">
        <v>487</v>
      </c>
      <c r="D959" s="566" t="s">
        <v>472</v>
      </c>
      <c r="E959" s="566" t="s">
        <v>473</v>
      </c>
      <c r="F959" s="566" t="s">
        <v>489</v>
      </c>
      <c r="G959" s="567">
        <v>50</v>
      </c>
      <c r="H959" s="566" t="s">
        <v>508</v>
      </c>
      <c r="I959" s="568">
        <v>2</v>
      </c>
      <c r="J959" s="569">
        <v>36</v>
      </c>
      <c r="K959" s="569">
        <v>36</v>
      </c>
      <c r="L959" s="566"/>
      <c r="M959" s="566" t="s">
        <v>476</v>
      </c>
      <c r="N959" s="570">
        <v>1473</v>
      </c>
      <c r="O959" s="566"/>
      <c r="P959" s="566" t="s">
        <v>477</v>
      </c>
      <c r="Q959" s="568">
        <v>909678</v>
      </c>
      <c r="R959" s="568">
        <v>38</v>
      </c>
      <c r="S959" s="566" t="s">
        <v>1401</v>
      </c>
      <c r="T959" s="575" t="s">
        <v>467</v>
      </c>
      <c r="U959" s="575" t="s">
        <v>468</v>
      </c>
      <c r="V959" s="575" t="s">
        <v>539</v>
      </c>
      <c r="W959" s="576" t="s">
        <v>1277</v>
      </c>
      <c r="X959" s="575" t="s">
        <v>1380</v>
      </c>
      <c r="Y959" s="575" t="s">
        <v>1367</v>
      </c>
      <c r="Z959" s="576" t="s">
        <v>2043</v>
      </c>
      <c r="AA959" s="577">
        <v>1473</v>
      </c>
      <c r="AB959" s="575"/>
    </row>
    <row r="960" spans="1:28" hidden="1">
      <c r="A960" s="566" t="s">
        <v>1335</v>
      </c>
      <c r="B960" s="566" t="s">
        <v>466</v>
      </c>
      <c r="C960" s="566" t="s">
        <v>471</v>
      </c>
      <c r="D960" s="566" t="s">
        <v>472</v>
      </c>
      <c r="E960" s="566" t="s">
        <v>473</v>
      </c>
      <c r="F960" s="566" t="s">
        <v>474</v>
      </c>
      <c r="G960" s="567">
        <v>0</v>
      </c>
      <c r="H960" s="566" t="s">
        <v>1755</v>
      </c>
      <c r="I960" s="568">
        <v>2</v>
      </c>
      <c r="J960" s="569">
        <v>36</v>
      </c>
      <c r="K960" s="569">
        <v>36</v>
      </c>
      <c r="L960" s="566"/>
      <c r="M960" s="566" t="s">
        <v>476</v>
      </c>
      <c r="N960" s="570">
        <v>1509</v>
      </c>
      <c r="O960" s="566"/>
      <c r="P960" s="566" t="s">
        <v>477</v>
      </c>
      <c r="Q960" s="568">
        <v>909678</v>
      </c>
      <c r="R960" s="568">
        <v>36</v>
      </c>
      <c r="S960" s="566" t="s">
        <v>1403</v>
      </c>
      <c r="T960" s="575" t="s">
        <v>467</v>
      </c>
      <c r="U960" s="575" t="s">
        <v>468</v>
      </c>
      <c r="V960" s="575" t="s">
        <v>539</v>
      </c>
      <c r="W960" s="576" t="s">
        <v>1354</v>
      </c>
      <c r="X960" s="575" t="s">
        <v>1380</v>
      </c>
      <c r="Y960" s="575" t="s">
        <v>1367</v>
      </c>
      <c r="Z960" s="576" t="s">
        <v>2044</v>
      </c>
      <c r="AA960" s="577">
        <v>1509</v>
      </c>
      <c r="AB960" s="575"/>
    </row>
    <row r="961" spans="1:28" hidden="1">
      <c r="A961" s="566" t="s">
        <v>1335</v>
      </c>
      <c r="B961" s="566" t="s">
        <v>466</v>
      </c>
      <c r="C961" s="566" t="s">
        <v>487</v>
      </c>
      <c r="D961" s="566" t="s">
        <v>472</v>
      </c>
      <c r="E961" s="566" t="s">
        <v>473</v>
      </c>
      <c r="F961" s="566" t="s">
        <v>489</v>
      </c>
      <c r="G961" s="567">
        <v>50</v>
      </c>
      <c r="H961" s="566" t="s">
        <v>1757</v>
      </c>
      <c r="I961" s="568">
        <v>2</v>
      </c>
      <c r="J961" s="569">
        <v>36</v>
      </c>
      <c r="K961" s="569">
        <v>36</v>
      </c>
      <c r="L961" s="566"/>
      <c r="M961" s="566" t="s">
        <v>476</v>
      </c>
      <c r="N961" s="570">
        <v>1545</v>
      </c>
      <c r="O961" s="566"/>
      <c r="P961" s="566" t="s">
        <v>477</v>
      </c>
      <c r="Q961" s="568">
        <v>909678</v>
      </c>
      <c r="R961" s="568">
        <v>39</v>
      </c>
      <c r="S961" s="566" t="s">
        <v>1405</v>
      </c>
      <c r="T961" s="575" t="s">
        <v>467</v>
      </c>
      <c r="U961" s="575" t="s">
        <v>468</v>
      </c>
      <c r="V961" s="575" t="s">
        <v>539</v>
      </c>
      <c r="W961" s="576" t="s">
        <v>1358</v>
      </c>
      <c r="X961" s="575" t="s">
        <v>1380</v>
      </c>
      <c r="Y961" s="575" t="s">
        <v>1367</v>
      </c>
      <c r="Z961" s="576" t="s">
        <v>2045</v>
      </c>
      <c r="AA961" s="577">
        <v>1545</v>
      </c>
      <c r="AB961" s="575"/>
    </row>
    <row r="962" spans="1:28" hidden="1">
      <c r="A962" s="566" t="s">
        <v>1335</v>
      </c>
      <c r="B962" s="566" t="s">
        <v>466</v>
      </c>
      <c r="C962" s="566" t="s">
        <v>471</v>
      </c>
      <c r="D962" s="566" t="s">
        <v>472</v>
      </c>
      <c r="E962" s="566" t="s">
        <v>473</v>
      </c>
      <c r="F962" s="566" t="s">
        <v>474</v>
      </c>
      <c r="G962" s="567">
        <v>0</v>
      </c>
      <c r="H962" s="566" t="s">
        <v>475</v>
      </c>
      <c r="I962" s="568">
        <v>2</v>
      </c>
      <c r="J962" s="569">
        <v>12</v>
      </c>
      <c r="K962" s="569">
        <v>12</v>
      </c>
      <c r="L962" s="566"/>
      <c r="M962" s="566" t="s">
        <v>476</v>
      </c>
      <c r="N962" s="570">
        <v>465</v>
      </c>
      <c r="O962" s="566"/>
      <c r="P962" s="566" t="s">
        <v>477</v>
      </c>
      <c r="Q962" s="568">
        <v>909678</v>
      </c>
      <c r="R962" s="568">
        <v>7</v>
      </c>
      <c r="S962" s="566" t="s">
        <v>1407</v>
      </c>
      <c r="T962" s="575" t="s">
        <v>1408</v>
      </c>
      <c r="U962" s="575" t="s">
        <v>468</v>
      </c>
      <c r="V962" s="575" t="s">
        <v>539</v>
      </c>
      <c r="W962" s="576" t="s">
        <v>470</v>
      </c>
      <c r="X962" s="575" t="s">
        <v>1380</v>
      </c>
      <c r="Y962" s="575" t="s">
        <v>1338</v>
      </c>
      <c r="Z962" s="576" t="s">
        <v>2046</v>
      </c>
      <c r="AA962" s="577">
        <v>465</v>
      </c>
      <c r="AB962" s="575"/>
    </row>
    <row r="963" spans="1:28" hidden="1">
      <c r="A963" s="566" t="s">
        <v>1335</v>
      </c>
      <c r="B963" s="566" t="s">
        <v>466</v>
      </c>
      <c r="C963" s="566" t="s">
        <v>471</v>
      </c>
      <c r="D963" s="566" t="s">
        <v>472</v>
      </c>
      <c r="E963" s="566" t="s">
        <v>473</v>
      </c>
      <c r="F963" s="566" t="s">
        <v>474</v>
      </c>
      <c r="G963" s="567">
        <v>0</v>
      </c>
      <c r="H963" s="566" t="s">
        <v>481</v>
      </c>
      <c r="I963" s="568">
        <v>2</v>
      </c>
      <c r="J963" s="569">
        <v>12</v>
      </c>
      <c r="K963" s="569">
        <v>12</v>
      </c>
      <c r="L963" s="566"/>
      <c r="M963" s="566" t="s">
        <v>476</v>
      </c>
      <c r="N963" s="570">
        <v>537</v>
      </c>
      <c r="O963" s="566"/>
      <c r="P963" s="566" t="s">
        <v>477</v>
      </c>
      <c r="Q963" s="568">
        <v>909678</v>
      </c>
      <c r="R963" s="568">
        <v>8</v>
      </c>
      <c r="S963" s="566" t="s">
        <v>1410</v>
      </c>
      <c r="T963" s="575" t="s">
        <v>1408</v>
      </c>
      <c r="U963" s="575" t="s">
        <v>468</v>
      </c>
      <c r="V963" s="575" t="s">
        <v>539</v>
      </c>
      <c r="W963" s="576" t="s">
        <v>480</v>
      </c>
      <c r="X963" s="575" t="s">
        <v>1380</v>
      </c>
      <c r="Y963" s="575" t="s">
        <v>1338</v>
      </c>
      <c r="Z963" s="576" t="s">
        <v>2047</v>
      </c>
      <c r="AA963" s="577">
        <v>537</v>
      </c>
      <c r="AB963" s="575"/>
    </row>
    <row r="964" spans="1:28" hidden="1">
      <c r="A964" s="566" t="s">
        <v>1335</v>
      </c>
      <c r="B964" s="566" t="s">
        <v>466</v>
      </c>
      <c r="C964" s="566" t="s">
        <v>487</v>
      </c>
      <c r="D964" s="566" t="s">
        <v>472</v>
      </c>
      <c r="E964" s="566" t="s">
        <v>473</v>
      </c>
      <c r="F964" s="566" t="s">
        <v>489</v>
      </c>
      <c r="G964" s="567">
        <v>50</v>
      </c>
      <c r="H964" s="566" t="s">
        <v>500</v>
      </c>
      <c r="I964" s="568">
        <v>2</v>
      </c>
      <c r="J964" s="569">
        <v>12</v>
      </c>
      <c r="K964" s="569">
        <v>12</v>
      </c>
      <c r="L964" s="566"/>
      <c r="M964" s="566" t="s">
        <v>476</v>
      </c>
      <c r="N964" s="570">
        <v>717</v>
      </c>
      <c r="O964" s="566"/>
      <c r="P964" s="566" t="s">
        <v>477</v>
      </c>
      <c r="Q964" s="568">
        <v>909678</v>
      </c>
      <c r="R964" s="568">
        <v>11</v>
      </c>
      <c r="S964" s="566" t="s">
        <v>1412</v>
      </c>
      <c r="T964" s="575" t="s">
        <v>1408</v>
      </c>
      <c r="U964" s="575" t="s">
        <v>468</v>
      </c>
      <c r="V964" s="575" t="s">
        <v>539</v>
      </c>
      <c r="W964" s="576" t="s">
        <v>499</v>
      </c>
      <c r="X964" s="575" t="s">
        <v>1380</v>
      </c>
      <c r="Y964" s="575" t="s">
        <v>1338</v>
      </c>
      <c r="Z964" s="576" t="s">
        <v>2048</v>
      </c>
      <c r="AA964" s="577">
        <v>717</v>
      </c>
      <c r="AB964" s="575"/>
    </row>
    <row r="965" spans="1:28" hidden="1">
      <c r="A965" s="566" t="s">
        <v>1335</v>
      </c>
      <c r="B965" s="566" t="s">
        <v>466</v>
      </c>
      <c r="C965" s="566" t="s">
        <v>487</v>
      </c>
      <c r="D965" s="566" t="s">
        <v>472</v>
      </c>
      <c r="E965" s="566" t="s">
        <v>473</v>
      </c>
      <c r="F965" s="566" t="s">
        <v>489</v>
      </c>
      <c r="G965" s="567">
        <v>50</v>
      </c>
      <c r="H965" s="566" t="s">
        <v>505</v>
      </c>
      <c r="I965" s="568">
        <v>2</v>
      </c>
      <c r="J965" s="569">
        <v>12</v>
      </c>
      <c r="K965" s="569">
        <v>12</v>
      </c>
      <c r="L965" s="566"/>
      <c r="M965" s="566" t="s">
        <v>476</v>
      </c>
      <c r="N965" s="570">
        <v>789</v>
      </c>
      <c r="O965" s="566"/>
      <c r="P965" s="566" t="s">
        <v>477</v>
      </c>
      <c r="Q965" s="568">
        <v>909678</v>
      </c>
      <c r="R965" s="568">
        <v>20</v>
      </c>
      <c r="S965" s="566" t="s">
        <v>1414</v>
      </c>
      <c r="T965" s="575" t="s">
        <v>1408</v>
      </c>
      <c r="U965" s="575" t="s">
        <v>468</v>
      </c>
      <c r="V965" s="575" t="s">
        <v>539</v>
      </c>
      <c r="W965" s="576" t="s">
        <v>504</v>
      </c>
      <c r="X965" s="575" t="s">
        <v>1380</v>
      </c>
      <c r="Y965" s="575" t="s">
        <v>1338</v>
      </c>
      <c r="Z965" s="576" t="s">
        <v>2049</v>
      </c>
      <c r="AA965" s="577">
        <v>789</v>
      </c>
      <c r="AB965" s="575"/>
    </row>
    <row r="966" spans="1:28" hidden="1">
      <c r="A966" s="566" t="s">
        <v>1335</v>
      </c>
      <c r="B966" s="566" t="s">
        <v>466</v>
      </c>
      <c r="C966" s="566" t="s">
        <v>471</v>
      </c>
      <c r="D966" s="566" t="s">
        <v>472</v>
      </c>
      <c r="E966" s="566" t="s">
        <v>473</v>
      </c>
      <c r="F966" s="566" t="s">
        <v>474</v>
      </c>
      <c r="G966" s="567">
        <v>0</v>
      </c>
      <c r="H966" s="566" t="s">
        <v>479</v>
      </c>
      <c r="I966" s="568">
        <v>2</v>
      </c>
      <c r="J966" s="569">
        <v>58</v>
      </c>
      <c r="K966" s="569">
        <v>58</v>
      </c>
      <c r="L966" s="566"/>
      <c r="M966" s="566" t="s">
        <v>476</v>
      </c>
      <c r="N966" s="570">
        <v>1039</v>
      </c>
      <c r="O966" s="566"/>
      <c r="P966" s="566" t="s">
        <v>477</v>
      </c>
      <c r="Q966" s="568">
        <v>909678</v>
      </c>
      <c r="R966" s="568">
        <v>25</v>
      </c>
      <c r="S966" s="566" t="s">
        <v>1336</v>
      </c>
      <c r="T966" s="586" t="s">
        <v>779</v>
      </c>
      <c r="U966" s="586" t="s">
        <v>468</v>
      </c>
      <c r="V966" s="586" t="s">
        <v>539</v>
      </c>
      <c r="W966" s="587" t="s">
        <v>1274</v>
      </c>
      <c r="X966" s="586" t="s">
        <v>1337</v>
      </c>
      <c r="Y966" s="586" t="s">
        <v>1338</v>
      </c>
      <c r="Z966" s="587" t="s">
        <v>2050</v>
      </c>
      <c r="AA966" s="588">
        <v>1039</v>
      </c>
      <c r="AB966" s="586"/>
    </row>
    <row r="967" spans="1:28" hidden="1">
      <c r="A967" s="566" t="s">
        <v>1335</v>
      </c>
      <c r="B967" s="566" t="s">
        <v>466</v>
      </c>
      <c r="C967" s="566" t="s">
        <v>471</v>
      </c>
      <c r="D967" s="566" t="s">
        <v>472</v>
      </c>
      <c r="E967" s="566" t="s">
        <v>473</v>
      </c>
      <c r="F967" s="566" t="s">
        <v>474</v>
      </c>
      <c r="G967" s="567">
        <v>0</v>
      </c>
      <c r="H967" s="566" t="s">
        <v>484</v>
      </c>
      <c r="I967" s="568">
        <v>2</v>
      </c>
      <c r="J967" s="569">
        <v>58</v>
      </c>
      <c r="K967" s="569">
        <v>58</v>
      </c>
      <c r="L967" s="566"/>
      <c r="M967" s="566" t="s">
        <v>476</v>
      </c>
      <c r="N967" s="570">
        <v>1075</v>
      </c>
      <c r="O967" s="566"/>
      <c r="P967" s="566" t="s">
        <v>477</v>
      </c>
      <c r="Q967" s="568">
        <v>909678</v>
      </c>
      <c r="R967" s="568">
        <v>26</v>
      </c>
      <c r="S967" s="566" t="s">
        <v>1340</v>
      </c>
      <c r="T967" s="586" t="s">
        <v>779</v>
      </c>
      <c r="U967" s="586" t="s">
        <v>468</v>
      </c>
      <c r="V967" s="586" t="s">
        <v>539</v>
      </c>
      <c r="W967" s="587" t="s">
        <v>1275</v>
      </c>
      <c r="X967" s="586" t="s">
        <v>1337</v>
      </c>
      <c r="Y967" s="586" t="s">
        <v>1338</v>
      </c>
      <c r="Z967" s="587" t="s">
        <v>2051</v>
      </c>
      <c r="AA967" s="588">
        <v>1075</v>
      </c>
      <c r="AB967" s="586"/>
    </row>
    <row r="968" spans="1:28" hidden="1">
      <c r="A968" s="566" t="s">
        <v>1335</v>
      </c>
      <c r="B968" s="566" t="s">
        <v>466</v>
      </c>
      <c r="C968" s="566" t="s">
        <v>487</v>
      </c>
      <c r="D968" s="566" t="s">
        <v>472</v>
      </c>
      <c r="E968" s="566" t="s">
        <v>473</v>
      </c>
      <c r="F968" s="566" t="s">
        <v>489</v>
      </c>
      <c r="G968" s="567">
        <v>50</v>
      </c>
      <c r="H968" s="566" t="s">
        <v>490</v>
      </c>
      <c r="I968" s="568">
        <v>2</v>
      </c>
      <c r="J968" s="569">
        <v>58</v>
      </c>
      <c r="K968" s="569">
        <v>58</v>
      </c>
      <c r="L968" s="566"/>
      <c r="M968" s="566" t="s">
        <v>476</v>
      </c>
      <c r="N968" s="570">
        <v>1111</v>
      </c>
      <c r="O968" s="566"/>
      <c r="P968" s="566" t="s">
        <v>477</v>
      </c>
      <c r="Q968" s="568">
        <v>909678</v>
      </c>
      <c r="R968" s="568">
        <v>28</v>
      </c>
      <c r="S968" s="566" t="s">
        <v>1342</v>
      </c>
      <c r="T968" s="586" t="s">
        <v>779</v>
      </c>
      <c r="U968" s="586" t="s">
        <v>468</v>
      </c>
      <c r="V968" s="586" t="s">
        <v>539</v>
      </c>
      <c r="W968" s="587" t="s">
        <v>485</v>
      </c>
      <c r="X968" s="586" t="s">
        <v>1337</v>
      </c>
      <c r="Y968" s="586" t="s">
        <v>1338</v>
      </c>
      <c r="Z968" s="587" t="s">
        <v>2052</v>
      </c>
      <c r="AA968" s="588">
        <v>1111</v>
      </c>
      <c r="AB968" s="586"/>
    </row>
    <row r="969" spans="1:28" hidden="1">
      <c r="A969" s="566" t="s">
        <v>1335</v>
      </c>
      <c r="B969" s="566" t="s">
        <v>466</v>
      </c>
      <c r="C969" s="566" t="s">
        <v>487</v>
      </c>
      <c r="D969" s="566" t="s">
        <v>472</v>
      </c>
      <c r="E969" s="566" t="s">
        <v>473</v>
      </c>
      <c r="F969" s="566" t="s">
        <v>489</v>
      </c>
      <c r="G969" s="567">
        <v>50</v>
      </c>
      <c r="H969" s="566" t="s">
        <v>494</v>
      </c>
      <c r="I969" s="568">
        <v>2</v>
      </c>
      <c r="J969" s="569">
        <v>58</v>
      </c>
      <c r="K969" s="569">
        <v>58</v>
      </c>
      <c r="L969" s="566"/>
      <c r="M969" s="566" t="s">
        <v>476</v>
      </c>
      <c r="N969" s="570">
        <v>1147</v>
      </c>
      <c r="O969" s="566"/>
      <c r="P969" s="566" t="s">
        <v>477</v>
      </c>
      <c r="Q969" s="568">
        <v>909678</v>
      </c>
      <c r="R969" s="568">
        <v>29</v>
      </c>
      <c r="S969" s="566" t="s">
        <v>1344</v>
      </c>
      <c r="T969" s="586" t="s">
        <v>779</v>
      </c>
      <c r="U969" s="586" t="s">
        <v>468</v>
      </c>
      <c r="V969" s="586" t="s">
        <v>539</v>
      </c>
      <c r="W969" s="587" t="s">
        <v>491</v>
      </c>
      <c r="X969" s="586" t="s">
        <v>1337</v>
      </c>
      <c r="Y969" s="586" t="s">
        <v>1338</v>
      </c>
      <c r="Z969" s="587" t="s">
        <v>2053</v>
      </c>
      <c r="AA969" s="588">
        <v>1147</v>
      </c>
      <c r="AB969" s="586"/>
    </row>
    <row r="970" spans="1:28" hidden="1">
      <c r="A970" s="566" t="s">
        <v>1335</v>
      </c>
      <c r="B970" s="566" t="s">
        <v>466</v>
      </c>
      <c r="C970" s="566" t="s">
        <v>487</v>
      </c>
      <c r="D970" s="566" t="s">
        <v>472</v>
      </c>
      <c r="E970" s="566" t="s">
        <v>473</v>
      </c>
      <c r="F970" s="566" t="s">
        <v>489</v>
      </c>
      <c r="G970" s="567">
        <v>50</v>
      </c>
      <c r="H970" s="566" t="s">
        <v>498</v>
      </c>
      <c r="I970" s="568">
        <v>2</v>
      </c>
      <c r="J970" s="569">
        <v>58</v>
      </c>
      <c r="K970" s="569">
        <v>58</v>
      </c>
      <c r="L970" s="566"/>
      <c r="M970" s="566" t="s">
        <v>476</v>
      </c>
      <c r="N970" s="570">
        <v>1183</v>
      </c>
      <c r="O970" s="566"/>
      <c r="P970" s="566" t="s">
        <v>477</v>
      </c>
      <c r="Q970" s="568">
        <v>909678</v>
      </c>
      <c r="R970" s="568">
        <v>30</v>
      </c>
      <c r="S970" s="566" t="s">
        <v>1346</v>
      </c>
      <c r="T970" s="586" t="s">
        <v>779</v>
      </c>
      <c r="U970" s="586" t="s">
        <v>468</v>
      </c>
      <c r="V970" s="586" t="s">
        <v>539</v>
      </c>
      <c r="W970" s="587" t="s">
        <v>495</v>
      </c>
      <c r="X970" s="586" t="s">
        <v>1337</v>
      </c>
      <c r="Y970" s="586" t="s">
        <v>1338</v>
      </c>
      <c r="Z970" s="587" t="s">
        <v>2054</v>
      </c>
      <c r="AA970" s="588">
        <v>1183</v>
      </c>
      <c r="AB970" s="586"/>
    </row>
    <row r="971" spans="1:28" hidden="1">
      <c r="A971" s="566" t="s">
        <v>1335</v>
      </c>
      <c r="B971" s="566" t="s">
        <v>466</v>
      </c>
      <c r="C971" s="566" t="s">
        <v>487</v>
      </c>
      <c r="D971" s="566" t="s">
        <v>472</v>
      </c>
      <c r="E971" s="566" t="s">
        <v>473</v>
      </c>
      <c r="F971" s="566" t="s">
        <v>489</v>
      </c>
      <c r="G971" s="567">
        <v>50</v>
      </c>
      <c r="H971" s="566" t="s">
        <v>503</v>
      </c>
      <c r="I971" s="568">
        <v>2</v>
      </c>
      <c r="J971" s="569">
        <v>58</v>
      </c>
      <c r="K971" s="569">
        <v>58</v>
      </c>
      <c r="L971" s="566"/>
      <c r="M971" s="566" t="s">
        <v>476</v>
      </c>
      <c r="N971" s="570">
        <v>1219</v>
      </c>
      <c r="O971" s="566"/>
      <c r="P971" s="566" t="s">
        <v>477</v>
      </c>
      <c r="Q971" s="568">
        <v>909678</v>
      </c>
      <c r="R971" s="568">
        <v>31</v>
      </c>
      <c r="S971" s="566" t="s">
        <v>1348</v>
      </c>
      <c r="T971" s="586" t="s">
        <v>779</v>
      </c>
      <c r="U971" s="586" t="s">
        <v>468</v>
      </c>
      <c r="V971" s="586" t="s">
        <v>539</v>
      </c>
      <c r="W971" s="587" t="s">
        <v>1276</v>
      </c>
      <c r="X971" s="586" t="s">
        <v>1337</v>
      </c>
      <c r="Y971" s="586" t="s">
        <v>1338</v>
      </c>
      <c r="Z971" s="587" t="s">
        <v>2055</v>
      </c>
      <c r="AA971" s="588">
        <v>1219</v>
      </c>
      <c r="AB971" s="586"/>
    </row>
    <row r="972" spans="1:28" hidden="1">
      <c r="A972" s="566" t="s">
        <v>1335</v>
      </c>
      <c r="B972" s="566" t="s">
        <v>466</v>
      </c>
      <c r="C972" s="566" t="s">
        <v>487</v>
      </c>
      <c r="D972" s="566" t="s">
        <v>472</v>
      </c>
      <c r="E972" s="566" t="s">
        <v>473</v>
      </c>
      <c r="F972" s="566" t="s">
        <v>489</v>
      </c>
      <c r="G972" s="567">
        <v>50</v>
      </c>
      <c r="H972" s="566" t="s">
        <v>508</v>
      </c>
      <c r="I972" s="568">
        <v>2</v>
      </c>
      <c r="J972" s="569">
        <v>58</v>
      </c>
      <c r="K972" s="569">
        <v>58</v>
      </c>
      <c r="L972" s="566"/>
      <c r="M972" s="566" t="s">
        <v>476</v>
      </c>
      <c r="N972" s="570">
        <v>1255</v>
      </c>
      <c r="O972" s="566"/>
      <c r="P972" s="566" t="s">
        <v>477</v>
      </c>
      <c r="Q972" s="568">
        <v>909678</v>
      </c>
      <c r="R972" s="568">
        <v>32</v>
      </c>
      <c r="S972" s="566" t="s">
        <v>1350</v>
      </c>
      <c r="T972" s="586" t="s">
        <v>779</v>
      </c>
      <c r="U972" s="586" t="s">
        <v>468</v>
      </c>
      <c r="V972" s="586" t="s">
        <v>539</v>
      </c>
      <c r="W972" s="587" t="s">
        <v>1277</v>
      </c>
      <c r="X972" s="586" t="s">
        <v>1337</v>
      </c>
      <c r="Y972" s="586" t="s">
        <v>1338</v>
      </c>
      <c r="Z972" s="587" t="s">
        <v>2056</v>
      </c>
      <c r="AA972" s="588">
        <v>1255</v>
      </c>
      <c r="AB972" s="586"/>
    </row>
    <row r="973" spans="1:28" hidden="1">
      <c r="A973" s="566" t="s">
        <v>1335</v>
      </c>
      <c r="B973" s="566" t="s">
        <v>466</v>
      </c>
      <c r="C973" s="566" t="s">
        <v>471</v>
      </c>
      <c r="D973" s="566" t="s">
        <v>472</v>
      </c>
      <c r="E973" s="566" t="s">
        <v>473</v>
      </c>
      <c r="F973" s="566" t="s">
        <v>474</v>
      </c>
      <c r="G973" s="567">
        <v>0</v>
      </c>
      <c r="H973" s="566" t="s">
        <v>1755</v>
      </c>
      <c r="I973" s="568">
        <v>2</v>
      </c>
      <c r="J973" s="569">
        <v>58</v>
      </c>
      <c r="K973" s="569">
        <v>58</v>
      </c>
      <c r="L973" s="566"/>
      <c r="M973" s="566" t="s">
        <v>476</v>
      </c>
      <c r="N973" s="570">
        <v>1291</v>
      </c>
      <c r="O973" s="566"/>
      <c r="P973" s="566" t="s">
        <v>477</v>
      </c>
      <c r="Q973" s="568">
        <v>909678</v>
      </c>
      <c r="R973" s="568">
        <v>27</v>
      </c>
      <c r="S973" s="566" t="s">
        <v>1353</v>
      </c>
      <c r="T973" s="586" t="s">
        <v>779</v>
      </c>
      <c r="U973" s="586" t="s">
        <v>468</v>
      </c>
      <c r="V973" s="586" t="s">
        <v>539</v>
      </c>
      <c r="W973" s="587" t="s">
        <v>1354</v>
      </c>
      <c r="X973" s="586" t="s">
        <v>1337</v>
      </c>
      <c r="Y973" s="586" t="s">
        <v>1338</v>
      </c>
      <c r="Z973" s="587" t="s">
        <v>2057</v>
      </c>
      <c r="AA973" s="588">
        <v>1291</v>
      </c>
      <c r="AB973" s="586"/>
    </row>
    <row r="974" spans="1:28" hidden="1">
      <c r="A974" s="566" t="s">
        <v>1335</v>
      </c>
      <c r="B974" s="566" t="s">
        <v>466</v>
      </c>
      <c r="C974" s="566" t="s">
        <v>487</v>
      </c>
      <c r="D974" s="566" t="s">
        <v>472</v>
      </c>
      <c r="E974" s="566" t="s">
        <v>473</v>
      </c>
      <c r="F974" s="566" t="s">
        <v>489</v>
      </c>
      <c r="G974" s="567">
        <v>50</v>
      </c>
      <c r="H974" s="566" t="s">
        <v>1757</v>
      </c>
      <c r="I974" s="568">
        <v>2</v>
      </c>
      <c r="J974" s="569">
        <v>58</v>
      </c>
      <c r="K974" s="569">
        <v>58</v>
      </c>
      <c r="L974" s="566"/>
      <c r="M974" s="566" t="s">
        <v>476</v>
      </c>
      <c r="N974" s="570">
        <v>1327</v>
      </c>
      <c r="O974" s="566"/>
      <c r="P974" s="566" t="s">
        <v>477</v>
      </c>
      <c r="Q974" s="568">
        <v>909678</v>
      </c>
      <c r="R974" s="568">
        <v>33</v>
      </c>
      <c r="S974" s="566" t="s">
        <v>1357</v>
      </c>
      <c r="T974" s="586" t="s">
        <v>779</v>
      </c>
      <c r="U974" s="586" t="s">
        <v>468</v>
      </c>
      <c r="V974" s="586" t="s">
        <v>539</v>
      </c>
      <c r="W974" s="587" t="s">
        <v>1358</v>
      </c>
      <c r="X974" s="586" t="s">
        <v>1337</v>
      </c>
      <c r="Y974" s="586" t="s">
        <v>1338</v>
      </c>
      <c r="Z974" s="587" t="s">
        <v>2058</v>
      </c>
      <c r="AA974" s="588">
        <v>1327</v>
      </c>
      <c r="AB974" s="586"/>
    </row>
    <row r="975" spans="1:28" hidden="1">
      <c r="A975" s="566" t="s">
        <v>1335</v>
      </c>
      <c r="B975" s="566" t="s">
        <v>466</v>
      </c>
      <c r="C975" s="566" t="s">
        <v>471</v>
      </c>
      <c r="D975" s="566" t="s">
        <v>472</v>
      </c>
      <c r="E975" s="566" t="s">
        <v>473</v>
      </c>
      <c r="F975" s="566" t="s">
        <v>474</v>
      </c>
      <c r="G975" s="567">
        <v>0</v>
      </c>
      <c r="H975" s="566" t="s">
        <v>511</v>
      </c>
      <c r="I975" s="568">
        <v>2</v>
      </c>
      <c r="J975" s="569">
        <v>58</v>
      </c>
      <c r="K975" s="569">
        <v>58</v>
      </c>
      <c r="L975" s="566"/>
      <c r="M975" s="566" t="s">
        <v>476</v>
      </c>
      <c r="N975" s="570">
        <v>931</v>
      </c>
      <c r="O975" s="566"/>
      <c r="P975" s="566" t="s">
        <v>477</v>
      </c>
      <c r="Q975" s="568">
        <v>909678</v>
      </c>
      <c r="R975" s="568">
        <v>22</v>
      </c>
      <c r="S975" s="566" t="s">
        <v>1360</v>
      </c>
      <c r="T975" s="586" t="s">
        <v>779</v>
      </c>
      <c r="U975" s="586" t="s">
        <v>468</v>
      </c>
      <c r="V975" s="586" t="s">
        <v>539</v>
      </c>
      <c r="W975" s="587" t="s">
        <v>509</v>
      </c>
      <c r="X975" s="586" t="s">
        <v>1337</v>
      </c>
      <c r="Y975" s="586" t="s">
        <v>1338</v>
      </c>
      <c r="Z975" s="587" t="s">
        <v>2059</v>
      </c>
      <c r="AA975" s="588">
        <v>931</v>
      </c>
      <c r="AB975" s="586"/>
    </row>
    <row r="976" spans="1:28" hidden="1">
      <c r="A976" s="566" t="s">
        <v>1335</v>
      </c>
      <c r="B976" s="566" t="s">
        <v>466</v>
      </c>
      <c r="C976" s="566" t="s">
        <v>471</v>
      </c>
      <c r="D976" s="566" t="s">
        <v>472</v>
      </c>
      <c r="E976" s="566" t="s">
        <v>473</v>
      </c>
      <c r="F976" s="566" t="s">
        <v>474</v>
      </c>
      <c r="G976" s="567">
        <v>0</v>
      </c>
      <c r="H976" s="566" t="s">
        <v>213</v>
      </c>
      <c r="I976" s="568">
        <v>2</v>
      </c>
      <c r="J976" s="569">
        <v>58</v>
      </c>
      <c r="K976" s="569">
        <v>58</v>
      </c>
      <c r="L976" s="566"/>
      <c r="M976" s="566" t="s">
        <v>476</v>
      </c>
      <c r="N976" s="570">
        <v>967</v>
      </c>
      <c r="O976" s="566"/>
      <c r="P976" s="566" t="s">
        <v>477</v>
      </c>
      <c r="Q976" s="568">
        <v>909678</v>
      </c>
      <c r="R976" s="568">
        <v>23</v>
      </c>
      <c r="S976" s="566" t="s">
        <v>1362</v>
      </c>
      <c r="T976" s="586" t="s">
        <v>779</v>
      </c>
      <c r="U976" s="586" t="s">
        <v>468</v>
      </c>
      <c r="V976" s="586" t="s">
        <v>539</v>
      </c>
      <c r="W976" s="587" t="s">
        <v>512</v>
      </c>
      <c r="X976" s="586" t="s">
        <v>1337</v>
      </c>
      <c r="Y976" s="586" t="s">
        <v>1338</v>
      </c>
      <c r="Z976" s="587" t="s">
        <v>2060</v>
      </c>
      <c r="AA976" s="588">
        <v>967</v>
      </c>
      <c r="AB976" s="586"/>
    </row>
    <row r="977" spans="1:28" hidden="1">
      <c r="A977" s="566" t="s">
        <v>1335</v>
      </c>
      <c r="B977" s="566" t="s">
        <v>466</v>
      </c>
      <c r="C977" s="566" t="s">
        <v>471</v>
      </c>
      <c r="D977" s="566" t="s">
        <v>472</v>
      </c>
      <c r="E977" s="566" t="s">
        <v>473</v>
      </c>
      <c r="F977" s="566" t="s">
        <v>474</v>
      </c>
      <c r="G977" s="567">
        <v>0</v>
      </c>
      <c r="H977" s="566" t="s">
        <v>516</v>
      </c>
      <c r="I977" s="568">
        <v>2</v>
      </c>
      <c r="J977" s="569">
        <v>58</v>
      </c>
      <c r="K977" s="569">
        <v>58</v>
      </c>
      <c r="L977" s="566"/>
      <c r="M977" s="566" t="s">
        <v>476</v>
      </c>
      <c r="N977" s="570">
        <v>1003</v>
      </c>
      <c r="O977" s="566"/>
      <c r="P977" s="566" t="s">
        <v>477</v>
      </c>
      <c r="Q977" s="568">
        <v>909678</v>
      </c>
      <c r="R977" s="568">
        <v>24</v>
      </c>
      <c r="S977" s="566" t="s">
        <v>1364</v>
      </c>
      <c r="T977" s="586" t="s">
        <v>779</v>
      </c>
      <c r="U977" s="586" t="s">
        <v>468</v>
      </c>
      <c r="V977" s="586" t="s">
        <v>539</v>
      </c>
      <c r="W977" s="587" t="s">
        <v>514</v>
      </c>
      <c r="X977" s="586" t="s">
        <v>1337</v>
      </c>
      <c r="Y977" s="586" t="s">
        <v>1338</v>
      </c>
      <c r="Z977" s="587" t="s">
        <v>2061</v>
      </c>
      <c r="AA977" s="588">
        <v>1003</v>
      </c>
      <c r="AB977" s="586"/>
    </row>
    <row r="978" spans="1:28" hidden="1">
      <c r="A978" s="566" t="s">
        <v>1335</v>
      </c>
      <c r="B978" s="566" t="s">
        <v>466</v>
      </c>
      <c r="C978" s="566" t="s">
        <v>471</v>
      </c>
      <c r="D978" s="566" t="s">
        <v>472</v>
      </c>
      <c r="E978" s="566" t="s">
        <v>473</v>
      </c>
      <c r="F978" s="566" t="s">
        <v>474</v>
      </c>
      <c r="G978" s="567">
        <v>0</v>
      </c>
      <c r="H978" s="566" t="s">
        <v>479</v>
      </c>
      <c r="I978" s="568">
        <v>2</v>
      </c>
      <c r="J978" s="569">
        <v>82</v>
      </c>
      <c r="K978" s="569">
        <v>82</v>
      </c>
      <c r="L978" s="566"/>
      <c r="M978" s="566" t="s">
        <v>476</v>
      </c>
      <c r="N978" s="570">
        <v>1579</v>
      </c>
      <c r="O978" s="566"/>
      <c r="P978" s="566" t="s">
        <v>477</v>
      </c>
      <c r="Q978" s="568">
        <v>909678</v>
      </c>
      <c r="R978" s="568">
        <v>40</v>
      </c>
      <c r="S978" s="566" t="s">
        <v>1366</v>
      </c>
      <c r="T978" s="586" t="s">
        <v>779</v>
      </c>
      <c r="U978" s="586" t="s">
        <v>468</v>
      </c>
      <c r="V978" s="586" t="s">
        <v>539</v>
      </c>
      <c r="W978" s="587" t="s">
        <v>1274</v>
      </c>
      <c r="X978" s="586" t="s">
        <v>1337</v>
      </c>
      <c r="Y978" s="586" t="s">
        <v>1367</v>
      </c>
      <c r="Z978" s="587" t="s">
        <v>2062</v>
      </c>
      <c r="AA978" s="588">
        <v>1579</v>
      </c>
      <c r="AB978" s="586"/>
    </row>
    <row r="979" spans="1:28" hidden="1">
      <c r="A979" s="566" t="s">
        <v>1335</v>
      </c>
      <c r="B979" s="566" t="s">
        <v>466</v>
      </c>
      <c r="C979" s="566" t="s">
        <v>471</v>
      </c>
      <c r="D979" s="566" t="s">
        <v>472</v>
      </c>
      <c r="E979" s="566" t="s">
        <v>473</v>
      </c>
      <c r="F979" s="566" t="s">
        <v>474</v>
      </c>
      <c r="G979" s="567">
        <v>0</v>
      </c>
      <c r="H979" s="566" t="s">
        <v>484</v>
      </c>
      <c r="I979" s="568">
        <v>2</v>
      </c>
      <c r="J979" s="569">
        <v>82</v>
      </c>
      <c r="K979" s="569">
        <v>82</v>
      </c>
      <c r="L979" s="566"/>
      <c r="M979" s="566" t="s">
        <v>476</v>
      </c>
      <c r="N979" s="570">
        <v>1615</v>
      </c>
      <c r="O979" s="566"/>
      <c r="P979" s="566" t="s">
        <v>477</v>
      </c>
      <c r="Q979" s="568">
        <v>909678</v>
      </c>
      <c r="R979" s="568">
        <v>41</v>
      </c>
      <c r="S979" s="566" t="s">
        <v>1369</v>
      </c>
      <c r="T979" s="586" t="s">
        <v>779</v>
      </c>
      <c r="U979" s="586" t="s">
        <v>468</v>
      </c>
      <c r="V979" s="586" t="s">
        <v>539</v>
      </c>
      <c r="W979" s="587" t="s">
        <v>1275</v>
      </c>
      <c r="X979" s="586" t="s">
        <v>1337</v>
      </c>
      <c r="Y979" s="586" t="s">
        <v>1367</v>
      </c>
      <c r="Z979" s="587" t="s">
        <v>2063</v>
      </c>
      <c r="AA979" s="588">
        <v>1615</v>
      </c>
      <c r="AB979" s="586"/>
    </row>
    <row r="980" spans="1:28" hidden="1">
      <c r="A980" s="566" t="s">
        <v>1335</v>
      </c>
      <c r="B980" s="566" t="s">
        <v>466</v>
      </c>
      <c r="C980" s="566" t="s">
        <v>487</v>
      </c>
      <c r="D980" s="566" t="s">
        <v>472</v>
      </c>
      <c r="E980" s="566" t="s">
        <v>473</v>
      </c>
      <c r="F980" s="566" t="s">
        <v>489</v>
      </c>
      <c r="G980" s="567">
        <v>50</v>
      </c>
      <c r="H980" s="566" t="s">
        <v>503</v>
      </c>
      <c r="I980" s="568">
        <v>2</v>
      </c>
      <c r="J980" s="569">
        <v>82</v>
      </c>
      <c r="K980" s="569">
        <v>82</v>
      </c>
      <c r="L980" s="566"/>
      <c r="M980" s="566" t="s">
        <v>476</v>
      </c>
      <c r="N980" s="570">
        <v>1651</v>
      </c>
      <c r="O980" s="566"/>
      <c r="P980" s="566" t="s">
        <v>477</v>
      </c>
      <c r="Q980" s="568">
        <v>909678</v>
      </c>
      <c r="R980" s="568">
        <v>43</v>
      </c>
      <c r="S980" s="566" t="s">
        <v>1371</v>
      </c>
      <c r="T980" s="586" t="s">
        <v>779</v>
      </c>
      <c r="U980" s="586" t="s">
        <v>468</v>
      </c>
      <c r="V980" s="586" t="s">
        <v>539</v>
      </c>
      <c r="W980" s="587" t="s">
        <v>1276</v>
      </c>
      <c r="X980" s="586" t="s">
        <v>1337</v>
      </c>
      <c r="Y980" s="586" t="s">
        <v>1367</v>
      </c>
      <c r="Z980" s="587" t="s">
        <v>2064</v>
      </c>
      <c r="AA980" s="588">
        <v>1651</v>
      </c>
      <c r="AB980" s="586"/>
    </row>
    <row r="981" spans="1:28" hidden="1">
      <c r="A981" s="566" t="s">
        <v>1335</v>
      </c>
      <c r="B981" s="566" t="s">
        <v>466</v>
      </c>
      <c r="C981" s="566" t="s">
        <v>487</v>
      </c>
      <c r="D981" s="566" t="s">
        <v>472</v>
      </c>
      <c r="E981" s="566" t="s">
        <v>473</v>
      </c>
      <c r="F981" s="566" t="s">
        <v>489</v>
      </c>
      <c r="G981" s="567">
        <v>50</v>
      </c>
      <c r="H981" s="566" t="s">
        <v>508</v>
      </c>
      <c r="I981" s="568">
        <v>2</v>
      </c>
      <c r="J981" s="569">
        <v>82</v>
      </c>
      <c r="K981" s="569">
        <v>82</v>
      </c>
      <c r="L981" s="566"/>
      <c r="M981" s="566" t="s">
        <v>476</v>
      </c>
      <c r="N981" s="570">
        <v>1687</v>
      </c>
      <c r="O981" s="566"/>
      <c r="P981" s="566" t="s">
        <v>477</v>
      </c>
      <c r="Q981" s="568">
        <v>909678</v>
      </c>
      <c r="R981" s="568">
        <v>44</v>
      </c>
      <c r="S981" s="566" t="s">
        <v>1373</v>
      </c>
      <c r="T981" s="586" t="s">
        <v>779</v>
      </c>
      <c r="U981" s="586" t="s">
        <v>468</v>
      </c>
      <c r="V981" s="586" t="s">
        <v>539</v>
      </c>
      <c r="W981" s="587" t="s">
        <v>1277</v>
      </c>
      <c r="X981" s="586" t="s">
        <v>1337</v>
      </c>
      <c r="Y981" s="586" t="s">
        <v>1367</v>
      </c>
      <c r="Z981" s="587" t="s">
        <v>2065</v>
      </c>
      <c r="AA981" s="588">
        <v>1687</v>
      </c>
      <c r="AB981" s="586"/>
    </row>
    <row r="982" spans="1:28" hidden="1">
      <c r="A982" s="566" t="s">
        <v>1335</v>
      </c>
      <c r="B982" s="566" t="s">
        <v>466</v>
      </c>
      <c r="C982" s="566" t="s">
        <v>471</v>
      </c>
      <c r="D982" s="566" t="s">
        <v>472</v>
      </c>
      <c r="E982" s="566" t="s">
        <v>473</v>
      </c>
      <c r="F982" s="566" t="s">
        <v>474</v>
      </c>
      <c r="G982" s="567">
        <v>0</v>
      </c>
      <c r="H982" s="566" t="s">
        <v>1755</v>
      </c>
      <c r="I982" s="568">
        <v>2</v>
      </c>
      <c r="J982" s="569">
        <v>82</v>
      </c>
      <c r="K982" s="569">
        <v>82</v>
      </c>
      <c r="L982" s="566"/>
      <c r="M982" s="566" t="s">
        <v>476</v>
      </c>
      <c r="N982" s="570">
        <v>1723</v>
      </c>
      <c r="O982" s="566"/>
      <c r="P982" s="566" t="s">
        <v>477</v>
      </c>
      <c r="Q982" s="568">
        <v>909678</v>
      </c>
      <c r="R982" s="568">
        <v>42</v>
      </c>
      <c r="S982" s="566" t="s">
        <v>1375</v>
      </c>
      <c r="T982" s="586" t="s">
        <v>779</v>
      </c>
      <c r="U982" s="586" t="s">
        <v>468</v>
      </c>
      <c r="V982" s="586" t="s">
        <v>539</v>
      </c>
      <c r="W982" s="587" t="s">
        <v>1354</v>
      </c>
      <c r="X982" s="586" t="s">
        <v>1337</v>
      </c>
      <c r="Y982" s="586" t="s">
        <v>1367</v>
      </c>
      <c r="Z982" s="587" t="s">
        <v>2066</v>
      </c>
      <c r="AA982" s="588">
        <v>1723</v>
      </c>
      <c r="AB982" s="586"/>
    </row>
    <row r="983" spans="1:28" hidden="1">
      <c r="A983" s="566" t="s">
        <v>1335</v>
      </c>
      <c r="B983" s="566" t="s">
        <v>466</v>
      </c>
      <c r="C983" s="566" t="s">
        <v>487</v>
      </c>
      <c r="D983" s="566" t="s">
        <v>472</v>
      </c>
      <c r="E983" s="566" t="s">
        <v>473</v>
      </c>
      <c r="F983" s="566" t="s">
        <v>489</v>
      </c>
      <c r="G983" s="567">
        <v>50</v>
      </c>
      <c r="H983" s="566" t="s">
        <v>1757</v>
      </c>
      <c r="I983" s="568">
        <v>2</v>
      </c>
      <c r="J983" s="569">
        <v>82</v>
      </c>
      <c r="K983" s="569">
        <v>82</v>
      </c>
      <c r="L983" s="566"/>
      <c r="M983" s="566" t="s">
        <v>476</v>
      </c>
      <c r="N983" s="570">
        <v>1759</v>
      </c>
      <c r="O983" s="566"/>
      <c r="P983" s="566" t="s">
        <v>477</v>
      </c>
      <c r="Q983" s="568">
        <v>909678</v>
      </c>
      <c r="R983" s="568">
        <v>45</v>
      </c>
      <c r="S983" s="566" t="s">
        <v>1377</v>
      </c>
      <c r="T983" s="586" t="s">
        <v>779</v>
      </c>
      <c r="U983" s="586" t="s">
        <v>468</v>
      </c>
      <c r="V983" s="586" t="s">
        <v>539</v>
      </c>
      <c r="W983" s="587" t="s">
        <v>1358</v>
      </c>
      <c r="X983" s="586" t="s">
        <v>1337</v>
      </c>
      <c r="Y983" s="586" t="s">
        <v>1367</v>
      </c>
      <c r="Z983" s="587" t="s">
        <v>2067</v>
      </c>
      <c r="AA983" s="588">
        <v>1759</v>
      </c>
      <c r="AB983" s="586"/>
    </row>
    <row r="984" spans="1:28" hidden="1">
      <c r="A984" s="566" t="s">
        <v>1335</v>
      </c>
      <c r="B984" s="566" t="s">
        <v>466</v>
      </c>
      <c r="C984" s="566" t="s">
        <v>471</v>
      </c>
      <c r="D984" s="566" t="s">
        <v>472</v>
      </c>
      <c r="E984" s="566" t="s">
        <v>473</v>
      </c>
      <c r="F984" s="566" t="s">
        <v>474</v>
      </c>
      <c r="G984" s="567">
        <v>0</v>
      </c>
      <c r="H984" s="566" t="s">
        <v>479</v>
      </c>
      <c r="I984" s="568">
        <v>2</v>
      </c>
      <c r="J984" s="569">
        <v>10</v>
      </c>
      <c r="K984" s="569">
        <v>10</v>
      </c>
      <c r="L984" s="566"/>
      <c r="M984" s="566" t="s">
        <v>476</v>
      </c>
      <c r="N984" s="570">
        <v>499</v>
      </c>
      <c r="O984" s="566"/>
      <c r="P984" s="566" t="s">
        <v>477</v>
      </c>
      <c r="Q984" s="568">
        <v>909678</v>
      </c>
      <c r="R984" s="568">
        <v>10</v>
      </c>
      <c r="S984" s="566" t="s">
        <v>1382</v>
      </c>
      <c r="T984" s="586" t="s">
        <v>779</v>
      </c>
      <c r="U984" s="586" t="s">
        <v>468</v>
      </c>
      <c r="V984" s="586" t="s">
        <v>539</v>
      </c>
      <c r="W984" s="587" t="s">
        <v>1274</v>
      </c>
      <c r="X984" s="586" t="s">
        <v>1380</v>
      </c>
      <c r="Y984" s="586" t="s">
        <v>1338</v>
      </c>
      <c r="Z984" s="587" t="s">
        <v>810</v>
      </c>
      <c r="AA984" s="588">
        <v>499</v>
      </c>
      <c r="AB984" s="586"/>
    </row>
    <row r="985" spans="1:28" hidden="1">
      <c r="A985" s="566" t="s">
        <v>1335</v>
      </c>
      <c r="B985" s="566" t="s">
        <v>466</v>
      </c>
      <c r="C985" s="566" t="s">
        <v>471</v>
      </c>
      <c r="D985" s="566" t="s">
        <v>472</v>
      </c>
      <c r="E985" s="566" t="s">
        <v>473</v>
      </c>
      <c r="F985" s="566" t="s">
        <v>474</v>
      </c>
      <c r="G985" s="567">
        <v>0</v>
      </c>
      <c r="H985" s="566" t="s">
        <v>484</v>
      </c>
      <c r="I985" s="568">
        <v>2</v>
      </c>
      <c r="J985" s="569">
        <v>10</v>
      </c>
      <c r="K985" s="569">
        <v>10</v>
      </c>
      <c r="L985" s="566"/>
      <c r="M985" s="566" t="s">
        <v>476</v>
      </c>
      <c r="N985" s="570">
        <v>571</v>
      </c>
      <c r="O985" s="566"/>
      <c r="P985" s="566" t="s">
        <v>477</v>
      </c>
      <c r="Q985" s="568">
        <v>909678</v>
      </c>
      <c r="R985" s="568">
        <v>15</v>
      </c>
      <c r="S985" s="566" t="s">
        <v>483</v>
      </c>
      <c r="T985" s="586" t="s">
        <v>779</v>
      </c>
      <c r="U985" s="586" t="s">
        <v>468</v>
      </c>
      <c r="V985" s="586" t="s">
        <v>539</v>
      </c>
      <c r="W985" s="587" t="s">
        <v>1275</v>
      </c>
      <c r="X985" s="586" t="s">
        <v>1380</v>
      </c>
      <c r="Y985" s="586" t="s">
        <v>1338</v>
      </c>
      <c r="Z985" s="587" t="s">
        <v>811</v>
      </c>
      <c r="AA985" s="588">
        <v>571</v>
      </c>
      <c r="AB985" s="586"/>
    </row>
    <row r="986" spans="1:28" hidden="1">
      <c r="A986" s="566" t="s">
        <v>1335</v>
      </c>
      <c r="B986" s="566" t="s">
        <v>466</v>
      </c>
      <c r="C986" s="566" t="s">
        <v>487</v>
      </c>
      <c r="D986" s="566" t="s">
        <v>472</v>
      </c>
      <c r="E986" s="566" t="s">
        <v>473</v>
      </c>
      <c r="F986" s="566" t="s">
        <v>489</v>
      </c>
      <c r="G986" s="567">
        <v>50</v>
      </c>
      <c r="H986" s="566" t="s">
        <v>490</v>
      </c>
      <c r="I986" s="568">
        <v>2</v>
      </c>
      <c r="J986" s="569">
        <v>10</v>
      </c>
      <c r="K986" s="569">
        <v>10</v>
      </c>
      <c r="L986" s="566"/>
      <c r="M986" s="566" t="s">
        <v>476</v>
      </c>
      <c r="N986" s="570">
        <v>607</v>
      </c>
      <c r="O986" s="566"/>
      <c r="P986" s="566" t="s">
        <v>477</v>
      </c>
      <c r="Q986" s="568">
        <v>909678</v>
      </c>
      <c r="R986" s="568">
        <v>16</v>
      </c>
      <c r="S986" s="566" t="s">
        <v>488</v>
      </c>
      <c r="T986" s="586" t="s">
        <v>779</v>
      </c>
      <c r="U986" s="586" t="s">
        <v>468</v>
      </c>
      <c r="V986" s="586" t="s">
        <v>539</v>
      </c>
      <c r="W986" s="587" t="s">
        <v>485</v>
      </c>
      <c r="X986" s="586" t="s">
        <v>1380</v>
      </c>
      <c r="Y986" s="586" t="s">
        <v>1338</v>
      </c>
      <c r="Z986" s="587" t="s">
        <v>812</v>
      </c>
      <c r="AA986" s="588">
        <v>607</v>
      </c>
      <c r="AB986" s="586"/>
    </row>
    <row r="987" spans="1:28" hidden="1">
      <c r="A987" s="566" t="s">
        <v>1335</v>
      </c>
      <c r="B987" s="566" t="s">
        <v>466</v>
      </c>
      <c r="C987" s="566" t="s">
        <v>487</v>
      </c>
      <c r="D987" s="566" t="s">
        <v>472</v>
      </c>
      <c r="E987" s="566" t="s">
        <v>473</v>
      </c>
      <c r="F987" s="566" t="s">
        <v>489</v>
      </c>
      <c r="G987" s="567">
        <v>50</v>
      </c>
      <c r="H987" s="566" t="s">
        <v>494</v>
      </c>
      <c r="I987" s="568">
        <v>2</v>
      </c>
      <c r="J987" s="569">
        <v>10</v>
      </c>
      <c r="K987" s="569">
        <v>10</v>
      </c>
      <c r="L987" s="566"/>
      <c r="M987" s="566" t="s">
        <v>476</v>
      </c>
      <c r="N987" s="570">
        <v>643</v>
      </c>
      <c r="O987" s="566"/>
      <c r="P987" s="566" t="s">
        <v>477</v>
      </c>
      <c r="Q987" s="568">
        <v>909678</v>
      </c>
      <c r="R987" s="568">
        <v>17</v>
      </c>
      <c r="S987" s="566" t="s">
        <v>493</v>
      </c>
      <c r="T987" s="586" t="s">
        <v>779</v>
      </c>
      <c r="U987" s="586" t="s">
        <v>468</v>
      </c>
      <c r="V987" s="586" t="s">
        <v>539</v>
      </c>
      <c r="W987" s="587" t="s">
        <v>491</v>
      </c>
      <c r="X987" s="586" t="s">
        <v>1380</v>
      </c>
      <c r="Y987" s="586" t="s">
        <v>1338</v>
      </c>
      <c r="Z987" s="587" t="s">
        <v>813</v>
      </c>
      <c r="AA987" s="588">
        <v>643</v>
      </c>
      <c r="AB987" s="586"/>
    </row>
    <row r="988" spans="1:28" hidden="1">
      <c r="A988" s="566" t="s">
        <v>1335</v>
      </c>
      <c r="B988" s="566" t="s">
        <v>466</v>
      </c>
      <c r="C988" s="566" t="s">
        <v>487</v>
      </c>
      <c r="D988" s="566" t="s">
        <v>472</v>
      </c>
      <c r="E988" s="566" t="s">
        <v>473</v>
      </c>
      <c r="F988" s="566" t="s">
        <v>489</v>
      </c>
      <c r="G988" s="567">
        <v>50</v>
      </c>
      <c r="H988" s="566" t="s">
        <v>498</v>
      </c>
      <c r="I988" s="568">
        <v>2</v>
      </c>
      <c r="J988" s="569">
        <v>10</v>
      </c>
      <c r="K988" s="569">
        <v>10</v>
      </c>
      <c r="L988" s="566"/>
      <c r="M988" s="566" t="s">
        <v>476</v>
      </c>
      <c r="N988" s="570">
        <v>679</v>
      </c>
      <c r="O988" s="566"/>
      <c r="P988" s="566" t="s">
        <v>477</v>
      </c>
      <c r="Q988" s="568">
        <v>909678</v>
      </c>
      <c r="R988" s="568">
        <v>18</v>
      </c>
      <c r="S988" s="566" t="s">
        <v>497</v>
      </c>
      <c r="T988" s="586" t="s">
        <v>779</v>
      </c>
      <c r="U988" s="586" t="s">
        <v>468</v>
      </c>
      <c r="V988" s="586" t="s">
        <v>539</v>
      </c>
      <c r="W988" s="587" t="s">
        <v>495</v>
      </c>
      <c r="X988" s="586" t="s">
        <v>1380</v>
      </c>
      <c r="Y988" s="586" t="s">
        <v>1338</v>
      </c>
      <c r="Z988" s="587" t="s">
        <v>814</v>
      </c>
      <c r="AA988" s="588">
        <v>679</v>
      </c>
      <c r="AB988" s="586"/>
    </row>
    <row r="989" spans="1:28" hidden="1">
      <c r="A989" s="566" t="s">
        <v>1335</v>
      </c>
      <c r="B989" s="566" t="s">
        <v>466</v>
      </c>
      <c r="C989" s="566" t="s">
        <v>487</v>
      </c>
      <c r="D989" s="566" t="s">
        <v>472</v>
      </c>
      <c r="E989" s="566" t="s">
        <v>473</v>
      </c>
      <c r="F989" s="566" t="s">
        <v>489</v>
      </c>
      <c r="G989" s="567">
        <v>50</v>
      </c>
      <c r="H989" s="566" t="s">
        <v>503</v>
      </c>
      <c r="I989" s="568">
        <v>2</v>
      </c>
      <c r="J989" s="569">
        <v>10</v>
      </c>
      <c r="K989" s="569">
        <v>10</v>
      </c>
      <c r="L989" s="566"/>
      <c r="M989" s="566" t="s">
        <v>476</v>
      </c>
      <c r="N989" s="570">
        <v>751</v>
      </c>
      <c r="O989" s="566"/>
      <c r="P989" s="566" t="s">
        <v>477</v>
      </c>
      <c r="Q989" s="568">
        <v>909678</v>
      </c>
      <c r="R989" s="568">
        <v>19</v>
      </c>
      <c r="S989" s="566" t="s">
        <v>502</v>
      </c>
      <c r="T989" s="586" t="s">
        <v>779</v>
      </c>
      <c r="U989" s="586" t="s">
        <v>468</v>
      </c>
      <c r="V989" s="586" t="s">
        <v>539</v>
      </c>
      <c r="W989" s="587" t="s">
        <v>1276</v>
      </c>
      <c r="X989" s="586" t="s">
        <v>1380</v>
      </c>
      <c r="Y989" s="586" t="s">
        <v>1338</v>
      </c>
      <c r="Z989" s="587" t="s">
        <v>815</v>
      </c>
      <c r="AA989" s="588">
        <v>751</v>
      </c>
      <c r="AB989" s="586"/>
    </row>
    <row r="990" spans="1:28" hidden="1">
      <c r="A990" s="566" t="s">
        <v>1335</v>
      </c>
      <c r="B990" s="566" t="s">
        <v>466</v>
      </c>
      <c r="C990" s="566" t="s">
        <v>487</v>
      </c>
      <c r="D990" s="566" t="s">
        <v>472</v>
      </c>
      <c r="E990" s="566" t="s">
        <v>473</v>
      </c>
      <c r="F990" s="566" t="s">
        <v>489</v>
      </c>
      <c r="G990" s="567">
        <v>50</v>
      </c>
      <c r="H990" s="566" t="s">
        <v>508</v>
      </c>
      <c r="I990" s="568">
        <v>2</v>
      </c>
      <c r="J990" s="569">
        <v>10</v>
      </c>
      <c r="K990" s="569">
        <v>10</v>
      </c>
      <c r="L990" s="566"/>
      <c r="M990" s="566" t="s">
        <v>476</v>
      </c>
      <c r="N990" s="570">
        <v>823</v>
      </c>
      <c r="O990" s="566"/>
      <c r="P990" s="566" t="s">
        <v>477</v>
      </c>
      <c r="Q990" s="568">
        <v>909678</v>
      </c>
      <c r="R990" s="568">
        <v>21</v>
      </c>
      <c r="S990" s="566" t="s">
        <v>507</v>
      </c>
      <c r="T990" s="586" t="s">
        <v>779</v>
      </c>
      <c r="U990" s="586" t="s">
        <v>468</v>
      </c>
      <c r="V990" s="586" t="s">
        <v>539</v>
      </c>
      <c r="W990" s="587" t="s">
        <v>1277</v>
      </c>
      <c r="X990" s="586" t="s">
        <v>1380</v>
      </c>
      <c r="Y990" s="586" t="s">
        <v>1338</v>
      </c>
      <c r="Z990" s="587" t="s">
        <v>816</v>
      </c>
      <c r="AA990" s="588">
        <v>823</v>
      </c>
      <c r="AB990" s="586"/>
    </row>
    <row r="991" spans="1:28" hidden="1">
      <c r="A991" s="566" t="s">
        <v>1335</v>
      </c>
      <c r="B991" s="566" t="s">
        <v>466</v>
      </c>
      <c r="C991" s="566" t="s">
        <v>471</v>
      </c>
      <c r="D991" s="566" t="s">
        <v>472</v>
      </c>
      <c r="E991" s="566" t="s">
        <v>473</v>
      </c>
      <c r="F991" s="566" t="s">
        <v>474</v>
      </c>
      <c r="G991" s="567">
        <v>0</v>
      </c>
      <c r="H991" s="566" t="s">
        <v>1755</v>
      </c>
      <c r="I991" s="568">
        <v>2</v>
      </c>
      <c r="J991" s="569">
        <v>10</v>
      </c>
      <c r="K991" s="569">
        <v>10</v>
      </c>
      <c r="L991" s="566"/>
      <c r="M991" s="566" t="s">
        <v>476</v>
      </c>
      <c r="N991" s="570">
        <v>859</v>
      </c>
      <c r="O991" s="566"/>
      <c r="P991" s="566" t="s">
        <v>477</v>
      </c>
      <c r="Q991" s="568">
        <v>909678</v>
      </c>
      <c r="R991" s="568">
        <v>46</v>
      </c>
      <c r="S991" s="566" t="s">
        <v>1383</v>
      </c>
      <c r="T991" s="586" t="s">
        <v>779</v>
      </c>
      <c r="U991" s="586" t="s">
        <v>468</v>
      </c>
      <c r="V991" s="586" t="s">
        <v>539</v>
      </c>
      <c r="W991" s="587" t="s">
        <v>1354</v>
      </c>
      <c r="X991" s="586" t="s">
        <v>1380</v>
      </c>
      <c r="Y991" s="586" t="s">
        <v>1338</v>
      </c>
      <c r="Z991" s="587" t="s">
        <v>2068</v>
      </c>
      <c r="AA991" s="588">
        <v>859</v>
      </c>
      <c r="AB991" s="586"/>
    </row>
    <row r="992" spans="1:28" hidden="1">
      <c r="A992" s="566" t="s">
        <v>1335</v>
      </c>
      <c r="B992" s="566" t="s">
        <v>466</v>
      </c>
      <c r="C992" s="566" t="s">
        <v>487</v>
      </c>
      <c r="D992" s="566" t="s">
        <v>472</v>
      </c>
      <c r="E992" s="566" t="s">
        <v>473</v>
      </c>
      <c r="F992" s="566" t="s">
        <v>489</v>
      </c>
      <c r="G992" s="567">
        <v>50</v>
      </c>
      <c r="H992" s="566" t="s">
        <v>1757</v>
      </c>
      <c r="I992" s="568">
        <v>2</v>
      </c>
      <c r="J992" s="569">
        <v>10</v>
      </c>
      <c r="K992" s="569">
        <v>10</v>
      </c>
      <c r="L992" s="566"/>
      <c r="M992" s="566" t="s">
        <v>476</v>
      </c>
      <c r="N992" s="570">
        <v>895</v>
      </c>
      <c r="O992" s="566"/>
      <c r="P992" s="566" t="s">
        <v>477</v>
      </c>
      <c r="Q992" s="568">
        <v>909678</v>
      </c>
      <c r="R992" s="568">
        <v>47</v>
      </c>
      <c r="S992" s="566" t="s">
        <v>1385</v>
      </c>
      <c r="T992" s="586" t="s">
        <v>779</v>
      </c>
      <c r="U992" s="586" t="s">
        <v>468</v>
      </c>
      <c r="V992" s="586" t="s">
        <v>539</v>
      </c>
      <c r="W992" s="587" t="s">
        <v>1358</v>
      </c>
      <c r="X992" s="586" t="s">
        <v>1380</v>
      </c>
      <c r="Y992" s="586" t="s">
        <v>1338</v>
      </c>
      <c r="Z992" s="587" t="s">
        <v>2069</v>
      </c>
      <c r="AA992" s="588">
        <v>895</v>
      </c>
      <c r="AB992" s="586"/>
    </row>
    <row r="993" spans="1:28" hidden="1">
      <c r="A993" s="566" t="s">
        <v>1335</v>
      </c>
      <c r="B993" s="566" t="s">
        <v>466</v>
      </c>
      <c r="C993" s="566" t="s">
        <v>471</v>
      </c>
      <c r="D993" s="566" t="s">
        <v>472</v>
      </c>
      <c r="E993" s="566" t="s">
        <v>473</v>
      </c>
      <c r="F993" s="566" t="s">
        <v>474</v>
      </c>
      <c r="G993" s="567">
        <v>0</v>
      </c>
      <c r="H993" s="566" t="s">
        <v>511</v>
      </c>
      <c r="I993" s="568">
        <v>2</v>
      </c>
      <c r="J993" s="569">
        <v>10</v>
      </c>
      <c r="K993" s="569">
        <v>10</v>
      </c>
      <c r="L993" s="566"/>
      <c r="M993" s="566" t="s">
        <v>476</v>
      </c>
      <c r="N993" s="570">
        <v>355</v>
      </c>
      <c r="O993" s="566"/>
      <c r="P993" s="566" t="s">
        <v>477</v>
      </c>
      <c r="Q993" s="568">
        <v>909678</v>
      </c>
      <c r="R993" s="568">
        <v>5</v>
      </c>
      <c r="S993" s="566" t="s">
        <v>1392</v>
      </c>
      <c r="T993" s="586" t="s">
        <v>779</v>
      </c>
      <c r="U993" s="586" t="s">
        <v>468</v>
      </c>
      <c r="V993" s="586" t="s">
        <v>539</v>
      </c>
      <c r="W993" s="587" t="s">
        <v>509</v>
      </c>
      <c r="X993" s="586" t="s">
        <v>1380</v>
      </c>
      <c r="Y993" s="586" t="s">
        <v>1338</v>
      </c>
      <c r="Z993" s="587" t="s">
        <v>817</v>
      </c>
      <c r="AA993" s="588">
        <v>355</v>
      </c>
      <c r="AB993" s="586"/>
    </row>
    <row r="994" spans="1:28" hidden="1">
      <c r="A994" s="566" t="s">
        <v>1335</v>
      </c>
      <c r="B994" s="566" t="s">
        <v>466</v>
      </c>
      <c r="C994" s="566" t="s">
        <v>471</v>
      </c>
      <c r="D994" s="566" t="s">
        <v>472</v>
      </c>
      <c r="E994" s="566" t="s">
        <v>473</v>
      </c>
      <c r="F994" s="566" t="s">
        <v>474</v>
      </c>
      <c r="G994" s="567">
        <v>0</v>
      </c>
      <c r="H994" s="566" t="s">
        <v>213</v>
      </c>
      <c r="I994" s="568">
        <v>2</v>
      </c>
      <c r="J994" s="569">
        <v>10</v>
      </c>
      <c r="K994" s="569">
        <v>10</v>
      </c>
      <c r="L994" s="566"/>
      <c r="M994" s="566" t="s">
        <v>476</v>
      </c>
      <c r="N994" s="570">
        <v>391</v>
      </c>
      <c r="O994" s="566"/>
      <c r="P994" s="566" t="s">
        <v>477</v>
      </c>
      <c r="Q994" s="568">
        <v>909678</v>
      </c>
      <c r="R994" s="568">
        <v>6</v>
      </c>
      <c r="S994" s="566" t="s">
        <v>1393</v>
      </c>
      <c r="T994" s="586" t="s">
        <v>779</v>
      </c>
      <c r="U994" s="586" t="s">
        <v>468</v>
      </c>
      <c r="V994" s="586" t="s">
        <v>539</v>
      </c>
      <c r="W994" s="587" t="s">
        <v>512</v>
      </c>
      <c r="X994" s="586" t="s">
        <v>1380</v>
      </c>
      <c r="Y994" s="586" t="s">
        <v>1338</v>
      </c>
      <c r="Z994" s="587" t="s">
        <v>818</v>
      </c>
      <c r="AA994" s="588">
        <v>391</v>
      </c>
      <c r="AB994" s="586"/>
    </row>
    <row r="995" spans="1:28" hidden="1">
      <c r="A995" s="566" t="s">
        <v>1335</v>
      </c>
      <c r="B995" s="566" t="s">
        <v>466</v>
      </c>
      <c r="C995" s="566" t="s">
        <v>471</v>
      </c>
      <c r="D995" s="566" t="s">
        <v>472</v>
      </c>
      <c r="E995" s="566" t="s">
        <v>473</v>
      </c>
      <c r="F995" s="566" t="s">
        <v>474</v>
      </c>
      <c r="G995" s="567">
        <v>0</v>
      </c>
      <c r="H995" s="566" t="s">
        <v>516</v>
      </c>
      <c r="I995" s="568">
        <v>2</v>
      </c>
      <c r="J995" s="569">
        <v>10</v>
      </c>
      <c r="K995" s="569">
        <v>10</v>
      </c>
      <c r="L995" s="566"/>
      <c r="M995" s="566" t="s">
        <v>476</v>
      </c>
      <c r="N995" s="570">
        <v>427</v>
      </c>
      <c r="O995" s="566"/>
      <c r="P995" s="566" t="s">
        <v>477</v>
      </c>
      <c r="Q995" s="568">
        <v>909678</v>
      </c>
      <c r="R995" s="568">
        <v>14</v>
      </c>
      <c r="S995" s="566" t="s">
        <v>1394</v>
      </c>
      <c r="T995" s="586" t="s">
        <v>779</v>
      </c>
      <c r="U995" s="586" t="s">
        <v>468</v>
      </c>
      <c r="V995" s="586" t="s">
        <v>539</v>
      </c>
      <c r="W995" s="587" t="s">
        <v>514</v>
      </c>
      <c r="X995" s="586" t="s">
        <v>1380</v>
      </c>
      <c r="Y995" s="586" t="s">
        <v>1338</v>
      </c>
      <c r="Z995" s="587" t="s">
        <v>819</v>
      </c>
      <c r="AA995" s="588">
        <v>427</v>
      </c>
      <c r="AB995" s="586"/>
    </row>
    <row r="996" spans="1:28" hidden="1">
      <c r="A996" s="566" t="s">
        <v>1335</v>
      </c>
      <c r="B996" s="566" t="s">
        <v>466</v>
      </c>
      <c r="C996" s="566" t="s">
        <v>471</v>
      </c>
      <c r="D996" s="566" t="s">
        <v>472</v>
      </c>
      <c r="E996" s="566" t="s">
        <v>473</v>
      </c>
      <c r="F996" s="566" t="s">
        <v>474</v>
      </c>
      <c r="G996" s="567">
        <v>0</v>
      </c>
      <c r="H996" s="566" t="s">
        <v>479</v>
      </c>
      <c r="I996" s="568">
        <v>2</v>
      </c>
      <c r="J996" s="569">
        <v>34</v>
      </c>
      <c r="K996" s="569">
        <v>34</v>
      </c>
      <c r="L996" s="566"/>
      <c r="M996" s="566" t="s">
        <v>476</v>
      </c>
      <c r="N996" s="570">
        <v>1363</v>
      </c>
      <c r="O996" s="566"/>
      <c r="P996" s="566" t="s">
        <v>477</v>
      </c>
      <c r="Q996" s="568">
        <v>909678</v>
      </c>
      <c r="R996" s="568">
        <v>34</v>
      </c>
      <c r="S996" s="566" t="s">
        <v>1395</v>
      </c>
      <c r="T996" s="586" t="s">
        <v>779</v>
      </c>
      <c r="U996" s="586" t="s">
        <v>468</v>
      </c>
      <c r="V996" s="586" t="s">
        <v>539</v>
      </c>
      <c r="W996" s="587" t="s">
        <v>1274</v>
      </c>
      <c r="X996" s="586" t="s">
        <v>1380</v>
      </c>
      <c r="Y996" s="586" t="s">
        <v>1367</v>
      </c>
      <c r="Z996" s="587" t="s">
        <v>2070</v>
      </c>
      <c r="AA996" s="588">
        <v>1363</v>
      </c>
      <c r="AB996" s="586"/>
    </row>
    <row r="997" spans="1:28" hidden="1">
      <c r="A997" s="566" t="s">
        <v>1335</v>
      </c>
      <c r="B997" s="566" t="s">
        <v>466</v>
      </c>
      <c r="C997" s="566" t="s">
        <v>471</v>
      </c>
      <c r="D997" s="566" t="s">
        <v>472</v>
      </c>
      <c r="E997" s="566" t="s">
        <v>473</v>
      </c>
      <c r="F997" s="566" t="s">
        <v>474</v>
      </c>
      <c r="G997" s="567">
        <v>0</v>
      </c>
      <c r="H997" s="566" t="s">
        <v>484</v>
      </c>
      <c r="I997" s="568">
        <v>2</v>
      </c>
      <c r="J997" s="569">
        <v>34</v>
      </c>
      <c r="K997" s="569">
        <v>34</v>
      </c>
      <c r="L997" s="566"/>
      <c r="M997" s="566" t="s">
        <v>476</v>
      </c>
      <c r="N997" s="570">
        <v>1399</v>
      </c>
      <c r="O997" s="566"/>
      <c r="P997" s="566" t="s">
        <v>477</v>
      </c>
      <c r="Q997" s="568">
        <v>909678</v>
      </c>
      <c r="R997" s="568">
        <v>35</v>
      </c>
      <c r="S997" s="566" t="s">
        <v>1397</v>
      </c>
      <c r="T997" s="586" t="s">
        <v>779</v>
      </c>
      <c r="U997" s="586" t="s">
        <v>468</v>
      </c>
      <c r="V997" s="586" t="s">
        <v>539</v>
      </c>
      <c r="W997" s="587" t="s">
        <v>1275</v>
      </c>
      <c r="X997" s="586" t="s">
        <v>1380</v>
      </c>
      <c r="Y997" s="586" t="s">
        <v>1367</v>
      </c>
      <c r="Z997" s="587" t="s">
        <v>2071</v>
      </c>
      <c r="AA997" s="588">
        <v>1399</v>
      </c>
      <c r="AB997" s="586"/>
    </row>
    <row r="998" spans="1:28" hidden="1">
      <c r="A998" s="566" t="s">
        <v>1335</v>
      </c>
      <c r="B998" s="566" t="s">
        <v>466</v>
      </c>
      <c r="C998" s="566" t="s">
        <v>487</v>
      </c>
      <c r="D998" s="566" t="s">
        <v>472</v>
      </c>
      <c r="E998" s="566" t="s">
        <v>473</v>
      </c>
      <c r="F998" s="566" t="s">
        <v>489</v>
      </c>
      <c r="G998" s="567">
        <v>50</v>
      </c>
      <c r="H998" s="566" t="s">
        <v>503</v>
      </c>
      <c r="I998" s="568">
        <v>2</v>
      </c>
      <c r="J998" s="569">
        <v>34</v>
      </c>
      <c r="K998" s="569">
        <v>34</v>
      </c>
      <c r="L998" s="566"/>
      <c r="M998" s="566" t="s">
        <v>476</v>
      </c>
      <c r="N998" s="570">
        <v>1435</v>
      </c>
      <c r="O998" s="566"/>
      <c r="P998" s="566" t="s">
        <v>477</v>
      </c>
      <c r="Q998" s="568">
        <v>909678</v>
      </c>
      <c r="R998" s="568">
        <v>37</v>
      </c>
      <c r="S998" s="566" t="s">
        <v>1399</v>
      </c>
      <c r="T998" s="586" t="s">
        <v>779</v>
      </c>
      <c r="U998" s="586" t="s">
        <v>468</v>
      </c>
      <c r="V998" s="586" t="s">
        <v>539</v>
      </c>
      <c r="W998" s="587" t="s">
        <v>1276</v>
      </c>
      <c r="X998" s="586" t="s">
        <v>1380</v>
      </c>
      <c r="Y998" s="586" t="s">
        <v>1367</v>
      </c>
      <c r="Z998" s="587" t="s">
        <v>2072</v>
      </c>
      <c r="AA998" s="588">
        <v>1435</v>
      </c>
      <c r="AB998" s="586"/>
    </row>
    <row r="999" spans="1:28" hidden="1">
      <c r="A999" s="566" t="s">
        <v>1335</v>
      </c>
      <c r="B999" s="566" t="s">
        <v>466</v>
      </c>
      <c r="C999" s="566" t="s">
        <v>487</v>
      </c>
      <c r="D999" s="566" t="s">
        <v>472</v>
      </c>
      <c r="E999" s="566" t="s">
        <v>473</v>
      </c>
      <c r="F999" s="566" t="s">
        <v>489</v>
      </c>
      <c r="G999" s="567">
        <v>50</v>
      </c>
      <c r="H999" s="566" t="s">
        <v>508</v>
      </c>
      <c r="I999" s="568">
        <v>2</v>
      </c>
      <c r="J999" s="569">
        <v>34</v>
      </c>
      <c r="K999" s="569">
        <v>34</v>
      </c>
      <c r="L999" s="566"/>
      <c r="M999" s="566" t="s">
        <v>476</v>
      </c>
      <c r="N999" s="570">
        <v>1471</v>
      </c>
      <c r="O999" s="566"/>
      <c r="P999" s="566" t="s">
        <v>477</v>
      </c>
      <c r="Q999" s="568">
        <v>909678</v>
      </c>
      <c r="R999" s="568">
        <v>38</v>
      </c>
      <c r="S999" s="566" t="s">
        <v>1401</v>
      </c>
      <c r="T999" s="586" t="s">
        <v>779</v>
      </c>
      <c r="U999" s="586" t="s">
        <v>468</v>
      </c>
      <c r="V999" s="586" t="s">
        <v>539</v>
      </c>
      <c r="W999" s="587" t="s">
        <v>1277</v>
      </c>
      <c r="X999" s="586" t="s">
        <v>1380</v>
      </c>
      <c r="Y999" s="586" t="s">
        <v>1367</v>
      </c>
      <c r="Z999" s="587" t="s">
        <v>2073</v>
      </c>
      <c r="AA999" s="588">
        <v>1471</v>
      </c>
      <c r="AB999" s="586"/>
    </row>
    <row r="1000" spans="1:28" hidden="1">
      <c r="A1000" s="566" t="s">
        <v>1335</v>
      </c>
      <c r="B1000" s="566" t="s">
        <v>466</v>
      </c>
      <c r="C1000" s="566" t="s">
        <v>471</v>
      </c>
      <c r="D1000" s="566" t="s">
        <v>472</v>
      </c>
      <c r="E1000" s="566" t="s">
        <v>473</v>
      </c>
      <c r="F1000" s="566" t="s">
        <v>474</v>
      </c>
      <c r="G1000" s="567">
        <v>0</v>
      </c>
      <c r="H1000" s="566" t="s">
        <v>1755</v>
      </c>
      <c r="I1000" s="568">
        <v>2</v>
      </c>
      <c r="J1000" s="569">
        <v>34</v>
      </c>
      <c r="K1000" s="569">
        <v>34</v>
      </c>
      <c r="L1000" s="566"/>
      <c r="M1000" s="566" t="s">
        <v>476</v>
      </c>
      <c r="N1000" s="570">
        <v>1507</v>
      </c>
      <c r="O1000" s="566"/>
      <c r="P1000" s="566" t="s">
        <v>477</v>
      </c>
      <c r="Q1000" s="568">
        <v>909678</v>
      </c>
      <c r="R1000" s="568">
        <v>36</v>
      </c>
      <c r="S1000" s="566" t="s">
        <v>1403</v>
      </c>
      <c r="T1000" s="586" t="s">
        <v>779</v>
      </c>
      <c r="U1000" s="586" t="s">
        <v>468</v>
      </c>
      <c r="V1000" s="586" t="s">
        <v>539</v>
      </c>
      <c r="W1000" s="587" t="s">
        <v>1354</v>
      </c>
      <c r="X1000" s="586" t="s">
        <v>1380</v>
      </c>
      <c r="Y1000" s="586" t="s">
        <v>1367</v>
      </c>
      <c r="Z1000" s="587" t="s">
        <v>2074</v>
      </c>
      <c r="AA1000" s="588">
        <v>1507</v>
      </c>
      <c r="AB1000" s="586"/>
    </row>
    <row r="1001" spans="1:28" hidden="1">
      <c r="A1001" s="566" t="s">
        <v>1335</v>
      </c>
      <c r="B1001" s="566" t="s">
        <v>466</v>
      </c>
      <c r="C1001" s="566" t="s">
        <v>487</v>
      </c>
      <c r="D1001" s="566" t="s">
        <v>472</v>
      </c>
      <c r="E1001" s="566" t="s">
        <v>473</v>
      </c>
      <c r="F1001" s="566" t="s">
        <v>489</v>
      </c>
      <c r="G1001" s="567">
        <v>50</v>
      </c>
      <c r="H1001" s="566" t="s">
        <v>1757</v>
      </c>
      <c r="I1001" s="568">
        <v>2</v>
      </c>
      <c r="J1001" s="569">
        <v>34</v>
      </c>
      <c r="K1001" s="569">
        <v>34</v>
      </c>
      <c r="L1001" s="566"/>
      <c r="M1001" s="566" t="s">
        <v>476</v>
      </c>
      <c r="N1001" s="570">
        <v>1543</v>
      </c>
      <c r="O1001" s="566"/>
      <c r="P1001" s="566" t="s">
        <v>477</v>
      </c>
      <c r="Q1001" s="568">
        <v>909678</v>
      </c>
      <c r="R1001" s="568">
        <v>39</v>
      </c>
      <c r="S1001" s="566" t="s">
        <v>1405</v>
      </c>
      <c r="T1001" s="586" t="s">
        <v>779</v>
      </c>
      <c r="U1001" s="586" t="s">
        <v>468</v>
      </c>
      <c r="V1001" s="586" t="s">
        <v>539</v>
      </c>
      <c r="W1001" s="587" t="s">
        <v>1358</v>
      </c>
      <c r="X1001" s="586" t="s">
        <v>1380</v>
      </c>
      <c r="Y1001" s="586" t="s">
        <v>1367</v>
      </c>
      <c r="Z1001" s="587" t="s">
        <v>2075</v>
      </c>
      <c r="AA1001" s="588">
        <v>1543</v>
      </c>
      <c r="AB1001" s="586"/>
    </row>
    <row r="1002" spans="1:28" hidden="1">
      <c r="A1002" s="566" t="s">
        <v>1335</v>
      </c>
      <c r="B1002" s="566" t="s">
        <v>466</v>
      </c>
      <c r="C1002" s="566" t="s">
        <v>471</v>
      </c>
      <c r="D1002" s="566" t="s">
        <v>472</v>
      </c>
      <c r="E1002" s="566" t="s">
        <v>473</v>
      </c>
      <c r="F1002" s="566" t="s">
        <v>474</v>
      </c>
      <c r="G1002" s="567">
        <v>0</v>
      </c>
      <c r="H1002" s="566" t="s">
        <v>475</v>
      </c>
      <c r="I1002" s="568">
        <v>2</v>
      </c>
      <c r="J1002" s="569">
        <v>10</v>
      </c>
      <c r="K1002" s="569">
        <v>10</v>
      </c>
      <c r="L1002" s="566"/>
      <c r="M1002" s="566" t="s">
        <v>476</v>
      </c>
      <c r="N1002" s="570">
        <v>463</v>
      </c>
      <c r="O1002" s="566"/>
      <c r="P1002" s="566" t="s">
        <v>477</v>
      </c>
      <c r="Q1002" s="568">
        <v>909678</v>
      </c>
      <c r="R1002" s="568">
        <v>7</v>
      </c>
      <c r="S1002" s="566" t="s">
        <v>1407</v>
      </c>
      <c r="T1002" s="586" t="s">
        <v>1442</v>
      </c>
      <c r="U1002" s="586" t="s">
        <v>468</v>
      </c>
      <c r="V1002" s="586" t="s">
        <v>539</v>
      </c>
      <c r="W1002" s="587" t="s">
        <v>470</v>
      </c>
      <c r="X1002" s="586" t="s">
        <v>1380</v>
      </c>
      <c r="Y1002" s="586" t="s">
        <v>1338</v>
      </c>
      <c r="Z1002" s="587" t="s">
        <v>2076</v>
      </c>
      <c r="AA1002" s="588">
        <v>463</v>
      </c>
      <c r="AB1002" s="586"/>
    </row>
    <row r="1003" spans="1:28" hidden="1">
      <c r="A1003" s="566" t="s">
        <v>1335</v>
      </c>
      <c r="B1003" s="566" t="s">
        <v>466</v>
      </c>
      <c r="C1003" s="566" t="s">
        <v>471</v>
      </c>
      <c r="D1003" s="566" t="s">
        <v>472</v>
      </c>
      <c r="E1003" s="566" t="s">
        <v>473</v>
      </c>
      <c r="F1003" s="566" t="s">
        <v>474</v>
      </c>
      <c r="G1003" s="567">
        <v>0</v>
      </c>
      <c r="H1003" s="566" t="s">
        <v>481</v>
      </c>
      <c r="I1003" s="568">
        <v>2</v>
      </c>
      <c r="J1003" s="569">
        <v>10</v>
      </c>
      <c r="K1003" s="569">
        <v>10</v>
      </c>
      <c r="L1003" s="566"/>
      <c r="M1003" s="566" t="s">
        <v>476</v>
      </c>
      <c r="N1003" s="570">
        <v>535</v>
      </c>
      <c r="O1003" s="566"/>
      <c r="P1003" s="566" t="s">
        <v>477</v>
      </c>
      <c r="Q1003" s="568">
        <v>909678</v>
      </c>
      <c r="R1003" s="568">
        <v>8</v>
      </c>
      <c r="S1003" s="566" t="s">
        <v>1410</v>
      </c>
      <c r="T1003" s="586" t="s">
        <v>1442</v>
      </c>
      <c r="U1003" s="586" t="s">
        <v>468</v>
      </c>
      <c r="V1003" s="586" t="s">
        <v>539</v>
      </c>
      <c r="W1003" s="587" t="s">
        <v>480</v>
      </c>
      <c r="X1003" s="586" t="s">
        <v>1380</v>
      </c>
      <c r="Y1003" s="586" t="s">
        <v>1338</v>
      </c>
      <c r="Z1003" s="587" t="s">
        <v>2077</v>
      </c>
      <c r="AA1003" s="588">
        <v>535</v>
      </c>
      <c r="AB1003" s="586"/>
    </row>
    <row r="1004" spans="1:28" hidden="1">
      <c r="A1004" s="566" t="s">
        <v>1335</v>
      </c>
      <c r="B1004" s="566" t="s">
        <v>466</v>
      </c>
      <c r="C1004" s="566" t="s">
        <v>487</v>
      </c>
      <c r="D1004" s="566" t="s">
        <v>472</v>
      </c>
      <c r="E1004" s="566" t="s">
        <v>473</v>
      </c>
      <c r="F1004" s="566" t="s">
        <v>489</v>
      </c>
      <c r="G1004" s="567">
        <v>50</v>
      </c>
      <c r="H1004" s="566" t="s">
        <v>500</v>
      </c>
      <c r="I1004" s="568">
        <v>2</v>
      </c>
      <c r="J1004" s="569">
        <v>10</v>
      </c>
      <c r="K1004" s="569">
        <v>10</v>
      </c>
      <c r="L1004" s="566"/>
      <c r="M1004" s="566" t="s">
        <v>476</v>
      </c>
      <c r="N1004" s="570">
        <v>715</v>
      </c>
      <c r="O1004" s="566"/>
      <c r="P1004" s="566" t="s">
        <v>477</v>
      </c>
      <c r="Q1004" s="568">
        <v>909678</v>
      </c>
      <c r="R1004" s="568">
        <v>11</v>
      </c>
      <c r="S1004" s="566" t="s">
        <v>1412</v>
      </c>
      <c r="T1004" s="586" t="s">
        <v>1442</v>
      </c>
      <c r="U1004" s="586" t="s">
        <v>468</v>
      </c>
      <c r="V1004" s="586" t="s">
        <v>539</v>
      </c>
      <c r="W1004" s="587" t="s">
        <v>499</v>
      </c>
      <c r="X1004" s="586" t="s">
        <v>1380</v>
      </c>
      <c r="Y1004" s="586" t="s">
        <v>1338</v>
      </c>
      <c r="Z1004" s="587" t="s">
        <v>2078</v>
      </c>
      <c r="AA1004" s="588">
        <v>715</v>
      </c>
      <c r="AB1004" s="586"/>
    </row>
    <row r="1005" spans="1:28" hidden="1">
      <c r="A1005" s="566" t="s">
        <v>1335</v>
      </c>
      <c r="B1005" s="566" t="s">
        <v>466</v>
      </c>
      <c r="C1005" s="566" t="s">
        <v>487</v>
      </c>
      <c r="D1005" s="566" t="s">
        <v>472</v>
      </c>
      <c r="E1005" s="566" t="s">
        <v>473</v>
      </c>
      <c r="F1005" s="566" t="s">
        <v>489</v>
      </c>
      <c r="G1005" s="567">
        <v>50</v>
      </c>
      <c r="H1005" s="566" t="s">
        <v>505</v>
      </c>
      <c r="I1005" s="568">
        <v>2</v>
      </c>
      <c r="J1005" s="569">
        <v>10</v>
      </c>
      <c r="K1005" s="569">
        <v>10</v>
      </c>
      <c r="L1005" s="566"/>
      <c r="M1005" s="566" t="s">
        <v>476</v>
      </c>
      <c r="N1005" s="570">
        <v>787</v>
      </c>
      <c r="O1005" s="566"/>
      <c r="P1005" s="566" t="s">
        <v>477</v>
      </c>
      <c r="Q1005" s="568">
        <v>909678</v>
      </c>
      <c r="R1005" s="568">
        <v>20</v>
      </c>
      <c r="S1005" s="566" t="s">
        <v>1414</v>
      </c>
      <c r="T1005" s="586" t="s">
        <v>1442</v>
      </c>
      <c r="U1005" s="586" t="s">
        <v>468</v>
      </c>
      <c r="V1005" s="586" t="s">
        <v>539</v>
      </c>
      <c r="W1005" s="587" t="s">
        <v>504</v>
      </c>
      <c r="X1005" s="586" t="s">
        <v>1380</v>
      </c>
      <c r="Y1005" s="586" t="s">
        <v>1338</v>
      </c>
      <c r="Z1005" s="587" t="s">
        <v>2079</v>
      </c>
      <c r="AA1005" s="588">
        <v>787</v>
      </c>
      <c r="AB1005" s="586"/>
    </row>
    <row r="1006" spans="1:28" hidden="1">
      <c r="A1006" s="566" t="s">
        <v>1335</v>
      </c>
      <c r="B1006" s="566" t="s">
        <v>466</v>
      </c>
      <c r="C1006" s="566" t="s">
        <v>471</v>
      </c>
      <c r="D1006" s="566" t="s">
        <v>472</v>
      </c>
      <c r="E1006" s="566" t="s">
        <v>473</v>
      </c>
      <c r="F1006" s="566" t="s">
        <v>474</v>
      </c>
      <c r="G1006" s="567">
        <v>0</v>
      </c>
      <c r="H1006" s="566" t="s">
        <v>479</v>
      </c>
      <c r="I1006" s="568">
        <v>2</v>
      </c>
      <c r="J1006" s="569">
        <v>59</v>
      </c>
      <c r="K1006" s="569">
        <v>59</v>
      </c>
      <c r="L1006" s="566"/>
      <c r="M1006" s="566" t="s">
        <v>476</v>
      </c>
      <c r="N1006" s="570">
        <v>1040</v>
      </c>
      <c r="O1006" s="566"/>
      <c r="P1006" s="566" t="s">
        <v>477</v>
      </c>
      <c r="Q1006" s="568">
        <v>909678</v>
      </c>
      <c r="R1006" s="568">
        <v>25</v>
      </c>
      <c r="S1006" s="566" t="s">
        <v>1336</v>
      </c>
      <c r="T1006" s="586" t="s">
        <v>253</v>
      </c>
      <c r="U1006" s="586" t="s">
        <v>468</v>
      </c>
      <c r="V1006" s="586" t="s">
        <v>539</v>
      </c>
      <c r="W1006" s="587" t="s">
        <v>1274</v>
      </c>
      <c r="X1006" s="586" t="s">
        <v>1337</v>
      </c>
      <c r="Y1006" s="586" t="s">
        <v>1338</v>
      </c>
      <c r="Z1006" s="587" t="s">
        <v>2080</v>
      </c>
      <c r="AA1006" s="588">
        <v>1040</v>
      </c>
      <c r="AB1006" s="586"/>
    </row>
    <row r="1007" spans="1:28" hidden="1">
      <c r="A1007" s="566" t="s">
        <v>1335</v>
      </c>
      <c r="B1007" s="566" t="s">
        <v>466</v>
      </c>
      <c r="C1007" s="566" t="s">
        <v>471</v>
      </c>
      <c r="D1007" s="566" t="s">
        <v>472</v>
      </c>
      <c r="E1007" s="566" t="s">
        <v>473</v>
      </c>
      <c r="F1007" s="566" t="s">
        <v>474</v>
      </c>
      <c r="G1007" s="567">
        <v>0</v>
      </c>
      <c r="H1007" s="566" t="s">
        <v>484</v>
      </c>
      <c r="I1007" s="568">
        <v>2</v>
      </c>
      <c r="J1007" s="569">
        <v>59</v>
      </c>
      <c r="K1007" s="569">
        <v>59</v>
      </c>
      <c r="L1007" s="566"/>
      <c r="M1007" s="566" t="s">
        <v>476</v>
      </c>
      <c r="N1007" s="570">
        <v>1076</v>
      </c>
      <c r="O1007" s="566"/>
      <c r="P1007" s="566" t="s">
        <v>477</v>
      </c>
      <c r="Q1007" s="568">
        <v>909678</v>
      </c>
      <c r="R1007" s="568">
        <v>26</v>
      </c>
      <c r="S1007" s="566" t="s">
        <v>1340</v>
      </c>
      <c r="T1007" s="586" t="s">
        <v>253</v>
      </c>
      <c r="U1007" s="586" t="s">
        <v>468</v>
      </c>
      <c r="V1007" s="586" t="s">
        <v>539</v>
      </c>
      <c r="W1007" s="587" t="s">
        <v>1275</v>
      </c>
      <c r="X1007" s="586" t="s">
        <v>1337</v>
      </c>
      <c r="Y1007" s="586" t="s">
        <v>1338</v>
      </c>
      <c r="Z1007" s="587" t="s">
        <v>2081</v>
      </c>
      <c r="AA1007" s="588">
        <v>1076</v>
      </c>
      <c r="AB1007" s="586"/>
    </row>
    <row r="1008" spans="1:28" hidden="1">
      <c r="A1008" s="566" t="s">
        <v>1335</v>
      </c>
      <c r="B1008" s="566" t="s">
        <v>466</v>
      </c>
      <c r="C1008" s="566" t="s">
        <v>487</v>
      </c>
      <c r="D1008" s="566" t="s">
        <v>472</v>
      </c>
      <c r="E1008" s="566" t="s">
        <v>473</v>
      </c>
      <c r="F1008" s="566" t="s">
        <v>489</v>
      </c>
      <c r="G1008" s="567">
        <v>50</v>
      </c>
      <c r="H1008" s="566" t="s">
        <v>490</v>
      </c>
      <c r="I1008" s="568">
        <v>2</v>
      </c>
      <c r="J1008" s="569">
        <v>59</v>
      </c>
      <c r="K1008" s="569">
        <v>59</v>
      </c>
      <c r="L1008" s="566"/>
      <c r="M1008" s="566" t="s">
        <v>476</v>
      </c>
      <c r="N1008" s="570">
        <v>1112</v>
      </c>
      <c r="O1008" s="566"/>
      <c r="P1008" s="566" t="s">
        <v>477</v>
      </c>
      <c r="Q1008" s="568">
        <v>909678</v>
      </c>
      <c r="R1008" s="568">
        <v>28</v>
      </c>
      <c r="S1008" s="566" t="s">
        <v>1342</v>
      </c>
      <c r="T1008" s="586" t="s">
        <v>253</v>
      </c>
      <c r="U1008" s="586" t="s">
        <v>468</v>
      </c>
      <c r="V1008" s="586" t="s">
        <v>539</v>
      </c>
      <c r="W1008" s="587" t="s">
        <v>485</v>
      </c>
      <c r="X1008" s="586" t="s">
        <v>1337</v>
      </c>
      <c r="Y1008" s="586" t="s">
        <v>1338</v>
      </c>
      <c r="Z1008" s="587" t="s">
        <v>2082</v>
      </c>
      <c r="AA1008" s="588">
        <v>1112</v>
      </c>
      <c r="AB1008" s="586"/>
    </row>
    <row r="1009" spans="1:28" hidden="1">
      <c r="A1009" s="566" t="s">
        <v>1335</v>
      </c>
      <c r="B1009" s="566" t="s">
        <v>466</v>
      </c>
      <c r="C1009" s="566" t="s">
        <v>487</v>
      </c>
      <c r="D1009" s="566" t="s">
        <v>472</v>
      </c>
      <c r="E1009" s="566" t="s">
        <v>473</v>
      </c>
      <c r="F1009" s="566" t="s">
        <v>489</v>
      </c>
      <c r="G1009" s="567">
        <v>50</v>
      </c>
      <c r="H1009" s="566" t="s">
        <v>494</v>
      </c>
      <c r="I1009" s="568">
        <v>2</v>
      </c>
      <c r="J1009" s="569">
        <v>59</v>
      </c>
      <c r="K1009" s="569">
        <v>59</v>
      </c>
      <c r="L1009" s="566"/>
      <c r="M1009" s="566" t="s">
        <v>476</v>
      </c>
      <c r="N1009" s="570">
        <v>1148</v>
      </c>
      <c r="O1009" s="566"/>
      <c r="P1009" s="566" t="s">
        <v>477</v>
      </c>
      <c r="Q1009" s="568">
        <v>909678</v>
      </c>
      <c r="R1009" s="568">
        <v>29</v>
      </c>
      <c r="S1009" s="566" t="s">
        <v>1344</v>
      </c>
      <c r="T1009" s="586" t="s">
        <v>253</v>
      </c>
      <c r="U1009" s="586" t="s">
        <v>468</v>
      </c>
      <c r="V1009" s="586" t="s">
        <v>539</v>
      </c>
      <c r="W1009" s="587" t="s">
        <v>491</v>
      </c>
      <c r="X1009" s="586" t="s">
        <v>1337</v>
      </c>
      <c r="Y1009" s="586" t="s">
        <v>1338</v>
      </c>
      <c r="Z1009" s="587" t="s">
        <v>2083</v>
      </c>
      <c r="AA1009" s="588">
        <v>1148</v>
      </c>
      <c r="AB1009" s="586"/>
    </row>
    <row r="1010" spans="1:28" hidden="1">
      <c r="A1010" s="566" t="s">
        <v>1335</v>
      </c>
      <c r="B1010" s="566" t="s">
        <v>466</v>
      </c>
      <c r="C1010" s="566" t="s">
        <v>487</v>
      </c>
      <c r="D1010" s="566" t="s">
        <v>472</v>
      </c>
      <c r="E1010" s="566" t="s">
        <v>473</v>
      </c>
      <c r="F1010" s="566" t="s">
        <v>489</v>
      </c>
      <c r="G1010" s="567">
        <v>50</v>
      </c>
      <c r="H1010" s="566" t="s">
        <v>498</v>
      </c>
      <c r="I1010" s="568">
        <v>2</v>
      </c>
      <c r="J1010" s="569">
        <v>59</v>
      </c>
      <c r="K1010" s="569">
        <v>59</v>
      </c>
      <c r="L1010" s="566"/>
      <c r="M1010" s="566" t="s">
        <v>476</v>
      </c>
      <c r="N1010" s="570">
        <v>1184</v>
      </c>
      <c r="O1010" s="566"/>
      <c r="P1010" s="566" t="s">
        <v>477</v>
      </c>
      <c r="Q1010" s="568">
        <v>909678</v>
      </c>
      <c r="R1010" s="568">
        <v>30</v>
      </c>
      <c r="S1010" s="566" t="s">
        <v>1346</v>
      </c>
      <c r="T1010" s="586" t="s">
        <v>253</v>
      </c>
      <c r="U1010" s="586" t="s">
        <v>468</v>
      </c>
      <c r="V1010" s="586" t="s">
        <v>539</v>
      </c>
      <c r="W1010" s="587" t="s">
        <v>495</v>
      </c>
      <c r="X1010" s="586" t="s">
        <v>1337</v>
      </c>
      <c r="Y1010" s="586" t="s">
        <v>1338</v>
      </c>
      <c r="Z1010" s="587" t="s">
        <v>2084</v>
      </c>
      <c r="AA1010" s="588">
        <v>1184</v>
      </c>
      <c r="AB1010" s="586"/>
    </row>
    <row r="1011" spans="1:28" hidden="1">
      <c r="A1011" s="566" t="s">
        <v>1335</v>
      </c>
      <c r="B1011" s="566" t="s">
        <v>466</v>
      </c>
      <c r="C1011" s="566" t="s">
        <v>487</v>
      </c>
      <c r="D1011" s="566" t="s">
        <v>472</v>
      </c>
      <c r="E1011" s="566" t="s">
        <v>473</v>
      </c>
      <c r="F1011" s="566" t="s">
        <v>489</v>
      </c>
      <c r="G1011" s="567">
        <v>50</v>
      </c>
      <c r="H1011" s="566" t="s">
        <v>503</v>
      </c>
      <c r="I1011" s="568">
        <v>2</v>
      </c>
      <c r="J1011" s="569">
        <v>59</v>
      </c>
      <c r="K1011" s="569">
        <v>59</v>
      </c>
      <c r="L1011" s="566"/>
      <c r="M1011" s="566" t="s">
        <v>476</v>
      </c>
      <c r="N1011" s="570">
        <v>1220</v>
      </c>
      <c r="O1011" s="566"/>
      <c r="P1011" s="566" t="s">
        <v>477</v>
      </c>
      <c r="Q1011" s="568">
        <v>909678</v>
      </c>
      <c r="R1011" s="568">
        <v>31</v>
      </c>
      <c r="S1011" s="566" t="s">
        <v>1348</v>
      </c>
      <c r="T1011" s="586" t="s">
        <v>253</v>
      </c>
      <c r="U1011" s="586" t="s">
        <v>468</v>
      </c>
      <c r="V1011" s="586" t="s">
        <v>539</v>
      </c>
      <c r="W1011" s="587" t="s">
        <v>1276</v>
      </c>
      <c r="X1011" s="586" t="s">
        <v>1337</v>
      </c>
      <c r="Y1011" s="586" t="s">
        <v>1338</v>
      </c>
      <c r="Z1011" s="587" t="s">
        <v>2085</v>
      </c>
      <c r="AA1011" s="588">
        <v>1220</v>
      </c>
      <c r="AB1011" s="586"/>
    </row>
    <row r="1012" spans="1:28" hidden="1">
      <c r="A1012" s="566" t="s">
        <v>1335</v>
      </c>
      <c r="B1012" s="566" t="s">
        <v>466</v>
      </c>
      <c r="C1012" s="566" t="s">
        <v>487</v>
      </c>
      <c r="D1012" s="566" t="s">
        <v>472</v>
      </c>
      <c r="E1012" s="566" t="s">
        <v>473</v>
      </c>
      <c r="F1012" s="566" t="s">
        <v>489</v>
      </c>
      <c r="G1012" s="567">
        <v>50</v>
      </c>
      <c r="H1012" s="566" t="s">
        <v>508</v>
      </c>
      <c r="I1012" s="568">
        <v>2</v>
      </c>
      <c r="J1012" s="569">
        <v>59</v>
      </c>
      <c r="K1012" s="569">
        <v>59</v>
      </c>
      <c r="L1012" s="566"/>
      <c r="M1012" s="566" t="s">
        <v>476</v>
      </c>
      <c r="N1012" s="570">
        <v>1256</v>
      </c>
      <c r="O1012" s="566"/>
      <c r="P1012" s="566" t="s">
        <v>477</v>
      </c>
      <c r="Q1012" s="568">
        <v>909678</v>
      </c>
      <c r="R1012" s="568">
        <v>32</v>
      </c>
      <c r="S1012" s="566" t="s">
        <v>1350</v>
      </c>
      <c r="T1012" s="586" t="s">
        <v>253</v>
      </c>
      <c r="U1012" s="586" t="s">
        <v>468</v>
      </c>
      <c r="V1012" s="586" t="s">
        <v>539</v>
      </c>
      <c r="W1012" s="587" t="s">
        <v>1277</v>
      </c>
      <c r="X1012" s="586" t="s">
        <v>1337</v>
      </c>
      <c r="Y1012" s="586" t="s">
        <v>1338</v>
      </c>
      <c r="Z1012" s="587" t="s">
        <v>2086</v>
      </c>
      <c r="AA1012" s="588">
        <v>1256</v>
      </c>
      <c r="AB1012" s="586"/>
    </row>
    <row r="1013" spans="1:28" hidden="1">
      <c r="A1013" s="566" t="s">
        <v>1335</v>
      </c>
      <c r="B1013" s="566" t="s">
        <v>466</v>
      </c>
      <c r="C1013" s="566" t="s">
        <v>471</v>
      </c>
      <c r="D1013" s="566" t="s">
        <v>472</v>
      </c>
      <c r="E1013" s="566" t="s">
        <v>473</v>
      </c>
      <c r="F1013" s="566" t="s">
        <v>474</v>
      </c>
      <c r="G1013" s="567">
        <v>0</v>
      </c>
      <c r="H1013" s="566" t="s">
        <v>1755</v>
      </c>
      <c r="I1013" s="568">
        <v>2</v>
      </c>
      <c r="J1013" s="569">
        <v>59</v>
      </c>
      <c r="K1013" s="569">
        <v>59</v>
      </c>
      <c r="L1013" s="566"/>
      <c r="M1013" s="566" t="s">
        <v>476</v>
      </c>
      <c r="N1013" s="570">
        <v>1292</v>
      </c>
      <c r="O1013" s="566"/>
      <c r="P1013" s="566" t="s">
        <v>477</v>
      </c>
      <c r="Q1013" s="568">
        <v>909678</v>
      </c>
      <c r="R1013" s="568">
        <v>27</v>
      </c>
      <c r="S1013" s="566" t="s">
        <v>1353</v>
      </c>
      <c r="T1013" s="586" t="s">
        <v>253</v>
      </c>
      <c r="U1013" s="586" t="s">
        <v>468</v>
      </c>
      <c r="V1013" s="586" t="s">
        <v>539</v>
      </c>
      <c r="W1013" s="587" t="s">
        <v>1354</v>
      </c>
      <c r="X1013" s="586" t="s">
        <v>1337</v>
      </c>
      <c r="Y1013" s="586" t="s">
        <v>1338</v>
      </c>
      <c r="Z1013" s="587" t="s">
        <v>2087</v>
      </c>
      <c r="AA1013" s="588">
        <v>1292</v>
      </c>
      <c r="AB1013" s="586"/>
    </row>
    <row r="1014" spans="1:28" hidden="1">
      <c r="A1014" s="566" t="s">
        <v>1335</v>
      </c>
      <c r="B1014" s="566" t="s">
        <v>466</v>
      </c>
      <c r="C1014" s="566" t="s">
        <v>487</v>
      </c>
      <c r="D1014" s="566" t="s">
        <v>472</v>
      </c>
      <c r="E1014" s="566" t="s">
        <v>473</v>
      </c>
      <c r="F1014" s="566" t="s">
        <v>489</v>
      </c>
      <c r="G1014" s="567">
        <v>50</v>
      </c>
      <c r="H1014" s="566" t="s">
        <v>1757</v>
      </c>
      <c r="I1014" s="568">
        <v>2</v>
      </c>
      <c r="J1014" s="569">
        <v>59</v>
      </c>
      <c r="K1014" s="569">
        <v>59</v>
      </c>
      <c r="L1014" s="566"/>
      <c r="M1014" s="566" t="s">
        <v>476</v>
      </c>
      <c r="N1014" s="570">
        <v>1328</v>
      </c>
      <c r="O1014" s="566"/>
      <c r="P1014" s="566" t="s">
        <v>477</v>
      </c>
      <c r="Q1014" s="568">
        <v>909678</v>
      </c>
      <c r="R1014" s="568">
        <v>33</v>
      </c>
      <c r="S1014" s="566" t="s">
        <v>1357</v>
      </c>
      <c r="T1014" s="586" t="s">
        <v>253</v>
      </c>
      <c r="U1014" s="586" t="s">
        <v>468</v>
      </c>
      <c r="V1014" s="586" t="s">
        <v>539</v>
      </c>
      <c r="W1014" s="587" t="s">
        <v>1358</v>
      </c>
      <c r="X1014" s="586" t="s">
        <v>1337</v>
      </c>
      <c r="Y1014" s="586" t="s">
        <v>1338</v>
      </c>
      <c r="Z1014" s="587" t="s">
        <v>2088</v>
      </c>
      <c r="AA1014" s="588">
        <v>1328</v>
      </c>
      <c r="AB1014" s="586"/>
    </row>
    <row r="1015" spans="1:28" hidden="1">
      <c r="A1015" s="566" t="s">
        <v>1335</v>
      </c>
      <c r="B1015" s="566" t="s">
        <v>466</v>
      </c>
      <c r="C1015" s="566" t="s">
        <v>471</v>
      </c>
      <c r="D1015" s="566" t="s">
        <v>472</v>
      </c>
      <c r="E1015" s="566" t="s">
        <v>473</v>
      </c>
      <c r="F1015" s="566" t="s">
        <v>474</v>
      </c>
      <c r="G1015" s="567">
        <v>0</v>
      </c>
      <c r="H1015" s="566" t="s">
        <v>511</v>
      </c>
      <c r="I1015" s="568">
        <v>2</v>
      </c>
      <c r="J1015" s="569">
        <v>59</v>
      </c>
      <c r="K1015" s="569">
        <v>59</v>
      </c>
      <c r="L1015" s="566"/>
      <c r="M1015" s="566" t="s">
        <v>476</v>
      </c>
      <c r="N1015" s="570">
        <v>932</v>
      </c>
      <c r="O1015" s="566"/>
      <c r="P1015" s="566" t="s">
        <v>477</v>
      </c>
      <c r="Q1015" s="568">
        <v>909678</v>
      </c>
      <c r="R1015" s="568">
        <v>22</v>
      </c>
      <c r="S1015" s="566" t="s">
        <v>1360</v>
      </c>
      <c r="T1015" s="586" t="s">
        <v>253</v>
      </c>
      <c r="U1015" s="586" t="s">
        <v>468</v>
      </c>
      <c r="V1015" s="586" t="s">
        <v>539</v>
      </c>
      <c r="W1015" s="587" t="s">
        <v>509</v>
      </c>
      <c r="X1015" s="586" t="s">
        <v>1337</v>
      </c>
      <c r="Y1015" s="586" t="s">
        <v>1338</v>
      </c>
      <c r="Z1015" s="587" t="s">
        <v>2089</v>
      </c>
      <c r="AA1015" s="588">
        <v>932</v>
      </c>
      <c r="AB1015" s="586"/>
    </row>
    <row r="1016" spans="1:28" hidden="1">
      <c r="A1016" s="566" t="s">
        <v>1335</v>
      </c>
      <c r="B1016" s="566" t="s">
        <v>466</v>
      </c>
      <c r="C1016" s="566" t="s">
        <v>471</v>
      </c>
      <c r="D1016" s="566" t="s">
        <v>472</v>
      </c>
      <c r="E1016" s="566" t="s">
        <v>473</v>
      </c>
      <c r="F1016" s="566" t="s">
        <v>474</v>
      </c>
      <c r="G1016" s="567">
        <v>0</v>
      </c>
      <c r="H1016" s="566" t="s">
        <v>213</v>
      </c>
      <c r="I1016" s="568">
        <v>2</v>
      </c>
      <c r="J1016" s="569">
        <v>59</v>
      </c>
      <c r="K1016" s="569">
        <v>59</v>
      </c>
      <c r="L1016" s="566"/>
      <c r="M1016" s="566" t="s">
        <v>476</v>
      </c>
      <c r="N1016" s="570">
        <v>968</v>
      </c>
      <c r="O1016" s="566"/>
      <c r="P1016" s="566" t="s">
        <v>477</v>
      </c>
      <c r="Q1016" s="568">
        <v>909678</v>
      </c>
      <c r="R1016" s="568">
        <v>23</v>
      </c>
      <c r="S1016" s="566" t="s">
        <v>1362</v>
      </c>
      <c r="T1016" s="586" t="s">
        <v>253</v>
      </c>
      <c r="U1016" s="586" t="s">
        <v>468</v>
      </c>
      <c r="V1016" s="586" t="s">
        <v>539</v>
      </c>
      <c r="W1016" s="587" t="s">
        <v>512</v>
      </c>
      <c r="X1016" s="586" t="s">
        <v>1337</v>
      </c>
      <c r="Y1016" s="586" t="s">
        <v>1338</v>
      </c>
      <c r="Z1016" s="587" t="s">
        <v>2090</v>
      </c>
      <c r="AA1016" s="588">
        <v>968</v>
      </c>
      <c r="AB1016" s="586"/>
    </row>
    <row r="1017" spans="1:28" hidden="1">
      <c r="A1017" s="566" t="s">
        <v>1335</v>
      </c>
      <c r="B1017" s="566" t="s">
        <v>466</v>
      </c>
      <c r="C1017" s="566" t="s">
        <v>471</v>
      </c>
      <c r="D1017" s="566" t="s">
        <v>472</v>
      </c>
      <c r="E1017" s="566" t="s">
        <v>473</v>
      </c>
      <c r="F1017" s="566" t="s">
        <v>474</v>
      </c>
      <c r="G1017" s="567">
        <v>0</v>
      </c>
      <c r="H1017" s="566" t="s">
        <v>516</v>
      </c>
      <c r="I1017" s="568">
        <v>2</v>
      </c>
      <c r="J1017" s="569">
        <v>59</v>
      </c>
      <c r="K1017" s="569">
        <v>59</v>
      </c>
      <c r="L1017" s="566"/>
      <c r="M1017" s="566" t="s">
        <v>476</v>
      </c>
      <c r="N1017" s="570">
        <v>1004</v>
      </c>
      <c r="O1017" s="566"/>
      <c r="P1017" s="566" t="s">
        <v>477</v>
      </c>
      <c r="Q1017" s="568">
        <v>909678</v>
      </c>
      <c r="R1017" s="568">
        <v>24</v>
      </c>
      <c r="S1017" s="566" t="s">
        <v>1364</v>
      </c>
      <c r="T1017" s="586" t="s">
        <v>253</v>
      </c>
      <c r="U1017" s="586" t="s">
        <v>468</v>
      </c>
      <c r="V1017" s="586" t="s">
        <v>539</v>
      </c>
      <c r="W1017" s="587" t="s">
        <v>514</v>
      </c>
      <c r="X1017" s="586" t="s">
        <v>1337</v>
      </c>
      <c r="Y1017" s="586" t="s">
        <v>1338</v>
      </c>
      <c r="Z1017" s="587" t="s">
        <v>2091</v>
      </c>
      <c r="AA1017" s="588">
        <v>1004</v>
      </c>
      <c r="AB1017" s="586"/>
    </row>
    <row r="1018" spans="1:28" hidden="1">
      <c r="A1018" s="566" t="s">
        <v>1335</v>
      </c>
      <c r="B1018" s="566" t="s">
        <v>466</v>
      </c>
      <c r="C1018" s="566" t="s">
        <v>471</v>
      </c>
      <c r="D1018" s="566" t="s">
        <v>472</v>
      </c>
      <c r="E1018" s="566" t="s">
        <v>473</v>
      </c>
      <c r="F1018" s="566" t="s">
        <v>474</v>
      </c>
      <c r="G1018" s="567">
        <v>0</v>
      </c>
      <c r="H1018" s="566" t="s">
        <v>479</v>
      </c>
      <c r="I1018" s="568">
        <v>2</v>
      </c>
      <c r="J1018" s="569">
        <v>83</v>
      </c>
      <c r="K1018" s="569">
        <v>83</v>
      </c>
      <c r="L1018" s="566"/>
      <c r="M1018" s="566" t="s">
        <v>476</v>
      </c>
      <c r="N1018" s="570">
        <v>1580</v>
      </c>
      <c r="O1018" s="566"/>
      <c r="P1018" s="566" t="s">
        <v>477</v>
      </c>
      <c r="Q1018" s="568">
        <v>909678</v>
      </c>
      <c r="R1018" s="568">
        <v>40</v>
      </c>
      <c r="S1018" s="566" t="s">
        <v>1366</v>
      </c>
      <c r="T1018" s="586" t="s">
        <v>253</v>
      </c>
      <c r="U1018" s="586" t="s">
        <v>468</v>
      </c>
      <c r="V1018" s="586" t="s">
        <v>539</v>
      </c>
      <c r="W1018" s="587" t="s">
        <v>1274</v>
      </c>
      <c r="X1018" s="586" t="s">
        <v>1337</v>
      </c>
      <c r="Y1018" s="586" t="s">
        <v>1367</v>
      </c>
      <c r="Z1018" s="587" t="s">
        <v>2092</v>
      </c>
      <c r="AA1018" s="588">
        <v>1580</v>
      </c>
      <c r="AB1018" s="586"/>
    </row>
    <row r="1019" spans="1:28" hidden="1">
      <c r="A1019" s="566" t="s">
        <v>1335</v>
      </c>
      <c r="B1019" s="566" t="s">
        <v>466</v>
      </c>
      <c r="C1019" s="566" t="s">
        <v>471</v>
      </c>
      <c r="D1019" s="566" t="s">
        <v>472</v>
      </c>
      <c r="E1019" s="566" t="s">
        <v>473</v>
      </c>
      <c r="F1019" s="566" t="s">
        <v>474</v>
      </c>
      <c r="G1019" s="567">
        <v>0</v>
      </c>
      <c r="H1019" s="566" t="s">
        <v>484</v>
      </c>
      <c r="I1019" s="568">
        <v>2</v>
      </c>
      <c r="J1019" s="569">
        <v>83</v>
      </c>
      <c r="K1019" s="569">
        <v>83</v>
      </c>
      <c r="L1019" s="566"/>
      <c r="M1019" s="566" t="s">
        <v>476</v>
      </c>
      <c r="N1019" s="570">
        <v>1616</v>
      </c>
      <c r="O1019" s="566"/>
      <c r="P1019" s="566" t="s">
        <v>477</v>
      </c>
      <c r="Q1019" s="568">
        <v>909678</v>
      </c>
      <c r="R1019" s="568">
        <v>41</v>
      </c>
      <c r="S1019" s="566" t="s">
        <v>1369</v>
      </c>
      <c r="T1019" s="586" t="s">
        <v>253</v>
      </c>
      <c r="U1019" s="586" t="s">
        <v>468</v>
      </c>
      <c r="V1019" s="586" t="s">
        <v>539</v>
      </c>
      <c r="W1019" s="587" t="s">
        <v>1275</v>
      </c>
      <c r="X1019" s="586" t="s">
        <v>1337</v>
      </c>
      <c r="Y1019" s="586" t="s">
        <v>1367</v>
      </c>
      <c r="Z1019" s="587" t="s">
        <v>2093</v>
      </c>
      <c r="AA1019" s="588">
        <v>1616</v>
      </c>
      <c r="AB1019" s="586"/>
    </row>
    <row r="1020" spans="1:28" hidden="1">
      <c r="A1020" s="566" t="s">
        <v>1335</v>
      </c>
      <c r="B1020" s="566" t="s">
        <v>466</v>
      </c>
      <c r="C1020" s="566" t="s">
        <v>487</v>
      </c>
      <c r="D1020" s="566" t="s">
        <v>472</v>
      </c>
      <c r="E1020" s="566" t="s">
        <v>473</v>
      </c>
      <c r="F1020" s="566" t="s">
        <v>489</v>
      </c>
      <c r="G1020" s="567">
        <v>50</v>
      </c>
      <c r="H1020" s="566" t="s">
        <v>503</v>
      </c>
      <c r="I1020" s="568">
        <v>2</v>
      </c>
      <c r="J1020" s="569">
        <v>83</v>
      </c>
      <c r="K1020" s="569">
        <v>83</v>
      </c>
      <c r="L1020" s="566"/>
      <c r="M1020" s="566" t="s">
        <v>476</v>
      </c>
      <c r="N1020" s="570">
        <v>1652</v>
      </c>
      <c r="O1020" s="566"/>
      <c r="P1020" s="566" t="s">
        <v>477</v>
      </c>
      <c r="Q1020" s="568">
        <v>909678</v>
      </c>
      <c r="R1020" s="568">
        <v>43</v>
      </c>
      <c r="S1020" s="566" t="s">
        <v>1371</v>
      </c>
      <c r="T1020" s="586" t="s">
        <v>253</v>
      </c>
      <c r="U1020" s="586" t="s">
        <v>468</v>
      </c>
      <c r="V1020" s="586" t="s">
        <v>539</v>
      </c>
      <c r="W1020" s="587" t="s">
        <v>1276</v>
      </c>
      <c r="X1020" s="586" t="s">
        <v>1337</v>
      </c>
      <c r="Y1020" s="586" t="s">
        <v>1367</v>
      </c>
      <c r="Z1020" s="587" t="s">
        <v>2094</v>
      </c>
      <c r="AA1020" s="588">
        <v>1652</v>
      </c>
      <c r="AB1020" s="586"/>
    </row>
    <row r="1021" spans="1:28" hidden="1">
      <c r="A1021" s="566" t="s">
        <v>1335</v>
      </c>
      <c r="B1021" s="566" t="s">
        <v>466</v>
      </c>
      <c r="C1021" s="566" t="s">
        <v>487</v>
      </c>
      <c r="D1021" s="566" t="s">
        <v>472</v>
      </c>
      <c r="E1021" s="566" t="s">
        <v>473</v>
      </c>
      <c r="F1021" s="566" t="s">
        <v>489</v>
      </c>
      <c r="G1021" s="567">
        <v>50</v>
      </c>
      <c r="H1021" s="566" t="s">
        <v>508</v>
      </c>
      <c r="I1021" s="568">
        <v>2</v>
      </c>
      <c r="J1021" s="569">
        <v>83</v>
      </c>
      <c r="K1021" s="569">
        <v>83</v>
      </c>
      <c r="L1021" s="566"/>
      <c r="M1021" s="566" t="s">
        <v>476</v>
      </c>
      <c r="N1021" s="570">
        <v>1688</v>
      </c>
      <c r="O1021" s="566"/>
      <c r="P1021" s="566" t="s">
        <v>477</v>
      </c>
      <c r="Q1021" s="568">
        <v>909678</v>
      </c>
      <c r="R1021" s="568">
        <v>44</v>
      </c>
      <c r="S1021" s="566" t="s">
        <v>1373</v>
      </c>
      <c r="T1021" s="586" t="s">
        <v>253</v>
      </c>
      <c r="U1021" s="586" t="s">
        <v>468</v>
      </c>
      <c r="V1021" s="586" t="s">
        <v>539</v>
      </c>
      <c r="W1021" s="587" t="s">
        <v>1277</v>
      </c>
      <c r="X1021" s="586" t="s">
        <v>1337</v>
      </c>
      <c r="Y1021" s="586" t="s">
        <v>1367</v>
      </c>
      <c r="Z1021" s="587" t="s">
        <v>2095</v>
      </c>
      <c r="AA1021" s="588">
        <v>1688</v>
      </c>
      <c r="AB1021" s="586"/>
    </row>
    <row r="1022" spans="1:28" hidden="1">
      <c r="A1022" s="566" t="s">
        <v>1335</v>
      </c>
      <c r="B1022" s="566" t="s">
        <v>466</v>
      </c>
      <c r="C1022" s="566" t="s">
        <v>471</v>
      </c>
      <c r="D1022" s="566" t="s">
        <v>472</v>
      </c>
      <c r="E1022" s="566" t="s">
        <v>473</v>
      </c>
      <c r="F1022" s="566" t="s">
        <v>474</v>
      </c>
      <c r="G1022" s="567">
        <v>0</v>
      </c>
      <c r="H1022" s="566" t="s">
        <v>1755</v>
      </c>
      <c r="I1022" s="568">
        <v>2</v>
      </c>
      <c r="J1022" s="569">
        <v>83</v>
      </c>
      <c r="K1022" s="569">
        <v>83</v>
      </c>
      <c r="L1022" s="566"/>
      <c r="M1022" s="566" t="s">
        <v>476</v>
      </c>
      <c r="N1022" s="570">
        <v>1724</v>
      </c>
      <c r="O1022" s="566"/>
      <c r="P1022" s="566" t="s">
        <v>477</v>
      </c>
      <c r="Q1022" s="568">
        <v>909678</v>
      </c>
      <c r="R1022" s="568">
        <v>42</v>
      </c>
      <c r="S1022" s="566" t="s">
        <v>1375</v>
      </c>
      <c r="T1022" s="586" t="s">
        <v>253</v>
      </c>
      <c r="U1022" s="586" t="s">
        <v>468</v>
      </c>
      <c r="V1022" s="586" t="s">
        <v>539</v>
      </c>
      <c r="W1022" s="587" t="s">
        <v>1354</v>
      </c>
      <c r="X1022" s="586" t="s">
        <v>1337</v>
      </c>
      <c r="Y1022" s="586" t="s">
        <v>1367</v>
      </c>
      <c r="Z1022" s="587" t="s">
        <v>2096</v>
      </c>
      <c r="AA1022" s="588">
        <v>1724</v>
      </c>
      <c r="AB1022" s="586"/>
    </row>
    <row r="1023" spans="1:28" hidden="1">
      <c r="A1023" s="566" t="s">
        <v>1335</v>
      </c>
      <c r="B1023" s="566" t="s">
        <v>466</v>
      </c>
      <c r="C1023" s="566" t="s">
        <v>487</v>
      </c>
      <c r="D1023" s="566" t="s">
        <v>472</v>
      </c>
      <c r="E1023" s="566" t="s">
        <v>473</v>
      </c>
      <c r="F1023" s="566" t="s">
        <v>489</v>
      </c>
      <c r="G1023" s="567">
        <v>50</v>
      </c>
      <c r="H1023" s="566" t="s">
        <v>1757</v>
      </c>
      <c r="I1023" s="568">
        <v>2</v>
      </c>
      <c r="J1023" s="569">
        <v>83</v>
      </c>
      <c r="K1023" s="569">
        <v>83</v>
      </c>
      <c r="L1023" s="566"/>
      <c r="M1023" s="566" t="s">
        <v>476</v>
      </c>
      <c r="N1023" s="570">
        <v>1760</v>
      </c>
      <c r="O1023" s="566"/>
      <c r="P1023" s="566" t="s">
        <v>477</v>
      </c>
      <c r="Q1023" s="568">
        <v>909678</v>
      </c>
      <c r="R1023" s="568">
        <v>45</v>
      </c>
      <c r="S1023" s="566" t="s">
        <v>1377</v>
      </c>
      <c r="T1023" s="586" t="s">
        <v>253</v>
      </c>
      <c r="U1023" s="586" t="s">
        <v>468</v>
      </c>
      <c r="V1023" s="586" t="s">
        <v>539</v>
      </c>
      <c r="W1023" s="587" t="s">
        <v>1358</v>
      </c>
      <c r="X1023" s="586" t="s">
        <v>1337</v>
      </c>
      <c r="Y1023" s="586" t="s">
        <v>1367</v>
      </c>
      <c r="Z1023" s="587" t="s">
        <v>2097</v>
      </c>
      <c r="AA1023" s="588">
        <v>1760</v>
      </c>
      <c r="AB1023" s="586"/>
    </row>
    <row r="1024" spans="1:28" hidden="1">
      <c r="A1024" s="566" t="s">
        <v>1335</v>
      </c>
      <c r="B1024" s="566" t="s">
        <v>466</v>
      </c>
      <c r="C1024" s="566" t="s">
        <v>471</v>
      </c>
      <c r="D1024" s="566" t="s">
        <v>472</v>
      </c>
      <c r="E1024" s="566" t="s">
        <v>473</v>
      </c>
      <c r="F1024" s="566" t="s">
        <v>474</v>
      </c>
      <c r="G1024" s="567">
        <v>0</v>
      </c>
      <c r="H1024" s="566" t="s">
        <v>479</v>
      </c>
      <c r="I1024" s="568">
        <v>2</v>
      </c>
      <c r="J1024" s="569">
        <v>11</v>
      </c>
      <c r="K1024" s="569">
        <v>11</v>
      </c>
      <c r="L1024" s="566"/>
      <c r="M1024" s="566" t="s">
        <v>476</v>
      </c>
      <c r="N1024" s="570">
        <v>500</v>
      </c>
      <c r="O1024" s="566"/>
      <c r="P1024" s="566" t="s">
        <v>477</v>
      </c>
      <c r="Q1024" s="568">
        <v>909678</v>
      </c>
      <c r="R1024" s="568">
        <v>10</v>
      </c>
      <c r="S1024" s="566" t="s">
        <v>1382</v>
      </c>
      <c r="T1024" s="586" t="s">
        <v>253</v>
      </c>
      <c r="U1024" s="586" t="s">
        <v>468</v>
      </c>
      <c r="V1024" s="586" t="s">
        <v>539</v>
      </c>
      <c r="W1024" s="587" t="s">
        <v>1274</v>
      </c>
      <c r="X1024" s="586" t="s">
        <v>1380</v>
      </c>
      <c r="Y1024" s="586" t="s">
        <v>1338</v>
      </c>
      <c r="Z1024" s="587" t="s">
        <v>1041</v>
      </c>
      <c r="AA1024" s="588">
        <v>500</v>
      </c>
      <c r="AB1024" s="586"/>
    </row>
    <row r="1025" spans="1:28" hidden="1">
      <c r="A1025" s="566" t="s">
        <v>1335</v>
      </c>
      <c r="B1025" s="566" t="s">
        <v>466</v>
      </c>
      <c r="C1025" s="566" t="s">
        <v>471</v>
      </c>
      <c r="D1025" s="566" t="s">
        <v>472</v>
      </c>
      <c r="E1025" s="566" t="s">
        <v>473</v>
      </c>
      <c r="F1025" s="566" t="s">
        <v>474</v>
      </c>
      <c r="G1025" s="567">
        <v>0</v>
      </c>
      <c r="H1025" s="566" t="s">
        <v>484</v>
      </c>
      <c r="I1025" s="568">
        <v>2</v>
      </c>
      <c r="J1025" s="569">
        <v>11</v>
      </c>
      <c r="K1025" s="569">
        <v>11</v>
      </c>
      <c r="L1025" s="566"/>
      <c r="M1025" s="566" t="s">
        <v>476</v>
      </c>
      <c r="N1025" s="570">
        <v>572</v>
      </c>
      <c r="O1025" s="566"/>
      <c r="P1025" s="566" t="s">
        <v>477</v>
      </c>
      <c r="Q1025" s="568">
        <v>909678</v>
      </c>
      <c r="R1025" s="568">
        <v>15</v>
      </c>
      <c r="S1025" s="566" t="s">
        <v>483</v>
      </c>
      <c r="T1025" s="586" t="s">
        <v>253</v>
      </c>
      <c r="U1025" s="586" t="s">
        <v>468</v>
      </c>
      <c r="V1025" s="586" t="s">
        <v>539</v>
      </c>
      <c r="W1025" s="587" t="s">
        <v>1275</v>
      </c>
      <c r="X1025" s="586" t="s">
        <v>1380</v>
      </c>
      <c r="Y1025" s="586" t="s">
        <v>1338</v>
      </c>
      <c r="Z1025" s="587" t="s">
        <v>1042</v>
      </c>
      <c r="AA1025" s="588">
        <v>572</v>
      </c>
      <c r="AB1025" s="586"/>
    </row>
    <row r="1026" spans="1:28" hidden="1">
      <c r="A1026" s="566" t="s">
        <v>1335</v>
      </c>
      <c r="B1026" s="566" t="s">
        <v>466</v>
      </c>
      <c r="C1026" s="566" t="s">
        <v>487</v>
      </c>
      <c r="D1026" s="566" t="s">
        <v>472</v>
      </c>
      <c r="E1026" s="566" t="s">
        <v>473</v>
      </c>
      <c r="F1026" s="566" t="s">
        <v>489</v>
      </c>
      <c r="G1026" s="567">
        <v>50</v>
      </c>
      <c r="H1026" s="566" t="s">
        <v>490</v>
      </c>
      <c r="I1026" s="568">
        <v>2</v>
      </c>
      <c r="J1026" s="569">
        <v>11</v>
      </c>
      <c r="K1026" s="569">
        <v>11</v>
      </c>
      <c r="L1026" s="566"/>
      <c r="M1026" s="566" t="s">
        <v>476</v>
      </c>
      <c r="N1026" s="570">
        <v>608</v>
      </c>
      <c r="O1026" s="566"/>
      <c r="P1026" s="566" t="s">
        <v>477</v>
      </c>
      <c r="Q1026" s="568">
        <v>909678</v>
      </c>
      <c r="R1026" s="568">
        <v>16</v>
      </c>
      <c r="S1026" s="566" t="s">
        <v>488</v>
      </c>
      <c r="T1026" s="586" t="s">
        <v>253</v>
      </c>
      <c r="U1026" s="586" t="s">
        <v>468</v>
      </c>
      <c r="V1026" s="586" t="s">
        <v>539</v>
      </c>
      <c r="W1026" s="587" t="s">
        <v>485</v>
      </c>
      <c r="X1026" s="586" t="s">
        <v>1380</v>
      </c>
      <c r="Y1026" s="586" t="s">
        <v>1338</v>
      </c>
      <c r="Z1026" s="587" t="s">
        <v>1043</v>
      </c>
      <c r="AA1026" s="588">
        <v>608</v>
      </c>
      <c r="AB1026" s="586"/>
    </row>
    <row r="1027" spans="1:28" hidden="1">
      <c r="A1027" s="566" t="s">
        <v>1335</v>
      </c>
      <c r="B1027" s="566" t="s">
        <v>466</v>
      </c>
      <c r="C1027" s="566" t="s">
        <v>487</v>
      </c>
      <c r="D1027" s="566" t="s">
        <v>472</v>
      </c>
      <c r="E1027" s="566" t="s">
        <v>473</v>
      </c>
      <c r="F1027" s="566" t="s">
        <v>489</v>
      </c>
      <c r="G1027" s="567">
        <v>50</v>
      </c>
      <c r="H1027" s="566" t="s">
        <v>494</v>
      </c>
      <c r="I1027" s="568">
        <v>2</v>
      </c>
      <c r="J1027" s="569">
        <v>11</v>
      </c>
      <c r="K1027" s="569">
        <v>11</v>
      </c>
      <c r="L1027" s="566"/>
      <c r="M1027" s="566" t="s">
        <v>476</v>
      </c>
      <c r="N1027" s="570">
        <v>644</v>
      </c>
      <c r="O1027" s="566"/>
      <c r="P1027" s="566" t="s">
        <v>477</v>
      </c>
      <c r="Q1027" s="568">
        <v>909678</v>
      </c>
      <c r="R1027" s="568">
        <v>17</v>
      </c>
      <c r="S1027" s="566" t="s">
        <v>493</v>
      </c>
      <c r="T1027" s="586" t="s">
        <v>253</v>
      </c>
      <c r="U1027" s="586" t="s">
        <v>468</v>
      </c>
      <c r="V1027" s="586" t="s">
        <v>539</v>
      </c>
      <c r="W1027" s="587" t="s">
        <v>491</v>
      </c>
      <c r="X1027" s="586" t="s">
        <v>1380</v>
      </c>
      <c r="Y1027" s="586" t="s">
        <v>1338</v>
      </c>
      <c r="Z1027" s="587" t="s">
        <v>1044</v>
      </c>
      <c r="AA1027" s="588">
        <v>644</v>
      </c>
      <c r="AB1027" s="586"/>
    </row>
    <row r="1028" spans="1:28" hidden="1">
      <c r="A1028" s="566" t="s">
        <v>1335</v>
      </c>
      <c r="B1028" s="566" t="s">
        <v>466</v>
      </c>
      <c r="C1028" s="566" t="s">
        <v>487</v>
      </c>
      <c r="D1028" s="566" t="s">
        <v>472</v>
      </c>
      <c r="E1028" s="566" t="s">
        <v>473</v>
      </c>
      <c r="F1028" s="566" t="s">
        <v>489</v>
      </c>
      <c r="G1028" s="567">
        <v>50</v>
      </c>
      <c r="H1028" s="566" t="s">
        <v>498</v>
      </c>
      <c r="I1028" s="568">
        <v>2</v>
      </c>
      <c r="J1028" s="569">
        <v>11</v>
      </c>
      <c r="K1028" s="569">
        <v>11</v>
      </c>
      <c r="L1028" s="566"/>
      <c r="M1028" s="566" t="s">
        <v>476</v>
      </c>
      <c r="N1028" s="570">
        <v>680</v>
      </c>
      <c r="O1028" s="566"/>
      <c r="P1028" s="566" t="s">
        <v>477</v>
      </c>
      <c r="Q1028" s="568">
        <v>909678</v>
      </c>
      <c r="R1028" s="568">
        <v>18</v>
      </c>
      <c r="S1028" s="566" t="s">
        <v>497</v>
      </c>
      <c r="T1028" s="586" t="s">
        <v>253</v>
      </c>
      <c r="U1028" s="586" t="s">
        <v>468</v>
      </c>
      <c r="V1028" s="586" t="s">
        <v>539</v>
      </c>
      <c r="W1028" s="587" t="s">
        <v>495</v>
      </c>
      <c r="X1028" s="586" t="s">
        <v>1380</v>
      </c>
      <c r="Y1028" s="586" t="s">
        <v>1338</v>
      </c>
      <c r="Z1028" s="587" t="s">
        <v>1045</v>
      </c>
      <c r="AA1028" s="588">
        <v>680</v>
      </c>
      <c r="AB1028" s="586"/>
    </row>
    <row r="1029" spans="1:28" hidden="1">
      <c r="A1029" s="566" t="s">
        <v>1335</v>
      </c>
      <c r="B1029" s="566" t="s">
        <v>466</v>
      </c>
      <c r="C1029" s="566" t="s">
        <v>487</v>
      </c>
      <c r="D1029" s="566" t="s">
        <v>472</v>
      </c>
      <c r="E1029" s="566" t="s">
        <v>473</v>
      </c>
      <c r="F1029" s="566" t="s">
        <v>489</v>
      </c>
      <c r="G1029" s="567">
        <v>50</v>
      </c>
      <c r="H1029" s="566" t="s">
        <v>503</v>
      </c>
      <c r="I1029" s="568">
        <v>2</v>
      </c>
      <c r="J1029" s="569">
        <v>11</v>
      </c>
      <c r="K1029" s="569">
        <v>11</v>
      </c>
      <c r="L1029" s="566"/>
      <c r="M1029" s="566" t="s">
        <v>476</v>
      </c>
      <c r="N1029" s="570">
        <v>752</v>
      </c>
      <c r="O1029" s="566"/>
      <c r="P1029" s="566" t="s">
        <v>477</v>
      </c>
      <c r="Q1029" s="568">
        <v>909678</v>
      </c>
      <c r="R1029" s="568">
        <v>19</v>
      </c>
      <c r="S1029" s="566" t="s">
        <v>502</v>
      </c>
      <c r="T1029" s="586" t="s">
        <v>253</v>
      </c>
      <c r="U1029" s="586" t="s">
        <v>468</v>
      </c>
      <c r="V1029" s="586" t="s">
        <v>539</v>
      </c>
      <c r="W1029" s="587" t="s">
        <v>1276</v>
      </c>
      <c r="X1029" s="586" t="s">
        <v>1380</v>
      </c>
      <c r="Y1029" s="586" t="s">
        <v>1338</v>
      </c>
      <c r="Z1029" s="587" t="s">
        <v>1046</v>
      </c>
      <c r="AA1029" s="588">
        <v>752</v>
      </c>
      <c r="AB1029" s="586"/>
    </row>
    <row r="1030" spans="1:28" hidden="1">
      <c r="A1030" s="566" t="s">
        <v>1335</v>
      </c>
      <c r="B1030" s="566" t="s">
        <v>466</v>
      </c>
      <c r="C1030" s="566" t="s">
        <v>487</v>
      </c>
      <c r="D1030" s="566" t="s">
        <v>472</v>
      </c>
      <c r="E1030" s="566" t="s">
        <v>473</v>
      </c>
      <c r="F1030" s="566" t="s">
        <v>489</v>
      </c>
      <c r="G1030" s="567">
        <v>50</v>
      </c>
      <c r="H1030" s="566" t="s">
        <v>508</v>
      </c>
      <c r="I1030" s="568">
        <v>2</v>
      </c>
      <c r="J1030" s="569">
        <v>11</v>
      </c>
      <c r="K1030" s="569">
        <v>11</v>
      </c>
      <c r="L1030" s="566"/>
      <c r="M1030" s="566" t="s">
        <v>476</v>
      </c>
      <c r="N1030" s="570">
        <v>824</v>
      </c>
      <c r="O1030" s="566"/>
      <c r="P1030" s="566" t="s">
        <v>477</v>
      </c>
      <c r="Q1030" s="568">
        <v>909678</v>
      </c>
      <c r="R1030" s="568">
        <v>21</v>
      </c>
      <c r="S1030" s="566" t="s">
        <v>507</v>
      </c>
      <c r="T1030" s="586" t="s">
        <v>253</v>
      </c>
      <c r="U1030" s="586" t="s">
        <v>468</v>
      </c>
      <c r="V1030" s="586" t="s">
        <v>539</v>
      </c>
      <c r="W1030" s="587" t="s">
        <v>1277</v>
      </c>
      <c r="X1030" s="586" t="s">
        <v>1380</v>
      </c>
      <c r="Y1030" s="586" t="s">
        <v>1338</v>
      </c>
      <c r="Z1030" s="587" t="s">
        <v>1047</v>
      </c>
      <c r="AA1030" s="588">
        <v>824</v>
      </c>
      <c r="AB1030" s="586"/>
    </row>
    <row r="1031" spans="1:28" hidden="1">
      <c r="A1031" s="566" t="s">
        <v>1335</v>
      </c>
      <c r="B1031" s="566" t="s">
        <v>466</v>
      </c>
      <c r="C1031" s="566" t="s">
        <v>471</v>
      </c>
      <c r="D1031" s="566" t="s">
        <v>472</v>
      </c>
      <c r="E1031" s="566" t="s">
        <v>473</v>
      </c>
      <c r="F1031" s="566" t="s">
        <v>474</v>
      </c>
      <c r="G1031" s="567">
        <v>0</v>
      </c>
      <c r="H1031" s="566" t="s">
        <v>1755</v>
      </c>
      <c r="I1031" s="568">
        <v>2</v>
      </c>
      <c r="J1031" s="569">
        <v>11</v>
      </c>
      <c r="K1031" s="569">
        <v>11</v>
      </c>
      <c r="L1031" s="566"/>
      <c r="M1031" s="566" t="s">
        <v>476</v>
      </c>
      <c r="N1031" s="570">
        <v>860</v>
      </c>
      <c r="O1031" s="566"/>
      <c r="P1031" s="566" t="s">
        <v>477</v>
      </c>
      <c r="Q1031" s="568">
        <v>909678</v>
      </c>
      <c r="R1031" s="568">
        <v>46</v>
      </c>
      <c r="S1031" s="566" t="s">
        <v>1383</v>
      </c>
      <c r="T1031" s="586" t="s">
        <v>253</v>
      </c>
      <c r="U1031" s="586" t="s">
        <v>468</v>
      </c>
      <c r="V1031" s="586" t="s">
        <v>539</v>
      </c>
      <c r="W1031" s="587" t="s">
        <v>1354</v>
      </c>
      <c r="X1031" s="586" t="s">
        <v>1380</v>
      </c>
      <c r="Y1031" s="586" t="s">
        <v>1338</v>
      </c>
      <c r="Z1031" s="587" t="s">
        <v>2098</v>
      </c>
      <c r="AA1031" s="588">
        <v>860</v>
      </c>
      <c r="AB1031" s="586"/>
    </row>
    <row r="1032" spans="1:28" hidden="1">
      <c r="A1032" s="566" t="s">
        <v>1335</v>
      </c>
      <c r="B1032" s="566" t="s">
        <v>466</v>
      </c>
      <c r="C1032" s="566" t="s">
        <v>487</v>
      </c>
      <c r="D1032" s="566" t="s">
        <v>472</v>
      </c>
      <c r="E1032" s="566" t="s">
        <v>473</v>
      </c>
      <c r="F1032" s="566" t="s">
        <v>489</v>
      </c>
      <c r="G1032" s="567">
        <v>50</v>
      </c>
      <c r="H1032" s="566" t="s">
        <v>1757</v>
      </c>
      <c r="I1032" s="568">
        <v>2</v>
      </c>
      <c r="J1032" s="569">
        <v>11</v>
      </c>
      <c r="K1032" s="569">
        <v>11</v>
      </c>
      <c r="L1032" s="566"/>
      <c r="M1032" s="566" t="s">
        <v>476</v>
      </c>
      <c r="N1032" s="570">
        <v>896</v>
      </c>
      <c r="O1032" s="566"/>
      <c r="P1032" s="566" t="s">
        <v>477</v>
      </c>
      <c r="Q1032" s="568">
        <v>909678</v>
      </c>
      <c r="R1032" s="568">
        <v>47</v>
      </c>
      <c r="S1032" s="566" t="s">
        <v>1385</v>
      </c>
      <c r="T1032" s="586" t="s">
        <v>253</v>
      </c>
      <c r="U1032" s="586" t="s">
        <v>468</v>
      </c>
      <c r="V1032" s="586" t="s">
        <v>539</v>
      </c>
      <c r="W1032" s="587" t="s">
        <v>1358</v>
      </c>
      <c r="X1032" s="586" t="s">
        <v>1380</v>
      </c>
      <c r="Y1032" s="586" t="s">
        <v>1338</v>
      </c>
      <c r="Z1032" s="587" t="s">
        <v>2099</v>
      </c>
      <c r="AA1032" s="588">
        <v>896</v>
      </c>
      <c r="AB1032" s="586"/>
    </row>
    <row r="1033" spans="1:28" hidden="1">
      <c r="A1033" s="566" t="s">
        <v>1335</v>
      </c>
      <c r="B1033" s="566" t="s">
        <v>466</v>
      </c>
      <c r="C1033" s="566" t="s">
        <v>471</v>
      </c>
      <c r="D1033" s="566" t="s">
        <v>472</v>
      </c>
      <c r="E1033" s="566" t="s">
        <v>473</v>
      </c>
      <c r="F1033" s="566" t="s">
        <v>474</v>
      </c>
      <c r="G1033" s="567">
        <v>0</v>
      </c>
      <c r="H1033" s="566" t="s">
        <v>511</v>
      </c>
      <c r="I1033" s="568">
        <v>2</v>
      </c>
      <c r="J1033" s="569">
        <v>11</v>
      </c>
      <c r="K1033" s="569">
        <v>11</v>
      </c>
      <c r="L1033" s="566"/>
      <c r="M1033" s="566" t="s">
        <v>476</v>
      </c>
      <c r="N1033" s="570">
        <v>356</v>
      </c>
      <c r="O1033" s="566"/>
      <c r="P1033" s="566" t="s">
        <v>477</v>
      </c>
      <c r="Q1033" s="568">
        <v>909678</v>
      </c>
      <c r="R1033" s="568">
        <v>5</v>
      </c>
      <c r="S1033" s="566" t="s">
        <v>1392</v>
      </c>
      <c r="T1033" s="586" t="s">
        <v>253</v>
      </c>
      <c r="U1033" s="586" t="s">
        <v>468</v>
      </c>
      <c r="V1033" s="586" t="s">
        <v>539</v>
      </c>
      <c r="W1033" s="587" t="s">
        <v>509</v>
      </c>
      <c r="X1033" s="586" t="s">
        <v>1380</v>
      </c>
      <c r="Y1033" s="586" t="s">
        <v>1338</v>
      </c>
      <c r="Z1033" s="587" t="s">
        <v>1048</v>
      </c>
      <c r="AA1033" s="588">
        <v>356</v>
      </c>
      <c r="AB1033" s="586"/>
    </row>
    <row r="1034" spans="1:28" hidden="1">
      <c r="A1034" s="566" t="s">
        <v>1335</v>
      </c>
      <c r="B1034" s="566" t="s">
        <v>466</v>
      </c>
      <c r="C1034" s="566" t="s">
        <v>471</v>
      </c>
      <c r="D1034" s="566" t="s">
        <v>472</v>
      </c>
      <c r="E1034" s="566" t="s">
        <v>473</v>
      </c>
      <c r="F1034" s="566" t="s">
        <v>474</v>
      </c>
      <c r="G1034" s="567">
        <v>0</v>
      </c>
      <c r="H1034" s="566" t="s">
        <v>213</v>
      </c>
      <c r="I1034" s="568">
        <v>2</v>
      </c>
      <c r="J1034" s="569">
        <v>11</v>
      </c>
      <c r="K1034" s="569">
        <v>11</v>
      </c>
      <c r="L1034" s="566"/>
      <c r="M1034" s="566" t="s">
        <v>476</v>
      </c>
      <c r="N1034" s="570">
        <v>392</v>
      </c>
      <c r="O1034" s="566"/>
      <c r="P1034" s="566" t="s">
        <v>477</v>
      </c>
      <c r="Q1034" s="568">
        <v>909678</v>
      </c>
      <c r="R1034" s="568">
        <v>6</v>
      </c>
      <c r="S1034" s="566" t="s">
        <v>1393</v>
      </c>
      <c r="T1034" s="586" t="s">
        <v>253</v>
      </c>
      <c r="U1034" s="586" t="s">
        <v>468</v>
      </c>
      <c r="V1034" s="586" t="s">
        <v>539</v>
      </c>
      <c r="W1034" s="587" t="s">
        <v>512</v>
      </c>
      <c r="X1034" s="586" t="s">
        <v>1380</v>
      </c>
      <c r="Y1034" s="586" t="s">
        <v>1338</v>
      </c>
      <c r="Z1034" s="587" t="s">
        <v>1049</v>
      </c>
      <c r="AA1034" s="588">
        <v>392</v>
      </c>
      <c r="AB1034" s="586"/>
    </row>
    <row r="1035" spans="1:28" hidden="1">
      <c r="A1035" s="566" t="s">
        <v>1335</v>
      </c>
      <c r="B1035" s="566" t="s">
        <v>466</v>
      </c>
      <c r="C1035" s="566" t="s">
        <v>471</v>
      </c>
      <c r="D1035" s="566" t="s">
        <v>472</v>
      </c>
      <c r="E1035" s="566" t="s">
        <v>473</v>
      </c>
      <c r="F1035" s="566" t="s">
        <v>474</v>
      </c>
      <c r="G1035" s="567">
        <v>0</v>
      </c>
      <c r="H1035" s="566" t="s">
        <v>516</v>
      </c>
      <c r="I1035" s="568">
        <v>2</v>
      </c>
      <c r="J1035" s="569">
        <v>11</v>
      </c>
      <c r="K1035" s="569">
        <v>11</v>
      </c>
      <c r="L1035" s="566"/>
      <c r="M1035" s="566" t="s">
        <v>476</v>
      </c>
      <c r="N1035" s="570">
        <v>428</v>
      </c>
      <c r="O1035" s="566"/>
      <c r="P1035" s="566" t="s">
        <v>477</v>
      </c>
      <c r="Q1035" s="568">
        <v>909678</v>
      </c>
      <c r="R1035" s="568">
        <v>14</v>
      </c>
      <c r="S1035" s="566" t="s">
        <v>1394</v>
      </c>
      <c r="T1035" s="586" t="s">
        <v>253</v>
      </c>
      <c r="U1035" s="586" t="s">
        <v>468</v>
      </c>
      <c r="V1035" s="586" t="s">
        <v>539</v>
      </c>
      <c r="W1035" s="587" t="s">
        <v>514</v>
      </c>
      <c r="X1035" s="586" t="s">
        <v>1380</v>
      </c>
      <c r="Y1035" s="586" t="s">
        <v>1338</v>
      </c>
      <c r="Z1035" s="587" t="s">
        <v>1050</v>
      </c>
      <c r="AA1035" s="588">
        <v>428</v>
      </c>
      <c r="AB1035" s="586"/>
    </row>
    <row r="1036" spans="1:28" hidden="1">
      <c r="A1036" s="566" t="s">
        <v>1335</v>
      </c>
      <c r="B1036" s="566" t="s">
        <v>466</v>
      </c>
      <c r="C1036" s="566" t="s">
        <v>471</v>
      </c>
      <c r="D1036" s="566" t="s">
        <v>472</v>
      </c>
      <c r="E1036" s="566" t="s">
        <v>473</v>
      </c>
      <c r="F1036" s="566" t="s">
        <v>474</v>
      </c>
      <c r="G1036" s="567">
        <v>0</v>
      </c>
      <c r="H1036" s="566" t="s">
        <v>479</v>
      </c>
      <c r="I1036" s="568">
        <v>2</v>
      </c>
      <c r="J1036" s="569">
        <v>35</v>
      </c>
      <c r="K1036" s="569">
        <v>35</v>
      </c>
      <c r="L1036" s="566"/>
      <c r="M1036" s="566" t="s">
        <v>476</v>
      </c>
      <c r="N1036" s="570">
        <v>1364</v>
      </c>
      <c r="O1036" s="566"/>
      <c r="P1036" s="566" t="s">
        <v>477</v>
      </c>
      <c r="Q1036" s="568">
        <v>909678</v>
      </c>
      <c r="R1036" s="568">
        <v>34</v>
      </c>
      <c r="S1036" s="566" t="s">
        <v>1395</v>
      </c>
      <c r="T1036" s="586" t="s">
        <v>253</v>
      </c>
      <c r="U1036" s="586" t="s">
        <v>468</v>
      </c>
      <c r="V1036" s="586" t="s">
        <v>539</v>
      </c>
      <c r="W1036" s="587" t="s">
        <v>1274</v>
      </c>
      <c r="X1036" s="586" t="s">
        <v>1380</v>
      </c>
      <c r="Y1036" s="586" t="s">
        <v>1367</v>
      </c>
      <c r="Z1036" s="587" t="s">
        <v>2100</v>
      </c>
      <c r="AA1036" s="588">
        <v>1364</v>
      </c>
      <c r="AB1036" s="586"/>
    </row>
    <row r="1037" spans="1:28" hidden="1">
      <c r="A1037" s="566" t="s">
        <v>1335</v>
      </c>
      <c r="B1037" s="566" t="s">
        <v>466</v>
      </c>
      <c r="C1037" s="566" t="s">
        <v>471</v>
      </c>
      <c r="D1037" s="566" t="s">
        <v>472</v>
      </c>
      <c r="E1037" s="566" t="s">
        <v>473</v>
      </c>
      <c r="F1037" s="566" t="s">
        <v>474</v>
      </c>
      <c r="G1037" s="567">
        <v>0</v>
      </c>
      <c r="H1037" s="566" t="s">
        <v>484</v>
      </c>
      <c r="I1037" s="568">
        <v>2</v>
      </c>
      <c r="J1037" s="569">
        <v>35</v>
      </c>
      <c r="K1037" s="569">
        <v>35</v>
      </c>
      <c r="L1037" s="566"/>
      <c r="M1037" s="566" t="s">
        <v>476</v>
      </c>
      <c r="N1037" s="570">
        <v>1400</v>
      </c>
      <c r="O1037" s="566"/>
      <c r="P1037" s="566" t="s">
        <v>477</v>
      </c>
      <c r="Q1037" s="568">
        <v>909678</v>
      </c>
      <c r="R1037" s="568">
        <v>35</v>
      </c>
      <c r="S1037" s="566" t="s">
        <v>1397</v>
      </c>
      <c r="T1037" s="586" t="s">
        <v>253</v>
      </c>
      <c r="U1037" s="586" t="s">
        <v>468</v>
      </c>
      <c r="V1037" s="586" t="s">
        <v>539</v>
      </c>
      <c r="W1037" s="587" t="s">
        <v>1275</v>
      </c>
      <c r="X1037" s="586" t="s">
        <v>1380</v>
      </c>
      <c r="Y1037" s="586" t="s">
        <v>1367</v>
      </c>
      <c r="Z1037" s="587" t="s">
        <v>2101</v>
      </c>
      <c r="AA1037" s="588">
        <v>1400</v>
      </c>
      <c r="AB1037" s="586"/>
    </row>
    <row r="1038" spans="1:28" hidden="1">
      <c r="A1038" s="566" t="s">
        <v>1335</v>
      </c>
      <c r="B1038" s="566" t="s">
        <v>466</v>
      </c>
      <c r="C1038" s="566" t="s">
        <v>487</v>
      </c>
      <c r="D1038" s="566" t="s">
        <v>472</v>
      </c>
      <c r="E1038" s="566" t="s">
        <v>473</v>
      </c>
      <c r="F1038" s="566" t="s">
        <v>489</v>
      </c>
      <c r="G1038" s="567">
        <v>50</v>
      </c>
      <c r="H1038" s="566" t="s">
        <v>503</v>
      </c>
      <c r="I1038" s="568">
        <v>2</v>
      </c>
      <c r="J1038" s="569">
        <v>35</v>
      </c>
      <c r="K1038" s="569">
        <v>35</v>
      </c>
      <c r="L1038" s="566"/>
      <c r="M1038" s="566" t="s">
        <v>476</v>
      </c>
      <c r="N1038" s="570">
        <v>1436</v>
      </c>
      <c r="O1038" s="566"/>
      <c r="P1038" s="566" t="s">
        <v>477</v>
      </c>
      <c r="Q1038" s="568">
        <v>909678</v>
      </c>
      <c r="R1038" s="568">
        <v>37</v>
      </c>
      <c r="S1038" s="566" t="s">
        <v>1399</v>
      </c>
      <c r="T1038" s="586" t="s">
        <v>253</v>
      </c>
      <c r="U1038" s="586" t="s">
        <v>468</v>
      </c>
      <c r="V1038" s="586" t="s">
        <v>539</v>
      </c>
      <c r="W1038" s="587" t="s">
        <v>1276</v>
      </c>
      <c r="X1038" s="586" t="s">
        <v>1380</v>
      </c>
      <c r="Y1038" s="586" t="s">
        <v>1367</v>
      </c>
      <c r="Z1038" s="587" t="s">
        <v>2102</v>
      </c>
      <c r="AA1038" s="588">
        <v>1436</v>
      </c>
      <c r="AB1038" s="586"/>
    </row>
    <row r="1039" spans="1:28" hidden="1">
      <c r="A1039" s="566" t="s">
        <v>1335</v>
      </c>
      <c r="B1039" s="566" t="s">
        <v>466</v>
      </c>
      <c r="C1039" s="566" t="s">
        <v>487</v>
      </c>
      <c r="D1039" s="566" t="s">
        <v>472</v>
      </c>
      <c r="E1039" s="566" t="s">
        <v>473</v>
      </c>
      <c r="F1039" s="566" t="s">
        <v>489</v>
      </c>
      <c r="G1039" s="567">
        <v>50</v>
      </c>
      <c r="H1039" s="566" t="s">
        <v>508</v>
      </c>
      <c r="I1039" s="568">
        <v>2</v>
      </c>
      <c r="J1039" s="569">
        <v>35</v>
      </c>
      <c r="K1039" s="569">
        <v>35</v>
      </c>
      <c r="L1039" s="566"/>
      <c r="M1039" s="566" t="s">
        <v>476</v>
      </c>
      <c r="N1039" s="570">
        <v>1472</v>
      </c>
      <c r="O1039" s="566"/>
      <c r="P1039" s="566" t="s">
        <v>477</v>
      </c>
      <c r="Q1039" s="568">
        <v>909678</v>
      </c>
      <c r="R1039" s="568">
        <v>38</v>
      </c>
      <c r="S1039" s="566" t="s">
        <v>1401</v>
      </c>
      <c r="T1039" s="586" t="s">
        <v>253</v>
      </c>
      <c r="U1039" s="586" t="s">
        <v>468</v>
      </c>
      <c r="V1039" s="586" t="s">
        <v>539</v>
      </c>
      <c r="W1039" s="587" t="s">
        <v>1277</v>
      </c>
      <c r="X1039" s="586" t="s">
        <v>1380</v>
      </c>
      <c r="Y1039" s="586" t="s">
        <v>1367</v>
      </c>
      <c r="Z1039" s="587" t="s">
        <v>2103</v>
      </c>
      <c r="AA1039" s="588">
        <v>1472</v>
      </c>
      <c r="AB1039" s="586"/>
    </row>
    <row r="1040" spans="1:28" hidden="1">
      <c r="A1040" s="566" t="s">
        <v>1335</v>
      </c>
      <c r="B1040" s="566" t="s">
        <v>466</v>
      </c>
      <c r="C1040" s="566" t="s">
        <v>471</v>
      </c>
      <c r="D1040" s="566" t="s">
        <v>472</v>
      </c>
      <c r="E1040" s="566" t="s">
        <v>473</v>
      </c>
      <c r="F1040" s="566" t="s">
        <v>474</v>
      </c>
      <c r="G1040" s="567">
        <v>0</v>
      </c>
      <c r="H1040" s="566" t="s">
        <v>1755</v>
      </c>
      <c r="I1040" s="568">
        <v>2</v>
      </c>
      <c r="J1040" s="569">
        <v>35</v>
      </c>
      <c r="K1040" s="569">
        <v>35</v>
      </c>
      <c r="L1040" s="566"/>
      <c r="M1040" s="566" t="s">
        <v>476</v>
      </c>
      <c r="N1040" s="570">
        <v>1508</v>
      </c>
      <c r="O1040" s="566"/>
      <c r="P1040" s="566" t="s">
        <v>477</v>
      </c>
      <c r="Q1040" s="568">
        <v>909678</v>
      </c>
      <c r="R1040" s="568">
        <v>36</v>
      </c>
      <c r="S1040" s="566" t="s">
        <v>1403</v>
      </c>
      <c r="T1040" s="586" t="s">
        <v>253</v>
      </c>
      <c r="U1040" s="586" t="s">
        <v>468</v>
      </c>
      <c r="V1040" s="586" t="s">
        <v>539</v>
      </c>
      <c r="W1040" s="587" t="s">
        <v>1354</v>
      </c>
      <c r="X1040" s="586" t="s">
        <v>1380</v>
      </c>
      <c r="Y1040" s="586" t="s">
        <v>1367</v>
      </c>
      <c r="Z1040" s="587" t="s">
        <v>2104</v>
      </c>
      <c r="AA1040" s="588">
        <v>1508</v>
      </c>
      <c r="AB1040" s="586"/>
    </row>
    <row r="1041" spans="1:28" hidden="1">
      <c r="A1041" s="566" t="s">
        <v>1335</v>
      </c>
      <c r="B1041" s="566" t="s">
        <v>466</v>
      </c>
      <c r="C1041" s="566" t="s">
        <v>487</v>
      </c>
      <c r="D1041" s="566" t="s">
        <v>472</v>
      </c>
      <c r="E1041" s="566" t="s">
        <v>473</v>
      </c>
      <c r="F1041" s="566" t="s">
        <v>489</v>
      </c>
      <c r="G1041" s="567">
        <v>50</v>
      </c>
      <c r="H1041" s="566" t="s">
        <v>1757</v>
      </c>
      <c r="I1041" s="568">
        <v>2</v>
      </c>
      <c r="J1041" s="569">
        <v>35</v>
      </c>
      <c r="K1041" s="569">
        <v>35</v>
      </c>
      <c r="L1041" s="566"/>
      <c r="M1041" s="566" t="s">
        <v>476</v>
      </c>
      <c r="N1041" s="570">
        <v>1544</v>
      </c>
      <c r="O1041" s="566"/>
      <c r="P1041" s="566" t="s">
        <v>477</v>
      </c>
      <c r="Q1041" s="568">
        <v>909678</v>
      </c>
      <c r="R1041" s="568">
        <v>39</v>
      </c>
      <c r="S1041" s="566" t="s">
        <v>1405</v>
      </c>
      <c r="T1041" s="586" t="s">
        <v>253</v>
      </c>
      <c r="U1041" s="586" t="s">
        <v>468</v>
      </c>
      <c r="V1041" s="586" t="s">
        <v>539</v>
      </c>
      <c r="W1041" s="587" t="s">
        <v>1358</v>
      </c>
      <c r="X1041" s="586" t="s">
        <v>1380</v>
      </c>
      <c r="Y1041" s="586" t="s">
        <v>1367</v>
      </c>
      <c r="Z1041" s="587" t="s">
        <v>2105</v>
      </c>
      <c r="AA1041" s="588">
        <v>1544</v>
      </c>
      <c r="AB1041" s="586"/>
    </row>
    <row r="1042" spans="1:28" hidden="1">
      <c r="A1042" s="566" t="s">
        <v>1335</v>
      </c>
      <c r="B1042" s="566" t="s">
        <v>466</v>
      </c>
      <c r="C1042" s="566" t="s">
        <v>471</v>
      </c>
      <c r="D1042" s="566" t="s">
        <v>472</v>
      </c>
      <c r="E1042" s="566" t="s">
        <v>473</v>
      </c>
      <c r="F1042" s="566" t="s">
        <v>474</v>
      </c>
      <c r="G1042" s="567">
        <v>0</v>
      </c>
      <c r="H1042" s="566" t="s">
        <v>475</v>
      </c>
      <c r="I1042" s="568">
        <v>2</v>
      </c>
      <c r="J1042" s="569">
        <v>11</v>
      </c>
      <c r="K1042" s="569">
        <v>11</v>
      </c>
      <c r="L1042" s="566"/>
      <c r="M1042" s="566" t="s">
        <v>476</v>
      </c>
      <c r="N1042" s="570">
        <v>464</v>
      </c>
      <c r="O1042" s="566"/>
      <c r="P1042" s="566" t="s">
        <v>477</v>
      </c>
      <c r="Q1042" s="568">
        <v>909678</v>
      </c>
      <c r="R1042" s="568">
        <v>7</v>
      </c>
      <c r="S1042" s="566" t="s">
        <v>1407</v>
      </c>
      <c r="T1042" s="586" t="s">
        <v>1473</v>
      </c>
      <c r="U1042" s="586" t="s">
        <v>468</v>
      </c>
      <c r="V1042" s="586" t="s">
        <v>539</v>
      </c>
      <c r="W1042" s="587" t="s">
        <v>470</v>
      </c>
      <c r="X1042" s="586" t="s">
        <v>1380</v>
      </c>
      <c r="Y1042" s="586" t="s">
        <v>1338</v>
      </c>
      <c r="Z1042" s="587" t="s">
        <v>2106</v>
      </c>
      <c r="AA1042" s="588">
        <v>464</v>
      </c>
      <c r="AB1042" s="586"/>
    </row>
    <row r="1043" spans="1:28" hidden="1">
      <c r="A1043" s="566" t="s">
        <v>1335</v>
      </c>
      <c r="B1043" s="566" t="s">
        <v>466</v>
      </c>
      <c r="C1043" s="566" t="s">
        <v>471</v>
      </c>
      <c r="D1043" s="566" t="s">
        <v>472</v>
      </c>
      <c r="E1043" s="566" t="s">
        <v>473</v>
      </c>
      <c r="F1043" s="566" t="s">
        <v>474</v>
      </c>
      <c r="G1043" s="567">
        <v>0</v>
      </c>
      <c r="H1043" s="566" t="s">
        <v>481</v>
      </c>
      <c r="I1043" s="568">
        <v>2</v>
      </c>
      <c r="J1043" s="569">
        <v>11</v>
      </c>
      <c r="K1043" s="569">
        <v>11</v>
      </c>
      <c r="L1043" s="566"/>
      <c r="M1043" s="566" t="s">
        <v>476</v>
      </c>
      <c r="N1043" s="570">
        <v>536</v>
      </c>
      <c r="O1043" s="566"/>
      <c r="P1043" s="566" t="s">
        <v>477</v>
      </c>
      <c r="Q1043" s="568">
        <v>909678</v>
      </c>
      <c r="R1043" s="568">
        <v>8</v>
      </c>
      <c r="S1043" s="566" t="s">
        <v>1410</v>
      </c>
      <c r="T1043" s="586" t="s">
        <v>1473</v>
      </c>
      <c r="U1043" s="586" t="s">
        <v>468</v>
      </c>
      <c r="V1043" s="586" t="s">
        <v>539</v>
      </c>
      <c r="W1043" s="587" t="s">
        <v>480</v>
      </c>
      <c r="X1043" s="586" t="s">
        <v>1380</v>
      </c>
      <c r="Y1043" s="586" t="s">
        <v>1338</v>
      </c>
      <c r="Z1043" s="587" t="s">
        <v>2107</v>
      </c>
      <c r="AA1043" s="588">
        <v>536</v>
      </c>
      <c r="AB1043" s="586"/>
    </row>
    <row r="1044" spans="1:28" hidden="1">
      <c r="A1044" s="566" t="s">
        <v>1335</v>
      </c>
      <c r="B1044" s="566" t="s">
        <v>466</v>
      </c>
      <c r="C1044" s="566" t="s">
        <v>487</v>
      </c>
      <c r="D1044" s="566" t="s">
        <v>472</v>
      </c>
      <c r="E1044" s="566" t="s">
        <v>473</v>
      </c>
      <c r="F1044" s="566" t="s">
        <v>489</v>
      </c>
      <c r="G1044" s="567">
        <v>50</v>
      </c>
      <c r="H1044" s="566" t="s">
        <v>500</v>
      </c>
      <c r="I1044" s="568">
        <v>2</v>
      </c>
      <c r="J1044" s="569">
        <v>11</v>
      </c>
      <c r="K1044" s="569">
        <v>11</v>
      </c>
      <c r="L1044" s="566"/>
      <c r="M1044" s="566" t="s">
        <v>476</v>
      </c>
      <c r="N1044" s="570">
        <v>716</v>
      </c>
      <c r="O1044" s="566"/>
      <c r="P1044" s="566" t="s">
        <v>477</v>
      </c>
      <c r="Q1044" s="568">
        <v>909678</v>
      </c>
      <c r="R1044" s="568">
        <v>11</v>
      </c>
      <c r="S1044" s="566" t="s">
        <v>1412</v>
      </c>
      <c r="T1044" s="586" t="s">
        <v>1473</v>
      </c>
      <c r="U1044" s="586" t="s">
        <v>468</v>
      </c>
      <c r="V1044" s="586" t="s">
        <v>539</v>
      </c>
      <c r="W1044" s="587" t="s">
        <v>499</v>
      </c>
      <c r="X1044" s="586" t="s">
        <v>1380</v>
      </c>
      <c r="Y1044" s="586" t="s">
        <v>1338</v>
      </c>
      <c r="Z1044" s="587" t="s">
        <v>2108</v>
      </c>
      <c r="AA1044" s="588">
        <v>716</v>
      </c>
      <c r="AB1044" s="586"/>
    </row>
    <row r="1045" spans="1:28" hidden="1">
      <c r="A1045" s="566" t="s">
        <v>1335</v>
      </c>
      <c r="B1045" s="566" t="s">
        <v>466</v>
      </c>
      <c r="C1045" s="566" t="s">
        <v>487</v>
      </c>
      <c r="D1045" s="566" t="s">
        <v>472</v>
      </c>
      <c r="E1045" s="566" t="s">
        <v>473</v>
      </c>
      <c r="F1045" s="566" t="s">
        <v>489</v>
      </c>
      <c r="G1045" s="567">
        <v>50</v>
      </c>
      <c r="H1045" s="566" t="s">
        <v>505</v>
      </c>
      <c r="I1045" s="568">
        <v>2</v>
      </c>
      <c r="J1045" s="569">
        <v>11</v>
      </c>
      <c r="K1045" s="569">
        <v>11</v>
      </c>
      <c r="L1045" s="566"/>
      <c r="M1045" s="566" t="s">
        <v>476</v>
      </c>
      <c r="N1045" s="570">
        <v>788</v>
      </c>
      <c r="O1045" s="566"/>
      <c r="P1045" s="566" t="s">
        <v>477</v>
      </c>
      <c r="Q1045" s="568">
        <v>909678</v>
      </c>
      <c r="R1045" s="568">
        <v>20</v>
      </c>
      <c r="S1045" s="566" t="s">
        <v>1414</v>
      </c>
      <c r="T1045" s="586" t="s">
        <v>1473</v>
      </c>
      <c r="U1045" s="586" t="s">
        <v>468</v>
      </c>
      <c r="V1045" s="586" t="s">
        <v>539</v>
      </c>
      <c r="W1045" s="587" t="s">
        <v>504</v>
      </c>
      <c r="X1045" s="586" t="s">
        <v>1380</v>
      </c>
      <c r="Y1045" s="586" t="s">
        <v>1338</v>
      </c>
      <c r="Z1045" s="587" t="s">
        <v>2109</v>
      </c>
      <c r="AA1045" s="588">
        <v>788</v>
      </c>
      <c r="AB1045" s="586"/>
    </row>
    <row r="1046" spans="1:28" hidden="1">
      <c r="A1046" s="566" t="s">
        <v>1335</v>
      </c>
      <c r="B1046" s="566" t="s">
        <v>466</v>
      </c>
      <c r="C1046" s="566" t="s">
        <v>471</v>
      </c>
      <c r="D1046" s="566" t="s">
        <v>472</v>
      </c>
      <c r="E1046" s="566" t="s">
        <v>473</v>
      </c>
      <c r="F1046" s="566" t="s">
        <v>474</v>
      </c>
      <c r="G1046" s="567">
        <v>0</v>
      </c>
      <c r="H1046" s="566" t="s">
        <v>677</v>
      </c>
      <c r="I1046" s="568">
        <v>2</v>
      </c>
      <c r="J1046" s="569">
        <v>51</v>
      </c>
      <c r="K1046" s="569">
        <v>51</v>
      </c>
      <c r="L1046" s="566"/>
      <c r="M1046" s="566" t="s">
        <v>476</v>
      </c>
      <c r="N1046" s="570">
        <v>1020</v>
      </c>
      <c r="O1046" s="566"/>
      <c r="P1046" s="566" t="s">
        <v>477</v>
      </c>
      <c r="Q1046" s="568">
        <v>909678</v>
      </c>
      <c r="R1046" s="568">
        <v>25</v>
      </c>
      <c r="S1046" s="566" t="s">
        <v>1336</v>
      </c>
      <c r="T1046" s="571" t="s">
        <v>467</v>
      </c>
      <c r="U1046" s="571" t="s">
        <v>670</v>
      </c>
      <c r="V1046" s="571" t="s">
        <v>469</v>
      </c>
      <c r="W1046" s="572" t="s">
        <v>1274</v>
      </c>
      <c r="X1046" s="571" t="s">
        <v>1337</v>
      </c>
      <c r="Y1046" s="571" t="s">
        <v>1338</v>
      </c>
      <c r="Z1046" s="566" t="s">
        <v>2110</v>
      </c>
      <c r="AA1046" s="573">
        <v>1020</v>
      </c>
      <c r="AB1046" s="571"/>
    </row>
    <row r="1047" spans="1:28" hidden="1">
      <c r="A1047" s="566" t="s">
        <v>1335</v>
      </c>
      <c r="B1047" s="566" t="s">
        <v>466</v>
      </c>
      <c r="C1047" s="566" t="s">
        <v>471</v>
      </c>
      <c r="D1047" s="566" t="s">
        <v>472</v>
      </c>
      <c r="E1047" s="566" t="s">
        <v>473</v>
      </c>
      <c r="F1047" s="566" t="s">
        <v>474</v>
      </c>
      <c r="G1047" s="567">
        <v>0</v>
      </c>
      <c r="H1047" s="566" t="s">
        <v>680</v>
      </c>
      <c r="I1047" s="568">
        <v>2</v>
      </c>
      <c r="J1047" s="569">
        <v>51</v>
      </c>
      <c r="K1047" s="569">
        <v>51</v>
      </c>
      <c r="L1047" s="566"/>
      <c r="M1047" s="566" t="s">
        <v>476</v>
      </c>
      <c r="N1047" s="570">
        <v>1056</v>
      </c>
      <c r="O1047" s="566"/>
      <c r="P1047" s="566" t="s">
        <v>477</v>
      </c>
      <c r="Q1047" s="568">
        <v>909678</v>
      </c>
      <c r="R1047" s="568">
        <v>26</v>
      </c>
      <c r="S1047" s="566" t="s">
        <v>1340</v>
      </c>
      <c r="T1047" s="571" t="s">
        <v>467</v>
      </c>
      <c r="U1047" s="571" t="s">
        <v>670</v>
      </c>
      <c r="V1047" s="571" t="s">
        <v>469</v>
      </c>
      <c r="W1047" s="572" t="s">
        <v>1275</v>
      </c>
      <c r="X1047" s="571" t="s">
        <v>1337</v>
      </c>
      <c r="Y1047" s="571" t="s">
        <v>1338</v>
      </c>
      <c r="Z1047" s="566" t="s">
        <v>2111</v>
      </c>
      <c r="AA1047" s="573">
        <v>1056</v>
      </c>
      <c r="AB1047" s="571"/>
    </row>
    <row r="1048" spans="1:28" hidden="1">
      <c r="A1048" s="566" t="s">
        <v>1335</v>
      </c>
      <c r="B1048" s="566" t="s">
        <v>466</v>
      </c>
      <c r="C1048" s="566" t="s">
        <v>487</v>
      </c>
      <c r="D1048" s="566" t="s">
        <v>472</v>
      </c>
      <c r="E1048" s="566" t="s">
        <v>473</v>
      </c>
      <c r="F1048" s="566" t="s">
        <v>489</v>
      </c>
      <c r="G1048" s="567">
        <v>50</v>
      </c>
      <c r="H1048" s="566" t="s">
        <v>682</v>
      </c>
      <c r="I1048" s="568">
        <v>2</v>
      </c>
      <c r="J1048" s="569">
        <v>51</v>
      </c>
      <c r="K1048" s="569">
        <v>51</v>
      </c>
      <c r="L1048" s="566"/>
      <c r="M1048" s="566" t="s">
        <v>476</v>
      </c>
      <c r="N1048" s="570">
        <v>1092</v>
      </c>
      <c r="O1048" s="566"/>
      <c r="P1048" s="566" t="s">
        <v>477</v>
      </c>
      <c r="Q1048" s="568">
        <v>909678</v>
      </c>
      <c r="R1048" s="568">
        <v>28</v>
      </c>
      <c r="S1048" s="566" t="s">
        <v>1342</v>
      </c>
      <c r="T1048" s="571" t="s">
        <v>467</v>
      </c>
      <c r="U1048" s="571" t="s">
        <v>670</v>
      </c>
      <c r="V1048" s="571" t="s">
        <v>469</v>
      </c>
      <c r="W1048" s="572" t="s">
        <v>485</v>
      </c>
      <c r="X1048" s="571" t="s">
        <v>1337</v>
      </c>
      <c r="Y1048" s="571" t="s">
        <v>1338</v>
      </c>
      <c r="Z1048" s="566" t="s">
        <v>2112</v>
      </c>
      <c r="AA1048" s="573">
        <v>1092</v>
      </c>
      <c r="AB1048" s="571"/>
    </row>
    <row r="1049" spans="1:28" hidden="1">
      <c r="A1049" s="566" t="s">
        <v>1335</v>
      </c>
      <c r="B1049" s="566" t="s">
        <v>466</v>
      </c>
      <c r="C1049" s="566" t="s">
        <v>487</v>
      </c>
      <c r="D1049" s="566" t="s">
        <v>472</v>
      </c>
      <c r="E1049" s="566" t="s">
        <v>473</v>
      </c>
      <c r="F1049" s="566" t="s">
        <v>489</v>
      </c>
      <c r="G1049" s="567">
        <v>50</v>
      </c>
      <c r="H1049" s="566" t="s">
        <v>684</v>
      </c>
      <c r="I1049" s="568">
        <v>2</v>
      </c>
      <c r="J1049" s="569">
        <v>51</v>
      </c>
      <c r="K1049" s="569">
        <v>51</v>
      </c>
      <c r="L1049" s="566"/>
      <c r="M1049" s="566" t="s">
        <v>476</v>
      </c>
      <c r="N1049" s="570">
        <v>1128</v>
      </c>
      <c r="O1049" s="566"/>
      <c r="P1049" s="566" t="s">
        <v>477</v>
      </c>
      <c r="Q1049" s="568">
        <v>909678</v>
      </c>
      <c r="R1049" s="568">
        <v>29</v>
      </c>
      <c r="S1049" s="566" t="s">
        <v>1344</v>
      </c>
      <c r="T1049" s="571" t="s">
        <v>467</v>
      </c>
      <c r="U1049" s="571" t="s">
        <v>670</v>
      </c>
      <c r="V1049" s="571" t="s">
        <v>469</v>
      </c>
      <c r="W1049" s="572" t="s">
        <v>491</v>
      </c>
      <c r="X1049" s="571" t="s">
        <v>1337</v>
      </c>
      <c r="Y1049" s="571" t="s">
        <v>1338</v>
      </c>
      <c r="Z1049" s="566" t="s">
        <v>2113</v>
      </c>
      <c r="AA1049" s="573">
        <v>1128</v>
      </c>
      <c r="AB1049" s="571"/>
    </row>
    <row r="1050" spans="1:28" hidden="1">
      <c r="A1050" s="566" t="s">
        <v>1335</v>
      </c>
      <c r="B1050" s="566" t="s">
        <v>466</v>
      </c>
      <c r="C1050" s="566" t="s">
        <v>487</v>
      </c>
      <c r="D1050" s="566" t="s">
        <v>472</v>
      </c>
      <c r="E1050" s="566" t="s">
        <v>473</v>
      </c>
      <c r="F1050" s="566" t="s">
        <v>489</v>
      </c>
      <c r="G1050" s="567">
        <v>50</v>
      </c>
      <c r="H1050" s="566" t="s">
        <v>686</v>
      </c>
      <c r="I1050" s="568">
        <v>2</v>
      </c>
      <c r="J1050" s="569">
        <v>51</v>
      </c>
      <c r="K1050" s="569">
        <v>51</v>
      </c>
      <c r="L1050" s="566"/>
      <c r="M1050" s="566" t="s">
        <v>476</v>
      </c>
      <c r="N1050" s="570">
        <v>1164</v>
      </c>
      <c r="O1050" s="566"/>
      <c r="P1050" s="566" t="s">
        <v>477</v>
      </c>
      <c r="Q1050" s="568">
        <v>909678</v>
      </c>
      <c r="R1050" s="568">
        <v>30</v>
      </c>
      <c r="S1050" s="566" t="s">
        <v>1346</v>
      </c>
      <c r="T1050" s="571" t="s">
        <v>467</v>
      </c>
      <c r="U1050" s="571" t="s">
        <v>670</v>
      </c>
      <c r="V1050" s="571" t="s">
        <v>469</v>
      </c>
      <c r="W1050" s="572" t="s">
        <v>495</v>
      </c>
      <c r="X1050" s="571" t="s">
        <v>1337</v>
      </c>
      <c r="Y1050" s="571" t="s">
        <v>1338</v>
      </c>
      <c r="Z1050" s="566" t="s">
        <v>2114</v>
      </c>
      <c r="AA1050" s="573">
        <v>1164</v>
      </c>
      <c r="AB1050" s="571"/>
    </row>
    <row r="1051" spans="1:28" hidden="1">
      <c r="A1051" s="566" t="s">
        <v>1335</v>
      </c>
      <c r="B1051" s="566" t="s">
        <v>466</v>
      </c>
      <c r="C1051" s="566" t="s">
        <v>487</v>
      </c>
      <c r="D1051" s="566" t="s">
        <v>472</v>
      </c>
      <c r="E1051" s="566" t="s">
        <v>473</v>
      </c>
      <c r="F1051" s="566" t="s">
        <v>489</v>
      </c>
      <c r="G1051" s="567">
        <v>50</v>
      </c>
      <c r="H1051" s="566" t="s">
        <v>689</v>
      </c>
      <c r="I1051" s="568">
        <v>2</v>
      </c>
      <c r="J1051" s="569">
        <v>51</v>
      </c>
      <c r="K1051" s="569">
        <v>51</v>
      </c>
      <c r="L1051" s="566"/>
      <c r="M1051" s="566" t="s">
        <v>476</v>
      </c>
      <c r="N1051" s="570">
        <v>1200</v>
      </c>
      <c r="O1051" s="566"/>
      <c r="P1051" s="566" t="s">
        <v>477</v>
      </c>
      <c r="Q1051" s="568">
        <v>909678</v>
      </c>
      <c r="R1051" s="568">
        <v>31</v>
      </c>
      <c r="S1051" s="566" t="s">
        <v>1348</v>
      </c>
      <c r="T1051" s="571" t="s">
        <v>467</v>
      </c>
      <c r="U1051" s="571" t="s">
        <v>670</v>
      </c>
      <c r="V1051" s="571" t="s">
        <v>469</v>
      </c>
      <c r="W1051" s="572" t="s">
        <v>1276</v>
      </c>
      <c r="X1051" s="571" t="s">
        <v>1337</v>
      </c>
      <c r="Y1051" s="571" t="s">
        <v>1338</v>
      </c>
      <c r="Z1051" s="566" t="s">
        <v>2115</v>
      </c>
      <c r="AA1051" s="573">
        <v>1200</v>
      </c>
      <c r="AB1051" s="571"/>
    </row>
    <row r="1052" spans="1:28" hidden="1">
      <c r="A1052" s="566" t="s">
        <v>1335</v>
      </c>
      <c r="B1052" s="566" t="s">
        <v>466</v>
      </c>
      <c r="C1052" s="566" t="s">
        <v>487</v>
      </c>
      <c r="D1052" s="566" t="s">
        <v>472</v>
      </c>
      <c r="E1052" s="566" t="s">
        <v>473</v>
      </c>
      <c r="F1052" s="566" t="s">
        <v>489</v>
      </c>
      <c r="G1052" s="567">
        <v>50</v>
      </c>
      <c r="H1052" s="566" t="s">
        <v>692</v>
      </c>
      <c r="I1052" s="568">
        <v>2</v>
      </c>
      <c r="J1052" s="569">
        <v>51</v>
      </c>
      <c r="K1052" s="569">
        <v>51</v>
      </c>
      <c r="L1052" s="566"/>
      <c r="M1052" s="566" t="s">
        <v>476</v>
      </c>
      <c r="N1052" s="570">
        <v>1236</v>
      </c>
      <c r="O1052" s="566"/>
      <c r="P1052" s="566" t="s">
        <v>477</v>
      </c>
      <c r="Q1052" s="568">
        <v>909678</v>
      </c>
      <c r="R1052" s="568">
        <v>32</v>
      </c>
      <c r="S1052" s="566" t="s">
        <v>1350</v>
      </c>
      <c r="T1052" s="571" t="s">
        <v>467</v>
      </c>
      <c r="U1052" s="571" t="s">
        <v>670</v>
      </c>
      <c r="V1052" s="571" t="s">
        <v>469</v>
      </c>
      <c r="W1052" s="572" t="s">
        <v>1277</v>
      </c>
      <c r="X1052" s="571" t="s">
        <v>1337</v>
      </c>
      <c r="Y1052" s="571" t="s">
        <v>1338</v>
      </c>
      <c r="Z1052" s="566" t="s">
        <v>2116</v>
      </c>
      <c r="AA1052" s="573">
        <v>1236</v>
      </c>
      <c r="AB1052" s="571"/>
    </row>
    <row r="1053" spans="1:28" hidden="1">
      <c r="A1053" s="566" t="s">
        <v>1335</v>
      </c>
      <c r="B1053" s="566" t="s">
        <v>466</v>
      </c>
      <c r="C1053" s="566" t="s">
        <v>471</v>
      </c>
      <c r="D1053" s="566" t="s">
        <v>472</v>
      </c>
      <c r="E1053" s="566" t="s">
        <v>473</v>
      </c>
      <c r="F1053" s="566" t="s">
        <v>474</v>
      </c>
      <c r="G1053" s="567">
        <v>0</v>
      </c>
      <c r="H1053" s="566" t="s">
        <v>2117</v>
      </c>
      <c r="I1053" s="568">
        <v>2</v>
      </c>
      <c r="J1053" s="569">
        <v>51</v>
      </c>
      <c r="K1053" s="569">
        <v>51</v>
      </c>
      <c r="L1053" s="566"/>
      <c r="M1053" s="566" t="s">
        <v>476</v>
      </c>
      <c r="N1053" s="570">
        <v>1272</v>
      </c>
      <c r="O1053" s="566"/>
      <c r="P1053" s="566" t="s">
        <v>477</v>
      </c>
      <c r="Q1053" s="568">
        <v>909678</v>
      </c>
      <c r="R1053" s="568">
        <v>27</v>
      </c>
      <c r="S1053" s="566" t="s">
        <v>1353</v>
      </c>
      <c r="T1053" s="571" t="s">
        <v>467</v>
      </c>
      <c r="U1053" s="571" t="s">
        <v>670</v>
      </c>
      <c r="V1053" s="571" t="s">
        <v>469</v>
      </c>
      <c r="W1053" s="572" t="s">
        <v>1354</v>
      </c>
      <c r="X1053" s="571" t="s">
        <v>1337</v>
      </c>
      <c r="Y1053" s="571" t="s">
        <v>1338</v>
      </c>
      <c r="Z1053" s="566" t="s">
        <v>2118</v>
      </c>
      <c r="AA1053" s="573">
        <v>1272</v>
      </c>
      <c r="AB1053" s="571"/>
    </row>
    <row r="1054" spans="1:28" hidden="1">
      <c r="A1054" s="566" t="s">
        <v>1335</v>
      </c>
      <c r="B1054" s="566" t="s">
        <v>466</v>
      </c>
      <c r="C1054" s="566" t="s">
        <v>487</v>
      </c>
      <c r="D1054" s="566" t="s">
        <v>472</v>
      </c>
      <c r="E1054" s="566" t="s">
        <v>473</v>
      </c>
      <c r="F1054" s="566" t="s">
        <v>489</v>
      </c>
      <c r="G1054" s="567">
        <v>50</v>
      </c>
      <c r="H1054" s="566" t="s">
        <v>2119</v>
      </c>
      <c r="I1054" s="568">
        <v>2</v>
      </c>
      <c r="J1054" s="569">
        <v>51</v>
      </c>
      <c r="K1054" s="569">
        <v>51</v>
      </c>
      <c r="L1054" s="566"/>
      <c r="M1054" s="566" t="s">
        <v>476</v>
      </c>
      <c r="N1054" s="570">
        <v>1308</v>
      </c>
      <c r="O1054" s="566"/>
      <c r="P1054" s="566" t="s">
        <v>477</v>
      </c>
      <c r="Q1054" s="568">
        <v>909678</v>
      </c>
      <c r="R1054" s="568">
        <v>33</v>
      </c>
      <c r="S1054" s="566" t="s">
        <v>1357</v>
      </c>
      <c r="T1054" s="571" t="s">
        <v>467</v>
      </c>
      <c r="U1054" s="571" t="s">
        <v>670</v>
      </c>
      <c r="V1054" s="571" t="s">
        <v>469</v>
      </c>
      <c r="W1054" s="572" t="s">
        <v>1358</v>
      </c>
      <c r="X1054" s="571" t="s">
        <v>1337</v>
      </c>
      <c r="Y1054" s="571" t="s">
        <v>1338</v>
      </c>
      <c r="Z1054" s="566" t="s">
        <v>2120</v>
      </c>
      <c r="AA1054" s="573">
        <v>1308</v>
      </c>
      <c r="AB1054" s="571"/>
    </row>
    <row r="1055" spans="1:28" hidden="1">
      <c r="A1055" s="566" t="s">
        <v>1335</v>
      </c>
      <c r="B1055" s="566" t="s">
        <v>466</v>
      </c>
      <c r="C1055" s="566" t="s">
        <v>471</v>
      </c>
      <c r="D1055" s="566" t="s">
        <v>472</v>
      </c>
      <c r="E1055" s="566" t="s">
        <v>473</v>
      </c>
      <c r="F1055" s="566" t="s">
        <v>474</v>
      </c>
      <c r="G1055" s="567">
        <v>0</v>
      </c>
      <c r="H1055" s="566" t="s">
        <v>704</v>
      </c>
      <c r="I1055" s="568">
        <v>2</v>
      </c>
      <c r="J1055" s="569">
        <v>51</v>
      </c>
      <c r="K1055" s="569">
        <v>51</v>
      </c>
      <c r="L1055" s="566"/>
      <c r="M1055" s="566" t="s">
        <v>476</v>
      </c>
      <c r="N1055" s="570">
        <v>912</v>
      </c>
      <c r="O1055" s="566"/>
      <c r="P1055" s="566" t="s">
        <v>477</v>
      </c>
      <c r="Q1055" s="568">
        <v>909678</v>
      </c>
      <c r="R1055" s="568">
        <v>22</v>
      </c>
      <c r="S1055" s="566" t="s">
        <v>1360</v>
      </c>
      <c r="T1055" s="571" t="s">
        <v>467</v>
      </c>
      <c r="U1055" s="571" t="s">
        <v>670</v>
      </c>
      <c r="V1055" s="571" t="s">
        <v>469</v>
      </c>
      <c r="W1055" s="572" t="s">
        <v>509</v>
      </c>
      <c r="X1055" s="571" t="s">
        <v>1337</v>
      </c>
      <c r="Y1055" s="571" t="s">
        <v>1338</v>
      </c>
      <c r="Z1055" s="566" t="s">
        <v>2121</v>
      </c>
      <c r="AA1055" s="573">
        <v>912</v>
      </c>
      <c r="AB1055" s="571"/>
    </row>
    <row r="1056" spans="1:28" hidden="1">
      <c r="A1056" s="566" t="s">
        <v>1335</v>
      </c>
      <c r="B1056" s="566" t="s">
        <v>466</v>
      </c>
      <c r="C1056" s="566" t="s">
        <v>471</v>
      </c>
      <c r="D1056" s="566" t="s">
        <v>472</v>
      </c>
      <c r="E1056" s="566" t="s">
        <v>473</v>
      </c>
      <c r="F1056" s="566" t="s">
        <v>474</v>
      </c>
      <c r="G1056" s="567">
        <v>0</v>
      </c>
      <c r="H1056" s="566" t="s">
        <v>706</v>
      </c>
      <c r="I1056" s="568">
        <v>2</v>
      </c>
      <c r="J1056" s="569">
        <v>51</v>
      </c>
      <c r="K1056" s="569">
        <v>51</v>
      </c>
      <c r="L1056" s="566"/>
      <c r="M1056" s="566" t="s">
        <v>476</v>
      </c>
      <c r="N1056" s="570">
        <v>948</v>
      </c>
      <c r="O1056" s="566"/>
      <c r="P1056" s="566" t="s">
        <v>477</v>
      </c>
      <c r="Q1056" s="568">
        <v>909678</v>
      </c>
      <c r="R1056" s="568">
        <v>23</v>
      </c>
      <c r="S1056" s="566" t="s">
        <v>1362</v>
      </c>
      <c r="T1056" s="571" t="s">
        <v>467</v>
      </c>
      <c r="U1056" s="571" t="s">
        <v>670</v>
      </c>
      <c r="V1056" s="571" t="s">
        <v>469</v>
      </c>
      <c r="W1056" s="572" t="s">
        <v>512</v>
      </c>
      <c r="X1056" s="571" t="s">
        <v>1337</v>
      </c>
      <c r="Y1056" s="571" t="s">
        <v>1338</v>
      </c>
      <c r="Z1056" s="566" t="s">
        <v>2122</v>
      </c>
      <c r="AA1056" s="573">
        <v>948</v>
      </c>
      <c r="AB1056" s="571"/>
    </row>
    <row r="1057" spans="1:28" hidden="1">
      <c r="A1057" s="566" t="s">
        <v>1335</v>
      </c>
      <c r="B1057" s="566" t="s">
        <v>466</v>
      </c>
      <c r="C1057" s="566" t="s">
        <v>471</v>
      </c>
      <c r="D1057" s="566" t="s">
        <v>472</v>
      </c>
      <c r="E1057" s="566" t="s">
        <v>473</v>
      </c>
      <c r="F1057" s="566" t="s">
        <v>474</v>
      </c>
      <c r="G1057" s="567">
        <v>0</v>
      </c>
      <c r="H1057" s="566" t="s">
        <v>708</v>
      </c>
      <c r="I1057" s="568">
        <v>2</v>
      </c>
      <c r="J1057" s="569">
        <v>51</v>
      </c>
      <c r="K1057" s="569">
        <v>51</v>
      </c>
      <c r="L1057" s="566"/>
      <c r="M1057" s="566" t="s">
        <v>476</v>
      </c>
      <c r="N1057" s="570">
        <v>984</v>
      </c>
      <c r="O1057" s="566"/>
      <c r="P1057" s="566" t="s">
        <v>477</v>
      </c>
      <c r="Q1057" s="568">
        <v>909678</v>
      </c>
      <c r="R1057" s="568">
        <v>24</v>
      </c>
      <c r="S1057" s="566" t="s">
        <v>1364</v>
      </c>
      <c r="T1057" s="571" t="s">
        <v>467</v>
      </c>
      <c r="U1057" s="571" t="s">
        <v>670</v>
      </c>
      <c r="V1057" s="571" t="s">
        <v>469</v>
      </c>
      <c r="W1057" s="572" t="s">
        <v>514</v>
      </c>
      <c r="X1057" s="571" t="s">
        <v>1337</v>
      </c>
      <c r="Y1057" s="571" t="s">
        <v>1338</v>
      </c>
      <c r="Z1057" s="566" t="s">
        <v>2123</v>
      </c>
      <c r="AA1057" s="573">
        <v>984</v>
      </c>
      <c r="AB1057" s="571"/>
    </row>
    <row r="1058" spans="1:28" hidden="1">
      <c r="A1058" s="566" t="s">
        <v>1335</v>
      </c>
      <c r="B1058" s="566" t="s">
        <v>466</v>
      </c>
      <c r="C1058" s="566" t="s">
        <v>471</v>
      </c>
      <c r="D1058" s="566" t="s">
        <v>472</v>
      </c>
      <c r="E1058" s="566" t="s">
        <v>473</v>
      </c>
      <c r="F1058" s="566" t="s">
        <v>474</v>
      </c>
      <c r="G1058" s="567">
        <v>0</v>
      </c>
      <c r="H1058" s="566" t="s">
        <v>677</v>
      </c>
      <c r="I1058" s="568">
        <v>2</v>
      </c>
      <c r="J1058" s="569">
        <v>75</v>
      </c>
      <c r="K1058" s="569">
        <v>75</v>
      </c>
      <c r="L1058" s="566"/>
      <c r="M1058" s="566" t="s">
        <v>476</v>
      </c>
      <c r="N1058" s="570">
        <v>1560</v>
      </c>
      <c r="O1058" s="566"/>
      <c r="P1058" s="566" t="s">
        <v>477</v>
      </c>
      <c r="Q1058" s="568">
        <v>909678</v>
      </c>
      <c r="R1058" s="568">
        <v>40</v>
      </c>
      <c r="S1058" s="566" t="s">
        <v>1366</v>
      </c>
      <c r="T1058" s="571" t="s">
        <v>467</v>
      </c>
      <c r="U1058" s="571" t="s">
        <v>670</v>
      </c>
      <c r="V1058" s="571" t="s">
        <v>469</v>
      </c>
      <c r="W1058" s="572" t="s">
        <v>1274</v>
      </c>
      <c r="X1058" s="571" t="s">
        <v>1337</v>
      </c>
      <c r="Y1058" s="571" t="s">
        <v>1367</v>
      </c>
      <c r="Z1058" s="566" t="s">
        <v>2124</v>
      </c>
      <c r="AA1058" s="573">
        <v>1560</v>
      </c>
      <c r="AB1058" s="571"/>
    </row>
    <row r="1059" spans="1:28" hidden="1">
      <c r="A1059" s="566" t="s">
        <v>1335</v>
      </c>
      <c r="B1059" s="566" t="s">
        <v>466</v>
      </c>
      <c r="C1059" s="566" t="s">
        <v>471</v>
      </c>
      <c r="D1059" s="566" t="s">
        <v>472</v>
      </c>
      <c r="E1059" s="566" t="s">
        <v>473</v>
      </c>
      <c r="F1059" s="566" t="s">
        <v>474</v>
      </c>
      <c r="G1059" s="567">
        <v>0</v>
      </c>
      <c r="H1059" s="566" t="s">
        <v>680</v>
      </c>
      <c r="I1059" s="568">
        <v>2</v>
      </c>
      <c r="J1059" s="569">
        <v>75</v>
      </c>
      <c r="K1059" s="569">
        <v>75</v>
      </c>
      <c r="L1059" s="566"/>
      <c r="M1059" s="566" t="s">
        <v>476</v>
      </c>
      <c r="N1059" s="570">
        <v>1596</v>
      </c>
      <c r="O1059" s="566"/>
      <c r="P1059" s="566" t="s">
        <v>477</v>
      </c>
      <c r="Q1059" s="568">
        <v>909678</v>
      </c>
      <c r="R1059" s="568">
        <v>41</v>
      </c>
      <c r="S1059" s="566" t="s">
        <v>1369</v>
      </c>
      <c r="T1059" s="571" t="s">
        <v>467</v>
      </c>
      <c r="U1059" s="571" t="s">
        <v>670</v>
      </c>
      <c r="V1059" s="571" t="s">
        <v>469</v>
      </c>
      <c r="W1059" s="572" t="s">
        <v>1275</v>
      </c>
      <c r="X1059" s="571" t="s">
        <v>1337</v>
      </c>
      <c r="Y1059" s="571" t="s">
        <v>1367</v>
      </c>
      <c r="Z1059" s="566" t="s">
        <v>2125</v>
      </c>
      <c r="AA1059" s="573">
        <v>1596</v>
      </c>
      <c r="AB1059" s="571"/>
    </row>
    <row r="1060" spans="1:28" hidden="1">
      <c r="A1060" s="566" t="s">
        <v>1335</v>
      </c>
      <c r="B1060" s="566" t="s">
        <v>466</v>
      </c>
      <c r="C1060" s="566" t="s">
        <v>487</v>
      </c>
      <c r="D1060" s="566" t="s">
        <v>472</v>
      </c>
      <c r="E1060" s="566" t="s">
        <v>473</v>
      </c>
      <c r="F1060" s="566" t="s">
        <v>489</v>
      </c>
      <c r="G1060" s="567">
        <v>50</v>
      </c>
      <c r="H1060" s="566" t="s">
        <v>689</v>
      </c>
      <c r="I1060" s="568">
        <v>2</v>
      </c>
      <c r="J1060" s="569">
        <v>75</v>
      </c>
      <c r="K1060" s="569">
        <v>75</v>
      </c>
      <c r="L1060" s="566"/>
      <c r="M1060" s="566" t="s">
        <v>476</v>
      </c>
      <c r="N1060" s="570">
        <v>1632</v>
      </c>
      <c r="O1060" s="566"/>
      <c r="P1060" s="566" t="s">
        <v>477</v>
      </c>
      <c r="Q1060" s="568">
        <v>909678</v>
      </c>
      <c r="R1060" s="568">
        <v>43</v>
      </c>
      <c r="S1060" s="566" t="s">
        <v>1371</v>
      </c>
      <c r="T1060" s="571" t="s">
        <v>467</v>
      </c>
      <c r="U1060" s="571" t="s">
        <v>670</v>
      </c>
      <c r="V1060" s="571" t="s">
        <v>469</v>
      </c>
      <c r="W1060" s="572" t="s">
        <v>1276</v>
      </c>
      <c r="X1060" s="571" t="s">
        <v>1337</v>
      </c>
      <c r="Y1060" s="571" t="s">
        <v>1367</v>
      </c>
      <c r="Z1060" s="566" t="s">
        <v>2126</v>
      </c>
      <c r="AA1060" s="573">
        <v>1632</v>
      </c>
      <c r="AB1060" s="571"/>
    </row>
    <row r="1061" spans="1:28" hidden="1">
      <c r="A1061" s="566" t="s">
        <v>1335</v>
      </c>
      <c r="B1061" s="566" t="s">
        <v>466</v>
      </c>
      <c r="C1061" s="566" t="s">
        <v>487</v>
      </c>
      <c r="D1061" s="566" t="s">
        <v>472</v>
      </c>
      <c r="E1061" s="566" t="s">
        <v>473</v>
      </c>
      <c r="F1061" s="566" t="s">
        <v>489</v>
      </c>
      <c r="G1061" s="567">
        <v>50</v>
      </c>
      <c r="H1061" s="566" t="s">
        <v>692</v>
      </c>
      <c r="I1061" s="568">
        <v>2</v>
      </c>
      <c r="J1061" s="569">
        <v>75</v>
      </c>
      <c r="K1061" s="569">
        <v>75</v>
      </c>
      <c r="L1061" s="566"/>
      <c r="M1061" s="566" t="s">
        <v>476</v>
      </c>
      <c r="N1061" s="570">
        <v>1668</v>
      </c>
      <c r="O1061" s="566"/>
      <c r="P1061" s="566" t="s">
        <v>477</v>
      </c>
      <c r="Q1061" s="568">
        <v>909678</v>
      </c>
      <c r="R1061" s="568">
        <v>44</v>
      </c>
      <c r="S1061" s="566" t="s">
        <v>1373</v>
      </c>
      <c r="T1061" s="571" t="s">
        <v>467</v>
      </c>
      <c r="U1061" s="571" t="s">
        <v>670</v>
      </c>
      <c r="V1061" s="571" t="s">
        <v>469</v>
      </c>
      <c r="W1061" s="572" t="s">
        <v>1277</v>
      </c>
      <c r="X1061" s="571" t="s">
        <v>1337</v>
      </c>
      <c r="Y1061" s="571" t="s">
        <v>1367</v>
      </c>
      <c r="Z1061" s="566" t="s">
        <v>2127</v>
      </c>
      <c r="AA1061" s="573">
        <v>1668</v>
      </c>
      <c r="AB1061" s="571"/>
    </row>
    <row r="1062" spans="1:28" hidden="1">
      <c r="A1062" s="566" t="s">
        <v>1335</v>
      </c>
      <c r="B1062" s="566" t="s">
        <v>466</v>
      </c>
      <c r="C1062" s="566" t="s">
        <v>471</v>
      </c>
      <c r="D1062" s="566" t="s">
        <v>472</v>
      </c>
      <c r="E1062" s="566" t="s">
        <v>473</v>
      </c>
      <c r="F1062" s="566" t="s">
        <v>474</v>
      </c>
      <c r="G1062" s="567">
        <v>0</v>
      </c>
      <c r="H1062" s="566" t="s">
        <v>2117</v>
      </c>
      <c r="I1062" s="568">
        <v>2</v>
      </c>
      <c r="J1062" s="569">
        <v>75</v>
      </c>
      <c r="K1062" s="569">
        <v>75</v>
      </c>
      <c r="L1062" s="566"/>
      <c r="M1062" s="566" t="s">
        <v>476</v>
      </c>
      <c r="N1062" s="570">
        <v>1704</v>
      </c>
      <c r="O1062" s="566"/>
      <c r="P1062" s="566" t="s">
        <v>477</v>
      </c>
      <c r="Q1062" s="568">
        <v>909678</v>
      </c>
      <c r="R1062" s="568">
        <v>42</v>
      </c>
      <c r="S1062" s="566" t="s">
        <v>1375</v>
      </c>
      <c r="T1062" s="571" t="s">
        <v>467</v>
      </c>
      <c r="U1062" s="571" t="s">
        <v>670</v>
      </c>
      <c r="V1062" s="571" t="s">
        <v>469</v>
      </c>
      <c r="W1062" s="572" t="s">
        <v>1354</v>
      </c>
      <c r="X1062" s="571" t="s">
        <v>1337</v>
      </c>
      <c r="Y1062" s="571" t="s">
        <v>1367</v>
      </c>
      <c r="Z1062" s="566" t="s">
        <v>2128</v>
      </c>
      <c r="AA1062" s="573">
        <v>1704</v>
      </c>
      <c r="AB1062" s="571"/>
    </row>
    <row r="1063" spans="1:28" hidden="1">
      <c r="A1063" s="566" t="s">
        <v>1335</v>
      </c>
      <c r="B1063" s="566" t="s">
        <v>466</v>
      </c>
      <c r="C1063" s="566" t="s">
        <v>487</v>
      </c>
      <c r="D1063" s="566" t="s">
        <v>472</v>
      </c>
      <c r="E1063" s="566" t="s">
        <v>473</v>
      </c>
      <c r="F1063" s="566" t="s">
        <v>489</v>
      </c>
      <c r="G1063" s="567">
        <v>50</v>
      </c>
      <c r="H1063" s="566" t="s">
        <v>2119</v>
      </c>
      <c r="I1063" s="568">
        <v>2</v>
      </c>
      <c r="J1063" s="569">
        <v>75</v>
      </c>
      <c r="K1063" s="569">
        <v>75</v>
      </c>
      <c r="L1063" s="566"/>
      <c r="M1063" s="566" t="s">
        <v>476</v>
      </c>
      <c r="N1063" s="570">
        <v>1740</v>
      </c>
      <c r="O1063" s="566"/>
      <c r="P1063" s="566" t="s">
        <v>477</v>
      </c>
      <c r="Q1063" s="568">
        <v>909678</v>
      </c>
      <c r="R1063" s="568">
        <v>45</v>
      </c>
      <c r="S1063" s="566" t="s">
        <v>1377</v>
      </c>
      <c r="T1063" s="571" t="s">
        <v>467</v>
      </c>
      <c r="U1063" s="571" t="s">
        <v>670</v>
      </c>
      <c r="V1063" s="571" t="s">
        <v>469</v>
      </c>
      <c r="W1063" s="572" t="s">
        <v>1358</v>
      </c>
      <c r="X1063" s="571" t="s">
        <v>1337</v>
      </c>
      <c r="Y1063" s="571" t="s">
        <v>1367</v>
      </c>
      <c r="Z1063" s="566" t="s">
        <v>2129</v>
      </c>
      <c r="AA1063" s="573">
        <v>1740</v>
      </c>
      <c r="AB1063" s="571"/>
    </row>
    <row r="1064" spans="1:28" hidden="1">
      <c r="A1064" s="566" t="s">
        <v>1335</v>
      </c>
      <c r="B1064" s="566" t="s">
        <v>466</v>
      </c>
      <c r="C1064" s="566" t="s">
        <v>553</v>
      </c>
      <c r="D1064" s="566" t="s">
        <v>472</v>
      </c>
      <c r="E1064" s="566" t="s">
        <v>473</v>
      </c>
      <c r="F1064" s="566" t="s">
        <v>554</v>
      </c>
      <c r="G1064" s="567">
        <v>13</v>
      </c>
      <c r="H1064" s="566" t="s">
        <v>672</v>
      </c>
      <c r="I1064" s="568">
        <v>2</v>
      </c>
      <c r="J1064" s="569">
        <v>22</v>
      </c>
      <c r="K1064" s="569">
        <v>22</v>
      </c>
      <c r="L1064" s="569">
        <v>17</v>
      </c>
      <c r="M1064" s="566" t="s">
        <v>476</v>
      </c>
      <c r="N1064" s="570">
        <v>165</v>
      </c>
      <c r="O1064" s="566"/>
      <c r="P1064" s="566" t="s">
        <v>477</v>
      </c>
      <c r="Q1064" s="568">
        <v>909678</v>
      </c>
      <c r="R1064" s="568">
        <v>9</v>
      </c>
      <c r="S1064" s="566" t="s">
        <v>1379</v>
      </c>
      <c r="T1064" s="571" t="s">
        <v>467</v>
      </c>
      <c r="U1064" s="571" t="s">
        <v>670</v>
      </c>
      <c r="V1064" s="571" t="s">
        <v>469</v>
      </c>
      <c r="W1064" s="572" t="s">
        <v>551</v>
      </c>
      <c r="X1064" s="571" t="s">
        <v>1380</v>
      </c>
      <c r="Y1064" s="571" t="s">
        <v>1338</v>
      </c>
      <c r="Z1064" s="566" t="s">
        <v>671</v>
      </c>
      <c r="AA1064" s="573">
        <v>165</v>
      </c>
      <c r="AB1064" s="571">
        <v>260064</v>
      </c>
    </row>
    <row r="1065" spans="1:28" hidden="1">
      <c r="A1065" s="566" t="s">
        <v>1335</v>
      </c>
      <c r="B1065" s="566" t="s">
        <v>466</v>
      </c>
      <c r="C1065" s="566" t="s">
        <v>553</v>
      </c>
      <c r="D1065" s="566" t="s">
        <v>472</v>
      </c>
      <c r="E1065" s="566" t="s">
        <v>473</v>
      </c>
      <c r="F1065" s="566" t="s">
        <v>554</v>
      </c>
      <c r="G1065" s="567">
        <v>16</v>
      </c>
      <c r="H1065" s="566" t="s">
        <v>674</v>
      </c>
      <c r="I1065" s="568">
        <v>2</v>
      </c>
      <c r="J1065" s="569">
        <v>22</v>
      </c>
      <c r="K1065" s="569">
        <v>22</v>
      </c>
      <c r="L1065" s="569">
        <v>17</v>
      </c>
      <c r="M1065" s="566" t="s">
        <v>476</v>
      </c>
      <c r="N1065" s="570">
        <v>309</v>
      </c>
      <c r="O1065" s="566"/>
      <c r="P1065" s="566" t="s">
        <v>477</v>
      </c>
      <c r="Q1065" s="568">
        <v>909678</v>
      </c>
      <c r="R1065" s="568">
        <v>4</v>
      </c>
      <c r="S1065" s="566" t="s">
        <v>1381</v>
      </c>
      <c r="T1065" s="571" t="s">
        <v>467</v>
      </c>
      <c r="U1065" s="571" t="s">
        <v>670</v>
      </c>
      <c r="V1065" s="571" t="s">
        <v>469</v>
      </c>
      <c r="W1065" s="572" t="s">
        <v>556</v>
      </c>
      <c r="X1065" s="571" t="s">
        <v>1380</v>
      </c>
      <c r="Y1065" s="571" t="s">
        <v>1338</v>
      </c>
      <c r="Z1065" s="566" t="s">
        <v>673</v>
      </c>
      <c r="AA1065" s="573">
        <v>309</v>
      </c>
      <c r="AB1065" s="571">
        <v>260208</v>
      </c>
    </row>
    <row r="1066" spans="1:28" hidden="1">
      <c r="A1066" s="566" t="s">
        <v>1335</v>
      </c>
      <c r="B1066" s="566" t="s">
        <v>466</v>
      </c>
      <c r="C1066" s="566" t="s">
        <v>471</v>
      </c>
      <c r="D1066" s="566" t="s">
        <v>472</v>
      </c>
      <c r="E1066" s="566" t="s">
        <v>473</v>
      </c>
      <c r="F1066" s="566" t="s">
        <v>474</v>
      </c>
      <c r="G1066" s="567">
        <v>0</v>
      </c>
      <c r="H1066" s="566" t="s">
        <v>677</v>
      </c>
      <c r="I1066" s="568">
        <v>2</v>
      </c>
      <c r="J1066" s="569">
        <v>3</v>
      </c>
      <c r="K1066" s="569">
        <v>3</v>
      </c>
      <c r="L1066" s="566"/>
      <c r="M1066" s="566" t="s">
        <v>476</v>
      </c>
      <c r="N1066" s="570">
        <v>480</v>
      </c>
      <c r="O1066" s="566"/>
      <c r="P1066" s="566" t="s">
        <v>477</v>
      </c>
      <c r="Q1066" s="568">
        <v>909678</v>
      </c>
      <c r="R1066" s="568">
        <v>10</v>
      </c>
      <c r="S1066" s="566" t="s">
        <v>1382</v>
      </c>
      <c r="T1066" s="571" t="s">
        <v>467</v>
      </c>
      <c r="U1066" s="571" t="s">
        <v>670</v>
      </c>
      <c r="V1066" s="571" t="s">
        <v>469</v>
      </c>
      <c r="W1066" s="572" t="s">
        <v>1274</v>
      </c>
      <c r="X1066" s="571" t="s">
        <v>1380</v>
      </c>
      <c r="Y1066" s="571" t="s">
        <v>1338</v>
      </c>
      <c r="Z1066" s="566" t="s">
        <v>676</v>
      </c>
      <c r="AA1066" s="573">
        <v>480</v>
      </c>
      <c r="AB1066" s="571"/>
    </row>
    <row r="1067" spans="1:28" hidden="1">
      <c r="A1067" s="566" t="s">
        <v>1335</v>
      </c>
      <c r="B1067" s="566" t="s">
        <v>466</v>
      </c>
      <c r="C1067" s="566" t="s">
        <v>471</v>
      </c>
      <c r="D1067" s="566" t="s">
        <v>472</v>
      </c>
      <c r="E1067" s="566" t="s">
        <v>473</v>
      </c>
      <c r="F1067" s="566" t="s">
        <v>474</v>
      </c>
      <c r="G1067" s="567">
        <v>0</v>
      </c>
      <c r="H1067" s="566" t="s">
        <v>680</v>
      </c>
      <c r="I1067" s="568">
        <v>2</v>
      </c>
      <c r="J1067" s="569">
        <v>3</v>
      </c>
      <c r="K1067" s="569">
        <v>3</v>
      </c>
      <c r="L1067" s="566"/>
      <c r="M1067" s="566" t="s">
        <v>476</v>
      </c>
      <c r="N1067" s="570">
        <v>552</v>
      </c>
      <c r="O1067" s="566"/>
      <c r="P1067" s="566" t="s">
        <v>477</v>
      </c>
      <c r="Q1067" s="568">
        <v>909678</v>
      </c>
      <c r="R1067" s="568">
        <v>15</v>
      </c>
      <c r="S1067" s="566" t="s">
        <v>483</v>
      </c>
      <c r="T1067" s="571" t="s">
        <v>467</v>
      </c>
      <c r="U1067" s="571" t="s">
        <v>670</v>
      </c>
      <c r="V1067" s="571" t="s">
        <v>469</v>
      </c>
      <c r="W1067" s="572" t="s">
        <v>1275</v>
      </c>
      <c r="X1067" s="571" t="s">
        <v>1380</v>
      </c>
      <c r="Y1067" s="571" t="s">
        <v>1338</v>
      </c>
      <c r="Z1067" s="566" t="s">
        <v>679</v>
      </c>
      <c r="AA1067" s="573">
        <v>552</v>
      </c>
      <c r="AB1067" s="571"/>
    </row>
    <row r="1068" spans="1:28" hidden="1">
      <c r="A1068" s="566" t="s">
        <v>1335</v>
      </c>
      <c r="B1068" s="566" t="s">
        <v>466</v>
      </c>
      <c r="C1068" s="566" t="s">
        <v>487</v>
      </c>
      <c r="D1068" s="566" t="s">
        <v>472</v>
      </c>
      <c r="E1068" s="566" t="s">
        <v>473</v>
      </c>
      <c r="F1068" s="566" t="s">
        <v>489</v>
      </c>
      <c r="G1068" s="567">
        <v>50</v>
      </c>
      <c r="H1068" s="566" t="s">
        <v>682</v>
      </c>
      <c r="I1068" s="568">
        <v>2</v>
      </c>
      <c r="J1068" s="569">
        <v>3</v>
      </c>
      <c r="K1068" s="569">
        <v>3</v>
      </c>
      <c r="L1068" s="566"/>
      <c r="M1068" s="566" t="s">
        <v>476</v>
      </c>
      <c r="N1068" s="570">
        <v>588</v>
      </c>
      <c r="O1068" s="566"/>
      <c r="P1068" s="566" t="s">
        <v>477</v>
      </c>
      <c r="Q1068" s="568">
        <v>909678</v>
      </c>
      <c r="R1068" s="568">
        <v>16</v>
      </c>
      <c r="S1068" s="566" t="s">
        <v>488</v>
      </c>
      <c r="T1068" s="571" t="s">
        <v>467</v>
      </c>
      <c r="U1068" s="571" t="s">
        <v>670</v>
      </c>
      <c r="V1068" s="571" t="s">
        <v>469</v>
      </c>
      <c r="W1068" s="572" t="s">
        <v>485</v>
      </c>
      <c r="X1068" s="571" t="s">
        <v>1380</v>
      </c>
      <c r="Y1068" s="571" t="s">
        <v>1338</v>
      </c>
      <c r="Z1068" s="566" t="s">
        <v>681</v>
      </c>
      <c r="AA1068" s="573">
        <v>588</v>
      </c>
      <c r="AB1068" s="571"/>
    </row>
    <row r="1069" spans="1:28" hidden="1">
      <c r="A1069" s="566" t="s">
        <v>1335</v>
      </c>
      <c r="B1069" s="566" t="s">
        <v>466</v>
      </c>
      <c r="C1069" s="566" t="s">
        <v>487</v>
      </c>
      <c r="D1069" s="566" t="s">
        <v>472</v>
      </c>
      <c r="E1069" s="566" t="s">
        <v>473</v>
      </c>
      <c r="F1069" s="566" t="s">
        <v>489</v>
      </c>
      <c r="G1069" s="567">
        <v>50</v>
      </c>
      <c r="H1069" s="566" t="s">
        <v>684</v>
      </c>
      <c r="I1069" s="568">
        <v>2</v>
      </c>
      <c r="J1069" s="569">
        <v>3</v>
      </c>
      <c r="K1069" s="569">
        <v>3</v>
      </c>
      <c r="L1069" s="566"/>
      <c r="M1069" s="566" t="s">
        <v>476</v>
      </c>
      <c r="N1069" s="570">
        <v>624</v>
      </c>
      <c r="O1069" s="566"/>
      <c r="P1069" s="566" t="s">
        <v>477</v>
      </c>
      <c r="Q1069" s="568">
        <v>909678</v>
      </c>
      <c r="R1069" s="568">
        <v>17</v>
      </c>
      <c r="S1069" s="566" t="s">
        <v>493</v>
      </c>
      <c r="T1069" s="571" t="s">
        <v>467</v>
      </c>
      <c r="U1069" s="571" t="s">
        <v>670</v>
      </c>
      <c r="V1069" s="571" t="s">
        <v>469</v>
      </c>
      <c r="W1069" s="572" t="s">
        <v>491</v>
      </c>
      <c r="X1069" s="571" t="s">
        <v>1380</v>
      </c>
      <c r="Y1069" s="571" t="s">
        <v>1338</v>
      </c>
      <c r="Z1069" s="566" t="s">
        <v>683</v>
      </c>
      <c r="AA1069" s="573">
        <v>624</v>
      </c>
      <c r="AB1069" s="571"/>
    </row>
    <row r="1070" spans="1:28" hidden="1">
      <c r="A1070" s="566" t="s">
        <v>1335</v>
      </c>
      <c r="B1070" s="566" t="s">
        <v>466</v>
      </c>
      <c r="C1070" s="566" t="s">
        <v>487</v>
      </c>
      <c r="D1070" s="566" t="s">
        <v>472</v>
      </c>
      <c r="E1070" s="566" t="s">
        <v>473</v>
      </c>
      <c r="F1070" s="566" t="s">
        <v>489</v>
      </c>
      <c r="G1070" s="567">
        <v>50</v>
      </c>
      <c r="H1070" s="566" t="s">
        <v>686</v>
      </c>
      <c r="I1070" s="568">
        <v>2</v>
      </c>
      <c r="J1070" s="569">
        <v>3</v>
      </c>
      <c r="K1070" s="569">
        <v>3</v>
      </c>
      <c r="L1070" s="566"/>
      <c r="M1070" s="566" t="s">
        <v>476</v>
      </c>
      <c r="N1070" s="570">
        <v>660</v>
      </c>
      <c r="O1070" s="566"/>
      <c r="P1070" s="566" t="s">
        <v>477</v>
      </c>
      <c r="Q1070" s="568">
        <v>909678</v>
      </c>
      <c r="R1070" s="568">
        <v>18</v>
      </c>
      <c r="S1070" s="566" t="s">
        <v>497</v>
      </c>
      <c r="T1070" s="571" t="s">
        <v>467</v>
      </c>
      <c r="U1070" s="571" t="s">
        <v>670</v>
      </c>
      <c r="V1070" s="571" t="s">
        <v>469</v>
      </c>
      <c r="W1070" s="572" t="s">
        <v>495</v>
      </c>
      <c r="X1070" s="571" t="s">
        <v>1380</v>
      </c>
      <c r="Y1070" s="571" t="s">
        <v>1338</v>
      </c>
      <c r="Z1070" s="566" t="s">
        <v>685</v>
      </c>
      <c r="AA1070" s="573">
        <v>660</v>
      </c>
      <c r="AB1070" s="571"/>
    </row>
    <row r="1071" spans="1:28" hidden="1">
      <c r="A1071" s="566" t="s">
        <v>1335</v>
      </c>
      <c r="B1071" s="566" t="s">
        <v>466</v>
      </c>
      <c r="C1071" s="566" t="s">
        <v>487</v>
      </c>
      <c r="D1071" s="566" t="s">
        <v>472</v>
      </c>
      <c r="E1071" s="566" t="s">
        <v>473</v>
      </c>
      <c r="F1071" s="566" t="s">
        <v>489</v>
      </c>
      <c r="G1071" s="567">
        <v>50</v>
      </c>
      <c r="H1071" s="566" t="s">
        <v>689</v>
      </c>
      <c r="I1071" s="568">
        <v>2</v>
      </c>
      <c r="J1071" s="569">
        <v>3</v>
      </c>
      <c r="K1071" s="569">
        <v>3</v>
      </c>
      <c r="L1071" s="566"/>
      <c r="M1071" s="566" t="s">
        <v>476</v>
      </c>
      <c r="N1071" s="570">
        <v>732</v>
      </c>
      <c r="O1071" s="566"/>
      <c r="P1071" s="566" t="s">
        <v>477</v>
      </c>
      <c r="Q1071" s="568">
        <v>909678</v>
      </c>
      <c r="R1071" s="568">
        <v>19</v>
      </c>
      <c r="S1071" s="566" t="s">
        <v>502</v>
      </c>
      <c r="T1071" s="571" t="s">
        <v>467</v>
      </c>
      <c r="U1071" s="571" t="s">
        <v>670</v>
      </c>
      <c r="V1071" s="571" t="s">
        <v>469</v>
      </c>
      <c r="W1071" s="572" t="s">
        <v>1276</v>
      </c>
      <c r="X1071" s="571" t="s">
        <v>1380</v>
      </c>
      <c r="Y1071" s="571" t="s">
        <v>1338</v>
      </c>
      <c r="Z1071" s="566" t="s">
        <v>688</v>
      </c>
      <c r="AA1071" s="573">
        <v>732</v>
      </c>
      <c r="AB1071" s="571"/>
    </row>
    <row r="1072" spans="1:28" hidden="1">
      <c r="A1072" s="566" t="s">
        <v>1335</v>
      </c>
      <c r="B1072" s="566" t="s">
        <v>466</v>
      </c>
      <c r="C1072" s="566" t="s">
        <v>487</v>
      </c>
      <c r="D1072" s="566" t="s">
        <v>472</v>
      </c>
      <c r="E1072" s="566" t="s">
        <v>473</v>
      </c>
      <c r="F1072" s="566" t="s">
        <v>489</v>
      </c>
      <c r="G1072" s="567">
        <v>50</v>
      </c>
      <c r="H1072" s="566" t="s">
        <v>692</v>
      </c>
      <c r="I1072" s="568">
        <v>2</v>
      </c>
      <c r="J1072" s="569">
        <v>3</v>
      </c>
      <c r="K1072" s="569">
        <v>3</v>
      </c>
      <c r="L1072" s="566"/>
      <c r="M1072" s="566" t="s">
        <v>476</v>
      </c>
      <c r="N1072" s="570">
        <v>804</v>
      </c>
      <c r="O1072" s="566"/>
      <c r="P1072" s="566" t="s">
        <v>477</v>
      </c>
      <c r="Q1072" s="568">
        <v>909678</v>
      </c>
      <c r="R1072" s="568">
        <v>21</v>
      </c>
      <c r="S1072" s="566" t="s">
        <v>507</v>
      </c>
      <c r="T1072" s="571" t="s">
        <v>467</v>
      </c>
      <c r="U1072" s="571" t="s">
        <v>670</v>
      </c>
      <c r="V1072" s="571" t="s">
        <v>469</v>
      </c>
      <c r="W1072" s="572" t="s">
        <v>1277</v>
      </c>
      <c r="X1072" s="571" t="s">
        <v>1380</v>
      </c>
      <c r="Y1072" s="571" t="s">
        <v>1338</v>
      </c>
      <c r="Z1072" s="566" t="s">
        <v>691</v>
      </c>
      <c r="AA1072" s="573">
        <v>804</v>
      </c>
      <c r="AB1072" s="571"/>
    </row>
    <row r="1073" spans="1:28" hidden="1">
      <c r="A1073" s="566" t="s">
        <v>1335</v>
      </c>
      <c r="B1073" s="566" t="s">
        <v>466</v>
      </c>
      <c r="C1073" s="566" t="s">
        <v>471</v>
      </c>
      <c r="D1073" s="566" t="s">
        <v>472</v>
      </c>
      <c r="E1073" s="566" t="s">
        <v>473</v>
      </c>
      <c r="F1073" s="566" t="s">
        <v>474</v>
      </c>
      <c r="G1073" s="567">
        <v>0</v>
      </c>
      <c r="H1073" s="566" t="s">
        <v>2117</v>
      </c>
      <c r="I1073" s="568">
        <v>2</v>
      </c>
      <c r="J1073" s="569">
        <v>3</v>
      </c>
      <c r="K1073" s="569">
        <v>3</v>
      </c>
      <c r="L1073" s="566"/>
      <c r="M1073" s="566" t="s">
        <v>476</v>
      </c>
      <c r="N1073" s="570">
        <v>840</v>
      </c>
      <c r="O1073" s="566"/>
      <c r="P1073" s="566" t="s">
        <v>477</v>
      </c>
      <c r="Q1073" s="568">
        <v>909678</v>
      </c>
      <c r="R1073" s="568">
        <v>46</v>
      </c>
      <c r="S1073" s="566" t="s">
        <v>1383</v>
      </c>
      <c r="T1073" s="571" t="s">
        <v>467</v>
      </c>
      <c r="U1073" s="571" t="s">
        <v>670</v>
      </c>
      <c r="V1073" s="571" t="s">
        <v>469</v>
      </c>
      <c r="W1073" s="572" t="s">
        <v>1354</v>
      </c>
      <c r="X1073" s="571" t="s">
        <v>1380</v>
      </c>
      <c r="Y1073" s="571" t="s">
        <v>1338</v>
      </c>
      <c r="Z1073" s="566" t="s">
        <v>2130</v>
      </c>
      <c r="AA1073" s="573">
        <v>840</v>
      </c>
      <c r="AB1073" s="571"/>
    </row>
    <row r="1074" spans="1:28" hidden="1">
      <c r="A1074" s="566" t="s">
        <v>1335</v>
      </c>
      <c r="B1074" s="566" t="s">
        <v>466</v>
      </c>
      <c r="C1074" s="566" t="s">
        <v>487</v>
      </c>
      <c r="D1074" s="566" t="s">
        <v>472</v>
      </c>
      <c r="E1074" s="566" t="s">
        <v>473</v>
      </c>
      <c r="F1074" s="566" t="s">
        <v>489</v>
      </c>
      <c r="G1074" s="567">
        <v>50</v>
      </c>
      <c r="H1074" s="566" t="s">
        <v>2119</v>
      </c>
      <c r="I1074" s="568">
        <v>2</v>
      </c>
      <c r="J1074" s="569">
        <v>3</v>
      </c>
      <c r="K1074" s="569">
        <v>3</v>
      </c>
      <c r="L1074" s="566"/>
      <c r="M1074" s="566" t="s">
        <v>476</v>
      </c>
      <c r="N1074" s="570">
        <v>876</v>
      </c>
      <c r="O1074" s="566"/>
      <c r="P1074" s="566" t="s">
        <v>477</v>
      </c>
      <c r="Q1074" s="568">
        <v>909678</v>
      </c>
      <c r="R1074" s="568">
        <v>47</v>
      </c>
      <c r="S1074" s="566" t="s">
        <v>1385</v>
      </c>
      <c r="T1074" s="571" t="s">
        <v>467</v>
      </c>
      <c r="U1074" s="571" t="s">
        <v>670</v>
      </c>
      <c r="V1074" s="571" t="s">
        <v>469</v>
      </c>
      <c r="W1074" s="572" t="s">
        <v>1358</v>
      </c>
      <c r="X1074" s="571" t="s">
        <v>1380</v>
      </c>
      <c r="Y1074" s="571" t="s">
        <v>1338</v>
      </c>
      <c r="Z1074" s="566" t="s">
        <v>2131</v>
      </c>
      <c r="AA1074" s="573">
        <v>876</v>
      </c>
      <c r="AB1074" s="571"/>
    </row>
    <row r="1075" spans="1:28" hidden="1">
      <c r="A1075" s="566" t="s">
        <v>1335</v>
      </c>
      <c r="B1075" s="566" t="s">
        <v>466</v>
      </c>
      <c r="C1075" s="566" t="s">
        <v>553</v>
      </c>
      <c r="D1075" s="566" t="s">
        <v>472</v>
      </c>
      <c r="E1075" s="566" t="s">
        <v>473</v>
      </c>
      <c r="F1075" s="566" t="s">
        <v>554</v>
      </c>
      <c r="G1075" s="567">
        <v>13</v>
      </c>
      <c r="H1075" s="566" t="s">
        <v>694</v>
      </c>
      <c r="I1075" s="568">
        <v>2</v>
      </c>
      <c r="J1075" s="569">
        <v>22</v>
      </c>
      <c r="K1075" s="569">
        <v>22</v>
      </c>
      <c r="L1075" s="569">
        <v>17</v>
      </c>
      <c r="M1075" s="566" t="s">
        <v>476</v>
      </c>
      <c r="N1075" s="570">
        <v>189</v>
      </c>
      <c r="O1075" s="566"/>
      <c r="P1075" s="566" t="s">
        <v>477</v>
      </c>
      <c r="Q1075" s="568">
        <v>909678</v>
      </c>
      <c r="R1075" s="568">
        <v>1</v>
      </c>
      <c r="S1075" s="566" t="s">
        <v>1387</v>
      </c>
      <c r="T1075" s="571" t="s">
        <v>467</v>
      </c>
      <c r="U1075" s="571" t="s">
        <v>670</v>
      </c>
      <c r="V1075" s="571" t="s">
        <v>469</v>
      </c>
      <c r="W1075" s="572" t="s">
        <v>577</v>
      </c>
      <c r="X1075" s="571" t="s">
        <v>1380</v>
      </c>
      <c r="Y1075" s="571" t="s">
        <v>1338</v>
      </c>
      <c r="Z1075" s="566" t="s">
        <v>693</v>
      </c>
      <c r="AA1075" s="573">
        <v>189</v>
      </c>
      <c r="AB1075" s="571">
        <v>260088</v>
      </c>
    </row>
    <row r="1076" spans="1:28" hidden="1">
      <c r="A1076" s="566" t="s">
        <v>1335</v>
      </c>
      <c r="B1076" s="566" t="s">
        <v>466</v>
      </c>
      <c r="C1076" s="566" t="s">
        <v>553</v>
      </c>
      <c r="D1076" s="566" t="s">
        <v>472</v>
      </c>
      <c r="E1076" s="566" t="s">
        <v>473</v>
      </c>
      <c r="F1076" s="566" t="s">
        <v>554</v>
      </c>
      <c r="G1076" s="567">
        <v>13</v>
      </c>
      <c r="H1076" s="566" t="s">
        <v>696</v>
      </c>
      <c r="I1076" s="568">
        <v>2</v>
      </c>
      <c r="J1076" s="569">
        <v>22</v>
      </c>
      <c r="K1076" s="569">
        <v>22</v>
      </c>
      <c r="L1076" s="569">
        <v>17</v>
      </c>
      <c r="M1076" s="566" t="s">
        <v>476</v>
      </c>
      <c r="N1076" s="570">
        <v>213</v>
      </c>
      <c r="O1076" s="566"/>
      <c r="P1076" s="566" t="s">
        <v>477</v>
      </c>
      <c r="Q1076" s="568">
        <v>909678</v>
      </c>
      <c r="R1076" s="568">
        <v>2</v>
      </c>
      <c r="S1076" s="566" t="s">
        <v>1388</v>
      </c>
      <c r="T1076" s="571" t="s">
        <v>467</v>
      </c>
      <c r="U1076" s="571" t="s">
        <v>670</v>
      </c>
      <c r="V1076" s="571" t="s">
        <v>469</v>
      </c>
      <c r="W1076" s="572" t="s">
        <v>580</v>
      </c>
      <c r="X1076" s="571" t="s">
        <v>1380</v>
      </c>
      <c r="Y1076" s="571" t="s">
        <v>1338</v>
      </c>
      <c r="Z1076" s="566" t="s">
        <v>695</v>
      </c>
      <c r="AA1076" s="573">
        <v>213</v>
      </c>
      <c r="AB1076" s="571">
        <v>260112</v>
      </c>
    </row>
    <row r="1077" spans="1:28" hidden="1">
      <c r="A1077" s="566" t="s">
        <v>1335</v>
      </c>
      <c r="B1077" s="566" t="s">
        <v>466</v>
      </c>
      <c r="C1077" s="566" t="s">
        <v>553</v>
      </c>
      <c r="D1077" s="566" t="s">
        <v>472</v>
      </c>
      <c r="E1077" s="566" t="s">
        <v>473</v>
      </c>
      <c r="F1077" s="566" t="s">
        <v>554</v>
      </c>
      <c r="G1077" s="567">
        <v>16</v>
      </c>
      <c r="H1077" s="566" t="s">
        <v>698</v>
      </c>
      <c r="I1077" s="568">
        <v>2</v>
      </c>
      <c r="J1077" s="569">
        <v>22</v>
      </c>
      <c r="K1077" s="569">
        <v>22</v>
      </c>
      <c r="L1077" s="569">
        <v>17</v>
      </c>
      <c r="M1077" s="566" t="s">
        <v>476</v>
      </c>
      <c r="N1077" s="570">
        <v>237</v>
      </c>
      <c r="O1077" s="566"/>
      <c r="P1077" s="566" t="s">
        <v>477</v>
      </c>
      <c r="Q1077" s="568">
        <v>909678</v>
      </c>
      <c r="R1077" s="568">
        <v>12</v>
      </c>
      <c r="S1077" s="566" t="s">
        <v>1389</v>
      </c>
      <c r="T1077" s="571" t="s">
        <v>467</v>
      </c>
      <c r="U1077" s="571" t="s">
        <v>670</v>
      </c>
      <c r="V1077" s="571" t="s">
        <v>469</v>
      </c>
      <c r="W1077" s="572" t="s">
        <v>583</v>
      </c>
      <c r="X1077" s="571" t="s">
        <v>1380</v>
      </c>
      <c r="Y1077" s="571" t="s">
        <v>1338</v>
      </c>
      <c r="Z1077" s="566" t="s">
        <v>697</v>
      </c>
      <c r="AA1077" s="573">
        <v>237</v>
      </c>
      <c r="AB1077" s="571">
        <v>260136</v>
      </c>
    </row>
    <row r="1078" spans="1:28" hidden="1">
      <c r="A1078" s="566" t="s">
        <v>1335</v>
      </c>
      <c r="B1078" s="566" t="s">
        <v>466</v>
      </c>
      <c r="C1078" s="566" t="s">
        <v>553</v>
      </c>
      <c r="D1078" s="566" t="s">
        <v>472</v>
      </c>
      <c r="E1078" s="566" t="s">
        <v>473</v>
      </c>
      <c r="F1078" s="566" t="s">
        <v>554</v>
      </c>
      <c r="G1078" s="567">
        <v>16</v>
      </c>
      <c r="H1078" s="566" t="s">
        <v>700</v>
      </c>
      <c r="I1078" s="568">
        <v>2</v>
      </c>
      <c r="J1078" s="569">
        <v>22</v>
      </c>
      <c r="K1078" s="569">
        <v>22</v>
      </c>
      <c r="L1078" s="569">
        <v>17</v>
      </c>
      <c r="M1078" s="566" t="s">
        <v>476</v>
      </c>
      <c r="N1078" s="570">
        <v>261</v>
      </c>
      <c r="O1078" s="566"/>
      <c r="P1078" s="566" t="s">
        <v>477</v>
      </c>
      <c r="Q1078" s="568">
        <v>909678</v>
      </c>
      <c r="R1078" s="568">
        <v>3</v>
      </c>
      <c r="S1078" s="566" t="s">
        <v>1390</v>
      </c>
      <c r="T1078" s="571" t="s">
        <v>467</v>
      </c>
      <c r="U1078" s="571" t="s">
        <v>670</v>
      </c>
      <c r="V1078" s="571" t="s">
        <v>469</v>
      </c>
      <c r="W1078" s="572" t="s">
        <v>586</v>
      </c>
      <c r="X1078" s="571" t="s">
        <v>1380</v>
      </c>
      <c r="Y1078" s="571" t="s">
        <v>1338</v>
      </c>
      <c r="Z1078" s="566" t="s">
        <v>699</v>
      </c>
      <c r="AA1078" s="573">
        <v>261</v>
      </c>
      <c r="AB1078" s="571">
        <v>260160</v>
      </c>
    </row>
    <row r="1079" spans="1:28" hidden="1">
      <c r="A1079" s="566" t="s">
        <v>1335</v>
      </c>
      <c r="B1079" s="566" t="s">
        <v>466</v>
      </c>
      <c r="C1079" s="566" t="s">
        <v>553</v>
      </c>
      <c r="D1079" s="566" t="s">
        <v>472</v>
      </c>
      <c r="E1079" s="566" t="s">
        <v>473</v>
      </c>
      <c r="F1079" s="566" t="s">
        <v>554</v>
      </c>
      <c r="G1079" s="567">
        <v>16</v>
      </c>
      <c r="H1079" s="566" t="s">
        <v>702</v>
      </c>
      <c r="I1079" s="568">
        <v>2</v>
      </c>
      <c r="J1079" s="569">
        <v>22</v>
      </c>
      <c r="K1079" s="569">
        <v>22</v>
      </c>
      <c r="L1079" s="569">
        <v>17</v>
      </c>
      <c r="M1079" s="566" t="s">
        <v>476</v>
      </c>
      <c r="N1079" s="570">
        <v>285</v>
      </c>
      <c r="O1079" s="566"/>
      <c r="P1079" s="566" t="s">
        <v>477</v>
      </c>
      <c r="Q1079" s="568">
        <v>909678</v>
      </c>
      <c r="R1079" s="568">
        <v>13</v>
      </c>
      <c r="S1079" s="566" t="s">
        <v>1391</v>
      </c>
      <c r="T1079" s="571" t="s">
        <v>467</v>
      </c>
      <c r="U1079" s="571" t="s">
        <v>670</v>
      </c>
      <c r="V1079" s="571" t="s">
        <v>469</v>
      </c>
      <c r="W1079" s="572" t="s">
        <v>589</v>
      </c>
      <c r="X1079" s="571" t="s">
        <v>1380</v>
      </c>
      <c r="Y1079" s="571" t="s">
        <v>1338</v>
      </c>
      <c r="Z1079" s="566" t="s">
        <v>701</v>
      </c>
      <c r="AA1079" s="573">
        <v>285</v>
      </c>
      <c r="AB1079" s="571">
        <v>260184</v>
      </c>
    </row>
    <row r="1080" spans="1:28" hidden="1">
      <c r="A1080" s="566" t="s">
        <v>1335</v>
      </c>
      <c r="B1080" s="566" t="s">
        <v>466</v>
      </c>
      <c r="C1080" s="566" t="s">
        <v>471</v>
      </c>
      <c r="D1080" s="566" t="s">
        <v>472</v>
      </c>
      <c r="E1080" s="566" t="s">
        <v>473</v>
      </c>
      <c r="F1080" s="566" t="s">
        <v>474</v>
      </c>
      <c r="G1080" s="567">
        <v>0</v>
      </c>
      <c r="H1080" s="566" t="s">
        <v>704</v>
      </c>
      <c r="I1080" s="568">
        <v>2</v>
      </c>
      <c r="J1080" s="569">
        <v>3</v>
      </c>
      <c r="K1080" s="569">
        <v>3</v>
      </c>
      <c r="L1080" s="566"/>
      <c r="M1080" s="566" t="s">
        <v>476</v>
      </c>
      <c r="N1080" s="570">
        <v>336</v>
      </c>
      <c r="O1080" s="566"/>
      <c r="P1080" s="566" t="s">
        <v>477</v>
      </c>
      <c r="Q1080" s="568">
        <v>909678</v>
      </c>
      <c r="R1080" s="568">
        <v>5</v>
      </c>
      <c r="S1080" s="566" t="s">
        <v>1392</v>
      </c>
      <c r="T1080" s="571" t="s">
        <v>467</v>
      </c>
      <c r="U1080" s="571" t="s">
        <v>670</v>
      </c>
      <c r="V1080" s="571" t="s">
        <v>469</v>
      </c>
      <c r="W1080" s="572" t="s">
        <v>509</v>
      </c>
      <c r="X1080" s="571" t="s">
        <v>1380</v>
      </c>
      <c r="Y1080" s="571" t="s">
        <v>1338</v>
      </c>
      <c r="Z1080" s="566" t="s">
        <v>703</v>
      </c>
      <c r="AA1080" s="573">
        <v>336</v>
      </c>
      <c r="AB1080" s="571"/>
    </row>
    <row r="1081" spans="1:28" hidden="1">
      <c r="A1081" s="566" t="s">
        <v>1335</v>
      </c>
      <c r="B1081" s="566" t="s">
        <v>466</v>
      </c>
      <c r="C1081" s="566" t="s">
        <v>471</v>
      </c>
      <c r="D1081" s="566" t="s">
        <v>472</v>
      </c>
      <c r="E1081" s="566" t="s">
        <v>473</v>
      </c>
      <c r="F1081" s="566" t="s">
        <v>474</v>
      </c>
      <c r="G1081" s="567">
        <v>0</v>
      </c>
      <c r="H1081" s="566" t="s">
        <v>706</v>
      </c>
      <c r="I1081" s="568">
        <v>2</v>
      </c>
      <c r="J1081" s="569">
        <v>3</v>
      </c>
      <c r="K1081" s="569">
        <v>3</v>
      </c>
      <c r="L1081" s="566"/>
      <c r="M1081" s="566" t="s">
        <v>476</v>
      </c>
      <c r="N1081" s="570">
        <v>372</v>
      </c>
      <c r="O1081" s="566"/>
      <c r="P1081" s="566" t="s">
        <v>477</v>
      </c>
      <c r="Q1081" s="568">
        <v>909678</v>
      </c>
      <c r="R1081" s="568">
        <v>6</v>
      </c>
      <c r="S1081" s="566" t="s">
        <v>1393</v>
      </c>
      <c r="T1081" s="571" t="s">
        <v>467</v>
      </c>
      <c r="U1081" s="571" t="s">
        <v>670</v>
      </c>
      <c r="V1081" s="571" t="s">
        <v>469</v>
      </c>
      <c r="W1081" s="572" t="s">
        <v>512</v>
      </c>
      <c r="X1081" s="571" t="s">
        <v>1380</v>
      </c>
      <c r="Y1081" s="571" t="s">
        <v>1338</v>
      </c>
      <c r="Z1081" s="566" t="s">
        <v>705</v>
      </c>
      <c r="AA1081" s="573">
        <v>372</v>
      </c>
      <c r="AB1081" s="571"/>
    </row>
    <row r="1082" spans="1:28" hidden="1">
      <c r="A1082" s="566" t="s">
        <v>1335</v>
      </c>
      <c r="B1082" s="566" t="s">
        <v>466</v>
      </c>
      <c r="C1082" s="566" t="s">
        <v>471</v>
      </c>
      <c r="D1082" s="566" t="s">
        <v>472</v>
      </c>
      <c r="E1082" s="566" t="s">
        <v>473</v>
      </c>
      <c r="F1082" s="566" t="s">
        <v>474</v>
      </c>
      <c r="G1082" s="567">
        <v>0</v>
      </c>
      <c r="H1082" s="566" t="s">
        <v>708</v>
      </c>
      <c r="I1082" s="568">
        <v>2</v>
      </c>
      <c r="J1082" s="569">
        <v>3</v>
      </c>
      <c r="K1082" s="569">
        <v>3</v>
      </c>
      <c r="L1082" s="566"/>
      <c r="M1082" s="566" t="s">
        <v>476</v>
      </c>
      <c r="N1082" s="570">
        <v>408</v>
      </c>
      <c r="O1082" s="566"/>
      <c r="P1082" s="566" t="s">
        <v>477</v>
      </c>
      <c r="Q1082" s="568">
        <v>909678</v>
      </c>
      <c r="R1082" s="568">
        <v>14</v>
      </c>
      <c r="S1082" s="566" t="s">
        <v>1394</v>
      </c>
      <c r="T1082" s="571" t="s">
        <v>467</v>
      </c>
      <c r="U1082" s="571" t="s">
        <v>670</v>
      </c>
      <c r="V1082" s="571" t="s">
        <v>469</v>
      </c>
      <c r="W1082" s="572" t="s">
        <v>514</v>
      </c>
      <c r="X1082" s="571" t="s">
        <v>1380</v>
      </c>
      <c r="Y1082" s="571" t="s">
        <v>1338</v>
      </c>
      <c r="Z1082" s="566" t="s">
        <v>707</v>
      </c>
      <c r="AA1082" s="573">
        <v>408</v>
      </c>
      <c r="AB1082" s="571"/>
    </row>
    <row r="1083" spans="1:28" hidden="1">
      <c r="A1083" s="566" t="s">
        <v>1335</v>
      </c>
      <c r="B1083" s="566" t="s">
        <v>466</v>
      </c>
      <c r="C1083" s="566" t="s">
        <v>471</v>
      </c>
      <c r="D1083" s="566" t="s">
        <v>472</v>
      </c>
      <c r="E1083" s="566" t="s">
        <v>473</v>
      </c>
      <c r="F1083" s="566" t="s">
        <v>474</v>
      </c>
      <c r="G1083" s="567">
        <v>0</v>
      </c>
      <c r="H1083" s="566" t="s">
        <v>677</v>
      </c>
      <c r="I1083" s="568">
        <v>2</v>
      </c>
      <c r="J1083" s="569">
        <v>27</v>
      </c>
      <c r="K1083" s="569">
        <v>27</v>
      </c>
      <c r="L1083" s="566"/>
      <c r="M1083" s="566" t="s">
        <v>476</v>
      </c>
      <c r="N1083" s="570">
        <v>1344</v>
      </c>
      <c r="O1083" s="566"/>
      <c r="P1083" s="566" t="s">
        <v>477</v>
      </c>
      <c r="Q1083" s="568">
        <v>909678</v>
      </c>
      <c r="R1083" s="568">
        <v>34</v>
      </c>
      <c r="S1083" s="566" t="s">
        <v>1395</v>
      </c>
      <c r="T1083" s="571" t="s">
        <v>467</v>
      </c>
      <c r="U1083" s="571" t="s">
        <v>670</v>
      </c>
      <c r="V1083" s="571" t="s">
        <v>469</v>
      </c>
      <c r="W1083" s="572" t="s">
        <v>1274</v>
      </c>
      <c r="X1083" s="571" t="s">
        <v>1380</v>
      </c>
      <c r="Y1083" s="571" t="s">
        <v>1367</v>
      </c>
      <c r="Z1083" s="566" t="s">
        <v>2132</v>
      </c>
      <c r="AA1083" s="573">
        <v>1344</v>
      </c>
      <c r="AB1083" s="571"/>
    </row>
    <row r="1084" spans="1:28" hidden="1">
      <c r="A1084" s="566" t="s">
        <v>1335</v>
      </c>
      <c r="B1084" s="566" t="s">
        <v>466</v>
      </c>
      <c r="C1084" s="566" t="s">
        <v>471</v>
      </c>
      <c r="D1084" s="566" t="s">
        <v>472</v>
      </c>
      <c r="E1084" s="566" t="s">
        <v>473</v>
      </c>
      <c r="F1084" s="566" t="s">
        <v>474</v>
      </c>
      <c r="G1084" s="567">
        <v>0</v>
      </c>
      <c r="H1084" s="566" t="s">
        <v>680</v>
      </c>
      <c r="I1084" s="568">
        <v>2</v>
      </c>
      <c r="J1084" s="569">
        <v>27</v>
      </c>
      <c r="K1084" s="569">
        <v>27</v>
      </c>
      <c r="L1084" s="566"/>
      <c r="M1084" s="566" t="s">
        <v>476</v>
      </c>
      <c r="N1084" s="570">
        <v>1380</v>
      </c>
      <c r="O1084" s="566"/>
      <c r="P1084" s="566" t="s">
        <v>477</v>
      </c>
      <c r="Q1084" s="568">
        <v>909678</v>
      </c>
      <c r="R1084" s="568">
        <v>35</v>
      </c>
      <c r="S1084" s="566" t="s">
        <v>1397</v>
      </c>
      <c r="T1084" s="571" t="s">
        <v>467</v>
      </c>
      <c r="U1084" s="571" t="s">
        <v>670</v>
      </c>
      <c r="V1084" s="571" t="s">
        <v>469</v>
      </c>
      <c r="W1084" s="572" t="s">
        <v>1275</v>
      </c>
      <c r="X1084" s="571" t="s">
        <v>1380</v>
      </c>
      <c r="Y1084" s="571" t="s">
        <v>1367</v>
      </c>
      <c r="Z1084" s="566" t="s">
        <v>2133</v>
      </c>
      <c r="AA1084" s="573">
        <v>1380</v>
      </c>
      <c r="AB1084" s="571"/>
    </row>
    <row r="1085" spans="1:28" hidden="1">
      <c r="A1085" s="566" t="s">
        <v>1335</v>
      </c>
      <c r="B1085" s="566" t="s">
        <v>466</v>
      </c>
      <c r="C1085" s="566" t="s">
        <v>487</v>
      </c>
      <c r="D1085" s="566" t="s">
        <v>472</v>
      </c>
      <c r="E1085" s="566" t="s">
        <v>473</v>
      </c>
      <c r="F1085" s="566" t="s">
        <v>489</v>
      </c>
      <c r="G1085" s="567">
        <v>50</v>
      </c>
      <c r="H1085" s="566" t="s">
        <v>689</v>
      </c>
      <c r="I1085" s="568">
        <v>2</v>
      </c>
      <c r="J1085" s="569">
        <v>27</v>
      </c>
      <c r="K1085" s="569">
        <v>27</v>
      </c>
      <c r="L1085" s="566"/>
      <c r="M1085" s="566" t="s">
        <v>476</v>
      </c>
      <c r="N1085" s="570">
        <v>1416</v>
      </c>
      <c r="O1085" s="566"/>
      <c r="P1085" s="566" t="s">
        <v>477</v>
      </c>
      <c r="Q1085" s="568">
        <v>909678</v>
      </c>
      <c r="R1085" s="568">
        <v>37</v>
      </c>
      <c r="S1085" s="566" t="s">
        <v>1399</v>
      </c>
      <c r="T1085" s="571" t="s">
        <v>467</v>
      </c>
      <c r="U1085" s="571" t="s">
        <v>670</v>
      </c>
      <c r="V1085" s="571" t="s">
        <v>469</v>
      </c>
      <c r="W1085" s="572" t="s">
        <v>1276</v>
      </c>
      <c r="X1085" s="571" t="s">
        <v>1380</v>
      </c>
      <c r="Y1085" s="571" t="s">
        <v>1367</v>
      </c>
      <c r="Z1085" s="566" t="s">
        <v>2134</v>
      </c>
      <c r="AA1085" s="573">
        <v>1416</v>
      </c>
      <c r="AB1085" s="571"/>
    </row>
    <row r="1086" spans="1:28" hidden="1">
      <c r="A1086" s="566" t="s">
        <v>1335</v>
      </c>
      <c r="B1086" s="566" t="s">
        <v>466</v>
      </c>
      <c r="C1086" s="566" t="s">
        <v>487</v>
      </c>
      <c r="D1086" s="566" t="s">
        <v>472</v>
      </c>
      <c r="E1086" s="566" t="s">
        <v>473</v>
      </c>
      <c r="F1086" s="566" t="s">
        <v>489</v>
      </c>
      <c r="G1086" s="567">
        <v>50</v>
      </c>
      <c r="H1086" s="566" t="s">
        <v>692</v>
      </c>
      <c r="I1086" s="568">
        <v>2</v>
      </c>
      <c r="J1086" s="569">
        <v>27</v>
      </c>
      <c r="K1086" s="569">
        <v>27</v>
      </c>
      <c r="L1086" s="566"/>
      <c r="M1086" s="566" t="s">
        <v>476</v>
      </c>
      <c r="N1086" s="570">
        <v>1452</v>
      </c>
      <c r="O1086" s="566"/>
      <c r="P1086" s="566" t="s">
        <v>477</v>
      </c>
      <c r="Q1086" s="568">
        <v>909678</v>
      </c>
      <c r="R1086" s="568">
        <v>38</v>
      </c>
      <c r="S1086" s="566" t="s">
        <v>1401</v>
      </c>
      <c r="T1086" s="571" t="s">
        <v>467</v>
      </c>
      <c r="U1086" s="571" t="s">
        <v>670</v>
      </c>
      <c r="V1086" s="571" t="s">
        <v>469</v>
      </c>
      <c r="W1086" s="572" t="s">
        <v>1277</v>
      </c>
      <c r="X1086" s="571" t="s">
        <v>1380</v>
      </c>
      <c r="Y1086" s="571" t="s">
        <v>1367</v>
      </c>
      <c r="Z1086" s="566" t="s">
        <v>2135</v>
      </c>
      <c r="AA1086" s="573">
        <v>1452</v>
      </c>
      <c r="AB1086" s="571"/>
    </row>
    <row r="1087" spans="1:28" hidden="1">
      <c r="A1087" s="566" t="s">
        <v>1335</v>
      </c>
      <c r="B1087" s="566" t="s">
        <v>466</v>
      </c>
      <c r="C1087" s="566" t="s">
        <v>471</v>
      </c>
      <c r="D1087" s="566" t="s">
        <v>472</v>
      </c>
      <c r="E1087" s="566" t="s">
        <v>473</v>
      </c>
      <c r="F1087" s="566" t="s">
        <v>474</v>
      </c>
      <c r="G1087" s="567">
        <v>0</v>
      </c>
      <c r="H1087" s="566" t="s">
        <v>2117</v>
      </c>
      <c r="I1087" s="568">
        <v>2</v>
      </c>
      <c r="J1087" s="569">
        <v>27</v>
      </c>
      <c r="K1087" s="569">
        <v>27</v>
      </c>
      <c r="L1087" s="566"/>
      <c r="M1087" s="566" t="s">
        <v>476</v>
      </c>
      <c r="N1087" s="570">
        <v>1488</v>
      </c>
      <c r="O1087" s="566"/>
      <c r="P1087" s="566" t="s">
        <v>477</v>
      </c>
      <c r="Q1087" s="568">
        <v>909678</v>
      </c>
      <c r="R1087" s="568">
        <v>36</v>
      </c>
      <c r="S1087" s="566" t="s">
        <v>1403</v>
      </c>
      <c r="T1087" s="571" t="s">
        <v>467</v>
      </c>
      <c r="U1087" s="571" t="s">
        <v>670</v>
      </c>
      <c r="V1087" s="571" t="s">
        <v>469</v>
      </c>
      <c r="W1087" s="572" t="s">
        <v>1354</v>
      </c>
      <c r="X1087" s="571" t="s">
        <v>1380</v>
      </c>
      <c r="Y1087" s="571" t="s">
        <v>1367</v>
      </c>
      <c r="Z1087" s="566" t="s">
        <v>2136</v>
      </c>
      <c r="AA1087" s="573">
        <v>1488</v>
      </c>
      <c r="AB1087" s="571"/>
    </row>
    <row r="1088" spans="1:28" hidden="1">
      <c r="A1088" s="566" t="s">
        <v>1335</v>
      </c>
      <c r="B1088" s="566" t="s">
        <v>466</v>
      </c>
      <c r="C1088" s="566" t="s">
        <v>487</v>
      </c>
      <c r="D1088" s="566" t="s">
        <v>472</v>
      </c>
      <c r="E1088" s="566" t="s">
        <v>473</v>
      </c>
      <c r="F1088" s="566" t="s">
        <v>489</v>
      </c>
      <c r="G1088" s="567">
        <v>50</v>
      </c>
      <c r="H1088" s="566" t="s">
        <v>2119</v>
      </c>
      <c r="I1088" s="568">
        <v>2</v>
      </c>
      <c r="J1088" s="569">
        <v>27</v>
      </c>
      <c r="K1088" s="569">
        <v>27</v>
      </c>
      <c r="L1088" s="566"/>
      <c r="M1088" s="566" t="s">
        <v>476</v>
      </c>
      <c r="N1088" s="570">
        <v>1524</v>
      </c>
      <c r="O1088" s="566"/>
      <c r="P1088" s="566" t="s">
        <v>477</v>
      </c>
      <c r="Q1088" s="568">
        <v>909678</v>
      </c>
      <c r="R1088" s="568">
        <v>39</v>
      </c>
      <c r="S1088" s="566" t="s">
        <v>1405</v>
      </c>
      <c r="T1088" s="571" t="s">
        <v>467</v>
      </c>
      <c r="U1088" s="571" t="s">
        <v>670</v>
      </c>
      <c r="V1088" s="571" t="s">
        <v>469</v>
      </c>
      <c r="W1088" s="572" t="s">
        <v>1358</v>
      </c>
      <c r="X1088" s="571" t="s">
        <v>1380</v>
      </c>
      <c r="Y1088" s="571" t="s">
        <v>1367</v>
      </c>
      <c r="Z1088" s="566" t="s">
        <v>2137</v>
      </c>
      <c r="AA1088" s="573">
        <v>1524</v>
      </c>
      <c r="AB1088" s="571"/>
    </row>
    <row r="1089" spans="1:28" hidden="1">
      <c r="A1089" s="566" t="s">
        <v>1335</v>
      </c>
      <c r="B1089" s="566" t="s">
        <v>466</v>
      </c>
      <c r="C1089" s="566" t="s">
        <v>471</v>
      </c>
      <c r="D1089" s="566" t="s">
        <v>472</v>
      </c>
      <c r="E1089" s="566" t="s">
        <v>473</v>
      </c>
      <c r="F1089" s="566" t="s">
        <v>474</v>
      </c>
      <c r="G1089" s="567">
        <v>0</v>
      </c>
      <c r="H1089" s="566" t="s">
        <v>675</v>
      </c>
      <c r="I1089" s="568">
        <v>2</v>
      </c>
      <c r="J1089" s="569">
        <v>3</v>
      </c>
      <c r="K1089" s="569">
        <v>3</v>
      </c>
      <c r="L1089" s="566"/>
      <c r="M1089" s="566" t="s">
        <v>476</v>
      </c>
      <c r="N1089" s="570">
        <v>444</v>
      </c>
      <c r="O1089" s="566"/>
      <c r="P1089" s="566" t="s">
        <v>477</v>
      </c>
      <c r="Q1089" s="568">
        <v>909678</v>
      </c>
      <c r="R1089" s="568">
        <v>7</v>
      </c>
      <c r="S1089" s="566" t="s">
        <v>1407</v>
      </c>
      <c r="T1089" s="575" t="s">
        <v>1408</v>
      </c>
      <c r="U1089" s="575" t="s">
        <v>670</v>
      </c>
      <c r="V1089" s="575" t="s">
        <v>469</v>
      </c>
      <c r="W1089" s="576" t="s">
        <v>470</v>
      </c>
      <c r="X1089" s="575" t="s">
        <v>1380</v>
      </c>
      <c r="Y1089" s="575" t="s">
        <v>1338</v>
      </c>
      <c r="Z1089" s="576" t="s">
        <v>2138</v>
      </c>
      <c r="AA1089" s="577">
        <v>444</v>
      </c>
      <c r="AB1089" s="575"/>
    </row>
    <row r="1090" spans="1:28" hidden="1">
      <c r="A1090" s="566" t="s">
        <v>1335</v>
      </c>
      <c r="B1090" s="566" t="s">
        <v>466</v>
      </c>
      <c r="C1090" s="566" t="s">
        <v>471</v>
      </c>
      <c r="D1090" s="566" t="s">
        <v>472</v>
      </c>
      <c r="E1090" s="566" t="s">
        <v>473</v>
      </c>
      <c r="F1090" s="566" t="s">
        <v>474</v>
      </c>
      <c r="G1090" s="567">
        <v>0</v>
      </c>
      <c r="H1090" s="566" t="s">
        <v>678</v>
      </c>
      <c r="I1090" s="568">
        <v>2</v>
      </c>
      <c r="J1090" s="569">
        <v>3</v>
      </c>
      <c r="K1090" s="569">
        <v>3</v>
      </c>
      <c r="L1090" s="566"/>
      <c r="M1090" s="566" t="s">
        <v>476</v>
      </c>
      <c r="N1090" s="570">
        <v>516</v>
      </c>
      <c r="O1090" s="566"/>
      <c r="P1090" s="566" t="s">
        <v>477</v>
      </c>
      <c r="Q1090" s="568">
        <v>909678</v>
      </c>
      <c r="R1090" s="568">
        <v>8</v>
      </c>
      <c r="S1090" s="566" t="s">
        <v>1410</v>
      </c>
      <c r="T1090" s="575" t="s">
        <v>1408</v>
      </c>
      <c r="U1090" s="575" t="s">
        <v>670</v>
      </c>
      <c r="V1090" s="575" t="s">
        <v>469</v>
      </c>
      <c r="W1090" s="576" t="s">
        <v>480</v>
      </c>
      <c r="X1090" s="575" t="s">
        <v>1380</v>
      </c>
      <c r="Y1090" s="575" t="s">
        <v>1338</v>
      </c>
      <c r="Z1090" s="576" t="s">
        <v>2139</v>
      </c>
      <c r="AA1090" s="577">
        <v>516</v>
      </c>
      <c r="AB1090" s="575"/>
    </row>
    <row r="1091" spans="1:28" hidden="1">
      <c r="A1091" s="566" t="s">
        <v>1335</v>
      </c>
      <c r="B1091" s="566" t="s">
        <v>466</v>
      </c>
      <c r="C1091" s="566" t="s">
        <v>487</v>
      </c>
      <c r="D1091" s="566" t="s">
        <v>472</v>
      </c>
      <c r="E1091" s="566" t="s">
        <v>473</v>
      </c>
      <c r="F1091" s="566" t="s">
        <v>489</v>
      </c>
      <c r="G1091" s="567">
        <v>50</v>
      </c>
      <c r="H1091" s="566" t="s">
        <v>687</v>
      </c>
      <c r="I1091" s="568">
        <v>2</v>
      </c>
      <c r="J1091" s="569">
        <v>3</v>
      </c>
      <c r="K1091" s="569">
        <v>3</v>
      </c>
      <c r="L1091" s="566"/>
      <c r="M1091" s="566" t="s">
        <v>476</v>
      </c>
      <c r="N1091" s="570">
        <v>696</v>
      </c>
      <c r="O1091" s="566"/>
      <c r="P1091" s="566" t="s">
        <v>477</v>
      </c>
      <c r="Q1091" s="568">
        <v>909678</v>
      </c>
      <c r="R1091" s="568">
        <v>11</v>
      </c>
      <c r="S1091" s="566" t="s">
        <v>1412</v>
      </c>
      <c r="T1091" s="575" t="s">
        <v>1408</v>
      </c>
      <c r="U1091" s="575" t="s">
        <v>670</v>
      </c>
      <c r="V1091" s="575" t="s">
        <v>469</v>
      </c>
      <c r="W1091" s="576" t="s">
        <v>499</v>
      </c>
      <c r="X1091" s="575" t="s">
        <v>1380</v>
      </c>
      <c r="Y1091" s="575" t="s">
        <v>1338</v>
      </c>
      <c r="Z1091" s="576" t="s">
        <v>2140</v>
      </c>
      <c r="AA1091" s="577">
        <v>696</v>
      </c>
      <c r="AB1091" s="575"/>
    </row>
    <row r="1092" spans="1:28" hidden="1">
      <c r="A1092" s="566" t="s">
        <v>1335</v>
      </c>
      <c r="B1092" s="566" t="s">
        <v>466</v>
      </c>
      <c r="C1092" s="566" t="s">
        <v>487</v>
      </c>
      <c r="D1092" s="566" t="s">
        <v>472</v>
      </c>
      <c r="E1092" s="566" t="s">
        <v>473</v>
      </c>
      <c r="F1092" s="566" t="s">
        <v>489</v>
      </c>
      <c r="G1092" s="567">
        <v>50</v>
      </c>
      <c r="H1092" s="566" t="s">
        <v>690</v>
      </c>
      <c r="I1092" s="568">
        <v>2</v>
      </c>
      <c r="J1092" s="569">
        <v>3</v>
      </c>
      <c r="K1092" s="569">
        <v>3</v>
      </c>
      <c r="L1092" s="566"/>
      <c r="M1092" s="566" t="s">
        <v>476</v>
      </c>
      <c r="N1092" s="570">
        <v>768</v>
      </c>
      <c r="O1092" s="566"/>
      <c r="P1092" s="566" t="s">
        <v>477</v>
      </c>
      <c r="Q1092" s="568">
        <v>909678</v>
      </c>
      <c r="R1092" s="568">
        <v>20</v>
      </c>
      <c r="S1092" s="566" t="s">
        <v>1414</v>
      </c>
      <c r="T1092" s="575" t="s">
        <v>1408</v>
      </c>
      <c r="U1092" s="575" t="s">
        <v>670</v>
      </c>
      <c r="V1092" s="575" t="s">
        <v>469</v>
      </c>
      <c r="W1092" s="576" t="s">
        <v>504</v>
      </c>
      <c r="X1092" s="575" t="s">
        <v>1380</v>
      </c>
      <c r="Y1092" s="575" t="s">
        <v>1338</v>
      </c>
      <c r="Z1092" s="576" t="s">
        <v>2141</v>
      </c>
      <c r="AA1092" s="577">
        <v>768</v>
      </c>
      <c r="AB1092" s="575"/>
    </row>
    <row r="1093" spans="1:28" hidden="1">
      <c r="A1093" s="566" t="s">
        <v>1335</v>
      </c>
      <c r="B1093" s="566" t="s">
        <v>466</v>
      </c>
      <c r="C1093" s="566" t="s">
        <v>471</v>
      </c>
      <c r="D1093" s="566" t="s">
        <v>472</v>
      </c>
      <c r="E1093" s="566" t="s">
        <v>473</v>
      </c>
      <c r="F1093" s="566" t="s">
        <v>474</v>
      </c>
      <c r="G1093" s="567">
        <v>0</v>
      </c>
      <c r="H1093" s="566" t="s">
        <v>677</v>
      </c>
      <c r="I1093" s="568">
        <v>2</v>
      </c>
      <c r="J1093" s="569">
        <v>49</v>
      </c>
      <c r="K1093" s="569">
        <v>49</v>
      </c>
      <c r="L1093" s="566"/>
      <c r="M1093" s="566" t="s">
        <v>476</v>
      </c>
      <c r="N1093" s="570">
        <v>1018</v>
      </c>
      <c r="O1093" s="566"/>
      <c r="P1093" s="566" t="s">
        <v>477</v>
      </c>
      <c r="Q1093" s="568">
        <v>909678</v>
      </c>
      <c r="R1093" s="568">
        <v>25</v>
      </c>
      <c r="S1093" s="566" t="s">
        <v>1336</v>
      </c>
      <c r="T1093" s="578" t="s">
        <v>779</v>
      </c>
      <c r="U1093" s="589" t="s">
        <v>670</v>
      </c>
      <c r="V1093" s="578" t="s">
        <v>469</v>
      </c>
      <c r="W1093" s="579" t="s">
        <v>1274</v>
      </c>
      <c r="X1093" s="578" t="s">
        <v>1337</v>
      </c>
      <c r="Y1093" s="578" t="s">
        <v>1338</v>
      </c>
      <c r="Z1093" s="580" t="s">
        <v>2142</v>
      </c>
      <c r="AA1093" s="581">
        <v>1018</v>
      </c>
      <c r="AB1093" s="578"/>
    </row>
    <row r="1094" spans="1:28" hidden="1">
      <c r="A1094" s="566" t="s">
        <v>1335</v>
      </c>
      <c r="B1094" s="566" t="s">
        <v>466</v>
      </c>
      <c r="C1094" s="566" t="s">
        <v>471</v>
      </c>
      <c r="D1094" s="566" t="s">
        <v>472</v>
      </c>
      <c r="E1094" s="566" t="s">
        <v>473</v>
      </c>
      <c r="F1094" s="566" t="s">
        <v>474</v>
      </c>
      <c r="G1094" s="567">
        <v>0</v>
      </c>
      <c r="H1094" s="566" t="s">
        <v>680</v>
      </c>
      <c r="I1094" s="568">
        <v>2</v>
      </c>
      <c r="J1094" s="569">
        <v>49</v>
      </c>
      <c r="K1094" s="569">
        <v>49</v>
      </c>
      <c r="L1094" s="566"/>
      <c r="M1094" s="566" t="s">
        <v>476</v>
      </c>
      <c r="N1094" s="570">
        <v>1054</v>
      </c>
      <c r="O1094" s="566"/>
      <c r="P1094" s="566" t="s">
        <v>477</v>
      </c>
      <c r="Q1094" s="568">
        <v>909678</v>
      </c>
      <c r="R1094" s="568">
        <v>26</v>
      </c>
      <c r="S1094" s="566" t="s">
        <v>1340</v>
      </c>
      <c r="T1094" s="578" t="s">
        <v>779</v>
      </c>
      <c r="U1094" s="578" t="s">
        <v>670</v>
      </c>
      <c r="V1094" s="578" t="s">
        <v>469</v>
      </c>
      <c r="W1094" s="579" t="s">
        <v>1275</v>
      </c>
      <c r="X1094" s="578" t="s">
        <v>1337</v>
      </c>
      <c r="Y1094" s="578" t="s">
        <v>1338</v>
      </c>
      <c r="Z1094" s="580" t="s">
        <v>2143</v>
      </c>
      <c r="AA1094" s="581">
        <v>1054</v>
      </c>
      <c r="AB1094" s="578"/>
    </row>
    <row r="1095" spans="1:28" hidden="1">
      <c r="A1095" s="566" t="s">
        <v>1335</v>
      </c>
      <c r="B1095" s="566" t="s">
        <v>466</v>
      </c>
      <c r="C1095" s="566" t="s">
        <v>487</v>
      </c>
      <c r="D1095" s="566" t="s">
        <v>472</v>
      </c>
      <c r="E1095" s="566" t="s">
        <v>473</v>
      </c>
      <c r="F1095" s="566" t="s">
        <v>489</v>
      </c>
      <c r="G1095" s="567">
        <v>50</v>
      </c>
      <c r="H1095" s="566" t="s">
        <v>682</v>
      </c>
      <c r="I1095" s="568">
        <v>2</v>
      </c>
      <c r="J1095" s="569">
        <v>49</v>
      </c>
      <c r="K1095" s="569">
        <v>49</v>
      </c>
      <c r="L1095" s="566"/>
      <c r="M1095" s="566" t="s">
        <v>476</v>
      </c>
      <c r="N1095" s="570">
        <v>1090</v>
      </c>
      <c r="O1095" s="566"/>
      <c r="P1095" s="566" t="s">
        <v>477</v>
      </c>
      <c r="Q1095" s="568">
        <v>909678</v>
      </c>
      <c r="R1095" s="568">
        <v>28</v>
      </c>
      <c r="S1095" s="566" t="s">
        <v>1342</v>
      </c>
      <c r="T1095" s="578" t="s">
        <v>779</v>
      </c>
      <c r="U1095" s="578" t="s">
        <v>670</v>
      </c>
      <c r="V1095" s="578" t="s">
        <v>469</v>
      </c>
      <c r="W1095" s="579" t="s">
        <v>485</v>
      </c>
      <c r="X1095" s="578" t="s">
        <v>1337</v>
      </c>
      <c r="Y1095" s="578" t="s">
        <v>1338</v>
      </c>
      <c r="Z1095" s="580" t="s">
        <v>2144</v>
      </c>
      <c r="AA1095" s="581">
        <v>1090</v>
      </c>
      <c r="AB1095" s="578"/>
    </row>
    <row r="1096" spans="1:28" hidden="1">
      <c r="A1096" s="566" t="s">
        <v>1335</v>
      </c>
      <c r="B1096" s="566" t="s">
        <v>466</v>
      </c>
      <c r="C1096" s="566" t="s">
        <v>487</v>
      </c>
      <c r="D1096" s="566" t="s">
        <v>472</v>
      </c>
      <c r="E1096" s="566" t="s">
        <v>473</v>
      </c>
      <c r="F1096" s="566" t="s">
        <v>489</v>
      </c>
      <c r="G1096" s="567">
        <v>50</v>
      </c>
      <c r="H1096" s="566" t="s">
        <v>684</v>
      </c>
      <c r="I1096" s="568">
        <v>2</v>
      </c>
      <c r="J1096" s="569">
        <v>49</v>
      </c>
      <c r="K1096" s="569">
        <v>49</v>
      </c>
      <c r="L1096" s="566"/>
      <c r="M1096" s="566" t="s">
        <v>476</v>
      </c>
      <c r="N1096" s="570">
        <v>1126</v>
      </c>
      <c r="O1096" s="566"/>
      <c r="P1096" s="566" t="s">
        <v>477</v>
      </c>
      <c r="Q1096" s="568">
        <v>909678</v>
      </c>
      <c r="R1096" s="568">
        <v>29</v>
      </c>
      <c r="S1096" s="566" t="s">
        <v>1344</v>
      </c>
      <c r="T1096" s="578" t="s">
        <v>779</v>
      </c>
      <c r="U1096" s="578" t="s">
        <v>670</v>
      </c>
      <c r="V1096" s="578" t="s">
        <v>469</v>
      </c>
      <c r="W1096" s="579" t="s">
        <v>491</v>
      </c>
      <c r="X1096" s="578" t="s">
        <v>1337</v>
      </c>
      <c r="Y1096" s="578" t="s">
        <v>1338</v>
      </c>
      <c r="Z1096" s="580" t="s">
        <v>2145</v>
      </c>
      <c r="AA1096" s="581">
        <v>1126</v>
      </c>
      <c r="AB1096" s="578"/>
    </row>
    <row r="1097" spans="1:28" hidden="1">
      <c r="A1097" s="566" t="s">
        <v>1335</v>
      </c>
      <c r="B1097" s="566" t="s">
        <v>466</v>
      </c>
      <c r="C1097" s="566" t="s">
        <v>487</v>
      </c>
      <c r="D1097" s="566" t="s">
        <v>472</v>
      </c>
      <c r="E1097" s="566" t="s">
        <v>473</v>
      </c>
      <c r="F1097" s="566" t="s">
        <v>489</v>
      </c>
      <c r="G1097" s="567">
        <v>50</v>
      </c>
      <c r="H1097" s="566" t="s">
        <v>686</v>
      </c>
      <c r="I1097" s="568">
        <v>2</v>
      </c>
      <c r="J1097" s="569">
        <v>49</v>
      </c>
      <c r="K1097" s="569">
        <v>49</v>
      </c>
      <c r="L1097" s="566"/>
      <c r="M1097" s="566" t="s">
        <v>476</v>
      </c>
      <c r="N1097" s="570">
        <v>1162</v>
      </c>
      <c r="O1097" s="566"/>
      <c r="P1097" s="566" t="s">
        <v>477</v>
      </c>
      <c r="Q1097" s="568">
        <v>909678</v>
      </c>
      <c r="R1097" s="568">
        <v>30</v>
      </c>
      <c r="S1097" s="566" t="s">
        <v>1346</v>
      </c>
      <c r="T1097" s="578" t="s">
        <v>779</v>
      </c>
      <c r="U1097" s="578" t="s">
        <v>670</v>
      </c>
      <c r="V1097" s="578" t="s">
        <v>469</v>
      </c>
      <c r="W1097" s="579" t="s">
        <v>495</v>
      </c>
      <c r="X1097" s="578" t="s">
        <v>1337</v>
      </c>
      <c r="Y1097" s="578" t="s">
        <v>1338</v>
      </c>
      <c r="Z1097" s="580" t="s">
        <v>2146</v>
      </c>
      <c r="AA1097" s="581">
        <v>1162</v>
      </c>
      <c r="AB1097" s="578"/>
    </row>
    <row r="1098" spans="1:28" hidden="1">
      <c r="A1098" s="566" t="s">
        <v>1335</v>
      </c>
      <c r="B1098" s="566" t="s">
        <v>466</v>
      </c>
      <c r="C1098" s="566" t="s">
        <v>487</v>
      </c>
      <c r="D1098" s="566" t="s">
        <v>472</v>
      </c>
      <c r="E1098" s="566" t="s">
        <v>473</v>
      </c>
      <c r="F1098" s="566" t="s">
        <v>489</v>
      </c>
      <c r="G1098" s="567">
        <v>50</v>
      </c>
      <c r="H1098" s="566" t="s">
        <v>689</v>
      </c>
      <c r="I1098" s="568">
        <v>2</v>
      </c>
      <c r="J1098" s="569">
        <v>49</v>
      </c>
      <c r="K1098" s="569">
        <v>49</v>
      </c>
      <c r="L1098" s="566"/>
      <c r="M1098" s="566" t="s">
        <v>476</v>
      </c>
      <c r="N1098" s="570">
        <v>1198</v>
      </c>
      <c r="O1098" s="566"/>
      <c r="P1098" s="566" t="s">
        <v>477</v>
      </c>
      <c r="Q1098" s="568">
        <v>909678</v>
      </c>
      <c r="R1098" s="568">
        <v>31</v>
      </c>
      <c r="S1098" s="566" t="s">
        <v>1348</v>
      </c>
      <c r="T1098" s="578" t="s">
        <v>779</v>
      </c>
      <c r="U1098" s="578" t="s">
        <v>670</v>
      </c>
      <c r="V1098" s="578" t="s">
        <v>469</v>
      </c>
      <c r="W1098" s="579" t="s">
        <v>1276</v>
      </c>
      <c r="X1098" s="578" t="s">
        <v>1337</v>
      </c>
      <c r="Y1098" s="578" t="s">
        <v>1338</v>
      </c>
      <c r="Z1098" s="580" t="s">
        <v>2147</v>
      </c>
      <c r="AA1098" s="581">
        <v>1198</v>
      </c>
      <c r="AB1098" s="578"/>
    </row>
    <row r="1099" spans="1:28" hidden="1">
      <c r="A1099" s="566" t="s">
        <v>1335</v>
      </c>
      <c r="B1099" s="566" t="s">
        <v>466</v>
      </c>
      <c r="C1099" s="566" t="s">
        <v>487</v>
      </c>
      <c r="D1099" s="566" t="s">
        <v>472</v>
      </c>
      <c r="E1099" s="566" t="s">
        <v>473</v>
      </c>
      <c r="F1099" s="566" t="s">
        <v>489</v>
      </c>
      <c r="G1099" s="567">
        <v>50</v>
      </c>
      <c r="H1099" s="566" t="s">
        <v>692</v>
      </c>
      <c r="I1099" s="568">
        <v>2</v>
      </c>
      <c r="J1099" s="569">
        <v>49</v>
      </c>
      <c r="K1099" s="569">
        <v>49</v>
      </c>
      <c r="L1099" s="566"/>
      <c r="M1099" s="566" t="s">
        <v>476</v>
      </c>
      <c r="N1099" s="570">
        <v>1234</v>
      </c>
      <c r="O1099" s="566"/>
      <c r="P1099" s="566" t="s">
        <v>477</v>
      </c>
      <c r="Q1099" s="568">
        <v>909678</v>
      </c>
      <c r="R1099" s="568">
        <v>32</v>
      </c>
      <c r="S1099" s="566" t="s">
        <v>1350</v>
      </c>
      <c r="T1099" s="578" t="s">
        <v>779</v>
      </c>
      <c r="U1099" s="578" t="s">
        <v>670</v>
      </c>
      <c r="V1099" s="578" t="s">
        <v>469</v>
      </c>
      <c r="W1099" s="579" t="s">
        <v>1277</v>
      </c>
      <c r="X1099" s="578" t="s">
        <v>1337</v>
      </c>
      <c r="Y1099" s="578" t="s">
        <v>1338</v>
      </c>
      <c r="Z1099" s="580" t="s">
        <v>2148</v>
      </c>
      <c r="AA1099" s="581">
        <v>1234</v>
      </c>
      <c r="AB1099" s="578"/>
    </row>
    <row r="1100" spans="1:28" hidden="1">
      <c r="A1100" s="566" t="s">
        <v>1335</v>
      </c>
      <c r="B1100" s="566" t="s">
        <v>466</v>
      </c>
      <c r="C1100" s="566" t="s">
        <v>471</v>
      </c>
      <c r="D1100" s="566" t="s">
        <v>472</v>
      </c>
      <c r="E1100" s="566" t="s">
        <v>473</v>
      </c>
      <c r="F1100" s="566" t="s">
        <v>474</v>
      </c>
      <c r="G1100" s="567">
        <v>0</v>
      </c>
      <c r="H1100" s="566" t="s">
        <v>2117</v>
      </c>
      <c r="I1100" s="568">
        <v>2</v>
      </c>
      <c r="J1100" s="569">
        <v>49</v>
      </c>
      <c r="K1100" s="569">
        <v>49</v>
      </c>
      <c r="L1100" s="566"/>
      <c r="M1100" s="566" t="s">
        <v>476</v>
      </c>
      <c r="N1100" s="570">
        <v>1270</v>
      </c>
      <c r="O1100" s="566"/>
      <c r="P1100" s="566" t="s">
        <v>477</v>
      </c>
      <c r="Q1100" s="568">
        <v>909678</v>
      </c>
      <c r="R1100" s="568">
        <v>27</v>
      </c>
      <c r="S1100" s="566" t="s">
        <v>1353</v>
      </c>
      <c r="T1100" s="578" t="s">
        <v>779</v>
      </c>
      <c r="U1100" s="578" t="s">
        <v>670</v>
      </c>
      <c r="V1100" s="578" t="s">
        <v>469</v>
      </c>
      <c r="W1100" s="579" t="s">
        <v>1354</v>
      </c>
      <c r="X1100" s="578" t="s">
        <v>1337</v>
      </c>
      <c r="Y1100" s="578" t="s">
        <v>1338</v>
      </c>
      <c r="Z1100" s="580" t="s">
        <v>2149</v>
      </c>
      <c r="AA1100" s="581">
        <v>1270</v>
      </c>
      <c r="AB1100" s="578"/>
    </row>
    <row r="1101" spans="1:28" hidden="1">
      <c r="A1101" s="566" t="s">
        <v>1335</v>
      </c>
      <c r="B1101" s="566" t="s">
        <v>466</v>
      </c>
      <c r="C1101" s="566" t="s">
        <v>487</v>
      </c>
      <c r="D1101" s="566" t="s">
        <v>472</v>
      </c>
      <c r="E1101" s="566" t="s">
        <v>473</v>
      </c>
      <c r="F1101" s="566" t="s">
        <v>489</v>
      </c>
      <c r="G1101" s="567">
        <v>50</v>
      </c>
      <c r="H1101" s="566" t="s">
        <v>2119</v>
      </c>
      <c r="I1101" s="568">
        <v>2</v>
      </c>
      <c r="J1101" s="569">
        <v>49</v>
      </c>
      <c r="K1101" s="569">
        <v>49</v>
      </c>
      <c r="L1101" s="566"/>
      <c r="M1101" s="566" t="s">
        <v>476</v>
      </c>
      <c r="N1101" s="570">
        <v>1306</v>
      </c>
      <c r="O1101" s="566"/>
      <c r="P1101" s="566" t="s">
        <v>477</v>
      </c>
      <c r="Q1101" s="568">
        <v>909678</v>
      </c>
      <c r="R1101" s="568">
        <v>33</v>
      </c>
      <c r="S1101" s="566" t="s">
        <v>1357</v>
      </c>
      <c r="T1101" s="578" t="s">
        <v>779</v>
      </c>
      <c r="U1101" s="578" t="s">
        <v>670</v>
      </c>
      <c r="V1101" s="578" t="s">
        <v>469</v>
      </c>
      <c r="W1101" s="579" t="s">
        <v>1358</v>
      </c>
      <c r="X1101" s="578" t="s">
        <v>1337</v>
      </c>
      <c r="Y1101" s="578" t="s">
        <v>1338</v>
      </c>
      <c r="Z1101" s="580" t="s">
        <v>2150</v>
      </c>
      <c r="AA1101" s="581">
        <v>1306</v>
      </c>
      <c r="AB1101" s="578"/>
    </row>
    <row r="1102" spans="1:28" hidden="1">
      <c r="A1102" s="566" t="s">
        <v>1335</v>
      </c>
      <c r="B1102" s="566" t="s">
        <v>466</v>
      </c>
      <c r="C1102" s="566" t="s">
        <v>471</v>
      </c>
      <c r="D1102" s="566" t="s">
        <v>472</v>
      </c>
      <c r="E1102" s="566" t="s">
        <v>473</v>
      </c>
      <c r="F1102" s="566" t="s">
        <v>474</v>
      </c>
      <c r="G1102" s="567">
        <v>0</v>
      </c>
      <c r="H1102" s="566" t="s">
        <v>704</v>
      </c>
      <c r="I1102" s="568">
        <v>2</v>
      </c>
      <c r="J1102" s="569">
        <v>49</v>
      </c>
      <c r="K1102" s="569">
        <v>49</v>
      </c>
      <c r="L1102" s="566"/>
      <c r="M1102" s="566" t="s">
        <v>476</v>
      </c>
      <c r="N1102" s="570">
        <v>910</v>
      </c>
      <c r="O1102" s="566"/>
      <c r="P1102" s="566" t="s">
        <v>477</v>
      </c>
      <c r="Q1102" s="568">
        <v>909678</v>
      </c>
      <c r="R1102" s="568">
        <v>22</v>
      </c>
      <c r="S1102" s="566" t="s">
        <v>1360</v>
      </c>
      <c r="T1102" s="578" t="s">
        <v>779</v>
      </c>
      <c r="U1102" s="578" t="s">
        <v>670</v>
      </c>
      <c r="V1102" s="578" t="s">
        <v>469</v>
      </c>
      <c r="W1102" s="579" t="s">
        <v>509</v>
      </c>
      <c r="X1102" s="578" t="s">
        <v>1337</v>
      </c>
      <c r="Y1102" s="578" t="s">
        <v>1338</v>
      </c>
      <c r="Z1102" s="580" t="s">
        <v>2151</v>
      </c>
      <c r="AA1102" s="581">
        <v>910</v>
      </c>
      <c r="AB1102" s="578"/>
    </row>
    <row r="1103" spans="1:28" hidden="1">
      <c r="A1103" s="566" t="s">
        <v>1335</v>
      </c>
      <c r="B1103" s="566" t="s">
        <v>466</v>
      </c>
      <c r="C1103" s="566" t="s">
        <v>471</v>
      </c>
      <c r="D1103" s="566" t="s">
        <v>472</v>
      </c>
      <c r="E1103" s="566" t="s">
        <v>473</v>
      </c>
      <c r="F1103" s="566" t="s">
        <v>474</v>
      </c>
      <c r="G1103" s="567">
        <v>0</v>
      </c>
      <c r="H1103" s="566" t="s">
        <v>706</v>
      </c>
      <c r="I1103" s="568">
        <v>2</v>
      </c>
      <c r="J1103" s="569">
        <v>49</v>
      </c>
      <c r="K1103" s="569">
        <v>49</v>
      </c>
      <c r="L1103" s="566"/>
      <c r="M1103" s="566" t="s">
        <v>476</v>
      </c>
      <c r="N1103" s="570">
        <v>946</v>
      </c>
      <c r="O1103" s="566"/>
      <c r="P1103" s="566" t="s">
        <v>477</v>
      </c>
      <c r="Q1103" s="568">
        <v>909678</v>
      </c>
      <c r="R1103" s="568">
        <v>23</v>
      </c>
      <c r="S1103" s="566" t="s">
        <v>1362</v>
      </c>
      <c r="T1103" s="578" t="s">
        <v>779</v>
      </c>
      <c r="U1103" s="578" t="s">
        <v>670</v>
      </c>
      <c r="V1103" s="578" t="s">
        <v>469</v>
      </c>
      <c r="W1103" s="579" t="s">
        <v>512</v>
      </c>
      <c r="X1103" s="578" t="s">
        <v>1337</v>
      </c>
      <c r="Y1103" s="578" t="s">
        <v>1338</v>
      </c>
      <c r="Z1103" s="580" t="s">
        <v>2152</v>
      </c>
      <c r="AA1103" s="581">
        <v>946</v>
      </c>
      <c r="AB1103" s="578"/>
    </row>
    <row r="1104" spans="1:28" hidden="1">
      <c r="A1104" s="566" t="s">
        <v>1335</v>
      </c>
      <c r="B1104" s="566" t="s">
        <v>466</v>
      </c>
      <c r="C1104" s="566" t="s">
        <v>471</v>
      </c>
      <c r="D1104" s="566" t="s">
        <v>472</v>
      </c>
      <c r="E1104" s="566" t="s">
        <v>473</v>
      </c>
      <c r="F1104" s="566" t="s">
        <v>474</v>
      </c>
      <c r="G1104" s="567">
        <v>0</v>
      </c>
      <c r="H1104" s="566" t="s">
        <v>708</v>
      </c>
      <c r="I1104" s="568">
        <v>2</v>
      </c>
      <c r="J1104" s="569">
        <v>49</v>
      </c>
      <c r="K1104" s="569">
        <v>49</v>
      </c>
      <c r="L1104" s="566"/>
      <c r="M1104" s="566" t="s">
        <v>476</v>
      </c>
      <c r="N1104" s="570">
        <v>982</v>
      </c>
      <c r="O1104" s="566"/>
      <c r="P1104" s="566" t="s">
        <v>477</v>
      </c>
      <c r="Q1104" s="568">
        <v>909678</v>
      </c>
      <c r="R1104" s="568">
        <v>24</v>
      </c>
      <c r="S1104" s="566" t="s">
        <v>1364</v>
      </c>
      <c r="T1104" s="578" t="s">
        <v>779</v>
      </c>
      <c r="U1104" s="578" t="s">
        <v>670</v>
      </c>
      <c r="V1104" s="578" t="s">
        <v>469</v>
      </c>
      <c r="W1104" s="579" t="s">
        <v>514</v>
      </c>
      <c r="X1104" s="578" t="s">
        <v>1337</v>
      </c>
      <c r="Y1104" s="578" t="s">
        <v>1338</v>
      </c>
      <c r="Z1104" s="580" t="s">
        <v>2153</v>
      </c>
      <c r="AA1104" s="581">
        <v>982</v>
      </c>
      <c r="AB1104" s="578"/>
    </row>
    <row r="1105" spans="1:28" hidden="1">
      <c r="A1105" s="566" t="s">
        <v>1335</v>
      </c>
      <c r="B1105" s="566" t="s">
        <v>466</v>
      </c>
      <c r="C1105" s="566" t="s">
        <v>471</v>
      </c>
      <c r="D1105" s="566" t="s">
        <v>472</v>
      </c>
      <c r="E1105" s="566" t="s">
        <v>473</v>
      </c>
      <c r="F1105" s="566" t="s">
        <v>474</v>
      </c>
      <c r="G1105" s="567">
        <v>0</v>
      </c>
      <c r="H1105" s="566" t="s">
        <v>677</v>
      </c>
      <c r="I1105" s="568">
        <v>2</v>
      </c>
      <c r="J1105" s="569">
        <v>73</v>
      </c>
      <c r="K1105" s="569">
        <v>73</v>
      </c>
      <c r="L1105" s="566"/>
      <c r="M1105" s="566" t="s">
        <v>476</v>
      </c>
      <c r="N1105" s="570">
        <v>1558</v>
      </c>
      <c r="O1105" s="566"/>
      <c r="P1105" s="566" t="s">
        <v>477</v>
      </c>
      <c r="Q1105" s="568">
        <v>909678</v>
      </c>
      <c r="R1105" s="568">
        <v>40</v>
      </c>
      <c r="S1105" s="566" t="s">
        <v>1366</v>
      </c>
      <c r="T1105" s="578" t="s">
        <v>779</v>
      </c>
      <c r="U1105" s="578" t="s">
        <v>670</v>
      </c>
      <c r="V1105" s="578" t="s">
        <v>469</v>
      </c>
      <c r="W1105" s="579" t="s">
        <v>1274</v>
      </c>
      <c r="X1105" s="578" t="s">
        <v>1337</v>
      </c>
      <c r="Y1105" s="578" t="s">
        <v>1367</v>
      </c>
      <c r="Z1105" s="580" t="s">
        <v>2154</v>
      </c>
      <c r="AA1105" s="581">
        <v>1558</v>
      </c>
      <c r="AB1105" s="578"/>
    </row>
    <row r="1106" spans="1:28" hidden="1">
      <c r="A1106" s="566" t="s">
        <v>1335</v>
      </c>
      <c r="B1106" s="566" t="s">
        <v>466</v>
      </c>
      <c r="C1106" s="566" t="s">
        <v>471</v>
      </c>
      <c r="D1106" s="566" t="s">
        <v>472</v>
      </c>
      <c r="E1106" s="566" t="s">
        <v>473</v>
      </c>
      <c r="F1106" s="566" t="s">
        <v>474</v>
      </c>
      <c r="G1106" s="567">
        <v>0</v>
      </c>
      <c r="H1106" s="566" t="s">
        <v>680</v>
      </c>
      <c r="I1106" s="568">
        <v>2</v>
      </c>
      <c r="J1106" s="569">
        <v>73</v>
      </c>
      <c r="K1106" s="569">
        <v>73</v>
      </c>
      <c r="L1106" s="566"/>
      <c r="M1106" s="566" t="s">
        <v>476</v>
      </c>
      <c r="N1106" s="570">
        <v>1594</v>
      </c>
      <c r="O1106" s="566"/>
      <c r="P1106" s="566" t="s">
        <v>477</v>
      </c>
      <c r="Q1106" s="568">
        <v>909678</v>
      </c>
      <c r="R1106" s="568">
        <v>41</v>
      </c>
      <c r="S1106" s="566" t="s">
        <v>1369</v>
      </c>
      <c r="T1106" s="578" t="s">
        <v>779</v>
      </c>
      <c r="U1106" s="578" t="s">
        <v>670</v>
      </c>
      <c r="V1106" s="578" t="s">
        <v>469</v>
      </c>
      <c r="W1106" s="579" t="s">
        <v>1275</v>
      </c>
      <c r="X1106" s="578" t="s">
        <v>1337</v>
      </c>
      <c r="Y1106" s="578" t="s">
        <v>1367</v>
      </c>
      <c r="Z1106" s="580" t="s">
        <v>2155</v>
      </c>
      <c r="AA1106" s="581">
        <v>1594</v>
      </c>
      <c r="AB1106" s="578"/>
    </row>
    <row r="1107" spans="1:28" hidden="1">
      <c r="A1107" s="566" t="s">
        <v>1335</v>
      </c>
      <c r="B1107" s="566" t="s">
        <v>466</v>
      </c>
      <c r="C1107" s="566" t="s">
        <v>487</v>
      </c>
      <c r="D1107" s="566" t="s">
        <v>472</v>
      </c>
      <c r="E1107" s="566" t="s">
        <v>473</v>
      </c>
      <c r="F1107" s="566" t="s">
        <v>489</v>
      </c>
      <c r="G1107" s="567">
        <v>50</v>
      </c>
      <c r="H1107" s="566" t="s">
        <v>689</v>
      </c>
      <c r="I1107" s="568">
        <v>2</v>
      </c>
      <c r="J1107" s="569">
        <v>73</v>
      </c>
      <c r="K1107" s="569">
        <v>73</v>
      </c>
      <c r="L1107" s="566"/>
      <c r="M1107" s="566" t="s">
        <v>476</v>
      </c>
      <c r="N1107" s="570">
        <v>1630</v>
      </c>
      <c r="O1107" s="566"/>
      <c r="P1107" s="566" t="s">
        <v>477</v>
      </c>
      <c r="Q1107" s="568">
        <v>909678</v>
      </c>
      <c r="R1107" s="568">
        <v>43</v>
      </c>
      <c r="S1107" s="566" t="s">
        <v>1371</v>
      </c>
      <c r="T1107" s="578" t="s">
        <v>779</v>
      </c>
      <c r="U1107" s="578" t="s">
        <v>670</v>
      </c>
      <c r="V1107" s="578" t="s">
        <v>469</v>
      </c>
      <c r="W1107" s="579" t="s">
        <v>1276</v>
      </c>
      <c r="X1107" s="578" t="s">
        <v>1337</v>
      </c>
      <c r="Y1107" s="578" t="s">
        <v>1367</v>
      </c>
      <c r="Z1107" s="580" t="s">
        <v>2156</v>
      </c>
      <c r="AA1107" s="581">
        <v>1630</v>
      </c>
      <c r="AB1107" s="578"/>
    </row>
    <row r="1108" spans="1:28" hidden="1">
      <c r="A1108" s="566" t="s">
        <v>1335</v>
      </c>
      <c r="B1108" s="566" t="s">
        <v>466</v>
      </c>
      <c r="C1108" s="566" t="s">
        <v>487</v>
      </c>
      <c r="D1108" s="566" t="s">
        <v>472</v>
      </c>
      <c r="E1108" s="566" t="s">
        <v>473</v>
      </c>
      <c r="F1108" s="566" t="s">
        <v>489</v>
      </c>
      <c r="G1108" s="567">
        <v>50</v>
      </c>
      <c r="H1108" s="566" t="s">
        <v>692</v>
      </c>
      <c r="I1108" s="568">
        <v>2</v>
      </c>
      <c r="J1108" s="569">
        <v>73</v>
      </c>
      <c r="K1108" s="569">
        <v>73</v>
      </c>
      <c r="L1108" s="566"/>
      <c r="M1108" s="566" t="s">
        <v>476</v>
      </c>
      <c r="N1108" s="570">
        <v>1666</v>
      </c>
      <c r="O1108" s="566"/>
      <c r="P1108" s="566" t="s">
        <v>477</v>
      </c>
      <c r="Q1108" s="568">
        <v>909678</v>
      </c>
      <c r="R1108" s="568">
        <v>44</v>
      </c>
      <c r="S1108" s="566" t="s">
        <v>1373</v>
      </c>
      <c r="T1108" s="578" t="s">
        <v>779</v>
      </c>
      <c r="U1108" s="578" t="s">
        <v>670</v>
      </c>
      <c r="V1108" s="578" t="s">
        <v>469</v>
      </c>
      <c r="W1108" s="579" t="s">
        <v>1277</v>
      </c>
      <c r="X1108" s="578" t="s">
        <v>1337</v>
      </c>
      <c r="Y1108" s="578" t="s">
        <v>1367</v>
      </c>
      <c r="Z1108" s="580" t="s">
        <v>2157</v>
      </c>
      <c r="AA1108" s="581">
        <v>1666</v>
      </c>
      <c r="AB1108" s="578"/>
    </row>
    <row r="1109" spans="1:28" hidden="1">
      <c r="A1109" s="566" t="s">
        <v>1335</v>
      </c>
      <c r="B1109" s="566" t="s">
        <v>466</v>
      </c>
      <c r="C1109" s="566" t="s">
        <v>471</v>
      </c>
      <c r="D1109" s="566" t="s">
        <v>472</v>
      </c>
      <c r="E1109" s="566" t="s">
        <v>473</v>
      </c>
      <c r="F1109" s="566" t="s">
        <v>474</v>
      </c>
      <c r="G1109" s="567">
        <v>0</v>
      </c>
      <c r="H1109" s="566" t="s">
        <v>2117</v>
      </c>
      <c r="I1109" s="568">
        <v>2</v>
      </c>
      <c r="J1109" s="569">
        <v>73</v>
      </c>
      <c r="K1109" s="569">
        <v>73</v>
      </c>
      <c r="L1109" s="566"/>
      <c r="M1109" s="566" t="s">
        <v>476</v>
      </c>
      <c r="N1109" s="570">
        <v>1702</v>
      </c>
      <c r="O1109" s="566"/>
      <c r="P1109" s="566" t="s">
        <v>477</v>
      </c>
      <c r="Q1109" s="568">
        <v>909678</v>
      </c>
      <c r="R1109" s="568">
        <v>42</v>
      </c>
      <c r="S1109" s="566" t="s">
        <v>1375</v>
      </c>
      <c r="T1109" s="578" t="s">
        <v>779</v>
      </c>
      <c r="U1109" s="578" t="s">
        <v>670</v>
      </c>
      <c r="V1109" s="578" t="s">
        <v>469</v>
      </c>
      <c r="W1109" s="579" t="s">
        <v>1354</v>
      </c>
      <c r="X1109" s="578" t="s">
        <v>1337</v>
      </c>
      <c r="Y1109" s="578" t="s">
        <v>1367</v>
      </c>
      <c r="Z1109" s="580" t="s">
        <v>2158</v>
      </c>
      <c r="AA1109" s="581">
        <v>1702</v>
      </c>
      <c r="AB1109" s="578"/>
    </row>
    <row r="1110" spans="1:28" hidden="1">
      <c r="A1110" s="566" t="s">
        <v>1335</v>
      </c>
      <c r="B1110" s="566" t="s">
        <v>466</v>
      </c>
      <c r="C1110" s="566" t="s">
        <v>487</v>
      </c>
      <c r="D1110" s="566" t="s">
        <v>472</v>
      </c>
      <c r="E1110" s="566" t="s">
        <v>473</v>
      </c>
      <c r="F1110" s="566" t="s">
        <v>489</v>
      </c>
      <c r="G1110" s="567">
        <v>50</v>
      </c>
      <c r="H1110" s="566" t="s">
        <v>2119</v>
      </c>
      <c r="I1110" s="568">
        <v>2</v>
      </c>
      <c r="J1110" s="569">
        <v>73</v>
      </c>
      <c r="K1110" s="569">
        <v>73</v>
      </c>
      <c r="L1110" s="566"/>
      <c r="M1110" s="566" t="s">
        <v>476</v>
      </c>
      <c r="N1110" s="570">
        <v>1738</v>
      </c>
      <c r="O1110" s="566"/>
      <c r="P1110" s="566" t="s">
        <v>477</v>
      </c>
      <c r="Q1110" s="568">
        <v>909678</v>
      </c>
      <c r="R1110" s="568">
        <v>45</v>
      </c>
      <c r="S1110" s="566" t="s">
        <v>1377</v>
      </c>
      <c r="T1110" s="578" t="s">
        <v>779</v>
      </c>
      <c r="U1110" s="578" t="s">
        <v>670</v>
      </c>
      <c r="V1110" s="578" t="s">
        <v>469</v>
      </c>
      <c r="W1110" s="579" t="s">
        <v>1358</v>
      </c>
      <c r="X1110" s="578" t="s">
        <v>1337</v>
      </c>
      <c r="Y1110" s="578" t="s">
        <v>1367</v>
      </c>
      <c r="Z1110" s="580" t="s">
        <v>2159</v>
      </c>
      <c r="AA1110" s="581">
        <v>1738</v>
      </c>
      <c r="AB1110" s="578"/>
    </row>
    <row r="1111" spans="1:28" hidden="1">
      <c r="A1111" s="566" t="s">
        <v>1335</v>
      </c>
      <c r="B1111" s="566" t="s">
        <v>466</v>
      </c>
      <c r="C1111" s="566" t="s">
        <v>553</v>
      </c>
      <c r="D1111" s="566" t="s">
        <v>472</v>
      </c>
      <c r="E1111" s="566" t="s">
        <v>473</v>
      </c>
      <c r="F1111" s="566" t="s">
        <v>554</v>
      </c>
      <c r="G1111" s="567">
        <v>13</v>
      </c>
      <c r="H1111" s="566" t="s">
        <v>916</v>
      </c>
      <c r="I1111" s="568">
        <v>2</v>
      </c>
      <c r="J1111" s="569">
        <v>22</v>
      </c>
      <c r="K1111" s="569">
        <v>22</v>
      </c>
      <c r="L1111" s="569">
        <v>17</v>
      </c>
      <c r="M1111" s="566" t="s">
        <v>476</v>
      </c>
      <c r="N1111" s="570">
        <v>163</v>
      </c>
      <c r="O1111" s="566"/>
      <c r="P1111" s="566" t="s">
        <v>477</v>
      </c>
      <c r="Q1111" s="568">
        <v>909678</v>
      </c>
      <c r="R1111" s="568">
        <v>9</v>
      </c>
      <c r="S1111" s="566" t="s">
        <v>1379</v>
      </c>
      <c r="T1111" s="578" t="s">
        <v>779</v>
      </c>
      <c r="U1111" s="578" t="s">
        <v>670</v>
      </c>
      <c r="V1111" s="578" t="s">
        <v>469</v>
      </c>
      <c r="W1111" s="579" t="s">
        <v>551</v>
      </c>
      <c r="X1111" s="578" t="s">
        <v>1380</v>
      </c>
      <c r="Y1111" s="578" t="s">
        <v>1338</v>
      </c>
      <c r="Z1111" s="580" t="s">
        <v>915</v>
      </c>
      <c r="AA1111" s="581">
        <v>163</v>
      </c>
      <c r="AB1111" s="578">
        <v>260062</v>
      </c>
    </row>
    <row r="1112" spans="1:28" hidden="1">
      <c r="A1112" s="566" t="s">
        <v>1335</v>
      </c>
      <c r="B1112" s="566" t="s">
        <v>466</v>
      </c>
      <c r="C1112" s="566" t="s">
        <v>553</v>
      </c>
      <c r="D1112" s="566" t="s">
        <v>472</v>
      </c>
      <c r="E1112" s="566" t="s">
        <v>473</v>
      </c>
      <c r="F1112" s="566" t="s">
        <v>554</v>
      </c>
      <c r="G1112" s="567">
        <v>16</v>
      </c>
      <c r="H1112" s="566" t="s">
        <v>918</v>
      </c>
      <c r="I1112" s="568">
        <v>2</v>
      </c>
      <c r="J1112" s="569">
        <v>22</v>
      </c>
      <c r="K1112" s="569">
        <v>22</v>
      </c>
      <c r="L1112" s="569">
        <v>17</v>
      </c>
      <c r="M1112" s="566" t="s">
        <v>476</v>
      </c>
      <c r="N1112" s="570">
        <v>307</v>
      </c>
      <c r="O1112" s="566"/>
      <c r="P1112" s="566" t="s">
        <v>477</v>
      </c>
      <c r="Q1112" s="568">
        <v>909678</v>
      </c>
      <c r="R1112" s="568">
        <v>4</v>
      </c>
      <c r="S1112" s="566" t="s">
        <v>1381</v>
      </c>
      <c r="T1112" s="578" t="s">
        <v>779</v>
      </c>
      <c r="U1112" s="578" t="s">
        <v>670</v>
      </c>
      <c r="V1112" s="578" t="s">
        <v>469</v>
      </c>
      <c r="W1112" s="579" t="s">
        <v>556</v>
      </c>
      <c r="X1112" s="578" t="s">
        <v>1380</v>
      </c>
      <c r="Y1112" s="578" t="s">
        <v>1338</v>
      </c>
      <c r="Z1112" s="580" t="s">
        <v>917</v>
      </c>
      <c r="AA1112" s="581">
        <v>307</v>
      </c>
      <c r="AB1112" s="578">
        <v>260206</v>
      </c>
    </row>
    <row r="1113" spans="1:28" hidden="1">
      <c r="A1113" s="566" t="s">
        <v>1335</v>
      </c>
      <c r="B1113" s="566" t="s">
        <v>466</v>
      </c>
      <c r="C1113" s="566" t="s">
        <v>471</v>
      </c>
      <c r="D1113" s="566" t="s">
        <v>472</v>
      </c>
      <c r="E1113" s="566" t="s">
        <v>473</v>
      </c>
      <c r="F1113" s="566" t="s">
        <v>474</v>
      </c>
      <c r="G1113" s="567">
        <v>0</v>
      </c>
      <c r="H1113" s="566" t="s">
        <v>677</v>
      </c>
      <c r="I1113" s="568">
        <v>2</v>
      </c>
      <c r="J1113" s="569">
        <v>1</v>
      </c>
      <c r="K1113" s="569">
        <v>1</v>
      </c>
      <c r="L1113" s="566"/>
      <c r="M1113" s="566" t="s">
        <v>476</v>
      </c>
      <c r="N1113" s="570">
        <v>478</v>
      </c>
      <c r="O1113" s="566"/>
      <c r="P1113" s="566" t="s">
        <v>477</v>
      </c>
      <c r="Q1113" s="568">
        <v>909678</v>
      </c>
      <c r="R1113" s="568">
        <v>10</v>
      </c>
      <c r="S1113" s="566" t="s">
        <v>1382</v>
      </c>
      <c r="T1113" s="578" t="s">
        <v>779</v>
      </c>
      <c r="U1113" s="578" t="s">
        <v>670</v>
      </c>
      <c r="V1113" s="578" t="s">
        <v>469</v>
      </c>
      <c r="W1113" s="579" t="s">
        <v>1274</v>
      </c>
      <c r="X1113" s="578" t="s">
        <v>1380</v>
      </c>
      <c r="Y1113" s="578" t="s">
        <v>1338</v>
      </c>
      <c r="Z1113" s="580" t="s">
        <v>919</v>
      </c>
      <c r="AA1113" s="581">
        <v>478</v>
      </c>
      <c r="AB1113" s="578"/>
    </row>
    <row r="1114" spans="1:28" hidden="1">
      <c r="A1114" s="566" t="s">
        <v>1335</v>
      </c>
      <c r="B1114" s="566" t="s">
        <v>466</v>
      </c>
      <c r="C1114" s="566" t="s">
        <v>471</v>
      </c>
      <c r="D1114" s="566" t="s">
        <v>472</v>
      </c>
      <c r="E1114" s="566" t="s">
        <v>473</v>
      </c>
      <c r="F1114" s="566" t="s">
        <v>474</v>
      </c>
      <c r="G1114" s="567">
        <v>0</v>
      </c>
      <c r="H1114" s="566" t="s">
        <v>680</v>
      </c>
      <c r="I1114" s="568">
        <v>2</v>
      </c>
      <c r="J1114" s="569">
        <v>1</v>
      </c>
      <c r="K1114" s="569">
        <v>1</v>
      </c>
      <c r="L1114" s="566"/>
      <c r="M1114" s="566" t="s">
        <v>476</v>
      </c>
      <c r="N1114" s="570">
        <v>550</v>
      </c>
      <c r="O1114" s="566"/>
      <c r="P1114" s="566" t="s">
        <v>477</v>
      </c>
      <c r="Q1114" s="568">
        <v>909678</v>
      </c>
      <c r="R1114" s="568">
        <v>15</v>
      </c>
      <c r="S1114" s="566" t="s">
        <v>483</v>
      </c>
      <c r="T1114" s="578" t="s">
        <v>779</v>
      </c>
      <c r="U1114" s="578" t="s">
        <v>670</v>
      </c>
      <c r="V1114" s="578" t="s">
        <v>469</v>
      </c>
      <c r="W1114" s="579" t="s">
        <v>1275</v>
      </c>
      <c r="X1114" s="578" t="s">
        <v>1380</v>
      </c>
      <c r="Y1114" s="578" t="s">
        <v>1338</v>
      </c>
      <c r="Z1114" s="580" t="s">
        <v>920</v>
      </c>
      <c r="AA1114" s="581">
        <v>550</v>
      </c>
      <c r="AB1114" s="578"/>
    </row>
    <row r="1115" spans="1:28" hidden="1">
      <c r="A1115" s="566" t="s">
        <v>1335</v>
      </c>
      <c r="B1115" s="566" t="s">
        <v>466</v>
      </c>
      <c r="C1115" s="566" t="s">
        <v>487</v>
      </c>
      <c r="D1115" s="566" t="s">
        <v>472</v>
      </c>
      <c r="E1115" s="566" t="s">
        <v>473</v>
      </c>
      <c r="F1115" s="566" t="s">
        <v>489</v>
      </c>
      <c r="G1115" s="567">
        <v>50</v>
      </c>
      <c r="H1115" s="566" t="s">
        <v>682</v>
      </c>
      <c r="I1115" s="568">
        <v>2</v>
      </c>
      <c r="J1115" s="569">
        <v>1</v>
      </c>
      <c r="K1115" s="569">
        <v>1</v>
      </c>
      <c r="L1115" s="566"/>
      <c r="M1115" s="566" t="s">
        <v>476</v>
      </c>
      <c r="N1115" s="570">
        <v>586</v>
      </c>
      <c r="O1115" s="566"/>
      <c r="P1115" s="566" t="s">
        <v>477</v>
      </c>
      <c r="Q1115" s="568">
        <v>909678</v>
      </c>
      <c r="R1115" s="568">
        <v>16</v>
      </c>
      <c r="S1115" s="566" t="s">
        <v>488</v>
      </c>
      <c r="T1115" s="578" t="s">
        <v>779</v>
      </c>
      <c r="U1115" s="578" t="s">
        <v>670</v>
      </c>
      <c r="V1115" s="578" t="s">
        <v>469</v>
      </c>
      <c r="W1115" s="579" t="s">
        <v>485</v>
      </c>
      <c r="X1115" s="578" t="s">
        <v>1380</v>
      </c>
      <c r="Y1115" s="578" t="s">
        <v>1338</v>
      </c>
      <c r="Z1115" s="580" t="s">
        <v>921</v>
      </c>
      <c r="AA1115" s="581">
        <v>586</v>
      </c>
      <c r="AB1115" s="578"/>
    </row>
    <row r="1116" spans="1:28" hidden="1">
      <c r="A1116" s="566" t="s">
        <v>1335</v>
      </c>
      <c r="B1116" s="566" t="s">
        <v>466</v>
      </c>
      <c r="C1116" s="566" t="s">
        <v>487</v>
      </c>
      <c r="D1116" s="566" t="s">
        <v>472</v>
      </c>
      <c r="E1116" s="566" t="s">
        <v>473</v>
      </c>
      <c r="F1116" s="566" t="s">
        <v>489</v>
      </c>
      <c r="G1116" s="567">
        <v>50</v>
      </c>
      <c r="H1116" s="566" t="s">
        <v>684</v>
      </c>
      <c r="I1116" s="568">
        <v>2</v>
      </c>
      <c r="J1116" s="569">
        <v>1</v>
      </c>
      <c r="K1116" s="569">
        <v>1</v>
      </c>
      <c r="L1116" s="566"/>
      <c r="M1116" s="566" t="s">
        <v>476</v>
      </c>
      <c r="N1116" s="570">
        <v>622</v>
      </c>
      <c r="O1116" s="566"/>
      <c r="P1116" s="566" t="s">
        <v>477</v>
      </c>
      <c r="Q1116" s="568">
        <v>909678</v>
      </c>
      <c r="R1116" s="568">
        <v>17</v>
      </c>
      <c r="S1116" s="566" t="s">
        <v>493</v>
      </c>
      <c r="T1116" s="578" t="s">
        <v>779</v>
      </c>
      <c r="U1116" s="578" t="s">
        <v>670</v>
      </c>
      <c r="V1116" s="578" t="s">
        <v>469</v>
      </c>
      <c r="W1116" s="579" t="s">
        <v>491</v>
      </c>
      <c r="X1116" s="578" t="s">
        <v>1380</v>
      </c>
      <c r="Y1116" s="578" t="s">
        <v>1338</v>
      </c>
      <c r="Z1116" s="580" t="s">
        <v>922</v>
      </c>
      <c r="AA1116" s="581">
        <v>622</v>
      </c>
      <c r="AB1116" s="578"/>
    </row>
    <row r="1117" spans="1:28" hidden="1">
      <c r="A1117" s="566" t="s">
        <v>1335</v>
      </c>
      <c r="B1117" s="566" t="s">
        <v>466</v>
      </c>
      <c r="C1117" s="566" t="s">
        <v>487</v>
      </c>
      <c r="D1117" s="566" t="s">
        <v>472</v>
      </c>
      <c r="E1117" s="566" t="s">
        <v>473</v>
      </c>
      <c r="F1117" s="566" t="s">
        <v>489</v>
      </c>
      <c r="G1117" s="567">
        <v>50</v>
      </c>
      <c r="H1117" s="566" t="s">
        <v>686</v>
      </c>
      <c r="I1117" s="568">
        <v>2</v>
      </c>
      <c r="J1117" s="569">
        <v>1</v>
      </c>
      <c r="K1117" s="569">
        <v>1</v>
      </c>
      <c r="L1117" s="566"/>
      <c r="M1117" s="566" t="s">
        <v>476</v>
      </c>
      <c r="N1117" s="570">
        <v>658</v>
      </c>
      <c r="O1117" s="566"/>
      <c r="P1117" s="566" t="s">
        <v>477</v>
      </c>
      <c r="Q1117" s="568">
        <v>909678</v>
      </c>
      <c r="R1117" s="568">
        <v>18</v>
      </c>
      <c r="S1117" s="566" t="s">
        <v>497</v>
      </c>
      <c r="T1117" s="578" t="s">
        <v>779</v>
      </c>
      <c r="U1117" s="578" t="s">
        <v>670</v>
      </c>
      <c r="V1117" s="578" t="s">
        <v>469</v>
      </c>
      <c r="W1117" s="579" t="s">
        <v>495</v>
      </c>
      <c r="X1117" s="578" t="s">
        <v>1380</v>
      </c>
      <c r="Y1117" s="578" t="s">
        <v>1338</v>
      </c>
      <c r="Z1117" s="580" t="s">
        <v>923</v>
      </c>
      <c r="AA1117" s="581">
        <v>658</v>
      </c>
      <c r="AB1117" s="578"/>
    </row>
    <row r="1118" spans="1:28" hidden="1">
      <c r="A1118" s="566" t="s">
        <v>1335</v>
      </c>
      <c r="B1118" s="566" t="s">
        <v>466</v>
      </c>
      <c r="C1118" s="566" t="s">
        <v>487</v>
      </c>
      <c r="D1118" s="566" t="s">
        <v>472</v>
      </c>
      <c r="E1118" s="566" t="s">
        <v>473</v>
      </c>
      <c r="F1118" s="566" t="s">
        <v>489</v>
      </c>
      <c r="G1118" s="567">
        <v>50</v>
      </c>
      <c r="H1118" s="566" t="s">
        <v>689</v>
      </c>
      <c r="I1118" s="568">
        <v>2</v>
      </c>
      <c r="J1118" s="569">
        <v>1</v>
      </c>
      <c r="K1118" s="569">
        <v>1</v>
      </c>
      <c r="L1118" s="566"/>
      <c r="M1118" s="566" t="s">
        <v>476</v>
      </c>
      <c r="N1118" s="570">
        <v>730</v>
      </c>
      <c r="O1118" s="566"/>
      <c r="P1118" s="566" t="s">
        <v>477</v>
      </c>
      <c r="Q1118" s="568">
        <v>909678</v>
      </c>
      <c r="R1118" s="568">
        <v>19</v>
      </c>
      <c r="S1118" s="566" t="s">
        <v>502</v>
      </c>
      <c r="T1118" s="578" t="s">
        <v>779</v>
      </c>
      <c r="U1118" s="578" t="s">
        <v>670</v>
      </c>
      <c r="V1118" s="578" t="s">
        <v>469</v>
      </c>
      <c r="W1118" s="579" t="s">
        <v>1276</v>
      </c>
      <c r="X1118" s="578" t="s">
        <v>1380</v>
      </c>
      <c r="Y1118" s="578" t="s">
        <v>1338</v>
      </c>
      <c r="Z1118" s="580" t="s">
        <v>924</v>
      </c>
      <c r="AA1118" s="581">
        <v>730</v>
      </c>
      <c r="AB1118" s="578"/>
    </row>
    <row r="1119" spans="1:28" hidden="1">
      <c r="A1119" s="566" t="s">
        <v>1335</v>
      </c>
      <c r="B1119" s="566" t="s">
        <v>466</v>
      </c>
      <c r="C1119" s="566" t="s">
        <v>487</v>
      </c>
      <c r="D1119" s="566" t="s">
        <v>472</v>
      </c>
      <c r="E1119" s="566" t="s">
        <v>473</v>
      </c>
      <c r="F1119" s="566" t="s">
        <v>489</v>
      </c>
      <c r="G1119" s="567">
        <v>50</v>
      </c>
      <c r="H1119" s="566" t="s">
        <v>692</v>
      </c>
      <c r="I1119" s="568">
        <v>2</v>
      </c>
      <c r="J1119" s="569">
        <v>1</v>
      </c>
      <c r="K1119" s="569">
        <v>1</v>
      </c>
      <c r="L1119" s="566"/>
      <c r="M1119" s="566" t="s">
        <v>476</v>
      </c>
      <c r="N1119" s="570">
        <v>802</v>
      </c>
      <c r="O1119" s="566"/>
      <c r="P1119" s="566" t="s">
        <v>477</v>
      </c>
      <c r="Q1119" s="568">
        <v>909678</v>
      </c>
      <c r="R1119" s="568">
        <v>21</v>
      </c>
      <c r="S1119" s="566" t="s">
        <v>507</v>
      </c>
      <c r="T1119" s="578" t="s">
        <v>779</v>
      </c>
      <c r="U1119" s="578" t="s">
        <v>670</v>
      </c>
      <c r="V1119" s="578" t="s">
        <v>469</v>
      </c>
      <c r="W1119" s="579" t="s">
        <v>1277</v>
      </c>
      <c r="X1119" s="578" t="s">
        <v>1380</v>
      </c>
      <c r="Y1119" s="578" t="s">
        <v>1338</v>
      </c>
      <c r="Z1119" s="580" t="s">
        <v>925</v>
      </c>
      <c r="AA1119" s="581">
        <v>802</v>
      </c>
      <c r="AB1119" s="578"/>
    </row>
    <row r="1120" spans="1:28" hidden="1">
      <c r="A1120" s="566" t="s">
        <v>1335</v>
      </c>
      <c r="B1120" s="566" t="s">
        <v>466</v>
      </c>
      <c r="C1120" s="566" t="s">
        <v>471</v>
      </c>
      <c r="D1120" s="566" t="s">
        <v>472</v>
      </c>
      <c r="E1120" s="566" t="s">
        <v>473</v>
      </c>
      <c r="F1120" s="566" t="s">
        <v>474</v>
      </c>
      <c r="G1120" s="567">
        <v>0</v>
      </c>
      <c r="H1120" s="566" t="s">
        <v>2117</v>
      </c>
      <c r="I1120" s="568">
        <v>2</v>
      </c>
      <c r="J1120" s="569">
        <v>1</v>
      </c>
      <c r="K1120" s="569">
        <v>1</v>
      </c>
      <c r="L1120" s="566"/>
      <c r="M1120" s="566" t="s">
        <v>476</v>
      </c>
      <c r="N1120" s="570">
        <v>838</v>
      </c>
      <c r="O1120" s="566"/>
      <c r="P1120" s="566" t="s">
        <v>477</v>
      </c>
      <c r="Q1120" s="568">
        <v>909678</v>
      </c>
      <c r="R1120" s="568">
        <v>46</v>
      </c>
      <c r="S1120" s="566" t="s">
        <v>1383</v>
      </c>
      <c r="T1120" s="578" t="s">
        <v>779</v>
      </c>
      <c r="U1120" s="578" t="s">
        <v>670</v>
      </c>
      <c r="V1120" s="578" t="s">
        <v>469</v>
      </c>
      <c r="W1120" s="579" t="s">
        <v>1354</v>
      </c>
      <c r="X1120" s="578" t="s">
        <v>1380</v>
      </c>
      <c r="Y1120" s="578" t="s">
        <v>1338</v>
      </c>
      <c r="Z1120" s="580" t="s">
        <v>2160</v>
      </c>
      <c r="AA1120" s="581">
        <v>838</v>
      </c>
      <c r="AB1120" s="578"/>
    </row>
    <row r="1121" spans="1:28" hidden="1">
      <c r="A1121" s="566" t="s">
        <v>1335</v>
      </c>
      <c r="B1121" s="566" t="s">
        <v>466</v>
      </c>
      <c r="C1121" s="566" t="s">
        <v>487</v>
      </c>
      <c r="D1121" s="566" t="s">
        <v>472</v>
      </c>
      <c r="E1121" s="566" t="s">
        <v>473</v>
      </c>
      <c r="F1121" s="566" t="s">
        <v>489</v>
      </c>
      <c r="G1121" s="567">
        <v>50</v>
      </c>
      <c r="H1121" s="566" t="s">
        <v>2119</v>
      </c>
      <c r="I1121" s="568">
        <v>2</v>
      </c>
      <c r="J1121" s="569">
        <v>1</v>
      </c>
      <c r="K1121" s="569">
        <v>1</v>
      </c>
      <c r="L1121" s="566"/>
      <c r="M1121" s="566" t="s">
        <v>476</v>
      </c>
      <c r="N1121" s="570">
        <v>874</v>
      </c>
      <c r="O1121" s="566"/>
      <c r="P1121" s="566" t="s">
        <v>477</v>
      </c>
      <c r="Q1121" s="568">
        <v>909678</v>
      </c>
      <c r="R1121" s="568">
        <v>47</v>
      </c>
      <c r="S1121" s="566" t="s">
        <v>1385</v>
      </c>
      <c r="T1121" s="578" t="s">
        <v>779</v>
      </c>
      <c r="U1121" s="578" t="s">
        <v>670</v>
      </c>
      <c r="V1121" s="578" t="s">
        <v>469</v>
      </c>
      <c r="W1121" s="579" t="s">
        <v>1358</v>
      </c>
      <c r="X1121" s="578" t="s">
        <v>1380</v>
      </c>
      <c r="Y1121" s="578" t="s">
        <v>1338</v>
      </c>
      <c r="Z1121" s="580" t="s">
        <v>2161</v>
      </c>
      <c r="AA1121" s="581">
        <v>874</v>
      </c>
      <c r="AB1121" s="578"/>
    </row>
    <row r="1122" spans="1:28" hidden="1">
      <c r="A1122" s="566" t="s">
        <v>1335</v>
      </c>
      <c r="B1122" s="566" t="s">
        <v>466</v>
      </c>
      <c r="C1122" s="566" t="s">
        <v>553</v>
      </c>
      <c r="D1122" s="566" t="s">
        <v>472</v>
      </c>
      <c r="E1122" s="566" t="s">
        <v>473</v>
      </c>
      <c r="F1122" s="566" t="s">
        <v>554</v>
      </c>
      <c r="G1122" s="567">
        <v>13</v>
      </c>
      <c r="H1122" s="566" t="s">
        <v>927</v>
      </c>
      <c r="I1122" s="568">
        <v>2</v>
      </c>
      <c r="J1122" s="569">
        <v>22</v>
      </c>
      <c r="K1122" s="569">
        <v>22</v>
      </c>
      <c r="L1122" s="569">
        <v>17</v>
      </c>
      <c r="M1122" s="566" t="s">
        <v>476</v>
      </c>
      <c r="N1122" s="570">
        <v>187</v>
      </c>
      <c r="O1122" s="566"/>
      <c r="P1122" s="566" t="s">
        <v>477</v>
      </c>
      <c r="Q1122" s="568">
        <v>909678</v>
      </c>
      <c r="R1122" s="568">
        <v>1</v>
      </c>
      <c r="S1122" s="566" t="s">
        <v>1387</v>
      </c>
      <c r="T1122" s="578" t="s">
        <v>779</v>
      </c>
      <c r="U1122" s="578" t="s">
        <v>670</v>
      </c>
      <c r="V1122" s="578" t="s">
        <v>469</v>
      </c>
      <c r="W1122" s="579" t="s">
        <v>577</v>
      </c>
      <c r="X1122" s="578" t="s">
        <v>1380</v>
      </c>
      <c r="Y1122" s="578" t="s">
        <v>1338</v>
      </c>
      <c r="Z1122" s="580" t="s">
        <v>926</v>
      </c>
      <c r="AA1122" s="581">
        <v>187</v>
      </c>
      <c r="AB1122" s="578">
        <v>260086</v>
      </c>
    </row>
    <row r="1123" spans="1:28" hidden="1">
      <c r="A1123" s="566" t="s">
        <v>1335</v>
      </c>
      <c r="B1123" s="566" t="s">
        <v>466</v>
      </c>
      <c r="C1123" s="566" t="s">
        <v>553</v>
      </c>
      <c r="D1123" s="566" t="s">
        <v>472</v>
      </c>
      <c r="E1123" s="566" t="s">
        <v>473</v>
      </c>
      <c r="F1123" s="566" t="s">
        <v>554</v>
      </c>
      <c r="G1123" s="567">
        <v>13</v>
      </c>
      <c r="H1123" s="566" t="s">
        <v>929</v>
      </c>
      <c r="I1123" s="568">
        <v>2</v>
      </c>
      <c r="J1123" s="569">
        <v>22</v>
      </c>
      <c r="K1123" s="569">
        <v>22</v>
      </c>
      <c r="L1123" s="569">
        <v>17</v>
      </c>
      <c r="M1123" s="566" t="s">
        <v>476</v>
      </c>
      <c r="N1123" s="570">
        <v>211</v>
      </c>
      <c r="O1123" s="566"/>
      <c r="P1123" s="566" t="s">
        <v>477</v>
      </c>
      <c r="Q1123" s="568">
        <v>909678</v>
      </c>
      <c r="R1123" s="568">
        <v>2</v>
      </c>
      <c r="S1123" s="566" t="s">
        <v>1388</v>
      </c>
      <c r="T1123" s="578" t="s">
        <v>779</v>
      </c>
      <c r="U1123" s="578" t="s">
        <v>670</v>
      </c>
      <c r="V1123" s="578" t="s">
        <v>469</v>
      </c>
      <c r="W1123" s="579" t="s">
        <v>580</v>
      </c>
      <c r="X1123" s="578" t="s">
        <v>1380</v>
      </c>
      <c r="Y1123" s="578" t="s">
        <v>1338</v>
      </c>
      <c r="Z1123" s="580" t="s">
        <v>928</v>
      </c>
      <c r="AA1123" s="581">
        <v>211</v>
      </c>
      <c r="AB1123" s="578">
        <v>260110</v>
      </c>
    </row>
    <row r="1124" spans="1:28" hidden="1">
      <c r="A1124" s="566" t="s">
        <v>1335</v>
      </c>
      <c r="B1124" s="566" t="s">
        <v>466</v>
      </c>
      <c r="C1124" s="566" t="s">
        <v>553</v>
      </c>
      <c r="D1124" s="566" t="s">
        <v>472</v>
      </c>
      <c r="E1124" s="566" t="s">
        <v>473</v>
      </c>
      <c r="F1124" s="566" t="s">
        <v>554</v>
      </c>
      <c r="G1124" s="567">
        <v>16</v>
      </c>
      <c r="H1124" s="566" t="s">
        <v>931</v>
      </c>
      <c r="I1124" s="568">
        <v>2</v>
      </c>
      <c r="J1124" s="569">
        <v>22</v>
      </c>
      <c r="K1124" s="569">
        <v>22</v>
      </c>
      <c r="L1124" s="569">
        <v>17</v>
      </c>
      <c r="M1124" s="566" t="s">
        <v>476</v>
      </c>
      <c r="N1124" s="570">
        <v>235</v>
      </c>
      <c r="O1124" s="566"/>
      <c r="P1124" s="566" t="s">
        <v>477</v>
      </c>
      <c r="Q1124" s="568">
        <v>909678</v>
      </c>
      <c r="R1124" s="568">
        <v>12</v>
      </c>
      <c r="S1124" s="566" t="s">
        <v>1389</v>
      </c>
      <c r="T1124" s="578" t="s">
        <v>779</v>
      </c>
      <c r="U1124" s="578" t="s">
        <v>670</v>
      </c>
      <c r="V1124" s="578" t="s">
        <v>469</v>
      </c>
      <c r="W1124" s="579" t="s">
        <v>583</v>
      </c>
      <c r="X1124" s="578" t="s">
        <v>1380</v>
      </c>
      <c r="Y1124" s="578" t="s">
        <v>1338</v>
      </c>
      <c r="Z1124" s="580" t="s">
        <v>930</v>
      </c>
      <c r="AA1124" s="581">
        <v>235</v>
      </c>
      <c r="AB1124" s="578">
        <v>260134</v>
      </c>
    </row>
    <row r="1125" spans="1:28" hidden="1">
      <c r="A1125" s="566" t="s">
        <v>1335</v>
      </c>
      <c r="B1125" s="566" t="s">
        <v>466</v>
      </c>
      <c r="C1125" s="566" t="s">
        <v>553</v>
      </c>
      <c r="D1125" s="566" t="s">
        <v>472</v>
      </c>
      <c r="E1125" s="566" t="s">
        <v>473</v>
      </c>
      <c r="F1125" s="566" t="s">
        <v>554</v>
      </c>
      <c r="G1125" s="567">
        <v>16</v>
      </c>
      <c r="H1125" s="566" t="s">
        <v>933</v>
      </c>
      <c r="I1125" s="568">
        <v>2</v>
      </c>
      <c r="J1125" s="569">
        <v>22</v>
      </c>
      <c r="K1125" s="569">
        <v>22</v>
      </c>
      <c r="L1125" s="569">
        <v>17</v>
      </c>
      <c r="M1125" s="566" t="s">
        <v>476</v>
      </c>
      <c r="N1125" s="570">
        <v>259</v>
      </c>
      <c r="O1125" s="566"/>
      <c r="P1125" s="566" t="s">
        <v>477</v>
      </c>
      <c r="Q1125" s="568">
        <v>909678</v>
      </c>
      <c r="R1125" s="568">
        <v>3</v>
      </c>
      <c r="S1125" s="566" t="s">
        <v>1390</v>
      </c>
      <c r="T1125" s="578" t="s">
        <v>779</v>
      </c>
      <c r="U1125" s="578" t="s">
        <v>670</v>
      </c>
      <c r="V1125" s="578" t="s">
        <v>469</v>
      </c>
      <c r="W1125" s="579" t="s">
        <v>586</v>
      </c>
      <c r="X1125" s="578" t="s">
        <v>1380</v>
      </c>
      <c r="Y1125" s="578" t="s">
        <v>1338</v>
      </c>
      <c r="Z1125" s="580" t="s">
        <v>932</v>
      </c>
      <c r="AA1125" s="581">
        <v>259</v>
      </c>
      <c r="AB1125" s="578">
        <v>260158</v>
      </c>
    </row>
    <row r="1126" spans="1:28" hidden="1">
      <c r="A1126" s="566" t="s">
        <v>1335</v>
      </c>
      <c r="B1126" s="566" t="s">
        <v>466</v>
      </c>
      <c r="C1126" s="566" t="s">
        <v>553</v>
      </c>
      <c r="D1126" s="566" t="s">
        <v>472</v>
      </c>
      <c r="E1126" s="566" t="s">
        <v>473</v>
      </c>
      <c r="F1126" s="566" t="s">
        <v>554</v>
      </c>
      <c r="G1126" s="567">
        <v>16</v>
      </c>
      <c r="H1126" s="566" t="s">
        <v>935</v>
      </c>
      <c r="I1126" s="568">
        <v>2</v>
      </c>
      <c r="J1126" s="569">
        <v>22</v>
      </c>
      <c r="K1126" s="569">
        <v>22</v>
      </c>
      <c r="L1126" s="569">
        <v>17</v>
      </c>
      <c r="M1126" s="566" t="s">
        <v>476</v>
      </c>
      <c r="N1126" s="570">
        <v>283</v>
      </c>
      <c r="O1126" s="566"/>
      <c r="P1126" s="566" t="s">
        <v>477</v>
      </c>
      <c r="Q1126" s="568">
        <v>909678</v>
      </c>
      <c r="R1126" s="568">
        <v>13</v>
      </c>
      <c r="S1126" s="566" t="s">
        <v>1391</v>
      </c>
      <c r="T1126" s="578" t="s">
        <v>779</v>
      </c>
      <c r="U1126" s="578" t="s">
        <v>670</v>
      </c>
      <c r="V1126" s="578" t="s">
        <v>469</v>
      </c>
      <c r="W1126" s="579" t="s">
        <v>589</v>
      </c>
      <c r="X1126" s="578" t="s">
        <v>1380</v>
      </c>
      <c r="Y1126" s="578" t="s">
        <v>1338</v>
      </c>
      <c r="Z1126" s="580" t="s">
        <v>934</v>
      </c>
      <c r="AA1126" s="581">
        <v>283</v>
      </c>
      <c r="AB1126" s="578">
        <v>260182</v>
      </c>
    </row>
    <row r="1127" spans="1:28" hidden="1">
      <c r="A1127" s="566" t="s">
        <v>1335</v>
      </c>
      <c r="B1127" s="566" t="s">
        <v>466</v>
      </c>
      <c r="C1127" s="566" t="s">
        <v>471</v>
      </c>
      <c r="D1127" s="566" t="s">
        <v>472</v>
      </c>
      <c r="E1127" s="566" t="s">
        <v>473</v>
      </c>
      <c r="F1127" s="566" t="s">
        <v>474</v>
      </c>
      <c r="G1127" s="567">
        <v>0</v>
      </c>
      <c r="H1127" s="566" t="s">
        <v>704</v>
      </c>
      <c r="I1127" s="568">
        <v>2</v>
      </c>
      <c r="J1127" s="569">
        <v>1</v>
      </c>
      <c r="K1127" s="569">
        <v>1</v>
      </c>
      <c r="L1127" s="566"/>
      <c r="M1127" s="566" t="s">
        <v>476</v>
      </c>
      <c r="N1127" s="570">
        <v>334</v>
      </c>
      <c r="O1127" s="566"/>
      <c r="P1127" s="566" t="s">
        <v>477</v>
      </c>
      <c r="Q1127" s="568">
        <v>909678</v>
      </c>
      <c r="R1127" s="568">
        <v>5</v>
      </c>
      <c r="S1127" s="566" t="s">
        <v>1392</v>
      </c>
      <c r="T1127" s="578" t="s">
        <v>779</v>
      </c>
      <c r="U1127" s="578" t="s">
        <v>670</v>
      </c>
      <c r="V1127" s="578" t="s">
        <v>469</v>
      </c>
      <c r="W1127" s="579" t="s">
        <v>509</v>
      </c>
      <c r="X1127" s="578" t="s">
        <v>1380</v>
      </c>
      <c r="Y1127" s="578" t="s">
        <v>1338</v>
      </c>
      <c r="Z1127" s="580" t="s">
        <v>936</v>
      </c>
      <c r="AA1127" s="581">
        <v>334</v>
      </c>
      <c r="AB1127" s="578"/>
    </row>
    <row r="1128" spans="1:28" hidden="1">
      <c r="A1128" s="566" t="s">
        <v>1335</v>
      </c>
      <c r="B1128" s="566" t="s">
        <v>466</v>
      </c>
      <c r="C1128" s="566" t="s">
        <v>471</v>
      </c>
      <c r="D1128" s="566" t="s">
        <v>472</v>
      </c>
      <c r="E1128" s="566" t="s">
        <v>473</v>
      </c>
      <c r="F1128" s="566" t="s">
        <v>474</v>
      </c>
      <c r="G1128" s="567">
        <v>0</v>
      </c>
      <c r="H1128" s="566" t="s">
        <v>706</v>
      </c>
      <c r="I1128" s="568">
        <v>2</v>
      </c>
      <c r="J1128" s="569">
        <v>1</v>
      </c>
      <c r="K1128" s="569">
        <v>1</v>
      </c>
      <c r="L1128" s="566"/>
      <c r="M1128" s="566" t="s">
        <v>476</v>
      </c>
      <c r="N1128" s="570">
        <v>370</v>
      </c>
      <c r="O1128" s="566"/>
      <c r="P1128" s="566" t="s">
        <v>477</v>
      </c>
      <c r="Q1128" s="568">
        <v>909678</v>
      </c>
      <c r="R1128" s="568">
        <v>6</v>
      </c>
      <c r="S1128" s="566" t="s">
        <v>1393</v>
      </c>
      <c r="T1128" s="578" t="s">
        <v>779</v>
      </c>
      <c r="U1128" s="578" t="s">
        <v>670</v>
      </c>
      <c r="V1128" s="578" t="s">
        <v>469</v>
      </c>
      <c r="W1128" s="579" t="s">
        <v>512</v>
      </c>
      <c r="X1128" s="578" t="s">
        <v>1380</v>
      </c>
      <c r="Y1128" s="578" t="s">
        <v>1338</v>
      </c>
      <c r="Z1128" s="580" t="s">
        <v>937</v>
      </c>
      <c r="AA1128" s="581">
        <v>370</v>
      </c>
      <c r="AB1128" s="578"/>
    </row>
    <row r="1129" spans="1:28" hidden="1">
      <c r="A1129" s="566" t="s">
        <v>1335</v>
      </c>
      <c r="B1129" s="566" t="s">
        <v>466</v>
      </c>
      <c r="C1129" s="566" t="s">
        <v>471</v>
      </c>
      <c r="D1129" s="566" t="s">
        <v>472</v>
      </c>
      <c r="E1129" s="566" t="s">
        <v>473</v>
      </c>
      <c r="F1129" s="566" t="s">
        <v>474</v>
      </c>
      <c r="G1129" s="567">
        <v>0</v>
      </c>
      <c r="H1129" s="566" t="s">
        <v>708</v>
      </c>
      <c r="I1129" s="568">
        <v>2</v>
      </c>
      <c r="J1129" s="569">
        <v>1</v>
      </c>
      <c r="K1129" s="569">
        <v>1</v>
      </c>
      <c r="L1129" s="566"/>
      <c r="M1129" s="566" t="s">
        <v>476</v>
      </c>
      <c r="N1129" s="570">
        <v>406</v>
      </c>
      <c r="O1129" s="566"/>
      <c r="P1129" s="566" t="s">
        <v>477</v>
      </c>
      <c r="Q1129" s="568">
        <v>909678</v>
      </c>
      <c r="R1129" s="568">
        <v>14</v>
      </c>
      <c r="S1129" s="566" t="s">
        <v>1394</v>
      </c>
      <c r="T1129" s="578" t="s">
        <v>779</v>
      </c>
      <c r="U1129" s="578" t="s">
        <v>670</v>
      </c>
      <c r="V1129" s="578" t="s">
        <v>469</v>
      </c>
      <c r="W1129" s="579" t="s">
        <v>514</v>
      </c>
      <c r="X1129" s="578" t="s">
        <v>1380</v>
      </c>
      <c r="Y1129" s="578" t="s">
        <v>1338</v>
      </c>
      <c r="Z1129" s="580" t="s">
        <v>938</v>
      </c>
      <c r="AA1129" s="581">
        <v>406</v>
      </c>
      <c r="AB1129" s="578"/>
    </row>
    <row r="1130" spans="1:28" hidden="1">
      <c r="A1130" s="566" t="s">
        <v>1335</v>
      </c>
      <c r="B1130" s="566" t="s">
        <v>466</v>
      </c>
      <c r="C1130" s="566" t="s">
        <v>471</v>
      </c>
      <c r="D1130" s="566" t="s">
        <v>472</v>
      </c>
      <c r="E1130" s="566" t="s">
        <v>473</v>
      </c>
      <c r="F1130" s="566" t="s">
        <v>474</v>
      </c>
      <c r="G1130" s="567">
        <v>0</v>
      </c>
      <c r="H1130" s="566" t="s">
        <v>677</v>
      </c>
      <c r="I1130" s="568">
        <v>2</v>
      </c>
      <c r="J1130" s="569">
        <v>25</v>
      </c>
      <c r="K1130" s="569">
        <v>25</v>
      </c>
      <c r="L1130" s="566"/>
      <c r="M1130" s="566" t="s">
        <v>476</v>
      </c>
      <c r="N1130" s="570">
        <v>1342</v>
      </c>
      <c r="O1130" s="566"/>
      <c r="P1130" s="566" t="s">
        <v>477</v>
      </c>
      <c r="Q1130" s="568">
        <v>909678</v>
      </c>
      <c r="R1130" s="568">
        <v>34</v>
      </c>
      <c r="S1130" s="566" t="s">
        <v>1395</v>
      </c>
      <c r="T1130" s="578" t="s">
        <v>779</v>
      </c>
      <c r="U1130" s="578" t="s">
        <v>670</v>
      </c>
      <c r="V1130" s="578" t="s">
        <v>469</v>
      </c>
      <c r="W1130" s="579" t="s">
        <v>1274</v>
      </c>
      <c r="X1130" s="578" t="s">
        <v>1380</v>
      </c>
      <c r="Y1130" s="578" t="s">
        <v>1367</v>
      </c>
      <c r="Z1130" s="580" t="s">
        <v>2162</v>
      </c>
      <c r="AA1130" s="581">
        <v>1342</v>
      </c>
      <c r="AB1130" s="578"/>
    </row>
    <row r="1131" spans="1:28" hidden="1">
      <c r="A1131" s="566" t="s">
        <v>1335</v>
      </c>
      <c r="B1131" s="566" t="s">
        <v>466</v>
      </c>
      <c r="C1131" s="566" t="s">
        <v>471</v>
      </c>
      <c r="D1131" s="566" t="s">
        <v>472</v>
      </c>
      <c r="E1131" s="566" t="s">
        <v>473</v>
      </c>
      <c r="F1131" s="566" t="s">
        <v>474</v>
      </c>
      <c r="G1131" s="567">
        <v>0</v>
      </c>
      <c r="H1131" s="566" t="s">
        <v>680</v>
      </c>
      <c r="I1131" s="568">
        <v>2</v>
      </c>
      <c r="J1131" s="569">
        <v>25</v>
      </c>
      <c r="K1131" s="569">
        <v>25</v>
      </c>
      <c r="L1131" s="566"/>
      <c r="M1131" s="566" t="s">
        <v>476</v>
      </c>
      <c r="N1131" s="570">
        <v>1378</v>
      </c>
      <c r="O1131" s="566"/>
      <c r="P1131" s="566" t="s">
        <v>477</v>
      </c>
      <c r="Q1131" s="568">
        <v>909678</v>
      </c>
      <c r="R1131" s="568">
        <v>35</v>
      </c>
      <c r="S1131" s="566" t="s">
        <v>1397</v>
      </c>
      <c r="T1131" s="578" t="s">
        <v>779</v>
      </c>
      <c r="U1131" s="578" t="s">
        <v>670</v>
      </c>
      <c r="V1131" s="578" t="s">
        <v>469</v>
      </c>
      <c r="W1131" s="579" t="s">
        <v>1275</v>
      </c>
      <c r="X1131" s="578" t="s">
        <v>1380</v>
      </c>
      <c r="Y1131" s="578" t="s">
        <v>1367</v>
      </c>
      <c r="Z1131" s="580" t="s">
        <v>2163</v>
      </c>
      <c r="AA1131" s="581">
        <v>1378</v>
      </c>
      <c r="AB1131" s="578"/>
    </row>
    <row r="1132" spans="1:28" hidden="1">
      <c r="A1132" s="566" t="s">
        <v>1335</v>
      </c>
      <c r="B1132" s="566" t="s">
        <v>466</v>
      </c>
      <c r="C1132" s="566" t="s">
        <v>487</v>
      </c>
      <c r="D1132" s="566" t="s">
        <v>472</v>
      </c>
      <c r="E1132" s="566" t="s">
        <v>473</v>
      </c>
      <c r="F1132" s="566" t="s">
        <v>489</v>
      </c>
      <c r="G1132" s="567">
        <v>50</v>
      </c>
      <c r="H1132" s="566" t="s">
        <v>689</v>
      </c>
      <c r="I1132" s="568">
        <v>2</v>
      </c>
      <c r="J1132" s="569">
        <v>25</v>
      </c>
      <c r="K1132" s="569">
        <v>25</v>
      </c>
      <c r="L1132" s="566"/>
      <c r="M1132" s="566" t="s">
        <v>476</v>
      </c>
      <c r="N1132" s="570">
        <v>1414</v>
      </c>
      <c r="O1132" s="566"/>
      <c r="P1132" s="566" t="s">
        <v>477</v>
      </c>
      <c r="Q1132" s="568">
        <v>909678</v>
      </c>
      <c r="R1132" s="568">
        <v>37</v>
      </c>
      <c r="S1132" s="566" t="s">
        <v>1399</v>
      </c>
      <c r="T1132" s="578" t="s">
        <v>779</v>
      </c>
      <c r="U1132" s="578" t="s">
        <v>670</v>
      </c>
      <c r="V1132" s="578" t="s">
        <v>469</v>
      </c>
      <c r="W1132" s="579" t="s">
        <v>1276</v>
      </c>
      <c r="X1132" s="578" t="s">
        <v>1380</v>
      </c>
      <c r="Y1132" s="578" t="s">
        <v>1367</v>
      </c>
      <c r="Z1132" s="580" t="s">
        <v>2164</v>
      </c>
      <c r="AA1132" s="581">
        <v>1414</v>
      </c>
      <c r="AB1132" s="578"/>
    </row>
    <row r="1133" spans="1:28" hidden="1">
      <c r="A1133" s="566" t="s">
        <v>1335</v>
      </c>
      <c r="B1133" s="566" t="s">
        <v>466</v>
      </c>
      <c r="C1133" s="566" t="s">
        <v>487</v>
      </c>
      <c r="D1133" s="566" t="s">
        <v>472</v>
      </c>
      <c r="E1133" s="566" t="s">
        <v>473</v>
      </c>
      <c r="F1133" s="566" t="s">
        <v>489</v>
      </c>
      <c r="G1133" s="567">
        <v>50</v>
      </c>
      <c r="H1133" s="566" t="s">
        <v>692</v>
      </c>
      <c r="I1133" s="568">
        <v>2</v>
      </c>
      <c r="J1133" s="569">
        <v>25</v>
      </c>
      <c r="K1133" s="569">
        <v>25</v>
      </c>
      <c r="L1133" s="566"/>
      <c r="M1133" s="566" t="s">
        <v>476</v>
      </c>
      <c r="N1133" s="570">
        <v>1450</v>
      </c>
      <c r="O1133" s="566"/>
      <c r="P1133" s="566" t="s">
        <v>477</v>
      </c>
      <c r="Q1133" s="568">
        <v>909678</v>
      </c>
      <c r="R1133" s="568">
        <v>38</v>
      </c>
      <c r="S1133" s="566" t="s">
        <v>1401</v>
      </c>
      <c r="T1133" s="578" t="s">
        <v>779</v>
      </c>
      <c r="U1133" s="578" t="s">
        <v>670</v>
      </c>
      <c r="V1133" s="578" t="s">
        <v>469</v>
      </c>
      <c r="W1133" s="579" t="s">
        <v>1277</v>
      </c>
      <c r="X1133" s="578" t="s">
        <v>1380</v>
      </c>
      <c r="Y1133" s="578" t="s">
        <v>1367</v>
      </c>
      <c r="Z1133" s="580" t="s">
        <v>2165</v>
      </c>
      <c r="AA1133" s="581">
        <v>1450</v>
      </c>
      <c r="AB1133" s="578"/>
    </row>
    <row r="1134" spans="1:28" hidden="1">
      <c r="A1134" s="566" t="s">
        <v>1335</v>
      </c>
      <c r="B1134" s="566" t="s">
        <v>466</v>
      </c>
      <c r="C1134" s="566" t="s">
        <v>471</v>
      </c>
      <c r="D1134" s="566" t="s">
        <v>472</v>
      </c>
      <c r="E1134" s="566" t="s">
        <v>473</v>
      </c>
      <c r="F1134" s="566" t="s">
        <v>474</v>
      </c>
      <c r="G1134" s="567">
        <v>0</v>
      </c>
      <c r="H1134" s="566" t="s">
        <v>2117</v>
      </c>
      <c r="I1134" s="568">
        <v>2</v>
      </c>
      <c r="J1134" s="569">
        <v>25</v>
      </c>
      <c r="K1134" s="569">
        <v>25</v>
      </c>
      <c r="L1134" s="566"/>
      <c r="M1134" s="566" t="s">
        <v>476</v>
      </c>
      <c r="N1134" s="570">
        <v>1486</v>
      </c>
      <c r="O1134" s="566"/>
      <c r="P1134" s="566" t="s">
        <v>477</v>
      </c>
      <c r="Q1134" s="568">
        <v>909678</v>
      </c>
      <c r="R1134" s="568">
        <v>36</v>
      </c>
      <c r="S1134" s="566" t="s">
        <v>1403</v>
      </c>
      <c r="T1134" s="578" t="s">
        <v>779</v>
      </c>
      <c r="U1134" s="578" t="s">
        <v>670</v>
      </c>
      <c r="V1134" s="578" t="s">
        <v>469</v>
      </c>
      <c r="W1134" s="579" t="s">
        <v>1354</v>
      </c>
      <c r="X1134" s="578" t="s">
        <v>1380</v>
      </c>
      <c r="Y1134" s="578" t="s">
        <v>1367</v>
      </c>
      <c r="Z1134" s="580" t="s">
        <v>2166</v>
      </c>
      <c r="AA1134" s="581">
        <v>1486</v>
      </c>
      <c r="AB1134" s="578"/>
    </row>
    <row r="1135" spans="1:28" hidden="1">
      <c r="A1135" s="566" t="s">
        <v>1335</v>
      </c>
      <c r="B1135" s="566" t="s">
        <v>466</v>
      </c>
      <c r="C1135" s="566" t="s">
        <v>487</v>
      </c>
      <c r="D1135" s="566" t="s">
        <v>472</v>
      </c>
      <c r="E1135" s="566" t="s">
        <v>473</v>
      </c>
      <c r="F1135" s="566" t="s">
        <v>489</v>
      </c>
      <c r="G1135" s="567">
        <v>50</v>
      </c>
      <c r="H1135" s="566" t="s">
        <v>2119</v>
      </c>
      <c r="I1135" s="568">
        <v>2</v>
      </c>
      <c r="J1135" s="569">
        <v>25</v>
      </c>
      <c r="K1135" s="569">
        <v>25</v>
      </c>
      <c r="L1135" s="566"/>
      <c r="M1135" s="566" t="s">
        <v>476</v>
      </c>
      <c r="N1135" s="570">
        <v>1522</v>
      </c>
      <c r="O1135" s="566"/>
      <c r="P1135" s="566" t="s">
        <v>477</v>
      </c>
      <c r="Q1135" s="568">
        <v>909678</v>
      </c>
      <c r="R1135" s="568">
        <v>39</v>
      </c>
      <c r="S1135" s="566" t="s">
        <v>1405</v>
      </c>
      <c r="T1135" s="578" t="s">
        <v>779</v>
      </c>
      <c r="U1135" s="578" t="s">
        <v>670</v>
      </c>
      <c r="V1135" s="578" t="s">
        <v>469</v>
      </c>
      <c r="W1135" s="579" t="s">
        <v>1358</v>
      </c>
      <c r="X1135" s="578" t="s">
        <v>1380</v>
      </c>
      <c r="Y1135" s="578" t="s">
        <v>1367</v>
      </c>
      <c r="Z1135" s="580" t="s">
        <v>2167</v>
      </c>
      <c r="AA1135" s="581">
        <v>1522</v>
      </c>
      <c r="AB1135" s="578"/>
    </row>
    <row r="1136" spans="1:28" hidden="1">
      <c r="A1136" s="566" t="s">
        <v>1335</v>
      </c>
      <c r="B1136" s="566" t="s">
        <v>466</v>
      </c>
      <c r="C1136" s="566" t="s">
        <v>471</v>
      </c>
      <c r="D1136" s="566" t="s">
        <v>472</v>
      </c>
      <c r="E1136" s="566" t="s">
        <v>473</v>
      </c>
      <c r="F1136" s="566" t="s">
        <v>474</v>
      </c>
      <c r="G1136" s="567">
        <v>0</v>
      </c>
      <c r="H1136" s="566" t="s">
        <v>675</v>
      </c>
      <c r="I1136" s="568">
        <v>2</v>
      </c>
      <c r="J1136" s="569">
        <v>1</v>
      </c>
      <c r="K1136" s="569">
        <v>1</v>
      </c>
      <c r="L1136" s="566"/>
      <c r="M1136" s="566" t="s">
        <v>476</v>
      </c>
      <c r="N1136" s="570">
        <v>442</v>
      </c>
      <c r="O1136" s="566"/>
      <c r="P1136" s="566" t="s">
        <v>477</v>
      </c>
      <c r="Q1136" s="568">
        <v>909678</v>
      </c>
      <c r="R1136" s="568">
        <v>7</v>
      </c>
      <c r="S1136" s="566" t="s">
        <v>1407</v>
      </c>
      <c r="T1136" s="575" t="s">
        <v>1442</v>
      </c>
      <c r="U1136" s="575" t="s">
        <v>670</v>
      </c>
      <c r="V1136" s="575" t="s">
        <v>469</v>
      </c>
      <c r="W1136" s="576" t="s">
        <v>470</v>
      </c>
      <c r="X1136" s="575" t="s">
        <v>1380</v>
      </c>
      <c r="Y1136" s="575" t="s">
        <v>1338</v>
      </c>
      <c r="Z1136" s="576" t="s">
        <v>2168</v>
      </c>
      <c r="AA1136" s="577">
        <v>442</v>
      </c>
      <c r="AB1136" s="575"/>
    </row>
    <row r="1137" spans="1:28" hidden="1">
      <c r="A1137" s="566" t="s">
        <v>1335</v>
      </c>
      <c r="B1137" s="566" t="s">
        <v>466</v>
      </c>
      <c r="C1137" s="566" t="s">
        <v>471</v>
      </c>
      <c r="D1137" s="566" t="s">
        <v>472</v>
      </c>
      <c r="E1137" s="566" t="s">
        <v>473</v>
      </c>
      <c r="F1137" s="566" t="s">
        <v>474</v>
      </c>
      <c r="G1137" s="567">
        <v>0</v>
      </c>
      <c r="H1137" s="566" t="s">
        <v>678</v>
      </c>
      <c r="I1137" s="568">
        <v>2</v>
      </c>
      <c r="J1137" s="569">
        <v>1</v>
      </c>
      <c r="K1137" s="569">
        <v>1</v>
      </c>
      <c r="L1137" s="566"/>
      <c r="M1137" s="566" t="s">
        <v>476</v>
      </c>
      <c r="N1137" s="570">
        <v>514</v>
      </c>
      <c r="O1137" s="566"/>
      <c r="P1137" s="566" t="s">
        <v>477</v>
      </c>
      <c r="Q1137" s="568">
        <v>909678</v>
      </c>
      <c r="R1137" s="568">
        <v>8</v>
      </c>
      <c r="S1137" s="566" t="s">
        <v>1410</v>
      </c>
      <c r="T1137" s="575" t="s">
        <v>1442</v>
      </c>
      <c r="U1137" s="575" t="s">
        <v>670</v>
      </c>
      <c r="V1137" s="575" t="s">
        <v>469</v>
      </c>
      <c r="W1137" s="576" t="s">
        <v>480</v>
      </c>
      <c r="X1137" s="575" t="s">
        <v>1380</v>
      </c>
      <c r="Y1137" s="575" t="s">
        <v>1338</v>
      </c>
      <c r="Z1137" s="576" t="s">
        <v>2169</v>
      </c>
      <c r="AA1137" s="577">
        <v>514</v>
      </c>
      <c r="AB1137" s="575"/>
    </row>
    <row r="1138" spans="1:28" hidden="1">
      <c r="A1138" s="566" t="s">
        <v>1335</v>
      </c>
      <c r="B1138" s="566" t="s">
        <v>466</v>
      </c>
      <c r="C1138" s="566" t="s">
        <v>487</v>
      </c>
      <c r="D1138" s="566" t="s">
        <v>472</v>
      </c>
      <c r="E1138" s="566" t="s">
        <v>473</v>
      </c>
      <c r="F1138" s="566" t="s">
        <v>489</v>
      </c>
      <c r="G1138" s="567">
        <v>50</v>
      </c>
      <c r="H1138" s="566" t="s">
        <v>687</v>
      </c>
      <c r="I1138" s="568">
        <v>2</v>
      </c>
      <c r="J1138" s="569">
        <v>1</v>
      </c>
      <c r="K1138" s="569">
        <v>1</v>
      </c>
      <c r="L1138" s="566"/>
      <c r="M1138" s="566" t="s">
        <v>476</v>
      </c>
      <c r="N1138" s="570">
        <v>694</v>
      </c>
      <c r="O1138" s="566"/>
      <c r="P1138" s="566" t="s">
        <v>477</v>
      </c>
      <c r="Q1138" s="568">
        <v>909678</v>
      </c>
      <c r="R1138" s="568">
        <v>11</v>
      </c>
      <c r="S1138" s="566" t="s">
        <v>1412</v>
      </c>
      <c r="T1138" s="575" t="s">
        <v>1442</v>
      </c>
      <c r="U1138" s="575" t="s">
        <v>670</v>
      </c>
      <c r="V1138" s="575" t="s">
        <v>469</v>
      </c>
      <c r="W1138" s="576" t="s">
        <v>499</v>
      </c>
      <c r="X1138" s="575" t="s">
        <v>1380</v>
      </c>
      <c r="Y1138" s="575" t="s">
        <v>1338</v>
      </c>
      <c r="Z1138" s="576" t="s">
        <v>2170</v>
      </c>
      <c r="AA1138" s="577">
        <v>694</v>
      </c>
      <c r="AB1138" s="575"/>
    </row>
    <row r="1139" spans="1:28" hidden="1">
      <c r="A1139" s="566" t="s">
        <v>1335</v>
      </c>
      <c r="B1139" s="566" t="s">
        <v>466</v>
      </c>
      <c r="C1139" s="566" t="s">
        <v>487</v>
      </c>
      <c r="D1139" s="566" t="s">
        <v>472</v>
      </c>
      <c r="E1139" s="566" t="s">
        <v>473</v>
      </c>
      <c r="F1139" s="566" t="s">
        <v>489</v>
      </c>
      <c r="G1139" s="567">
        <v>50</v>
      </c>
      <c r="H1139" s="566" t="s">
        <v>690</v>
      </c>
      <c r="I1139" s="568">
        <v>2</v>
      </c>
      <c r="J1139" s="569">
        <v>1</v>
      </c>
      <c r="K1139" s="569">
        <v>1</v>
      </c>
      <c r="L1139" s="566"/>
      <c r="M1139" s="566" t="s">
        <v>476</v>
      </c>
      <c r="N1139" s="570">
        <v>766</v>
      </c>
      <c r="O1139" s="566"/>
      <c r="P1139" s="566" t="s">
        <v>477</v>
      </c>
      <c r="Q1139" s="568">
        <v>909678</v>
      </c>
      <c r="R1139" s="568">
        <v>20</v>
      </c>
      <c r="S1139" s="566" t="s">
        <v>1414</v>
      </c>
      <c r="T1139" s="575" t="s">
        <v>1442</v>
      </c>
      <c r="U1139" s="575" t="s">
        <v>670</v>
      </c>
      <c r="V1139" s="575" t="s">
        <v>469</v>
      </c>
      <c r="W1139" s="576" t="s">
        <v>504</v>
      </c>
      <c r="X1139" s="575" t="s">
        <v>1380</v>
      </c>
      <c r="Y1139" s="575" t="s">
        <v>1338</v>
      </c>
      <c r="Z1139" s="576" t="s">
        <v>2171</v>
      </c>
      <c r="AA1139" s="577">
        <v>766</v>
      </c>
      <c r="AB1139" s="575"/>
    </row>
    <row r="1140" spans="1:28" hidden="1">
      <c r="A1140" s="566" t="s">
        <v>1335</v>
      </c>
      <c r="B1140" s="566" t="s">
        <v>466</v>
      </c>
      <c r="C1140" s="566" t="s">
        <v>471</v>
      </c>
      <c r="D1140" s="566" t="s">
        <v>472</v>
      </c>
      <c r="E1140" s="566" t="s">
        <v>473</v>
      </c>
      <c r="F1140" s="566" t="s">
        <v>474</v>
      </c>
      <c r="G1140" s="567">
        <v>0</v>
      </c>
      <c r="H1140" s="566" t="s">
        <v>677</v>
      </c>
      <c r="I1140" s="568">
        <v>2</v>
      </c>
      <c r="J1140" s="569">
        <v>50</v>
      </c>
      <c r="K1140" s="569">
        <v>50</v>
      </c>
      <c r="L1140" s="566"/>
      <c r="M1140" s="566" t="s">
        <v>476</v>
      </c>
      <c r="N1140" s="570">
        <v>1019</v>
      </c>
      <c r="O1140" s="566"/>
      <c r="P1140" s="566" t="s">
        <v>477</v>
      </c>
      <c r="Q1140" s="568">
        <v>909678</v>
      </c>
      <c r="R1140" s="568">
        <v>25</v>
      </c>
      <c r="S1140" s="566" t="s">
        <v>1336</v>
      </c>
      <c r="T1140" s="582" t="s">
        <v>253</v>
      </c>
      <c r="U1140" s="582" t="s">
        <v>670</v>
      </c>
      <c r="V1140" s="582" t="s">
        <v>469</v>
      </c>
      <c r="W1140" s="583" t="s">
        <v>1274</v>
      </c>
      <c r="X1140" s="582" t="s">
        <v>1337</v>
      </c>
      <c r="Y1140" s="582" t="s">
        <v>1338</v>
      </c>
      <c r="Z1140" s="584" t="s">
        <v>2172</v>
      </c>
      <c r="AA1140" s="585">
        <v>1019</v>
      </c>
      <c r="AB1140" s="582"/>
    </row>
    <row r="1141" spans="1:28" hidden="1">
      <c r="A1141" s="566" t="s">
        <v>1335</v>
      </c>
      <c r="B1141" s="566" t="s">
        <v>466</v>
      </c>
      <c r="C1141" s="566" t="s">
        <v>471</v>
      </c>
      <c r="D1141" s="566" t="s">
        <v>472</v>
      </c>
      <c r="E1141" s="566" t="s">
        <v>473</v>
      </c>
      <c r="F1141" s="566" t="s">
        <v>474</v>
      </c>
      <c r="G1141" s="567">
        <v>0</v>
      </c>
      <c r="H1141" s="566" t="s">
        <v>680</v>
      </c>
      <c r="I1141" s="568">
        <v>2</v>
      </c>
      <c r="J1141" s="569">
        <v>50</v>
      </c>
      <c r="K1141" s="569">
        <v>50</v>
      </c>
      <c r="L1141" s="566"/>
      <c r="M1141" s="566" t="s">
        <v>476</v>
      </c>
      <c r="N1141" s="570">
        <v>1055</v>
      </c>
      <c r="O1141" s="566"/>
      <c r="P1141" s="566" t="s">
        <v>477</v>
      </c>
      <c r="Q1141" s="568">
        <v>909678</v>
      </c>
      <c r="R1141" s="568">
        <v>26</v>
      </c>
      <c r="S1141" s="566" t="s">
        <v>1340</v>
      </c>
      <c r="T1141" s="582" t="s">
        <v>253</v>
      </c>
      <c r="U1141" s="582" t="s">
        <v>670</v>
      </c>
      <c r="V1141" s="582" t="s">
        <v>469</v>
      </c>
      <c r="W1141" s="583" t="s">
        <v>1275</v>
      </c>
      <c r="X1141" s="582" t="s">
        <v>1337</v>
      </c>
      <c r="Y1141" s="582" t="s">
        <v>1338</v>
      </c>
      <c r="Z1141" s="584" t="s">
        <v>2173</v>
      </c>
      <c r="AA1141" s="585">
        <v>1055</v>
      </c>
      <c r="AB1141" s="582"/>
    </row>
    <row r="1142" spans="1:28" hidden="1">
      <c r="A1142" s="566" t="s">
        <v>1335</v>
      </c>
      <c r="B1142" s="566" t="s">
        <v>466</v>
      </c>
      <c r="C1142" s="566" t="s">
        <v>487</v>
      </c>
      <c r="D1142" s="566" t="s">
        <v>472</v>
      </c>
      <c r="E1142" s="566" t="s">
        <v>473</v>
      </c>
      <c r="F1142" s="566" t="s">
        <v>489</v>
      </c>
      <c r="G1142" s="567">
        <v>50</v>
      </c>
      <c r="H1142" s="566" t="s">
        <v>682</v>
      </c>
      <c r="I1142" s="568">
        <v>2</v>
      </c>
      <c r="J1142" s="569">
        <v>50</v>
      </c>
      <c r="K1142" s="569">
        <v>50</v>
      </c>
      <c r="L1142" s="566"/>
      <c r="M1142" s="566" t="s">
        <v>476</v>
      </c>
      <c r="N1142" s="570">
        <v>1091</v>
      </c>
      <c r="O1142" s="566"/>
      <c r="P1142" s="566" t="s">
        <v>477</v>
      </c>
      <c r="Q1142" s="568">
        <v>909678</v>
      </c>
      <c r="R1142" s="568">
        <v>28</v>
      </c>
      <c r="S1142" s="566" t="s">
        <v>1342</v>
      </c>
      <c r="T1142" s="582" t="s">
        <v>253</v>
      </c>
      <c r="U1142" s="582" t="s">
        <v>670</v>
      </c>
      <c r="V1142" s="582" t="s">
        <v>469</v>
      </c>
      <c r="W1142" s="583" t="s">
        <v>485</v>
      </c>
      <c r="X1142" s="582" t="s">
        <v>1337</v>
      </c>
      <c r="Y1142" s="582" t="s">
        <v>1338</v>
      </c>
      <c r="Z1142" s="584" t="s">
        <v>2174</v>
      </c>
      <c r="AA1142" s="585">
        <v>1091</v>
      </c>
      <c r="AB1142" s="582"/>
    </row>
    <row r="1143" spans="1:28" hidden="1">
      <c r="A1143" s="566" t="s">
        <v>1335</v>
      </c>
      <c r="B1143" s="566" t="s">
        <v>466</v>
      </c>
      <c r="C1143" s="566" t="s">
        <v>487</v>
      </c>
      <c r="D1143" s="566" t="s">
        <v>472</v>
      </c>
      <c r="E1143" s="566" t="s">
        <v>473</v>
      </c>
      <c r="F1143" s="566" t="s">
        <v>489</v>
      </c>
      <c r="G1143" s="567">
        <v>50</v>
      </c>
      <c r="H1143" s="566" t="s">
        <v>684</v>
      </c>
      <c r="I1143" s="568">
        <v>2</v>
      </c>
      <c r="J1143" s="569">
        <v>50</v>
      </c>
      <c r="K1143" s="569">
        <v>50</v>
      </c>
      <c r="L1143" s="566"/>
      <c r="M1143" s="566" t="s">
        <v>476</v>
      </c>
      <c r="N1143" s="570">
        <v>1127</v>
      </c>
      <c r="O1143" s="566"/>
      <c r="P1143" s="566" t="s">
        <v>477</v>
      </c>
      <c r="Q1143" s="568">
        <v>909678</v>
      </c>
      <c r="R1143" s="568">
        <v>29</v>
      </c>
      <c r="S1143" s="566" t="s">
        <v>1344</v>
      </c>
      <c r="T1143" s="582" t="s">
        <v>253</v>
      </c>
      <c r="U1143" s="582" t="s">
        <v>670</v>
      </c>
      <c r="V1143" s="582" t="s">
        <v>469</v>
      </c>
      <c r="W1143" s="583" t="s">
        <v>491</v>
      </c>
      <c r="X1143" s="582" t="s">
        <v>1337</v>
      </c>
      <c r="Y1143" s="582" t="s">
        <v>1338</v>
      </c>
      <c r="Z1143" s="584" t="s">
        <v>2175</v>
      </c>
      <c r="AA1143" s="585">
        <v>1127</v>
      </c>
      <c r="AB1143" s="582"/>
    </row>
    <row r="1144" spans="1:28" hidden="1">
      <c r="A1144" s="566" t="s">
        <v>1335</v>
      </c>
      <c r="B1144" s="566" t="s">
        <v>466</v>
      </c>
      <c r="C1144" s="566" t="s">
        <v>487</v>
      </c>
      <c r="D1144" s="566" t="s">
        <v>472</v>
      </c>
      <c r="E1144" s="566" t="s">
        <v>473</v>
      </c>
      <c r="F1144" s="566" t="s">
        <v>489</v>
      </c>
      <c r="G1144" s="567">
        <v>50</v>
      </c>
      <c r="H1144" s="566" t="s">
        <v>686</v>
      </c>
      <c r="I1144" s="568">
        <v>2</v>
      </c>
      <c r="J1144" s="569">
        <v>50</v>
      </c>
      <c r="K1144" s="569">
        <v>50</v>
      </c>
      <c r="L1144" s="566"/>
      <c r="M1144" s="566" t="s">
        <v>476</v>
      </c>
      <c r="N1144" s="570">
        <v>1163</v>
      </c>
      <c r="O1144" s="566"/>
      <c r="P1144" s="566" t="s">
        <v>477</v>
      </c>
      <c r="Q1144" s="568">
        <v>909678</v>
      </c>
      <c r="R1144" s="568">
        <v>30</v>
      </c>
      <c r="S1144" s="566" t="s">
        <v>1346</v>
      </c>
      <c r="T1144" s="582" t="s">
        <v>253</v>
      </c>
      <c r="U1144" s="582" t="s">
        <v>670</v>
      </c>
      <c r="V1144" s="582" t="s">
        <v>469</v>
      </c>
      <c r="W1144" s="583" t="s">
        <v>495</v>
      </c>
      <c r="X1144" s="582" t="s">
        <v>1337</v>
      </c>
      <c r="Y1144" s="582" t="s">
        <v>1338</v>
      </c>
      <c r="Z1144" s="584" t="s">
        <v>2176</v>
      </c>
      <c r="AA1144" s="585">
        <v>1163</v>
      </c>
      <c r="AB1144" s="582"/>
    </row>
    <row r="1145" spans="1:28" hidden="1">
      <c r="A1145" s="566" t="s">
        <v>1335</v>
      </c>
      <c r="B1145" s="566" t="s">
        <v>466</v>
      </c>
      <c r="C1145" s="566" t="s">
        <v>487</v>
      </c>
      <c r="D1145" s="566" t="s">
        <v>472</v>
      </c>
      <c r="E1145" s="566" t="s">
        <v>473</v>
      </c>
      <c r="F1145" s="566" t="s">
        <v>489</v>
      </c>
      <c r="G1145" s="567">
        <v>50</v>
      </c>
      <c r="H1145" s="566" t="s">
        <v>689</v>
      </c>
      <c r="I1145" s="568">
        <v>2</v>
      </c>
      <c r="J1145" s="569">
        <v>50</v>
      </c>
      <c r="K1145" s="569">
        <v>50</v>
      </c>
      <c r="L1145" s="566"/>
      <c r="M1145" s="566" t="s">
        <v>476</v>
      </c>
      <c r="N1145" s="570">
        <v>1199</v>
      </c>
      <c r="O1145" s="566"/>
      <c r="P1145" s="566" t="s">
        <v>477</v>
      </c>
      <c r="Q1145" s="568">
        <v>909678</v>
      </c>
      <c r="R1145" s="568">
        <v>31</v>
      </c>
      <c r="S1145" s="566" t="s">
        <v>1348</v>
      </c>
      <c r="T1145" s="582" t="s">
        <v>253</v>
      </c>
      <c r="U1145" s="582" t="s">
        <v>670</v>
      </c>
      <c r="V1145" s="582" t="s">
        <v>469</v>
      </c>
      <c r="W1145" s="583" t="s">
        <v>1276</v>
      </c>
      <c r="X1145" s="582" t="s">
        <v>1337</v>
      </c>
      <c r="Y1145" s="582" t="s">
        <v>1338</v>
      </c>
      <c r="Z1145" s="584" t="s">
        <v>2177</v>
      </c>
      <c r="AA1145" s="585">
        <v>1199</v>
      </c>
      <c r="AB1145" s="582"/>
    </row>
    <row r="1146" spans="1:28" hidden="1">
      <c r="A1146" s="566" t="s">
        <v>1335</v>
      </c>
      <c r="B1146" s="566" t="s">
        <v>466</v>
      </c>
      <c r="C1146" s="566" t="s">
        <v>487</v>
      </c>
      <c r="D1146" s="566" t="s">
        <v>472</v>
      </c>
      <c r="E1146" s="566" t="s">
        <v>473</v>
      </c>
      <c r="F1146" s="566" t="s">
        <v>489</v>
      </c>
      <c r="G1146" s="567">
        <v>50</v>
      </c>
      <c r="H1146" s="566" t="s">
        <v>692</v>
      </c>
      <c r="I1146" s="568">
        <v>2</v>
      </c>
      <c r="J1146" s="569">
        <v>50</v>
      </c>
      <c r="K1146" s="569">
        <v>50</v>
      </c>
      <c r="L1146" s="566"/>
      <c r="M1146" s="566" t="s">
        <v>476</v>
      </c>
      <c r="N1146" s="570">
        <v>1235</v>
      </c>
      <c r="O1146" s="566"/>
      <c r="P1146" s="566" t="s">
        <v>477</v>
      </c>
      <c r="Q1146" s="568">
        <v>909678</v>
      </c>
      <c r="R1146" s="568">
        <v>32</v>
      </c>
      <c r="S1146" s="566" t="s">
        <v>1350</v>
      </c>
      <c r="T1146" s="582" t="s">
        <v>253</v>
      </c>
      <c r="U1146" s="582" t="s">
        <v>670</v>
      </c>
      <c r="V1146" s="582" t="s">
        <v>469</v>
      </c>
      <c r="W1146" s="583" t="s">
        <v>1277</v>
      </c>
      <c r="X1146" s="582" t="s">
        <v>1337</v>
      </c>
      <c r="Y1146" s="582" t="s">
        <v>1338</v>
      </c>
      <c r="Z1146" s="584" t="s">
        <v>2178</v>
      </c>
      <c r="AA1146" s="585">
        <v>1235</v>
      </c>
      <c r="AB1146" s="582"/>
    </row>
    <row r="1147" spans="1:28" hidden="1">
      <c r="A1147" s="566" t="s">
        <v>1335</v>
      </c>
      <c r="B1147" s="566" t="s">
        <v>466</v>
      </c>
      <c r="C1147" s="566" t="s">
        <v>471</v>
      </c>
      <c r="D1147" s="566" t="s">
        <v>472</v>
      </c>
      <c r="E1147" s="566" t="s">
        <v>473</v>
      </c>
      <c r="F1147" s="566" t="s">
        <v>474</v>
      </c>
      <c r="G1147" s="567">
        <v>0</v>
      </c>
      <c r="H1147" s="566" t="s">
        <v>2117</v>
      </c>
      <c r="I1147" s="568">
        <v>2</v>
      </c>
      <c r="J1147" s="569">
        <v>50</v>
      </c>
      <c r="K1147" s="569">
        <v>50</v>
      </c>
      <c r="L1147" s="566"/>
      <c r="M1147" s="566" t="s">
        <v>476</v>
      </c>
      <c r="N1147" s="570">
        <v>1271</v>
      </c>
      <c r="O1147" s="566"/>
      <c r="P1147" s="566" t="s">
        <v>477</v>
      </c>
      <c r="Q1147" s="568">
        <v>909678</v>
      </c>
      <c r="R1147" s="568">
        <v>27</v>
      </c>
      <c r="S1147" s="566" t="s">
        <v>1353</v>
      </c>
      <c r="T1147" s="582" t="s">
        <v>253</v>
      </c>
      <c r="U1147" s="582" t="s">
        <v>670</v>
      </c>
      <c r="V1147" s="582" t="s">
        <v>469</v>
      </c>
      <c r="W1147" s="583" t="s">
        <v>1354</v>
      </c>
      <c r="X1147" s="582" t="s">
        <v>1337</v>
      </c>
      <c r="Y1147" s="582" t="s">
        <v>1338</v>
      </c>
      <c r="Z1147" s="584" t="s">
        <v>2179</v>
      </c>
      <c r="AA1147" s="585">
        <v>1271</v>
      </c>
      <c r="AB1147" s="582"/>
    </row>
    <row r="1148" spans="1:28" hidden="1">
      <c r="A1148" s="566" t="s">
        <v>1335</v>
      </c>
      <c r="B1148" s="566" t="s">
        <v>466</v>
      </c>
      <c r="C1148" s="566" t="s">
        <v>487</v>
      </c>
      <c r="D1148" s="566" t="s">
        <v>472</v>
      </c>
      <c r="E1148" s="566" t="s">
        <v>473</v>
      </c>
      <c r="F1148" s="566" t="s">
        <v>489</v>
      </c>
      <c r="G1148" s="567">
        <v>50</v>
      </c>
      <c r="H1148" s="566" t="s">
        <v>2119</v>
      </c>
      <c r="I1148" s="568">
        <v>2</v>
      </c>
      <c r="J1148" s="569">
        <v>50</v>
      </c>
      <c r="K1148" s="569">
        <v>50</v>
      </c>
      <c r="L1148" s="566"/>
      <c r="M1148" s="566" t="s">
        <v>476</v>
      </c>
      <c r="N1148" s="570">
        <v>1307</v>
      </c>
      <c r="O1148" s="566"/>
      <c r="P1148" s="566" t="s">
        <v>477</v>
      </c>
      <c r="Q1148" s="568">
        <v>909678</v>
      </c>
      <c r="R1148" s="568">
        <v>33</v>
      </c>
      <c r="S1148" s="566" t="s">
        <v>1357</v>
      </c>
      <c r="T1148" s="582" t="s">
        <v>253</v>
      </c>
      <c r="U1148" s="582" t="s">
        <v>670</v>
      </c>
      <c r="V1148" s="582" t="s">
        <v>469</v>
      </c>
      <c r="W1148" s="583" t="s">
        <v>1358</v>
      </c>
      <c r="X1148" s="582" t="s">
        <v>1337</v>
      </c>
      <c r="Y1148" s="582" t="s">
        <v>1338</v>
      </c>
      <c r="Z1148" s="584" t="s">
        <v>2180</v>
      </c>
      <c r="AA1148" s="585">
        <v>1307</v>
      </c>
      <c r="AB1148" s="582"/>
    </row>
    <row r="1149" spans="1:28" hidden="1">
      <c r="A1149" s="566" t="s">
        <v>1335</v>
      </c>
      <c r="B1149" s="566" t="s">
        <v>466</v>
      </c>
      <c r="C1149" s="566" t="s">
        <v>471</v>
      </c>
      <c r="D1149" s="566" t="s">
        <v>472</v>
      </c>
      <c r="E1149" s="566" t="s">
        <v>473</v>
      </c>
      <c r="F1149" s="566" t="s">
        <v>474</v>
      </c>
      <c r="G1149" s="567">
        <v>0</v>
      </c>
      <c r="H1149" s="566" t="s">
        <v>704</v>
      </c>
      <c r="I1149" s="568">
        <v>2</v>
      </c>
      <c r="J1149" s="569">
        <v>50</v>
      </c>
      <c r="K1149" s="569">
        <v>50</v>
      </c>
      <c r="L1149" s="566"/>
      <c r="M1149" s="566" t="s">
        <v>476</v>
      </c>
      <c r="N1149" s="570">
        <v>911</v>
      </c>
      <c r="O1149" s="566"/>
      <c r="P1149" s="566" t="s">
        <v>477</v>
      </c>
      <c r="Q1149" s="568">
        <v>909678</v>
      </c>
      <c r="R1149" s="568">
        <v>22</v>
      </c>
      <c r="S1149" s="566" t="s">
        <v>1360</v>
      </c>
      <c r="T1149" s="582" t="s">
        <v>253</v>
      </c>
      <c r="U1149" s="582" t="s">
        <v>670</v>
      </c>
      <c r="V1149" s="582" t="s">
        <v>469</v>
      </c>
      <c r="W1149" s="583" t="s">
        <v>509</v>
      </c>
      <c r="X1149" s="582" t="s">
        <v>1337</v>
      </c>
      <c r="Y1149" s="582" t="s">
        <v>1338</v>
      </c>
      <c r="Z1149" s="584" t="s">
        <v>2181</v>
      </c>
      <c r="AA1149" s="585">
        <v>911</v>
      </c>
      <c r="AB1149" s="582"/>
    </row>
    <row r="1150" spans="1:28" hidden="1">
      <c r="A1150" s="566" t="s">
        <v>1335</v>
      </c>
      <c r="B1150" s="566" t="s">
        <v>466</v>
      </c>
      <c r="C1150" s="566" t="s">
        <v>471</v>
      </c>
      <c r="D1150" s="566" t="s">
        <v>472</v>
      </c>
      <c r="E1150" s="566" t="s">
        <v>473</v>
      </c>
      <c r="F1150" s="566" t="s">
        <v>474</v>
      </c>
      <c r="G1150" s="567">
        <v>0</v>
      </c>
      <c r="H1150" s="566" t="s">
        <v>706</v>
      </c>
      <c r="I1150" s="568">
        <v>2</v>
      </c>
      <c r="J1150" s="569">
        <v>50</v>
      </c>
      <c r="K1150" s="569">
        <v>50</v>
      </c>
      <c r="L1150" s="566"/>
      <c r="M1150" s="566" t="s">
        <v>476</v>
      </c>
      <c r="N1150" s="570">
        <v>947</v>
      </c>
      <c r="O1150" s="566"/>
      <c r="P1150" s="566" t="s">
        <v>477</v>
      </c>
      <c r="Q1150" s="568">
        <v>909678</v>
      </c>
      <c r="R1150" s="568">
        <v>23</v>
      </c>
      <c r="S1150" s="566" t="s">
        <v>1362</v>
      </c>
      <c r="T1150" s="582" t="s">
        <v>253</v>
      </c>
      <c r="U1150" s="582" t="s">
        <v>670</v>
      </c>
      <c r="V1150" s="582" t="s">
        <v>469</v>
      </c>
      <c r="W1150" s="583" t="s">
        <v>512</v>
      </c>
      <c r="X1150" s="582" t="s">
        <v>1337</v>
      </c>
      <c r="Y1150" s="582" t="s">
        <v>1338</v>
      </c>
      <c r="Z1150" s="584" t="s">
        <v>2182</v>
      </c>
      <c r="AA1150" s="585">
        <v>947</v>
      </c>
      <c r="AB1150" s="582"/>
    </row>
    <row r="1151" spans="1:28" hidden="1">
      <c r="A1151" s="566" t="s">
        <v>1335</v>
      </c>
      <c r="B1151" s="566" t="s">
        <v>466</v>
      </c>
      <c r="C1151" s="566" t="s">
        <v>471</v>
      </c>
      <c r="D1151" s="566" t="s">
        <v>472</v>
      </c>
      <c r="E1151" s="566" t="s">
        <v>473</v>
      </c>
      <c r="F1151" s="566" t="s">
        <v>474</v>
      </c>
      <c r="G1151" s="567">
        <v>0</v>
      </c>
      <c r="H1151" s="566" t="s">
        <v>708</v>
      </c>
      <c r="I1151" s="568">
        <v>2</v>
      </c>
      <c r="J1151" s="569">
        <v>50</v>
      </c>
      <c r="K1151" s="569">
        <v>50</v>
      </c>
      <c r="L1151" s="566"/>
      <c r="M1151" s="566" t="s">
        <v>476</v>
      </c>
      <c r="N1151" s="570">
        <v>983</v>
      </c>
      <c r="O1151" s="566"/>
      <c r="P1151" s="566" t="s">
        <v>477</v>
      </c>
      <c r="Q1151" s="568">
        <v>909678</v>
      </c>
      <c r="R1151" s="568">
        <v>24</v>
      </c>
      <c r="S1151" s="566" t="s">
        <v>1364</v>
      </c>
      <c r="T1151" s="582" t="s">
        <v>253</v>
      </c>
      <c r="U1151" s="582" t="s">
        <v>670</v>
      </c>
      <c r="V1151" s="582" t="s">
        <v>469</v>
      </c>
      <c r="W1151" s="583" t="s">
        <v>514</v>
      </c>
      <c r="X1151" s="582" t="s">
        <v>1337</v>
      </c>
      <c r="Y1151" s="582" t="s">
        <v>1338</v>
      </c>
      <c r="Z1151" s="584" t="s">
        <v>2183</v>
      </c>
      <c r="AA1151" s="585">
        <v>983</v>
      </c>
      <c r="AB1151" s="582"/>
    </row>
    <row r="1152" spans="1:28" hidden="1">
      <c r="A1152" s="566" t="s">
        <v>1335</v>
      </c>
      <c r="B1152" s="566" t="s">
        <v>466</v>
      </c>
      <c r="C1152" s="566" t="s">
        <v>471</v>
      </c>
      <c r="D1152" s="566" t="s">
        <v>472</v>
      </c>
      <c r="E1152" s="566" t="s">
        <v>473</v>
      </c>
      <c r="F1152" s="566" t="s">
        <v>474</v>
      </c>
      <c r="G1152" s="567">
        <v>0</v>
      </c>
      <c r="H1152" s="566" t="s">
        <v>677</v>
      </c>
      <c r="I1152" s="568">
        <v>2</v>
      </c>
      <c r="J1152" s="569">
        <v>74</v>
      </c>
      <c r="K1152" s="569">
        <v>74</v>
      </c>
      <c r="L1152" s="566"/>
      <c r="M1152" s="566" t="s">
        <v>476</v>
      </c>
      <c r="N1152" s="570">
        <v>1559</v>
      </c>
      <c r="O1152" s="566"/>
      <c r="P1152" s="566" t="s">
        <v>477</v>
      </c>
      <c r="Q1152" s="568">
        <v>909678</v>
      </c>
      <c r="R1152" s="568">
        <v>40</v>
      </c>
      <c r="S1152" s="566" t="s">
        <v>1366</v>
      </c>
      <c r="T1152" s="582" t="s">
        <v>253</v>
      </c>
      <c r="U1152" s="582" t="s">
        <v>670</v>
      </c>
      <c r="V1152" s="582" t="s">
        <v>469</v>
      </c>
      <c r="W1152" s="583" t="s">
        <v>1274</v>
      </c>
      <c r="X1152" s="582" t="s">
        <v>1337</v>
      </c>
      <c r="Y1152" s="582" t="s">
        <v>1367</v>
      </c>
      <c r="Z1152" s="584" t="s">
        <v>2184</v>
      </c>
      <c r="AA1152" s="585">
        <v>1559</v>
      </c>
      <c r="AB1152" s="582"/>
    </row>
    <row r="1153" spans="1:28" hidden="1">
      <c r="A1153" s="566" t="s">
        <v>1335</v>
      </c>
      <c r="B1153" s="566" t="s">
        <v>466</v>
      </c>
      <c r="C1153" s="566" t="s">
        <v>471</v>
      </c>
      <c r="D1153" s="566" t="s">
        <v>472</v>
      </c>
      <c r="E1153" s="566" t="s">
        <v>473</v>
      </c>
      <c r="F1153" s="566" t="s">
        <v>474</v>
      </c>
      <c r="G1153" s="567">
        <v>0</v>
      </c>
      <c r="H1153" s="566" t="s">
        <v>680</v>
      </c>
      <c r="I1153" s="568">
        <v>2</v>
      </c>
      <c r="J1153" s="569">
        <v>74</v>
      </c>
      <c r="K1153" s="569">
        <v>74</v>
      </c>
      <c r="L1153" s="566"/>
      <c r="M1153" s="566" t="s">
        <v>476</v>
      </c>
      <c r="N1153" s="570">
        <v>1595</v>
      </c>
      <c r="O1153" s="566"/>
      <c r="P1153" s="566" t="s">
        <v>477</v>
      </c>
      <c r="Q1153" s="568">
        <v>909678</v>
      </c>
      <c r="R1153" s="568">
        <v>41</v>
      </c>
      <c r="S1153" s="566" t="s">
        <v>1369</v>
      </c>
      <c r="T1153" s="582" t="s">
        <v>253</v>
      </c>
      <c r="U1153" s="582" t="s">
        <v>670</v>
      </c>
      <c r="V1153" s="582" t="s">
        <v>469</v>
      </c>
      <c r="W1153" s="583" t="s">
        <v>1275</v>
      </c>
      <c r="X1153" s="582" t="s">
        <v>1337</v>
      </c>
      <c r="Y1153" s="582" t="s">
        <v>1367</v>
      </c>
      <c r="Z1153" s="584" t="s">
        <v>2185</v>
      </c>
      <c r="AA1153" s="585">
        <v>1595</v>
      </c>
      <c r="AB1153" s="582"/>
    </row>
    <row r="1154" spans="1:28" hidden="1">
      <c r="A1154" s="566" t="s">
        <v>1335</v>
      </c>
      <c r="B1154" s="566" t="s">
        <v>466</v>
      </c>
      <c r="C1154" s="566" t="s">
        <v>487</v>
      </c>
      <c r="D1154" s="566" t="s">
        <v>472</v>
      </c>
      <c r="E1154" s="566" t="s">
        <v>473</v>
      </c>
      <c r="F1154" s="566" t="s">
        <v>489</v>
      </c>
      <c r="G1154" s="567">
        <v>50</v>
      </c>
      <c r="H1154" s="566" t="s">
        <v>689</v>
      </c>
      <c r="I1154" s="568">
        <v>2</v>
      </c>
      <c r="J1154" s="569">
        <v>74</v>
      </c>
      <c r="K1154" s="569">
        <v>74</v>
      </c>
      <c r="L1154" s="566"/>
      <c r="M1154" s="566" t="s">
        <v>476</v>
      </c>
      <c r="N1154" s="570">
        <v>1631</v>
      </c>
      <c r="O1154" s="566"/>
      <c r="P1154" s="566" t="s">
        <v>477</v>
      </c>
      <c r="Q1154" s="568">
        <v>909678</v>
      </c>
      <c r="R1154" s="568">
        <v>43</v>
      </c>
      <c r="S1154" s="566" t="s">
        <v>1371</v>
      </c>
      <c r="T1154" s="582" t="s">
        <v>253</v>
      </c>
      <c r="U1154" s="582" t="s">
        <v>670</v>
      </c>
      <c r="V1154" s="582" t="s">
        <v>469</v>
      </c>
      <c r="W1154" s="583" t="s">
        <v>1276</v>
      </c>
      <c r="X1154" s="582" t="s">
        <v>1337</v>
      </c>
      <c r="Y1154" s="582" t="s">
        <v>1367</v>
      </c>
      <c r="Z1154" s="584" t="s">
        <v>2186</v>
      </c>
      <c r="AA1154" s="585">
        <v>1631</v>
      </c>
      <c r="AB1154" s="582"/>
    </row>
    <row r="1155" spans="1:28" hidden="1">
      <c r="A1155" s="566" t="s">
        <v>1335</v>
      </c>
      <c r="B1155" s="566" t="s">
        <v>466</v>
      </c>
      <c r="C1155" s="566" t="s">
        <v>487</v>
      </c>
      <c r="D1155" s="566" t="s">
        <v>472</v>
      </c>
      <c r="E1155" s="566" t="s">
        <v>473</v>
      </c>
      <c r="F1155" s="566" t="s">
        <v>489</v>
      </c>
      <c r="G1155" s="567">
        <v>50</v>
      </c>
      <c r="H1155" s="566" t="s">
        <v>692</v>
      </c>
      <c r="I1155" s="568">
        <v>2</v>
      </c>
      <c r="J1155" s="569">
        <v>74</v>
      </c>
      <c r="K1155" s="569">
        <v>74</v>
      </c>
      <c r="L1155" s="566"/>
      <c r="M1155" s="566" t="s">
        <v>476</v>
      </c>
      <c r="N1155" s="570">
        <v>1667</v>
      </c>
      <c r="O1155" s="566"/>
      <c r="P1155" s="566" t="s">
        <v>477</v>
      </c>
      <c r="Q1155" s="568">
        <v>909678</v>
      </c>
      <c r="R1155" s="568">
        <v>44</v>
      </c>
      <c r="S1155" s="566" t="s">
        <v>1373</v>
      </c>
      <c r="T1155" s="582" t="s">
        <v>253</v>
      </c>
      <c r="U1155" s="582" t="s">
        <v>670</v>
      </c>
      <c r="V1155" s="582" t="s">
        <v>469</v>
      </c>
      <c r="W1155" s="583" t="s">
        <v>1277</v>
      </c>
      <c r="X1155" s="582" t="s">
        <v>1337</v>
      </c>
      <c r="Y1155" s="582" t="s">
        <v>1367</v>
      </c>
      <c r="Z1155" s="584" t="s">
        <v>2187</v>
      </c>
      <c r="AA1155" s="585">
        <v>1667</v>
      </c>
      <c r="AB1155" s="582"/>
    </row>
    <row r="1156" spans="1:28" hidden="1">
      <c r="A1156" s="566" t="s">
        <v>1335</v>
      </c>
      <c r="B1156" s="566" t="s">
        <v>466</v>
      </c>
      <c r="C1156" s="566" t="s">
        <v>471</v>
      </c>
      <c r="D1156" s="566" t="s">
        <v>472</v>
      </c>
      <c r="E1156" s="566" t="s">
        <v>473</v>
      </c>
      <c r="F1156" s="566" t="s">
        <v>474</v>
      </c>
      <c r="G1156" s="567">
        <v>0</v>
      </c>
      <c r="H1156" s="566" t="s">
        <v>2117</v>
      </c>
      <c r="I1156" s="568">
        <v>2</v>
      </c>
      <c r="J1156" s="569">
        <v>74</v>
      </c>
      <c r="K1156" s="569">
        <v>74</v>
      </c>
      <c r="L1156" s="566"/>
      <c r="M1156" s="566" t="s">
        <v>476</v>
      </c>
      <c r="N1156" s="570">
        <v>1703</v>
      </c>
      <c r="O1156" s="566"/>
      <c r="P1156" s="566" t="s">
        <v>477</v>
      </c>
      <c r="Q1156" s="568">
        <v>909678</v>
      </c>
      <c r="R1156" s="568">
        <v>42</v>
      </c>
      <c r="S1156" s="566" t="s">
        <v>1375</v>
      </c>
      <c r="T1156" s="582" t="s">
        <v>253</v>
      </c>
      <c r="U1156" s="582" t="s">
        <v>670</v>
      </c>
      <c r="V1156" s="582" t="s">
        <v>469</v>
      </c>
      <c r="W1156" s="583" t="s">
        <v>1354</v>
      </c>
      <c r="X1156" s="582" t="s">
        <v>1337</v>
      </c>
      <c r="Y1156" s="582" t="s">
        <v>1367</v>
      </c>
      <c r="Z1156" s="584" t="s">
        <v>2188</v>
      </c>
      <c r="AA1156" s="585">
        <v>1703</v>
      </c>
      <c r="AB1156" s="582"/>
    </row>
    <row r="1157" spans="1:28" hidden="1">
      <c r="A1157" s="566" t="s">
        <v>1335</v>
      </c>
      <c r="B1157" s="566" t="s">
        <v>466</v>
      </c>
      <c r="C1157" s="566" t="s">
        <v>487</v>
      </c>
      <c r="D1157" s="566" t="s">
        <v>472</v>
      </c>
      <c r="E1157" s="566" t="s">
        <v>473</v>
      </c>
      <c r="F1157" s="566" t="s">
        <v>489</v>
      </c>
      <c r="G1157" s="567">
        <v>50</v>
      </c>
      <c r="H1157" s="566" t="s">
        <v>2119</v>
      </c>
      <c r="I1157" s="568">
        <v>2</v>
      </c>
      <c r="J1157" s="569">
        <v>74</v>
      </c>
      <c r="K1157" s="569">
        <v>74</v>
      </c>
      <c r="L1157" s="566"/>
      <c r="M1157" s="566" t="s">
        <v>476</v>
      </c>
      <c r="N1157" s="570">
        <v>1739</v>
      </c>
      <c r="O1157" s="566"/>
      <c r="P1157" s="566" t="s">
        <v>477</v>
      </c>
      <c r="Q1157" s="568">
        <v>909678</v>
      </c>
      <c r="R1157" s="568">
        <v>45</v>
      </c>
      <c r="S1157" s="566" t="s">
        <v>1377</v>
      </c>
      <c r="T1157" s="582" t="s">
        <v>253</v>
      </c>
      <c r="U1157" s="582" t="s">
        <v>670</v>
      </c>
      <c r="V1157" s="582" t="s">
        <v>469</v>
      </c>
      <c r="W1157" s="583" t="s">
        <v>1358</v>
      </c>
      <c r="X1157" s="582" t="s">
        <v>1337</v>
      </c>
      <c r="Y1157" s="582" t="s">
        <v>1367</v>
      </c>
      <c r="Z1157" s="584" t="s">
        <v>2189</v>
      </c>
      <c r="AA1157" s="585">
        <v>1739</v>
      </c>
      <c r="AB1157" s="582"/>
    </row>
    <row r="1158" spans="1:28" hidden="1">
      <c r="A1158" s="566" t="s">
        <v>1335</v>
      </c>
      <c r="B1158" s="566" t="s">
        <v>466</v>
      </c>
      <c r="C1158" s="566" t="s">
        <v>553</v>
      </c>
      <c r="D1158" s="566" t="s">
        <v>472</v>
      </c>
      <c r="E1158" s="566" t="s">
        <v>473</v>
      </c>
      <c r="F1158" s="566" t="s">
        <v>554</v>
      </c>
      <c r="G1158" s="567">
        <v>13</v>
      </c>
      <c r="H1158" s="566" t="s">
        <v>1146</v>
      </c>
      <c r="I1158" s="568">
        <v>2</v>
      </c>
      <c r="J1158" s="569">
        <v>22</v>
      </c>
      <c r="K1158" s="569">
        <v>22</v>
      </c>
      <c r="L1158" s="569">
        <v>17</v>
      </c>
      <c r="M1158" s="566" t="s">
        <v>476</v>
      </c>
      <c r="N1158" s="570">
        <v>164</v>
      </c>
      <c r="O1158" s="566"/>
      <c r="P1158" s="566" t="s">
        <v>477</v>
      </c>
      <c r="Q1158" s="568">
        <v>909678</v>
      </c>
      <c r="R1158" s="568">
        <v>9</v>
      </c>
      <c r="S1158" s="566" t="s">
        <v>1379</v>
      </c>
      <c r="T1158" s="582" t="s">
        <v>257</v>
      </c>
      <c r="U1158" s="582" t="s">
        <v>670</v>
      </c>
      <c r="V1158" s="582" t="s">
        <v>469</v>
      </c>
      <c r="W1158" s="583" t="s">
        <v>551</v>
      </c>
      <c r="X1158" s="582" t="s">
        <v>1380</v>
      </c>
      <c r="Y1158" s="582" t="s">
        <v>1338</v>
      </c>
      <c r="Z1158" s="584" t="s">
        <v>1145</v>
      </c>
      <c r="AA1158" s="585">
        <v>164</v>
      </c>
      <c r="AB1158" s="582">
        <v>260063</v>
      </c>
    </row>
    <row r="1159" spans="1:28" hidden="1">
      <c r="A1159" s="566" t="s">
        <v>1335</v>
      </c>
      <c r="B1159" s="566" t="s">
        <v>466</v>
      </c>
      <c r="C1159" s="566" t="s">
        <v>553</v>
      </c>
      <c r="D1159" s="566" t="s">
        <v>472</v>
      </c>
      <c r="E1159" s="566" t="s">
        <v>473</v>
      </c>
      <c r="F1159" s="566" t="s">
        <v>554</v>
      </c>
      <c r="G1159" s="567">
        <v>16</v>
      </c>
      <c r="H1159" s="566" t="s">
        <v>1148</v>
      </c>
      <c r="I1159" s="568">
        <v>2</v>
      </c>
      <c r="J1159" s="569">
        <v>22</v>
      </c>
      <c r="K1159" s="569">
        <v>22</v>
      </c>
      <c r="L1159" s="569">
        <v>17</v>
      </c>
      <c r="M1159" s="566" t="s">
        <v>476</v>
      </c>
      <c r="N1159" s="570">
        <v>308</v>
      </c>
      <c r="O1159" s="566"/>
      <c r="P1159" s="566" t="s">
        <v>477</v>
      </c>
      <c r="Q1159" s="568">
        <v>909678</v>
      </c>
      <c r="R1159" s="568">
        <v>4</v>
      </c>
      <c r="S1159" s="566" t="s">
        <v>1381</v>
      </c>
      <c r="T1159" s="582" t="s">
        <v>257</v>
      </c>
      <c r="U1159" s="582" t="s">
        <v>670</v>
      </c>
      <c r="V1159" s="582" t="s">
        <v>469</v>
      </c>
      <c r="W1159" s="583" t="s">
        <v>556</v>
      </c>
      <c r="X1159" s="582" t="s">
        <v>1380</v>
      </c>
      <c r="Y1159" s="582" t="s">
        <v>1338</v>
      </c>
      <c r="Z1159" s="584" t="s">
        <v>1147</v>
      </c>
      <c r="AA1159" s="585">
        <v>308</v>
      </c>
      <c r="AB1159" s="582">
        <v>260207</v>
      </c>
    </row>
    <row r="1160" spans="1:28" hidden="1">
      <c r="A1160" s="566" t="s">
        <v>1335</v>
      </c>
      <c r="B1160" s="566" t="s">
        <v>466</v>
      </c>
      <c r="C1160" s="566" t="s">
        <v>471</v>
      </c>
      <c r="D1160" s="566" t="s">
        <v>472</v>
      </c>
      <c r="E1160" s="566" t="s">
        <v>473</v>
      </c>
      <c r="F1160" s="566" t="s">
        <v>474</v>
      </c>
      <c r="G1160" s="567">
        <v>0</v>
      </c>
      <c r="H1160" s="566" t="s">
        <v>677</v>
      </c>
      <c r="I1160" s="568">
        <v>2</v>
      </c>
      <c r="J1160" s="569">
        <v>2</v>
      </c>
      <c r="K1160" s="569">
        <v>2</v>
      </c>
      <c r="L1160" s="566"/>
      <c r="M1160" s="566" t="s">
        <v>476</v>
      </c>
      <c r="N1160" s="570">
        <v>479</v>
      </c>
      <c r="O1160" s="566"/>
      <c r="P1160" s="566" t="s">
        <v>477</v>
      </c>
      <c r="Q1160" s="568">
        <v>909678</v>
      </c>
      <c r="R1160" s="568">
        <v>10</v>
      </c>
      <c r="S1160" s="566" t="s">
        <v>1382</v>
      </c>
      <c r="T1160" s="582" t="s">
        <v>253</v>
      </c>
      <c r="U1160" s="582" t="s">
        <v>670</v>
      </c>
      <c r="V1160" s="582" t="s">
        <v>469</v>
      </c>
      <c r="W1160" s="583" t="s">
        <v>1274</v>
      </c>
      <c r="X1160" s="582" t="s">
        <v>1380</v>
      </c>
      <c r="Y1160" s="582" t="s">
        <v>1338</v>
      </c>
      <c r="Z1160" s="584" t="s">
        <v>1149</v>
      </c>
      <c r="AA1160" s="585">
        <v>479</v>
      </c>
      <c r="AB1160" s="582"/>
    </row>
    <row r="1161" spans="1:28" hidden="1">
      <c r="A1161" s="566" t="s">
        <v>1335</v>
      </c>
      <c r="B1161" s="566" t="s">
        <v>466</v>
      </c>
      <c r="C1161" s="566" t="s">
        <v>471</v>
      </c>
      <c r="D1161" s="566" t="s">
        <v>472</v>
      </c>
      <c r="E1161" s="566" t="s">
        <v>473</v>
      </c>
      <c r="F1161" s="566" t="s">
        <v>474</v>
      </c>
      <c r="G1161" s="567">
        <v>0</v>
      </c>
      <c r="H1161" s="566" t="s">
        <v>680</v>
      </c>
      <c r="I1161" s="568">
        <v>2</v>
      </c>
      <c r="J1161" s="569">
        <v>2</v>
      </c>
      <c r="K1161" s="569">
        <v>2</v>
      </c>
      <c r="L1161" s="566"/>
      <c r="M1161" s="566" t="s">
        <v>476</v>
      </c>
      <c r="N1161" s="570">
        <v>551</v>
      </c>
      <c r="O1161" s="566"/>
      <c r="P1161" s="566" t="s">
        <v>477</v>
      </c>
      <c r="Q1161" s="568">
        <v>909678</v>
      </c>
      <c r="R1161" s="568">
        <v>15</v>
      </c>
      <c r="S1161" s="566" t="s">
        <v>483</v>
      </c>
      <c r="T1161" s="582" t="s">
        <v>253</v>
      </c>
      <c r="U1161" s="582" t="s">
        <v>670</v>
      </c>
      <c r="V1161" s="582" t="s">
        <v>469</v>
      </c>
      <c r="W1161" s="583" t="s">
        <v>1275</v>
      </c>
      <c r="X1161" s="582" t="s">
        <v>1380</v>
      </c>
      <c r="Y1161" s="582" t="s">
        <v>1338</v>
      </c>
      <c r="Z1161" s="584" t="s">
        <v>1150</v>
      </c>
      <c r="AA1161" s="585">
        <v>551</v>
      </c>
      <c r="AB1161" s="582"/>
    </row>
    <row r="1162" spans="1:28" hidden="1">
      <c r="A1162" s="566" t="s">
        <v>1335</v>
      </c>
      <c r="B1162" s="566" t="s">
        <v>466</v>
      </c>
      <c r="C1162" s="566" t="s">
        <v>487</v>
      </c>
      <c r="D1162" s="566" t="s">
        <v>472</v>
      </c>
      <c r="E1162" s="566" t="s">
        <v>473</v>
      </c>
      <c r="F1162" s="566" t="s">
        <v>489</v>
      </c>
      <c r="G1162" s="567">
        <v>50</v>
      </c>
      <c r="H1162" s="566" t="s">
        <v>682</v>
      </c>
      <c r="I1162" s="568">
        <v>2</v>
      </c>
      <c r="J1162" s="569">
        <v>2</v>
      </c>
      <c r="K1162" s="569">
        <v>2</v>
      </c>
      <c r="L1162" s="566"/>
      <c r="M1162" s="566" t="s">
        <v>476</v>
      </c>
      <c r="N1162" s="570">
        <v>587</v>
      </c>
      <c r="O1162" s="566"/>
      <c r="P1162" s="566" t="s">
        <v>477</v>
      </c>
      <c r="Q1162" s="568">
        <v>909678</v>
      </c>
      <c r="R1162" s="568">
        <v>16</v>
      </c>
      <c r="S1162" s="566" t="s">
        <v>488</v>
      </c>
      <c r="T1162" s="582" t="s">
        <v>253</v>
      </c>
      <c r="U1162" s="582" t="s">
        <v>670</v>
      </c>
      <c r="V1162" s="582" t="s">
        <v>469</v>
      </c>
      <c r="W1162" s="583" t="s">
        <v>485</v>
      </c>
      <c r="X1162" s="582" t="s">
        <v>1380</v>
      </c>
      <c r="Y1162" s="582" t="s">
        <v>1338</v>
      </c>
      <c r="Z1162" s="584" t="s">
        <v>1151</v>
      </c>
      <c r="AA1162" s="585">
        <v>587</v>
      </c>
      <c r="AB1162" s="582"/>
    </row>
    <row r="1163" spans="1:28" hidden="1">
      <c r="A1163" s="566" t="s">
        <v>1335</v>
      </c>
      <c r="B1163" s="566" t="s">
        <v>466</v>
      </c>
      <c r="C1163" s="566" t="s">
        <v>487</v>
      </c>
      <c r="D1163" s="566" t="s">
        <v>472</v>
      </c>
      <c r="E1163" s="566" t="s">
        <v>473</v>
      </c>
      <c r="F1163" s="566" t="s">
        <v>489</v>
      </c>
      <c r="G1163" s="567">
        <v>50</v>
      </c>
      <c r="H1163" s="566" t="s">
        <v>684</v>
      </c>
      <c r="I1163" s="568">
        <v>2</v>
      </c>
      <c r="J1163" s="569">
        <v>2</v>
      </c>
      <c r="K1163" s="569">
        <v>2</v>
      </c>
      <c r="L1163" s="566"/>
      <c r="M1163" s="566" t="s">
        <v>476</v>
      </c>
      <c r="N1163" s="570">
        <v>623</v>
      </c>
      <c r="O1163" s="566"/>
      <c r="P1163" s="566" t="s">
        <v>477</v>
      </c>
      <c r="Q1163" s="568">
        <v>909678</v>
      </c>
      <c r="R1163" s="568">
        <v>17</v>
      </c>
      <c r="S1163" s="566" t="s">
        <v>493</v>
      </c>
      <c r="T1163" s="582" t="s">
        <v>253</v>
      </c>
      <c r="U1163" s="582" t="s">
        <v>670</v>
      </c>
      <c r="V1163" s="582" t="s">
        <v>469</v>
      </c>
      <c r="W1163" s="583" t="s">
        <v>491</v>
      </c>
      <c r="X1163" s="582" t="s">
        <v>1380</v>
      </c>
      <c r="Y1163" s="582" t="s">
        <v>1338</v>
      </c>
      <c r="Z1163" s="584" t="s">
        <v>1152</v>
      </c>
      <c r="AA1163" s="585">
        <v>623</v>
      </c>
      <c r="AB1163" s="582"/>
    </row>
    <row r="1164" spans="1:28" hidden="1">
      <c r="A1164" s="566" t="s">
        <v>1335</v>
      </c>
      <c r="B1164" s="566" t="s">
        <v>466</v>
      </c>
      <c r="C1164" s="566" t="s">
        <v>487</v>
      </c>
      <c r="D1164" s="566" t="s">
        <v>472</v>
      </c>
      <c r="E1164" s="566" t="s">
        <v>473</v>
      </c>
      <c r="F1164" s="566" t="s">
        <v>489</v>
      </c>
      <c r="G1164" s="567">
        <v>50</v>
      </c>
      <c r="H1164" s="566" t="s">
        <v>686</v>
      </c>
      <c r="I1164" s="568">
        <v>2</v>
      </c>
      <c r="J1164" s="569">
        <v>2</v>
      </c>
      <c r="K1164" s="569">
        <v>2</v>
      </c>
      <c r="L1164" s="566"/>
      <c r="M1164" s="566" t="s">
        <v>476</v>
      </c>
      <c r="N1164" s="570">
        <v>659</v>
      </c>
      <c r="O1164" s="566"/>
      <c r="P1164" s="566" t="s">
        <v>477</v>
      </c>
      <c r="Q1164" s="568">
        <v>909678</v>
      </c>
      <c r="R1164" s="568">
        <v>18</v>
      </c>
      <c r="S1164" s="566" t="s">
        <v>497</v>
      </c>
      <c r="T1164" s="582" t="s">
        <v>253</v>
      </c>
      <c r="U1164" s="582" t="s">
        <v>670</v>
      </c>
      <c r="V1164" s="582" t="s">
        <v>469</v>
      </c>
      <c r="W1164" s="583" t="s">
        <v>495</v>
      </c>
      <c r="X1164" s="582" t="s">
        <v>1380</v>
      </c>
      <c r="Y1164" s="582" t="s">
        <v>1338</v>
      </c>
      <c r="Z1164" s="584" t="s">
        <v>1153</v>
      </c>
      <c r="AA1164" s="585">
        <v>659</v>
      </c>
      <c r="AB1164" s="582"/>
    </row>
    <row r="1165" spans="1:28" hidden="1">
      <c r="A1165" s="566" t="s">
        <v>1335</v>
      </c>
      <c r="B1165" s="566" t="s">
        <v>466</v>
      </c>
      <c r="C1165" s="566" t="s">
        <v>487</v>
      </c>
      <c r="D1165" s="566" t="s">
        <v>472</v>
      </c>
      <c r="E1165" s="566" t="s">
        <v>473</v>
      </c>
      <c r="F1165" s="566" t="s">
        <v>489</v>
      </c>
      <c r="G1165" s="567">
        <v>50</v>
      </c>
      <c r="H1165" s="566" t="s">
        <v>689</v>
      </c>
      <c r="I1165" s="568">
        <v>2</v>
      </c>
      <c r="J1165" s="569">
        <v>2</v>
      </c>
      <c r="K1165" s="569">
        <v>2</v>
      </c>
      <c r="L1165" s="566"/>
      <c r="M1165" s="566" t="s">
        <v>476</v>
      </c>
      <c r="N1165" s="570">
        <v>731</v>
      </c>
      <c r="O1165" s="566"/>
      <c r="P1165" s="566" t="s">
        <v>477</v>
      </c>
      <c r="Q1165" s="568">
        <v>909678</v>
      </c>
      <c r="R1165" s="568">
        <v>19</v>
      </c>
      <c r="S1165" s="566" t="s">
        <v>502</v>
      </c>
      <c r="T1165" s="582" t="s">
        <v>253</v>
      </c>
      <c r="U1165" s="582" t="s">
        <v>670</v>
      </c>
      <c r="V1165" s="582" t="s">
        <v>469</v>
      </c>
      <c r="W1165" s="583" t="s">
        <v>1276</v>
      </c>
      <c r="X1165" s="582" t="s">
        <v>1380</v>
      </c>
      <c r="Y1165" s="582" t="s">
        <v>1338</v>
      </c>
      <c r="Z1165" s="584" t="s">
        <v>1154</v>
      </c>
      <c r="AA1165" s="585">
        <v>731</v>
      </c>
      <c r="AB1165" s="582"/>
    </row>
    <row r="1166" spans="1:28" hidden="1">
      <c r="A1166" s="566" t="s">
        <v>1335</v>
      </c>
      <c r="B1166" s="566" t="s">
        <v>466</v>
      </c>
      <c r="C1166" s="566" t="s">
        <v>487</v>
      </c>
      <c r="D1166" s="566" t="s">
        <v>472</v>
      </c>
      <c r="E1166" s="566" t="s">
        <v>473</v>
      </c>
      <c r="F1166" s="566" t="s">
        <v>489</v>
      </c>
      <c r="G1166" s="567">
        <v>50</v>
      </c>
      <c r="H1166" s="566" t="s">
        <v>692</v>
      </c>
      <c r="I1166" s="568">
        <v>2</v>
      </c>
      <c r="J1166" s="569">
        <v>2</v>
      </c>
      <c r="K1166" s="569">
        <v>2</v>
      </c>
      <c r="L1166" s="566"/>
      <c r="M1166" s="566" t="s">
        <v>476</v>
      </c>
      <c r="N1166" s="570">
        <v>803</v>
      </c>
      <c r="O1166" s="566"/>
      <c r="P1166" s="566" t="s">
        <v>477</v>
      </c>
      <c r="Q1166" s="568">
        <v>909678</v>
      </c>
      <c r="R1166" s="568">
        <v>21</v>
      </c>
      <c r="S1166" s="566" t="s">
        <v>507</v>
      </c>
      <c r="T1166" s="582" t="s">
        <v>253</v>
      </c>
      <c r="U1166" s="582" t="s">
        <v>670</v>
      </c>
      <c r="V1166" s="582" t="s">
        <v>469</v>
      </c>
      <c r="W1166" s="583" t="s">
        <v>1277</v>
      </c>
      <c r="X1166" s="582" t="s">
        <v>1380</v>
      </c>
      <c r="Y1166" s="582" t="s">
        <v>1338</v>
      </c>
      <c r="Z1166" s="584" t="s">
        <v>1155</v>
      </c>
      <c r="AA1166" s="585">
        <v>803</v>
      </c>
      <c r="AB1166" s="582"/>
    </row>
    <row r="1167" spans="1:28" hidden="1">
      <c r="A1167" s="566" t="s">
        <v>1335</v>
      </c>
      <c r="B1167" s="566" t="s">
        <v>466</v>
      </c>
      <c r="C1167" s="566" t="s">
        <v>471</v>
      </c>
      <c r="D1167" s="566" t="s">
        <v>472</v>
      </c>
      <c r="E1167" s="566" t="s">
        <v>473</v>
      </c>
      <c r="F1167" s="566" t="s">
        <v>474</v>
      </c>
      <c r="G1167" s="567">
        <v>0</v>
      </c>
      <c r="H1167" s="566" t="s">
        <v>2117</v>
      </c>
      <c r="I1167" s="568">
        <v>2</v>
      </c>
      <c r="J1167" s="569">
        <v>2</v>
      </c>
      <c r="K1167" s="569">
        <v>2</v>
      </c>
      <c r="L1167" s="566"/>
      <c r="M1167" s="566" t="s">
        <v>476</v>
      </c>
      <c r="N1167" s="570">
        <v>839</v>
      </c>
      <c r="O1167" s="566"/>
      <c r="P1167" s="566" t="s">
        <v>477</v>
      </c>
      <c r="Q1167" s="568">
        <v>909678</v>
      </c>
      <c r="R1167" s="568">
        <v>46</v>
      </c>
      <c r="S1167" s="566" t="s">
        <v>1383</v>
      </c>
      <c r="T1167" s="582" t="s">
        <v>253</v>
      </c>
      <c r="U1167" s="582" t="s">
        <v>670</v>
      </c>
      <c r="V1167" s="582" t="s">
        <v>469</v>
      </c>
      <c r="W1167" s="583" t="s">
        <v>1354</v>
      </c>
      <c r="X1167" s="582" t="s">
        <v>1380</v>
      </c>
      <c r="Y1167" s="582" t="s">
        <v>1338</v>
      </c>
      <c r="Z1167" s="584" t="s">
        <v>2190</v>
      </c>
      <c r="AA1167" s="585">
        <v>839</v>
      </c>
      <c r="AB1167" s="582"/>
    </row>
    <row r="1168" spans="1:28" hidden="1">
      <c r="A1168" s="566" t="s">
        <v>1335</v>
      </c>
      <c r="B1168" s="566" t="s">
        <v>466</v>
      </c>
      <c r="C1168" s="566" t="s">
        <v>487</v>
      </c>
      <c r="D1168" s="566" t="s">
        <v>472</v>
      </c>
      <c r="E1168" s="566" t="s">
        <v>473</v>
      </c>
      <c r="F1168" s="566" t="s">
        <v>489</v>
      </c>
      <c r="G1168" s="567">
        <v>50</v>
      </c>
      <c r="H1168" s="566" t="s">
        <v>2119</v>
      </c>
      <c r="I1168" s="568">
        <v>2</v>
      </c>
      <c r="J1168" s="569">
        <v>2</v>
      </c>
      <c r="K1168" s="569">
        <v>2</v>
      </c>
      <c r="L1168" s="566"/>
      <c r="M1168" s="566" t="s">
        <v>476</v>
      </c>
      <c r="N1168" s="570">
        <v>875</v>
      </c>
      <c r="O1168" s="566"/>
      <c r="P1168" s="566" t="s">
        <v>477</v>
      </c>
      <c r="Q1168" s="568">
        <v>909678</v>
      </c>
      <c r="R1168" s="568">
        <v>47</v>
      </c>
      <c r="S1168" s="566" t="s">
        <v>1385</v>
      </c>
      <c r="T1168" s="582" t="s">
        <v>253</v>
      </c>
      <c r="U1168" s="582" t="s">
        <v>670</v>
      </c>
      <c r="V1168" s="582" t="s">
        <v>469</v>
      </c>
      <c r="W1168" s="583" t="s">
        <v>1358</v>
      </c>
      <c r="X1168" s="582" t="s">
        <v>1380</v>
      </c>
      <c r="Y1168" s="582" t="s">
        <v>1338</v>
      </c>
      <c r="Z1168" s="584" t="s">
        <v>2191</v>
      </c>
      <c r="AA1168" s="585">
        <v>875</v>
      </c>
      <c r="AB1168" s="582"/>
    </row>
    <row r="1169" spans="1:28" hidden="1">
      <c r="A1169" s="566" t="s">
        <v>1335</v>
      </c>
      <c r="B1169" s="566" t="s">
        <v>466</v>
      </c>
      <c r="C1169" s="566" t="s">
        <v>553</v>
      </c>
      <c r="D1169" s="566" t="s">
        <v>472</v>
      </c>
      <c r="E1169" s="566" t="s">
        <v>473</v>
      </c>
      <c r="F1169" s="566" t="s">
        <v>554</v>
      </c>
      <c r="G1169" s="567">
        <v>13</v>
      </c>
      <c r="H1169" s="566" t="s">
        <v>1157</v>
      </c>
      <c r="I1169" s="568">
        <v>2</v>
      </c>
      <c r="J1169" s="569">
        <v>22</v>
      </c>
      <c r="K1169" s="569">
        <v>22</v>
      </c>
      <c r="L1169" s="569">
        <v>17</v>
      </c>
      <c r="M1169" s="566" t="s">
        <v>476</v>
      </c>
      <c r="N1169" s="570">
        <v>188</v>
      </c>
      <c r="O1169" s="566"/>
      <c r="P1169" s="566" t="s">
        <v>477</v>
      </c>
      <c r="Q1169" s="568">
        <v>909678</v>
      </c>
      <c r="R1169" s="568">
        <v>1</v>
      </c>
      <c r="S1169" s="566" t="s">
        <v>1387</v>
      </c>
      <c r="T1169" s="582" t="s">
        <v>257</v>
      </c>
      <c r="U1169" s="582" t="s">
        <v>670</v>
      </c>
      <c r="V1169" s="582" t="s">
        <v>469</v>
      </c>
      <c r="W1169" s="583" t="s">
        <v>577</v>
      </c>
      <c r="X1169" s="582" t="s">
        <v>1380</v>
      </c>
      <c r="Y1169" s="582" t="s">
        <v>1338</v>
      </c>
      <c r="Z1169" s="584" t="s">
        <v>1156</v>
      </c>
      <c r="AA1169" s="585">
        <v>188</v>
      </c>
      <c r="AB1169" s="582">
        <v>260087</v>
      </c>
    </row>
    <row r="1170" spans="1:28" hidden="1">
      <c r="A1170" s="566" t="s">
        <v>1335</v>
      </c>
      <c r="B1170" s="566" t="s">
        <v>466</v>
      </c>
      <c r="C1170" s="566" t="s">
        <v>553</v>
      </c>
      <c r="D1170" s="566" t="s">
        <v>472</v>
      </c>
      <c r="E1170" s="566" t="s">
        <v>473</v>
      </c>
      <c r="F1170" s="566" t="s">
        <v>554</v>
      </c>
      <c r="G1170" s="567">
        <v>13</v>
      </c>
      <c r="H1170" s="566" t="s">
        <v>1159</v>
      </c>
      <c r="I1170" s="568">
        <v>2</v>
      </c>
      <c r="J1170" s="569">
        <v>22</v>
      </c>
      <c r="K1170" s="569">
        <v>22</v>
      </c>
      <c r="L1170" s="569">
        <v>17</v>
      </c>
      <c r="M1170" s="566" t="s">
        <v>476</v>
      </c>
      <c r="N1170" s="570">
        <v>212</v>
      </c>
      <c r="O1170" s="566"/>
      <c r="P1170" s="566" t="s">
        <v>477</v>
      </c>
      <c r="Q1170" s="568">
        <v>909678</v>
      </c>
      <c r="R1170" s="568">
        <v>2</v>
      </c>
      <c r="S1170" s="566" t="s">
        <v>1388</v>
      </c>
      <c r="T1170" s="582" t="s">
        <v>257</v>
      </c>
      <c r="U1170" s="582" t="s">
        <v>670</v>
      </c>
      <c r="V1170" s="582" t="s">
        <v>469</v>
      </c>
      <c r="W1170" s="583" t="s">
        <v>580</v>
      </c>
      <c r="X1170" s="582" t="s">
        <v>1380</v>
      </c>
      <c r="Y1170" s="582" t="s">
        <v>1338</v>
      </c>
      <c r="Z1170" s="584" t="s">
        <v>1158</v>
      </c>
      <c r="AA1170" s="585">
        <v>212</v>
      </c>
      <c r="AB1170" s="582">
        <v>260111</v>
      </c>
    </row>
    <row r="1171" spans="1:28" hidden="1">
      <c r="A1171" s="566" t="s">
        <v>1335</v>
      </c>
      <c r="B1171" s="566" t="s">
        <v>466</v>
      </c>
      <c r="C1171" s="566" t="s">
        <v>553</v>
      </c>
      <c r="D1171" s="566" t="s">
        <v>472</v>
      </c>
      <c r="E1171" s="566" t="s">
        <v>473</v>
      </c>
      <c r="F1171" s="566" t="s">
        <v>554</v>
      </c>
      <c r="G1171" s="567">
        <v>16</v>
      </c>
      <c r="H1171" s="566" t="s">
        <v>1161</v>
      </c>
      <c r="I1171" s="568">
        <v>2</v>
      </c>
      <c r="J1171" s="569">
        <v>22</v>
      </c>
      <c r="K1171" s="569">
        <v>22</v>
      </c>
      <c r="L1171" s="569">
        <v>17</v>
      </c>
      <c r="M1171" s="566" t="s">
        <v>476</v>
      </c>
      <c r="N1171" s="570">
        <v>236</v>
      </c>
      <c r="O1171" s="566"/>
      <c r="P1171" s="566" t="s">
        <v>477</v>
      </c>
      <c r="Q1171" s="568">
        <v>909678</v>
      </c>
      <c r="R1171" s="568">
        <v>12</v>
      </c>
      <c r="S1171" s="566" t="s">
        <v>1389</v>
      </c>
      <c r="T1171" s="582" t="s">
        <v>257</v>
      </c>
      <c r="U1171" s="582" t="s">
        <v>670</v>
      </c>
      <c r="V1171" s="582" t="s">
        <v>469</v>
      </c>
      <c r="W1171" s="583" t="s">
        <v>583</v>
      </c>
      <c r="X1171" s="582" t="s">
        <v>1380</v>
      </c>
      <c r="Y1171" s="582" t="s">
        <v>1338</v>
      </c>
      <c r="Z1171" s="584" t="s">
        <v>1160</v>
      </c>
      <c r="AA1171" s="585">
        <v>236</v>
      </c>
      <c r="AB1171" s="582">
        <v>260135</v>
      </c>
    </row>
    <row r="1172" spans="1:28" hidden="1">
      <c r="A1172" s="566" t="s">
        <v>1335</v>
      </c>
      <c r="B1172" s="566" t="s">
        <v>466</v>
      </c>
      <c r="C1172" s="566" t="s">
        <v>553</v>
      </c>
      <c r="D1172" s="566" t="s">
        <v>472</v>
      </c>
      <c r="E1172" s="566" t="s">
        <v>473</v>
      </c>
      <c r="F1172" s="566" t="s">
        <v>554</v>
      </c>
      <c r="G1172" s="567">
        <v>16</v>
      </c>
      <c r="H1172" s="566" t="s">
        <v>1163</v>
      </c>
      <c r="I1172" s="568">
        <v>2</v>
      </c>
      <c r="J1172" s="569">
        <v>22</v>
      </c>
      <c r="K1172" s="569">
        <v>22</v>
      </c>
      <c r="L1172" s="569">
        <v>17</v>
      </c>
      <c r="M1172" s="566" t="s">
        <v>476</v>
      </c>
      <c r="N1172" s="570">
        <v>260</v>
      </c>
      <c r="O1172" s="566"/>
      <c r="P1172" s="566" t="s">
        <v>477</v>
      </c>
      <c r="Q1172" s="568">
        <v>909678</v>
      </c>
      <c r="R1172" s="568">
        <v>3</v>
      </c>
      <c r="S1172" s="566" t="s">
        <v>1390</v>
      </c>
      <c r="T1172" s="582" t="s">
        <v>257</v>
      </c>
      <c r="U1172" s="582" t="s">
        <v>670</v>
      </c>
      <c r="V1172" s="582" t="s">
        <v>469</v>
      </c>
      <c r="W1172" s="583" t="s">
        <v>586</v>
      </c>
      <c r="X1172" s="582" t="s">
        <v>1380</v>
      </c>
      <c r="Y1172" s="582" t="s">
        <v>1338</v>
      </c>
      <c r="Z1172" s="584" t="s">
        <v>1162</v>
      </c>
      <c r="AA1172" s="585">
        <v>260</v>
      </c>
      <c r="AB1172" s="582">
        <v>260159</v>
      </c>
    </row>
    <row r="1173" spans="1:28" hidden="1">
      <c r="A1173" s="566" t="s">
        <v>1335</v>
      </c>
      <c r="B1173" s="566" t="s">
        <v>466</v>
      </c>
      <c r="C1173" s="566" t="s">
        <v>553</v>
      </c>
      <c r="D1173" s="566" t="s">
        <v>472</v>
      </c>
      <c r="E1173" s="566" t="s">
        <v>473</v>
      </c>
      <c r="F1173" s="566" t="s">
        <v>554</v>
      </c>
      <c r="G1173" s="567">
        <v>16</v>
      </c>
      <c r="H1173" s="566" t="s">
        <v>1165</v>
      </c>
      <c r="I1173" s="568">
        <v>2</v>
      </c>
      <c r="J1173" s="569">
        <v>22</v>
      </c>
      <c r="K1173" s="569">
        <v>22</v>
      </c>
      <c r="L1173" s="569">
        <v>17</v>
      </c>
      <c r="M1173" s="566" t="s">
        <v>476</v>
      </c>
      <c r="N1173" s="570">
        <v>284</v>
      </c>
      <c r="O1173" s="566"/>
      <c r="P1173" s="566" t="s">
        <v>477</v>
      </c>
      <c r="Q1173" s="568">
        <v>909678</v>
      </c>
      <c r="R1173" s="568">
        <v>13</v>
      </c>
      <c r="S1173" s="566" t="s">
        <v>1391</v>
      </c>
      <c r="T1173" s="582" t="s">
        <v>257</v>
      </c>
      <c r="U1173" s="582" t="s">
        <v>670</v>
      </c>
      <c r="V1173" s="582" t="s">
        <v>469</v>
      </c>
      <c r="W1173" s="583" t="s">
        <v>589</v>
      </c>
      <c r="X1173" s="582" t="s">
        <v>1380</v>
      </c>
      <c r="Y1173" s="582" t="s">
        <v>1338</v>
      </c>
      <c r="Z1173" s="584" t="s">
        <v>1164</v>
      </c>
      <c r="AA1173" s="585">
        <v>284</v>
      </c>
      <c r="AB1173" s="582">
        <v>260183</v>
      </c>
    </row>
    <row r="1174" spans="1:28" hidden="1">
      <c r="A1174" s="566" t="s">
        <v>1335</v>
      </c>
      <c r="B1174" s="566" t="s">
        <v>466</v>
      </c>
      <c r="C1174" s="566" t="s">
        <v>471</v>
      </c>
      <c r="D1174" s="566" t="s">
        <v>472</v>
      </c>
      <c r="E1174" s="566" t="s">
        <v>473</v>
      </c>
      <c r="F1174" s="566" t="s">
        <v>474</v>
      </c>
      <c r="G1174" s="567">
        <v>0</v>
      </c>
      <c r="H1174" s="566" t="s">
        <v>704</v>
      </c>
      <c r="I1174" s="568">
        <v>2</v>
      </c>
      <c r="J1174" s="569">
        <v>2</v>
      </c>
      <c r="K1174" s="569">
        <v>2</v>
      </c>
      <c r="L1174" s="566"/>
      <c r="M1174" s="566" t="s">
        <v>476</v>
      </c>
      <c r="N1174" s="570">
        <v>335</v>
      </c>
      <c r="O1174" s="566"/>
      <c r="P1174" s="566" t="s">
        <v>477</v>
      </c>
      <c r="Q1174" s="568">
        <v>909678</v>
      </c>
      <c r="R1174" s="568">
        <v>5</v>
      </c>
      <c r="S1174" s="566" t="s">
        <v>1392</v>
      </c>
      <c r="T1174" s="582" t="s">
        <v>253</v>
      </c>
      <c r="U1174" s="582" t="s">
        <v>670</v>
      </c>
      <c r="V1174" s="582" t="s">
        <v>469</v>
      </c>
      <c r="W1174" s="583" t="s">
        <v>509</v>
      </c>
      <c r="X1174" s="582" t="s">
        <v>1380</v>
      </c>
      <c r="Y1174" s="582" t="s">
        <v>1338</v>
      </c>
      <c r="Z1174" s="584" t="s">
        <v>1166</v>
      </c>
      <c r="AA1174" s="585">
        <v>335</v>
      </c>
      <c r="AB1174" s="582"/>
    </row>
    <row r="1175" spans="1:28" hidden="1">
      <c r="A1175" s="566" t="s">
        <v>1335</v>
      </c>
      <c r="B1175" s="566" t="s">
        <v>466</v>
      </c>
      <c r="C1175" s="566" t="s">
        <v>471</v>
      </c>
      <c r="D1175" s="566" t="s">
        <v>472</v>
      </c>
      <c r="E1175" s="566" t="s">
        <v>473</v>
      </c>
      <c r="F1175" s="566" t="s">
        <v>474</v>
      </c>
      <c r="G1175" s="567">
        <v>0</v>
      </c>
      <c r="H1175" s="566" t="s">
        <v>706</v>
      </c>
      <c r="I1175" s="568">
        <v>2</v>
      </c>
      <c r="J1175" s="569">
        <v>2</v>
      </c>
      <c r="K1175" s="569">
        <v>2</v>
      </c>
      <c r="L1175" s="566"/>
      <c r="M1175" s="566" t="s">
        <v>476</v>
      </c>
      <c r="N1175" s="570">
        <v>371</v>
      </c>
      <c r="O1175" s="566"/>
      <c r="P1175" s="566" t="s">
        <v>477</v>
      </c>
      <c r="Q1175" s="568">
        <v>909678</v>
      </c>
      <c r="R1175" s="568">
        <v>6</v>
      </c>
      <c r="S1175" s="566" t="s">
        <v>1393</v>
      </c>
      <c r="T1175" s="582" t="s">
        <v>253</v>
      </c>
      <c r="U1175" s="582" t="s">
        <v>670</v>
      </c>
      <c r="V1175" s="582" t="s">
        <v>469</v>
      </c>
      <c r="W1175" s="583" t="s">
        <v>512</v>
      </c>
      <c r="X1175" s="582" t="s">
        <v>1380</v>
      </c>
      <c r="Y1175" s="582" t="s">
        <v>1338</v>
      </c>
      <c r="Z1175" s="584" t="s">
        <v>1167</v>
      </c>
      <c r="AA1175" s="585">
        <v>371</v>
      </c>
      <c r="AB1175" s="582"/>
    </row>
    <row r="1176" spans="1:28" hidden="1">
      <c r="A1176" s="566" t="s">
        <v>1335</v>
      </c>
      <c r="B1176" s="566" t="s">
        <v>466</v>
      </c>
      <c r="C1176" s="566" t="s">
        <v>471</v>
      </c>
      <c r="D1176" s="566" t="s">
        <v>472</v>
      </c>
      <c r="E1176" s="566" t="s">
        <v>473</v>
      </c>
      <c r="F1176" s="566" t="s">
        <v>474</v>
      </c>
      <c r="G1176" s="567">
        <v>0</v>
      </c>
      <c r="H1176" s="566" t="s">
        <v>708</v>
      </c>
      <c r="I1176" s="568">
        <v>2</v>
      </c>
      <c r="J1176" s="569">
        <v>2</v>
      </c>
      <c r="K1176" s="569">
        <v>2</v>
      </c>
      <c r="L1176" s="566"/>
      <c r="M1176" s="566" t="s">
        <v>476</v>
      </c>
      <c r="N1176" s="570">
        <v>407</v>
      </c>
      <c r="O1176" s="566"/>
      <c r="P1176" s="566" t="s">
        <v>477</v>
      </c>
      <c r="Q1176" s="568">
        <v>909678</v>
      </c>
      <c r="R1176" s="568">
        <v>14</v>
      </c>
      <c r="S1176" s="566" t="s">
        <v>1394</v>
      </c>
      <c r="T1176" s="582" t="s">
        <v>253</v>
      </c>
      <c r="U1176" s="582" t="s">
        <v>670</v>
      </c>
      <c r="V1176" s="582" t="s">
        <v>469</v>
      </c>
      <c r="W1176" s="583" t="s">
        <v>514</v>
      </c>
      <c r="X1176" s="582" t="s">
        <v>1380</v>
      </c>
      <c r="Y1176" s="582" t="s">
        <v>1338</v>
      </c>
      <c r="Z1176" s="584" t="s">
        <v>1168</v>
      </c>
      <c r="AA1176" s="585">
        <v>407</v>
      </c>
      <c r="AB1176" s="582"/>
    </row>
    <row r="1177" spans="1:28" hidden="1">
      <c r="A1177" s="566" t="s">
        <v>1335</v>
      </c>
      <c r="B1177" s="566" t="s">
        <v>466</v>
      </c>
      <c r="C1177" s="566" t="s">
        <v>471</v>
      </c>
      <c r="D1177" s="566" t="s">
        <v>472</v>
      </c>
      <c r="E1177" s="566" t="s">
        <v>473</v>
      </c>
      <c r="F1177" s="566" t="s">
        <v>474</v>
      </c>
      <c r="G1177" s="567">
        <v>0</v>
      </c>
      <c r="H1177" s="566" t="s">
        <v>677</v>
      </c>
      <c r="I1177" s="568">
        <v>2</v>
      </c>
      <c r="J1177" s="569">
        <v>26</v>
      </c>
      <c r="K1177" s="569">
        <v>26</v>
      </c>
      <c r="L1177" s="566"/>
      <c r="M1177" s="566" t="s">
        <v>476</v>
      </c>
      <c r="N1177" s="570">
        <v>1343</v>
      </c>
      <c r="O1177" s="566"/>
      <c r="P1177" s="566" t="s">
        <v>477</v>
      </c>
      <c r="Q1177" s="568">
        <v>909678</v>
      </c>
      <c r="R1177" s="568">
        <v>34</v>
      </c>
      <c r="S1177" s="566" t="s">
        <v>1395</v>
      </c>
      <c r="T1177" s="582" t="s">
        <v>253</v>
      </c>
      <c r="U1177" s="582" t="s">
        <v>670</v>
      </c>
      <c r="V1177" s="582" t="s">
        <v>469</v>
      </c>
      <c r="W1177" s="583" t="s">
        <v>1274</v>
      </c>
      <c r="X1177" s="582" t="s">
        <v>1380</v>
      </c>
      <c r="Y1177" s="582" t="s">
        <v>1367</v>
      </c>
      <c r="Z1177" s="584" t="s">
        <v>2192</v>
      </c>
      <c r="AA1177" s="585">
        <v>1343</v>
      </c>
      <c r="AB1177" s="582"/>
    </row>
    <row r="1178" spans="1:28" hidden="1">
      <c r="A1178" s="566" t="s">
        <v>1335</v>
      </c>
      <c r="B1178" s="566" t="s">
        <v>466</v>
      </c>
      <c r="C1178" s="566" t="s">
        <v>471</v>
      </c>
      <c r="D1178" s="566" t="s">
        <v>472</v>
      </c>
      <c r="E1178" s="566" t="s">
        <v>473</v>
      </c>
      <c r="F1178" s="566" t="s">
        <v>474</v>
      </c>
      <c r="G1178" s="567">
        <v>0</v>
      </c>
      <c r="H1178" s="566" t="s">
        <v>680</v>
      </c>
      <c r="I1178" s="568">
        <v>2</v>
      </c>
      <c r="J1178" s="569">
        <v>26</v>
      </c>
      <c r="K1178" s="569">
        <v>26</v>
      </c>
      <c r="L1178" s="566"/>
      <c r="M1178" s="566" t="s">
        <v>476</v>
      </c>
      <c r="N1178" s="570">
        <v>1379</v>
      </c>
      <c r="O1178" s="566"/>
      <c r="P1178" s="566" t="s">
        <v>477</v>
      </c>
      <c r="Q1178" s="568">
        <v>909678</v>
      </c>
      <c r="R1178" s="568">
        <v>35</v>
      </c>
      <c r="S1178" s="566" t="s">
        <v>1397</v>
      </c>
      <c r="T1178" s="582" t="s">
        <v>253</v>
      </c>
      <c r="U1178" s="582" t="s">
        <v>670</v>
      </c>
      <c r="V1178" s="582" t="s">
        <v>469</v>
      </c>
      <c r="W1178" s="583" t="s">
        <v>1275</v>
      </c>
      <c r="X1178" s="582" t="s">
        <v>1380</v>
      </c>
      <c r="Y1178" s="582" t="s">
        <v>1367</v>
      </c>
      <c r="Z1178" s="584" t="s">
        <v>2193</v>
      </c>
      <c r="AA1178" s="585">
        <v>1379</v>
      </c>
      <c r="AB1178" s="582"/>
    </row>
    <row r="1179" spans="1:28" hidden="1">
      <c r="A1179" s="566" t="s">
        <v>1335</v>
      </c>
      <c r="B1179" s="566" t="s">
        <v>466</v>
      </c>
      <c r="C1179" s="566" t="s">
        <v>487</v>
      </c>
      <c r="D1179" s="566" t="s">
        <v>472</v>
      </c>
      <c r="E1179" s="566" t="s">
        <v>473</v>
      </c>
      <c r="F1179" s="566" t="s">
        <v>489</v>
      </c>
      <c r="G1179" s="567">
        <v>50</v>
      </c>
      <c r="H1179" s="566" t="s">
        <v>689</v>
      </c>
      <c r="I1179" s="568">
        <v>2</v>
      </c>
      <c r="J1179" s="569">
        <v>26</v>
      </c>
      <c r="K1179" s="569">
        <v>26</v>
      </c>
      <c r="L1179" s="566"/>
      <c r="M1179" s="566" t="s">
        <v>476</v>
      </c>
      <c r="N1179" s="570">
        <v>1415</v>
      </c>
      <c r="O1179" s="566"/>
      <c r="P1179" s="566" t="s">
        <v>477</v>
      </c>
      <c r="Q1179" s="568">
        <v>909678</v>
      </c>
      <c r="R1179" s="568">
        <v>37</v>
      </c>
      <c r="S1179" s="566" t="s">
        <v>1399</v>
      </c>
      <c r="T1179" s="582" t="s">
        <v>253</v>
      </c>
      <c r="U1179" s="582" t="s">
        <v>670</v>
      </c>
      <c r="V1179" s="582" t="s">
        <v>469</v>
      </c>
      <c r="W1179" s="583" t="s">
        <v>1276</v>
      </c>
      <c r="X1179" s="582" t="s">
        <v>1380</v>
      </c>
      <c r="Y1179" s="582" t="s">
        <v>1367</v>
      </c>
      <c r="Z1179" s="584" t="s">
        <v>2194</v>
      </c>
      <c r="AA1179" s="585">
        <v>1415</v>
      </c>
      <c r="AB1179" s="582"/>
    </row>
    <row r="1180" spans="1:28" hidden="1">
      <c r="A1180" s="566" t="s">
        <v>1335</v>
      </c>
      <c r="B1180" s="566" t="s">
        <v>466</v>
      </c>
      <c r="C1180" s="566" t="s">
        <v>487</v>
      </c>
      <c r="D1180" s="566" t="s">
        <v>472</v>
      </c>
      <c r="E1180" s="566" t="s">
        <v>473</v>
      </c>
      <c r="F1180" s="566" t="s">
        <v>489</v>
      </c>
      <c r="G1180" s="567">
        <v>50</v>
      </c>
      <c r="H1180" s="566" t="s">
        <v>692</v>
      </c>
      <c r="I1180" s="568">
        <v>2</v>
      </c>
      <c r="J1180" s="569">
        <v>26</v>
      </c>
      <c r="K1180" s="569">
        <v>26</v>
      </c>
      <c r="L1180" s="566"/>
      <c r="M1180" s="566" t="s">
        <v>476</v>
      </c>
      <c r="N1180" s="570">
        <v>1451</v>
      </c>
      <c r="O1180" s="566"/>
      <c r="P1180" s="566" t="s">
        <v>477</v>
      </c>
      <c r="Q1180" s="568">
        <v>909678</v>
      </c>
      <c r="R1180" s="568">
        <v>38</v>
      </c>
      <c r="S1180" s="566" t="s">
        <v>1401</v>
      </c>
      <c r="T1180" s="582" t="s">
        <v>253</v>
      </c>
      <c r="U1180" s="582" t="s">
        <v>670</v>
      </c>
      <c r="V1180" s="582" t="s">
        <v>469</v>
      </c>
      <c r="W1180" s="583" t="s">
        <v>1277</v>
      </c>
      <c r="X1180" s="582" t="s">
        <v>1380</v>
      </c>
      <c r="Y1180" s="582" t="s">
        <v>1367</v>
      </c>
      <c r="Z1180" s="584" t="s">
        <v>2195</v>
      </c>
      <c r="AA1180" s="585">
        <v>1451</v>
      </c>
      <c r="AB1180" s="582"/>
    </row>
    <row r="1181" spans="1:28" hidden="1">
      <c r="A1181" s="566" t="s">
        <v>1335</v>
      </c>
      <c r="B1181" s="566" t="s">
        <v>466</v>
      </c>
      <c r="C1181" s="566" t="s">
        <v>471</v>
      </c>
      <c r="D1181" s="566" t="s">
        <v>472</v>
      </c>
      <c r="E1181" s="566" t="s">
        <v>473</v>
      </c>
      <c r="F1181" s="566" t="s">
        <v>474</v>
      </c>
      <c r="G1181" s="567">
        <v>0</v>
      </c>
      <c r="H1181" s="566" t="s">
        <v>2117</v>
      </c>
      <c r="I1181" s="568">
        <v>2</v>
      </c>
      <c r="J1181" s="569">
        <v>26</v>
      </c>
      <c r="K1181" s="569">
        <v>26</v>
      </c>
      <c r="L1181" s="566"/>
      <c r="M1181" s="566" t="s">
        <v>476</v>
      </c>
      <c r="N1181" s="570">
        <v>1487</v>
      </c>
      <c r="O1181" s="566"/>
      <c r="P1181" s="566" t="s">
        <v>477</v>
      </c>
      <c r="Q1181" s="568">
        <v>909678</v>
      </c>
      <c r="R1181" s="568">
        <v>36</v>
      </c>
      <c r="S1181" s="566" t="s">
        <v>1403</v>
      </c>
      <c r="T1181" s="582" t="s">
        <v>253</v>
      </c>
      <c r="U1181" s="582" t="s">
        <v>670</v>
      </c>
      <c r="V1181" s="582" t="s">
        <v>469</v>
      </c>
      <c r="W1181" s="583" t="s">
        <v>1354</v>
      </c>
      <c r="X1181" s="582" t="s">
        <v>1380</v>
      </c>
      <c r="Y1181" s="582" t="s">
        <v>1367</v>
      </c>
      <c r="Z1181" s="584" t="s">
        <v>2196</v>
      </c>
      <c r="AA1181" s="585">
        <v>1487</v>
      </c>
      <c r="AB1181" s="582"/>
    </row>
    <row r="1182" spans="1:28" hidden="1">
      <c r="A1182" s="566" t="s">
        <v>1335</v>
      </c>
      <c r="B1182" s="566" t="s">
        <v>466</v>
      </c>
      <c r="C1182" s="566" t="s">
        <v>487</v>
      </c>
      <c r="D1182" s="566" t="s">
        <v>472</v>
      </c>
      <c r="E1182" s="566" t="s">
        <v>473</v>
      </c>
      <c r="F1182" s="566" t="s">
        <v>489</v>
      </c>
      <c r="G1182" s="567">
        <v>50</v>
      </c>
      <c r="H1182" s="566" t="s">
        <v>2119</v>
      </c>
      <c r="I1182" s="568">
        <v>2</v>
      </c>
      <c r="J1182" s="569">
        <v>26</v>
      </c>
      <c r="K1182" s="569">
        <v>26</v>
      </c>
      <c r="L1182" s="566"/>
      <c r="M1182" s="566" t="s">
        <v>476</v>
      </c>
      <c r="N1182" s="570">
        <v>1523</v>
      </c>
      <c r="O1182" s="566"/>
      <c r="P1182" s="566" t="s">
        <v>477</v>
      </c>
      <c r="Q1182" s="568">
        <v>909678</v>
      </c>
      <c r="R1182" s="568">
        <v>39</v>
      </c>
      <c r="S1182" s="566" t="s">
        <v>1405</v>
      </c>
      <c r="T1182" s="582" t="s">
        <v>253</v>
      </c>
      <c r="U1182" s="582" t="s">
        <v>670</v>
      </c>
      <c r="V1182" s="582" t="s">
        <v>469</v>
      </c>
      <c r="W1182" s="583" t="s">
        <v>1358</v>
      </c>
      <c r="X1182" s="582" t="s">
        <v>1380</v>
      </c>
      <c r="Y1182" s="582" t="s">
        <v>1367</v>
      </c>
      <c r="Z1182" s="584" t="s">
        <v>2197</v>
      </c>
      <c r="AA1182" s="585">
        <v>1523</v>
      </c>
      <c r="AB1182" s="582"/>
    </row>
    <row r="1183" spans="1:28" hidden="1">
      <c r="A1183" s="566" t="s">
        <v>1335</v>
      </c>
      <c r="B1183" s="566" t="s">
        <v>466</v>
      </c>
      <c r="C1183" s="566" t="s">
        <v>471</v>
      </c>
      <c r="D1183" s="566" t="s">
        <v>472</v>
      </c>
      <c r="E1183" s="566" t="s">
        <v>473</v>
      </c>
      <c r="F1183" s="566" t="s">
        <v>474</v>
      </c>
      <c r="G1183" s="567">
        <v>0</v>
      </c>
      <c r="H1183" s="566" t="s">
        <v>675</v>
      </c>
      <c r="I1183" s="568">
        <v>2</v>
      </c>
      <c r="J1183" s="569">
        <v>2</v>
      </c>
      <c r="K1183" s="569">
        <v>2</v>
      </c>
      <c r="L1183" s="566"/>
      <c r="M1183" s="566" t="s">
        <v>476</v>
      </c>
      <c r="N1183" s="570">
        <v>443</v>
      </c>
      <c r="O1183" s="566"/>
      <c r="P1183" s="566" t="s">
        <v>477</v>
      </c>
      <c r="Q1183" s="568">
        <v>909678</v>
      </c>
      <c r="R1183" s="568">
        <v>7</v>
      </c>
      <c r="S1183" s="566" t="s">
        <v>1407</v>
      </c>
      <c r="T1183" s="575" t="s">
        <v>1473</v>
      </c>
      <c r="U1183" s="575" t="s">
        <v>670</v>
      </c>
      <c r="V1183" s="575" t="s">
        <v>469</v>
      </c>
      <c r="W1183" s="576" t="s">
        <v>470</v>
      </c>
      <c r="X1183" s="575" t="s">
        <v>1380</v>
      </c>
      <c r="Y1183" s="575" t="s">
        <v>1338</v>
      </c>
      <c r="Z1183" s="576" t="s">
        <v>2198</v>
      </c>
      <c r="AA1183" s="577">
        <v>443</v>
      </c>
      <c r="AB1183" s="575"/>
    </row>
    <row r="1184" spans="1:28" hidden="1">
      <c r="A1184" s="566" t="s">
        <v>1335</v>
      </c>
      <c r="B1184" s="566" t="s">
        <v>466</v>
      </c>
      <c r="C1184" s="566" t="s">
        <v>471</v>
      </c>
      <c r="D1184" s="566" t="s">
        <v>472</v>
      </c>
      <c r="E1184" s="566" t="s">
        <v>473</v>
      </c>
      <c r="F1184" s="566" t="s">
        <v>474</v>
      </c>
      <c r="G1184" s="567">
        <v>0</v>
      </c>
      <c r="H1184" s="566" t="s">
        <v>678</v>
      </c>
      <c r="I1184" s="568">
        <v>2</v>
      </c>
      <c r="J1184" s="569">
        <v>2</v>
      </c>
      <c r="K1184" s="569">
        <v>2</v>
      </c>
      <c r="L1184" s="566"/>
      <c r="M1184" s="566" t="s">
        <v>476</v>
      </c>
      <c r="N1184" s="570">
        <v>515</v>
      </c>
      <c r="O1184" s="566"/>
      <c r="P1184" s="566" t="s">
        <v>477</v>
      </c>
      <c r="Q1184" s="568">
        <v>909678</v>
      </c>
      <c r="R1184" s="568">
        <v>8</v>
      </c>
      <c r="S1184" s="566" t="s">
        <v>1410</v>
      </c>
      <c r="T1184" s="575" t="s">
        <v>1473</v>
      </c>
      <c r="U1184" s="575" t="s">
        <v>670</v>
      </c>
      <c r="V1184" s="575" t="s">
        <v>469</v>
      </c>
      <c r="W1184" s="576" t="s">
        <v>480</v>
      </c>
      <c r="X1184" s="575" t="s">
        <v>1380</v>
      </c>
      <c r="Y1184" s="575" t="s">
        <v>1338</v>
      </c>
      <c r="Z1184" s="576" t="s">
        <v>2199</v>
      </c>
      <c r="AA1184" s="577">
        <v>515</v>
      </c>
      <c r="AB1184" s="575"/>
    </row>
    <row r="1185" spans="1:28" hidden="1">
      <c r="A1185" s="566" t="s">
        <v>1335</v>
      </c>
      <c r="B1185" s="566" t="s">
        <v>466</v>
      </c>
      <c r="C1185" s="566" t="s">
        <v>487</v>
      </c>
      <c r="D1185" s="566" t="s">
        <v>472</v>
      </c>
      <c r="E1185" s="566" t="s">
        <v>473</v>
      </c>
      <c r="F1185" s="566" t="s">
        <v>489</v>
      </c>
      <c r="G1185" s="567">
        <v>50</v>
      </c>
      <c r="H1185" s="566" t="s">
        <v>687</v>
      </c>
      <c r="I1185" s="568">
        <v>2</v>
      </c>
      <c r="J1185" s="569">
        <v>2</v>
      </c>
      <c r="K1185" s="569">
        <v>2</v>
      </c>
      <c r="L1185" s="566"/>
      <c r="M1185" s="566" t="s">
        <v>476</v>
      </c>
      <c r="N1185" s="570">
        <v>695</v>
      </c>
      <c r="O1185" s="566"/>
      <c r="P1185" s="566" t="s">
        <v>477</v>
      </c>
      <c r="Q1185" s="568">
        <v>909678</v>
      </c>
      <c r="R1185" s="568">
        <v>11</v>
      </c>
      <c r="S1185" s="566" t="s">
        <v>1412</v>
      </c>
      <c r="T1185" s="575" t="s">
        <v>1473</v>
      </c>
      <c r="U1185" s="575" t="s">
        <v>670</v>
      </c>
      <c r="V1185" s="575" t="s">
        <v>469</v>
      </c>
      <c r="W1185" s="576" t="s">
        <v>499</v>
      </c>
      <c r="X1185" s="575" t="s">
        <v>1380</v>
      </c>
      <c r="Y1185" s="575" t="s">
        <v>1338</v>
      </c>
      <c r="Z1185" s="576" t="s">
        <v>2200</v>
      </c>
      <c r="AA1185" s="577">
        <v>695</v>
      </c>
      <c r="AB1185" s="575"/>
    </row>
    <row r="1186" spans="1:28" hidden="1">
      <c r="A1186" s="566" t="s">
        <v>1335</v>
      </c>
      <c r="B1186" s="566" t="s">
        <v>466</v>
      </c>
      <c r="C1186" s="566" t="s">
        <v>487</v>
      </c>
      <c r="D1186" s="566" t="s">
        <v>472</v>
      </c>
      <c r="E1186" s="566" t="s">
        <v>473</v>
      </c>
      <c r="F1186" s="566" t="s">
        <v>489</v>
      </c>
      <c r="G1186" s="567">
        <v>50</v>
      </c>
      <c r="H1186" s="566" t="s">
        <v>690</v>
      </c>
      <c r="I1186" s="568">
        <v>2</v>
      </c>
      <c r="J1186" s="569">
        <v>2</v>
      </c>
      <c r="K1186" s="569">
        <v>2</v>
      </c>
      <c r="L1186" s="566"/>
      <c r="M1186" s="566" t="s">
        <v>476</v>
      </c>
      <c r="N1186" s="570">
        <v>767</v>
      </c>
      <c r="O1186" s="566"/>
      <c r="P1186" s="566" t="s">
        <v>477</v>
      </c>
      <c r="Q1186" s="568">
        <v>909678</v>
      </c>
      <c r="R1186" s="568">
        <v>20</v>
      </c>
      <c r="S1186" s="566" t="s">
        <v>1414</v>
      </c>
      <c r="T1186" s="575" t="s">
        <v>1473</v>
      </c>
      <c r="U1186" s="575" t="s">
        <v>670</v>
      </c>
      <c r="V1186" s="575" t="s">
        <v>469</v>
      </c>
      <c r="W1186" s="576" t="s">
        <v>504</v>
      </c>
      <c r="X1186" s="575" t="s">
        <v>1380</v>
      </c>
      <c r="Y1186" s="575" t="s">
        <v>1338</v>
      </c>
      <c r="Z1186" s="576" t="s">
        <v>2201</v>
      </c>
      <c r="AA1186" s="577">
        <v>767</v>
      </c>
      <c r="AB1186" s="575"/>
    </row>
    <row r="1187" spans="1:28" hidden="1">
      <c r="A1187" s="566" t="s">
        <v>1335</v>
      </c>
      <c r="B1187" s="566" t="s">
        <v>466</v>
      </c>
      <c r="C1187" s="566" t="s">
        <v>471</v>
      </c>
      <c r="D1187" s="566" t="s">
        <v>472</v>
      </c>
      <c r="E1187" s="566" t="s">
        <v>473</v>
      </c>
      <c r="F1187" s="566" t="s">
        <v>474</v>
      </c>
      <c r="G1187" s="567">
        <v>0</v>
      </c>
      <c r="H1187" s="566" t="s">
        <v>677</v>
      </c>
      <c r="I1187" s="568">
        <v>2</v>
      </c>
      <c r="J1187" s="569">
        <v>54</v>
      </c>
      <c r="K1187" s="569">
        <v>54</v>
      </c>
      <c r="L1187" s="566"/>
      <c r="M1187" s="566" t="s">
        <v>476</v>
      </c>
      <c r="N1187" s="570">
        <v>1023</v>
      </c>
      <c r="O1187" s="566"/>
      <c r="P1187" s="566" t="s">
        <v>477</v>
      </c>
      <c r="Q1187" s="568">
        <v>909678</v>
      </c>
      <c r="R1187" s="568">
        <v>25</v>
      </c>
      <c r="S1187" s="566" t="s">
        <v>1336</v>
      </c>
      <c r="T1187" s="571" t="s">
        <v>467</v>
      </c>
      <c r="U1187" s="571" t="s">
        <v>670</v>
      </c>
      <c r="V1187" s="571" t="s">
        <v>517</v>
      </c>
      <c r="W1187" s="572" t="s">
        <v>1274</v>
      </c>
      <c r="X1187" s="571" t="s">
        <v>1337</v>
      </c>
      <c r="Y1187" s="571" t="s">
        <v>1338</v>
      </c>
      <c r="Z1187" s="566" t="s">
        <v>2202</v>
      </c>
      <c r="AA1187" s="573">
        <v>1023</v>
      </c>
      <c r="AB1187" s="571"/>
    </row>
    <row r="1188" spans="1:28" hidden="1">
      <c r="A1188" s="566" t="s">
        <v>1335</v>
      </c>
      <c r="B1188" s="566" t="s">
        <v>466</v>
      </c>
      <c r="C1188" s="566" t="s">
        <v>471</v>
      </c>
      <c r="D1188" s="566" t="s">
        <v>472</v>
      </c>
      <c r="E1188" s="566" t="s">
        <v>473</v>
      </c>
      <c r="F1188" s="566" t="s">
        <v>474</v>
      </c>
      <c r="G1188" s="567">
        <v>0</v>
      </c>
      <c r="H1188" s="566" t="s">
        <v>680</v>
      </c>
      <c r="I1188" s="568">
        <v>2</v>
      </c>
      <c r="J1188" s="569">
        <v>54</v>
      </c>
      <c r="K1188" s="569">
        <v>54</v>
      </c>
      <c r="L1188" s="566"/>
      <c r="M1188" s="566" t="s">
        <v>476</v>
      </c>
      <c r="N1188" s="570">
        <v>1059</v>
      </c>
      <c r="O1188" s="566"/>
      <c r="P1188" s="566" t="s">
        <v>477</v>
      </c>
      <c r="Q1188" s="568">
        <v>909678</v>
      </c>
      <c r="R1188" s="568">
        <v>26</v>
      </c>
      <c r="S1188" s="566" t="s">
        <v>1340</v>
      </c>
      <c r="T1188" s="571" t="s">
        <v>467</v>
      </c>
      <c r="U1188" s="571" t="s">
        <v>670</v>
      </c>
      <c r="V1188" s="571" t="s">
        <v>517</v>
      </c>
      <c r="W1188" s="572" t="s">
        <v>1275</v>
      </c>
      <c r="X1188" s="571" t="s">
        <v>1337</v>
      </c>
      <c r="Y1188" s="571" t="s">
        <v>1338</v>
      </c>
      <c r="Z1188" s="566" t="s">
        <v>2203</v>
      </c>
      <c r="AA1188" s="573">
        <v>1059</v>
      </c>
      <c r="AB1188" s="571"/>
    </row>
    <row r="1189" spans="1:28" hidden="1">
      <c r="A1189" s="566" t="s">
        <v>1335</v>
      </c>
      <c r="B1189" s="566" t="s">
        <v>466</v>
      </c>
      <c r="C1189" s="566" t="s">
        <v>487</v>
      </c>
      <c r="D1189" s="566" t="s">
        <v>472</v>
      </c>
      <c r="E1189" s="566" t="s">
        <v>473</v>
      </c>
      <c r="F1189" s="566" t="s">
        <v>489</v>
      </c>
      <c r="G1189" s="567">
        <v>50</v>
      </c>
      <c r="H1189" s="566" t="s">
        <v>682</v>
      </c>
      <c r="I1189" s="568">
        <v>2</v>
      </c>
      <c r="J1189" s="569">
        <v>54</v>
      </c>
      <c r="K1189" s="569">
        <v>54</v>
      </c>
      <c r="L1189" s="566"/>
      <c r="M1189" s="566" t="s">
        <v>476</v>
      </c>
      <c r="N1189" s="570">
        <v>1095</v>
      </c>
      <c r="O1189" s="566"/>
      <c r="P1189" s="566" t="s">
        <v>477</v>
      </c>
      <c r="Q1189" s="568">
        <v>909678</v>
      </c>
      <c r="R1189" s="568">
        <v>28</v>
      </c>
      <c r="S1189" s="566" t="s">
        <v>1342</v>
      </c>
      <c r="T1189" s="571" t="s">
        <v>467</v>
      </c>
      <c r="U1189" s="571" t="s">
        <v>670</v>
      </c>
      <c r="V1189" s="571" t="s">
        <v>517</v>
      </c>
      <c r="W1189" s="572" t="s">
        <v>485</v>
      </c>
      <c r="X1189" s="571" t="s">
        <v>1337</v>
      </c>
      <c r="Y1189" s="571" t="s">
        <v>1338</v>
      </c>
      <c r="Z1189" s="566" t="s">
        <v>2204</v>
      </c>
      <c r="AA1189" s="573">
        <v>1095</v>
      </c>
      <c r="AB1189" s="571"/>
    </row>
    <row r="1190" spans="1:28" hidden="1">
      <c r="A1190" s="566" t="s">
        <v>1335</v>
      </c>
      <c r="B1190" s="566" t="s">
        <v>466</v>
      </c>
      <c r="C1190" s="566" t="s">
        <v>487</v>
      </c>
      <c r="D1190" s="566" t="s">
        <v>472</v>
      </c>
      <c r="E1190" s="566" t="s">
        <v>473</v>
      </c>
      <c r="F1190" s="566" t="s">
        <v>489</v>
      </c>
      <c r="G1190" s="567">
        <v>50</v>
      </c>
      <c r="H1190" s="566" t="s">
        <v>684</v>
      </c>
      <c r="I1190" s="568">
        <v>2</v>
      </c>
      <c r="J1190" s="569">
        <v>54</v>
      </c>
      <c r="K1190" s="569">
        <v>54</v>
      </c>
      <c r="L1190" s="566"/>
      <c r="M1190" s="566" t="s">
        <v>476</v>
      </c>
      <c r="N1190" s="570">
        <v>1131</v>
      </c>
      <c r="O1190" s="566"/>
      <c r="P1190" s="566" t="s">
        <v>477</v>
      </c>
      <c r="Q1190" s="568">
        <v>909678</v>
      </c>
      <c r="R1190" s="568">
        <v>29</v>
      </c>
      <c r="S1190" s="566" t="s">
        <v>1344</v>
      </c>
      <c r="T1190" s="571" t="s">
        <v>467</v>
      </c>
      <c r="U1190" s="571" t="s">
        <v>670</v>
      </c>
      <c r="V1190" s="571" t="s">
        <v>517</v>
      </c>
      <c r="W1190" s="572" t="s">
        <v>491</v>
      </c>
      <c r="X1190" s="571" t="s">
        <v>1337</v>
      </c>
      <c r="Y1190" s="571" t="s">
        <v>1338</v>
      </c>
      <c r="Z1190" s="566" t="s">
        <v>2205</v>
      </c>
      <c r="AA1190" s="573">
        <v>1131</v>
      </c>
      <c r="AB1190" s="571"/>
    </row>
    <row r="1191" spans="1:28" hidden="1">
      <c r="A1191" s="566" t="s">
        <v>1335</v>
      </c>
      <c r="B1191" s="566" t="s">
        <v>466</v>
      </c>
      <c r="C1191" s="566" t="s">
        <v>487</v>
      </c>
      <c r="D1191" s="566" t="s">
        <v>472</v>
      </c>
      <c r="E1191" s="566" t="s">
        <v>473</v>
      </c>
      <c r="F1191" s="566" t="s">
        <v>489</v>
      </c>
      <c r="G1191" s="567">
        <v>50</v>
      </c>
      <c r="H1191" s="566" t="s">
        <v>686</v>
      </c>
      <c r="I1191" s="568">
        <v>2</v>
      </c>
      <c r="J1191" s="569">
        <v>54</v>
      </c>
      <c r="K1191" s="569">
        <v>54</v>
      </c>
      <c r="L1191" s="566"/>
      <c r="M1191" s="566" t="s">
        <v>476</v>
      </c>
      <c r="N1191" s="570">
        <v>1167</v>
      </c>
      <c r="O1191" s="566"/>
      <c r="P1191" s="566" t="s">
        <v>477</v>
      </c>
      <c r="Q1191" s="568">
        <v>909678</v>
      </c>
      <c r="R1191" s="568">
        <v>30</v>
      </c>
      <c r="S1191" s="566" t="s">
        <v>1346</v>
      </c>
      <c r="T1191" s="571" t="s">
        <v>467</v>
      </c>
      <c r="U1191" s="571" t="s">
        <v>670</v>
      </c>
      <c r="V1191" s="571" t="s">
        <v>517</v>
      </c>
      <c r="W1191" s="572" t="s">
        <v>495</v>
      </c>
      <c r="X1191" s="571" t="s">
        <v>1337</v>
      </c>
      <c r="Y1191" s="571" t="s">
        <v>1338</v>
      </c>
      <c r="Z1191" s="566" t="s">
        <v>2206</v>
      </c>
      <c r="AA1191" s="573">
        <v>1167</v>
      </c>
      <c r="AB1191" s="571"/>
    </row>
    <row r="1192" spans="1:28" hidden="1">
      <c r="A1192" s="566" t="s">
        <v>1335</v>
      </c>
      <c r="B1192" s="566" t="s">
        <v>466</v>
      </c>
      <c r="C1192" s="566" t="s">
        <v>487</v>
      </c>
      <c r="D1192" s="566" t="s">
        <v>472</v>
      </c>
      <c r="E1192" s="566" t="s">
        <v>473</v>
      </c>
      <c r="F1192" s="566" t="s">
        <v>489</v>
      </c>
      <c r="G1192" s="567">
        <v>50</v>
      </c>
      <c r="H1192" s="566" t="s">
        <v>689</v>
      </c>
      <c r="I1192" s="568">
        <v>2</v>
      </c>
      <c r="J1192" s="569">
        <v>54</v>
      </c>
      <c r="K1192" s="569">
        <v>54</v>
      </c>
      <c r="L1192" s="566"/>
      <c r="M1192" s="566" t="s">
        <v>476</v>
      </c>
      <c r="N1192" s="570">
        <v>1203</v>
      </c>
      <c r="O1192" s="566"/>
      <c r="P1192" s="566" t="s">
        <v>477</v>
      </c>
      <c r="Q1192" s="568">
        <v>909678</v>
      </c>
      <c r="R1192" s="568">
        <v>31</v>
      </c>
      <c r="S1192" s="566" t="s">
        <v>1348</v>
      </c>
      <c r="T1192" s="571" t="s">
        <v>467</v>
      </c>
      <c r="U1192" s="571" t="s">
        <v>670</v>
      </c>
      <c r="V1192" s="571" t="s">
        <v>517</v>
      </c>
      <c r="W1192" s="572" t="s">
        <v>1276</v>
      </c>
      <c r="X1192" s="571" t="s">
        <v>1337</v>
      </c>
      <c r="Y1192" s="571" t="s">
        <v>1338</v>
      </c>
      <c r="Z1192" s="566" t="s">
        <v>2207</v>
      </c>
      <c r="AA1192" s="573">
        <v>1203</v>
      </c>
      <c r="AB1192" s="571"/>
    </row>
    <row r="1193" spans="1:28" hidden="1">
      <c r="A1193" s="566" t="s">
        <v>1335</v>
      </c>
      <c r="B1193" s="566" t="s">
        <v>466</v>
      </c>
      <c r="C1193" s="566" t="s">
        <v>487</v>
      </c>
      <c r="D1193" s="566" t="s">
        <v>472</v>
      </c>
      <c r="E1193" s="566" t="s">
        <v>473</v>
      </c>
      <c r="F1193" s="566" t="s">
        <v>489</v>
      </c>
      <c r="G1193" s="567">
        <v>50</v>
      </c>
      <c r="H1193" s="566" t="s">
        <v>692</v>
      </c>
      <c r="I1193" s="568">
        <v>2</v>
      </c>
      <c r="J1193" s="569">
        <v>54</v>
      </c>
      <c r="K1193" s="569">
        <v>54</v>
      </c>
      <c r="L1193" s="566"/>
      <c r="M1193" s="566" t="s">
        <v>476</v>
      </c>
      <c r="N1193" s="570">
        <v>1239</v>
      </c>
      <c r="O1193" s="566"/>
      <c r="P1193" s="566" t="s">
        <v>477</v>
      </c>
      <c r="Q1193" s="568">
        <v>909678</v>
      </c>
      <c r="R1193" s="568">
        <v>32</v>
      </c>
      <c r="S1193" s="566" t="s">
        <v>1350</v>
      </c>
      <c r="T1193" s="571" t="s">
        <v>467</v>
      </c>
      <c r="U1193" s="571" t="s">
        <v>670</v>
      </c>
      <c r="V1193" s="571" t="s">
        <v>517</v>
      </c>
      <c r="W1193" s="572" t="s">
        <v>1277</v>
      </c>
      <c r="X1193" s="571" t="s">
        <v>1337</v>
      </c>
      <c r="Y1193" s="571" t="s">
        <v>1338</v>
      </c>
      <c r="Z1193" s="566" t="s">
        <v>2208</v>
      </c>
      <c r="AA1193" s="573">
        <v>1239</v>
      </c>
      <c r="AB1193" s="571"/>
    </row>
    <row r="1194" spans="1:28" hidden="1">
      <c r="A1194" s="566" t="s">
        <v>1335</v>
      </c>
      <c r="B1194" s="566" t="s">
        <v>466</v>
      </c>
      <c r="C1194" s="566" t="s">
        <v>471</v>
      </c>
      <c r="D1194" s="566" t="s">
        <v>472</v>
      </c>
      <c r="E1194" s="566" t="s">
        <v>473</v>
      </c>
      <c r="F1194" s="566" t="s">
        <v>474</v>
      </c>
      <c r="G1194" s="567">
        <v>0</v>
      </c>
      <c r="H1194" s="566" t="s">
        <v>2117</v>
      </c>
      <c r="I1194" s="568">
        <v>2</v>
      </c>
      <c r="J1194" s="569">
        <v>54</v>
      </c>
      <c r="K1194" s="569">
        <v>54</v>
      </c>
      <c r="L1194" s="566"/>
      <c r="M1194" s="566" t="s">
        <v>476</v>
      </c>
      <c r="N1194" s="570">
        <v>1275</v>
      </c>
      <c r="O1194" s="566"/>
      <c r="P1194" s="566" t="s">
        <v>477</v>
      </c>
      <c r="Q1194" s="568">
        <v>909678</v>
      </c>
      <c r="R1194" s="568">
        <v>27</v>
      </c>
      <c r="S1194" s="566" t="s">
        <v>1353</v>
      </c>
      <c r="T1194" s="571" t="s">
        <v>467</v>
      </c>
      <c r="U1194" s="571" t="s">
        <v>670</v>
      </c>
      <c r="V1194" s="571" t="s">
        <v>517</v>
      </c>
      <c r="W1194" s="572" t="s">
        <v>1354</v>
      </c>
      <c r="X1194" s="571" t="s">
        <v>1337</v>
      </c>
      <c r="Y1194" s="571" t="s">
        <v>1338</v>
      </c>
      <c r="Z1194" s="566" t="s">
        <v>2209</v>
      </c>
      <c r="AA1194" s="573">
        <v>1275</v>
      </c>
      <c r="AB1194" s="571"/>
    </row>
    <row r="1195" spans="1:28" hidden="1">
      <c r="A1195" s="566" t="s">
        <v>1335</v>
      </c>
      <c r="B1195" s="566" t="s">
        <v>466</v>
      </c>
      <c r="C1195" s="566" t="s">
        <v>487</v>
      </c>
      <c r="D1195" s="566" t="s">
        <v>472</v>
      </c>
      <c r="E1195" s="566" t="s">
        <v>473</v>
      </c>
      <c r="F1195" s="566" t="s">
        <v>489</v>
      </c>
      <c r="G1195" s="567">
        <v>50</v>
      </c>
      <c r="H1195" s="566" t="s">
        <v>2119</v>
      </c>
      <c r="I1195" s="568">
        <v>2</v>
      </c>
      <c r="J1195" s="569">
        <v>54</v>
      </c>
      <c r="K1195" s="569">
        <v>54</v>
      </c>
      <c r="L1195" s="566"/>
      <c r="M1195" s="566" t="s">
        <v>476</v>
      </c>
      <c r="N1195" s="570">
        <v>1311</v>
      </c>
      <c r="O1195" s="566"/>
      <c r="P1195" s="566" t="s">
        <v>477</v>
      </c>
      <c r="Q1195" s="568">
        <v>909678</v>
      </c>
      <c r="R1195" s="568">
        <v>33</v>
      </c>
      <c r="S1195" s="566" t="s">
        <v>1357</v>
      </c>
      <c r="T1195" s="571" t="s">
        <v>467</v>
      </c>
      <c r="U1195" s="571" t="s">
        <v>670</v>
      </c>
      <c r="V1195" s="571" t="s">
        <v>517</v>
      </c>
      <c r="W1195" s="572" t="s">
        <v>1358</v>
      </c>
      <c r="X1195" s="571" t="s">
        <v>1337</v>
      </c>
      <c r="Y1195" s="571" t="s">
        <v>1338</v>
      </c>
      <c r="Z1195" s="566" t="s">
        <v>2210</v>
      </c>
      <c r="AA1195" s="573">
        <v>1311</v>
      </c>
      <c r="AB1195" s="571"/>
    </row>
    <row r="1196" spans="1:28" hidden="1">
      <c r="A1196" s="566" t="s">
        <v>1335</v>
      </c>
      <c r="B1196" s="566" t="s">
        <v>466</v>
      </c>
      <c r="C1196" s="566" t="s">
        <v>471</v>
      </c>
      <c r="D1196" s="566" t="s">
        <v>472</v>
      </c>
      <c r="E1196" s="566" t="s">
        <v>473</v>
      </c>
      <c r="F1196" s="566" t="s">
        <v>474</v>
      </c>
      <c r="G1196" s="567">
        <v>0</v>
      </c>
      <c r="H1196" s="566" t="s">
        <v>704</v>
      </c>
      <c r="I1196" s="568">
        <v>2</v>
      </c>
      <c r="J1196" s="569">
        <v>54</v>
      </c>
      <c r="K1196" s="569">
        <v>54</v>
      </c>
      <c r="L1196" s="566"/>
      <c r="M1196" s="566" t="s">
        <v>476</v>
      </c>
      <c r="N1196" s="570">
        <v>915</v>
      </c>
      <c r="O1196" s="566"/>
      <c r="P1196" s="566" t="s">
        <v>477</v>
      </c>
      <c r="Q1196" s="568">
        <v>909678</v>
      </c>
      <c r="R1196" s="568">
        <v>22</v>
      </c>
      <c r="S1196" s="566" t="s">
        <v>1360</v>
      </c>
      <c r="T1196" s="571" t="s">
        <v>467</v>
      </c>
      <c r="U1196" s="571" t="s">
        <v>670</v>
      </c>
      <c r="V1196" s="571" t="s">
        <v>517</v>
      </c>
      <c r="W1196" s="572" t="s">
        <v>509</v>
      </c>
      <c r="X1196" s="571" t="s">
        <v>1337</v>
      </c>
      <c r="Y1196" s="571" t="s">
        <v>1338</v>
      </c>
      <c r="Z1196" s="566" t="s">
        <v>2211</v>
      </c>
      <c r="AA1196" s="573">
        <v>915</v>
      </c>
      <c r="AB1196" s="571"/>
    </row>
    <row r="1197" spans="1:28" hidden="1">
      <c r="A1197" s="566" t="s">
        <v>1335</v>
      </c>
      <c r="B1197" s="566" t="s">
        <v>466</v>
      </c>
      <c r="C1197" s="566" t="s">
        <v>471</v>
      </c>
      <c r="D1197" s="566" t="s">
        <v>472</v>
      </c>
      <c r="E1197" s="566" t="s">
        <v>473</v>
      </c>
      <c r="F1197" s="566" t="s">
        <v>474</v>
      </c>
      <c r="G1197" s="567">
        <v>0</v>
      </c>
      <c r="H1197" s="566" t="s">
        <v>706</v>
      </c>
      <c r="I1197" s="568">
        <v>2</v>
      </c>
      <c r="J1197" s="569">
        <v>54</v>
      </c>
      <c r="K1197" s="569">
        <v>54</v>
      </c>
      <c r="L1197" s="566"/>
      <c r="M1197" s="566" t="s">
        <v>476</v>
      </c>
      <c r="N1197" s="570">
        <v>951</v>
      </c>
      <c r="O1197" s="566"/>
      <c r="P1197" s="566" t="s">
        <v>477</v>
      </c>
      <c r="Q1197" s="568">
        <v>909678</v>
      </c>
      <c r="R1197" s="568">
        <v>23</v>
      </c>
      <c r="S1197" s="566" t="s">
        <v>1362</v>
      </c>
      <c r="T1197" s="571" t="s">
        <v>467</v>
      </c>
      <c r="U1197" s="571" t="s">
        <v>670</v>
      </c>
      <c r="V1197" s="571" t="s">
        <v>517</v>
      </c>
      <c r="W1197" s="572" t="s">
        <v>512</v>
      </c>
      <c r="X1197" s="571" t="s">
        <v>1337</v>
      </c>
      <c r="Y1197" s="571" t="s">
        <v>1338</v>
      </c>
      <c r="Z1197" s="566" t="s">
        <v>2212</v>
      </c>
      <c r="AA1197" s="573">
        <v>951</v>
      </c>
      <c r="AB1197" s="571"/>
    </row>
    <row r="1198" spans="1:28" hidden="1">
      <c r="A1198" s="566" t="s">
        <v>1335</v>
      </c>
      <c r="B1198" s="566" t="s">
        <v>466</v>
      </c>
      <c r="C1198" s="566" t="s">
        <v>471</v>
      </c>
      <c r="D1198" s="566" t="s">
        <v>472</v>
      </c>
      <c r="E1198" s="566" t="s">
        <v>473</v>
      </c>
      <c r="F1198" s="566" t="s">
        <v>474</v>
      </c>
      <c r="G1198" s="567">
        <v>0</v>
      </c>
      <c r="H1198" s="566" t="s">
        <v>708</v>
      </c>
      <c r="I1198" s="568">
        <v>2</v>
      </c>
      <c r="J1198" s="569">
        <v>54</v>
      </c>
      <c r="K1198" s="569">
        <v>54</v>
      </c>
      <c r="L1198" s="566"/>
      <c r="M1198" s="566" t="s">
        <v>476</v>
      </c>
      <c r="N1198" s="570">
        <v>987</v>
      </c>
      <c r="O1198" s="566"/>
      <c r="P1198" s="566" t="s">
        <v>477</v>
      </c>
      <c r="Q1198" s="568">
        <v>909678</v>
      </c>
      <c r="R1198" s="568">
        <v>24</v>
      </c>
      <c r="S1198" s="566" t="s">
        <v>1364</v>
      </c>
      <c r="T1198" s="571" t="s">
        <v>467</v>
      </c>
      <c r="U1198" s="571" t="s">
        <v>670</v>
      </c>
      <c r="V1198" s="571" t="s">
        <v>517</v>
      </c>
      <c r="W1198" s="572" t="s">
        <v>514</v>
      </c>
      <c r="X1198" s="571" t="s">
        <v>1337</v>
      </c>
      <c r="Y1198" s="571" t="s">
        <v>1338</v>
      </c>
      <c r="Z1198" s="566" t="s">
        <v>2213</v>
      </c>
      <c r="AA1198" s="573">
        <v>987</v>
      </c>
      <c r="AB1198" s="571"/>
    </row>
    <row r="1199" spans="1:28" hidden="1">
      <c r="A1199" s="566" t="s">
        <v>1335</v>
      </c>
      <c r="B1199" s="566" t="s">
        <v>466</v>
      </c>
      <c r="C1199" s="566" t="s">
        <v>471</v>
      </c>
      <c r="D1199" s="566" t="s">
        <v>472</v>
      </c>
      <c r="E1199" s="566" t="s">
        <v>473</v>
      </c>
      <c r="F1199" s="566" t="s">
        <v>474</v>
      </c>
      <c r="G1199" s="567">
        <v>0</v>
      </c>
      <c r="H1199" s="566" t="s">
        <v>677</v>
      </c>
      <c r="I1199" s="568">
        <v>2</v>
      </c>
      <c r="J1199" s="569">
        <v>78</v>
      </c>
      <c r="K1199" s="569">
        <v>78</v>
      </c>
      <c r="L1199" s="566"/>
      <c r="M1199" s="566" t="s">
        <v>476</v>
      </c>
      <c r="N1199" s="570">
        <v>1563</v>
      </c>
      <c r="O1199" s="566"/>
      <c r="P1199" s="566" t="s">
        <v>477</v>
      </c>
      <c r="Q1199" s="568">
        <v>909678</v>
      </c>
      <c r="R1199" s="568">
        <v>40</v>
      </c>
      <c r="S1199" s="566" t="s">
        <v>1366</v>
      </c>
      <c r="T1199" s="571" t="s">
        <v>467</v>
      </c>
      <c r="U1199" s="571" t="s">
        <v>670</v>
      </c>
      <c r="V1199" s="571" t="s">
        <v>517</v>
      </c>
      <c r="W1199" s="572" t="s">
        <v>1274</v>
      </c>
      <c r="X1199" s="571" t="s">
        <v>1337</v>
      </c>
      <c r="Y1199" s="571" t="s">
        <v>1367</v>
      </c>
      <c r="Z1199" s="566" t="s">
        <v>2214</v>
      </c>
      <c r="AA1199" s="573">
        <v>1563</v>
      </c>
      <c r="AB1199" s="571"/>
    </row>
    <row r="1200" spans="1:28" hidden="1">
      <c r="A1200" s="566" t="s">
        <v>1335</v>
      </c>
      <c r="B1200" s="566" t="s">
        <v>466</v>
      </c>
      <c r="C1200" s="566" t="s">
        <v>471</v>
      </c>
      <c r="D1200" s="566" t="s">
        <v>472</v>
      </c>
      <c r="E1200" s="566" t="s">
        <v>473</v>
      </c>
      <c r="F1200" s="566" t="s">
        <v>474</v>
      </c>
      <c r="G1200" s="567">
        <v>0</v>
      </c>
      <c r="H1200" s="566" t="s">
        <v>680</v>
      </c>
      <c r="I1200" s="568">
        <v>2</v>
      </c>
      <c r="J1200" s="569">
        <v>78</v>
      </c>
      <c r="K1200" s="569">
        <v>78</v>
      </c>
      <c r="L1200" s="566"/>
      <c r="M1200" s="566" t="s">
        <v>476</v>
      </c>
      <c r="N1200" s="570">
        <v>1599</v>
      </c>
      <c r="O1200" s="566"/>
      <c r="P1200" s="566" t="s">
        <v>477</v>
      </c>
      <c r="Q1200" s="568">
        <v>909678</v>
      </c>
      <c r="R1200" s="568">
        <v>41</v>
      </c>
      <c r="S1200" s="566" t="s">
        <v>1369</v>
      </c>
      <c r="T1200" s="571" t="s">
        <v>467</v>
      </c>
      <c r="U1200" s="571" t="s">
        <v>670</v>
      </c>
      <c r="V1200" s="571" t="s">
        <v>517</v>
      </c>
      <c r="W1200" s="572" t="s">
        <v>1275</v>
      </c>
      <c r="X1200" s="571" t="s">
        <v>1337</v>
      </c>
      <c r="Y1200" s="571" t="s">
        <v>1367</v>
      </c>
      <c r="Z1200" s="566" t="s">
        <v>2215</v>
      </c>
      <c r="AA1200" s="573">
        <v>1599</v>
      </c>
      <c r="AB1200" s="571"/>
    </row>
    <row r="1201" spans="1:28" hidden="1">
      <c r="A1201" s="566" t="s">
        <v>1335</v>
      </c>
      <c r="B1201" s="566" t="s">
        <v>466</v>
      </c>
      <c r="C1201" s="566" t="s">
        <v>487</v>
      </c>
      <c r="D1201" s="566" t="s">
        <v>472</v>
      </c>
      <c r="E1201" s="566" t="s">
        <v>473</v>
      </c>
      <c r="F1201" s="566" t="s">
        <v>489</v>
      </c>
      <c r="G1201" s="567">
        <v>50</v>
      </c>
      <c r="H1201" s="566" t="s">
        <v>689</v>
      </c>
      <c r="I1201" s="568">
        <v>2</v>
      </c>
      <c r="J1201" s="569">
        <v>78</v>
      </c>
      <c r="K1201" s="569">
        <v>78</v>
      </c>
      <c r="L1201" s="566"/>
      <c r="M1201" s="566" t="s">
        <v>476</v>
      </c>
      <c r="N1201" s="570">
        <v>1635</v>
      </c>
      <c r="O1201" s="566"/>
      <c r="P1201" s="566" t="s">
        <v>477</v>
      </c>
      <c r="Q1201" s="568">
        <v>909678</v>
      </c>
      <c r="R1201" s="568">
        <v>43</v>
      </c>
      <c r="S1201" s="566" t="s">
        <v>1371</v>
      </c>
      <c r="T1201" s="571" t="s">
        <v>467</v>
      </c>
      <c r="U1201" s="571" t="s">
        <v>670</v>
      </c>
      <c r="V1201" s="571" t="s">
        <v>517</v>
      </c>
      <c r="W1201" s="572" t="s">
        <v>1276</v>
      </c>
      <c r="X1201" s="571" t="s">
        <v>1337</v>
      </c>
      <c r="Y1201" s="571" t="s">
        <v>1367</v>
      </c>
      <c r="Z1201" s="566" t="s">
        <v>2216</v>
      </c>
      <c r="AA1201" s="573">
        <v>1635</v>
      </c>
      <c r="AB1201" s="571"/>
    </row>
    <row r="1202" spans="1:28" hidden="1">
      <c r="A1202" s="566" t="s">
        <v>1335</v>
      </c>
      <c r="B1202" s="566" t="s">
        <v>466</v>
      </c>
      <c r="C1202" s="566" t="s">
        <v>487</v>
      </c>
      <c r="D1202" s="566" t="s">
        <v>472</v>
      </c>
      <c r="E1202" s="566" t="s">
        <v>473</v>
      </c>
      <c r="F1202" s="566" t="s">
        <v>489</v>
      </c>
      <c r="G1202" s="567">
        <v>50</v>
      </c>
      <c r="H1202" s="566" t="s">
        <v>692</v>
      </c>
      <c r="I1202" s="568">
        <v>2</v>
      </c>
      <c r="J1202" s="569">
        <v>78</v>
      </c>
      <c r="K1202" s="569">
        <v>78</v>
      </c>
      <c r="L1202" s="566"/>
      <c r="M1202" s="566" t="s">
        <v>476</v>
      </c>
      <c r="N1202" s="570">
        <v>1671</v>
      </c>
      <c r="O1202" s="566"/>
      <c r="P1202" s="566" t="s">
        <v>477</v>
      </c>
      <c r="Q1202" s="568">
        <v>909678</v>
      </c>
      <c r="R1202" s="568">
        <v>44</v>
      </c>
      <c r="S1202" s="566" t="s">
        <v>1373</v>
      </c>
      <c r="T1202" s="571" t="s">
        <v>467</v>
      </c>
      <c r="U1202" s="571" t="s">
        <v>670</v>
      </c>
      <c r="V1202" s="571" t="s">
        <v>517</v>
      </c>
      <c r="W1202" s="572" t="s">
        <v>1277</v>
      </c>
      <c r="X1202" s="571" t="s">
        <v>1337</v>
      </c>
      <c r="Y1202" s="571" t="s">
        <v>1367</v>
      </c>
      <c r="Z1202" s="566" t="s">
        <v>2217</v>
      </c>
      <c r="AA1202" s="573">
        <v>1671</v>
      </c>
      <c r="AB1202" s="571"/>
    </row>
    <row r="1203" spans="1:28" hidden="1">
      <c r="A1203" s="566" t="s">
        <v>1335</v>
      </c>
      <c r="B1203" s="566" t="s">
        <v>466</v>
      </c>
      <c r="C1203" s="566" t="s">
        <v>471</v>
      </c>
      <c r="D1203" s="566" t="s">
        <v>472</v>
      </c>
      <c r="E1203" s="566" t="s">
        <v>473</v>
      </c>
      <c r="F1203" s="566" t="s">
        <v>474</v>
      </c>
      <c r="G1203" s="567">
        <v>0</v>
      </c>
      <c r="H1203" s="566" t="s">
        <v>2117</v>
      </c>
      <c r="I1203" s="568">
        <v>2</v>
      </c>
      <c r="J1203" s="569">
        <v>78</v>
      </c>
      <c r="K1203" s="569">
        <v>78</v>
      </c>
      <c r="L1203" s="566"/>
      <c r="M1203" s="566" t="s">
        <v>476</v>
      </c>
      <c r="N1203" s="570">
        <v>1707</v>
      </c>
      <c r="O1203" s="566"/>
      <c r="P1203" s="566" t="s">
        <v>477</v>
      </c>
      <c r="Q1203" s="568">
        <v>909678</v>
      </c>
      <c r="R1203" s="568">
        <v>42</v>
      </c>
      <c r="S1203" s="566" t="s">
        <v>1375</v>
      </c>
      <c r="T1203" s="571" t="s">
        <v>467</v>
      </c>
      <c r="U1203" s="571" t="s">
        <v>670</v>
      </c>
      <c r="V1203" s="571" t="s">
        <v>517</v>
      </c>
      <c r="W1203" s="572" t="s">
        <v>1354</v>
      </c>
      <c r="X1203" s="571" t="s">
        <v>1337</v>
      </c>
      <c r="Y1203" s="571" t="s">
        <v>1367</v>
      </c>
      <c r="Z1203" s="566" t="s">
        <v>2218</v>
      </c>
      <c r="AA1203" s="573">
        <v>1707</v>
      </c>
      <c r="AB1203" s="571"/>
    </row>
    <row r="1204" spans="1:28" hidden="1">
      <c r="A1204" s="566" t="s">
        <v>1335</v>
      </c>
      <c r="B1204" s="566" t="s">
        <v>466</v>
      </c>
      <c r="C1204" s="566" t="s">
        <v>487</v>
      </c>
      <c r="D1204" s="566" t="s">
        <v>472</v>
      </c>
      <c r="E1204" s="566" t="s">
        <v>473</v>
      </c>
      <c r="F1204" s="566" t="s">
        <v>489</v>
      </c>
      <c r="G1204" s="567">
        <v>50</v>
      </c>
      <c r="H1204" s="566" t="s">
        <v>2119</v>
      </c>
      <c r="I1204" s="568">
        <v>2</v>
      </c>
      <c r="J1204" s="569">
        <v>78</v>
      </c>
      <c r="K1204" s="569">
        <v>78</v>
      </c>
      <c r="L1204" s="566"/>
      <c r="M1204" s="566" t="s">
        <v>476</v>
      </c>
      <c r="N1204" s="570">
        <v>1743</v>
      </c>
      <c r="O1204" s="566"/>
      <c r="P1204" s="566" t="s">
        <v>477</v>
      </c>
      <c r="Q1204" s="568">
        <v>909678</v>
      </c>
      <c r="R1204" s="568">
        <v>45</v>
      </c>
      <c r="S1204" s="566" t="s">
        <v>1377</v>
      </c>
      <c r="T1204" s="571" t="s">
        <v>467</v>
      </c>
      <c r="U1204" s="571" t="s">
        <v>670</v>
      </c>
      <c r="V1204" s="571" t="s">
        <v>517</v>
      </c>
      <c r="W1204" s="572" t="s">
        <v>1358</v>
      </c>
      <c r="X1204" s="571" t="s">
        <v>1337</v>
      </c>
      <c r="Y1204" s="571" t="s">
        <v>1367</v>
      </c>
      <c r="Z1204" s="566" t="s">
        <v>2219</v>
      </c>
      <c r="AA1204" s="573">
        <v>1743</v>
      </c>
      <c r="AB1204" s="571"/>
    </row>
    <row r="1205" spans="1:28" hidden="1">
      <c r="A1205" s="566" t="s">
        <v>1335</v>
      </c>
      <c r="B1205" s="566" t="s">
        <v>466</v>
      </c>
      <c r="C1205" s="566" t="s">
        <v>553</v>
      </c>
      <c r="D1205" s="566" t="s">
        <v>472</v>
      </c>
      <c r="E1205" s="566" t="s">
        <v>473</v>
      </c>
      <c r="F1205" s="566" t="s">
        <v>554</v>
      </c>
      <c r="G1205" s="567">
        <v>13</v>
      </c>
      <c r="H1205" s="566" t="s">
        <v>710</v>
      </c>
      <c r="I1205" s="568">
        <v>2</v>
      </c>
      <c r="J1205" s="569">
        <v>22</v>
      </c>
      <c r="K1205" s="569">
        <v>22</v>
      </c>
      <c r="L1205" s="569">
        <v>17</v>
      </c>
      <c r="M1205" s="566" t="s">
        <v>476</v>
      </c>
      <c r="N1205" s="570">
        <v>168</v>
      </c>
      <c r="O1205" s="566"/>
      <c r="P1205" s="566" t="s">
        <v>477</v>
      </c>
      <c r="Q1205" s="568">
        <v>909678</v>
      </c>
      <c r="R1205" s="568">
        <v>9</v>
      </c>
      <c r="S1205" s="566" t="s">
        <v>1379</v>
      </c>
      <c r="T1205" s="571" t="s">
        <v>467</v>
      </c>
      <c r="U1205" s="571" t="s">
        <v>670</v>
      </c>
      <c r="V1205" s="571" t="s">
        <v>517</v>
      </c>
      <c r="W1205" s="572" t="s">
        <v>551</v>
      </c>
      <c r="X1205" s="571" t="s">
        <v>1380</v>
      </c>
      <c r="Y1205" s="571" t="s">
        <v>1338</v>
      </c>
      <c r="Z1205" s="566" t="s">
        <v>709</v>
      </c>
      <c r="AA1205" s="573">
        <v>168</v>
      </c>
      <c r="AB1205" s="571">
        <v>260067</v>
      </c>
    </row>
    <row r="1206" spans="1:28" hidden="1">
      <c r="A1206" s="566" t="s">
        <v>1335</v>
      </c>
      <c r="B1206" s="566" t="s">
        <v>466</v>
      </c>
      <c r="C1206" s="566" t="s">
        <v>553</v>
      </c>
      <c r="D1206" s="566" t="s">
        <v>472</v>
      </c>
      <c r="E1206" s="566" t="s">
        <v>473</v>
      </c>
      <c r="F1206" s="566" t="s">
        <v>554</v>
      </c>
      <c r="G1206" s="567">
        <v>16</v>
      </c>
      <c r="H1206" s="566" t="s">
        <v>712</v>
      </c>
      <c r="I1206" s="568">
        <v>2</v>
      </c>
      <c r="J1206" s="569">
        <v>22</v>
      </c>
      <c r="K1206" s="569">
        <v>22</v>
      </c>
      <c r="L1206" s="569">
        <v>17</v>
      </c>
      <c r="M1206" s="566" t="s">
        <v>476</v>
      </c>
      <c r="N1206" s="570">
        <v>312</v>
      </c>
      <c r="O1206" s="566"/>
      <c r="P1206" s="566" t="s">
        <v>477</v>
      </c>
      <c r="Q1206" s="568">
        <v>909678</v>
      </c>
      <c r="R1206" s="568">
        <v>4</v>
      </c>
      <c r="S1206" s="566" t="s">
        <v>1381</v>
      </c>
      <c r="T1206" s="571" t="s">
        <v>467</v>
      </c>
      <c r="U1206" s="571" t="s">
        <v>670</v>
      </c>
      <c r="V1206" s="571" t="s">
        <v>517</v>
      </c>
      <c r="W1206" s="572" t="s">
        <v>556</v>
      </c>
      <c r="X1206" s="571" t="s">
        <v>1380</v>
      </c>
      <c r="Y1206" s="571" t="s">
        <v>1338</v>
      </c>
      <c r="Z1206" s="566" t="s">
        <v>711</v>
      </c>
      <c r="AA1206" s="573">
        <v>312</v>
      </c>
      <c r="AB1206" s="571">
        <v>260211</v>
      </c>
    </row>
    <row r="1207" spans="1:28" hidden="1">
      <c r="A1207" s="566" t="s">
        <v>1335</v>
      </c>
      <c r="B1207" s="566" t="s">
        <v>466</v>
      </c>
      <c r="C1207" s="566" t="s">
        <v>471</v>
      </c>
      <c r="D1207" s="566" t="s">
        <v>472</v>
      </c>
      <c r="E1207" s="566" t="s">
        <v>473</v>
      </c>
      <c r="F1207" s="566" t="s">
        <v>474</v>
      </c>
      <c r="G1207" s="567">
        <v>0</v>
      </c>
      <c r="H1207" s="566" t="s">
        <v>677</v>
      </c>
      <c r="I1207" s="568">
        <v>2</v>
      </c>
      <c r="J1207" s="569">
        <v>6</v>
      </c>
      <c r="K1207" s="569">
        <v>6</v>
      </c>
      <c r="L1207" s="566"/>
      <c r="M1207" s="566" t="s">
        <v>476</v>
      </c>
      <c r="N1207" s="570">
        <v>483</v>
      </c>
      <c r="O1207" s="566"/>
      <c r="P1207" s="566" t="s">
        <v>477</v>
      </c>
      <c r="Q1207" s="568">
        <v>909678</v>
      </c>
      <c r="R1207" s="568">
        <v>10</v>
      </c>
      <c r="S1207" s="566" t="s">
        <v>1382</v>
      </c>
      <c r="T1207" s="571" t="s">
        <v>467</v>
      </c>
      <c r="U1207" s="571" t="s">
        <v>670</v>
      </c>
      <c r="V1207" s="571" t="s">
        <v>517</v>
      </c>
      <c r="W1207" s="572" t="s">
        <v>1274</v>
      </c>
      <c r="X1207" s="571" t="s">
        <v>1380</v>
      </c>
      <c r="Y1207" s="571" t="s">
        <v>1338</v>
      </c>
      <c r="Z1207" s="566" t="s">
        <v>713</v>
      </c>
      <c r="AA1207" s="573">
        <v>483</v>
      </c>
      <c r="AB1207" s="571"/>
    </row>
    <row r="1208" spans="1:28" hidden="1">
      <c r="A1208" s="566" t="s">
        <v>1335</v>
      </c>
      <c r="B1208" s="566" t="s">
        <v>466</v>
      </c>
      <c r="C1208" s="566" t="s">
        <v>471</v>
      </c>
      <c r="D1208" s="566" t="s">
        <v>472</v>
      </c>
      <c r="E1208" s="566" t="s">
        <v>473</v>
      </c>
      <c r="F1208" s="566" t="s">
        <v>474</v>
      </c>
      <c r="G1208" s="567">
        <v>0</v>
      </c>
      <c r="H1208" s="566" t="s">
        <v>680</v>
      </c>
      <c r="I1208" s="568">
        <v>2</v>
      </c>
      <c r="J1208" s="569">
        <v>6</v>
      </c>
      <c r="K1208" s="569">
        <v>6</v>
      </c>
      <c r="L1208" s="566"/>
      <c r="M1208" s="566" t="s">
        <v>476</v>
      </c>
      <c r="N1208" s="570">
        <v>555</v>
      </c>
      <c r="O1208" s="566"/>
      <c r="P1208" s="566" t="s">
        <v>477</v>
      </c>
      <c r="Q1208" s="568">
        <v>909678</v>
      </c>
      <c r="R1208" s="568">
        <v>15</v>
      </c>
      <c r="S1208" s="566" t="s">
        <v>483</v>
      </c>
      <c r="T1208" s="571" t="s">
        <v>467</v>
      </c>
      <c r="U1208" s="571" t="s">
        <v>670</v>
      </c>
      <c r="V1208" s="571" t="s">
        <v>517</v>
      </c>
      <c r="W1208" s="572" t="s">
        <v>1275</v>
      </c>
      <c r="X1208" s="571" t="s">
        <v>1380</v>
      </c>
      <c r="Y1208" s="571" t="s">
        <v>1338</v>
      </c>
      <c r="Z1208" s="566" t="s">
        <v>714</v>
      </c>
      <c r="AA1208" s="573">
        <v>555</v>
      </c>
      <c r="AB1208" s="571"/>
    </row>
    <row r="1209" spans="1:28" hidden="1">
      <c r="A1209" s="566" t="s">
        <v>1335</v>
      </c>
      <c r="B1209" s="566" t="s">
        <v>466</v>
      </c>
      <c r="C1209" s="566" t="s">
        <v>487</v>
      </c>
      <c r="D1209" s="566" t="s">
        <v>472</v>
      </c>
      <c r="E1209" s="566" t="s">
        <v>473</v>
      </c>
      <c r="F1209" s="566" t="s">
        <v>489</v>
      </c>
      <c r="G1209" s="567">
        <v>50</v>
      </c>
      <c r="H1209" s="566" t="s">
        <v>682</v>
      </c>
      <c r="I1209" s="568">
        <v>2</v>
      </c>
      <c r="J1209" s="569">
        <v>6</v>
      </c>
      <c r="K1209" s="569">
        <v>6</v>
      </c>
      <c r="L1209" s="566"/>
      <c r="M1209" s="566" t="s">
        <v>476</v>
      </c>
      <c r="N1209" s="570">
        <v>591</v>
      </c>
      <c r="O1209" s="566"/>
      <c r="P1209" s="566" t="s">
        <v>477</v>
      </c>
      <c r="Q1209" s="568">
        <v>909678</v>
      </c>
      <c r="R1209" s="568">
        <v>16</v>
      </c>
      <c r="S1209" s="566" t="s">
        <v>488</v>
      </c>
      <c r="T1209" s="571" t="s">
        <v>467</v>
      </c>
      <c r="U1209" s="571" t="s">
        <v>670</v>
      </c>
      <c r="V1209" s="571" t="s">
        <v>517</v>
      </c>
      <c r="W1209" s="572" t="s">
        <v>485</v>
      </c>
      <c r="X1209" s="571" t="s">
        <v>1380</v>
      </c>
      <c r="Y1209" s="571" t="s">
        <v>1338</v>
      </c>
      <c r="Z1209" s="566" t="s">
        <v>715</v>
      </c>
      <c r="AA1209" s="573">
        <v>591</v>
      </c>
      <c r="AB1209" s="571"/>
    </row>
    <row r="1210" spans="1:28" hidden="1">
      <c r="A1210" s="566" t="s">
        <v>1335</v>
      </c>
      <c r="B1210" s="566" t="s">
        <v>466</v>
      </c>
      <c r="C1210" s="566" t="s">
        <v>487</v>
      </c>
      <c r="D1210" s="566" t="s">
        <v>472</v>
      </c>
      <c r="E1210" s="566" t="s">
        <v>473</v>
      </c>
      <c r="F1210" s="566" t="s">
        <v>489</v>
      </c>
      <c r="G1210" s="567">
        <v>50</v>
      </c>
      <c r="H1210" s="566" t="s">
        <v>684</v>
      </c>
      <c r="I1210" s="568">
        <v>2</v>
      </c>
      <c r="J1210" s="569">
        <v>6</v>
      </c>
      <c r="K1210" s="569">
        <v>6</v>
      </c>
      <c r="L1210" s="566"/>
      <c r="M1210" s="566" t="s">
        <v>476</v>
      </c>
      <c r="N1210" s="570">
        <v>627</v>
      </c>
      <c r="O1210" s="566"/>
      <c r="P1210" s="566" t="s">
        <v>477</v>
      </c>
      <c r="Q1210" s="568">
        <v>909678</v>
      </c>
      <c r="R1210" s="568">
        <v>17</v>
      </c>
      <c r="S1210" s="566" t="s">
        <v>493</v>
      </c>
      <c r="T1210" s="571" t="s">
        <v>467</v>
      </c>
      <c r="U1210" s="571" t="s">
        <v>670</v>
      </c>
      <c r="V1210" s="571" t="s">
        <v>517</v>
      </c>
      <c r="W1210" s="572" t="s">
        <v>491</v>
      </c>
      <c r="X1210" s="571" t="s">
        <v>1380</v>
      </c>
      <c r="Y1210" s="571" t="s">
        <v>1338</v>
      </c>
      <c r="Z1210" s="566" t="s">
        <v>716</v>
      </c>
      <c r="AA1210" s="573">
        <v>627</v>
      </c>
      <c r="AB1210" s="571"/>
    </row>
    <row r="1211" spans="1:28" hidden="1">
      <c r="A1211" s="566" t="s">
        <v>1335</v>
      </c>
      <c r="B1211" s="566" t="s">
        <v>466</v>
      </c>
      <c r="C1211" s="566" t="s">
        <v>487</v>
      </c>
      <c r="D1211" s="566" t="s">
        <v>472</v>
      </c>
      <c r="E1211" s="566" t="s">
        <v>473</v>
      </c>
      <c r="F1211" s="566" t="s">
        <v>489</v>
      </c>
      <c r="G1211" s="567">
        <v>50</v>
      </c>
      <c r="H1211" s="566" t="s">
        <v>686</v>
      </c>
      <c r="I1211" s="568">
        <v>2</v>
      </c>
      <c r="J1211" s="569">
        <v>6</v>
      </c>
      <c r="K1211" s="569">
        <v>6</v>
      </c>
      <c r="L1211" s="566"/>
      <c r="M1211" s="566" t="s">
        <v>476</v>
      </c>
      <c r="N1211" s="570">
        <v>663</v>
      </c>
      <c r="O1211" s="566"/>
      <c r="P1211" s="566" t="s">
        <v>477</v>
      </c>
      <c r="Q1211" s="568">
        <v>909678</v>
      </c>
      <c r="R1211" s="568">
        <v>18</v>
      </c>
      <c r="S1211" s="566" t="s">
        <v>497</v>
      </c>
      <c r="T1211" s="571" t="s">
        <v>467</v>
      </c>
      <c r="U1211" s="571" t="s">
        <v>670</v>
      </c>
      <c r="V1211" s="571" t="s">
        <v>517</v>
      </c>
      <c r="W1211" s="572" t="s">
        <v>495</v>
      </c>
      <c r="X1211" s="571" t="s">
        <v>1380</v>
      </c>
      <c r="Y1211" s="571" t="s">
        <v>1338</v>
      </c>
      <c r="Z1211" s="566" t="s">
        <v>717</v>
      </c>
      <c r="AA1211" s="573">
        <v>663</v>
      </c>
      <c r="AB1211" s="571"/>
    </row>
    <row r="1212" spans="1:28" hidden="1">
      <c r="A1212" s="566" t="s">
        <v>1335</v>
      </c>
      <c r="B1212" s="566" t="s">
        <v>466</v>
      </c>
      <c r="C1212" s="566" t="s">
        <v>487</v>
      </c>
      <c r="D1212" s="566" t="s">
        <v>472</v>
      </c>
      <c r="E1212" s="566" t="s">
        <v>473</v>
      </c>
      <c r="F1212" s="566" t="s">
        <v>489</v>
      </c>
      <c r="G1212" s="567">
        <v>50</v>
      </c>
      <c r="H1212" s="566" t="s">
        <v>689</v>
      </c>
      <c r="I1212" s="568">
        <v>2</v>
      </c>
      <c r="J1212" s="569">
        <v>6</v>
      </c>
      <c r="K1212" s="569">
        <v>6</v>
      </c>
      <c r="L1212" s="566"/>
      <c r="M1212" s="566" t="s">
        <v>476</v>
      </c>
      <c r="N1212" s="570">
        <v>735</v>
      </c>
      <c r="O1212" s="566"/>
      <c r="P1212" s="566" t="s">
        <v>477</v>
      </c>
      <c r="Q1212" s="568">
        <v>909678</v>
      </c>
      <c r="R1212" s="568">
        <v>19</v>
      </c>
      <c r="S1212" s="566" t="s">
        <v>502</v>
      </c>
      <c r="T1212" s="571" t="s">
        <v>467</v>
      </c>
      <c r="U1212" s="571" t="s">
        <v>670</v>
      </c>
      <c r="V1212" s="571" t="s">
        <v>517</v>
      </c>
      <c r="W1212" s="572" t="s">
        <v>1276</v>
      </c>
      <c r="X1212" s="571" t="s">
        <v>1380</v>
      </c>
      <c r="Y1212" s="571" t="s">
        <v>1338</v>
      </c>
      <c r="Z1212" s="566" t="s">
        <v>718</v>
      </c>
      <c r="AA1212" s="573">
        <v>735</v>
      </c>
      <c r="AB1212" s="571"/>
    </row>
    <row r="1213" spans="1:28" hidden="1">
      <c r="A1213" s="566" t="s">
        <v>1335</v>
      </c>
      <c r="B1213" s="566" t="s">
        <v>466</v>
      </c>
      <c r="C1213" s="566" t="s">
        <v>487</v>
      </c>
      <c r="D1213" s="566" t="s">
        <v>472</v>
      </c>
      <c r="E1213" s="566" t="s">
        <v>473</v>
      </c>
      <c r="F1213" s="566" t="s">
        <v>489</v>
      </c>
      <c r="G1213" s="567">
        <v>50</v>
      </c>
      <c r="H1213" s="566" t="s">
        <v>692</v>
      </c>
      <c r="I1213" s="568">
        <v>2</v>
      </c>
      <c r="J1213" s="569">
        <v>6</v>
      </c>
      <c r="K1213" s="569">
        <v>6</v>
      </c>
      <c r="L1213" s="566"/>
      <c r="M1213" s="566" t="s">
        <v>476</v>
      </c>
      <c r="N1213" s="570">
        <v>807</v>
      </c>
      <c r="O1213" s="566"/>
      <c r="P1213" s="566" t="s">
        <v>477</v>
      </c>
      <c r="Q1213" s="568">
        <v>909678</v>
      </c>
      <c r="R1213" s="568">
        <v>21</v>
      </c>
      <c r="S1213" s="566" t="s">
        <v>507</v>
      </c>
      <c r="T1213" s="571" t="s">
        <v>467</v>
      </c>
      <c r="U1213" s="571" t="s">
        <v>670</v>
      </c>
      <c r="V1213" s="571" t="s">
        <v>517</v>
      </c>
      <c r="W1213" s="572" t="s">
        <v>1277</v>
      </c>
      <c r="X1213" s="571" t="s">
        <v>1380</v>
      </c>
      <c r="Y1213" s="571" t="s">
        <v>1338</v>
      </c>
      <c r="Z1213" s="566" t="s">
        <v>719</v>
      </c>
      <c r="AA1213" s="573">
        <v>807</v>
      </c>
      <c r="AB1213" s="571"/>
    </row>
    <row r="1214" spans="1:28" hidden="1">
      <c r="A1214" s="566" t="s">
        <v>1335</v>
      </c>
      <c r="B1214" s="566" t="s">
        <v>466</v>
      </c>
      <c r="C1214" s="566" t="s">
        <v>471</v>
      </c>
      <c r="D1214" s="566" t="s">
        <v>472</v>
      </c>
      <c r="E1214" s="566" t="s">
        <v>473</v>
      </c>
      <c r="F1214" s="566" t="s">
        <v>474</v>
      </c>
      <c r="G1214" s="567">
        <v>0</v>
      </c>
      <c r="H1214" s="566" t="s">
        <v>2117</v>
      </c>
      <c r="I1214" s="568">
        <v>2</v>
      </c>
      <c r="J1214" s="569">
        <v>6</v>
      </c>
      <c r="K1214" s="569">
        <v>6</v>
      </c>
      <c r="L1214" s="566"/>
      <c r="M1214" s="566" t="s">
        <v>476</v>
      </c>
      <c r="N1214" s="570">
        <v>843</v>
      </c>
      <c r="O1214" s="566"/>
      <c r="P1214" s="566" t="s">
        <v>477</v>
      </c>
      <c r="Q1214" s="568">
        <v>909678</v>
      </c>
      <c r="R1214" s="568">
        <v>46</v>
      </c>
      <c r="S1214" s="566" t="s">
        <v>1383</v>
      </c>
      <c r="T1214" s="571" t="s">
        <v>467</v>
      </c>
      <c r="U1214" s="571" t="s">
        <v>670</v>
      </c>
      <c r="V1214" s="571" t="s">
        <v>517</v>
      </c>
      <c r="W1214" s="572" t="s">
        <v>1354</v>
      </c>
      <c r="X1214" s="571" t="s">
        <v>1380</v>
      </c>
      <c r="Y1214" s="571" t="s">
        <v>1338</v>
      </c>
      <c r="Z1214" s="566" t="s">
        <v>2220</v>
      </c>
      <c r="AA1214" s="573">
        <v>843</v>
      </c>
      <c r="AB1214" s="571"/>
    </row>
    <row r="1215" spans="1:28" hidden="1">
      <c r="A1215" s="566" t="s">
        <v>1335</v>
      </c>
      <c r="B1215" s="566" t="s">
        <v>466</v>
      </c>
      <c r="C1215" s="566" t="s">
        <v>487</v>
      </c>
      <c r="D1215" s="566" t="s">
        <v>472</v>
      </c>
      <c r="E1215" s="566" t="s">
        <v>473</v>
      </c>
      <c r="F1215" s="566" t="s">
        <v>489</v>
      </c>
      <c r="G1215" s="567">
        <v>50</v>
      </c>
      <c r="H1215" s="566" t="s">
        <v>2119</v>
      </c>
      <c r="I1215" s="568">
        <v>2</v>
      </c>
      <c r="J1215" s="569">
        <v>6</v>
      </c>
      <c r="K1215" s="569">
        <v>6</v>
      </c>
      <c r="L1215" s="566"/>
      <c r="M1215" s="566" t="s">
        <v>476</v>
      </c>
      <c r="N1215" s="570">
        <v>879</v>
      </c>
      <c r="O1215" s="566"/>
      <c r="P1215" s="566" t="s">
        <v>477</v>
      </c>
      <c r="Q1215" s="568">
        <v>909678</v>
      </c>
      <c r="R1215" s="568">
        <v>47</v>
      </c>
      <c r="S1215" s="566" t="s">
        <v>1385</v>
      </c>
      <c r="T1215" s="571" t="s">
        <v>467</v>
      </c>
      <c r="U1215" s="571" t="s">
        <v>670</v>
      </c>
      <c r="V1215" s="571" t="s">
        <v>517</v>
      </c>
      <c r="W1215" s="572" t="s">
        <v>1358</v>
      </c>
      <c r="X1215" s="571" t="s">
        <v>1380</v>
      </c>
      <c r="Y1215" s="571" t="s">
        <v>1338</v>
      </c>
      <c r="Z1215" s="566" t="s">
        <v>2221</v>
      </c>
      <c r="AA1215" s="573">
        <v>879</v>
      </c>
      <c r="AB1215" s="571"/>
    </row>
    <row r="1216" spans="1:28" hidden="1">
      <c r="A1216" s="566" t="s">
        <v>1335</v>
      </c>
      <c r="B1216" s="566" t="s">
        <v>466</v>
      </c>
      <c r="C1216" s="566" t="s">
        <v>553</v>
      </c>
      <c r="D1216" s="566" t="s">
        <v>472</v>
      </c>
      <c r="E1216" s="566" t="s">
        <v>473</v>
      </c>
      <c r="F1216" s="566" t="s">
        <v>554</v>
      </c>
      <c r="G1216" s="567">
        <v>13</v>
      </c>
      <c r="H1216" s="566" t="s">
        <v>721</v>
      </c>
      <c r="I1216" s="568">
        <v>2</v>
      </c>
      <c r="J1216" s="569">
        <v>22</v>
      </c>
      <c r="K1216" s="569">
        <v>22</v>
      </c>
      <c r="L1216" s="569">
        <v>17</v>
      </c>
      <c r="M1216" s="566" t="s">
        <v>476</v>
      </c>
      <c r="N1216" s="570">
        <v>192</v>
      </c>
      <c r="O1216" s="566"/>
      <c r="P1216" s="566" t="s">
        <v>477</v>
      </c>
      <c r="Q1216" s="568">
        <v>909678</v>
      </c>
      <c r="R1216" s="568">
        <v>1</v>
      </c>
      <c r="S1216" s="566" t="s">
        <v>1387</v>
      </c>
      <c r="T1216" s="571" t="s">
        <v>467</v>
      </c>
      <c r="U1216" s="571" t="s">
        <v>670</v>
      </c>
      <c r="V1216" s="571" t="s">
        <v>517</v>
      </c>
      <c r="W1216" s="572" t="s">
        <v>577</v>
      </c>
      <c r="X1216" s="571" t="s">
        <v>1380</v>
      </c>
      <c r="Y1216" s="571" t="s">
        <v>1338</v>
      </c>
      <c r="Z1216" s="566" t="s">
        <v>720</v>
      </c>
      <c r="AA1216" s="573">
        <v>192</v>
      </c>
      <c r="AB1216" s="571">
        <v>260091</v>
      </c>
    </row>
    <row r="1217" spans="1:28" hidden="1">
      <c r="A1217" s="566" t="s">
        <v>1335</v>
      </c>
      <c r="B1217" s="566" t="s">
        <v>466</v>
      </c>
      <c r="C1217" s="566" t="s">
        <v>553</v>
      </c>
      <c r="D1217" s="566" t="s">
        <v>472</v>
      </c>
      <c r="E1217" s="566" t="s">
        <v>473</v>
      </c>
      <c r="F1217" s="566" t="s">
        <v>554</v>
      </c>
      <c r="G1217" s="567">
        <v>13</v>
      </c>
      <c r="H1217" s="566" t="s">
        <v>723</v>
      </c>
      <c r="I1217" s="568">
        <v>2</v>
      </c>
      <c r="J1217" s="569">
        <v>22</v>
      </c>
      <c r="K1217" s="569">
        <v>22</v>
      </c>
      <c r="L1217" s="569">
        <v>17</v>
      </c>
      <c r="M1217" s="566" t="s">
        <v>476</v>
      </c>
      <c r="N1217" s="570">
        <v>216</v>
      </c>
      <c r="O1217" s="566"/>
      <c r="P1217" s="566" t="s">
        <v>477</v>
      </c>
      <c r="Q1217" s="568">
        <v>909678</v>
      </c>
      <c r="R1217" s="568">
        <v>2</v>
      </c>
      <c r="S1217" s="566" t="s">
        <v>1388</v>
      </c>
      <c r="T1217" s="571" t="s">
        <v>467</v>
      </c>
      <c r="U1217" s="571" t="s">
        <v>670</v>
      </c>
      <c r="V1217" s="571" t="s">
        <v>517</v>
      </c>
      <c r="W1217" s="572" t="s">
        <v>580</v>
      </c>
      <c r="X1217" s="571" t="s">
        <v>1380</v>
      </c>
      <c r="Y1217" s="571" t="s">
        <v>1338</v>
      </c>
      <c r="Z1217" s="566" t="s">
        <v>722</v>
      </c>
      <c r="AA1217" s="573">
        <v>216</v>
      </c>
      <c r="AB1217" s="571">
        <v>260115</v>
      </c>
    </row>
    <row r="1218" spans="1:28" hidden="1">
      <c r="A1218" s="566" t="s">
        <v>1335</v>
      </c>
      <c r="B1218" s="566" t="s">
        <v>466</v>
      </c>
      <c r="C1218" s="566" t="s">
        <v>553</v>
      </c>
      <c r="D1218" s="566" t="s">
        <v>472</v>
      </c>
      <c r="E1218" s="566" t="s">
        <v>473</v>
      </c>
      <c r="F1218" s="566" t="s">
        <v>554</v>
      </c>
      <c r="G1218" s="567">
        <v>16</v>
      </c>
      <c r="H1218" s="566" t="s">
        <v>725</v>
      </c>
      <c r="I1218" s="568">
        <v>2</v>
      </c>
      <c r="J1218" s="569">
        <v>22</v>
      </c>
      <c r="K1218" s="569">
        <v>22</v>
      </c>
      <c r="L1218" s="569">
        <v>17</v>
      </c>
      <c r="M1218" s="566" t="s">
        <v>476</v>
      </c>
      <c r="N1218" s="570">
        <v>240</v>
      </c>
      <c r="O1218" s="566"/>
      <c r="P1218" s="566" t="s">
        <v>477</v>
      </c>
      <c r="Q1218" s="568">
        <v>909678</v>
      </c>
      <c r="R1218" s="568">
        <v>12</v>
      </c>
      <c r="S1218" s="566" t="s">
        <v>1389</v>
      </c>
      <c r="T1218" s="571" t="s">
        <v>467</v>
      </c>
      <c r="U1218" s="571" t="s">
        <v>670</v>
      </c>
      <c r="V1218" s="571" t="s">
        <v>517</v>
      </c>
      <c r="W1218" s="572" t="s">
        <v>583</v>
      </c>
      <c r="X1218" s="571" t="s">
        <v>1380</v>
      </c>
      <c r="Y1218" s="571" t="s">
        <v>1338</v>
      </c>
      <c r="Z1218" s="566" t="s">
        <v>724</v>
      </c>
      <c r="AA1218" s="573">
        <v>240</v>
      </c>
      <c r="AB1218" s="571">
        <v>260139</v>
      </c>
    </row>
    <row r="1219" spans="1:28" hidden="1">
      <c r="A1219" s="566" t="s">
        <v>1335</v>
      </c>
      <c r="B1219" s="566" t="s">
        <v>466</v>
      </c>
      <c r="C1219" s="566" t="s">
        <v>553</v>
      </c>
      <c r="D1219" s="566" t="s">
        <v>472</v>
      </c>
      <c r="E1219" s="566" t="s">
        <v>473</v>
      </c>
      <c r="F1219" s="566" t="s">
        <v>554</v>
      </c>
      <c r="G1219" s="567">
        <v>16</v>
      </c>
      <c r="H1219" s="566" t="s">
        <v>727</v>
      </c>
      <c r="I1219" s="568">
        <v>2</v>
      </c>
      <c r="J1219" s="569">
        <v>22</v>
      </c>
      <c r="K1219" s="569">
        <v>22</v>
      </c>
      <c r="L1219" s="569">
        <v>17</v>
      </c>
      <c r="M1219" s="566" t="s">
        <v>476</v>
      </c>
      <c r="N1219" s="570">
        <v>264</v>
      </c>
      <c r="O1219" s="566"/>
      <c r="P1219" s="566" t="s">
        <v>477</v>
      </c>
      <c r="Q1219" s="568">
        <v>909678</v>
      </c>
      <c r="R1219" s="568">
        <v>3</v>
      </c>
      <c r="S1219" s="566" t="s">
        <v>1390</v>
      </c>
      <c r="T1219" s="571" t="s">
        <v>467</v>
      </c>
      <c r="U1219" s="571" t="s">
        <v>670</v>
      </c>
      <c r="V1219" s="571" t="s">
        <v>517</v>
      </c>
      <c r="W1219" s="572" t="s">
        <v>586</v>
      </c>
      <c r="X1219" s="571" t="s">
        <v>1380</v>
      </c>
      <c r="Y1219" s="571" t="s">
        <v>1338</v>
      </c>
      <c r="Z1219" s="566" t="s">
        <v>726</v>
      </c>
      <c r="AA1219" s="573">
        <v>264</v>
      </c>
      <c r="AB1219" s="571">
        <v>260163</v>
      </c>
    </row>
    <row r="1220" spans="1:28" hidden="1">
      <c r="A1220" s="566" t="s">
        <v>1335</v>
      </c>
      <c r="B1220" s="566" t="s">
        <v>466</v>
      </c>
      <c r="C1220" s="566" t="s">
        <v>553</v>
      </c>
      <c r="D1220" s="566" t="s">
        <v>472</v>
      </c>
      <c r="E1220" s="566" t="s">
        <v>473</v>
      </c>
      <c r="F1220" s="566" t="s">
        <v>554</v>
      </c>
      <c r="G1220" s="567">
        <v>16</v>
      </c>
      <c r="H1220" s="566" t="s">
        <v>729</v>
      </c>
      <c r="I1220" s="568">
        <v>2</v>
      </c>
      <c r="J1220" s="569">
        <v>22</v>
      </c>
      <c r="K1220" s="569">
        <v>22</v>
      </c>
      <c r="L1220" s="569">
        <v>17</v>
      </c>
      <c r="M1220" s="566" t="s">
        <v>476</v>
      </c>
      <c r="N1220" s="570">
        <v>288</v>
      </c>
      <c r="O1220" s="566"/>
      <c r="P1220" s="566" t="s">
        <v>477</v>
      </c>
      <c r="Q1220" s="568">
        <v>909678</v>
      </c>
      <c r="R1220" s="568">
        <v>13</v>
      </c>
      <c r="S1220" s="566" t="s">
        <v>1391</v>
      </c>
      <c r="T1220" s="571" t="s">
        <v>467</v>
      </c>
      <c r="U1220" s="571" t="s">
        <v>670</v>
      </c>
      <c r="V1220" s="571" t="s">
        <v>517</v>
      </c>
      <c r="W1220" s="572" t="s">
        <v>589</v>
      </c>
      <c r="X1220" s="571" t="s">
        <v>1380</v>
      </c>
      <c r="Y1220" s="571" t="s">
        <v>1338</v>
      </c>
      <c r="Z1220" s="566" t="s">
        <v>728</v>
      </c>
      <c r="AA1220" s="573">
        <v>288</v>
      </c>
      <c r="AB1220" s="571">
        <v>260187</v>
      </c>
    </row>
    <row r="1221" spans="1:28" hidden="1">
      <c r="A1221" s="566" t="s">
        <v>1335</v>
      </c>
      <c r="B1221" s="566" t="s">
        <v>466</v>
      </c>
      <c r="C1221" s="566" t="s">
        <v>471</v>
      </c>
      <c r="D1221" s="566" t="s">
        <v>472</v>
      </c>
      <c r="E1221" s="566" t="s">
        <v>473</v>
      </c>
      <c r="F1221" s="566" t="s">
        <v>474</v>
      </c>
      <c r="G1221" s="567">
        <v>0</v>
      </c>
      <c r="H1221" s="566" t="s">
        <v>704</v>
      </c>
      <c r="I1221" s="568">
        <v>2</v>
      </c>
      <c r="J1221" s="569">
        <v>6</v>
      </c>
      <c r="K1221" s="569">
        <v>6</v>
      </c>
      <c r="L1221" s="566"/>
      <c r="M1221" s="566" t="s">
        <v>476</v>
      </c>
      <c r="N1221" s="570">
        <v>339</v>
      </c>
      <c r="O1221" s="566"/>
      <c r="P1221" s="566" t="s">
        <v>477</v>
      </c>
      <c r="Q1221" s="568">
        <v>909678</v>
      </c>
      <c r="R1221" s="568">
        <v>5</v>
      </c>
      <c r="S1221" s="566" t="s">
        <v>1392</v>
      </c>
      <c r="T1221" s="571" t="s">
        <v>467</v>
      </c>
      <c r="U1221" s="571" t="s">
        <v>670</v>
      </c>
      <c r="V1221" s="571" t="s">
        <v>517</v>
      </c>
      <c r="W1221" s="572" t="s">
        <v>509</v>
      </c>
      <c r="X1221" s="571" t="s">
        <v>1380</v>
      </c>
      <c r="Y1221" s="571" t="s">
        <v>1338</v>
      </c>
      <c r="Z1221" s="566" t="s">
        <v>730</v>
      </c>
      <c r="AA1221" s="573">
        <v>339</v>
      </c>
      <c r="AB1221" s="571"/>
    </row>
    <row r="1222" spans="1:28" hidden="1">
      <c r="A1222" s="566" t="s">
        <v>1335</v>
      </c>
      <c r="B1222" s="566" t="s">
        <v>466</v>
      </c>
      <c r="C1222" s="566" t="s">
        <v>471</v>
      </c>
      <c r="D1222" s="566" t="s">
        <v>472</v>
      </c>
      <c r="E1222" s="566" t="s">
        <v>473</v>
      </c>
      <c r="F1222" s="566" t="s">
        <v>474</v>
      </c>
      <c r="G1222" s="567">
        <v>0</v>
      </c>
      <c r="H1222" s="566" t="s">
        <v>706</v>
      </c>
      <c r="I1222" s="568">
        <v>2</v>
      </c>
      <c r="J1222" s="569">
        <v>6</v>
      </c>
      <c r="K1222" s="569">
        <v>6</v>
      </c>
      <c r="L1222" s="566"/>
      <c r="M1222" s="566" t="s">
        <v>476</v>
      </c>
      <c r="N1222" s="570">
        <v>375</v>
      </c>
      <c r="O1222" s="566"/>
      <c r="P1222" s="566" t="s">
        <v>477</v>
      </c>
      <c r="Q1222" s="568">
        <v>909678</v>
      </c>
      <c r="R1222" s="568">
        <v>6</v>
      </c>
      <c r="S1222" s="566" t="s">
        <v>1393</v>
      </c>
      <c r="T1222" s="571" t="s">
        <v>467</v>
      </c>
      <c r="U1222" s="571" t="s">
        <v>670</v>
      </c>
      <c r="V1222" s="571" t="s">
        <v>517</v>
      </c>
      <c r="W1222" s="572" t="s">
        <v>512</v>
      </c>
      <c r="X1222" s="571" t="s">
        <v>1380</v>
      </c>
      <c r="Y1222" s="571" t="s">
        <v>1338</v>
      </c>
      <c r="Z1222" s="566" t="s">
        <v>731</v>
      </c>
      <c r="AA1222" s="573">
        <v>375</v>
      </c>
      <c r="AB1222" s="571"/>
    </row>
    <row r="1223" spans="1:28" hidden="1">
      <c r="A1223" s="566" t="s">
        <v>1335</v>
      </c>
      <c r="B1223" s="566" t="s">
        <v>466</v>
      </c>
      <c r="C1223" s="566" t="s">
        <v>471</v>
      </c>
      <c r="D1223" s="566" t="s">
        <v>472</v>
      </c>
      <c r="E1223" s="566" t="s">
        <v>473</v>
      </c>
      <c r="F1223" s="566" t="s">
        <v>474</v>
      </c>
      <c r="G1223" s="567">
        <v>0</v>
      </c>
      <c r="H1223" s="566" t="s">
        <v>708</v>
      </c>
      <c r="I1223" s="568">
        <v>2</v>
      </c>
      <c r="J1223" s="569">
        <v>6</v>
      </c>
      <c r="K1223" s="569">
        <v>6</v>
      </c>
      <c r="L1223" s="566"/>
      <c r="M1223" s="566" t="s">
        <v>476</v>
      </c>
      <c r="N1223" s="570">
        <v>411</v>
      </c>
      <c r="O1223" s="566"/>
      <c r="P1223" s="566" t="s">
        <v>477</v>
      </c>
      <c r="Q1223" s="568">
        <v>909678</v>
      </c>
      <c r="R1223" s="568">
        <v>14</v>
      </c>
      <c r="S1223" s="566" t="s">
        <v>1394</v>
      </c>
      <c r="T1223" s="571" t="s">
        <v>467</v>
      </c>
      <c r="U1223" s="571" t="s">
        <v>670</v>
      </c>
      <c r="V1223" s="571" t="s">
        <v>517</v>
      </c>
      <c r="W1223" s="572" t="s">
        <v>514</v>
      </c>
      <c r="X1223" s="571" t="s">
        <v>1380</v>
      </c>
      <c r="Y1223" s="571" t="s">
        <v>1338</v>
      </c>
      <c r="Z1223" s="566" t="s">
        <v>732</v>
      </c>
      <c r="AA1223" s="573">
        <v>411</v>
      </c>
      <c r="AB1223" s="571"/>
    </row>
    <row r="1224" spans="1:28" hidden="1">
      <c r="A1224" s="566" t="s">
        <v>1335</v>
      </c>
      <c r="B1224" s="566" t="s">
        <v>466</v>
      </c>
      <c r="C1224" s="566" t="s">
        <v>471</v>
      </c>
      <c r="D1224" s="566" t="s">
        <v>472</v>
      </c>
      <c r="E1224" s="566" t="s">
        <v>473</v>
      </c>
      <c r="F1224" s="566" t="s">
        <v>474</v>
      </c>
      <c r="G1224" s="567">
        <v>0</v>
      </c>
      <c r="H1224" s="566" t="s">
        <v>677</v>
      </c>
      <c r="I1224" s="568">
        <v>2</v>
      </c>
      <c r="J1224" s="569">
        <v>30</v>
      </c>
      <c r="K1224" s="569">
        <v>30</v>
      </c>
      <c r="L1224" s="566"/>
      <c r="M1224" s="566" t="s">
        <v>476</v>
      </c>
      <c r="N1224" s="570">
        <v>1347</v>
      </c>
      <c r="O1224" s="566"/>
      <c r="P1224" s="566" t="s">
        <v>477</v>
      </c>
      <c r="Q1224" s="568">
        <v>909678</v>
      </c>
      <c r="R1224" s="568">
        <v>34</v>
      </c>
      <c r="S1224" s="566" t="s">
        <v>1395</v>
      </c>
      <c r="T1224" s="571" t="s">
        <v>467</v>
      </c>
      <c r="U1224" s="571" t="s">
        <v>670</v>
      </c>
      <c r="V1224" s="571" t="s">
        <v>517</v>
      </c>
      <c r="W1224" s="572" t="s">
        <v>1274</v>
      </c>
      <c r="X1224" s="571" t="s">
        <v>1380</v>
      </c>
      <c r="Y1224" s="571" t="s">
        <v>1367</v>
      </c>
      <c r="Z1224" s="566" t="s">
        <v>2222</v>
      </c>
      <c r="AA1224" s="573">
        <v>1347</v>
      </c>
      <c r="AB1224" s="571"/>
    </row>
    <row r="1225" spans="1:28" hidden="1">
      <c r="A1225" s="566" t="s">
        <v>1335</v>
      </c>
      <c r="B1225" s="566" t="s">
        <v>466</v>
      </c>
      <c r="C1225" s="566" t="s">
        <v>471</v>
      </c>
      <c r="D1225" s="566" t="s">
        <v>472</v>
      </c>
      <c r="E1225" s="566" t="s">
        <v>473</v>
      </c>
      <c r="F1225" s="566" t="s">
        <v>474</v>
      </c>
      <c r="G1225" s="567">
        <v>0</v>
      </c>
      <c r="H1225" s="566" t="s">
        <v>680</v>
      </c>
      <c r="I1225" s="568">
        <v>2</v>
      </c>
      <c r="J1225" s="569">
        <v>30</v>
      </c>
      <c r="K1225" s="569">
        <v>30</v>
      </c>
      <c r="L1225" s="566"/>
      <c r="M1225" s="566" t="s">
        <v>476</v>
      </c>
      <c r="N1225" s="570">
        <v>1383</v>
      </c>
      <c r="O1225" s="566"/>
      <c r="P1225" s="566" t="s">
        <v>477</v>
      </c>
      <c r="Q1225" s="568">
        <v>909678</v>
      </c>
      <c r="R1225" s="568">
        <v>35</v>
      </c>
      <c r="S1225" s="566" t="s">
        <v>1397</v>
      </c>
      <c r="T1225" s="571" t="s">
        <v>467</v>
      </c>
      <c r="U1225" s="571" t="s">
        <v>670</v>
      </c>
      <c r="V1225" s="571" t="s">
        <v>517</v>
      </c>
      <c r="W1225" s="572" t="s">
        <v>1275</v>
      </c>
      <c r="X1225" s="571" t="s">
        <v>1380</v>
      </c>
      <c r="Y1225" s="571" t="s">
        <v>1367</v>
      </c>
      <c r="Z1225" s="566" t="s">
        <v>2223</v>
      </c>
      <c r="AA1225" s="573">
        <v>1383</v>
      </c>
      <c r="AB1225" s="571"/>
    </row>
    <row r="1226" spans="1:28" hidden="1">
      <c r="A1226" s="566" t="s">
        <v>1335</v>
      </c>
      <c r="B1226" s="566" t="s">
        <v>466</v>
      </c>
      <c r="C1226" s="566" t="s">
        <v>487</v>
      </c>
      <c r="D1226" s="566" t="s">
        <v>472</v>
      </c>
      <c r="E1226" s="566" t="s">
        <v>473</v>
      </c>
      <c r="F1226" s="566" t="s">
        <v>489</v>
      </c>
      <c r="G1226" s="567">
        <v>50</v>
      </c>
      <c r="H1226" s="566" t="s">
        <v>689</v>
      </c>
      <c r="I1226" s="568">
        <v>2</v>
      </c>
      <c r="J1226" s="569">
        <v>30</v>
      </c>
      <c r="K1226" s="569">
        <v>30</v>
      </c>
      <c r="L1226" s="566"/>
      <c r="M1226" s="566" t="s">
        <v>476</v>
      </c>
      <c r="N1226" s="570">
        <v>1419</v>
      </c>
      <c r="O1226" s="566"/>
      <c r="P1226" s="566" t="s">
        <v>477</v>
      </c>
      <c r="Q1226" s="568">
        <v>909678</v>
      </c>
      <c r="R1226" s="568">
        <v>37</v>
      </c>
      <c r="S1226" s="566" t="s">
        <v>1399</v>
      </c>
      <c r="T1226" s="571" t="s">
        <v>467</v>
      </c>
      <c r="U1226" s="571" t="s">
        <v>670</v>
      </c>
      <c r="V1226" s="571" t="s">
        <v>517</v>
      </c>
      <c r="W1226" s="572" t="s">
        <v>1276</v>
      </c>
      <c r="X1226" s="571" t="s">
        <v>1380</v>
      </c>
      <c r="Y1226" s="571" t="s">
        <v>1367</v>
      </c>
      <c r="Z1226" s="566" t="s">
        <v>2224</v>
      </c>
      <c r="AA1226" s="573">
        <v>1419</v>
      </c>
      <c r="AB1226" s="571"/>
    </row>
    <row r="1227" spans="1:28" hidden="1">
      <c r="A1227" s="566" t="s">
        <v>1335</v>
      </c>
      <c r="B1227" s="566" t="s">
        <v>466</v>
      </c>
      <c r="C1227" s="566" t="s">
        <v>487</v>
      </c>
      <c r="D1227" s="566" t="s">
        <v>472</v>
      </c>
      <c r="E1227" s="566" t="s">
        <v>473</v>
      </c>
      <c r="F1227" s="566" t="s">
        <v>489</v>
      </c>
      <c r="G1227" s="567">
        <v>50</v>
      </c>
      <c r="H1227" s="566" t="s">
        <v>692</v>
      </c>
      <c r="I1227" s="568">
        <v>2</v>
      </c>
      <c r="J1227" s="569">
        <v>30</v>
      </c>
      <c r="K1227" s="569">
        <v>30</v>
      </c>
      <c r="L1227" s="566"/>
      <c r="M1227" s="566" t="s">
        <v>476</v>
      </c>
      <c r="N1227" s="570">
        <v>1455</v>
      </c>
      <c r="O1227" s="566"/>
      <c r="P1227" s="566" t="s">
        <v>477</v>
      </c>
      <c r="Q1227" s="568">
        <v>909678</v>
      </c>
      <c r="R1227" s="568">
        <v>38</v>
      </c>
      <c r="S1227" s="566" t="s">
        <v>1401</v>
      </c>
      <c r="T1227" s="571" t="s">
        <v>467</v>
      </c>
      <c r="U1227" s="571" t="s">
        <v>670</v>
      </c>
      <c r="V1227" s="571" t="s">
        <v>517</v>
      </c>
      <c r="W1227" s="572" t="s">
        <v>1277</v>
      </c>
      <c r="X1227" s="571" t="s">
        <v>1380</v>
      </c>
      <c r="Y1227" s="571" t="s">
        <v>1367</v>
      </c>
      <c r="Z1227" s="566" t="s">
        <v>2225</v>
      </c>
      <c r="AA1227" s="573">
        <v>1455</v>
      </c>
      <c r="AB1227" s="571"/>
    </row>
    <row r="1228" spans="1:28" hidden="1">
      <c r="A1228" s="566" t="s">
        <v>1335</v>
      </c>
      <c r="B1228" s="566" t="s">
        <v>466</v>
      </c>
      <c r="C1228" s="566" t="s">
        <v>471</v>
      </c>
      <c r="D1228" s="566" t="s">
        <v>472</v>
      </c>
      <c r="E1228" s="566" t="s">
        <v>473</v>
      </c>
      <c r="F1228" s="566" t="s">
        <v>474</v>
      </c>
      <c r="G1228" s="567">
        <v>0</v>
      </c>
      <c r="H1228" s="566" t="s">
        <v>2117</v>
      </c>
      <c r="I1228" s="568">
        <v>2</v>
      </c>
      <c r="J1228" s="569">
        <v>30</v>
      </c>
      <c r="K1228" s="569">
        <v>30</v>
      </c>
      <c r="L1228" s="566"/>
      <c r="M1228" s="566" t="s">
        <v>476</v>
      </c>
      <c r="N1228" s="570">
        <v>1491</v>
      </c>
      <c r="O1228" s="566"/>
      <c r="P1228" s="566" t="s">
        <v>477</v>
      </c>
      <c r="Q1228" s="568">
        <v>909678</v>
      </c>
      <c r="R1228" s="568">
        <v>36</v>
      </c>
      <c r="S1228" s="566" t="s">
        <v>1403</v>
      </c>
      <c r="T1228" s="571" t="s">
        <v>467</v>
      </c>
      <c r="U1228" s="571" t="s">
        <v>670</v>
      </c>
      <c r="V1228" s="571" t="s">
        <v>517</v>
      </c>
      <c r="W1228" s="572" t="s">
        <v>1354</v>
      </c>
      <c r="X1228" s="571" t="s">
        <v>1380</v>
      </c>
      <c r="Y1228" s="571" t="s">
        <v>1367</v>
      </c>
      <c r="Z1228" s="566" t="s">
        <v>2226</v>
      </c>
      <c r="AA1228" s="573">
        <v>1491</v>
      </c>
      <c r="AB1228" s="571"/>
    </row>
    <row r="1229" spans="1:28" hidden="1">
      <c r="A1229" s="566" t="s">
        <v>1335</v>
      </c>
      <c r="B1229" s="566" t="s">
        <v>466</v>
      </c>
      <c r="C1229" s="566" t="s">
        <v>487</v>
      </c>
      <c r="D1229" s="566" t="s">
        <v>472</v>
      </c>
      <c r="E1229" s="566" t="s">
        <v>473</v>
      </c>
      <c r="F1229" s="566" t="s">
        <v>489</v>
      </c>
      <c r="G1229" s="567">
        <v>50</v>
      </c>
      <c r="H1229" s="566" t="s">
        <v>2119</v>
      </c>
      <c r="I1229" s="568">
        <v>2</v>
      </c>
      <c r="J1229" s="569">
        <v>30</v>
      </c>
      <c r="K1229" s="569">
        <v>30</v>
      </c>
      <c r="L1229" s="566"/>
      <c r="M1229" s="566" t="s">
        <v>476</v>
      </c>
      <c r="N1229" s="570">
        <v>1527</v>
      </c>
      <c r="O1229" s="566"/>
      <c r="P1229" s="566" t="s">
        <v>477</v>
      </c>
      <c r="Q1229" s="568">
        <v>909678</v>
      </c>
      <c r="R1229" s="568">
        <v>39</v>
      </c>
      <c r="S1229" s="566" t="s">
        <v>1405</v>
      </c>
      <c r="T1229" s="571" t="s">
        <v>467</v>
      </c>
      <c r="U1229" s="571" t="s">
        <v>670</v>
      </c>
      <c r="V1229" s="571" t="s">
        <v>517</v>
      </c>
      <c r="W1229" s="572" t="s">
        <v>1358</v>
      </c>
      <c r="X1229" s="571" t="s">
        <v>1380</v>
      </c>
      <c r="Y1229" s="571" t="s">
        <v>1367</v>
      </c>
      <c r="Z1229" s="566" t="s">
        <v>2227</v>
      </c>
      <c r="AA1229" s="573">
        <v>1527</v>
      </c>
      <c r="AB1229" s="571"/>
    </row>
    <row r="1230" spans="1:28" hidden="1">
      <c r="A1230" s="566" t="s">
        <v>1335</v>
      </c>
      <c r="B1230" s="566" t="s">
        <v>466</v>
      </c>
      <c r="C1230" s="566" t="s">
        <v>471</v>
      </c>
      <c r="D1230" s="566" t="s">
        <v>472</v>
      </c>
      <c r="E1230" s="566" t="s">
        <v>473</v>
      </c>
      <c r="F1230" s="566" t="s">
        <v>474</v>
      </c>
      <c r="G1230" s="567">
        <v>0</v>
      </c>
      <c r="H1230" s="566" t="s">
        <v>675</v>
      </c>
      <c r="I1230" s="568">
        <v>2</v>
      </c>
      <c r="J1230" s="569">
        <v>6</v>
      </c>
      <c r="K1230" s="569">
        <v>6</v>
      </c>
      <c r="L1230" s="566"/>
      <c r="M1230" s="566" t="s">
        <v>476</v>
      </c>
      <c r="N1230" s="570">
        <v>447</v>
      </c>
      <c r="O1230" s="566"/>
      <c r="P1230" s="566" t="s">
        <v>477</v>
      </c>
      <c r="Q1230" s="568">
        <v>909678</v>
      </c>
      <c r="R1230" s="568">
        <v>7</v>
      </c>
      <c r="S1230" s="566" t="s">
        <v>1407</v>
      </c>
      <c r="T1230" s="575" t="s">
        <v>1408</v>
      </c>
      <c r="U1230" s="575" t="s">
        <v>670</v>
      </c>
      <c r="V1230" s="575" t="s">
        <v>517</v>
      </c>
      <c r="W1230" s="576" t="s">
        <v>470</v>
      </c>
      <c r="X1230" s="575" t="s">
        <v>1380</v>
      </c>
      <c r="Y1230" s="575" t="s">
        <v>1338</v>
      </c>
      <c r="Z1230" s="576" t="s">
        <v>2228</v>
      </c>
      <c r="AA1230" s="577">
        <v>447</v>
      </c>
      <c r="AB1230" s="575"/>
    </row>
    <row r="1231" spans="1:28" hidden="1">
      <c r="A1231" s="566" t="s">
        <v>1335</v>
      </c>
      <c r="B1231" s="566" t="s">
        <v>466</v>
      </c>
      <c r="C1231" s="566" t="s">
        <v>471</v>
      </c>
      <c r="D1231" s="566" t="s">
        <v>472</v>
      </c>
      <c r="E1231" s="566" t="s">
        <v>473</v>
      </c>
      <c r="F1231" s="566" t="s">
        <v>474</v>
      </c>
      <c r="G1231" s="567">
        <v>0</v>
      </c>
      <c r="H1231" s="566" t="s">
        <v>678</v>
      </c>
      <c r="I1231" s="568">
        <v>2</v>
      </c>
      <c r="J1231" s="569">
        <v>6</v>
      </c>
      <c r="K1231" s="569">
        <v>6</v>
      </c>
      <c r="L1231" s="566"/>
      <c r="M1231" s="566" t="s">
        <v>476</v>
      </c>
      <c r="N1231" s="570">
        <v>519</v>
      </c>
      <c r="O1231" s="566"/>
      <c r="P1231" s="566" t="s">
        <v>477</v>
      </c>
      <c r="Q1231" s="568">
        <v>909678</v>
      </c>
      <c r="R1231" s="568">
        <v>8</v>
      </c>
      <c r="S1231" s="566" t="s">
        <v>1410</v>
      </c>
      <c r="T1231" s="575" t="s">
        <v>1408</v>
      </c>
      <c r="U1231" s="575" t="s">
        <v>670</v>
      </c>
      <c r="V1231" s="575" t="s">
        <v>517</v>
      </c>
      <c r="W1231" s="576" t="s">
        <v>480</v>
      </c>
      <c r="X1231" s="575" t="s">
        <v>1380</v>
      </c>
      <c r="Y1231" s="575" t="s">
        <v>1338</v>
      </c>
      <c r="Z1231" s="576" t="s">
        <v>2229</v>
      </c>
      <c r="AA1231" s="577">
        <v>519</v>
      </c>
      <c r="AB1231" s="575"/>
    </row>
    <row r="1232" spans="1:28" hidden="1">
      <c r="A1232" s="566" t="s">
        <v>1335</v>
      </c>
      <c r="B1232" s="566" t="s">
        <v>466</v>
      </c>
      <c r="C1232" s="566" t="s">
        <v>487</v>
      </c>
      <c r="D1232" s="566" t="s">
        <v>472</v>
      </c>
      <c r="E1232" s="566" t="s">
        <v>473</v>
      </c>
      <c r="F1232" s="566" t="s">
        <v>489</v>
      </c>
      <c r="G1232" s="567">
        <v>50</v>
      </c>
      <c r="H1232" s="566" t="s">
        <v>687</v>
      </c>
      <c r="I1232" s="568">
        <v>2</v>
      </c>
      <c r="J1232" s="569">
        <v>6</v>
      </c>
      <c r="K1232" s="569">
        <v>6</v>
      </c>
      <c r="L1232" s="566"/>
      <c r="M1232" s="566" t="s">
        <v>476</v>
      </c>
      <c r="N1232" s="570">
        <v>699</v>
      </c>
      <c r="O1232" s="566"/>
      <c r="P1232" s="566" t="s">
        <v>477</v>
      </c>
      <c r="Q1232" s="568">
        <v>909678</v>
      </c>
      <c r="R1232" s="568">
        <v>11</v>
      </c>
      <c r="S1232" s="566" t="s">
        <v>1412</v>
      </c>
      <c r="T1232" s="575" t="s">
        <v>1408</v>
      </c>
      <c r="U1232" s="575" t="s">
        <v>670</v>
      </c>
      <c r="V1232" s="575" t="s">
        <v>517</v>
      </c>
      <c r="W1232" s="576" t="s">
        <v>499</v>
      </c>
      <c r="X1232" s="575" t="s">
        <v>1380</v>
      </c>
      <c r="Y1232" s="575" t="s">
        <v>1338</v>
      </c>
      <c r="Z1232" s="576" t="s">
        <v>2230</v>
      </c>
      <c r="AA1232" s="577">
        <v>699</v>
      </c>
      <c r="AB1232" s="575"/>
    </row>
    <row r="1233" spans="1:28" hidden="1">
      <c r="A1233" s="566" t="s">
        <v>1335</v>
      </c>
      <c r="B1233" s="566" t="s">
        <v>466</v>
      </c>
      <c r="C1233" s="566" t="s">
        <v>487</v>
      </c>
      <c r="D1233" s="566" t="s">
        <v>472</v>
      </c>
      <c r="E1233" s="566" t="s">
        <v>473</v>
      </c>
      <c r="F1233" s="566" t="s">
        <v>489</v>
      </c>
      <c r="G1233" s="567">
        <v>50</v>
      </c>
      <c r="H1233" s="566" t="s">
        <v>690</v>
      </c>
      <c r="I1233" s="568">
        <v>2</v>
      </c>
      <c r="J1233" s="569">
        <v>6</v>
      </c>
      <c r="K1233" s="569">
        <v>6</v>
      </c>
      <c r="L1233" s="566"/>
      <c r="M1233" s="566" t="s">
        <v>476</v>
      </c>
      <c r="N1233" s="570">
        <v>771</v>
      </c>
      <c r="O1233" s="566"/>
      <c r="P1233" s="566" t="s">
        <v>477</v>
      </c>
      <c r="Q1233" s="568">
        <v>909678</v>
      </c>
      <c r="R1233" s="568">
        <v>20</v>
      </c>
      <c r="S1233" s="566" t="s">
        <v>1414</v>
      </c>
      <c r="T1233" s="575" t="s">
        <v>1408</v>
      </c>
      <c r="U1233" s="575" t="s">
        <v>670</v>
      </c>
      <c r="V1233" s="575" t="s">
        <v>517</v>
      </c>
      <c r="W1233" s="576" t="s">
        <v>504</v>
      </c>
      <c r="X1233" s="575" t="s">
        <v>1380</v>
      </c>
      <c r="Y1233" s="575" t="s">
        <v>1338</v>
      </c>
      <c r="Z1233" s="576" t="s">
        <v>2231</v>
      </c>
      <c r="AA1233" s="577">
        <v>771</v>
      </c>
      <c r="AB1233" s="575"/>
    </row>
    <row r="1234" spans="1:28" hidden="1">
      <c r="A1234" s="566" t="s">
        <v>1335</v>
      </c>
      <c r="B1234" s="566" t="s">
        <v>466</v>
      </c>
      <c r="C1234" s="566" t="s">
        <v>471</v>
      </c>
      <c r="D1234" s="566" t="s">
        <v>472</v>
      </c>
      <c r="E1234" s="566" t="s">
        <v>473</v>
      </c>
      <c r="F1234" s="566" t="s">
        <v>474</v>
      </c>
      <c r="G1234" s="567">
        <v>0</v>
      </c>
      <c r="H1234" s="566" t="s">
        <v>677</v>
      </c>
      <c r="I1234" s="568">
        <v>2</v>
      </c>
      <c r="J1234" s="569">
        <v>52</v>
      </c>
      <c r="K1234" s="569">
        <v>52</v>
      </c>
      <c r="L1234" s="566"/>
      <c r="M1234" s="566" t="s">
        <v>476</v>
      </c>
      <c r="N1234" s="570">
        <v>1021</v>
      </c>
      <c r="O1234" s="566"/>
      <c r="P1234" s="566" t="s">
        <v>477</v>
      </c>
      <c r="Q1234" s="568">
        <v>909678</v>
      </c>
      <c r="R1234" s="568">
        <v>25</v>
      </c>
      <c r="S1234" s="566" t="s">
        <v>1336</v>
      </c>
      <c r="T1234" s="578" t="s">
        <v>779</v>
      </c>
      <c r="U1234" s="578" t="s">
        <v>670</v>
      </c>
      <c r="V1234" s="578" t="s">
        <v>517</v>
      </c>
      <c r="W1234" s="579" t="s">
        <v>1274</v>
      </c>
      <c r="X1234" s="578" t="s">
        <v>1337</v>
      </c>
      <c r="Y1234" s="578" t="s">
        <v>1338</v>
      </c>
      <c r="Z1234" s="580" t="s">
        <v>2232</v>
      </c>
      <c r="AA1234" s="581">
        <v>1021</v>
      </c>
      <c r="AB1234" s="578"/>
    </row>
    <row r="1235" spans="1:28" hidden="1">
      <c r="A1235" s="566" t="s">
        <v>1335</v>
      </c>
      <c r="B1235" s="566" t="s">
        <v>466</v>
      </c>
      <c r="C1235" s="566" t="s">
        <v>471</v>
      </c>
      <c r="D1235" s="566" t="s">
        <v>472</v>
      </c>
      <c r="E1235" s="566" t="s">
        <v>473</v>
      </c>
      <c r="F1235" s="566" t="s">
        <v>474</v>
      </c>
      <c r="G1235" s="567">
        <v>0</v>
      </c>
      <c r="H1235" s="566" t="s">
        <v>680</v>
      </c>
      <c r="I1235" s="568">
        <v>2</v>
      </c>
      <c r="J1235" s="569">
        <v>52</v>
      </c>
      <c r="K1235" s="569">
        <v>52</v>
      </c>
      <c r="L1235" s="566"/>
      <c r="M1235" s="566" t="s">
        <v>476</v>
      </c>
      <c r="N1235" s="570">
        <v>1057</v>
      </c>
      <c r="O1235" s="566"/>
      <c r="P1235" s="566" t="s">
        <v>477</v>
      </c>
      <c r="Q1235" s="568">
        <v>909678</v>
      </c>
      <c r="R1235" s="568">
        <v>26</v>
      </c>
      <c r="S1235" s="566" t="s">
        <v>1340</v>
      </c>
      <c r="T1235" s="578" t="s">
        <v>779</v>
      </c>
      <c r="U1235" s="578" t="s">
        <v>670</v>
      </c>
      <c r="V1235" s="578" t="s">
        <v>517</v>
      </c>
      <c r="W1235" s="579" t="s">
        <v>1275</v>
      </c>
      <c r="X1235" s="578" t="s">
        <v>1337</v>
      </c>
      <c r="Y1235" s="578" t="s">
        <v>1338</v>
      </c>
      <c r="Z1235" s="580" t="s">
        <v>2233</v>
      </c>
      <c r="AA1235" s="581">
        <v>1057</v>
      </c>
      <c r="AB1235" s="578"/>
    </row>
    <row r="1236" spans="1:28" hidden="1">
      <c r="A1236" s="566" t="s">
        <v>1335</v>
      </c>
      <c r="B1236" s="566" t="s">
        <v>466</v>
      </c>
      <c r="C1236" s="566" t="s">
        <v>487</v>
      </c>
      <c r="D1236" s="566" t="s">
        <v>472</v>
      </c>
      <c r="E1236" s="566" t="s">
        <v>473</v>
      </c>
      <c r="F1236" s="566" t="s">
        <v>489</v>
      </c>
      <c r="G1236" s="567">
        <v>50</v>
      </c>
      <c r="H1236" s="566" t="s">
        <v>682</v>
      </c>
      <c r="I1236" s="568">
        <v>2</v>
      </c>
      <c r="J1236" s="569">
        <v>52</v>
      </c>
      <c r="K1236" s="569">
        <v>52</v>
      </c>
      <c r="L1236" s="566"/>
      <c r="M1236" s="566" t="s">
        <v>476</v>
      </c>
      <c r="N1236" s="570">
        <v>1093</v>
      </c>
      <c r="O1236" s="566"/>
      <c r="P1236" s="566" t="s">
        <v>477</v>
      </c>
      <c r="Q1236" s="568">
        <v>909678</v>
      </c>
      <c r="R1236" s="568">
        <v>28</v>
      </c>
      <c r="S1236" s="566" t="s">
        <v>1342</v>
      </c>
      <c r="T1236" s="578" t="s">
        <v>779</v>
      </c>
      <c r="U1236" s="578" t="s">
        <v>670</v>
      </c>
      <c r="V1236" s="578" t="s">
        <v>517</v>
      </c>
      <c r="W1236" s="579" t="s">
        <v>485</v>
      </c>
      <c r="X1236" s="578" t="s">
        <v>1337</v>
      </c>
      <c r="Y1236" s="578" t="s">
        <v>1338</v>
      </c>
      <c r="Z1236" s="580" t="s">
        <v>2234</v>
      </c>
      <c r="AA1236" s="581">
        <v>1093</v>
      </c>
      <c r="AB1236" s="578"/>
    </row>
    <row r="1237" spans="1:28" hidden="1">
      <c r="A1237" s="566" t="s">
        <v>1335</v>
      </c>
      <c r="B1237" s="566" t="s">
        <v>466</v>
      </c>
      <c r="C1237" s="566" t="s">
        <v>487</v>
      </c>
      <c r="D1237" s="566" t="s">
        <v>472</v>
      </c>
      <c r="E1237" s="566" t="s">
        <v>473</v>
      </c>
      <c r="F1237" s="566" t="s">
        <v>489</v>
      </c>
      <c r="G1237" s="567">
        <v>50</v>
      </c>
      <c r="H1237" s="566" t="s">
        <v>684</v>
      </c>
      <c r="I1237" s="568">
        <v>2</v>
      </c>
      <c r="J1237" s="569">
        <v>52</v>
      </c>
      <c r="K1237" s="569">
        <v>52</v>
      </c>
      <c r="L1237" s="566"/>
      <c r="M1237" s="566" t="s">
        <v>476</v>
      </c>
      <c r="N1237" s="570">
        <v>1129</v>
      </c>
      <c r="O1237" s="566"/>
      <c r="P1237" s="566" t="s">
        <v>477</v>
      </c>
      <c r="Q1237" s="568">
        <v>909678</v>
      </c>
      <c r="R1237" s="568">
        <v>29</v>
      </c>
      <c r="S1237" s="566" t="s">
        <v>1344</v>
      </c>
      <c r="T1237" s="578" t="s">
        <v>779</v>
      </c>
      <c r="U1237" s="578" t="s">
        <v>670</v>
      </c>
      <c r="V1237" s="578" t="s">
        <v>517</v>
      </c>
      <c r="W1237" s="579" t="s">
        <v>491</v>
      </c>
      <c r="X1237" s="578" t="s">
        <v>1337</v>
      </c>
      <c r="Y1237" s="578" t="s">
        <v>1338</v>
      </c>
      <c r="Z1237" s="580" t="s">
        <v>2235</v>
      </c>
      <c r="AA1237" s="581">
        <v>1129</v>
      </c>
      <c r="AB1237" s="578"/>
    </row>
    <row r="1238" spans="1:28" hidden="1">
      <c r="A1238" s="566" t="s">
        <v>1335</v>
      </c>
      <c r="B1238" s="566" t="s">
        <v>466</v>
      </c>
      <c r="C1238" s="566" t="s">
        <v>487</v>
      </c>
      <c r="D1238" s="566" t="s">
        <v>472</v>
      </c>
      <c r="E1238" s="566" t="s">
        <v>473</v>
      </c>
      <c r="F1238" s="566" t="s">
        <v>489</v>
      </c>
      <c r="G1238" s="567">
        <v>50</v>
      </c>
      <c r="H1238" s="566" t="s">
        <v>686</v>
      </c>
      <c r="I1238" s="568">
        <v>2</v>
      </c>
      <c r="J1238" s="569">
        <v>52</v>
      </c>
      <c r="K1238" s="569">
        <v>52</v>
      </c>
      <c r="L1238" s="566"/>
      <c r="M1238" s="566" t="s">
        <v>476</v>
      </c>
      <c r="N1238" s="570">
        <v>1165</v>
      </c>
      <c r="O1238" s="566"/>
      <c r="P1238" s="566" t="s">
        <v>477</v>
      </c>
      <c r="Q1238" s="568">
        <v>909678</v>
      </c>
      <c r="R1238" s="568">
        <v>30</v>
      </c>
      <c r="S1238" s="566" t="s">
        <v>1346</v>
      </c>
      <c r="T1238" s="578" t="s">
        <v>779</v>
      </c>
      <c r="U1238" s="578" t="s">
        <v>670</v>
      </c>
      <c r="V1238" s="578" t="s">
        <v>517</v>
      </c>
      <c r="W1238" s="579" t="s">
        <v>495</v>
      </c>
      <c r="X1238" s="578" t="s">
        <v>1337</v>
      </c>
      <c r="Y1238" s="578" t="s">
        <v>1338</v>
      </c>
      <c r="Z1238" s="580" t="s">
        <v>2236</v>
      </c>
      <c r="AA1238" s="581">
        <v>1165</v>
      </c>
      <c r="AB1238" s="578"/>
    </row>
    <row r="1239" spans="1:28" hidden="1">
      <c r="A1239" s="566" t="s">
        <v>1335</v>
      </c>
      <c r="B1239" s="566" t="s">
        <v>466</v>
      </c>
      <c r="C1239" s="566" t="s">
        <v>487</v>
      </c>
      <c r="D1239" s="566" t="s">
        <v>472</v>
      </c>
      <c r="E1239" s="566" t="s">
        <v>473</v>
      </c>
      <c r="F1239" s="566" t="s">
        <v>489</v>
      </c>
      <c r="G1239" s="567">
        <v>50</v>
      </c>
      <c r="H1239" s="566" t="s">
        <v>689</v>
      </c>
      <c r="I1239" s="568">
        <v>2</v>
      </c>
      <c r="J1239" s="569">
        <v>52</v>
      </c>
      <c r="K1239" s="569">
        <v>52</v>
      </c>
      <c r="L1239" s="566"/>
      <c r="M1239" s="566" t="s">
        <v>476</v>
      </c>
      <c r="N1239" s="570">
        <v>1201</v>
      </c>
      <c r="O1239" s="566"/>
      <c r="P1239" s="566" t="s">
        <v>477</v>
      </c>
      <c r="Q1239" s="568">
        <v>909678</v>
      </c>
      <c r="R1239" s="568">
        <v>31</v>
      </c>
      <c r="S1239" s="566" t="s">
        <v>1348</v>
      </c>
      <c r="T1239" s="578" t="s">
        <v>779</v>
      </c>
      <c r="U1239" s="578" t="s">
        <v>670</v>
      </c>
      <c r="V1239" s="578" t="s">
        <v>517</v>
      </c>
      <c r="W1239" s="579" t="s">
        <v>1276</v>
      </c>
      <c r="X1239" s="578" t="s">
        <v>1337</v>
      </c>
      <c r="Y1239" s="578" t="s">
        <v>1338</v>
      </c>
      <c r="Z1239" s="580" t="s">
        <v>2237</v>
      </c>
      <c r="AA1239" s="581">
        <v>1201</v>
      </c>
      <c r="AB1239" s="578"/>
    </row>
    <row r="1240" spans="1:28" hidden="1">
      <c r="A1240" s="566" t="s">
        <v>1335</v>
      </c>
      <c r="B1240" s="566" t="s">
        <v>466</v>
      </c>
      <c r="C1240" s="566" t="s">
        <v>487</v>
      </c>
      <c r="D1240" s="566" t="s">
        <v>472</v>
      </c>
      <c r="E1240" s="566" t="s">
        <v>473</v>
      </c>
      <c r="F1240" s="566" t="s">
        <v>489</v>
      </c>
      <c r="G1240" s="567">
        <v>50</v>
      </c>
      <c r="H1240" s="566" t="s">
        <v>692</v>
      </c>
      <c r="I1240" s="568">
        <v>2</v>
      </c>
      <c r="J1240" s="569">
        <v>52</v>
      </c>
      <c r="K1240" s="569">
        <v>52</v>
      </c>
      <c r="L1240" s="566"/>
      <c r="M1240" s="566" t="s">
        <v>476</v>
      </c>
      <c r="N1240" s="570">
        <v>1237</v>
      </c>
      <c r="O1240" s="566"/>
      <c r="P1240" s="566" t="s">
        <v>477</v>
      </c>
      <c r="Q1240" s="568">
        <v>909678</v>
      </c>
      <c r="R1240" s="568">
        <v>32</v>
      </c>
      <c r="S1240" s="566" t="s">
        <v>1350</v>
      </c>
      <c r="T1240" s="578" t="s">
        <v>779</v>
      </c>
      <c r="U1240" s="578" t="s">
        <v>670</v>
      </c>
      <c r="V1240" s="578" t="s">
        <v>517</v>
      </c>
      <c r="W1240" s="579" t="s">
        <v>1277</v>
      </c>
      <c r="X1240" s="578" t="s">
        <v>1337</v>
      </c>
      <c r="Y1240" s="578" t="s">
        <v>1338</v>
      </c>
      <c r="Z1240" s="580" t="s">
        <v>2238</v>
      </c>
      <c r="AA1240" s="581">
        <v>1237</v>
      </c>
      <c r="AB1240" s="578"/>
    </row>
    <row r="1241" spans="1:28" hidden="1">
      <c r="A1241" s="566" t="s">
        <v>1335</v>
      </c>
      <c r="B1241" s="566" t="s">
        <v>466</v>
      </c>
      <c r="C1241" s="566" t="s">
        <v>471</v>
      </c>
      <c r="D1241" s="566" t="s">
        <v>472</v>
      </c>
      <c r="E1241" s="566" t="s">
        <v>473</v>
      </c>
      <c r="F1241" s="566" t="s">
        <v>474</v>
      </c>
      <c r="G1241" s="567">
        <v>0</v>
      </c>
      <c r="H1241" s="566" t="s">
        <v>2117</v>
      </c>
      <c r="I1241" s="568">
        <v>2</v>
      </c>
      <c r="J1241" s="569">
        <v>52</v>
      </c>
      <c r="K1241" s="569">
        <v>52</v>
      </c>
      <c r="L1241" s="566"/>
      <c r="M1241" s="566" t="s">
        <v>476</v>
      </c>
      <c r="N1241" s="570">
        <v>1273</v>
      </c>
      <c r="O1241" s="566"/>
      <c r="P1241" s="566" t="s">
        <v>477</v>
      </c>
      <c r="Q1241" s="568">
        <v>909678</v>
      </c>
      <c r="R1241" s="568">
        <v>27</v>
      </c>
      <c r="S1241" s="566" t="s">
        <v>1353</v>
      </c>
      <c r="T1241" s="578" t="s">
        <v>779</v>
      </c>
      <c r="U1241" s="578" t="s">
        <v>670</v>
      </c>
      <c r="V1241" s="578" t="s">
        <v>517</v>
      </c>
      <c r="W1241" s="579" t="s">
        <v>1354</v>
      </c>
      <c r="X1241" s="578" t="s">
        <v>1337</v>
      </c>
      <c r="Y1241" s="578" t="s">
        <v>1338</v>
      </c>
      <c r="Z1241" s="580" t="s">
        <v>2239</v>
      </c>
      <c r="AA1241" s="581">
        <v>1273</v>
      </c>
      <c r="AB1241" s="578"/>
    </row>
    <row r="1242" spans="1:28" hidden="1">
      <c r="A1242" s="566" t="s">
        <v>1335</v>
      </c>
      <c r="B1242" s="566" t="s">
        <v>466</v>
      </c>
      <c r="C1242" s="566" t="s">
        <v>487</v>
      </c>
      <c r="D1242" s="566" t="s">
        <v>472</v>
      </c>
      <c r="E1242" s="566" t="s">
        <v>473</v>
      </c>
      <c r="F1242" s="566" t="s">
        <v>489</v>
      </c>
      <c r="G1242" s="567">
        <v>50</v>
      </c>
      <c r="H1242" s="566" t="s">
        <v>2119</v>
      </c>
      <c r="I1242" s="568">
        <v>2</v>
      </c>
      <c r="J1242" s="569">
        <v>52</v>
      </c>
      <c r="K1242" s="569">
        <v>52</v>
      </c>
      <c r="L1242" s="566"/>
      <c r="M1242" s="566" t="s">
        <v>476</v>
      </c>
      <c r="N1242" s="570">
        <v>1309</v>
      </c>
      <c r="O1242" s="566"/>
      <c r="P1242" s="566" t="s">
        <v>477</v>
      </c>
      <c r="Q1242" s="568">
        <v>909678</v>
      </c>
      <c r="R1242" s="568">
        <v>33</v>
      </c>
      <c r="S1242" s="566" t="s">
        <v>1357</v>
      </c>
      <c r="T1242" s="578" t="s">
        <v>779</v>
      </c>
      <c r="U1242" s="578" t="s">
        <v>670</v>
      </c>
      <c r="V1242" s="578" t="s">
        <v>517</v>
      </c>
      <c r="W1242" s="579" t="s">
        <v>1358</v>
      </c>
      <c r="X1242" s="578" t="s">
        <v>1337</v>
      </c>
      <c r="Y1242" s="578" t="s">
        <v>1338</v>
      </c>
      <c r="Z1242" s="580" t="s">
        <v>2240</v>
      </c>
      <c r="AA1242" s="581">
        <v>1309</v>
      </c>
      <c r="AB1242" s="578"/>
    </row>
    <row r="1243" spans="1:28" hidden="1">
      <c r="A1243" s="566" t="s">
        <v>1335</v>
      </c>
      <c r="B1243" s="566" t="s">
        <v>466</v>
      </c>
      <c r="C1243" s="566" t="s">
        <v>471</v>
      </c>
      <c r="D1243" s="566" t="s">
        <v>472</v>
      </c>
      <c r="E1243" s="566" t="s">
        <v>473</v>
      </c>
      <c r="F1243" s="566" t="s">
        <v>474</v>
      </c>
      <c r="G1243" s="567">
        <v>0</v>
      </c>
      <c r="H1243" s="566" t="s">
        <v>704</v>
      </c>
      <c r="I1243" s="568">
        <v>2</v>
      </c>
      <c r="J1243" s="569">
        <v>52</v>
      </c>
      <c r="K1243" s="569">
        <v>52</v>
      </c>
      <c r="L1243" s="566"/>
      <c r="M1243" s="566" t="s">
        <v>476</v>
      </c>
      <c r="N1243" s="570">
        <v>913</v>
      </c>
      <c r="O1243" s="566"/>
      <c r="P1243" s="566" t="s">
        <v>477</v>
      </c>
      <c r="Q1243" s="568">
        <v>909678</v>
      </c>
      <c r="R1243" s="568">
        <v>22</v>
      </c>
      <c r="S1243" s="566" t="s">
        <v>1360</v>
      </c>
      <c r="T1243" s="578" t="s">
        <v>779</v>
      </c>
      <c r="U1243" s="578" t="s">
        <v>670</v>
      </c>
      <c r="V1243" s="578" t="s">
        <v>517</v>
      </c>
      <c r="W1243" s="579" t="s">
        <v>509</v>
      </c>
      <c r="X1243" s="578" t="s">
        <v>1337</v>
      </c>
      <c r="Y1243" s="578" t="s">
        <v>1338</v>
      </c>
      <c r="Z1243" s="580" t="s">
        <v>2241</v>
      </c>
      <c r="AA1243" s="581">
        <v>913</v>
      </c>
      <c r="AB1243" s="578"/>
    </row>
    <row r="1244" spans="1:28" hidden="1">
      <c r="A1244" s="566" t="s">
        <v>1335</v>
      </c>
      <c r="B1244" s="566" t="s">
        <v>466</v>
      </c>
      <c r="C1244" s="566" t="s">
        <v>471</v>
      </c>
      <c r="D1244" s="566" t="s">
        <v>472</v>
      </c>
      <c r="E1244" s="566" t="s">
        <v>473</v>
      </c>
      <c r="F1244" s="566" t="s">
        <v>474</v>
      </c>
      <c r="G1244" s="567">
        <v>0</v>
      </c>
      <c r="H1244" s="566" t="s">
        <v>706</v>
      </c>
      <c r="I1244" s="568">
        <v>2</v>
      </c>
      <c r="J1244" s="569">
        <v>52</v>
      </c>
      <c r="K1244" s="569">
        <v>52</v>
      </c>
      <c r="L1244" s="566"/>
      <c r="M1244" s="566" t="s">
        <v>476</v>
      </c>
      <c r="N1244" s="570">
        <v>949</v>
      </c>
      <c r="O1244" s="566"/>
      <c r="P1244" s="566" t="s">
        <v>477</v>
      </c>
      <c r="Q1244" s="568">
        <v>909678</v>
      </c>
      <c r="R1244" s="568">
        <v>23</v>
      </c>
      <c r="S1244" s="566" t="s">
        <v>1362</v>
      </c>
      <c r="T1244" s="578" t="s">
        <v>779</v>
      </c>
      <c r="U1244" s="578" t="s">
        <v>670</v>
      </c>
      <c r="V1244" s="578" t="s">
        <v>517</v>
      </c>
      <c r="W1244" s="579" t="s">
        <v>512</v>
      </c>
      <c r="X1244" s="578" t="s">
        <v>1337</v>
      </c>
      <c r="Y1244" s="578" t="s">
        <v>1338</v>
      </c>
      <c r="Z1244" s="580" t="s">
        <v>2242</v>
      </c>
      <c r="AA1244" s="581">
        <v>949</v>
      </c>
      <c r="AB1244" s="578"/>
    </row>
    <row r="1245" spans="1:28" hidden="1">
      <c r="A1245" s="566" t="s">
        <v>1335</v>
      </c>
      <c r="B1245" s="566" t="s">
        <v>466</v>
      </c>
      <c r="C1245" s="566" t="s">
        <v>471</v>
      </c>
      <c r="D1245" s="566" t="s">
        <v>472</v>
      </c>
      <c r="E1245" s="566" t="s">
        <v>473</v>
      </c>
      <c r="F1245" s="566" t="s">
        <v>474</v>
      </c>
      <c r="G1245" s="567">
        <v>0</v>
      </c>
      <c r="H1245" s="566" t="s">
        <v>708</v>
      </c>
      <c r="I1245" s="568">
        <v>2</v>
      </c>
      <c r="J1245" s="569">
        <v>52</v>
      </c>
      <c r="K1245" s="569">
        <v>52</v>
      </c>
      <c r="L1245" s="566"/>
      <c r="M1245" s="566" t="s">
        <v>476</v>
      </c>
      <c r="N1245" s="570">
        <v>985</v>
      </c>
      <c r="O1245" s="566"/>
      <c r="P1245" s="566" t="s">
        <v>477</v>
      </c>
      <c r="Q1245" s="568">
        <v>909678</v>
      </c>
      <c r="R1245" s="568">
        <v>24</v>
      </c>
      <c r="S1245" s="566" t="s">
        <v>1364</v>
      </c>
      <c r="T1245" s="578" t="s">
        <v>779</v>
      </c>
      <c r="U1245" s="578" t="s">
        <v>670</v>
      </c>
      <c r="V1245" s="578" t="s">
        <v>517</v>
      </c>
      <c r="W1245" s="579" t="s">
        <v>514</v>
      </c>
      <c r="X1245" s="578" t="s">
        <v>1337</v>
      </c>
      <c r="Y1245" s="578" t="s">
        <v>1338</v>
      </c>
      <c r="Z1245" s="580" t="s">
        <v>2243</v>
      </c>
      <c r="AA1245" s="581">
        <v>985</v>
      </c>
      <c r="AB1245" s="578"/>
    </row>
    <row r="1246" spans="1:28" hidden="1">
      <c r="A1246" s="566" t="s">
        <v>1335</v>
      </c>
      <c r="B1246" s="566" t="s">
        <v>466</v>
      </c>
      <c r="C1246" s="566" t="s">
        <v>471</v>
      </c>
      <c r="D1246" s="566" t="s">
        <v>472</v>
      </c>
      <c r="E1246" s="566" t="s">
        <v>473</v>
      </c>
      <c r="F1246" s="566" t="s">
        <v>474</v>
      </c>
      <c r="G1246" s="567">
        <v>0</v>
      </c>
      <c r="H1246" s="566" t="s">
        <v>677</v>
      </c>
      <c r="I1246" s="568">
        <v>2</v>
      </c>
      <c r="J1246" s="569">
        <v>76</v>
      </c>
      <c r="K1246" s="569">
        <v>76</v>
      </c>
      <c r="L1246" s="566"/>
      <c r="M1246" s="566" t="s">
        <v>476</v>
      </c>
      <c r="N1246" s="570">
        <v>1561</v>
      </c>
      <c r="O1246" s="566"/>
      <c r="P1246" s="566" t="s">
        <v>477</v>
      </c>
      <c r="Q1246" s="568">
        <v>909678</v>
      </c>
      <c r="R1246" s="568">
        <v>40</v>
      </c>
      <c r="S1246" s="566" t="s">
        <v>1366</v>
      </c>
      <c r="T1246" s="578" t="s">
        <v>779</v>
      </c>
      <c r="U1246" s="578" t="s">
        <v>670</v>
      </c>
      <c r="V1246" s="578" t="s">
        <v>517</v>
      </c>
      <c r="W1246" s="579" t="s">
        <v>1274</v>
      </c>
      <c r="X1246" s="578" t="s">
        <v>1337</v>
      </c>
      <c r="Y1246" s="578" t="s">
        <v>1367</v>
      </c>
      <c r="Z1246" s="580" t="s">
        <v>2244</v>
      </c>
      <c r="AA1246" s="581">
        <v>1561</v>
      </c>
      <c r="AB1246" s="578"/>
    </row>
    <row r="1247" spans="1:28" hidden="1">
      <c r="A1247" s="566" t="s">
        <v>1335</v>
      </c>
      <c r="B1247" s="566" t="s">
        <v>466</v>
      </c>
      <c r="C1247" s="566" t="s">
        <v>471</v>
      </c>
      <c r="D1247" s="566" t="s">
        <v>472</v>
      </c>
      <c r="E1247" s="566" t="s">
        <v>473</v>
      </c>
      <c r="F1247" s="566" t="s">
        <v>474</v>
      </c>
      <c r="G1247" s="567">
        <v>0</v>
      </c>
      <c r="H1247" s="566" t="s">
        <v>680</v>
      </c>
      <c r="I1247" s="568">
        <v>2</v>
      </c>
      <c r="J1247" s="569">
        <v>76</v>
      </c>
      <c r="K1247" s="569">
        <v>76</v>
      </c>
      <c r="L1247" s="566"/>
      <c r="M1247" s="566" t="s">
        <v>476</v>
      </c>
      <c r="N1247" s="570">
        <v>1597</v>
      </c>
      <c r="O1247" s="566"/>
      <c r="P1247" s="566" t="s">
        <v>477</v>
      </c>
      <c r="Q1247" s="568">
        <v>909678</v>
      </c>
      <c r="R1247" s="568">
        <v>41</v>
      </c>
      <c r="S1247" s="566" t="s">
        <v>1369</v>
      </c>
      <c r="T1247" s="578" t="s">
        <v>779</v>
      </c>
      <c r="U1247" s="578" t="s">
        <v>670</v>
      </c>
      <c r="V1247" s="578" t="s">
        <v>517</v>
      </c>
      <c r="W1247" s="579" t="s">
        <v>1275</v>
      </c>
      <c r="X1247" s="578" t="s">
        <v>1337</v>
      </c>
      <c r="Y1247" s="578" t="s">
        <v>1367</v>
      </c>
      <c r="Z1247" s="580" t="s">
        <v>2245</v>
      </c>
      <c r="AA1247" s="581">
        <v>1597</v>
      </c>
      <c r="AB1247" s="578"/>
    </row>
    <row r="1248" spans="1:28" hidden="1">
      <c r="A1248" s="566" t="s">
        <v>1335</v>
      </c>
      <c r="B1248" s="566" t="s">
        <v>466</v>
      </c>
      <c r="C1248" s="566" t="s">
        <v>487</v>
      </c>
      <c r="D1248" s="566" t="s">
        <v>472</v>
      </c>
      <c r="E1248" s="566" t="s">
        <v>473</v>
      </c>
      <c r="F1248" s="566" t="s">
        <v>489</v>
      </c>
      <c r="G1248" s="567">
        <v>50</v>
      </c>
      <c r="H1248" s="566" t="s">
        <v>689</v>
      </c>
      <c r="I1248" s="568">
        <v>2</v>
      </c>
      <c r="J1248" s="569">
        <v>76</v>
      </c>
      <c r="K1248" s="569">
        <v>76</v>
      </c>
      <c r="L1248" s="566"/>
      <c r="M1248" s="566" t="s">
        <v>476</v>
      </c>
      <c r="N1248" s="570">
        <v>1633</v>
      </c>
      <c r="O1248" s="566"/>
      <c r="P1248" s="566" t="s">
        <v>477</v>
      </c>
      <c r="Q1248" s="568">
        <v>909678</v>
      </c>
      <c r="R1248" s="568">
        <v>43</v>
      </c>
      <c r="S1248" s="566" t="s">
        <v>1371</v>
      </c>
      <c r="T1248" s="578" t="s">
        <v>779</v>
      </c>
      <c r="U1248" s="578" t="s">
        <v>670</v>
      </c>
      <c r="V1248" s="578" t="s">
        <v>517</v>
      </c>
      <c r="W1248" s="579" t="s">
        <v>1276</v>
      </c>
      <c r="X1248" s="578" t="s">
        <v>1337</v>
      </c>
      <c r="Y1248" s="578" t="s">
        <v>1367</v>
      </c>
      <c r="Z1248" s="580" t="s">
        <v>2246</v>
      </c>
      <c r="AA1248" s="581">
        <v>1633</v>
      </c>
      <c r="AB1248" s="578"/>
    </row>
    <row r="1249" spans="1:28" hidden="1">
      <c r="A1249" s="566" t="s">
        <v>1335</v>
      </c>
      <c r="B1249" s="566" t="s">
        <v>466</v>
      </c>
      <c r="C1249" s="566" t="s">
        <v>487</v>
      </c>
      <c r="D1249" s="566" t="s">
        <v>472</v>
      </c>
      <c r="E1249" s="566" t="s">
        <v>473</v>
      </c>
      <c r="F1249" s="566" t="s">
        <v>489</v>
      </c>
      <c r="G1249" s="567">
        <v>50</v>
      </c>
      <c r="H1249" s="566" t="s">
        <v>692</v>
      </c>
      <c r="I1249" s="568">
        <v>2</v>
      </c>
      <c r="J1249" s="569">
        <v>76</v>
      </c>
      <c r="K1249" s="569">
        <v>76</v>
      </c>
      <c r="L1249" s="566"/>
      <c r="M1249" s="566" t="s">
        <v>476</v>
      </c>
      <c r="N1249" s="570">
        <v>1669</v>
      </c>
      <c r="O1249" s="566"/>
      <c r="P1249" s="566" t="s">
        <v>477</v>
      </c>
      <c r="Q1249" s="568">
        <v>909678</v>
      </c>
      <c r="R1249" s="568">
        <v>44</v>
      </c>
      <c r="S1249" s="566" t="s">
        <v>1373</v>
      </c>
      <c r="T1249" s="578" t="s">
        <v>779</v>
      </c>
      <c r="U1249" s="578" t="s">
        <v>670</v>
      </c>
      <c r="V1249" s="578" t="s">
        <v>517</v>
      </c>
      <c r="W1249" s="579" t="s">
        <v>1277</v>
      </c>
      <c r="X1249" s="578" t="s">
        <v>1337</v>
      </c>
      <c r="Y1249" s="578" t="s">
        <v>1367</v>
      </c>
      <c r="Z1249" s="580" t="s">
        <v>2247</v>
      </c>
      <c r="AA1249" s="581">
        <v>1669</v>
      </c>
      <c r="AB1249" s="578"/>
    </row>
    <row r="1250" spans="1:28" hidden="1">
      <c r="A1250" s="566" t="s">
        <v>1335</v>
      </c>
      <c r="B1250" s="566" t="s">
        <v>466</v>
      </c>
      <c r="C1250" s="566" t="s">
        <v>471</v>
      </c>
      <c r="D1250" s="566" t="s">
        <v>472</v>
      </c>
      <c r="E1250" s="566" t="s">
        <v>473</v>
      </c>
      <c r="F1250" s="566" t="s">
        <v>474</v>
      </c>
      <c r="G1250" s="567">
        <v>0</v>
      </c>
      <c r="H1250" s="566" t="s">
        <v>2117</v>
      </c>
      <c r="I1250" s="568">
        <v>2</v>
      </c>
      <c r="J1250" s="569">
        <v>76</v>
      </c>
      <c r="K1250" s="569">
        <v>76</v>
      </c>
      <c r="L1250" s="566"/>
      <c r="M1250" s="566" t="s">
        <v>476</v>
      </c>
      <c r="N1250" s="570">
        <v>1705</v>
      </c>
      <c r="O1250" s="566"/>
      <c r="P1250" s="566" t="s">
        <v>477</v>
      </c>
      <c r="Q1250" s="568">
        <v>909678</v>
      </c>
      <c r="R1250" s="568">
        <v>42</v>
      </c>
      <c r="S1250" s="566" t="s">
        <v>1375</v>
      </c>
      <c r="T1250" s="578" t="s">
        <v>779</v>
      </c>
      <c r="U1250" s="578" t="s">
        <v>670</v>
      </c>
      <c r="V1250" s="578" t="s">
        <v>517</v>
      </c>
      <c r="W1250" s="579" t="s">
        <v>1354</v>
      </c>
      <c r="X1250" s="578" t="s">
        <v>1337</v>
      </c>
      <c r="Y1250" s="578" t="s">
        <v>1367</v>
      </c>
      <c r="Z1250" s="580" t="s">
        <v>2248</v>
      </c>
      <c r="AA1250" s="581">
        <v>1705</v>
      </c>
      <c r="AB1250" s="578"/>
    </row>
    <row r="1251" spans="1:28" hidden="1">
      <c r="A1251" s="566" t="s">
        <v>1335</v>
      </c>
      <c r="B1251" s="566" t="s">
        <v>466</v>
      </c>
      <c r="C1251" s="566" t="s">
        <v>487</v>
      </c>
      <c r="D1251" s="566" t="s">
        <v>472</v>
      </c>
      <c r="E1251" s="566" t="s">
        <v>473</v>
      </c>
      <c r="F1251" s="566" t="s">
        <v>489</v>
      </c>
      <c r="G1251" s="567">
        <v>50</v>
      </c>
      <c r="H1251" s="566" t="s">
        <v>2119</v>
      </c>
      <c r="I1251" s="568">
        <v>2</v>
      </c>
      <c r="J1251" s="569">
        <v>76</v>
      </c>
      <c r="K1251" s="569">
        <v>76</v>
      </c>
      <c r="L1251" s="566"/>
      <c r="M1251" s="566" t="s">
        <v>476</v>
      </c>
      <c r="N1251" s="570">
        <v>1741</v>
      </c>
      <c r="O1251" s="566"/>
      <c r="P1251" s="566" t="s">
        <v>477</v>
      </c>
      <c r="Q1251" s="568">
        <v>909678</v>
      </c>
      <c r="R1251" s="568">
        <v>45</v>
      </c>
      <c r="S1251" s="566" t="s">
        <v>1377</v>
      </c>
      <c r="T1251" s="578" t="s">
        <v>779</v>
      </c>
      <c r="U1251" s="578" t="s">
        <v>670</v>
      </c>
      <c r="V1251" s="578" t="s">
        <v>517</v>
      </c>
      <c r="W1251" s="579" t="s">
        <v>1358</v>
      </c>
      <c r="X1251" s="578" t="s">
        <v>1337</v>
      </c>
      <c r="Y1251" s="578" t="s">
        <v>1367</v>
      </c>
      <c r="Z1251" s="580" t="s">
        <v>2249</v>
      </c>
      <c r="AA1251" s="581">
        <v>1741</v>
      </c>
      <c r="AB1251" s="578"/>
    </row>
    <row r="1252" spans="1:28" hidden="1">
      <c r="A1252" s="566" t="s">
        <v>1335</v>
      </c>
      <c r="B1252" s="566" t="s">
        <v>466</v>
      </c>
      <c r="C1252" s="566" t="s">
        <v>553</v>
      </c>
      <c r="D1252" s="566" t="s">
        <v>472</v>
      </c>
      <c r="E1252" s="566" t="s">
        <v>473</v>
      </c>
      <c r="F1252" s="566" t="s">
        <v>554</v>
      </c>
      <c r="G1252" s="567">
        <v>13</v>
      </c>
      <c r="H1252" s="566" t="s">
        <v>940</v>
      </c>
      <c r="I1252" s="568">
        <v>2</v>
      </c>
      <c r="J1252" s="569">
        <v>22</v>
      </c>
      <c r="K1252" s="569">
        <v>22</v>
      </c>
      <c r="L1252" s="569">
        <v>17</v>
      </c>
      <c r="M1252" s="566" t="s">
        <v>476</v>
      </c>
      <c r="N1252" s="570">
        <v>166</v>
      </c>
      <c r="O1252" s="566"/>
      <c r="P1252" s="566" t="s">
        <v>477</v>
      </c>
      <c r="Q1252" s="568">
        <v>909678</v>
      </c>
      <c r="R1252" s="568">
        <v>9</v>
      </c>
      <c r="S1252" s="566" t="s">
        <v>1379</v>
      </c>
      <c r="T1252" s="578" t="s">
        <v>779</v>
      </c>
      <c r="U1252" s="578" t="s">
        <v>670</v>
      </c>
      <c r="V1252" s="578" t="s">
        <v>517</v>
      </c>
      <c r="W1252" s="579" t="s">
        <v>551</v>
      </c>
      <c r="X1252" s="578" t="s">
        <v>1380</v>
      </c>
      <c r="Y1252" s="578" t="s">
        <v>1338</v>
      </c>
      <c r="Z1252" s="580" t="s">
        <v>939</v>
      </c>
      <c r="AA1252" s="581">
        <v>166</v>
      </c>
      <c r="AB1252" s="578">
        <v>260065</v>
      </c>
    </row>
    <row r="1253" spans="1:28" hidden="1">
      <c r="A1253" s="566" t="s">
        <v>1335</v>
      </c>
      <c r="B1253" s="566" t="s">
        <v>466</v>
      </c>
      <c r="C1253" s="566" t="s">
        <v>553</v>
      </c>
      <c r="D1253" s="566" t="s">
        <v>472</v>
      </c>
      <c r="E1253" s="566" t="s">
        <v>473</v>
      </c>
      <c r="F1253" s="566" t="s">
        <v>554</v>
      </c>
      <c r="G1253" s="567">
        <v>16</v>
      </c>
      <c r="H1253" s="566" t="s">
        <v>942</v>
      </c>
      <c r="I1253" s="568">
        <v>2</v>
      </c>
      <c r="J1253" s="569">
        <v>22</v>
      </c>
      <c r="K1253" s="569">
        <v>22</v>
      </c>
      <c r="L1253" s="569">
        <v>17</v>
      </c>
      <c r="M1253" s="566" t="s">
        <v>476</v>
      </c>
      <c r="N1253" s="570">
        <v>310</v>
      </c>
      <c r="O1253" s="566"/>
      <c r="P1253" s="566" t="s">
        <v>477</v>
      </c>
      <c r="Q1253" s="568">
        <v>909678</v>
      </c>
      <c r="R1253" s="568">
        <v>4</v>
      </c>
      <c r="S1253" s="566" t="s">
        <v>1381</v>
      </c>
      <c r="T1253" s="578" t="s">
        <v>779</v>
      </c>
      <c r="U1253" s="578" t="s">
        <v>670</v>
      </c>
      <c r="V1253" s="578" t="s">
        <v>517</v>
      </c>
      <c r="W1253" s="579" t="s">
        <v>556</v>
      </c>
      <c r="X1253" s="578" t="s">
        <v>1380</v>
      </c>
      <c r="Y1253" s="578" t="s">
        <v>1338</v>
      </c>
      <c r="Z1253" s="580" t="s">
        <v>941</v>
      </c>
      <c r="AA1253" s="581">
        <v>310</v>
      </c>
      <c r="AB1253" s="578">
        <v>260209</v>
      </c>
    </row>
    <row r="1254" spans="1:28" hidden="1">
      <c r="A1254" s="566" t="s">
        <v>1335</v>
      </c>
      <c r="B1254" s="566" t="s">
        <v>466</v>
      </c>
      <c r="C1254" s="566" t="s">
        <v>471</v>
      </c>
      <c r="D1254" s="566" t="s">
        <v>472</v>
      </c>
      <c r="E1254" s="566" t="s">
        <v>473</v>
      </c>
      <c r="F1254" s="566" t="s">
        <v>474</v>
      </c>
      <c r="G1254" s="567">
        <v>0</v>
      </c>
      <c r="H1254" s="566" t="s">
        <v>677</v>
      </c>
      <c r="I1254" s="568">
        <v>2</v>
      </c>
      <c r="J1254" s="569">
        <v>4</v>
      </c>
      <c r="K1254" s="569">
        <v>4</v>
      </c>
      <c r="L1254" s="566"/>
      <c r="M1254" s="566" t="s">
        <v>476</v>
      </c>
      <c r="N1254" s="570">
        <v>481</v>
      </c>
      <c r="O1254" s="566"/>
      <c r="P1254" s="566" t="s">
        <v>477</v>
      </c>
      <c r="Q1254" s="568">
        <v>909678</v>
      </c>
      <c r="R1254" s="568">
        <v>10</v>
      </c>
      <c r="S1254" s="566" t="s">
        <v>1382</v>
      </c>
      <c r="T1254" s="578" t="s">
        <v>779</v>
      </c>
      <c r="U1254" s="578" t="s">
        <v>670</v>
      </c>
      <c r="V1254" s="578" t="s">
        <v>517</v>
      </c>
      <c r="W1254" s="579" t="s">
        <v>1274</v>
      </c>
      <c r="X1254" s="578" t="s">
        <v>1380</v>
      </c>
      <c r="Y1254" s="578" t="s">
        <v>1338</v>
      </c>
      <c r="Z1254" s="580" t="s">
        <v>943</v>
      </c>
      <c r="AA1254" s="581">
        <v>481</v>
      </c>
      <c r="AB1254" s="578"/>
    </row>
    <row r="1255" spans="1:28" hidden="1">
      <c r="A1255" s="566" t="s">
        <v>1335</v>
      </c>
      <c r="B1255" s="566" t="s">
        <v>466</v>
      </c>
      <c r="C1255" s="566" t="s">
        <v>471</v>
      </c>
      <c r="D1255" s="566" t="s">
        <v>472</v>
      </c>
      <c r="E1255" s="566" t="s">
        <v>473</v>
      </c>
      <c r="F1255" s="566" t="s">
        <v>474</v>
      </c>
      <c r="G1255" s="567">
        <v>0</v>
      </c>
      <c r="H1255" s="566" t="s">
        <v>680</v>
      </c>
      <c r="I1255" s="568">
        <v>2</v>
      </c>
      <c r="J1255" s="569">
        <v>4</v>
      </c>
      <c r="K1255" s="569">
        <v>4</v>
      </c>
      <c r="L1255" s="566"/>
      <c r="M1255" s="566" t="s">
        <v>476</v>
      </c>
      <c r="N1255" s="570">
        <v>553</v>
      </c>
      <c r="O1255" s="566"/>
      <c r="P1255" s="566" t="s">
        <v>477</v>
      </c>
      <c r="Q1255" s="568">
        <v>909678</v>
      </c>
      <c r="R1255" s="568">
        <v>15</v>
      </c>
      <c r="S1255" s="566" t="s">
        <v>483</v>
      </c>
      <c r="T1255" s="578" t="s">
        <v>779</v>
      </c>
      <c r="U1255" s="578" t="s">
        <v>670</v>
      </c>
      <c r="V1255" s="578" t="s">
        <v>517</v>
      </c>
      <c r="W1255" s="579" t="s">
        <v>1275</v>
      </c>
      <c r="X1255" s="578" t="s">
        <v>1380</v>
      </c>
      <c r="Y1255" s="578" t="s">
        <v>1338</v>
      </c>
      <c r="Z1255" s="580" t="s">
        <v>944</v>
      </c>
      <c r="AA1255" s="581">
        <v>553</v>
      </c>
      <c r="AB1255" s="578"/>
    </row>
    <row r="1256" spans="1:28" hidden="1">
      <c r="A1256" s="566" t="s">
        <v>1335</v>
      </c>
      <c r="B1256" s="566" t="s">
        <v>466</v>
      </c>
      <c r="C1256" s="566" t="s">
        <v>487</v>
      </c>
      <c r="D1256" s="566" t="s">
        <v>472</v>
      </c>
      <c r="E1256" s="566" t="s">
        <v>473</v>
      </c>
      <c r="F1256" s="566" t="s">
        <v>489</v>
      </c>
      <c r="G1256" s="567">
        <v>50</v>
      </c>
      <c r="H1256" s="566" t="s">
        <v>682</v>
      </c>
      <c r="I1256" s="568">
        <v>2</v>
      </c>
      <c r="J1256" s="569">
        <v>4</v>
      </c>
      <c r="K1256" s="569">
        <v>4</v>
      </c>
      <c r="L1256" s="566"/>
      <c r="M1256" s="566" t="s">
        <v>476</v>
      </c>
      <c r="N1256" s="570">
        <v>589</v>
      </c>
      <c r="O1256" s="566"/>
      <c r="P1256" s="566" t="s">
        <v>477</v>
      </c>
      <c r="Q1256" s="568">
        <v>909678</v>
      </c>
      <c r="R1256" s="568">
        <v>16</v>
      </c>
      <c r="S1256" s="566" t="s">
        <v>488</v>
      </c>
      <c r="T1256" s="578" t="s">
        <v>779</v>
      </c>
      <c r="U1256" s="578" t="s">
        <v>670</v>
      </c>
      <c r="V1256" s="578" t="s">
        <v>517</v>
      </c>
      <c r="W1256" s="579" t="s">
        <v>485</v>
      </c>
      <c r="X1256" s="578" t="s">
        <v>1380</v>
      </c>
      <c r="Y1256" s="578" t="s">
        <v>1338</v>
      </c>
      <c r="Z1256" s="580" t="s">
        <v>945</v>
      </c>
      <c r="AA1256" s="581">
        <v>589</v>
      </c>
      <c r="AB1256" s="578"/>
    </row>
    <row r="1257" spans="1:28" hidden="1">
      <c r="A1257" s="566" t="s">
        <v>1335</v>
      </c>
      <c r="B1257" s="566" t="s">
        <v>466</v>
      </c>
      <c r="C1257" s="566" t="s">
        <v>487</v>
      </c>
      <c r="D1257" s="566" t="s">
        <v>472</v>
      </c>
      <c r="E1257" s="566" t="s">
        <v>473</v>
      </c>
      <c r="F1257" s="566" t="s">
        <v>489</v>
      </c>
      <c r="G1257" s="567">
        <v>50</v>
      </c>
      <c r="H1257" s="566" t="s">
        <v>684</v>
      </c>
      <c r="I1257" s="568">
        <v>2</v>
      </c>
      <c r="J1257" s="569">
        <v>4</v>
      </c>
      <c r="K1257" s="569">
        <v>4</v>
      </c>
      <c r="L1257" s="566"/>
      <c r="M1257" s="566" t="s">
        <v>476</v>
      </c>
      <c r="N1257" s="570">
        <v>625</v>
      </c>
      <c r="O1257" s="566"/>
      <c r="P1257" s="566" t="s">
        <v>477</v>
      </c>
      <c r="Q1257" s="568">
        <v>909678</v>
      </c>
      <c r="R1257" s="568">
        <v>17</v>
      </c>
      <c r="S1257" s="566" t="s">
        <v>493</v>
      </c>
      <c r="T1257" s="578" t="s">
        <v>779</v>
      </c>
      <c r="U1257" s="578" t="s">
        <v>670</v>
      </c>
      <c r="V1257" s="578" t="s">
        <v>517</v>
      </c>
      <c r="W1257" s="579" t="s">
        <v>491</v>
      </c>
      <c r="X1257" s="578" t="s">
        <v>1380</v>
      </c>
      <c r="Y1257" s="578" t="s">
        <v>1338</v>
      </c>
      <c r="Z1257" s="580" t="s">
        <v>946</v>
      </c>
      <c r="AA1257" s="581">
        <v>625</v>
      </c>
      <c r="AB1257" s="578"/>
    </row>
    <row r="1258" spans="1:28" hidden="1">
      <c r="A1258" s="566" t="s">
        <v>1335</v>
      </c>
      <c r="B1258" s="566" t="s">
        <v>466</v>
      </c>
      <c r="C1258" s="566" t="s">
        <v>487</v>
      </c>
      <c r="D1258" s="566" t="s">
        <v>472</v>
      </c>
      <c r="E1258" s="566" t="s">
        <v>473</v>
      </c>
      <c r="F1258" s="566" t="s">
        <v>489</v>
      </c>
      <c r="G1258" s="567">
        <v>50</v>
      </c>
      <c r="H1258" s="566" t="s">
        <v>686</v>
      </c>
      <c r="I1258" s="568">
        <v>2</v>
      </c>
      <c r="J1258" s="569">
        <v>4</v>
      </c>
      <c r="K1258" s="569">
        <v>4</v>
      </c>
      <c r="L1258" s="566"/>
      <c r="M1258" s="566" t="s">
        <v>476</v>
      </c>
      <c r="N1258" s="570">
        <v>661</v>
      </c>
      <c r="O1258" s="566"/>
      <c r="P1258" s="566" t="s">
        <v>477</v>
      </c>
      <c r="Q1258" s="568">
        <v>909678</v>
      </c>
      <c r="R1258" s="568">
        <v>18</v>
      </c>
      <c r="S1258" s="566" t="s">
        <v>497</v>
      </c>
      <c r="T1258" s="578" t="s">
        <v>779</v>
      </c>
      <c r="U1258" s="578" t="s">
        <v>670</v>
      </c>
      <c r="V1258" s="578" t="s">
        <v>517</v>
      </c>
      <c r="W1258" s="579" t="s">
        <v>495</v>
      </c>
      <c r="X1258" s="578" t="s">
        <v>1380</v>
      </c>
      <c r="Y1258" s="578" t="s">
        <v>1338</v>
      </c>
      <c r="Z1258" s="580" t="s">
        <v>947</v>
      </c>
      <c r="AA1258" s="581">
        <v>661</v>
      </c>
      <c r="AB1258" s="578"/>
    </row>
    <row r="1259" spans="1:28" hidden="1">
      <c r="A1259" s="566" t="s">
        <v>1335</v>
      </c>
      <c r="B1259" s="566" t="s">
        <v>466</v>
      </c>
      <c r="C1259" s="566" t="s">
        <v>487</v>
      </c>
      <c r="D1259" s="566" t="s">
        <v>472</v>
      </c>
      <c r="E1259" s="566" t="s">
        <v>473</v>
      </c>
      <c r="F1259" s="566" t="s">
        <v>489</v>
      </c>
      <c r="G1259" s="567">
        <v>50</v>
      </c>
      <c r="H1259" s="566" t="s">
        <v>689</v>
      </c>
      <c r="I1259" s="568">
        <v>2</v>
      </c>
      <c r="J1259" s="569">
        <v>4</v>
      </c>
      <c r="K1259" s="569">
        <v>4</v>
      </c>
      <c r="L1259" s="566"/>
      <c r="M1259" s="566" t="s">
        <v>476</v>
      </c>
      <c r="N1259" s="570">
        <v>733</v>
      </c>
      <c r="O1259" s="566"/>
      <c r="P1259" s="566" t="s">
        <v>477</v>
      </c>
      <c r="Q1259" s="568">
        <v>909678</v>
      </c>
      <c r="R1259" s="568">
        <v>19</v>
      </c>
      <c r="S1259" s="566" t="s">
        <v>502</v>
      </c>
      <c r="T1259" s="578" t="s">
        <v>779</v>
      </c>
      <c r="U1259" s="578" t="s">
        <v>670</v>
      </c>
      <c r="V1259" s="578" t="s">
        <v>517</v>
      </c>
      <c r="W1259" s="579" t="s">
        <v>1276</v>
      </c>
      <c r="X1259" s="578" t="s">
        <v>1380</v>
      </c>
      <c r="Y1259" s="578" t="s">
        <v>1338</v>
      </c>
      <c r="Z1259" s="580" t="s">
        <v>948</v>
      </c>
      <c r="AA1259" s="581">
        <v>733</v>
      </c>
      <c r="AB1259" s="578"/>
    </row>
    <row r="1260" spans="1:28" hidden="1">
      <c r="A1260" s="566" t="s">
        <v>1335</v>
      </c>
      <c r="B1260" s="566" t="s">
        <v>466</v>
      </c>
      <c r="C1260" s="566" t="s">
        <v>487</v>
      </c>
      <c r="D1260" s="566" t="s">
        <v>472</v>
      </c>
      <c r="E1260" s="566" t="s">
        <v>473</v>
      </c>
      <c r="F1260" s="566" t="s">
        <v>489</v>
      </c>
      <c r="G1260" s="567">
        <v>50</v>
      </c>
      <c r="H1260" s="566" t="s">
        <v>692</v>
      </c>
      <c r="I1260" s="568">
        <v>2</v>
      </c>
      <c r="J1260" s="569">
        <v>4</v>
      </c>
      <c r="K1260" s="569">
        <v>4</v>
      </c>
      <c r="L1260" s="566"/>
      <c r="M1260" s="566" t="s">
        <v>476</v>
      </c>
      <c r="N1260" s="570">
        <v>805</v>
      </c>
      <c r="O1260" s="566"/>
      <c r="P1260" s="566" t="s">
        <v>477</v>
      </c>
      <c r="Q1260" s="568">
        <v>909678</v>
      </c>
      <c r="R1260" s="568">
        <v>21</v>
      </c>
      <c r="S1260" s="566" t="s">
        <v>507</v>
      </c>
      <c r="T1260" s="578" t="s">
        <v>779</v>
      </c>
      <c r="U1260" s="578" t="s">
        <v>670</v>
      </c>
      <c r="V1260" s="578" t="s">
        <v>517</v>
      </c>
      <c r="W1260" s="579" t="s">
        <v>1277</v>
      </c>
      <c r="X1260" s="578" t="s">
        <v>1380</v>
      </c>
      <c r="Y1260" s="578" t="s">
        <v>1338</v>
      </c>
      <c r="Z1260" s="580" t="s">
        <v>949</v>
      </c>
      <c r="AA1260" s="581">
        <v>805</v>
      </c>
      <c r="AB1260" s="578"/>
    </row>
    <row r="1261" spans="1:28" hidden="1">
      <c r="A1261" s="566" t="s">
        <v>1335</v>
      </c>
      <c r="B1261" s="566" t="s">
        <v>466</v>
      </c>
      <c r="C1261" s="566" t="s">
        <v>471</v>
      </c>
      <c r="D1261" s="566" t="s">
        <v>472</v>
      </c>
      <c r="E1261" s="566" t="s">
        <v>473</v>
      </c>
      <c r="F1261" s="566" t="s">
        <v>474</v>
      </c>
      <c r="G1261" s="567">
        <v>0</v>
      </c>
      <c r="H1261" s="566" t="s">
        <v>2117</v>
      </c>
      <c r="I1261" s="568">
        <v>2</v>
      </c>
      <c r="J1261" s="569">
        <v>4</v>
      </c>
      <c r="K1261" s="569">
        <v>4</v>
      </c>
      <c r="L1261" s="566"/>
      <c r="M1261" s="566" t="s">
        <v>476</v>
      </c>
      <c r="N1261" s="570">
        <v>841</v>
      </c>
      <c r="O1261" s="566"/>
      <c r="P1261" s="566" t="s">
        <v>477</v>
      </c>
      <c r="Q1261" s="568">
        <v>909678</v>
      </c>
      <c r="R1261" s="568">
        <v>46</v>
      </c>
      <c r="S1261" s="566" t="s">
        <v>1383</v>
      </c>
      <c r="T1261" s="578" t="s">
        <v>779</v>
      </c>
      <c r="U1261" s="578" t="s">
        <v>670</v>
      </c>
      <c r="V1261" s="578" t="s">
        <v>517</v>
      </c>
      <c r="W1261" s="579" t="s">
        <v>1354</v>
      </c>
      <c r="X1261" s="578" t="s">
        <v>1380</v>
      </c>
      <c r="Y1261" s="578" t="s">
        <v>1338</v>
      </c>
      <c r="Z1261" s="580" t="s">
        <v>2250</v>
      </c>
      <c r="AA1261" s="581">
        <v>841</v>
      </c>
      <c r="AB1261" s="578"/>
    </row>
    <row r="1262" spans="1:28" hidden="1">
      <c r="A1262" s="566" t="s">
        <v>1335</v>
      </c>
      <c r="B1262" s="566" t="s">
        <v>466</v>
      </c>
      <c r="C1262" s="566" t="s">
        <v>487</v>
      </c>
      <c r="D1262" s="566" t="s">
        <v>472</v>
      </c>
      <c r="E1262" s="566" t="s">
        <v>473</v>
      </c>
      <c r="F1262" s="566" t="s">
        <v>489</v>
      </c>
      <c r="G1262" s="567">
        <v>50</v>
      </c>
      <c r="H1262" s="566" t="s">
        <v>2119</v>
      </c>
      <c r="I1262" s="568">
        <v>2</v>
      </c>
      <c r="J1262" s="569">
        <v>4</v>
      </c>
      <c r="K1262" s="569">
        <v>4</v>
      </c>
      <c r="L1262" s="566"/>
      <c r="M1262" s="566" t="s">
        <v>476</v>
      </c>
      <c r="N1262" s="570">
        <v>877</v>
      </c>
      <c r="O1262" s="566"/>
      <c r="P1262" s="566" t="s">
        <v>477</v>
      </c>
      <c r="Q1262" s="568">
        <v>909678</v>
      </c>
      <c r="R1262" s="568">
        <v>47</v>
      </c>
      <c r="S1262" s="566" t="s">
        <v>1385</v>
      </c>
      <c r="T1262" s="578" t="s">
        <v>779</v>
      </c>
      <c r="U1262" s="578" t="s">
        <v>670</v>
      </c>
      <c r="V1262" s="578" t="s">
        <v>517</v>
      </c>
      <c r="W1262" s="579" t="s">
        <v>1358</v>
      </c>
      <c r="X1262" s="578" t="s">
        <v>1380</v>
      </c>
      <c r="Y1262" s="578" t="s">
        <v>1338</v>
      </c>
      <c r="Z1262" s="580" t="s">
        <v>2251</v>
      </c>
      <c r="AA1262" s="581">
        <v>877</v>
      </c>
      <c r="AB1262" s="578"/>
    </row>
    <row r="1263" spans="1:28" hidden="1">
      <c r="A1263" s="566" t="s">
        <v>1335</v>
      </c>
      <c r="B1263" s="566" t="s">
        <v>466</v>
      </c>
      <c r="C1263" s="566" t="s">
        <v>553</v>
      </c>
      <c r="D1263" s="566" t="s">
        <v>472</v>
      </c>
      <c r="E1263" s="566" t="s">
        <v>473</v>
      </c>
      <c r="F1263" s="566" t="s">
        <v>554</v>
      </c>
      <c r="G1263" s="567">
        <v>13</v>
      </c>
      <c r="H1263" s="566" t="s">
        <v>951</v>
      </c>
      <c r="I1263" s="568">
        <v>2</v>
      </c>
      <c r="J1263" s="569">
        <v>22</v>
      </c>
      <c r="K1263" s="569">
        <v>22</v>
      </c>
      <c r="L1263" s="569">
        <v>17</v>
      </c>
      <c r="M1263" s="566" t="s">
        <v>476</v>
      </c>
      <c r="N1263" s="570">
        <v>190</v>
      </c>
      <c r="O1263" s="566"/>
      <c r="P1263" s="566" t="s">
        <v>477</v>
      </c>
      <c r="Q1263" s="568">
        <v>909678</v>
      </c>
      <c r="R1263" s="568">
        <v>1</v>
      </c>
      <c r="S1263" s="566" t="s">
        <v>1387</v>
      </c>
      <c r="T1263" s="578" t="s">
        <v>779</v>
      </c>
      <c r="U1263" s="578" t="s">
        <v>670</v>
      </c>
      <c r="V1263" s="578" t="s">
        <v>517</v>
      </c>
      <c r="W1263" s="579" t="s">
        <v>577</v>
      </c>
      <c r="X1263" s="578" t="s">
        <v>1380</v>
      </c>
      <c r="Y1263" s="578" t="s">
        <v>1338</v>
      </c>
      <c r="Z1263" s="580" t="s">
        <v>950</v>
      </c>
      <c r="AA1263" s="581">
        <v>190</v>
      </c>
      <c r="AB1263" s="578">
        <v>260089</v>
      </c>
    </row>
    <row r="1264" spans="1:28" hidden="1">
      <c r="A1264" s="566" t="s">
        <v>1335</v>
      </c>
      <c r="B1264" s="566" t="s">
        <v>466</v>
      </c>
      <c r="C1264" s="566" t="s">
        <v>553</v>
      </c>
      <c r="D1264" s="566" t="s">
        <v>472</v>
      </c>
      <c r="E1264" s="566" t="s">
        <v>473</v>
      </c>
      <c r="F1264" s="566" t="s">
        <v>554</v>
      </c>
      <c r="G1264" s="567">
        <v>13</v>
      </c>
      <c r="H1264" s="566" t="s">
        <v>953</v>
      </c>
      <c r="I1264" s="568">
        <v>2</v>
      </c>
      <c r="J1264" s="569">
        <v>22</v>
      </c>
      <c r="K1264" s="569">
        <v>22</v>
      </c>
      <c r="L1264" s="569">
        <v>17</v>
      </c>
      <c r="M1264" s="566" t="s">
        <v>476</v>
      </c>
      <c r="N1264" s="570">
        <v>214</v>
      </c>
      <c r="O1264" s="566"/>
      <c r="P1264" s="566" t="s">
        <v>477</v>
      </c>
      <c r="Q1264" s="568">
        <v>909678</v>
      </c>
      <c r="R1264" s="568">
        <v>2</v>
      </c>
      <c r="S1264" s="566" t="s">
        <v>1388</v>
      </c>
      <c r="T1264" s="578" t="s">
        <v>779</v>
      </c>
      <c r="U1264" s="578" t="s">
        <v>670</v>
      </c>
      <c r="V1264" s="578" t="s">
        <v>517</v>
      </c>
      <c r="W1264" s="579" t="s">
        <v>580</v>
      </c>
      <c r="X1264" s="578" t="s">
        <v>1380</v>
      </c>
      <c r="Y1264" s="578" t="s">
        <v>1338</v>
      </c>
      <c r="Z1264" s="580" t="s">
        <v>952</v>
      </c>
      <c r="AA1264" s="581">
        <v>214</v>
      </c>
      <c r="AB1264" s="578">
        <v>260113</v>
      </c>
    </row>
    <row r="1265" spans="1:28" hidden="1">
      <c r="A1265" s="566" t="s">
        <v>1335</v>
      </c>
      <c r="B1265" s="566" t="s">
        <v>466</v>
      </c>
      <c r="C1265" s="566" t="s">
        <v>553</v>
      </c>
      <c r="D1265" s="566" t="s">
        <v>472</v>
      </c>
      <c r="E1265" s="566" t="s">
        <v>473</v>
      </c>
      <c r="F1265" s="566" t="s">
        <v>554</v>
      </c>
      <c r="G1265" s="567">
        <v>16</v>
      </c>
      <c r="H1265" s="566" t="s">
        <v>955</v>
      </c>
      <c r="I1265" s="568">
        <v>2</v>
      </c>
      <c r="J1265" s="569">
        <v>22</v>
      </c>
      <c r="K1265" s="569">
        <v>22</v>
      </c>
      <c r="L1265" s="569">
        <v>17</v>
      </c>
      <c r="M1265" s="566" t="s">
        <v>476</v>
      </c>
      <c r="N1265" s="570">
        <v>238</v>
      </c>
      <c r="O1265" s="566"/>
      <c r="P1265" s="566" t="s">
        <v>477</v>
      </c>
      <c r="Q1265" s="568">
        <v>909678</v>
      </c>
      <c r="R1265" s="568">
        <v>12</v>
      </c>
      <c r="S1265" s="566" t="s">
        <v>1389</v>
      </c>
      <c r="T1265" s="578" t="s">
        <v>779</v>
      </c>
      <c r="U1265" s="578" t="s">
        <v>670</v>
      </c>
      <c r="V1265" s="578" t="s">
        <v>517</v>
      </c>
      <c r="W1265" s="579" t="s">
        <v>583</v>
      </c>
      <c r="X1265" s="578" t="s">
        <v>1380</v>
      </c>
      <c r="Y1265" s="578" t="s">
        <v>1338</v>
      </c>
      <c r="Z1265" s="580" t="s">
        <v>954</v>
      </c>
      <c r="AA1265" s="581">
        <v>238</v>
      </c>
      <c r="AB1265" s="578">
        <v>260137</v>
      </c>
    </row>
    <row r="1266" spans="1:28" hidden="1">
      <c r="A1266" s="566" t="s">
        <v>1335</v>
      </c>
      <c r="B1266" s="566" t="s">
        <v>466</v>
      </c>
      <c r="C1266" s="566" t="s">
        <v>553</v>
      </c>
      <c r="D1266" s="566" t="s">
        <v>472</v>
      </c>
      <c r="E1266" s="566" t="s">
        <v>473</v>
      </c>
      <c r="F1266" s="566" t="s">
        <v>554</v>
      </c>
      <c r="G1266" s="567">
        <v>16</v>
      </c>
      <c r="H1266" s="566" t="s">
        <v>957</v>
      </c>
      <c r="I1266" s="568">
        <v>2</v>
      </c>
      <c r="J1266" s="569">
        <v>22</v>
      </c>
      <c r="K1266" s="569">
        <v>22</v>
      </c>
      <c r="L1266" s="569">
        <v>17</v>
      </c>
      <c r="M1266" s="566" t="s">
        <v>476</v>
      </c>
      <c r="N1266" s="570">
        <v>262</v>
      </c>
      <c r="O1266" s="566"/>
      <c r="P1266" s="566" t="s">
        <v>477</v>
      </c>
      <c r="Q1266" s="568">
        <v>909678</v>
      </c>
      <c r="R1266" s="568">
        <v>3</v>
      </c>
      <c r="S1266" s="566" t="s">
        <v>1390</v>
      </c>
      <c r="T1266" s="578" t="s">
        <v>779</v>
      </c>
      <c r="U1266" s="578" t="s">
        <v>670</v>
      </c>
      <c r="V1266" s="578" t="s">
        <v>517</v>
      </c>
      <c r="W1266" s="579" t="s">
        <v>586</v>
      </c>
      <c r="X1266" s="578" t="s">
        <v>1380</v>
      </c>
      <c r="Y1266" s="578" t="s">
        <v>1338</v>
      </c>
      <c r="Z1266" s="580" t="s">
        <v>956</v>
      </c>
      <c r="AA1266" s="581">
        <v>262</v>
      </c>
      <c r="AB1266" s="578">
        <v>260161</v>
      </c>
    </row>
    <row r="1267" spans="1:28" hidden="1">
      <c r="A1267" s="566" t="s">
        <v>1335</v>
      </c>
      <c r="B1267" s="566" t="s">
        <v>466</v>
      </c>
      <c r="C1267" s="566" t="s">
        <v>553</v>
      </c>
      <c r="D1267" s="566" t="s">
        <v>472</v>
      </c>
      <c r="E1267" s="566" t="s">
        <v>473</v>
      </c>
      <c r="F1267" s="566" t="s">
        <v>554</v>
      </c>
      <c r="G1267" s="567">
        <v>16</v>
      </c>
      <c r="H1267" s="566" t="s">
        <v>959</v>
      </c>
      <c r="I1267" s="568">
        <v>2</v>
      </c>
      <c r="J1267" s="569">
        <v>22</v>
      </c>
      <c r="K1267" s="569">
        <v>22</v>
      </c>
      <c r="L1267" s="569">
        <v>17</v>
      </c>
      <c r="M1267" s="566" t="s">
        <v>476</v>
      </c>
      <c r="N1267" s="570">
        <v>286</v>
      </c>
      <c r="O1267" s="566"/>
      <c r="P1267" s="566" t="s">
        <v>477</v>
      </c>
      <c r="Q1267" s="568">
        <v>909678</v>
      </c>
      <c r="R1267" s="568">
        <v>13</v>
      </c>
      <c r="S1267" s="566" t="s">
        <v>1391</v>
      </c>
      <c r="T1267" s="578" t="s">
        <v>779</v>
      </c>
      <c r="U1267" s="578" t="s">
        <v>670</v>
      </c>
      <c r="V1267" s="578" t="s">
        <v>517</v>
      </c>
      <c r="W1267" s="579" t="s">
        <v>589</v>
      </c>
      <c r="X1267" s="578" t="s">
        <v>1380</v>
      </c>
      <c r="Y1267" s="578" t="s">
        <v>1338</v>
      </c>
      <c r="Z1267" s="580" t="s">
        <v>958</v>
      </c>
      <c r="AA1267" s="581">
        <v>286</v>
      </c>
      <c r="AB1267" s="578">
        <v>260185</v>
      </c>
    </row>
    <row r="1268" spans="1:28" hidden="1">
      <c r="A1268" s="566" t="s">
        <v>1335</v>
      </c>
      <c r="B1268" s="566" t="s">
        <v>466</v>
      </c>
      <c r="C1268" s="566" t="s">
        <v>471</v>
      </c>
      <c r="D1268" s="566" t="s">
        <v>472</v>
      </c>
      <c r="E1268" s="566" t="s">
        <v>473</v>
      </c>
      <c r="F1268" s="566" t="s">
        <v>474</v>
      </c>
      <c r="G1268" s="567">
        <v>0</v>
      </c>
      <c r="H1268" s="566" t="s">
        <v>704</v>
      </c>
      <c r="I1268" s="568">
        <v>2</v>
      </c>
      <c r="J1268" s="569">
        <v>4</v>
      </c>
      <c r="K1268" s="569">
        <v>4</v>
      </c>
      <c r="L1268" s="566"/>
      <c r="M1268" s="566" t="s">
        <v>476</v>
      </c>
      <c r="N1268" s="570">
        <v>337</v>
      </c>
      <c r="O1268" s="566"/>
      <c r="P1268" s="566" t="s">
        <v>477</v>
      </c>
      <c r="Q1268" s="568">
        <v>909678</v>
      </c>
      <c r="R1268" s="568">
        <v>5</v>
      </c>
      <c r="S1268" s="566" t="s">
        <v>1392</v>
      </c>
      <c r="T1268" s="578" t="s">
        <v>779</v>
      </c>
      <c r="U1268" s="578" t="s">
        <v>670</v>
      </c>
      <c r="V1268" s="578" t="s">
        <v>517</v>
      </c>
      <c r="W1268" s="579" t="s">
        <v>509</v>
      </c>
      <c r="X1268" s="578" t="s">
        <v>1380</v>
      </c>
      <c r="Y1268" s="578" t="s">
        <v>1338</v>
      </c>
      <c r="Z1268" s="580" t="s">
        <v>960</v>
      </c>
      <c r="AA1268" s="581">
        <v>337</v>
      </c>
      <c r="AB1268" s="578"/>
    </row>
    <row r="1269" spans="1:28" hidden="1">
      <c r="A1269" s="566" t="s">
        <v>1335</v>
      </c>
      <c r="B1269" s="566" t="s">
        <v>466</v>
      </c>
      <c r="C1269" s="566" t="s">
        <v>471</v>
      </c>
      <c r="D1269" s="566" t="s">
        <v>472</v>
      </c>
      <c r="E1269" s="566" t="s">
        <v>473</v>
      </c>
      <c r="F1269" s="566" t="s">
        <v>474</v>
      </c>
      <c r="G1269" s="567">
        <v>0</v>
      </c>
      <c r="H1269" s="566" t="s">
        <v>706</v>
      </c>
      <c r="I1269" s="568">
        <v>2</v>
      </c>
      <c r="J1269" s="569">
        <v>4</v>
      </c>
      <c r="K1269" s="569">
        <v>4</v>
      </c>
      <c r="L1269" s="566"/>
      <c r="M1269" s="566" t="s">
        <v>476</v>
      </c>
      <c r="N1269" s="570">
        <v>373</v>
      </c>
      <c r="O1269" s="566"/>
      <c r="P1269" s="566" t="s">
        <v>477</v>
      </c>
      <c r="Q1269" s="568">
        <v>909678</v>
      </c>
      <c r="R1269" s="568">
        <v>6</v>
      </c>
      <c r="S1269" s="566" t="s">
        <v>1393</v>
      </c>
      <c r="T1269" s="578" t="s">
        <v>779</v>
      </c>
      <c r="U1269" s="578" t="s">
        <v>670</v>
      </c>
      <c r="V1269" s="578" t="s">
        <v>517</v>
      </c>
      <c r="W1269" s="579" t="s">
        <v>512</v>
      </c>
      <c r="X1269" s="578" t="s">
        <v>1380</v>
      </c>
      <c r="Y1269" s="578" t="s">
        <v>1338</v>
      </c>
      <c r="Z1269" s="580" t="s">
        <v>961</v>
      </c>
      <c r="AA1269" s="581">
        <v>373</v>
      </c>
      <c r="AB1269" s="578"/>
    </row>
    <row r="1270" spans="1:28" hidden="1">
      <c r="A1270" s="566" t="s">
        <v>1335</v>
      </c>
      <c r="B1270" s="566" t="s">
        <v>466</v>
      </c>
      <c r="C1270" s="566" t="s">
        <v>471</v>
      </c>
      <c r="D1270" s="566" t="s">
        <v>472</v>
      </c>
      <c r="E1270" s="566" t="s">
        <v>473</v>
      </c>
      <c r="F1270" s="566" t="s">
        <v>474</v>
      </c>
      <c r="G1270" s="567">
        <v>0</v>
      </c>
      <c r="H1270" s="566" t="s">
        <v>708</v>
      </c>
      <c r="I1270" s="568">
        <v>2</v>
      </c>
      <c r="J1270" s="569">
        <v>4</v>
      </c>
      <c r="K1270" s="569">
        <v>4</v>
      </c>
      <c r="L1270" s="566"/>
      <c r="M1270" s="566" t="s">
        <v>476</v>
      </c>
      <c r="N1270" s="570">
        <v>409</v>
      </c>
      <c r="O1270" s="566"/>
      <c r="P1270" s="566" t="s">
        <v>477</v>
      </c>
      <c r="Q1270" s="568">
        <v>909678</v>
      </c>
      <c r="R1270" s="568">
        <v>14</v>
      </c>
      <c r="S1270" s="566" t="s">
        <v>1394</v>
      </c>
      <c r="T1270" s="578" t="s">
        <v>779</v>
      </c>
      <c r="U1270" s="578" t="s">
        <v>670</v>
      </c>
      <c r="V1270" s="578" t="s">
        <v>517</v>
      </c>
      <c r="W1270" s="579" t="s">
        <v>514</v>
      </c>
      <c r="X1270" s="578" t="s">
        <v>1380</v>
      </c>
      <c r="Y1270" s="578" t="s">
        <v>1338</v>
      </c>
      <c r="Z1270" s="580" t="s">
        <v>962</v>
      </c>
      <c r="AA1270" s="581">
        <v>409</v>
      </c>
      <c r="AB1270" s="578"/>
    </row>
    <row r="1271" spans="1:28" hidden="1">
      <c r="A1271" s="566" t="s">
        <v>1335</v>
      </c>
      <c r="B1271" s="566" t="s">
        <v>466</v>
      </c>
      <c r="C1271" s="566" t="s">
        <v>471</v>
      </c>
      <c r="D1271" s="566" t="s">
        <v>472</v>
      </c>
      <c r="E1271" s="566" t="s">
        <v>473</v>
      </c>
      <c r="F1271" s="566" t="s">
        <v>474</v>
      </c>
      <c r="G1271" s="567">
        <v>0</v>
      </c>
      <c r="H1271" s="566" t="s">
        <v>677</v>
      </c>
      <c r="I1271" s="568">
        <v>2</v>
      </c>
      <c r="J1271" s="569">
        <v>28</v>
      </c>
      <c r="K1271" s="569">
        <v>28</v>
      </c>
      <c r="L1271" s="566"/>
      <c r="M1271" s="566" t="s">
        <v>476</v>
      </c>
      <c r="N1271" s="570">
        <v>1345</v>
      </c>
      <c r="O1271" s="566"/>
      <c r="P1271" s="566" t="s">
        <v>477</v>
      </c>
      <c r="Q1271" s="568">
        <v>909678</v>
      </c>
      <c r="R1271" s="568">
        <v>34</v>
      </c>
      <c r="S1271" s="566" t="s">
        <v>1395</v>
      </c>
      <c r="T1271" s="578" t="s">
        <v>779</v>
      </c>
      <c r="U1271" s="578" t="s">
        <v>670</v>
      </c>
      <c r="V1271" s="578" t="s">
        <v>517</v>
      </c>
      <c r="W1271" s="579" t="s">
        <v>1274</v>
      </c>
      <c r="X1271" s="578" t="s">
        <v>1380</v>
      </c>
      <c r="Y1271" s="578" t="s">
        <v>1367</v>
      </c>
      <c r="Z1271" s="580" t="s">
        <v>2252</v>
      </c>
      <c r="AA1271" s="581">
        <v>1345</v>
      </c>
      <c r="AB1271" s="578"/>
    </row>
    <row r="1272" spans="1:28" hidden="1">
      <c r="A1272" s="566" t="s">
        <v>1335</v>
      </c>
      <c r="B1272" s="566" t="s">
        <v>466</v>
      </c>
      <c r="C1272" s="566" t="s">
        <v>471</v>
      </c>
      <c r="D1272" s="566" t="s">
        <v>472</v>
      </c>
      <c r="E1272" s="566" t="s">
        <v>473</v>
      </c>
      <c r="F1272" s="566" t="s">
        <v>474</v>
      </c>
      <c r="G1272" s="567">
        <v>0</v>
      </c>
      <c r="H1272" s="566" t="s">
        <v>680</v>
      </c>
      <c r="I1272" s="568">
        <v>2</v>
      </c>
      <c r="J1272" s="569">
        <v>28</v>
      </c>
      <c r="K1272" s="569">
        <v>28</v>
      </c>
      <c r="L1272" s="566"/>
      <c r="M1272" s="566" t="s">
        <v>476</v>
      </c>
      <c r="N1272" s="570">
        <v>1381</v>
      </c>
      <c r="O1272" s="566"/>
      <c r="P1272" s="566" t="s">
        <v>477</v>
      </c>
      <c r="Q1272" s="568">
        <v>909678</v>
      </c>
      <c r="R1272" s="568">
        <v>35</v>
      </c>
      <c r="S1272" s="566" t="s">
        <v>1397</v>
      </c>
      <c r="T1272" s="578" t="s">
        <v>779</v>
      </c>
      <c r="U1272" s="578" t="s">
        <v>670</v>
      </c>
      <c r="V1272" s="578" t="s">
        <v>517</v>
      </c>
      <c r="W1272" s="579" t="s">
        <v>1275</v>
      </c>
      <c r="X1272" s="578" t="s">
        <v>1380</v>
      </c>
      <c r="Y1272" s="578" t="s">
        <v>1367</v>
      </c>
      <c r="Z1272" s="580" t="s">
        <v>2253</v>
      </c>
      <c r="AA1272" s="581">
        <v>1381</v>
      </c>
      <c r="AB1272" s="578"/>
    </row>
    <row r="1273" spans="1:28" hidden="1">
      <c r="A1273" s="566" t="s">
        <v>1335</v>
      </c>
      <c r="B1273" s="566" t="s">
        <v>466</v>
      </c>
      <c r="C1273" s="566" t="s">
        <v>487</v>
      </c>
      <c r="D1273" s="566" t="s">
        <v>472</v>
      </c>
      <c r="E1273" s="566" t="s">
        <v>473</v>
      </c>
      <c r="F1273" s="566" t="s">
        <v>489</v>
      </c>
      <c r="G1273" s="567">
        <v>50</v>
      </c>
      <c r="H1273" s="566" t="s">
        <v>689</v>
      </c>
      <c r="I1273" s="568">
        <v>2</v>
      </c>
      <c r="J1273" s="569">
        <v>28</v>
      </c>
      <c r="K1273" s="569">
        <v>28</v>
      </c>
      <c r="L1273" s="566"/>
      <c r="M1273" s="566" t="s">
        <v>476</v>
      </c>
      <c r="N1273" s="570">
        <v>1417</v>
      </c>
      <c r="O1273" s="566"/>
      <c r="P1273" s="566" t="s">
        <v>477</v>
      </c>
      <c r="Q1273" s="568">
        <v>909678</v>
      </c>
      <c r="R1273" s="568">
        <v>37</v>
      </c>
      <c r="S1273" s="566" t="s">
        <v>1399</v>
      </c>
      <c r="T1273" s="578" t="s">
        <v>779</v>
      </c>
      <c r="U1273" s="578" t="s">
        <v>670</v>
      </c>
      <c r="V1273" s="578" t="s">
        <v>517</v>
      </c>
      <c r="W1273" s="579" t="s">
        <v>1276</v>
      </c>
      <c r="X1273" s="578" t="s">
        <v>1380</v>
      </c>
      <c r="Y1273" s="578" t="s">
        <v>1367</v>
      </c>
      <c r="Z1273" s="580" t="s">
        <v>2254</v>
      </c>
      <c r="AA1273" s="581">
        <v>1417</v>
      </c>
      <c r="AB1273" s="578"/>
    </row>
    <row r="1274" spans="1:28" hidden="1">
      <c r="A1274" s="566" t="s">
        <v>1335</v>
      </c>
      <c r="B1274" s="566" t="s">
        <v>466</v>
      </c>
      <c r="C1274" s="566" t="s">
        <v>487</v>
      </c>
      <c r="D1274" s="566" t="s">
        <v>472</v>
      </c>
      <c r="E1274" s="566" t="s">
        <v>473</v>
      </c>
      <c r="F1274" s="566" t="s">
        <v>489</v>
      </c>
      <c r="G1274" s="567">
        <v>50</v>
      </c>
      <c r="H1274" s="566" t="s">
        <v>692</v>
      </c>
      <c r="I1274" s="568">
        <v>2</v>
      </c>
      <c r="J1274" s="569">
        <v>28</v>
      </c>
      <c r="K1274" s="569">
        <v>28</v>
      </c>
      <c r="L1274" s="566"/>
      <c r="M1274" s="566" t="s">
        <v>476</v>
      </c>
      <c r="N1274" s="570">
        <v>1453</v>
      </c>
      <c r="O1274" s="566"/>
      <c r="P1274" s="566" t="s">
        <v>477</v>
      </c>
      <c r="Q1274" s="568">
        <v>909678</v>
      </c>
      <c r="R1274" s="568">
        <v>38</v>
      </c>
      <c r="S1274" s="566" t="s">
        <v>1401</v>
      </c>
      <c r="T1274" s="578" t="s">
        <v>779</v>
      </c>
      <c r="U1274" s="578" t="s">
        <v>670</v>
      </c>
      <c r="V1274" s="578" t="s">
        <v>517</v>
      </c>
      <c r="W1274" s="579" t="s">
        <v>1277</v>
      </c>
      <c r="X1274" s="578" t="s">
        <v>1380</v>
      </c>
      <c r="Y1274" s="578" t="s">
        <v>1367</v>
      </c>
      <c r="Z1274" s="580" t="s">
        <v>2255</v>
      </c>
      <c r="AA1274" s="581">
        <v>1453</v>
      </c>
      <c r="AB1274" s="578"/>
    </row>
    <row r="1275" spans="1:28" hidden="1">
      <c r="A1275" s="566" t="s">
        <v>1335</v>
      </c>
      <c r="B1275" s="566" t="s">
        <v>466</v>
      </c>
      <c r="C1275" s="566" t="s">
        <v>471</v>
      </c>
      <c r="D1275" s="566" t="s">
        <v>472</v>
      </c>
      <c r="E1275" s="566" t="s">
        <v>473</v>
      </c>
      <c r="F1275" s="566" t="s">
        <v>474</v>
      </c>
      <c r="G1275" s="567">
        <v>0</v>
      </c>
      <c r="H1275" s="566" t="s">
        <v>2117</v>
      </c>
      <c r="I1275" s="568">
        <v>2</v>
      </c>
      <c r="J1275" s="569">
        <v>28</v>
      </c>
      <c r="K1275" s="569">
        <v>28</v>
      </c>
      <c r="L1275" s="566"/>
      <c r="M1275" s="566" t="s">
        <v>476</v>
      </c>
      <c r="N1275" s="570">
        <v>1489</v>
      </c>
      <c r="O1275" s="566"/>
      <c r="P1275" s="566" t="s">
        <v>477</v>
      </c>
      <c r="Q1275" s="568">
        <v>909678</v>
      </c>
      <c r="R1275" s="568">
        <v>36</v>
      </c>
      <c r="S1275" s="566" t="s">
        <v>1403</v>
      </c>
      <c r="T1275" s="578" t="s">
        <v>779</v>
      </c>
      <c r="U1275" s="578" t="s">
        <v>670</v>
      </c>
      <c r="V1275" s="578" t="s">
        <v>517</v>
      </c>
      <c r="W1275" s="579" t="s">
        <v>1354</v>
      </c>
      <c r="X1275" s="578" t="s">
        <v>1380</v>
      </c>
      <c r="Y1275" s="578" t="s">
        <v>1367</v>
      </c>
      <c r="Z1275" s="580" t="s">
        <v>2256</v>
      </c>
      <c r="AA1275" s="581">
        <v>1489</v>
      </c>
      <c r="AB1275" s="578"/>
    </row>
    <row r="1276" spans="1:28" hidden="1">
      <c r="A1276" s="566" t="s">
        <v>1335</v>
      </c>
      <c r="B1276" s="566" t="s">
        <v>466</v>
      </c>
      <c r="C1276" s="566" t="s">
        <v>487</v>
      </c>
      <c r="D1276" s="566" t="s">
        <v>472</v>
      </c>
      <c r="E1276" s="566" t="s">
        <v>473</v>
      </c>
      <c r="F1276" s="566" t="s">
        <v>489</v>
      </c>
      <c r="G1276" s="567">
        <v>50</v>
      </c>
      <c r="H1276" s="566" t="s">
        <v>2119</v>
      </c>
      <c r="I1276" s="568">
        <v>2</v>
      </c>
      <c r="J1276" s="569">
        <v>28</v>
      </c>
      <c r="K1276" s="569">
        <v>28</v>
      </c>
      <c r="L1276" s="566"/>
      <c r="M1276" s="566" t="s">
        <v>476</v>
      </c>
      <c r="N1276" s="570">
        <v>1525</v>
      </c>
      <c r="O1276" s="566"/>
      <c r="P1276" s="566" t="s">
        <v>477</v>
      </c>
      <c r="Q1276" s="568">
        <v>909678</v>
      </c>
      <c r="R1276" s="568">
        <v>39</v>
      </c>
      <c r="S1276" s="566" t="s">
        <v>1405</v>
      </c>
      <c r="T1276" s="578" t="s">
        <v>779</v>
      </c>
      <c r="U1276" s="578" t="s">
        <v>670</v>
      </c>
      <c r="V1276" s="578" t="s">
        <v>517</v>
      </c>
      <c r="W1276" s="579" t="s">
        <v>1358</v>
      </c>
      <c r="X1276" s="578" t="s">
        <v>1380</v>
      </c>
      <c r="Y1276" s="578" t="s">
        <v>1367</v>
      </c>
      <c r="Z1276" s="580" t="s">
        <v>2257</v>
      </c>
      <c r="AA1276" s="581">
        <v>1525</v>
      </c>
      <c r="AB1276" s="578"/>
    </row>
    <row r="1277" spans="1:28" hidden="1">
      <c r="A1277" s="566" t="s">
        <v>1335</v>
      </c>
      <c r="B1277" s="566" t="s">
        <v>466</v>
      </c>
      <c r="C1277" s="566" t="s">
        <v>471</v>
      </c>
      <c r="D1277" s="566" t="s">
        <v>472</v>
      </c>
      <c r="E1277" s="566" t="s">
        <v>473</v>
      </c>
      <c r="F1277" s="566" t="s">
        <v>474</v>
      </c>
      <c r="G1277" s="567">
        <v>0</v>
      </c>
      <c r="H1277" s="566" t="s">
        <v>675</v>
      </c>
      <c r="I1277" s="568">
        <v>2</v>
      </c>
      <c r="J1277" s="569">
        <v>4</v>
      </c>
      <c r="K1277" s="569">
        <v>4</v>
      </c>
      <c r="L1277" s="566"/>
      <c r="M1277" s="566" t="s">
        <v>476</v>
      </c>
      <c r="N1277" s="570">
        <v>445</v>
      </c>
      <c r="O1277" s="566"/>
      <c r="P1277" s="566" t="s">
        <v>477</v>
      </c>
      <c r="Q1277" s="568">
        <v>909678</v>
      </c>
      <c r="R1277" s="568">
        <v>7</v>
      </c>
      <c r="S1277" s="566" t="s">
        <v>1407</v>
      </c>
      <c r="T1277" s="575" t="s">
        <v>1442</v>
      </c>
      <c r="U1277" s="575" t="s">
        <v>670</v>
      </c>
      <c r="V1277" s="575" t="s">
        <v>517</v>
      </c>
      <c r="W1277" s="576" t="s">
        <v>470</v>
      </c>
      <c r="X1277" s="575" t="s">
        <v>1380</v>
      </c>
      <c r="Y1277" s="575" t="s">
        <v>1338</v>
      </c>
      <c r="Z1277" s="576" t="s">
        <v>2258</v>
      </c>
      <c r="AA1277" s="577">
        <v>445</v>
      </c>
      <c r="AB1277" s="575"/>
    </row>
    <row r="1278" spans="1:28" hidden="1">
      <c r="A1278" s="566" t="s">
        <v>1335</v>
      </c>
      <c r="B1278" s="566" t="s">
        <v>466</v>
      </c>
      <c r="C1278" s="566" t="s">
        <v>471</v>
      </c>
      <c r="D1278" s="566" t="s">
        <v>472</v>
      </c>
      <c r="E1278" s="566" t="s">
        <v>473</v>
      </c>
      <c r="F1278" s="566" t="s">
        <v>474</v>
      </c>
      <c r="G1278" s="567">
        <v>0</v>
      </c>
      <c r="H1278" s="566" t="s">
        <v>678</v>
      </c>
      <c r="I1278" s="568">
        <v>2</v>
      </c>
      <c r="J1278" s="569">
        <v>4</v>
      </c>
      <c r="K1278" s="569">
        <v>4</v>
      </c>
      <c r="L1278" s="566"/>
      <c r="M1278" s="566" t="s">
        <v>476</v>
      </c>
      <c r="N1278" s="570">
        <v>517</v>
      </c>
      <c r="O1278" s="566"/>
      <c r="P1278" s="566" t="s">
        <v>477</v>
      </c>
      <c r="Q1278" s="568">
        <v>909678</v>
      </c>
      <c r="R1278" s="568">
        <v>8</v>
      </c>
      <c r="S1278" s="566" t="s">
        <v>1410</v>
      </c>
      <c r="T1278" s="575" t="s">
        <v>1442</v>
      </c>
      <c r="U1278" s="575" t="s">
        <v>670</v>
      </c>
      <c r="V1278" s="575" t="s">
        <v>517</v>
      </c>
      <c r="W1278" s="576" t="s">
        <v>480</v>
      </c>
      <c r="X1278" s="575" t="s">
        <v>1380</v>
      </c>
      <c r="Y1278" s="575" t="s">
        <v>1338</v>
      </c>
      <c r="Z1278" s="576" t="s">
        <v>2259</v>
      </c>
      <c r="AA1278" s="577">
        <v>517</v>
      </c>
      <c r="AB1278" s="575"/>
    </row>
    <row r="1279" spans="1:28" hidden="1">
      <c r="A1279" s="566" t="s">
        <v>1335</v>
      </c>
      <c r="B1279" s="566" t="s">
        <v>466</v>
      </c>
      <c r="C1279" s="566" t="s">
        <v>487</v>
      </c>
      <c r="D1279" s="566" t="s">
        <v>472</v>
      </c>
      <c r="E1279" s="566" t="s">
        <v>473</v>
      </c>
      <c r="F1279" s="566" t="s">
        <v>489</v>
      </c>
      <c r="G1279" s="567">
        <v>50</v>
      </c>
      <c r="H1279" s="566" t="s">
        <v>687</v>
      </c>
      <c r="I1279" s="568">
        <v>2</v>
      </c>
      <c r="J1279" s="569">
        <v>4</v>
      </c>
      <c r="K1279" s="569">
        <v>4</v>
      </c>
      <c r="L1279" s="566"/>
      <c r="M1279" s="566" t="s">
        <v>476</v>
      </c>
      <c r="N1279" s="570">
        <v>697</v>
      </c>
      <c r="O1279" s="566"/>
      <c r="P1279" s="566" t="s">
        <v>477</v>
      </c>
      <c r="Q1279" s="568">
        <v>909678</v>
      </c>
      <c r="R1279" s="568">
        <v>11</v>
      </c>
      <c r="S1279" s="566" t="s">
        <v>1412</v>
      </c>
      <c r="T1279" s="575" t="s">
        <v>1442</v>
      </c>
      <c r="U1279" s="575" t="s">
        <v>670</v>
      </c>
      <c r="V1279" s="575" t="s">
        <v>517</v>
      </c>
      <c r="W1279" s="576" t="s">
        <v>499</v>
      </c>
      <c r="X1279" s="575" t="s">
        <v>1380</v>
      </c>
      <c r="Y1279" s="575" t="s">
        <v>1338</v>
      </c>
      <c r="Z1279" s="576" t="s">
        <v>2260</v>
      </c>
      <c r="AA1279" s="577">
        <v>697</v>
      </c>
      <c r="AB1279" s="575"/>
    </row>
    <row r="1280" spans="1:28" hidden="1">
      <c r="A1280" s="566" t="s">
        <v>1335</v>
      </c>
      <c r="B1280" s="566" t="s">
        <v>466</v>
      </c>
      <c r="C1280" s="566" t="s">
        <v>487</v>
      </c>
      <c r="D1280" s="566" t="s">
        <v>472</v>
      </c>
      <c r="E1280" s="566" t="s">
        <v>473</v>
      </c>
      <c r="F1280" s="566" t="s">
        <v>489</v>
      </c>
      <c r="G1280" s="567">
        <v>50</v>
      </c>
      <c r="H1280" s="566" t="s">
        <v>690</v>
      </c>
      <c r="I1280" s="568">
        <v>2</v>
      </c>
      <c r="J1280" s="569">
        <v>4</v>
      </c>
      <c r="K1280" s="569">
        <v>4</v>
      </c>
      <c r="L1280" s="566"/>
      <c r="M1280" s="566" t="s">
        <v>476</v>
      </c>
      <c r="N1280" s="570">
        <v>769</v>
      </c>
      <c r="O1280" s="566"/>
      <c r="P1280" s="566" t="s">
        <v>477</v>
      </c>
      <c r="Q1280" s="568">
        <v>909678</v>
      </c>
      <c r="R1280" s="568">
        <v>20</v>
      </c>
      <c r="S1280" s="566" t="s">
        <v>1414</v>
      </c>
      <c r="T1280" s="575" t="s">
        <v>1442</v>
      </c>
      <c r="U1280" s="575" t="s">
        <v>670</v>
      </c>
      <c r="V1280" s="575" t="s">
        <v>517</v>
      </c>
      <c r="W1280" s="576" t="s">
        <v>504</v>
      </c>
      <c r="X1280" s="575" t="s">
        <v>1380</v>
      </c>
      <c r="Y1280" s="575" t="s">
        <v>1338</v>
      </c>
      <c r="Z1280" s="576" t="s">
        <v>2261</v>
      </c>
      <c r="AA1280" s="577">
        <v>769</v>
      </c>
      <c r="AB1280" s="575"/>
    </row>
    <row r="1281" spans="1:28" hidden="1">
      <c r="A1281" s="566" t="s">
        <v>1335</v>
      </c>
      <c r="B1281" s="566" t="s">
        <v>466</v>
      </c>
      <c r="C1281" s="566" t="s">
        <v>471</v>
      </c>
      <c r="D1281" s="566" t="s">
        <v>472</v>
      </c>
      <c r="E1281" s="566" t="s">
        <v>473</v>
      </c>
      <c r="F1281" s="566" t="s">
        <v>474</v>
      </c>
      <c r="G1281" s="567">
        <v>0</v>
      </c>
      <c r="H1281" s="566" t="s">
        <v>677</v>
      </c>
      <c r="I1281" s="568">
        <v>2</v>
      </c>
      <c r="J1281" s="569">
        <v>53</v>
      </c>
      <c r="K1281" s="569">
        <v>53</v>
      </c>
      <c r="L1281" s="566"/>
      <c r="M1281" s="566" t="s">
        <v>476</v>
      </c>
      <c r="N1281" s="570">
        <v>1022</v>
      </c>
      <c r="O1281" s="566"/>
      <c r="P1281" s="566" t="s">
        <v>477</v>
      </c>
      <c r="Q1281" s="568">
        <v>909678</v>
      </c>
      <c r="R1281" s="568">
        <v>25</v>
      </c>
      <c r="S1281" s="566" t="s">
        <v>1336</v>
      </c>
      <c r="T1281" s="582" t="s">
        <v>253</v>
      </c>
      <c r="U1281" s="582" t="s">
        <v>670</v>
      </c>
      <c r="V1281" s="582" t="s">
        <v>517</v>
      </c>
      <c r="W1281" s="583" t="s">
        <v>1274</v>
      </c>
      <c r="X1281" s="582" t="s">
        <v>1337</v>
      </c>
      <c r="Y1281" s="582" t="s">
        <v>1338</v>
      </c>
      <c r="Z1281" s="584" t="s">
        <v>2262</v>
      </c>
      <c r="AA1281" s="585">
        <v>1022</v>
      </c>
      <c r="AB1281" s="582"/>
    </row>
    <row r="1282" spans="1:28" hidden="1">
      <c r="A1282" s="566" t="s">
        <v>1335</v>
      </c>
      <c r="B1282" s="566" t="s">
        <v>466</v>
      </c>
      <c r="C1282" s="566" t="s">
        <v>471</v>
      </c>
      <c r="D1282" s="566" t="s">
        <v>472</v>
      </c>
      <c r="E1282" s="566" t="s">
        <v>473</v>
      </c>
      <c r="F1282" s="566" t="s">
        <v>474</v>
      </c>
      <c r="G1282" s="567">
        <v>0</v>
      </c>
      <c r="H1282" s="566" t="s">
        <v>680</v>
      </c>
      <c r="I1282" s="568">
        <v>2</v>
      </c>
      <c r="J1282" s="569">
        <v>53</v>
      </c>
      <c r="K1282" s="569">
        <v>53</v>
      </c>
      <c r="L1282" s="566"/>
      <c r="M1282" s="566" t="s">
        <v>476</v>
      </c>
      <c r="N1282" s="570">
        <v>1058</v>
      </c>
      <c r="O1282" s="566"/>
      <c r="P1282" s="566" t="s">
        <v>477</v>
      </c>
      <c r="Q1282" s="568">
        <v>909678</v>
      </c>
      <c r="R1282" s="568">
        <v>26</v>
      </c>
      <c r="S1282" s="566" t="s">
        <v>1340</v>
      </c>
      <c r="T1282" s="582" t="s">
        <v>253</v>
      </c>
      <c r="U1282" s="582" t="s">
        <v>670</v>
      </c>
      <c r="V1282" s="582" t="s">
        <v>517</v>
      </c>
      <c r="W1282" s="583" t="s">
        <v>1275</v>
      </c>
      <c r="X1282" s="582" t="s">
        <v>1337</v>
      </c>
      <c r="Y1282" s="582" t="s">
        <v>1338</v>
      </c>
      <c r="Z1282" s="584" t="s">
        <v>2263</v>
      </c>
      <c r="AA1282" s="585">
        <v>1058</v>
      </c>
      <c r="AB1282" s="582"/>
    </row>
    <row r="1283" spans="1:28" hidden="1">
      <c r="A1283" s="566" t="s">
        <v>1335</v>
      </c>
      <c r="B1283" s="566" t="s">
        <v>466</v>
      </c>
      <c r="C1283" s="566" t="s">
        <v>487</v>
      </c>
      <c r="D1283" s="566" t="s">
        <v>472</v>
      </c>
      <c r="E1283" s="566" t="s">
        <v>473</v>
      </c>
      <c r="F1283" s="566" t="s">
        <v>489</v>
      </c>
      <c r="G1283" s="567">
        <v>50</v>
      </c>
      <c r="H1283" s="566" t="s">
        <v>682</v>
      </c>
      <c r="I1283" s="568">
        <v>2</v>
      </c>
      <c r="J1283" s="569">
        <v>53</v>
      </c>
      <c r="K1283" s="569">
        <v>53</v>
      </c>
      <c r="L1283" s="566"/>
      <c r="M1283" s="566" t="s">
        <v>476</v>
      </c>
      <c r="N1283" s="570">
        <v>1094</v>
      </c>
      <c r="O1283" s="566"/>
      <c r="P1283" s="566" t="s">
        <v>477</v>
      </c>
      <c r="Q1283" s="568">
        <v>909678</v>
      </c>
      <c r="R1283" s="568">
        <v>28</v>
      </c>
      <c r="S1283" s="566" t="s">
        <v>1342</v>
      </c>
      <c r="T1283" s="582" t="s">
        <v>253</v>
      </c>
      <c r="U1283" s="582" t="s">
        <v>670</v>
      </c>
      <c r="V1283" s="582" t="s">
        <v>517</v>
      </c>
      <c r="W1283" s="583" t="s">
        <v>485</v>
      </c>
      <c r="X1283" s="582" t="s">
        <v>1337</v>
      </c>
      <c r="Y1283" s="582" t="s">
        <v>1338</v>
      </c>
      <c r="Z1283" s="584" t="s">
        <v>2264</v>
      </c>
      <c r="AA1283" s="585">
        <v>1094</v>
      </c>
      <c r="AB1283" s="582"/>
    </row>
    <row r="1284" spans="1:28" hidden="1">
      <c r="A1284" s="566" t="s">
        <v>1335</v>
      </c>
      <c r="B1284" s="566" t="s">
        <v>466</v>
      </c>
      <c r="C1284" s="566" t="s">
        <v>487</v>
      </c>
      <c r="D1284" s="566" t="s">
        <v>472</v>
      </c>
      <c r="E1284" s="566" t="s">
        <v>473</v>
      </c>
      <c r="F1284" s="566" t="s">
        <v>489</v>
      </c>
      <c r="G1284" s="567">
        <v>50</v>
      </c>
      <c r="H1284" s="566" t="s">
        <v>684</v>
      </c>
      <c r="I1284" s="568">
        <v>2</v>
      </c>
      <c r="J1284" s="569">
        <v>53</v>
      </c>
      <c r="K1284" s="569">
        <v>53</v>
      </c>
      <c r="L1284" s="566"/>
      <c r="M1284" s="566" t="s">
        <v>476</v>
      </c>
      <c r="N1284" s="570">
        <v>1130</v>
      </c>
      <c r="O1284" s="566"/>
      <c r="P1284" s="566" t="s">
        <v>477</v>
      </c>
      <c r="Q1284" s="568">
        <v>909678</v>
      </c>
      <c r="R1284" s="568">
        <v>29</v>
      </c>
      <c r="S1284" s="566" t="s">
        <v>1344</v>
      </c>
      <c r="T1284" s="582" t="s">
        <v>253</v>
      </c>
      <c r="U1284" s="582" t="s">
        <v>670</v>
      </c>
      <c r="V1284" s="582" t="s">
        <v>517</v>
      </c>
      <c r="W1284" s="583" t="s">
        <v>491</v>
      </c>
      <c r="X1284" s="582" t="s">
        <v>1337</v>
      </c>
      <c r="Y1284" s="582" t="s">
        <v>1338</v>
      </c>
      <c r="Z1284" s="584" t="s">
        <v>2265</v>
      </c>
      <c r="AA1284" s="585">
        <v>1130</v>
      </c>
      <c r="AB1284" s="582"/>
    </row>
    <row r="1285" spans="1:28" hidden="1">
      <c r="A1285" s="566" t="s">
        <v>1335</v>
      </c>
      <c r="B1285" s="566" t="s">
        <v>466</v>
      </c>
      <c r="C1285" s="566" t="s">
        <v>487</v>
      </c>
      <c r="D1285" s="566" t="s">
        <v>472</v>
      </c>
      <c r="E1285" s="566" t="s">
        <v>473</v>
      </c>
      <c r="F1285" s="566" t="s">
        <v>489</v>
      </c>
      <c r="G1285" s="567">
        <v>50</v>
      </c>
      <c r="H1285" s="566" t="s">
        <v>686</v>
      </c>
      <c r="I1285" s="568">
        <v>2</v>
      </c>
      <c r="J1285" s="569">
        <v>53</v>
      </c>
      <c r="K1285" s="569">
        <v>53</v>
      </c>
      <c r="L1285" s="566"/>
      <c r="M1285" s="566" t="s">
        <v>476</v>
      </c>
      <c r="N1285" s="570">
        <v>1166</v>
      </c>
      <c r="O1285" s="566"/>
      <c r="P1285" s="566" t="s">
        <v>477</v>
      </c>
      <c r="Q1285" s="568">
        <v>909678</v>
      </c>
      <c r="R1285" s="568">
        <v>30</v>
      </c>
      <c r="S1285" s="566" t="s">
        <v>1346</v>
      </c>
      <c r="T1285" s="582" t="s">
        <v>253</v>
      </c>
      <c r="U1285" s="582" t="s">
        <v>670</v>
      </c>
      <c r="V1285" s="582" t="s">
        <v>517</v>
      </c>
      <c r="W1285" s="583" t="s">
        <v>495</v>
      </c>
      <c r="X1285" s="582" t="s">
        <v>1337</v>
      </c>
      <c r="Y1285" s="582" t="s">
        <v>1338</v>
      </c>
      <c r="Z1285" s="584" t="s">
        <v>2266</v>
      </c>
      <c r="AA1285" s="585">
        <v>1166</v>
      </c>
      <c r="AB1285" s="582"/>
    </row>
    <row r="1286" spans="1:28" hidden="1">
      <c r="A1286" s="566" t="s">
        <v>1335</v>
      </c>
      <c r="B1286" s="566" t="s">
        <v>466</v>
      </c>
      <c r="C1286" s="566" t="s">
        <v>487</v>
      </c>
      <c r="D1286" s="566" t="s">
        <v>472</v>
      </c>
      <c r="E1286" s="566" t="s">
        <v>473</v>
      </c>
      <c r="F1286" s="566" t="s">
        <v>489</v>
      </c>
      <c r="G1286" s="567">
        <v>50</v>
      </c>
      <c r="H1286" s="566" t="s">
        <v>689</v>
      </c>
      <c r="I1286" s="568">
        <v>2</v>
      </c>
      <c r="J1286" s="569">
        <v>53</v>
      </c>
      <c r="K1286" s="569">
        <v>53</v>
      </c>
      <c r="L1286" s="566"/>
      <c r="M1286" s="566" t="s">
        <v>476</v>
      </c>
      <c r="N1286" s="570">
        <v>1202</v>
      </c>
      <c r="O1286" s="566"/>
      <c r="P1286" s="566" t="s">
        <v>477</v>
      </c>
      <c r="Q1286" s="568">
        <v>909678</v>
      </c>
      <c r="R1286" s="568">
        <v>31</v>
      </c>
      <c r="S1286" s="566" t="s">
        <v>1348</v>
      </c>
      <c r="T1286" s="582" t="s">
        <v>253</v>
      </c>
      <c r="U1286" s="582" t="s">
        <v>670</v>
      </c>
      <c r="V1286" s="582" t="s">
        <v>517</v>
      </c>
      <c r="W1286" s="583" t="s">
        <v>1276</v>
      </c>
      <c r="X1286" s="582" t="s">
        <v>1337</v>
      </c>
      <c r="Y1286" s="582" t="s">
        <v>1338</v>
      </c>
      <c r="Z1286" s="584" t="s">
        <v>2267</v>
      </c>
      <c r="AA1286" s="585">
        <v>1202</v>
      </c>
      <c r="AB1286" s="582"/>
    </row>
    <row r="1287" spans="1:28" hidden="1">
      <c r="A1287" s="566" t="s">
        <v>1335</v>
      </c>
      <c r="B1287" s="566" t="s">
        <v>466</v>
      </c>
      <c r="C1287" s="566" t="s">
        <v>487</v>
      </c>
      <c r="D1287" s="566" t="s">
        <v>472</v>
      </c>
      <c r="E1287" s="566" t="s">
        <v>473</v>
      </c>
      <c r="F1287" s="566" t="s">
        <v>489</v>
      </c>
      <c r="G1287" s="567">
        <v>50</v>
      </c>
      <c r="H1287" s="566" t="s">
        <v>692</v>
      </c>
      <c r="I1287" s="568">
        <v>2</v>
      </c>
      <c r="J1287" s="569">
        <v>53</v>
      </c>
      <c r="K1287" s="569">
        <v>53</v>
      </c>
      <c r="L1287" s="566"/>
      <c r="M1287" s="566" t="s">
        <v>476</v>
      </c>
      <c r="N1287" s="570">
        <v>1238</v>
      </c>
      <c r="O1287" s="566"/>
      <c r="P1287" s="566" t="s">
        <v>477</v>
      </c>
      <c r="Q1287" s="568">
        <v>909678</v>
      </c>
      <c r="R1287" s="568">
        <v>32</v>
      </c>
      <c r="S1287" s="566" t="s">
        <v>1350</v>
      </c>
      <c r="T1287" s="582" t="s">
        <v>253</v>
      </c>
      <c r="U1287" s="582" t="s">
        <v>670</v>
      </c>
      <c r="V1287" s="582" t="s">
        <v>517</v>
      </c>
      <c r="W1287" s="583" t="s">
        <v>1277</v>
      </c>
      <c r="X1287" s="582" t="s">
        <v>1337</v>
      </c>
      <c r="Y1287" s="582" t="s">
        <v>1338</v>
      </c>
      <c r="Z1287" s="584" t="s">
        <v>2268</v>
      </c>
      <c r="AA1287" s="585">
        <v>1238</v>
      </c>
      <c r="AB1287" s="582"/>
    </row>
    <row r="1288" spans="1:28" hidden="1">
      <c r="A1288" s="566" t="s">
        <v>1335</v>
      </c>
      <c r="B1288" s="566" t="s">
        <v>466</v>
      </c>
      <c r="C1288" s="566" t="s">
        <v>471</v>
      </c>
      <c r="D1288" s="566" t="s">
        <v>472</v>
      </c>
      <c r="E1288" s="566" t="s">
        <v>473</v>
      </c>
      <c r="F1288" s="566" t="s">
        <v>474</v>
      </c>
      <c r="G1288" s="567">
        <v>0</v>
      </c>
      <c r="H1288" s="566" t="s">
        <v>2117</v>
      </c>
      <c r="I1288" s="568">
        <v>2</v>
      </c>
      <c r="J1288" s="569">
        <v>53</v>
      </c>
      <c r="K1288" s="569">
        <v>53</v>
      </c>
      <c r="L1288" s="566"/>
      <c r="M1288" s="566" t="s">
        <v>476</v>
      </c>
      <c r="N1288" s="570">
        <v>1274</v>
      </c>
      <c r="O1288" s="566"/>
      <c r="P1288" s="566" t="s">
        <v>477</v>
      </c>
      <c r="Q1288" s="568">
        <v>909678</v>
      </c>
      <c r="R1288" s="568">
        <v>27</v>
      </c>
      <c r="S1288" s="566" t="s">
        <v>1353</v>
      </c>
      <c r="T1288" s="582" t="s">
        <v>253</v>
      </c>
      <c r="U1288" s="582" t="s">
        <v>670</v>
      </c>
      <c r="V1288" s="582" t="s">
        <v>517</v>
      </c>
      <c r="W1288" s="583" t="s">
        <v>1354</v>
      </c>
      <c r="X1288" s="582" t="s">
        <v>1337</v>
      </c>
      <c r="Y1288" s="582" t="s">
        <v>1338</v>
      </c>
      <c r="Z1288" s="584" t="s">
        <v>2269</v>
      </c>
      <c r="AA1288" s="585">
        <v>1274</v>
      </c>
      <c r="AB1288" s="582"/>
    </row>
    <row r="1289" spans="1:28" hidden="1">
      <c r="A1289" s="566" t="s">
        <v>1335</v>
      </c>
      <c r="B1289" s="566" t="s">
        <v>466</v>
      </c>
      <c r="C1289" s="566" t="s">
        <v>487</v>
      </c>
      <c r="D1289" s="566" t="s">
        <v>472</v>
      </c>
      <c r="E1289" s="566" t="s">
        <v>473</v>
      </c>
      <c r="F1289" s="566" t="s">
        <v>489</v>
      </c>
      <c r="G1289" s="567">
        <v>50</v>
      </c>
      <c r="H1289" s="566" t="s">
        <v>2119</v>
      </c>
      <c r="I1289" s="568">
        <v>2</v>
      </c>
      <c r="J1289" s="569">
        <v>53</v>
      </c>
      <c r="K1289" s="569">
        <v>53</v>
      </c>
      <c r="L1289" s="566"/>
      <c r="M1289" s="566" t="s">
        <v>476</v>
      </c>
      <c r="N1289" s="570">
        <v>1310</v>
      </c>
      <c r="O1289" s="566"/>
      <c r="P1289" s="566" t="s">
        <v>477</v>
      </c>
      <c r="Q1289" s="568">
        <v>909678</v>
      </c>
      <c r="R1289" s="568">
        <v>33</v>
      </c>
      <c r="S1289" s="566" t="s">
        <v>1357</v>
      </c>
      <c r="T1289" s="582" t="s">
        <v>253</v>
      </c>
      <c r="U1289" s="582" t="s">
        <v>670</v>
      </c>
      <c r="V1289" s="582" t="s">
        <v>517</v>
      </c>
      <c r="W1289" s="583" t="s">
        <v>1358</v>
      </c>
      <c r="X1289" s="582" t="s">
        <v>1337</v>
      </c>
      <c r="Y1289" s="582" t="s">
        <v>1338</v>
      </c>
      <c r="Z1289" s="584" t="s">
        <v>2270</v>
      </c>
      <c r="AA1289" s="585">
        <v>1310</v>
      </c>
      <c r="AB1289" s="582"/>
    </row>
    <row r="1290" spans="1:28" hidden="1">
      <c r="A1290" s="566" t="s">
        <v>1335</v>
      </c>
      <c r="B1290" s="566" t="s">
        <v>466</v>
      </c>
      <c r="C1290" s="566" t="s">
        <v>471</v>
      </c>
      <c r="D1290" s="566" t="s">
        <v>472</v>
      </c>
      <c r="E1290" s="566" t="s">
        <v>473</v>
      </c>
      <c r="F1290" s="566" t="s">
        <v>474</v>
      </c>
      <c r="G1290" s="567">
        <v>0</v>
      </c>
      <c r="H1290" s="566" t="s">
        <v>704</v>
      </c>
      <c r="I1290" s="568">
        <v>2</v>
      </c>
      <c r="J1290" s="569">
        <v>53</v>
      </c>
      <c r="K1290" s="569">
        <v>53</v>
      </c>
      <c r="L1290" s="566"/>
      <c r="M1290" s="566" t="s">
        <v>476</v>
      </c>
      <c r="N1290" s="570">
        <v>914</v>
      </c>
      <c r="O1290" s="566"/>
      <c r="P1290" s="566" t="s">
        <v>477</v>
      </c>
      <c r="Q1290" s="568">
        <v>909678</v>
      </c>
      <c r="R1290" s="568">
        <v>22</v>
      </c>
      <c r="S1290" s="566" t="s">
        <v>1360</v>
      </c>
      <c r="T1290" s="582" t="s">
        <v>253</v>
      </c>
      <c r="U1290" s="582" t="s">
        <v>670</v>
      </c>
      <c r="V1290" s="582" t="s">
        <v>517</v>
      </c>
      <c r="W1290" s="583" t="s">
        <v>509</v>
      </c>
      <c r="X1290" s="582" t="s">
        <v>1337</v>
      </c>
      <c r="Y1290" s="582" t="s">
        <v>1338</v>
      </c>
      <c r="Z1290" s="584" t="s">
        <v>2271</v>
      </c>
      <c r="AA1290" s="585">
        <v>914</v>
      </c>
      <c r="AB1290" s="582"/>
    </row>
    <row r="1291" spans="1:28" hidden="1">
      <c r="A1291" s="566" t="s">
        <v>1335</v>
      </c>
      <c r="B1291" s="566" t="s">
        <v>466</v>
      </c>
      <c r="C1291" s="566" t="s">
        <v>471</v>
      </c>
      <c r="D1291" s="566" t="s">
        <v>472</v>
      </c>
      <c r="E1291" s="566" t="s">
        <v>473</v>
      </c>
      <c r="F1291" s="566" t="s">
        <v>474</v>
      </c>
      <c r="G1291" s="567">
        <v>0</v>
      </c>
      <c r="H1291" s="566" t="s">
        <v>706</v>
      </c>
      <c r="I1291" s="568">
        <v>2</v>
      </c>
      <c r="J1291" s="569">
        <v>53</v>
      </c>
      <c r="K1291" s="569">
        <v>53</v>
      </c>
      <c r="L1291" s="566"/>
      <c r="M1291" s="566" t="s">
        <v>476</v>
      </c>
      <c r="N1291" s="570">
        <v>950</v>
      </c>
      <c r="O1291" s="566"/>
      <c r="P1291" s="566" t="s">
        <v>477</v>
      </c>
      <c r="Q1291" s="568">
        <v>909678</v>
      </c>
      <c r="R1291" s="568">
        <v>23</v>
      </c>
      <c r="S1291" s="566" t="s">
        <v>1362</v>
      </c>
      <c r="T1291" s="582" t="s">
        <v>253</v>
      </c>
      <c r="U1291" s="582" t="s">
        <v>670</v>
      </c>
      <c r="V1291" s="582" t="s">
        <v>517</v>
      </c>
      <c r="W1291" s="583" t="s">
        <v>512</v>
      </c>
      <c r="X1291" s="582" t="s">
        <v>1337</v>
      </c>
      <c r="Y1291" s="582" t="s">
        <v>1338</v>
      </c>
      <c r="Z1291" s="584" t="s">
        <v>2272</v>
      </c>
      <c r="AA1291" s="585">
        <v>950</v>
      </c>
      <c r="AB1291" s="582"/>
    </row>
    <row r="1292" spans="1:28" hidden="1">
      <c r="A1292" s="566" t="s">
        <v>1335</v>
      </c>
      <c r="B1292" s="566" t="s">
        <v>466</v>
      </c>
      <c r="C1292" s="566" t="s">
        <v>471</v>
      </c>
      <c r="D1292" s="566" t="s">
        <v>472</v>
      </c>
      <c r="E1292" s="566" t="s">
        <v>473</v>
      </c>
      <c r="F1292" s="566" t="s">
        <v>474</v>
      </c>
      <c r="G1292" s="567">
        <v>0</v>
      </c>
      <c r="H1292" s="566" t="s">
        <v>708</v>
      </c>
      <c r="I1292" s="568">
        <v>2</v>
      </c>
      <c r="J1292" s="569">
        <v>53</v>
      </c>
      <c r="K1292" s="569">
        <v>53</v>
      </c>
      <c r="L1292" s="566"/>
      <c r="M1292" s="566" t="s">
        <v>476</v>
      </c>
      <c r="N1292" s="570">
        <v>986</v>
      </c>
      <c r="O1292" s="566"/>
      <c r="P1292" s="566" t="s">
        <v>477</v>
      </c>
      <c r="Q1292" s="568">
        <v>909678</v>
      </c>
      <c r="R1292" s="568">
        <v>24</v>
      </c>
      <c r="S1292" s="566" t="s">
        <v>1364</v>
      </c>
      <c r="T1292" s="582" t="s">
        <v>253</v>
      </c>
      <c r="U1292" s="582" t="s">
        <v>670</v>
      </c>
      <c r="V1292" s="582" t="s">
        <v>517</v>
      </c>
      <c r="W1292" s="583" t="s">
        <v>514</v>
      </c>
      <c r="X1292" s="582" t="s">
        <v>1337</v>
      </c>
      <c r="Y1292" s="582" t="s">
        <v>1338</v>
      </c>
      <c r="Z1292" s="584" t="s">
        <v>2273</v>
      </c>
      <c r="AA1292" s="585">
        <v>986</v>
      </c>
      <c r="AB1292" s="582"/>
    </row>
    <row r="1293" spans="1:28" hidden="1">
      <c r="A1293" s="566" t="s">
        <v>1335</v>
      </c>
      <c r="B1293" s="566" t="s">
        <v>466</v>
      </c>
      <c r="C1293" s="566" t="s">
        <v>471</v>
      </c>
      <c r="D1293" s="566" t="s">
        <v>472</v>
      </c>
      <c r="E1293" s="566" t="s">
        <v>473</v>
      </c>
      <c r="F1293" s="566" t="s">
        <v>474</v>
      </c>
      <c r="G1293" s="567">
        <v>0</v>
      </c>
      <c r="H1293" s="566" t="s">
        <v>677</v>
      </c>
      <c r="I1293" s="568">
        <v>2</v>
      </c>
      <c r="J1293" s="569">
        <v>77</v>
      </c>
      <c r="K1293" s="569">
        <v>77</v>
      </c>
      <c r="L1293" s="566"/>
      <c r="M1293" s="566" t="s">
        <v>476</v>
      </c>
      <c r="N1293" s="570">
        <v>1562</v>
      </c>
      <c r="O1293" s="566"/>
      <c r="P1293" s="566" t="s">
        <v>477</v>
      </c>
      <c r="Q1293" s="568">
        <v>909678</v>
      </c>
      <c r="R1293" s="568">
        <v>40</v>
      </c>
      <c r="S1293" s="566" t="s">
        <v>1366</v>
      </c>
      <c r="T1293" s="582" t="s">
        <v>253</v>
      </c>
      <c r="U1293" s="582" t="s">
        <v>670</v>
      </c>
      <c r="V1293" s="582" t="s">
        <v>517</v>
      </c>
      <c r="W1293" s="583" t="s">
        <v>1274</v>
      </c>
      <c r="X1293" s="582" t="s">
        <v>1337</v>
      </c>
      <c r="Y1293" s="582" t="s">
        <v>1367</v>
      </c>
      <c r="Z1293" s="584" t="s">
        <v>2274</v>
      </c>
      <c r="AA1293" s="585">
        <v>1562</v>
      </c>
      <c r="AB1293" s="582"/>
    </row>
    <row r="1294" spans="1:28" hidden="1">
      <c r="A1294" s="566" t="s">
        <v>1335</v>
      </c>
      <c r="B1294" s="566" t="s">
        <v>466</v>
      </c>
      <c r="C1294" s="566" t="s">
        <v>471</v>
      </c>
      <c r="D1294" s="566" t="s">
        <v>472</v>
      </c>
      <c r="E1294" s="566" t="s">
        <v>473</v>
      </c>
      <c r="F1294" s="566" t="s">
        <v>474</v>
      </c>
      <c r="G1294" s="567">
        <v>0</v>
      </c>
      <c r="H1294" s="566" t="s">
        <v>680</v>
      </c>
      <c r="I1294" s="568">
        <v>2</v>
      </c>
      <c r="J1294" s="569">
        <v>77</v>
      </c>
      <c r="K1294" s="569">
        <v>77</v>
      </c>
      <c r="L1294" s="566"/>
      <c r="M1294" s="566" t="s">
        <v>476</v>
      </c>
      <c r="N1294" s="570">
        <v>1598</v>
      </c>
      <c r="O1294" s="566"/>
      <c r="P1294" s="566" t="s">
        <v>477</v>
      </c>
      <c r="Q1294" s="568">
        <v>909678</v>
      </c>
      <c r="R1294" s="568">
        <v>41</v>
      </c>
      <c r="S1294" s="566" t="s">
        <v>1369</v>
      </c>
      <c r="T1294" s="582" t="s">
        <v>253</v>
      </c>
      <c r="U1294" s="582" t="s">
        <v>670</v>
      </c>
      <c r="V1294" s="582" t="s">
        <v>517</v>
      </c>
      <c r="W1294" s="583" t="s">
        <v>1275</v>
      </c>
      <c r="X1294" s="582" t="s">
        <v>1337</v>
      </c>
      <c r="Y1294" s="582" t="s">
        <v>1367</v>
      </c>
      <c r="Z1294" s="584" t="s">
        <v>2275</v>
      </c>
      <c r="AA1294" s="585">
        <v>1598</v>
      </c>
      <c r="AB1294" s="582"/>
    </row>
    <row r="1295" spans="1:28" hidden="1">
      <c r="A1295" s="566" t="s">
        <v>1335</v>
      </c>
      <c r="B1295" s="566" t="s">
        <v>466</v>
      </c>
      <c r="C1295" s="566" t="s">
        <v>487</v>
      </c>
      <c r="D1295" s="566" t="s">
        <v>472</v>
      </c>
      <c r="E1295" s="566" t="s">
        <v>473</v>
      </c>
      <c r="F1295" s="566" t="s">
        <v>489</v>
      </c>
      <c r="G1295" s="567">
        <v>50</v>
      </c>
      <c r="H1295" s="566" t="s">
        <v>689</v>
      </c>
      <c r="I1295" s="568">
        <v>2</v>
      </c>
      <c r="J1295" s="569">
        <v>77</v>
      </c>
      <c r="K1295" s="569">
        <v>77</v>
      </c>
      <c r="L1295" s="566"/>
      <c r="M1295" s="566" t="s">
        <v>476</v>
      </c>
      <c r="N1295" s="570">
        <v>1634</v>
      </c>
      <c r="O1295" s="566"/>
      <c r="P1295" s="566" t="s">
        <v>477</v>
      </c>
      <c r="Q1295" s="568">
        <v>909678</v>
      </c>
      <c r="R1295" s="568">
        <v>43</v>
      </c>
      <c r="S1295" s="566" t="s">
        <v>1371</v>
      </c>
      <c r="T1295" s="582" t="s">
        <v>253</v>
      </c>
      <c r="U1295" s="582" t="s">
        <v>670</v>
      </c>
      <c r="V1295" s="582" t="s">
        <v>517</v>
      </c>
      <c r="W1295" s="583" t="s">
        <v>1276</v>
      </c>
      <c r="X1295" s="582" t="s">
        <v>1337</v>
      </c>
      <c r="Y1295" s="582" t="s">
        <v>1367</v>
      </c>
      <c r="Z1295" s="584" t="s">
        <v>2276</v>
      </c>
      <c r="AA1295" s="585">
        <v>1634</v>
      </c>
      <c r="AB1295" s="582"/>
    </row>
    <row r="1296" spans="1:28" hidden="1">
      <c r="A1296" s="566" t="s">
        <v>1335</v>
      </c>
      <c r="B1296" s="566" t="s">
        <v>466</v>
      </c>
      <c r="C1296" s="566" t="s">
        <v>487</v>
      </c>
      <c r="D1296" s="566" t="s">
        <v>472</v>
      </c>
      <c r="E1296" s="566" t="s">
        <v>473</v>
      </c>
      <c r="F1296" s="566" t="s">
        <v>489</v>
      </c>
      <c r="G1296" s="567">
        <v>50</v>
      </c>
      <c r="H1296" s="566" t="s">
        <v>692</v>
      </c>
      <c r="I1296" s="568">
        <v>2</v>
      </c>
      <c r="J1296" s="569">
        <v>77</v>
      </c>
      <c r="K1296" s="569">
        <v>77</v>
      </c>
      <c r="L1296" s="566"/>
      <c r="M1296" s="566" t="s">
        <v>476</v>
      </c>
      <c r="N1296" s="570">
        <v>1670</v>
      </c>
      <c r="O1296" s="566"/>
      <c r="P1296" s="566" t="s">
        <v>477</v>
      </c>
      <c r="Q1296" s="568">
        <v>909678</v>
      </c>
      <c r="R1296" s="568">
        <v>44</v>
      </c>
      <c r="S1296" s="566" t="s">
        <v>1373</v>
      </c>
      <c r="T1296" s="582" t="s">
        <v>253</v>
      </c>
      <c r="U1296" s="582" t="s">
        <v>670</v>
      </c>
      <c r="V1296" s="582" t="s">
        <v>517</v>
      </c>
      <c r="W1296" s="583" t="s">
        <v>1277</v>
      </c>
      <c r="X1296" s="582" t="s">
        <v>1337</v>
      </c>
      <c r="Y1296" s="582" t="s">
        <v>1367</v>
      </c>
      <c r="Z1296" s="584" t="s">
        <v>2277</v>
      </c>
      <c r="AA1296" s="585">
        <v>1670</v>
      </c>
      <c r="AB1296" s="582"/>
    </row>
    <row r="1297" spans="1:28" hidden="1">
      <c r="A1297" s="566" t="s">
        <v>1335</v>
      </c>
      <c r="B1297" s="566" t="s">
        <v>466</v>
      </c>
      <c r="C1297" s="566" t="s">
        <v>471</v>
      </c>
      <c r="D1297" s="566" t="s">
        <v>472</v>
      </c>
      <c r="E1297" s="566" t="s">
        <v>473</v>
      </c>
      <c r="F1297" s="566" t="s">
        <v>474</v>
      </c>
      <c r="G1297" s="567">
        <v>0</v>
      </c>
      <c r="H1297" s="566" t="s">
        <v>2117</v>
      </c>
      <c r="I1297" s="568">
        <v>2</v>
      </c>
      <c r="J1297" s="569">
        <v>77</v>
      </c>
      <c r="K1297" s="569">
        <v>77</v>
      </c>
      <c r="L1297" s="566"/>
      <c r="M1297" s="566" t="s">
        <v>476</v>
      </c>
      <c r="N1297" s="570">
        <v>1706</v>
      </c>
      <c r="O1297" s="566"/>
      <c r="P1297" s="566" t="s">
        <v>477</v>
      </c>
      <c r="Q1297" s="568">
        <v>909678</v>
      </c>
      <c r="R1297" s="568">
        <v>42</v>
      </c>
      <c r="S1297" s="566" t="s">
        <v>1375</v>
      </c>
      <c r="T1297" s="582" t="s">
        <v>253</v>
      </c>
      <c r="U1297" s="582" t="s">
        <v>670</v>
      </c>
      <c r="V1297" s="582" t="s">
        <v>517</v>
      </c>
      <c r="W1297" s="583" t="s">
        <v>1354</v>
      </c>
      <c r="X1297" s="582" t="s">
        <v>1337</v>
      </c>
      <c r="Y1297" s="582" t="s">
        <v>1367</v>
      </c>
      <c r="Z1297" s="584" t="s">
        <v>2278</v>
      </c>
      <c r="AA1297" s="585">
        <v>1706</v>
      </c>
      <c r="AB1297" s="582"/>
    </row>
    <row r="1298" spans="1:28" hidden="1">
      <c r="A1298" s="566" t="s">
        <v>1335</v>
      </c>
      <c r="B1298" s="566" t="s">
        <v>466</v>
      </c>
      <c r="C1298" s="566" t="s">
        <v>487</v>
      </c>
      <c r="D1298" s="566" t="s">
        <v>472</v>
      </c>
      <c r="E1298" s="566" t="s">
        <v>473</v>
      </c>
      <c r="F1298" s="566" t="s">
        <v>489</v>
      </c>
      <c r="G1298" s="567">
        <v>50</v>
      </c>
      <c r="H1298" s="566" t="s">
        <v>2119</v>
      </c>
      <c r="I1298" s="568">
        <v>2</v>
      </c>
      <c r="J1298" s="569">
        <v>77</v>
      </c>
      <c r="K1298" s="569">
        <v>77</v>
      </c>
      <c r="L1298" s="566"/>
      <c r="M1298" s="566" t="s">
        <v>476</v>
      </c>
      <c r="N1298" s="570">
        <v>1742</v>
      </c>
      <c r="O1298" s="566"/>
      <c r="P1298" s="566" t="s">
        <v>477</v>
      </c>
      <c r="Q1298" s="568">
        <v>909678</v>
      </c>
      <c r="R1298" s="568">
        <v>45</v>
      </c>
      <c r="S1298" s="566" t="s">
        <v>1377</v>
      </c>
      <c r="T1298" s="582" t="s">
        <v>253</v>
      </c>
      <c r="U1298" s="582" t="s">
        <v>670</v>
      </c>
      <c r="V1298" s="582" t="s">
        <v>517</v>
      </c>
      <c r="W1298" s="583" t="s">
        <v>1358</v>
      </c>
      <c r="X1298" s="582" t="s">
        <v>1337</v>
      </c>
      <c r="Y1298" s="582" t="s">
        <v>1367</v>
      </c>
      <c r="Z1298" s="584" t="s">
        <v>2279</v>
      </c>
      <c r="AA1298" s="585">
        <v>1742</v>
      </c>
      <c r="AB1298" s="582"/>
    </row>
    <row r="1299" spans="1:28" hidden="1">
      <c r="A1299" s="566" t="s">
        <v>1335</v>
      </c>
      <c r="B1299" s="566" t="s">
        <v>466</v>
      </c>
      <c r="C1299" s="566" t="s">
        <v>553</v>
      </c>
      <c r="D1299" s="566" t="s">
        <v>472</v>
      </c>
      <c r="E1299" s="566" t="s">
        <v>473</v>
      </c>
      <c r="F1299" s="566" t="s">
        <v>554</v>
      </c>
      <c r="G1299" s="567">
        <v>13</v>
      </c>
      <c r="H1299" s="566" t="s">
        <v>1170</v>
      </c>
      <c r="I1299" s="568">
        <v>2</v>
      </c>
      <c r="J1299" s="569">
        <v>22</v>
      </c>
      <c r="K1299" s="569">
        <v>22</v>
      </c>
      <c r="L1299" s="569">
        <v>17</v>
      </c>
      <c r="M1299" s="566" t="s">
        <v>476</v>
      </c>
      <c r="N1299" s="570">
        <v>167</v>
      </c>
      <c r="O1299" s="566"/>
      <c r="P1299" s="566" t="s">
        <v>477</v>
      </c>
      <c r="Q1299" s="568">
        <v>909678</v>
      </c>
      <c r="R1299" s="568">
        <v>9</v>
      </c>
      <c r="S1299" s="566" t="s">
        <v>1379</v>
      </c>
      <c r="T1299" s="582" t="s">
        <v>257</v>
      </c>
      <c r="U1299" s="582" t="s">
        <v>670</v>
      </c>
      <c r="V1299" s="582" t="s">
        <v>517</v>
      </c>
      <c r="W1299" s="583" t="s">
        <v>551</v>
      </c>
      <c r="X1299" s="582" t="s">
        <v>1380</v>
      </c>
      <c r="Y1299" s="582" t="s">
        <v>1338</v>
      </c>
      <c r="Z1299" s="584" t="s">
        <v>1169</v>
      </c>
      <c r="AA1299" s="585">
        <v>167</v>
      </c>
      <c r="AB1299" s="582">
        <v>260066</v>
      </c>
    </row>
    <row r="1300" spans="1:28" hidden="1">
      <c r="A1300" s="566" t="s">
        <v>1335</v>
      </c>
      <c r="B1300" s="566" t="s">
        <v>466</v>
      </c>
      <c r="C1300" s="566" t="s">
        <v>553</v>
      </c>
      <c r="D1300" s="566" t="s">
        <v>472</v>
      </c>
      <c r="E1300" s="566" t="s">
        <v>473</v>
      </c>
      <c r="F1300" s="566" t="s">
        <v>554</v>
      </c>
      <c r="G1300" s="567">
        <v>16</v>
      </c>
      <c r="H1300" s="566" t="s">
        <v>1172</v>
      </c>
      <c r="I1300" s="568">
        <v>2</v>
      </c>
      <c r="J1300" s="569">
        <v>22</v>
      </c>
      <c r="K1300" s="569">
        <v>22</v>
      </c>
      <c r="L1300" s="569">
        <v>17</v>
      </c>
      <c r="M1300" s="566" t="s">
        <v>476</v>
      </c>
      <c r="N1300" s="570">
        <v>311</v>
      </c>
      <c r="O1300" s="566"/>
      <c r="P1300" s="566" t="s">
        <v>477</v>
      </c>
      <c r="Q1300" s="568">
        <v>909678</v>
      </c>
      <c r="R1300" s="568">
        <v>4</v>
      </c>
      <c r="S1300" s="566" t="s">
        <v>1381</v>
      </c>
      <c r="T1300" s="582" t="s">
        <v>257</v>
      </c>
      <c r="U1300" s="582" t="s">
        <v>670</v>
      </c>
      <c r="V1300" s="582" t="s">
        <v>517</v>
      </c>
      <c r="W1300" s="583" t="s">
        <v>556</v>
      </c>
      <c r="X1300" s="582" t="s">
        <v>1380</v>
      </c>
      <c r="Y1300" s="582" t="s">
        <v>1338</v>
      </c>
      <c r="Z1300" s="584" t="s">
        <v>1171</v>
      </c>
      <c r="AA1300" s="585">
        <v>311</v>
      </c>
      <c r="AB1300" s="582">
        <v>260210</v>
      </c>
    </row>
    <row r="1301" spans="1:28" hidden="1">
      <c r="A1301" s="566" t="s">
        <v>1335</v>
      </c>
      <c r="B1301" s="566" t="s">
        <v>466</v>
      </c>
      <c r="C1301" s="566" t="s">
        <v>471</v>
      </c>
      <c r="D1301" s="566" t="s">
        <v>472</v>
      </c>
      <c r="E1301" s="566" t="s">
        <v>473</v>
      </c>
      <c r="F1301" s="566" t="s">
        <v>474</v>
      </c>
      <c r="G1301" s="567">
        <v>0</v>
      </c>
      <c r="H1301" s="566" t="s">
        <v>677</v>
      </c>
      <c r="I1301" s="568">
        <v>2</v>
      </c>
      <c r="J1301" s="569">
        <v>5</v>
      </c>
      <c r="K1301" s="569">
        <v>5</v>
      </c>
      <c r="L1301" s="566"/>
      <c r="M1301" s="566" t="s">
        <v>476</v>
      </c>
      <c r="N1301" s="570">
        <v>482</v>
      </c>
      <c r="O1301" s="566"/>
      <c r="P1301" s="566" t="s">
        <v>477</v>
      </c>
      <c r="Q1301" s="568">
        <v>909678</v>
      </c>
      <c r="R1301" s="568">
        <v>10</v>
      </c>
      <c r="S1301" s="566" t="s">
        <v>1382</v>
      </c>
      <c r="T1301" s="582" t="s">
        <v>253</v>
      </c>
      <c r="U1301" s="582" t="s">
        <v>670</v>
      </c>
      <c r="V1301" s="582" t="s">
        <v>517</v>
      </c>
      <c r="W1301" s="583" t="s">
        <v>1274</v>
      </c>
      <c r="X1301" s="582" t="s">
        <v>1380</v>
      </c>
      <c r="Y1301" s="582" t="s">
        <v>1338</v>
      </c>
      <c r="Z1301" s="584" t="s">
        <v>1173</v>
      </c>
      <c r="AA1301" s="585">
        <v>482</v>
      </c>
      <c r="AB1301" s="582"/>
    </row>
    <row r="1302" spans="1:28" hidden="1">
      <c r="A1302" s="566" t="s">
        <v>1335</v>
      </c>
      <c r="B1302" s="566" t="s">
        <v>466</v>
      </c>
      <c r="C1302" s="566" t="s">
        <v>471</v>
      </c>
      <c r="D1302" s="566" t="s">
        <v>472</v>
      </c>
      <c r="E1302" s="566" t="s">
        <v>473</v>
      </c>
      <c r="F1302" s="566" t="s">
        <v>474</v>
      </c>
      <c r="G1302" s="567">
        <v>0</v>
      </c>
      <c r="H1302" s="566" t="s">
        <v>680</v>
      </c>
      <c r="I1302" s="568">
        <v>2</v>
      </c>
      <c r="J1302" s="569">
        <v>5</v>
      </c>
      <c r="K1302" s="569">
        <v>5</v>
      </c>
      <c r="L1302" s="566"/>
      <c r="M1302" s="566" t="s">
        <v>476</v>
      </c>
      <c r="N1302" s="570">
        <v>554</v>
      </c>
      <c r="O1302" s="566"/>
      <c r="P1302" s="566" t="s">
        <v>477</v>
      </c>
      <c r="Q1302" s="568">
        <v>909678</v>
      </c>
      <c r="R1302" s="568">
        <v>15</v>
      </c>
      <c r="S1302" s="566" t="s">
        <v>483</v>
      </c>
      <c r="T1302" s="582" t="s">
        <v>253</v>
      </c>
      <c r="U1302" s="582" t="s">
        <v>670</v>
      </c>
      <c r="V1302" s="582" t="s">
        <v>517</v>
      </c>
      <c r="W1302" s="583" t="s">
        <v>1275</v>
      </c>
      <c r="X1302" s="582" t="s">
        <v>1380</v>
      </c>
      <c r="Y1302" s="582" t="s">
        <v>1338</v>
      </c>
      <c r="Z1302" s="584" t="s">
        <v>1174</v>
      </c>
      <c r="AA1302" s="585">
        <v>554</v>
      </c>
      <c r="AB1302" s="582"/>
    </row>
    <row r="1303" spans="1:28" hidden="1">
      <c r="A1303" s="566" t="s">
        <v>1335</v>
      </c>
      <c r="B1303" s="566" t="s">
        <v>466</v>
      </c>
      <c r="C1303" s="566" t="s">
        <v>487</v>
      </c>
      <c r="D1303" s="566" t="s">
        <v>472</v>
      </c>
      <c r="E1303" s="566" t="s">
        <v>473</v>
      </c>
      <c r="F1303" s="566" t="s">
        <v>489</v>
      </c>
      <c r="G1303" s="567">
        <v>50</v>
      </c>
      <c r="H1303" s="566" t="s">
        <v>682</v>
      </c>
      <c r="I1303" s="568">
        <v>2</v>
      </c>
      <c r="J1303" s="569">
        <v>5</v>
      </c>
      <c r="K1303" s="569">
        <v>5</v>
      </c>
      <c r="L1303" s="566"/>
      <c r="M1303" s="566" t="s">
        <v>476</v>
      </c>
      <c r="N1303" s="570">
        <v>590</v>
      </c>
      <c r="O1303" s="566"/>
      <c r="P1303" s="566" t="s">
        <v>477</v>
      </c>
      <c r="Q1303" s="568">
        <v>909678</v>
      </c>
      <c r="R1303" s="568">
        <v>16</v>
      </c>
      <c r="S1303" s="566" t="s">
        <v>488</v>
      </c>
      <c r="T1303" s="582" t="s">
        <v>253</v>
      </c>
      <c r="U1303" s="582" t="s">
        <v>670</v>
      </c>
      <c r="V1303" s="582" t="s">
        <v>517</v>
      </c>
      <c r="W1303" s="583" t="s">
        <v>485</v>
      </c>
      <c r="X1303" s="582" t="s">
        <v>1380</v>
      </c>
      <c r="Y1303" s="582" t="s">
        <v>1338</v>
      </c>
      <c r="Z1303" s="584" t="s">
        <v>1175</v>
      </c>
      <c r="AA1303" s="585">
        <v>590</v>
      </c>
      <c r="AB1303" s="582"/>
    </row>
    <row r="1304" spans="1:28" hidden="1">
      <c r="A1304" s="566" t="s">
        <v>1335</v>
      </c>
      <c r="B1304" s="566" t="s">
        <v>466</v>
      </c>
      <c r="C1304" s="566" t="s">
        <v>487</v>
      </c>
      <c r="D1304" s="566" t="s">
        <v>472</v>
      </c>
      <c r="E1304" s="566" t="s">
        <v>473</v>
      </c>
      <c r="F1304" s="566" t="s">
        <v>489</v>
      </c>
      <c r="G1304" s="567">
        <v>50</v>
      </c>
      <c r="H1304" s="566" t="s">
        <v>684</v>
      </c>
      <c r="I1304" s="568">
        <v>2</v>
      </c>
      <c r="J1304" s="569">
        <v>5</v>
      </c>
      <c r="K1304" s="569">
        <v>5</v>
      </c>
      <c r="L1304" s="566"/>
      <c r="M1304" s="566" t="s">
        <v>476</v>
      </c>
      <c r="N1304" s="570">
        <v>626</v>
      </c>
      <c r="O1304" s="566"/>
      <c r="P1304" s="566" t="s">
        <v>477</v>
      </c>
      <c r="Q1304" s="568">
        <v>909678</v>
      </c>
      <c r="R1304" s="568">
        <v>17</v>
      </c>
      <c r="S1304" s="566" t="s">
        <v>493</v>
      </c>
      <c r="T1304" s="582" t="s">
        <v>253</v>
      </c>
      <c r="U1304" s="582" t="s">
        <v>670</v>
      </c>
      <c r="V1304" s="582" t="s">
        <v>517</v>
      </c>
      <c r="W1304" s="583" t="s">
        <v>491</v>
      </c>
      <c r="X1304" s="582" t="s">
        <v>1380</v>
      </c>
      <c r="Y1304" s="582" t="s">
        <v>1338</v>
      </c>
      <c r="Z1304" s="584" t="s">
        <v>1176</v>
      </c>
      <c r="AA1304" s="585">
        <v>626</v>
      </c>
      <c r="AB1304" s="582"/>
    </row>
    <row r="1305" spans="1:28" hidden="1">
      <c r="A1305" s="566" t="s">
        <v>1335</v>
      </c>
      <c r="B1305" s="566" t="s">
        <v>466</v>
      </c>
      <c r="C1305" s="566" t="s">
        <v>487</v>
      </c>
      <c r="D1305" s="566" t="s">
        <v>472</v>
      </c>
      <c r="E1305" s="566" t="s">
        <v>473</v>
      </c>
      <c r="F1305" s="566" t="s">
        <v>489</v>
      </c>
      <c r="G1305" s="567">
        <v>50</v>
      </c>
      <c r="H1305" s="566" t="s">
        <v>686</v>
      </c>
      <c r="I1305" s="568">
        <v>2</v>
      </c>
      <c r="J1305" s="569">
        <v>5</v>
      </c>
      <c r="K1305" s="569">
        <v>5</v>
      </c>
      <c r="L1305" s="566"/>
      <c r="M1305" s="566" t="s">
        <v>476</v>
      </c>
      <c r="N1305" s="570">
        <v>662</v>
      </c>
      <c r="O1305" s="566"/>
      <c r="P1305" s="566" t="s">
        <v>477</v>
      </c>
      <c r="Q1305" s="568">
        <v>909678</v>
      </c>
      <c r="R1305" s="568">
        <v>18</v>
      </c>
      <c r="S1305" s="566" t="s">
        <v>497</v>
      </c>
      <c r="T1305" s="582" t="s">
        <v>253</v>
      </c>
      <c r="U1305" s="582" t="s">
        <v>670</v>
      </c>
      <c r="V1305" s="582" t="s">
        <v>517</v>
      </c>
      <c r="W1305" s="583" t="s">
        <v>495</v>
      </c>
      <c r="X1305" s="582" t="s">
        <v>1380</v>
      </c>
      <c r="Y1305" s="582" t="s">
        <v>1338</v>
      </c>
      <c r="Z1305" s="584" t="s">
        <v>1177</v>
      </c>
      <c r="AA1305" s="585">
        <v>662</v>
      </c>
      <c r="AB1305" s="582"/>
    </row>
    <row r="1306" spans="1:28" hidden="1">
      <c r="A1306" s="566" t="s">
        <v>1335</v>
      </c>
      <c r="B1306" s="566" t="s">
        <v>466</v>
      </c>
      <c r="C1306" s="566" t="s">
        <v>487</v>
      </c>
      <c r="D1306" s="566" t="s">
        <v>472</v>
      </c>
      <c r="E1306" s="566" t="s">
        <v>473</v>
      </c>
      <c r="F1306" s="566" t="s">
        <v>489</v>
      </c>
      <c r="G1306" s="567">
        <v>50</v>
      </c>
      <c r="H1306" s="566" t="s">
        <v>689</v>
      </c>
      <c r="I1306" s="568">
        <v>2</v>
      </c>
      <c r="J1306" s="569">
        <v>5</v>
      </c>
      <c r="K1306" s="569">
        <v>5</v>
      </c>
      <c r="L1306" s="566"/>
      <c r="M1306" s="566" t="s">
        <v>476</v>
      </c>
      <c r="N1306" s="570">
        <v>734</v>
      </c>
      <c r="O1306" s="566"/>
      <c r="P1306" s="566" t="s">
        <v>477</v>
      </c>
      <c r="Q1306" s="568">
        <v>909678</v>
      </c>
      <c r="R1306" s="568">
        <v>19</v>
      </c>
      <c r="S1306" s="566" t="s">
        <v>502</v>
      </c>
      <c r="T1306" s="582" t="s">
        <v>253</v>
      </c>
      <c r="U1306" s="582" t="s">
        <v>670</v>
      </c>
      <c r="V1306" s="582" t="s">
        <v>517</v>
      </c>
      <c r="W1306" s="583" t="s">
        <v>1276</v>
      </c>
      <c r="X1306" s="582" t="s">
        <v>1380</v>
      </c>
      <c r="Y1306" s="582" t="s">
        <v>1338</v>
      </c>
      <c r="Z1306" s="584" t="s">
        <v>1178</v>
      </c>
      <c r="AA1306" s="585">
        <v>734</v>
      </c>
      <c r="AB1306" s="582"/>
    </row>
    <row r="1307" spans="1:28" hidden="1">
      <c r="A1307" s="566" t="s">
        <v>1335</v>
      </c>
      <c r="B1307" s="566" t="s">
        <v>466</v>
      </c>
      <c r="C1307" s="566" t="s">
        <v>487</v>
      </c>
      <c r="D1307" s="566" t="s">
        <v>472</v>
      </c>
      <c r="E1307" s="566" t="s">
        <v>473</v>
      </c>
      <c r="F1307" s="566" t="s">
        <v>489</v>
      </c>
      <c r="G1307" s="567">
        <v>50</v>
      </c>
      <c r="H1307" s="566" t="s">
        <v>692</v>
      </c>
      <c r="I1307" s="568">
        <v>2</v>
      </c>
      <c r="J1307" s="569">
        <v>5</v>
      </c>
      <c r="K1307" s="569">
        <v>5</v>
      </c>
      <c r="L1307" s="566"/>
      <c r="M1307" s="566" t="s">
        <v>476</v>
      </c>
      <c r="N1307" s="570">
        <v>806</v>
      </c>
      <c r="O1307" s="566"/>
      <c r="P1307" s="566" t="s">
        <v>477</v>
      </c>
      <c r="Q1307" s="568">
        <v>909678</v>
      </c>
      <c r="R1307" s="568">
        <v>21</v>
      </c>
      <c r="S1307" s="566" t="s">
        <v>507</v>
      </c>
      <c r="T1307" s="582" t="s">
        <v>253</v>
      </c>
      <c r="U1307" s="582" t="s">
        <v>670</v>
      </c>
      <c r="V1307" s="582" t="s">
        <v>517</v>
      </c>
      <c r="W1307" s="583" t="s">
        <v>1277</v>
      </c>
      <c r="X1307" s="582" t="s">
        <v>1380</v>
      </c>
      <c r="Y1307" s="582" t="s">
        <v>1338</v>
      </c>
      <c r="Z1307" s="584" t="s">
        <v>1179</v>
      </c>
      <c r="AA1307" s="585">
        <v>806</v>
      </c>
      <c r="AB1307" s="582"/>
    </row>
    <row r="1308" spans="1:28" hidden="1">
      <c r="A1308" s="566" t="s">
        <v>1335</v>
      </c>
      <c r="B1308" s="566" t="s">
        <v>466</v>
      </c>
      <c r="C1308" s="566" t="s">
        <v>471</v>
      </c>
      <c r="D1308" s="566" t="s">
        <v>472</v>
      </c>
      <c r="E1308" s="566" t="s">
        <v>473</v>
      </c>
      <c r="F1308" s="566" t="s">
        <v>474</v>
      </c>
      <c r="G1308" s="567">
        <v>0</v>
      </c>
      <c r="H1308" s="566" t="s">
        <v>2117</v>
      </c>
      <c r="I1308" s="568">
        <v>2</v>
      </c>
      <c r="J1308" s="569">
        <v>5</v>
      </c>
      <c r="K1308" s="569">
        <v>5</v>
      </c>
      <c r="L1308" s="566"/>
      <c r="M1308" s="566" t="s">
        <v>476</v>
      </c>
      <c r="N1308" s="570">
        <v>842</v>
      </c>
      <c r="O1308" s="566"/>
      <c r="P1308" s="566" t="s">
        <v>477</v>
      </c>
      <c r="Q1308" s="568">
        <v>909678</v>
      </c>
      <c r="R1308" s="568">
        <v>46</v>
      </c>
      <c r="S1308" s="566" t="s">
        <v>1383</v>
      </c>
      <c r="T1308" s="582" t="s">
        <v>253</v>
      </c>
      <c r="U1308" s="582" t="s">
        <v>670</v>
      </c>
      <c r="V1308" s="582" t="s">
        <v>517</v>
      </c>
      <c r="W1308" s="583" t="s">
        <v>1354</v>
      </c>
      <c r="X1308" s="582" t="s">
        <v>1380</v>
      </c>
      <c r="Y1308" s="582" t="s">
        <v>1338</v>
      </c>
      <c r="Z1308" s="584" t="s">
        <v>2280</v>
      </c>
      <c r="AA1308" s="585">
        <v>842</v>
      </c>
      <c r="AB1308" s="582"/>
    </row>
    <row r="1309" spans="1:28" hidden="1">
      <c r="A1309" s="566" t="s">
        <v>1335</v>
      </c>
      <c r="B1309" s="566" t="s">
        <v>466</v>
      </c>
      <c r="C1309" s="566" t="s">
        <v>487</v>
      </c>
      <c r="D1309" s="566" t="s">
        <v>472</v>
      </c>
      <c r="E1309" s="566" t="s">
        <v>473</v>
      </c>
      <c r="F1309" s="566" t="s">
        <v>489</v>
      </c>
      <c r="G1309" s="567">
        <v>50</v>
      </c>
      <c r="H1309" s="566" t="s">
        <v>2119</v>
      </c>
      <c r="I1309" s="568">
        <v>2</v>
      </c>
      <c r="J1309" s="569">
        <v>5</v>
      </c>
      <c r="K1309" s="569">
        <v>5</v>
      </c>
      <c r="L1309" s="566"/>
      <c r="M1309" s="566" t="s">
        <v>476</v>
      </c>
      <c r="N1309" s="570">
        <v>878</v>
      </c>
      <c r="O1309" s="566"/>
      <c r="P1309" s="566" t="s">
        <v>477</v>
      </c>
      <c r="Q1309" s="568">
        <v>909678</v>
      </c>
      <c r="R1309" s="568">
        <v>47</v>
      </c>
      <c r="S1309" s="566" t="s">
        <v>1385</v>
      </c>
      <c r="T1309" s="582" t="s">
        <v>253</v>
      </c>
      <c r="U1309" s="582" t="s">
        <v>670</v>
      </c>
      <c r="V1309" s="582" t="s">
        <v>517</v>
      </c>
      <c r="W1309" s="583" t="s">
        <v>1358</v>
      </c>
      <c r="X1309" s="582" t="s">
        <v>1380</v>
      </c>
      <c r="Y1309" s="582" t="s">
        <v>1338</v>
      </c>
      <c r="Z1309" s="584" t="s">
        <v>2281</v>
      </c>
      <c r="AA1309" s="585">
        <v>878</v>
      </c>
      <c r="AB1309" s="582"/>
    </row>
    <row r="1310" spans="1:28" hidden="1">
      <c r="A1310" s="566" t="s">
        <v>1335</v>
      </c>
      <c r="B1310" s="566" t="s">
        <v>466</v>
      </c>
      <c r="C1310" s="566" t="s">
        <v>553</v>
      </c>
      <c r="D1310" s="566" t="s">
        <v>472</v>
      </c>
      <c r="E1310" s="566" t="s">
        <v>473</v>
      </c>
      <c r="F1310" s="566" t="s">
        <v>554</v>
      </c>
      <c r="G1310" s="567">
        <v>13</v>
      </c>
      <c r="H1310" s="566" t="s">
        <v>1181</v>
      </c>
      <c r="I1310" s="568">
        <v>2</v>
      </c>
      <c r="J1310" s="569">
        <v>22</v>
      </c>
      <c r="K1310" s="569">
        <v>22</v>
      </c>
      <c r="L1310" s="569">
        <v>17</v>
      </c>
      <c r="M1310" s="566" t="s">
        <v>476</v>
      </c>
      <c r="N1310" s="570">
        <v>191</v>
      </c>
      <c r="O1310" s="566"/>
      <c r="P1310" s="566" t="s">
        <v>477</v>
      </c>
      <c r="Q1310" s="568">
        <v>909678</v>
      </c>
      <c r="R1310" s="568">
        <v>1</v>
      </c>
      <c r="S1310" s="566" t="s">
        <v>1387</v>
      </c>
      <c r="T1310" s="582" t="s">
        <v>257</v>
      </c>
      <c r="U1310" s="582" t="s">
        <v>670</v>
      </c>
      <c r="V1310" s="582" t="s">
        <v>517</v>
      </c>
      <c r="W1310" s="583" t="s">
        <v>577</v>
      </c>
      <c r="X1310" s="582" t="s">
        <v>1380</v>
      </c>
      <c r="Y1310" s="582" t="s">
        <v>1338</v>
      </c>
      <c r="Z1310" s="584" t="s">
        <v>1180</v>
      </c>
      <c r="AA1310" s="585">
        <v>191</v>
      </c>
      <c r="AB1310" s="582">
        <v>260090</v>
      </c>
    </row>
    <row r="1311" spans="1:28" hidden="1">
      <c r="A1311" s="566" t="s">
        <v>1335</v>
      </c>
      <c r="B1311" s="566" t="s">
        <v>466</v>
      </c>
      <c r="C1311" s="566" t="s">
        <v>553</v>
      </c>
      <c r="D1311" s="566" t="s">
        <v>472</v>
      </c>
      <c r="E1311" s="566" t="s">
        <v>473</v>
      </c>
      <c r="F1311" s="566" t="s">
        <v>554</v>
      </c>
      <c r="G1311" s="567">
        <v>13</v>
      </c>
      <c r="H1311" s="566" t="s">
        <v>1183</v>
      </c>
      <c r="I1311" s="568">
        <v>2</v>
      </c>
      <c r="J1311" s="569">
        <v>22</v>
      </c>
      <c r="K1311" s="569">
        <v>22</v>
      </c>
      <c r="L1311" s="569">
        <v>17</v>
      </c>
      <c r="M1311" s="566" t="s">
        <v>476</v>
      </c>
      <c r="N1311" s="570">
        <v>215</v>
      </c>
      <c r="O1311" s="566"/>
      <c r="P1311" s="566" t="s">
        <v>477</v>
      </c>
      <c r="Q1311" s="568">
        <v>909678</v>
      </c>
      <c r="R1311" s="568">
        <v>2</v>
      </c>
      <c r="S1311" s="566" t="s">
        <v>1388</v>
      </c>
      <c r="T1311" s="582" t="s">
        <v>257</v>
      </c>
      <c r="U1311" s="582" t="s">
        <v>670</v>
      </c>
      <c r="V1311" s="582" t="s">
        <v>517</v>
      </c>
      <c r="W1311" s="583" t="s">
        <v>580</v>
      </c>
      <c r="X1311" s="582" t="s">
        <v>1380</v>
      </c>
      <c r="Y1311" s="582" t="s">
        <v>1338</v>
      </c>
      <c r="Z1311" s="584" t="s">
        <v>1182</v>
      </c>
      <c r="AA1311" s="585">
        <v>215</v>
      </c>
      <c r="AB1311" s="582">
        <v>260114</v>
      </c>
    </row>
    <row r="1312" spans="1:28" hidden="1">
      <c r="A1312" s="566" t="s">
        <v>1335</v>
      </c>
      <c r="B1312" s="566" t="s">
        <v>466</v>
      </c>
      <c r="C1312" s="566" t="s">
        <v>553</v>
      </c>
      <c r="D1312" s="566" t="s">
        <v>472</v>
      </c>
      <c r="E1312" s="566" t="s">
        <v>473</v>
      </c>
      <c r="F1312" s="566" t="s">
        <v>554</v>
      </c>
      <c r="G1312" s="567">
        <v>16</v>
      </c>
      <c r="H1312" s="566" t="s">
        <v>1185</v>
      </c>
      <c r="I1312" s="568">
        <v>2</v>
      </c>
      <c r="J1312" s="569">
        <v>22</v>
      </c>
      <c r="K1312" s="569">
        <v>22</v>
      </c>
      <c r="L1312" s="569">
        <v>17</v>
      </c>
      <c r="M1312" s="566" t="s">
        <v>476</v>
      </c>
      <c r="N1312" s="570">
        <v>239</v>
      </c>
      <c r="O1312" s="566"/>
      <c r="P1312" s="566" t="s">
        <v>477</v>
      </c>
      <c r="Q1312" s="568">
        <v>909678</v>
      </c>
      <c r="R1312" s="568">
        <v>12</v>
      </c>
      <c r="S1312" s="566" t="s">
        <v>1389</v>
      </c>
      <c r="T1312" s="582" t="s">
        <v>257</v>
      </c>
      <c r="U1312" s="582" t="s">
        <v>670</v>
      </c>
      <c r="V1312" s="582" t="s">
        <v>517</v>
      </c>
      <c r="W1312" s="583" t="s">
        <v>583</v>
      </c>
      <c r="X1312" s="582" t="s">
        <v>1380</v>
      </c>
      <c r="Y1312" s="582" t="s">
        <v>1338</v>
      </c>
      <c r="Z1312" s="584" t="s">
        <v>1184</v>
      </c>
      <c r="AA1312" s="585">
        <v>239</v>
      </c>
      <c r="AB1312" s="582">
        <v>260138</v>
      </c>
    </row>
    <row r="1313" spans="1:28" hidden="1">
      <c r="A1313" s="566" t="s">
        <v>1335</v>
      </c>
      <c r="B1313" s="566" t="s">
        <v>466</v>
      </c>
      <c r="C1313" s="566" t="s">
        <v>553</v>
      </c>
      <c r="D1313" s="566" t="s">
        <v>472</v>
      </c>
      <c r="E1313" s="566" t="s">
        <v>473</v>
      </c>
      <c r="F1313" s="566" t="s">
        <v>554</v>
      </c>
      <c r="G1313" s="567">
        <v>16</v>
      </c>
      <c r="H1313" s="566" t="s">
        <v>1187</v>
      </c>
      <c r="I1313" s="568">
        <v>2</v>
      </c>
      <c r="J1313" s="569">
        <v>22</v>
      </c>
      <c r="K1313" s="569">
        <v>22</v>
      </c>
      <c r="L1313" s="569">
        <v>17</v>
      </c>
      <c r="M1313" s="566" t="s">
        <v>476</v>
      </c>
      <c r="N1313" s="570">
        <v>263</v>
      </c>
      <c r="O1313" s="566"/>
      <c r="P1313" s="566" t="s">
        <v>477</v>
      </c>
      <c r="Q1313" s="568">
        <v>909678</v>
      </c>
      <c r="R1313" s="568">
        <v>3</v>
      </c>
      <c r="S1313" s="566" t="s">
        <v>1390</v>
      </c>
      <c r="T1313" s="582" t="s">
        <v>257</v>
      </c>
      <c r="U1313" s="582" t="s">
        <v>670</v>
      </c>
      <c r="V1313" s="582" t="s">
        <v>517</v>
      </c>
      <c r="W1313" s="583" t="s">
        <v>586</v>
      </c>
      <c r="X1313" s="582" t="s">
        <v>1380</v>
      </c>
      <c r="Y1313" s="582" t="s">
        <v>1338</v>
      </c>
      <c r="Z1313" s="584" t="s">
        <v>1186</v>
      </c>
      <c r="AA1313" s="585">
        <v>263</v>
      </c>
      <c r="AB1313" s="582">
        <v>260162</v>
      </c>
    </row>
    <row r="1314" spans="1:28" hidden="1">
      <c r="A1314" s="566" t="s">
        <v>1335</v>
      </c>
      <c r="B1314" s="566" t="s">
        <v>466</v>
      </c>
      <c r="C1314" s="566" t="s">
        <v>553</v>
      </c>
      <c r="D1314" s="566" t="s">
        <v>472</v>
      </c>
      <c r="E1314" s="566" t="s">
        <v>473</v>
      </c>
      <c r="F1314" s="566" t="s">
        <v>554</v>
      </c>
      <c r="G1314" s="567">
        <v>16</v>
      </c>
      <c r="H1314" s="566" t="s">
        <v>1189</v>
      </c>
      <c r="I1314" s="568">
        <v>2</v>
      </c>
      <c r="J1314" s="569">
        <v>22</v>
      </c>
      <c r="K1314" s="569">
        <v>22</v>
      </c>
      <c r="L1314" s="569">
        <v>17</v>
      </c>
      <c r="M1314" s="566" t="s">
        <v>476</v>
      </c>
      <c r="N1314" s="570">
        <v>287</v>
      </c>
      <c r="O1314" s="566"/>
      <c r="P1314" s="566" t="s">
        <v>477</v>
      </c>
      <c r="Q1314" s="568">
        <v>909678</v>
      </c>
      <c r="R1314" s="568">
        <v>13</v>
      </c>
      <c r="S1314" s="566" t="s">
        <v>1391</v>
      </c>
      <c r="T1314" s="582" t="s">
        <v>257</v>
      </c>
      <c r="U1314" s="582" t="s">
        <v>670</v>
      </c>
      <c r="V1314" s="582" t="s">
        <v>517</v>
      </c>
      <c r="W1314" s="583" t="s">
        <v>589</v>
      </c>
      <c r="X1314" s="582" t="s">
        <v>1380</v>
      </c>
      <c r="Y1314" s="582" t="s">
        <v>1338</v>
      </c>
      <c r="Z1314" s="584" t="s">
        <v>1188</v>
      </c>
      <c r="AA1314" s="585">
        <v>287</v>
      </c>
      <c r="AB1314" s="582">
        <v>260186</v>
      </c>
    </row>
    <row r="1315" spans="1:28" hidden="1">
      <c r="A1315" s="566" t="s">
        <v>1335</v>
      </c>
      <c r="B1315" s="566" t="s">
        <v>466</v>
      </c>
      <c r="C1315" s="566" t="s">
        <v>471</v>
      </c>
      <c r="D1315" s="566" t="s">
        <v>472</v>
      </c>
      <c r="E1315" s="566" t="s">
        <v>473</v>
      </c>
      <c r="F1315" s="566" t="s">
        <v>474</v>
      </c>
      <c r="G1315" s="567">
        <v>0</v>
      </c>
      <c r="H1315" s="566" t="s">
        <v>704</v>
      </c>
      <c r="I1315" s="568">
        <v>2</v>
      </c>
      <c r="J1315" s="569">
        <v>5</v>
      </c>
      <c r="K1315" s="569">
        <v>5</v>
      </c>
      <c r="L1315" s="566"/>
      <c r="M1315" s="566" t="s">
        <v>476</v>
      </c>
      <c r="N1315" s="570">
        <v>338</v>
      </c>
      <c r="O1315" s="566"/>
      <c r="P1315" s="566" t="s">
        <v>477</v>
      </c>
      <c r="Q1315" s="568">
        <v>909678</v>
      </c>
      <c r="R1315" s="568">
        <v>5</v>
      </c>
      <c r="S1315" s="566" t="s">
        <v>1392</v>
      </c>
      <c r="T1315" s="582" t="s">
        <v>253</v>
      </c>
      <c r="U1315" s="582" t="s">
        <v>670</v>
      </c>
      <c r="V1315" s="582" t="s">
        <v>517</v>
      </c>
      <c r="W1315" s="583" t="s">
        <v>509</v>
      </c>
      <c r="X1315" s="582" t="s">
        <v>1380</v>
      </c>
      <c r="Y1315" s="582" t="s">
        <v>1338</v>
      </c>
      <c r="Z1315" s="584" t="s">
        <v>1190</v>
      </c>
      <c r="AA1315" s="585">
        <v>338</v>
      </c>
      <c r="AB1315" s="582"/>
    </row>
    <row r="1316" spans="1:28" hidden="1">
      <c r="A1316" s="566" t="s">
        <v>1335</v>
      </c>
      <c r="B1316" s="566" t="s">
        <v>466</v>
      </c>
      <c r="C1316" s="566" t="s">
        <v>471</v>
      </c>
      <c r="D1316" s="566" t="s">
        <v>472</v>
      </c>
      <c r="E1316" s="566" t="s">
        <v>473</v>
      </c>
      <c r="F1316" s="566" t="s">
        <v>474</v>
      </c>
      <c r="G1316" s="567">
        <v>0</v>
      </c>
      <c r="H1316" s="566" t="s">
        <v>706</v>
      </c>
      <c r="I1316" s="568">
        <v>2</v>
      </c>
      <c r="J1316" s="569">
        <v>5</v>
      </c>
      <c r="K1316" s="569">
        <v>5</v>
      </c>
      <c r="L1316" s="566"/>
      <c r="M1316" s="566" t="s">
        <v>476</v>
      </c>
      <c r="N1316" s="570">
        <v>374</v>
      </c>
      <c r="O1316" s="566"/>
      <c r="P1316" s="566" t="s">
        <v>477</v>
      </c>
      <c r="Q1316" s="568">
        <v>909678</v>
      </c>
      <c r="R1316" s="568">
        <v>6</v>
      </c>
      <c r="S1316" s="566" t="s">
        <v>1393</v>
      </c>
      <c r="T1316" s="582" t="s">
        <v>253</v>
      </c>
      <c r="U1316" s="582" t="s">
        <v>670</v>
      </c>
      <c r="V1316" s="582" t="s">
        <v>517</v>
      </c>
      <c r="W1316" s="583" t="s">
        <v>512</v>
      </c>
      <c r="X1316" s="582" t="s">
        <v>1380</v>
      </c>
      <c r="Y1316" s="582" t="s">
        <v>1338</v>
      </c>
      <c r="Z1316" s="584" t="s">
        <v>1191</v>
      </c>
      <c r="AA1316" s="585">
        <v>374</v>
      </c>
      <c r="AB1316" s="582"/>
    </row>
    <row r="1317" spans="1:28" hidden="1">
      <c r="A1317" s="566" t="s">
        <v>1335</v>
      </c>
      <c r="B1317" s="566" t="s">
        <v>466</v>
      </c>
      <c r="C1317" s="566" t="s">
        <v>471</v>
      </c>
      <c r="D1317" s="566" t="s">
        <v>472</v>
      </c>
      <c r="E1317" s="566" t="s">
        <v>473</v>
      </c>
      <c r="F1317" s="566" t="s">
        <v>474</v>
      </c>
      <c r="G1317" s="567">
        <v>0</v>
      </c>
      <c r="H1317" s="566" t="s">
        <v>708</v>
      </c>
      <c r="I1317" s="568">
        <v>2</v>
      </c>
      <c r="J1317" s="569">
        <v>5</v>
      </c>
      <c r="K1317" s="569">
        <v>5</v>
      </c>
      <c r="L1317" s="566"/>
      <c r="M1317" s="566" t="s">
        <v>476</v>
      </c>
      <c r="N1317" s="570">
        <v>410</v>
      </c>
      <c r="O1317" s="566"/>
      <c r="P1317" s="566" t="s">
        <v>477</v>
      </c>
      <c r="Q1317" s="568">
        <v>909678</v>
      </c>
      <c r="R1317" s="568">
        <v>14</v>
      </c>
      <c r="S1317" s="566" t="s">
        <v>1394</v>
      </c>
      <c r="T1317" s="582" t="s">
        <v>253</v>
      </c>
      <c r="U1317" s="582" t="s">
        <v>670</v>
      </c>
      <c r="V1317" s="582" t="s">
        <v>517</v>
      </c>
      <c r="W1317" s="583" t="s">
        <v>514</v>
      </c>
      <c r="X1317" s="582" t="s">
        <v>1380</v>
      </c>
      <c r="Y1317" s="582" t="s">
        <v>1338</v>
      </c>
      <c r="Z1317" s="584" t="s">
        <v>1192</v>
      </c>
      <c r="AA1317" s="585">
        <v>410</v>
      </c>
      <c r="AB1317" s="582"/>
    </row>
    <row r="1318" spans="1:28" hidden="1">
      <c r="A1318" s="566" t="s">
        <v>1335</v>
      </c>
      <c r="B1318" s="566" t="s">
        <v>466</v>
      </c>
      <c r="C1318" s="566" t="s">
        <v>471</v>
      </c>
      <c r="D1318" s="566" t="s">
        <v>472</v>
      </c>
      <c r="E1318" s="566" t="s">
        <v>473</v>
      </c>
      <c r="F1318" s="566" t="s">
        <v>474</v>
      </c>
      <c r="G1318" s="567">
        <v>0</v>
      </c>
      <c r="H1318" s="566" t="s">
        <v>677</v>
      </c>
      <c r="I1318" s="568">
        <v>2</v>
      </c>
      <c r="J1318" s="569">
        <v>29</v>
      </c>
      <c r="K1318" s="569">
        <v>29</v>
      </c>
      <c r="L1318" s="566"/>
      <c r="M1318" s="566" t="s">
        <v>476</v>
      </c>
      <c r="N1318" s="570">
        <v>1346</v>
      </c>
      <c r="O1318" s="566"/>
      <c r="P1318" s="566" t="s">
        <v>477</v>
      </c>
      <c r="Q1318" s="568">
        <v>909678</v>
      </c>
      <c r="R1318" s="568">
        <v>34</v>
      </c>
      <c r="S1318" s="566" t="s">
        <v>1395</v>
      </c>
      <c r="T1318" s="582" t="s">
        <v>253</v>
      </c>
      <c r="U1318" s="582" t="s">
        <v>670</v>
      </c>
      <c r="V1318" s="582" t="s">
        <v>517</v>
      </c>
      <c r="W1318" s="583" t="s">
        <v>1274</v>
      </c>
      <c r="X1318" s="582" t="s">
        <v>1380</v>
      </c>
      <c r="Y1318" s="582" t="s">
        <v>1367</v>
      </c>
      <c r="Z1318" s="584" t="s">
        <v>2282</v>
      </c>
      <c r="AA1318" s="585">
        <v>1346</v>
      </c>
      <c r="AB1318" s="582"/>
    </row>
    <row r="1319" spans="1:28" hidden="1">
      <c r="A1319" s="566" t="s">
        <v>1335</v>
      </c>
      <c r="B1319" s="566" t="s">
        <v>466</v>
      </c>
      <c r="C1319" s="566" t="s">
        <v>471</v>
      </c>
      <c r="D1319" s="566" t="s">
        <v>472</v>
      </c>
      <c r="E1319" s="566" t="s">
        <v>473</v>
      </c>
      <c r="F1319" s="566" t="s">
        <v>474</v>
      </c>
      <c r="G1319" s="567">
        <v>0</v>
      </c>
      <c r="H1319" s="566" t="s">
        <v>680</v>
      </c>
      <c r="I1319" s="568">
        <v>2</v>
      </c>
      <c r="J1319" s="569">
        <v>29</v>
      </c>
      <c r="K1319" s="569">
        <v>29</v>
      </c>
      <c r="L1319" s="566"/>
      <c r="M1319" s="566" t="s">
        <v>476</v>
      </c>
      <c r="N1319" s="570">
        <v>1382</v>
      </c>
      <c r="O1319" s="566"/>
      <c r="P1319" s="566" t="s">
        <v>477</v>
      </c>
      <c r="Q1319" s="568">
        <v>909678</v>
      </c>
      <c r="R1319" s="568">
        <v>35</v>
      </c>
      <c r="S1319" s="566" t="s">
        <v>1397</v>
      </c>
      <c r="T1319" s="582" t="s">
        <v>253</v>
      </c>
      <c r="U1319" s="582" t="s">
        <v>670</v>
      </c>
      <c r="V1319" s="582" t="s">
        <v>517</v>
      </c>
      <c r="W1319" s="583" t="s">
        <v>1275</v>
      </c>
      <c r="X1319" s="582" t="s">
        <v>1380</v>
      </c>
      <c r="Y1319" s="582" t="s">
        <v>1367</v>
      </c>
      <c r="Z1319" s="584" t="s">
        <v>2283</v>
      </c>
      <c r="AA1319" s="585">
        <v>1382</v>
      </c>
      <c r="AB1319" s="582"/>
    </row>
    <row r="1320" spans="1:28" hidden="1">
      <c r="A1320" s="566" t="s">
        <v>1335</v>
      </c>
      <c r="B1320" s="566" t="s">
        <v>466</v>
      </c>
      <c r="C1320" s="566" t="s">
        <v>487</v>
      </c>
      <c r="D1320" s="566" t="s">
        <v>472</v>
      </c>
      <c r="E1320" s="566" t="s">
        <v>473</v>
      </c>
      <c r="F1320" s="566" t="s">
        <v>489</v>
      </c>
      <c r="G1320" s="567">
        <v>50</v>
      </c>
      <c r="H1320" s="566" t="s">
        <v>689</v>
      </c>
      <c r="I1320" s="568">
        <v>2</v>
      </c>
      <c r="J1320" s="569">
        <v>29</v>
      </c>
      <c r="K1320" s="569">
        <v>29</v>
      </c>
      <c r="L1320" s="566"/>
      <c r="M1320" s="566" t="s">
        <v>476</v>
      </c>
      <c r="N1320" s="570">
        <v>1418</v>
      </c>
      <c r="O1320" s="566"/>
      <c r="P1320" s="566" t="s">
        <v>477</v>
      </c>
      <c r="Q1320" s="568">
        <v>909678</v>
      </c>
      <c r="R1320" s="568">
        <v>37</v>
      </c>
      <c r="S1320" s="566" t="s">
        <v>1399</v>
      </c>
      <c r="T1320" s="582" t="s">
        <v>253</v>
      </c>
      <c r="U1320" s="582" t="s">
        <v>670</v>
      </c>
      <c r="V1320" s="582" t="s">
        <v>517</v>
      </c>
      <c r="W1320" s="583" t="s">
        <v>1276</v>
      </c>
      <c r="X1320" s="582" t="s">
        <v>1380</v>
      </c>
      <c r="Y1320" s="582" t="s">
        <v>1367</v>
      </c>
      <c r="Z1320" s="584" t="s">
        <v>2284</v>
      </c>
      <c r="AA1320" s="585">
        <v>1418</v>
      </c>
      <c r="AB1320" s="582"/>
    </row>
    <row r="1321" spans="1:28" hidden="1">
      <c r="A1321" s="566" t="s">
        <v>1335</v>
      </c>
      <c r="B1321" s="566" t="s">
        <v>466</v>
      </c>
      <c r="C1321" s="566" t="s">
        <v>487</v>
      </c>
      <c r="D1321" s="566" t="s">
        <v>472</v>
      </c>
      <c r="E1321" s="566" t="s">
        <v>473</v>
      </c>
      <c r="F1321" s="566" t="s">
        <v>489</v>
      </c>
      <c r="G1321" s="567">
        <v>50</v>
      </c>
      <c r="H1321" s="566" t="s">
        <v>692</v>
      </c>
      <c r="I1321" s="568">
        <v>2</v>
      </c>
      <c r="J1321" s="569">
        <v>29</v>
      </c>
      <c r="K1321" s="569">
        <v>29</v>
      </c>
      <c r="L1321" s="566"/>
      <c r="M1321" s="566" t="s">
        <v>476</v>
      </c>
      <c r="N1321" s="570">
        <v>1454</v>
      </c>
      <c r="O1321" s="566"/>
      <c r="P1321" s="566" t="s">
        <v>477</v>
      </c>
      <c r="Q1321" s="568">
        <v>909678</v>
      </c>
      <c r="R1321" s="568">
        <v>38</v>
      </c>
      <c r="S1321" s="566" t="s">
        <v>1401</v>
      </c>
      <c r="T1321" s="582" t="s">
        <v>253</v>
      </c>
      <c r="U1321" s="582" t="s">
        <v>670</v>
      </c>
      <c r="V1321" s="582" t="s">
        <v>517</v>
      </c>
      <c r="W1321" s="583" t="s">
        <v>1277</v>
      </c>
      <c r="X1321" s="582" t="s">
        <v>1380</v>
      </c>
      <c r="Y1321" s="582" t="s">
        <v>1367</v>
      </c>
      <c r="Z1321" s="584" t="s">
        <v>2285</v>
      </c>
      <c r="AA1321" s="585">
        <v>1454</v>
      </c>
      <c r="AB1321" s="582"/>
    </row>
    <row r="1322" spans="1:28" hidden="1">
      <c r="A1322" s="566" t="s">
        <v>1335</v>
      </c>
      <c r="B1322" s="566" t="s">
        <v>466</v>
      </c>
      <c r="C1322" s="566" t="s">
        <v>471</v>
      </c>
      <c r="D1322" s="566" t="s">
        <v>472</v>
      </c>
      <c r="E1322" s="566" t="s">
        <v>473</v>
      </c>
      <c r="F1322" s="566" t="s">
        <v>474</v>
      </c>
      <c r="G1322" s="567">
        <v>0</v>
      </c>
      <c r="H1322" s="566" t="s">
        <v>2117</v>
      </c>
      <c r="I1322" s="568">
        <v>2</v>
      </c>
      <c r="J1322" s="569">
        <v>29</v>
      </c>
      <c r="K1322" s="569">
        <v>29</v>
      </c>
      <c r="L1322" s="566"/>
      <c r="M1322" s="566" t="s">
        <v>476</v>
      </c>
      <c r="N1322" s="570">
        <v>1490</v>
      </c>
      <c r="O1322" s="566"/>
      <c r="P1322" s="566" t="s">
        <v>477</v>
      </c>
      <c r="Q1322" s="568">
        <v>909678</v>
      </c>
      <c r="R1322" s="568">
        <v>36</v>
      </c>
      <c r="S1322" s="566" t="s">
        <v>1403</v>
      </c>
      <c r="T1322" s="582" t="s">
        <v>253</v>
      </c>
      <c r="U1322" s="582" t="s">
        <v>670</v>
      </c>
      <c r="V1322" s="582" t="s">
        <v>517</v>
      </c>
      <c r="W1322" s="583" t="s">
        <v>1354</v>
      </c>
      <c r="X1322" s="582" t="s">
        <v>1380</v>
      </c>
      <c r="Y1322" s="582" t="s">
        <v>1367</v>
      </c>
      <c r="Z1322" s="584" t="s">
        <v>2286</v>
      </c>
      <c r="AA1322" s="585">
        <v>1490</v>
      </c>
      <c r="AB1322" s="582"/>
    </row>
    <row r="1323" spans="1:28" hidden="1">
      <c r="A1323" s="566" t="s">
        <v>1335</v>
      </c>
      <c r="B1323" s="566" t="s">
        <v>466</v>
      </c>
      <c r="C1323" s="566" t="s">
        <v>487</v>
      </c>
      <c r="D1323" s="566" t="s">
        <v>472</v>
      </c>
      <c r="E1323" s="566" t="s">
        <v>473</v>
      </c>
      <c r="F1323" s="566" t="s">
        <v>489</v>
      </c>
      <c r="G1323" s="567">
        <v>50</v>
      </c>
      <c r="H1323" s="566" t="s">
        <v>2119</v>
      </c>
      <c r="I1323" s="568">
        <v>2</v>
      </c>
      <c r="J1323" s="569">
        <v>29</v>
      </c>
      <c r="K1323" s="569">
        <v>29</v>
      </c>
      <c r="L1323" s="566"/>
      <c r="M1323" s="566" t="s">
        <v>476</v>
      </c>
      <c r="N1323" s="570">
        <v>1526</v>
      </c>
      <c r="O1323" s="566"/>
      <c r="P1323" s="566" t="s">
        <v>477</v>
      </c>
      <c r="Q1323" s="568">
        <v>909678</v>
      </c>
      <c r="R1323" s="568">
        <v>39</v>
      </c>
      <c r="S1323" s="566" t="s">
        <v>1405</v>
      </c>
      <c r="T1323" s="582" t="s">
        <v>253</v>
      </c>
      <c r="U1323" s="582" t="s">
        <v>670</v>
      </c>
      <c r="V1323" s="582" t="s">
        <v>517</v>
      </c>
      <c r="W1323" s="583" t="s">
        <v>1358</v>
      </c>
      <c r="X1323" s="582" t="s">
        <v>1380</v>
      </c>
      <c r="Y1323" s="582" t="s">
        <v>1367</v>
      </c>
      <c r="Z1323" s="584" t="s">
        <v>2287</v>
      </c>
      <c r="AA1323" s="585">
        <v>1526</v>
      </c>
      <c r="AB1323" s="582"/>
    </row>
    <row r="1324" spans="1:28" hidden="1">
      <c r="A1324" s="566" t="s">
        <v>1335</v>
      </c>
      <c r="B1324" s="566" t="s">
        <v>466</v>
      </c>
      <c r="C1324" s="566" t="s">
        <v>471</v>
      </c>
      <c r="D1324" s="566" t="s">
        <v>472</v>
      </c>
      <c r="E1324" s="566" t="s">
        <v>473</v>
      </c>
      <c r="F1324" s="566" t="s">
        <v>474</v>
      </c>
      <c r="G1324" s="567">
        <v>0</v>
      </c>
      <c r="H1324" s="566" t="s">
        <v>675</v>
      </c>
      <c r="I1324" s="568">
        <v>2</v>
      </c>
      <c r="J1324" s="569">
        <v>5</v>
      </c>
      <c r="K1324" s="569">
        <v>5</v>
      </c>
      <c r="L1324" s="566"/>
      <c r="M1324" s="566" t="s">
        <v>476</v>
      </c>
      <c r="N1324" s="570">
        <v>446</v>
      </c>
      <c r="O1324" s="566"/>
      <c r="P1324" s="566" t="s">
        <v>477</v>
      </c>
      <c r="Q1324" s="568">
        <v>909678</v>
      </c>
      <c r="R1324" s="568">
        <v>7</v>
      </c>
      <c r="S1324" s="566" t="s">
        <v>1407</v>
      </c>
      <c r="T1324" s="575" t="s">
        <v>1473</v>
      </c>
      <c r="U1324" s="575" t="s">
        <v>670</v>
      </c>
      <c r="V1324" s="575" t="s">
        <v>517</v>
      </c>
      <c r="W1324" s="576" t="s">
        <v>470</v>
      </c>
      <c r="X1324" s="575" t="s">
        <v>1380</v>
      </c>
      <c r="Y1324" s="575" t="s">
        <v>1338</v>
      </c>
      <c r="Z1324" s="576" t="s">
        <v>2288</v>
      </c>
      <c r="AA1324" s="577">
        <v>446</v>
      </c>
      <c r="AB1324" s="575"/>
    </row>
    <row r="1325" spans="1:28" hidden="1">
      <c r="A1325" s="566" t="s">
        <v>1335</v>
      </c>
      <c r="B1325" s="566" t="s">
        <v>466</v>
      </c>
      <c r="C1325" s="566" t="s">
        <v>471</v>
      </c>
      <c r="D1325" s="566" t="s">
        <v>472</v>
      </c>
      <c r="E1325" s="566" t="s">
        <v>473</v>
      </c>
      <c r="F1325" s="566" t="s">
        <v>474</v>
      </c>
      <c r="G1325" s="567">
        <v>0</v>
      </c>
      <c r="H1325" s="566" t="s">
        <v>678</v>
      </c>
      <c r="I1325" s="568">
        <v>2</v>
      </c>
      <c r="J1325" s="569">
        <v>5</v>
      </c>
      <c r="K1325" s="569">
        <v>5</v>
      </c>
      <c r="L1325" s="566"/>
      <c r="M1325" s="566" t="s">
        <v>476</v>
      </c>
      <c r="N1325" s="570">
        <v>518</v>
      </c>
      <c r="O1325" s="566"/>
      <c r="P1325" s="566" t="s">
        <v>477</v>
      </c>
      <c r="Q1325" s="568">
        <v>909678</v>
      </c>
      <c r="R1325" s="568">
        <v>8</v>
      </c>
      <c r="S1325" s="566" t="s">
        <v>1410</v>
      </c>
      <c r="T1325" s="575" t="s">
        <v>1473</v>
      </c>
      <c r="U1325" s="575" t="s">
        <v>670</v>
      </c>
      <c r="V1325" s="575" t="s">
        <v>517</v>
      </c>
      <c r="W1325" s="576" t="s">
        <v>480</v>
      </c>
      <c r="X1325" s="575" t="s">
        <v>1380</v>
      </c>
      <c r="Y1325" s="575" t="s">
        <v>1338</v>
      </c>
      <c r="Z1325" s="576" t="s">
        <v>2289</v>
      </c>
      <c r="AA1325" s="577">
        <v>518</v>
      </c>
      <c r="AB1325" s="575"/>
    </row>
    <row r="1326" spans="1:28" hidden="1">
      <c r="A1326" s="566" t="s">
        <v>1335</v>
      </c>
      <c r="B1326" s="566" t="s">
        <v>466</v>
      </c>
      <c r="C1326" s="566" t="s">
        <v>487</v>
      </c>
      <c r="D1326" s="566" t="s">
        <v>472</v>
      </c>
      <c r="E1326" s="566" t="s">
        <v>473</v>
      </c>
      <c r="F1326" s="566" t="s">
        <v>489</v>
      </c>
      <c r="G1326" s="567">
        <v>50</v>
      </c>
      <c r="H1326" s="566" t="s">
        <v>687</v>
      </c>
      <c r="I1326" s="568">
        <v>2</v>
      </c>
      <c r="J1326" s="569">
        <v>5</v>
      </c>
      <c r="K1326" s="569">
        <v>5</v>
      </c>
      <c r="L1326" s="566"/>
      <c r="M1326" s="566" t="s">
        <v>476</v>
      </c>
      <c r="N1326" s="570">
        <v>698</v>
      </c>
      <c r="O1326" s="566"/>
      <c r="P1326" s="566" t="s">
        <v>477</v>
      </c>
      <c r="Q1326" s="568">
        <v>909678</v>
      </c>
      <c r="R1326" s="568">
        <v>11</v>
      </c>
      <c r="S1326" s="566" t="s">
        <v>1412</v>
      </c>
      <c r="T1326" s="575" t="s">
        <v>1473</v>
      </c>
      <c r="U1326" s="575" t="s">
        <v>670</v>
      </c>
      <c r="V1326" s="575" t="s">
        <v>517</v>
      </c>
      <c r="W1326" s="576" t="s">
        <v>499</v>
      </c>
      <c r="X1326" s="575" t="s">
        <v>1380</v>
      </c>
      <c r="Y1326" s="575" t="s">
        <v>1338</v>
      </c>
      <c r="Z1326" s="576" t="s">
        <v>2290</v>
      </c>
      <c r="AA1326" s="577">
        <v>698</v>
      </c>
      <c r="AB1326" s="575"/>
    </row>
    <row r="1327" spans="1:28" hidden="1">
      <c r="A1327" s="566" t="s">
        <v>1335</v>
      </c>
      <c r="B1327" s="566" t="s">
        <v>466</v>
      </c>
      <c r="C1327" s="566" t="s">
        <v>487</v>
      </c>
      <c r="D1327" s="566" t="s">
        <v>472</v>
      </c>
      <c r="E1327" s="566" t="s">
        <v>473</v>
      </c>
      <c r="F1327" s="566" t="s">
        <v>489</v>
      </c>
      <c r="G1327" s="567">
        <v>50</v>
      </c>
      <c r="H1327" s="566" t="s">
        <v>690</v>
      </c>
      <c r="I1327" s="568">
        <v>2</v>
      </c>
      <c r="J1327" s="569">
        <v>5</v>
      </c>
      <c r="K1327" s="569">
        <v>5</v>
      </c>
      <c r="L1327" s="566"/>
      <c r="M1327" s="566" t="s">
        <v>476</v>
      </c>
      <c r="N1327" s="570">
        <v>770</v>
      </c>
      <c r="O1327" s="566"/>
      <c r="P1327" s="566" t="s">
        <v>477</v>
      </c>
      <c r="Q1327" s="568">
        <v>909678</v>
      </c>
      <c r="R1327" s="568">
        <v>20</v>
      </c>
      <c r="S1327" s="566" t="s">
        <v>1414</v>
      </c>
      <c r="T1327" s="575" t="s">
        <v>1473</v>
      </c>
      <c r="U1327" s="575" t="s">
        <v>670</v>
      </c>
      <c r="V1327" s="575" t="s">
        <v>517</v>
      </c>
      <c r="W1327" s="576" t="s">
        <v>504</v>
      </c>
      <c r="X1327" s="575" t="s">
        <v>1380</v>
      </c>
      <c r="Y1327" s="575" t="s">
        <v>1338</v>
      </c>
      <c r="Z1327" s="576" t="s">
        <v>2291</v>
      </c>
      <c r="AA1327" s="577">
        <v>770</v>
      </c>
      <c r="AB1327" s="575"/>
    </row>
    <row r="1328" spans="1:28" hidden="1">
      <c r="A1328" s="566" t="s">
        <v>1335</v>
      </c>
      <c r="B1328" s="566" t="s">
        <v>466</v>
      </c>
      <c r="C1328" s="566" t="s">
        <v>471</v>
      </c>
      <c r="D1328" s="566" t="s">
        <v>472</v>
      </c>
      <c r="E1328" s="566" t="s">
        <v>473</v>
      </c>
      <c r="F1328" s="566" t="s">
        <v>474</v>
      </c>
      <c r="G1328" s="567">
        <v>0</v>
      </c>
      <c r="H1328" s="566" t="s">
        <v>677</v>
      </c>
      <c r="I1328" s="568">
        <v>2</v>
      </c>
      <c r="J1328" s="569">
        <v>57</v>
      </c>
      <c r="K1328" s="569">
        <v>57</v>
      </c>
      <c r="L1328" s="566"/>
      <c r="M1328" s="566" t="s">
        <v>476</v>
      </c>
      <c r="N1328" s="570">
        <v>1026</v>
      </c>
      <c r="O1328" s="566"/>
      <c r="P1328" s="566" t="s">
        <v>477</v>
      </c>
      <c r="Q1328" s="568">
        <v>909678</v>
      </c>
      <c r="R1328" s="568">
        <v>25</v>
      </c>
      <c r="S1328" s="566" t="s">
        <v>1336</v>
      </c>
      <c r="T1328" s="571" t="s">
        <v>467</v>
      </c>
      <c r="U1328" s="571" t="s">
        <v>670</v>
      </c>
      <c r="V1328" s="571" t="s">
        <v>528</v>
      </c>
      <c r="W1328" s="572" t="s">
        <v>1274</v>
      </c>
      <c r="X1328" s="571" t="s">
        <v>1337</v>
      </c>
      <c r="Y1328" s="571" t="s">
        <v>1338</v>
      </c>
      <c r="Z1328" s="566" t="s">
        <v>2292</v>
      </c>
      <c r="AA1328" s="573">
        <v>1026</v>
      </c>
      <c r="AB1328" s="571"/>
    </row>
    <row r="1329" spans="1:28" hidden="1">
      <c r="A1329" s="566" t="s">
        <v>1335</v>
      </c>
      <c r="B1329" s="566" t="s">
        <v>466</v>
      </c>
      <c r="C1329" s="566" t="s">
        <v>471</v>
      </c>
      <c r="D1329" s="566" t="s">
        <v>472</v>
      </c>
      <c r="E1329" s="566" t="s">
        <v>473</v>
      </c>
      <c r="F1329" s="566" t="s">
        <v>474</v>
      </c>
      <c r="G1329" s="567">
        <v>0</v>
      </c>
      <c r="H1329" s="566" t="s">
        <v>680</v>
      </c>
      <c r="I1329" s="568">
        <v>2</v>
      </c>
      <c r="J1329" s="569">
        <v>57</v>
      </c>
      <c r="K1329" s="569">
        <v>57</v>
      </c>
      <c r="L1329" s="566"/>
      <c r="M1329" s="566" t="s">
        <v>476</v>
      </c>
      <c r="N1329" s="570">
        <v>1062</v>
      </c>
      <c r="O1329" s="566"/>
      <c r="P1329" s="566" t="s">
        <v>477</v>
      </c>
      <c r="Q1329" s="568">
        <v>909678</v>
      </c>
      <c r="R1329" s="568">
        <v>26</v>
      </c>
      <c r="S1329" s="566" t="s">
        <v>1340</v>
      </c>
      <c r="T1329" s="571" t="s">
        <v>467</v>
      </c>
      <c r="U1329" s="571" t="s">
        <v>670</v>
      </c>
      <c r="V1329" s="571" t="s">
        <v>528</v>
      </c>
      <c r="W1329" s="572" t="s">
        <v>1275</v>
      </c>
      <c r="X1329" s="571" t="s">
        <v>1337</v>
      </c>
      <c r="Y1329" s="571" t="s">
        <v>1338</v>
      </c>
      <c r="Z1329" s="566" t="s">
        <v>2293</v>
      </c>
      <c r="AA1329" s="573">
        <v>1062</v>
      </c>
      <c r="AB1329" s="571"/>
    </row>
    <row r="1330" spans="1:28" hidden="1">
      <c r="A1330" s="566" t="s">
        <v>1335</v>
      </c>
      <c r="B1330" s="566" t="s">
        <v>466</v>
      </c>
      <c r="C1330" s="566" t="s">
        <v>487</v>
      </c>
      <c r="D1330" s="566" t="s">
        <v>472</v>
      </c>
      <c r="E1330" s="566" t="s">
        <v>473</v>
      </c>
      <c r="F1330" s="566" t="s">
        <v>489</v>
      </c>
      <c r="G1330" s="567">
        <v>50</v>
      </c>
      <c r="H1330" s="566" t="s">
        <v>682</v>
      </c>
      <c r="I1330" s="568">
        <v>2</v>
      </c>
      <c r="J1330" s="569">
        <v>57</v>
      </c>
      <c r="K1330" s="569">
        <v>57</v>
      </c>
      <c r="L1330" s="566"/>
      <c r="M1330" s="566" t="s">
        <v>476</v>
      </c>
      <c r="N1330" s="570">
        <v>1098</v>
      </c>
      <c r="O1330" s="566"/>
      <c r="P1330" s="566" t="s">
        <v>477</v>
      </c>
      <c r="Q1330" s="568">
        <v>909678</v>
      </c>
      <c r="R1330" s="568">
        <v>28</v>
      </c>
      <c r="S1330" s="566" t="s">
        <v>1342</v>
      </c>
      <c r="T1330" s="571" t="s">
        <v>467</v>
      </c>
      <c r="U1330" s="571" t="s">
        <v>670</v>
      </c>
      <c r="V1330" s="571" t="s">
        <v>528</v>
      </c>
      <c r="W1330" s="572" t="s">
        <v>485</v>
      </c>
      <c r="X1330" s="571" t="s">
        <v>1337</v>
      </c>
      <c r="Y1330" s="571" t="s">
        <v>1338</v>
      </c>
      <c r="Z1330" s="566" t="s">
        <v>2294</v>
      </c>
      <c r="AA1330" s="573">
        <v>1098</v>
      </c>
      <c r="AB1330" s="571"/>
    </row>
    <row r="1331" spans="1:28" hidden="1">
      <c r="A1331" s="566" t="s">
        <v>1335</v>
      </c>
      <c r="B1331" s="566" t="s">
        <v>466</v>
      </c>
      <c r="C1331" s="566" t="s">
        <v>487</v>
      </c>
      <c r="D1331" s="566" t="s">
        <v>472</v>
      </c>
      <c r="E1331" s="566" t="s">
        <v>473</v>
      </c>
      <c r="F1331" s="566" t="s">
        <v>489</v>
      </c>
      <c r="G1331" s="567">
        <v>50</v>
      </c>
      <c r="H1331" s="566" t="s">
        <v>684</v>
      </c>
      <c r="I1331" s="568">
        <v>2</v>
      </c>
      <c r="J1331" s="569">
        <v>57</v>
      </c>
      <c r="K1331" s="569">
        <v>57</v>
      </c>
      <c r="L1331" s="566"/>
      <c r="M1331" s="566" t="s">
        <v>476</v>
      </c>
      <c r="N1331" s="570">
        <v>1134</v>
      </c>
      <c r="O1331" s="566"/>
      <c r="P1331" s="566" t="s">
        <v>477</v>
      </c>
      <c r="Q1331" s="568">
        <v>909678</v>
      </c>
      <c r="R1331" s="568">
        <v>29</v>
      </c>
      <c r="S1331" s="566" t="s">
        <v>1344</v>
      </c>
      <c r="T1331" s="571" t="s">
        <v>467</v>
      </c>
      <c r="U1331" s="571" t="s">
        <v>670</v>
      </c>
      <c r="V1331" s="571" t="s">
        <v>528</v>
      </c>
      <c r="W1331" s="572" t="s">
        <v>491</v>
      </c>
      <c r="X1331" s="571" t="s">
        <v>1337</v>
      </c>
      <c r="Y1331" s="571" t="s">
        <v>1338</v>
      </c>
      <c r="Z1331" s="566" t="s">
        <v>2295</v>
      </c>
      <c r="AA1331" s="573">
        <v>1134</v>
      </c>
      <c r="AB1331" s="571"/>
    </row>
    <row r="1332" spans="1:28" hidden="1">
      <c r="A1332" s="566" t="s">
        <v>1335</v>
      </c>
      <c r="B1332" s="566" t="s">
        <v>466</v>
      </c>
      <c r="C1332" s="566" t="s">
        <v>487</v>
      </c>
      <c r="D1332" s="566" t="s">
        <v>472</v>
      </c>
      <c r="E1332" s="566" t="s">
        <v>473</v>
      </c>
      <c r="F1332" s="566" t="s">
        <v>489</v>
      </c>
      <c r="G1332" s="567">
        <v>50</v>
      </c>
      <c r="H1332" s="566" t="s">
        <v>686</v>
      </c>
      <c r="I1332" s="568">
        <v>2</v>
      </c>
      <c r="J1332" s="569">
        <v>57</v>
      </c>
      <c r="K1332" s="569">
        <v>57</v>
      </c>
      <c r="L1332" s="566"/>
      <c r="M1332" s="566" t="s">
        <v>476</v>
      </c>
      <c r="N1332" s="570">
        <v>1170</v>
      </c>
      <c r="O1332" s="566"/>
      <c r="P1332" s="566" t="s">
        <v>477</v>
      </c>
      <c r="Q1332" s="568">
        <v>909678</v>
      </c>
      <c r="R1332" s="568">
        <v>30</v>
      </c>
      <c r="S1332" s="566" t="s">
        <v>1346</v>
      </c>
      <c r="T1332" s="571" t="s">
        <v>467</v>
      </c>
      <c r="U1332" s="571" t="s">
        <v>670</v>
      </c>
      <c r="V1332" s="571" t="s">
        <v>528</v>
      </c>
      <c r="W1332" s="572" t="s">
        <v>495</v>
      </c>
      <c r="X1332" s="571" t="s">
        <v>1337</v>
      </c>
      <c r="Y1332" s="571" t="s">
        <v>1338</v>
      </c>
      <c r="Z1332" s="566" t="s">
        <v>2296</v>
      </c>
      <c r="AA1332" s="573">
        <v>1170</v>
      </c>
      <c r="AB1332" s="571"/>
    </row>
    <row r="1333" spans="1:28" hidden="1">
      <c r="A1333" s="566" t="s">
        <v>1335</v>
      </c>
      <c r="B1333" s="566" t="s">
        <v>466</v>
      </c>
      <c r="C1333" s="566" t="s">
        <v>487</v>
      </c>
      <c r="D1333" s="566" t="s">
        <v>472</v>
      </c>
      <c r="E1333" s="566" t="s">
        <v>473</v>
      </c>
      <c r="F1333" s="566" t="s">
        <v>489</v>
      </c>
      <c r="G1333" s="567">
        <v>50</v>
      </c>
      <c r="H1333" s="566" t="s">
        <v>689</v>
      </c>
      <c r="I1333" s="568">
        <v>2</v>
      </c>
      <c r="J1333" s="569">
        <v>57</v>
      </c>
      <c r="K1333" s="569">
        <v>57</v>
      </c>
      <c r="L1333" s="566"/>
      <c r="M1333" s="566" t="s">
        <v>476</v>
      </c>
      <c r="N1333" s="570">
        <v>1206</v>
      </c>
      <c r="O1333" s="566"/>
      <c r="P1333" s="566" t="s">
        <v>477</v>
      </c>
      <c r="Q1333" s="568">
        <v>909678</v>
      </c>
      <c r="R1333" s="568">
        <v>31</v>
      </c>
      <c r="S1333" s="566" t="s">
        <v>1348</v>
      </c>
      <c r="T1333" s="571" t="s">
        <v>467</v>
      </c>
      <c r="U1333" s="571" t="s">
        <v>670</v>
      </c>
      <c r="V1333" s="571" t="s">
        <v>528</v>
      </c>
      <c r="W1333" s="572" t="s">
        <v>1276</v>
      </c>
      <c r="X1333" s="571" t="s">
        <v>1337</v>
      </c>
      <c r="Y1333" s="571" t="s">
        <v>1338</v>
      </c>
      <c r="Z1333" s="566" t="s">
        <v>2297</v>
      </c>
      <c r="AA1333" s="573">
        <v>1206</v>
      </c>
      <c r="AB1333" s="571"/>
    </row>
    <row r="1334" spans="1:28" hidden="1">
      <c r="A1334" s="566" t="s">
        <v>1335</v>
      </c>
      <c r="B1334" s="566" t="s">
        <v>466</v>
      </c>
      <c r="C1334" s="566" t="s">
        <v>487</v>
      </c>
      <c r="D1334" s="566" t="s">
        <v>472</v>
      </c>
      <c r="E1334" s="566" t="s">
        <v>473</v>
      </c>
      <c r="F1334" s="566" t="s">
        <v>489</v>
      </c>
      <c r="G1334" s="567">
        <v>50</v>
      </c>
      <c r="H1334" s="566" t="s">
        <v>692</v>
      </c>
      <c r="I1334" s="568">
        <v>2</v>
      </c>
      <c r="J1334" s="569">
        <v>57</v>
      </c>
      <c r="K1334" s="569">
        <v>57</v>
      </c>
      <c r="L1334" s="566"/>
      <c r="M1334" s="566" t="s">
        <v>476</v>
      </c>
      <c r="N1334" s="570">
        <v>1242</v>
      </c>
      <c r="O1334" s="566"/>
      <c r="P1334" s="566" t="s">
        <v>477</v>
      </c>
      <c r="Q1334" s="568">
        <v>909678</v>
      </c>
      <c r="R1334" s="568">
        <v>32</v>
      </c>
      <c r="S1334" s="566" t="s">
        <v>1350</v>
      </c>
      <c r="T1334" s="571" t="s">
        <v>467</v>
      </c>
      <c r="U1334" s="571" t="s">
        <v>670</v>
      </c>
      <c r="V1334" s="571" t="s">
        <v>528</v>
      </c>
      <c r="W1334" s="572" t="s">
        <v>1277</v>
      </c>
      <c r="X1334" s="571" t="s">
        <v>1337</v>
      </c>
      <c r="Y1334" s="571" t="s">
        <v>1338</v>
      </c>
      <c r="Z1334" s="566" t="s">
        <v>2298</v>
      </c>
      <c r="AA1334" s="573">
        <v>1242</v>
      </c>
      <c r="AB1334" s="571"/>
    </row>
    <row r="1335" spans="1:28" hidden="1">
      <c r="A1335" s="566" t="s">
        <v>1335</v>
      </c>
      <c r="B1335" s="566" t="s">
        <v>466</v>
      </c>
      <c r="C1335" s="566" t="s">
        <v>471</v>
      </c>
      <c r="D1335" s="566" t="s">
        <v>472</v>
      </c>
      <c r="E1335" s="566" t="s">
        <v>473</v>
      </c>
      <c r="F1335" s="566" t="s">
        <v>474</v>
      </c>
      <c r="G1335" s="567">
        <v>0</v>
      </c>
      <c r="H1335" s="566" t="s">
        <v>2117</v>
      </c>
      <c r="I1335" s="568">
        <v>2</v>
      </c>
      <c r="J1335" s="569">
        <v>57</v>
      </c>
      <c r="K1335" s="569">
        <v>57</v>
      </c>
      <c r="L1335" s="566"/>
      <c r="M1335" s="566" t="s">
        <v>476</v>
      </c>
      <c r="N1335" s="570">
        <v>1278</v>
      </c>
      <c r="O1335" s="566"/>
      <c r="P1335" s="566" t="s">
        <v>477</v>
      </c>
      <c r="Q1335" s="568">
        <v>909678</v>
      </c>
      <c r="R1335" s="568">
        <v>27</v>
      </c>
      <c r="S1335" s="566" t="s">
        <v>1353</v>
      </c>
      <c r="T1335" s="571" t="s">
        <v>467</v>
      </c>
      <c r="U1335" s="571" t="s">
        <v>670</v>
      </c>
      <c r="V1335" s="571" t="s">
        <v>528</v>
      </c>
      <c r="W1335" s="572" t="s">
        <v>1354</v>
      </c>
      <c r="X1335" s="571" t="s">
        <v>1337</v>
      </c>
      <c r="Y1335" s="571" t="s">
        <v>1338</v>
      </c>
      <c r="Z1335" s="566" t="s">
        <v>2299</v>
      </c>
      <c r="AA1335" s="573">
        <v>1278</v>
      </c>
      <c r="AB1335" s="571"/>
    </row>
    <row r="1336" spans="1:28" hidden="1">
      <c r="A1336" s="566" t="s">
        <v>1335</v>
      </c>
      <c r="B1336" s="566" t="s">
        <v>466</v>
      </c>
      <c r="C1336" s="566" t="s">
        <v>487</v>
      </c>
      <c r="D1336" s="566" t="s">
        <v>472</v>
      </c>
      <c r="E1336" s="566" t="s">
        <v>473</v>
      </c>
      <c r="F1336" s="566" t="s">
        <v>489</v>
      </c>
      <c r="G1336" s="567">
        <v>50</v>
      </c>
      <c r="H1336" s="566" t="s">
        <v>2119</v>
      </c>
      <c r="I1336" s="568">
        <v>2</v>
      </c>
      <c r="J1336" s="569">
        <v>57</v>
      </c>
      <c r="K1336" s="569">
        <v>57</v>
      </c>
      <c r="L1336" s="566"/>
      <c r="M1336" s="566" t="s">
        <v>476</v>
      </c>
      <c r="N1336" s="570">
        <v>1314</v>
      </c>
      <c r="O1336" s="566"/>
      <c r="P1336" s="566" t="s">
        <v>477</v>
      </c>
      <c r="Q1336" s="568">
        <v>909678</v>
      </c>
      <c r="R1336" s="568">
        <v>33</v>
      </c>
      <c r="S1336" s="566" t="s">
        <v>1357</v>
      </c>
      <c r="T1336" s="571" t="s">
        <v>467</v>
      </c>
      <c r="U1336" s="571" t="s">
        <v>670</v>
      </c>
      <c r="V1336" s="571" t="s">
        <v>528</v>
      </c>
      <c r="W1336" s="572" t="s">
        <v>1358</v>
      </c>
      <c r="X1336" s="571" t="s">
        <v>1337</v>
      </c>
      <c r="Y1336" s="571" t="s">
        <v>1338</v>
      </c>
      <c r="Z1336" s="566" t="s">
        <v>2300</v>
      </c>
      <c r="AA1336" s="573">
        <v>1314</v>
      </c>
      <c r="AB1336" s="571"/>
    </row>
    <row r="1337" spans="1:28" hidden="1">
      <c r="A1337" s="566" t="s">
        <v>1335</v>
      </c>
      <c r="B1337" s="566" t="s">
        <v>466</v>
      </c>
      <c r="C1337" s="566" t="s">
        <v>471</v>
      </c>
      <c r="D1337" s="566" t="s">
        <v>472</v>
      </c>
      <c r="E1337" s="566" t="s">
        <v>473</v>
      </c>
      <c r="F1337" s="566" t="s">
        <v>474</v>
      </c>
      <c r="G1337" s="567">
        <v>0</v>
      </c>
      <c r="H1337" s="566" t="s">
        <v>704</v>
      </c>
      <c r="I1337" s="568">
        <v>2</v>
      </c>
      <c r="J1337" s="569">
        <v>57</v>
      </c>
      <c r="K1337" s="569">
        <v>57</v>
      </c>
      <c r="L1337" s="566"/>
      <c r="M1337" s="566" t="s">
        <v>476</v>
      </c>
      <c r="N1337" s="570">
        <v>918</v>
      </c>
      <c r="O1337" s="566"/>
      <c r="P1337" s="566" t="s">
        <v>477</v>
      </c>
      <c r="Q1337" s="568">
        <v>909678</v>
      </c>
      <c r="R1337" s="568">
        <v>22</v>
      </c>
      <c r="S1337" s="566" t="s">
        <v>1360</v>
      </c>
      <c r="T1337" s="571" t="s">
        <v>467</v>
      </c>
      <c r="U1337" s="571" t="s">
        <v>670</v>
      </c>
      <c r="V1337" s="571" t="s">
        <v>528</v>
      </c>
      <c r="W1337" s="572" t="s">
        <v>509</v>
      </c>
      <c r="X1337" s="571" t="s">
        <v>1337</v>
      </c>
      <c r="Y1337" s="571" t="s">
        <v>1338</v>
      </c>
      <c r="Z1337" s="566" t="s">
        <v>2301</v>
      </c>
      <c r="AA1337" s="573">
        <v>918</v>
      </c>
      <c r="AB1337" s="571"/>
    </row>
    <row r="1338" spans="1:28" hidden="1">
      <c r="A1338" s="566" t="s">
        <v>1335</v>
      </c>
      <c r="B1338" s="566" t="s">
        <v>466</v>
      </c>
      <c r="C1338" s="566" t="s">
        <v>471</v>
      </c>
      <c r="D1338" s="566" t="s">
        <v>472</v>
      </c>
      <c r="E1338" s="566" t="s">
        <v>473</v>
      </c>
      <c r="F1338" s="566" t="s">
        <v>474</v>
      </c>
      <c r="G1338" s="567">
        <v>0</v>
      </c>
      <c r="H1338" s="566" t="s">
        <v>706</v>
      </c>
      <c r="I1338" s="568">
        <v>2</v>
      </c>
      <c r="J1338" s="569">
        <v>57</v>
      </c>
      <c r="K1338" s="569">
        <v>57</v>
      </c>
      <c r="L1338" s="566"/>
      <c r="M1338" s="566" t="s">
        <v>476</v>
      </c>
      <c r="N1338" s="570">
        <v>954</v>
      </c>
      <c r="O1338" s="566"/>
      <c r="P1338" s="566" t="s">
        <v>477</v>
      </c>
      <c r="Q1338" s="568">
        <v>909678</v>
      </c>
      <c r="R1338" s="568">
        <v>23</v>
      </c>
      <c r="S1338" s="566" t="s">
        <v>1362</v>
      </c>
      <c r="T1338" s="571" t="s">
        <v>467</v>
      </c>
      <c r="U1338" s="571" t="s">
        <v>670</v>
      </c>
      <c r="V1338" s="571" t="s">
        <v>528</v>
      </c>
      <c r="W1338" s="572" t="s">
        <v>512</v>
      </c>
      <c r="X1338" s="571" t="s">
        <v>1337</v>
      </c>
      <c r="Y1338" s="571" t="s">
        <v>1338</v>
      </c>
      <c r="Z1338" s="566" t="s">
        <v>2302</v>
      </c>
      <c r="AA1338" s="573">
        <v>954</v>
      </c>
      <c r="AB1338" s="571"/>
    </row>
    <row r="1339" spans="1:28" hidden="1">
      <c r="A1339" s="566" t="s">
        <v>1335</v>
      </c>
      <c r="B1339" s="566" t="s">
        <v>466</v>
      </c>
      <c r="C1339" s="566" t="s">
        <v>471</v>
      </c>
      <c r="D1339" s="566" t="s">
        <v>472</v>
      </c>
      <c r="E1339" s="566" t="s">
        <v>473</v>
      </c>
      <c r="F1339" s="566" t="s">
        <v>474</v>
      </c>
      <c r="G1339" s="567">
        <v>0</v>
      </c>
      <c r="H1339" s="566" t="s">
        <v>708</v>
      </c>
      <c r="I1339" s="568">
        <v>2</v>
      </c>
      <c r="J1339" s="569">
        <v>57</v>
      </c>
      <c r="K1339" s="569">
        <v>57</v>
      </c>
      <c r="L1339" s="566"/>
      <c r="M1339" s="566" t="s">
        <v>476</v>
      </c>
      <c r="N1339" s="570">
        <v>990</v>
      </c>
      <c r="O1339" s="566"/>
      <c r="P1339" s="566" t="s">
        <v>477</v>
      </c>
      <c r="Q1339" s="568">
        <v>909678</v>
      </c>
      <c r="R1339" s="568">
        <v>24</v>
      </c>
      <c r="S1339" s="566" t="s">
        <v>1364</v>
      </c>
      <c r="T1339" s="571" t="s">
        <v>467</v>
      </c>
      <c r="U1339" s="571" t="s">
        <v>670</v>
      </c>
      <c r="V1339" s="571" t="s">
        <v>528</v>
      </c>
      <c r="W1339" s="572" t="s">
        <v>514</v>
      </c>
      <c r="X1339" s="571" t="s">
        <v>1337</v>
      </c>
      <c r="Y1339" s="571" t="s">
        <v>1338</v>
      </c>
      <c r="Z1339" s="566" t="s">
        <v>2303</v>
      </c>
      <c r="AA1339" s="573">
        <v>990</v>
      </c>
      <c r="AB1339" s="571"/>
    </row>
    <row r="1340" spans="1:28" hidden="1">
      <c r="A1340" s="566" t="s">
        <v>1335</v>
      </c>
      <c r="B1340" s="566" t="s">
        <v>466</v>
      </c>
      <c r="C1340" s="566" t="s">
        <v>471</v>
      </c>
      <c r="D1340" s="566" t="s">
        <v>472</v>
      </c>
      <c r="E1340" s="566" t="s">
        <v>473</v>
      </c>
      <c r="F1340" s="566" t="s">
        <v>474</v>
      </c>
      <c r="G1340" s="567">
        <v>0</v>
      </c>
      <c r="H1340" s="566" t="s">
        <v>677</v>
      </c>
      <c r="I1340" s="568">
        <v>2</v>
      </c>
      <c r="J1340" s="569">
        <v>81</v>
      </c>
      <c r="K1340" s="569">
        <v>81</v>
      </c>
      <c r="L1340" s="566"/>
      <c r="M1340" s="566" t="s">
        <v>476</v>
      </c>
      <c r="N1340" s="570">
        <v>1566</v>
      </c>
      <c r="O1340" s="566"/>
      <c r="P1340" s="566" t="s">
        <v>477</v>
      </c>
      <c r="Q1340" s="568">
        <v>909678</v>
      </c>
      <c r="R1340" s="568">
        <v>40</v>
      </c>
      <c r="S1340" s="566" t="s">
        <v>1366</v>
      </c>
      <c r="T1340" s="571" t="s">
        <v>467</v>
      </c>
      <c r="U1340" s="571" t="s">
        <v>670</v>
      </c>
      <c r="V1340" s="571" t="s">
        <v>528</v>
      </c>
      <c r="W1340" s="572" t="s">
        <v>1274</v>
      </c>
      <c r="X1340" s="571" t="s">
        <v>1337</v>
      </c>
      <c r="Y1340" s="571" t="s">
        <v>1367</v>
      </c>
      <c r="Z1340" s="566" t="s">
        <v>2304</v>
      </c>
      <c r="AA1340" s="573">
        <v>1566</v>
      </c>
      <c r="AB1340" s="571"/>
    </row>
    <row r="1341" spans="1:28" hidden="1">
      <c r="A1341" s="566" t="s">
        <v>1335</v>
      </c>
      <c r="B1341" s="566" t="s">
        <v>466</v>
      </c>
      <c r="C1341" s="566" t="s">
        <v>471</v>
      </c>
      <c r="D1341" s="566" t="s">
        <v>472</v>
      </c>
      <c r="E1341" s="566" t="s">
        <v>473</v>
      </c>
      <c r="F1341" s="566" t="s">
        <v>474</v>
      </c>
      <c r="G1341" s="567">
        <v>0</v>
      </c>
      <c r="H1341" s="566" t="s">
        <v>680</v>
      </c>
      <c r="I1341" s="568">
        <v>2</v>
      </c>
      <c r="J1341" s="569">
        <v>81</v>
      </c>
      <c r="K1341" s="569">
        <v>81</v>
      </c>
      <c r="L1341" s="566"/>
      <c r="M1341" s="566" t="s">
        <v>476</v>
      </c>
      <c r="N1341" s="570">
        <v>1602</v>
      </c>
      <c r="O1341" s="566"/>
      <c r="P1341" s="566" t="s">
        <v>477</v>
      </c>
      <c r="Q1341" s="568">
        <v>909678</v>
      </c>
      <c r="R1341" s="568">
        <v>41</v>
      </c>
      <c r="S1341" s="566" t="s">
        <v>1369</v>
      </c>
      <c r="T1341" s="571" t="s">
        <v>467</v>
      </c>
      <c r="U1341" s="571" t="s">
        <v>670</v>
      </c>
      <c r="V1341" s="571" t="s">
        <v>528</v>
      </c>
      <c r="W1341" s="572" t="s">
        <v>1275</v>
      </c>
      <c r="X1341" s="571" t="s">
        <v>1337</v>
      </c>
      <c r="Y1341" s="571" t="s">
        <v>1367</v>
      </c>
      <c r="Z1341" s="566" t="s">
        <v>2305</v>
      </c>
      <c r="AA1341" s="573">
        <v>1602</v>
      </c>
      <c r="AB1341" s="571"/>
    </row>
    <row r="1342" spans="1:28" hidden="1">
      <c r="A1342" s="566" t="s">
        <v>1335</v>
      </c>
      <c r="B1342" s="566" t="s">
        <v>466</v>
      </c>
      <c r="C1342" s="566" t="s">
        <v>487</v>
      </c>
      <c r="D1342" s="566" t="s">
        <v>472</v>
      </c>
      <c r="E1342" s="566" t="s">
        <v>473</v>
      </c>
      <c r="F1342" s="566" t="s">
        <v>489</v>
      </c>
      <c r="G1342" s="567">
        <v>50</v>
      </c>
      <c r="H1342" s="566" t="s">
        <v>689</v>
      </c>
      <c r="I1342" s="568">
        <v>2</v>
      </c>
      <c r="J1342" s="569">
        <v>81</v>
      </c>
      <c r="K1342" s="569">
        <v>81</v>
      </c>
      <c r="L1342" s="566"/>
      <c r="M1342" s="566" t="s">
        <v>476</v>
      </c>
      <c r="N1342" s="570">
        <v>1638</v>
      </c>
      <c r="O1342" s="566"/>
      <c r="P1342" s="566" t="s">
        <v>477</v>
      </c>
      <c r="Q1342" s="568">
        <v>909678</v>
      </c>
      <c r="R1342" s="568">
        <v>43</v>
      </c>
      <c r="S1342" s="566" t="s">
        <v>1371</v>
      </c>
      <c r="T1342" s="571" t="s">
        <v>467</v>
      </c>
      <c r="U1342" s="571" t="s">
        <v>670</v>
      </c>
      <c r="V1342" s="571" t="s">
        <v>528</v>
      </c>
      <c r="W1342" s="572" t="s">
        <v>1276</v>
      </c>
      <c r="X1342" s="571" t="s">
        <v>1337</v>
      </c>
      <c r="Y1342" s="571" t="s">
        <v>1367</v>
      </c>
      <c r="Z1342" s="566" t="s">
        <v>2306</v>
      </c>
      <c r="AA1342" s="573">
        <v>1638</v>
      </c>
      <c r="AB1342" s="571"/>
    </row>
    <row r="1343" spans="1:28" hidden="1">
      <c r="A1343" s="566" t="s">
        <v>1335</v>
      </c>
      <c r="B1343" s="566" t="s">
        <v>466</v>
      </c>
      <c r="C1343" s="566" t="s">
        <v>487</v>
      </c>
      <c r="D1343" s="566" t="s">
        <v>472</v>
      </c>
      <c r="E1343" s="566" t="s">
        <v>473</v>
      </c>
      <c r="F1343" s="566" t="s">
        <v>489</v>
      </c>
      <c r="G1343" s="567">
        <v>50</v>
      </c>
      <c r="H1343" s="566" t="s">
        <v>692</v>
      </c>
      <c r="I1343" s="568">
        <v>2</v>
      </c>
      <c r="J1343" s="569">
        <v>81</v>
      </c>
      <c r="K1343" s="569">
        <v>81</v>
      </c>
      <c r="L1343" s="566"/>
      <c r="M1343" s="566" t="s">
        <v>476</v>
      </c>
      <c r="N1343" s="570">
        <v>1674</v>
      </c>
      <c r="O1343" s="566"/>
      <c r="P1343" s="566" t="s">
        <v>477</v>
      </c>
      <c r="Q1343" s="568">
        <v>909678</v>
      </c>
      <c r="R1343" s="568">
        <v>44</v>
      </c>
      <c r="S1343" s="566" t="s">
        <v>1373</v>
      </c>
      <c r="T1343" s="571" t="s">
        <v>467</v>
      </c>
      <c r="U1343" s="571" t="s">
        <v>670</v>
      </c>
      <c r="V1343" s="571" t="s">
        <v>528</v>
      </c>
      <c r="W1343" s="572" t="s">
        <v>1277</v>
      </c>
      <c r="X1343" s="571" t="s">
        <v>1337</v>
      </c>
      <c r="Y1343" s="571" t="s">
        <v>1367</v>
      </c>
      <c r="Z1343" s="566" t="s">
        <v>2307</v>
      </c>
      <c r="AA1343" s="573">
        <v>1674</v>
      </c>
      <c r="AB1343" s="571"/>
    </row>
    <row r="1344" spans="1:28" hidden="1">
      <c r="A1344" s="566" t="s">
        <v>1335</v>
      </c>
      <c r="B1344" s="566" t="s">
        <v>466</v>
      </c>
      <c r="C1344" s="566" t="s">
        <v>471</v>
      </c>
      <c r="D1344" s="566" t="s">
        <v>472</v>
      </c>
      <c r="E1344" s="566" t="s">
        <v>473</v>
      </c>
      <c r="F1344" s="566" t="s">
        <v>474</v>
      </c>
      <c r="G1344" s="567">
        <v>0</v>
      </c>
      <c r="H1344" s="566" t="s">
        <v>2117</v>
      </c>
      <c r="I1344" s="568">
        <v>2</v>
      </c>
      <c r="J1344" s="569">
        <v>81</v>
      </c>
      <c r="K1344" s="569">
        <v>81</v>
      </c>
      <c r="L1344" s="566"/>
      <c r="M1344" s="566" t="s">
        <v>476</v>
      </c>
      <c r="N1344" s="570">
        <v>1710</v>
      </c>
      <c r="O1344" s="566"/>
      <c r="P1344" s="566" t="s">
        <v>477</v>
      </c>
      <c r="Q1344" s="568">
        <v>909678</v>
      </c>
      <c r="R1344" s="568">
        <v>42</v>
      </c>
      <c r="S1344" s="566" t="s">
        <v>1375</v>
      </c>
      <c r="T1344" s="571" t="s">
        <v>467</v>
      </c>
      <c r="U1344" s="571" t="s">
        <v>670</v>
      </c>
      <c r="V1344" s="571" t="s">
        <v>528</v>
      </c>
      <c r="W1344" s="572" t="s">
        <v>1354</v>
      </c>
      <c r="X1344" s="571" t="s">
        <v>1337</v>
      </c>
      <c r="Y1344" s="571" t="s">
        <v>1367</v>
      </c>
      <c r="Z1344" s="566" t="s">
        <v>2308</v>
      </c>
      <c r="AA1344" s="573">
        <v>1710</v>
      </c>
      <c r="AB1344" s="571"/>
    </row>
    <row r="1345" spans="1:28" hidden="1">
      <c r="A1345" s="566" t="s">
        <v>1335</v>
      </c>
      <c r="B1345" s="566" t="s">
        <v>466</v>
      </c>
      <c r="C1345" s="566" t="s">
        <v>487</v>
      </c>
      <c r="D1345" s="566" t="s">
        <v>472</v>
      </c>
      <c r="E1345" s="566" t="s">
        <v>473</v>
      </c>
      <c r="F1345" s="566" t="s">
        <v>489</v>
      </c>
      <c r="G1345" s="567">
        <v>50</v>
      </c>
      <c r="H1345" s="566" t="s">
        <v>2119</v>
      </c>
      <c r="I1345" s="568">
        <v>2</v>
      </c>
      <c r="J1345" s="569">
        <v>81</v>
      </c>
      <c r="K1345" s="569">
        <v>81</v>
      </c>
      <c r="L1345" s="566"/>
      <c r="M1345" s="566" t="s">
        <v>476</v>
      </c>
      <c r="N1345" s="570">
        <v>1746</v>
      </c>
      <c r="O1345" s="566"/>
      <c r="P1345" s="566" t="s">
        <v>477</v>
      </c>
      <c r="Q1345" s="568">
        <v>909678</v>
      </c>
      <c r="R1345" s="568">
        <v>45</v>
      </c>
      <c r="S1345" s="566" t="s">
        <v>1377</v>
      </c>
      <c r="T1345" s="571" t="s">
        <v>467</v>
      </c>
      <c r="U1345" s="571" t="s">
        <v>670</v>
      </c>
      <c r="V1345" s="571" t="s">
        <v>528</v>
      </c>
      <c r="W1345" s="572" t="s">
        <v>1358</v>
      </c>
      <c r="X1345" s="571" t="s">
        <v>1337</v>
      </c>
      <c r="Y1345" s="571" t="s">
        <v>1367</v>
      </c>
      <c r="Z1345" s="566" t="s">
        <v>2309</v>
      </c>
      <c r="AA1345" s="573">
        <v>1746</v>
      </c>
      <c r="AB1345" s="571"/>
    </row>
    <row r="1346" spans="1:28" hidden="1">
      <c r="A1346" s="566" t="s">
        <v>1335</v>
      </c>
      <c r="B1346" s="566" t="s">
        <v>466</v>
      </c>
      <c r="C1346" s="566" t="s">
        <v>553</v>
      </c>
      <c r="D1346" s="566" t="s">
        <v>472</v>
      </c>
      <c r="E1346" s="566" t="s">
        <v>473</v>
      </c>
      <c r="F1346" s="566" t="s">
        <v>554</v>
      </c>
      <c r="G1346" s="567">
        <v>13</v>
      </c>
      <c r="H1346" s="566" t="s">
        <v>734</v>
      </c>
      <c r="I1346" s="568">
        <v>2</v>
      </c>
      <c r="J1346" s="569">
        <v>22</v>
      </c>
      <c r="K1346" s="569">
        <v>22</v>
      </c>
      <c r="L1346" s="569">
        <v>17</v>
      </c>
      <c r="M1346" s="566" t="s">
        <v>476</v>
      </c>
      <c r="N1346" s="570">
        <v>171</v>
      </c>
      <c r="O1346" s="566"/>
      <c r="P1346" s="566" t="s">
        <v>477</v>
      </c>
      <c r="Q1346" s="568">
        <v>909678</v>
      </c>
      <c r="R1346" s="568">
        <v>9</v>
      </c>
      <c r="S1346" s="566" t="s">
        <v>1379</v>
      </c>
      <c r="T1346" s="571" t="s">
        <v>467</v>
      </c>
      <c r="U1346" s="571" t="s">
        <v>670</v>
      </c>
      <c r="V1346" s="571" t="s">
        <v>528</v>
      </c>
      <c r="W1346" s="572" t="s">
        <v>551</v>
      </c>
      <c r="X1346" s="571" t="s">
        <v>1380</v>
      </c>
      <c r="Y1346" s="571" t="s">
        <v>1338</v>
      </c>
      <c r="Z1346" s="566" t="s">
        <v>733</v>
      </c>
      <c r="AA1346" s="573">
        <v>171</v>
      </c>
      <c r="AB1346" s="571">
        <v>260070</v>
      </c>
    </row>
    <row r="1347" spans="1:28" hidden="1">
      <c r="A1347" s="566" t="s">
        <v>1335</v>
      </c>
      <c r="B1347" s="566" t="s">
        <v>466</v>
      </c>
      <c r="C1347" s="566" t="s">
        <v>553</v>
      </c>
      <c r="D1347" s="566" t="s">
        <v>472</v>
      </c>
      <c r="E1347" s="566" t="s">
        <v>473</v>
      </c>
      <c r="F1347" s="566" t="s">
        <v>554</v>
      </c>
      <c r="G1347" s="567">
        <v>16</v>
      </c>
      <c r="H1347" s="566" t="s">
        <v>736</v>
      </c>
      <c r="I1347" s="568">
        <v>2</v>
      </c>
      <c r="J1347" s="569">
        <v>22</v>
      </c>
      <c r="K1347" s="569">
        <v>22</v>
      </c>
      <c r="L1347" s="569">
        <v>17</v>
      </c>
      <c r="M1347" s="566" t="s">
        <v>476</v>
      </c>
      <c r="N1347" s="570">
        <v>315</v>
      </c>
      <c r="O1347" s="566"/>
      <c r="P1347" s="566" t="s">
        <v>477</v>
      </c>
      <c r="Q1347" s="568">
        <v>909678</v>
      </c>
      <c r="R1347" s="568">
        <v>4</v>
      </c>
      <c r="S1347" s="566" t="s">
        <v>1381</v>
      </c>
      <c r="T1347" s="571" t="s">
        <v>467</v>
      </c>
      <c r="U1347" s="571" t="s">
        <v>670</v>
      </c>
      <c r="V1347" s="571" t="s">
        <v>528</v>
      </c>
      <c r="W1347" s="572" t="s">
        <v>556</v>
      </c>
      <c r="X1347" s="571" t="s">
        <v>1380</v>
      </c>
      <c r="Y1347" s="571" t="s">
        <v>1338</v>
      </c>
      <c r="Z1347" s="566" t="s">
        <v>735</v>
      </c>
      <c r="AA1347" s="573">
        <v>315</v>
      </c>
      <c r="AB1347" s="571">
        <v>260214</v>
      </c>
    </row>
    <row r="1348" spans="1:28" hidden="1">
      <c r="A1348" s="566" t="s">
        <v>1335</v>
      </c>
      <c r="B1348" s="566" t="s">
        <v>466</v>
      </c>
      <c r="C1348" s="566" t="s">
        <v>471</v>
      </c>
      <c r="D1348" s="566" t="s">
        <v>472</v>
      </c>
      <c r="E1348" s="566" t="s">
        <v>473</v>
      </c>
      <c r="F1348" s="566" t="s">
        <v>474</v>
      </c>
      <c r="G1348" s="567">
        <v>0</v>
      </c>
      <c r="H1348" s="566" t="s">
        <v>677</v>
      </c>
      <c r="I1348" s="568">
        <v>2</v>
      </c>
      <c r="J1348" s="569">
        <v>9</v>
      </c>
      <c r="K1348" s="569">
        <v>9</v>
      </c>
      <c r="L1348" s="566"/>
      <c r="M1348" s="566" t="s">
        <v>476</v>
      </c>
      <c r="N1348" s="570">
        <v>486</v>
      </c>
      <c r="O1348" s="566"/>
      <c r="P1348" s="566" t="s">
        <v>477</v>
      </c>
      <c r="Q1348" s="568">
        <v>909678</v>
      </c>
      <c r="R1348" s="568">
        <v>10</v>
      </c>
      <c r="S1348" s="566" t="s">
        <v>1382</v>
      </c>
      <c r="T1348" s="571" t="s">
        <v>467</v>
      </c>
      <c r="U1348" s="571" t="s">
        <v>670</v>
      </c>
      <c r="V1348" s="571" t="s">
        <v>528</v>
      </c>
      <c r="W1348" s="572" t="s">
        <v>1274</v>
      </c>
      <c r="X1348" s="571" t="s">
        <v>1380</v>
      </c>
      <c r="Y1348" s="571" t="s">
        <v>1338</v>
      </c>
      <c r="Z1348" s="566" t="s">
        <v>737</v>
      </c>
      <c r="AA1348" s="573">
        <v>486</v>
      </c>
      <c r="AB1348" s="571"/>
    </row>
    <row r="1349" spans="1:28" hidden="1">
      <c r="A1349" s="566" t="s">
        <v>1335</v>
      </c>
      <c r="B1349" s="566" t="s">
        <v>466</v>
      </c>
      <c r="C1349" s="566" t="s">
        <v>471</v>
      </c>
      <c r="D1349" s="566" t="s">
        <v>472</v>
      </c>
      <c r="E1349" s="566" t="s">
        <v>473</v>
      </c>
      <c r="F1349" s="566" t="s">
        <v>474</v>
      </c>
      <c r="G1349" s="567">
        <v>0</v>
      </c>
      <c r="H1349" s="566" t="s">
        <v>680</v>
      </c>
      <c r="I1349" s="568">
        <v>2</v>
      </c>
      <c r="J1349" s="569">
        <v>9</v>
      </c>
      <c r="K1349" s="569">
        <v>9</v>
      </c>
      <c r="L1349" s="566"/>
      <c r="M1349" s="566" t="s">
        <v>476</v>
      </c>
      <c r="N1349" s="570">
        <v>558</v>
      </c>
      <c r="O1349" s="566"/>
      <c r="P1349" s="566" t="s">
        <v>477</v>
      </c>
      <c r="Q1349" s="568">
        <v>909678</v>
      </c>
      <c r="R1349" s="568">
        <v>15</v>
      </c>
      <c r="S1349" s="566" t="s">
        <v>483</v>
      </c>
      <c r="T1349" s="571" t="s">
        <v>467</v>
      </c>
      <c r="U1349" s="571" t="s">
        <v>670</v>
      </c>
      <c r="V1349" s="571" t="s">
        <v>528</v>
      </c>
      <c r="W1349" s="572" t="s">
        <v>1275</v>
      </c>
      <c r="X1349" s="571" t="s">
        <v>1380</v>
      </c>
      <c r="Y1349" s="571" t="s">
        <v>1338</v>
      </c>
      <c r="Z1349" s="566" t="s">
        <v>738</v>
      </c>
      <c r="AA1349" s="573">
        <v>558</v>
      </c>
      <c r="AB1349" s="571"/>
    </row>
    <row r="1350" spans="1:28" hidden="1">
      <c r="A1350" s="566" t="s">
        <v>1335</v>
      </c>
      <c r="B1350" s="566" t="s">
        <v>466</v>
      </c>
      <c r="C1350" s="566" t="s">
        <v>487</v>
      </c>
      <c r="D1350" s="566" t="s">
        <v>472</v>
      </c>
      <c r="E1350" s="566" t="s">
        <v>473</v>
      </c>
      <c r="F1350" s="566" t="s">
        <v>489</v>
      </c>
      <c r="G1350" s="567">
        <v>50</v>
      </c>
      <c r="H1350" s="566" t="s">
        <v>682</v>
      </c>
      <c r="I1350" s="568">
        <v>2</v>
      </c>
      <c r="J1350" s="569">
        <v>9</v>
      </c>
      <c r="K1350" s="569">
        <v>9</v>
      </c>
      <c r="L1350" s="566"/>
      <c r="M1350" s="566" t="s">
        <v>476</v>
      </c>
      <c r="N1350" s="570">
        <v>594</v>
      </c>
      <c r="O1350" s="566"/>
      <c r="P1350" s="566" t="s">
        <v>477</v>
      </c>
      <c r="Q1350" s="568">
        <v>909678</v>
      </c>
      <c r="R1350" s="568">
        <v>16</v>
      </c>
      <c r="S1350" s="566" t="s">
        <v>488</v>
      </c>
      <c r="T1350" s="571" t="s">
        <v>467</v>
      </c>
      <c r="U1350" s="571" t="s">
        <v>670</v>
      </c>
      <c r="V1350" s="571" t="s">
        <v>528</v>
      </c>
      <c r="W1350" s="572" t="s">
        <v>485</v>
      </c>
      <c r="X1350" s="571" t="s">
        <v>1380</v>
      </c>
      <c r="Y1350" s="571" t="s">
        <v>1338</v>
      </c>
      <c r="Z1350" s="566" t="s">
        <v>739</v>
      </c>
      <c r="AA1350" s="573">
        <v>594</v>
      </c>
      <c r="AB1350" s="571"/>
    </row>
    <row r="1351" spans="1:28" hidden="1">
      <c r="A1351" s="566" t="s">
        <v>1335</v>
      </c>
      <c r="B1351" s="566" t="s">
        <v>466</v>
      </c>
      <c r="C1351" s="566" t="s">
        <v>487</v>
      </c>
      <c r="D1351" s="566" t="s">
        <v>472</v>
      </c>
      <c r="E1351" s="566" t="s">
        <v>473</v>
      </c>
      <c r="F1351" s="566" t="s">
        <v>489</v>
      </c>
      <c r="G1351" s="567">
        <v>50</v>
      </c>
      <c r="H1351" s="566" t="s">
        <v>684</v>
      </c>
      <c r="I1351" s="568">
        <v>2</v>
      </c>
      <c r="J1351" s="569">
        <v>9</v>
      </c>
      <c r="K1351" s="569">
        <v>9</v>
      </c>
      <c r="L1351" s="566"/>
      <c r="M1351" s="566" t="s">
        <v>476</v>
      </c>
      <c r="N1351" s="570">
        <v>630</v>
      </c>
      <c r="O1351" s="566"/>
      <c r="P1351" s="566" t="s">
        <v>477</v>
      </c>
      <c r="Q1351" s="568">
        <v>909678</v>
      </c>
      <c r="R1351" s="568">
        <v>17</v>
      </c>
      <c r="S1351" s="566" t="s">
        <v>493</v>
      </c>
      <c r="T1351" s="571" t="s">
        <v>467</v>
      </c>
      <c r="U1351" s="571" t="s">
        <v>670</v>
      </c>
      <c r="V1351" s="571" t="s">
        <v>528</v>
      </c>
      <c r="W1351" s="572" t="s">
        <v>491</v>
      </c>
      <c r="X1351" s="571" t="s">
        <v>1380</v>
      </c>
      <c r="Y1351" s="571" t="s">
        <v>1338</v>
      </c>
      <c r="Z1351" s="566" t="s">
        <v>740</v>
      </c>
      <c r="AA1351" s="573">
        <v>630</v>
      </c>
      <c r="AB1351" s="571"/>
    </row>
    <row r="1352" spans="1:28" hidden="1">
      <c r="A1352" s="566" t="s">
        <v>1335</v>
      </c>
      <c r="B1352" s="566" t="s">
        <v>466</v>
      </c>
      <c r="C1352" s="566" t="s">
        <v>487</v>
      </c>
      <c r="D1352" s="566" t="s">
        <v>472</v>
      </c>
      <c r="E1352" s="566" t="s">
        <v>473</v>
      </c>
      <c r="F1352" s="566" t="s">
        <v>489</v>
      </c>
      <c r="G1352" s="567">
        <v>50</v>
      </c>
      <c r="H1352" s="566" t="s">
        <v>686</v>
      </c>
      <c r="I1352" s="568">
        <v>2</v>
      </c>
      <c r="J1352" s="569">
        <v>9</v>
      </c>
      <c r="K1352" s="569">
        <v>9</v>
      </c>
      <c r="L1352" s="566"/>
      <c r="M1352" s="566" t="s">
        <v>476</v>
      </c>
      <c r="N1352" s="570">
        <v>666</v>
      </c>
      <c r="O1352" s="566"/>
      <c r="P1352" s="566" t="s">
        <v>477</v>
      </c>
      <c r="Q1352" s="568">
        <v>909678</v>
      </c>
      <c r="R1352" s="568">
        <v>18</v>
      </c>
      <c r="S1352" s="566" t="s">
        <v>497</v>
      </c>
      <c r="T1352" s="571" t="s">
        <v>467</v>
      </c>
      <c r="U1352" s="571" t="s">
        <v>670</v>
      </c>
      <c r="V1352" s="571" t="s">
        <v>528</v>
      </c>
      <c r="W1352" s="572" t="s">
        <v>495</v>
      </c>
      <c r="X1352" s="571" t="s">
        <v>1380</v>
      </c>
      <c r="Y1352" s="571" t="s">
        <v>1338</v>
      </c>
      <c r="Z1352" s="566" t="s">
        <v>741</v>
      </c>
      <c r="AA1352" s="573">
        <v>666</v>
      </c>
      <c r="AB1352" s="571"/>
    </row>
    <row r="1353" spans="1:28" hidden="1">
      <c r="A1353" s="566" t="s">
        <v>1335</v>
      </c>
      <c r="B1353" s="566" t="s">
        <v>466</v>
      </c>
      <c r="C1353" s="566" t="s">
        <v>487</v>
      </c>
      <c r="D1353" s="566" t="s">
        <v>472</v>
      </c>
      <c r="E1353" s="566" t="s">
        <v>473</v>
      </c>
      <c r="F1353" s="566" t="s">
        <v>489</v>
      </c>
      <c r="G1353" s="567">
        <v>50</v>
      </c>
      <c r="H1353" s="566" t="s">
        <v>689</v>
      </c>
      <c r="I1353" s="568">
        <v>2</v>
      </c>
      <c r="J1353" s="569">
        <v>9</v>
      </c>
      <c r="K1353" s="569">
        <v>9</v>
      </c>
      <c r="L1353" s="566"/>
      <c r="M1353" s="566" t="s">
        <v>476</v>
      </c>
      <c r="N1353" s="570">
        <v>738</v>
      </c>
      <c r="O1353" s="566"/>
      <c r="P1353" s="566" t="s">
        <v>477</v>
      </c>
      <c r="Q1353" s="568">
        <v>909678</v>
      </c>
      <c r="R1353" s="568">
        <v>19</v>
      </c>
      <c r="S1353" s="566" t="s">
        <v>502</v>
      </c>
      <c r="T1353" s="571" t="s">
        <v>467</v>
      </c>
      <c r="U1353" s="571" t="s">
        <v>670</v>
      </c>
      <c r="V1353" s="571" t="s">
        <v>528</v>
      </c>
      <c r="W1353" s="572" t="s">
        <v>1276</v>
      </c>
      <c r="X1353" s="571" t="s">
        <v>1380</v>
      </c>
      <c r="Y1353" s="571" t="s">
        <v>1338</v>
      </c>
      <c r="Z1353" s="566" t="s">
        <v>742</v>
      </c>
      <c r="AA1353" s="573">
        <v>738</v>
      </c>
      <c r="AB1353" s="571"/>
    </row>
    <row r="1354" spans="1:28" hidden="1">
      <c r="A1354" s="566" t="s">
        <v>1335</v>
      </c>
      <c r="B1354" s="566" t="s">
        <v>466</v>
      </c>
      <c r="C1354" s="566" t="s">
        <v>487</v>
      </c>
      <c r="D1354" s="566" t="s">
        <v>472</v>
      </c>
      <c r="E1354" s="566" t="s">
        <v>473</v>
      </c>
      <c r="F1354" s="566" t="s">
        <v>489</v>
      </c>
      <c r="G1354" s="567">
        <v>50</v>
      </c>
      <c r="H1354" s="566" t="s">
        <v>692</v>
      </c>
      <c r="I1354" s="568">
        <v>2</v>
      </c>
      <c r="J1354" s="569">
        <v>9</v>
      </c>
      <c r="K1354" s="569">
        <v>9</v>
      </c>
      <c r="L1354" s="566"/>
      <c r="M1354" s="566" t="s">
        <v>476</v>
      </c>
      <c r="N1354" s="570">
        <v>810</v>
      </c>
      <c r="O1354" s="566"/>
      <c r="P1354" s="566" t="s">
        <v>477</v>
      </c>
      <c r="Q1354" s="568">
        <v>909678</v>
      </c>
      <c r="R1354" s="568">
        <v>21</v>
      </c>
      <c r="S1354" s="566" t="s">
        <v>507</v>
      </c>
      <c r="T1354" s="571" t="s">
        <v>467</v>
      </c>
      <c r="U1354" s="571" t="s">
        <v>670</v>
      </c>
      <c r="V1354" s="571" t="s">
        <v>528</v>
      </c>
      <c r="W1354" s="572" t="s">
        <v>1277</v>
      </c>
      <c r="X1354" s="571" t="s">
        <v>1380</v>
      </c>
      <c r="Y1354" s="571" t="s">
        <v>1338</v>
      </c>
      <c r="Z1354" s="566" t="s">
        <v>743</v>
      </c>
      <c r="AA1354" s="573">
        <v>810</v>
      </c>
      <c r="AB1354" s="571"/>
    </row>
    <row r="1355" spans="1:28" hidden="1">
      <c r="A1355" s="566" t="s">
        <v>1335</v>
      </c>
      <c r="B1355" s="566" t="s">
        <v>466</v>
      </c>
      <c r="C1355" s="566" t="s">
        <v>471</v>
      </c>
      <c r="D1355" s="566" t="s">
        <v>472</v>
      </c>
      <c r="E1355" s="566" t="s">
        <v>473</v>
      </c>
      <c r="F1355" s="566" t="s">
        <v>474</v>
      </c>
      <c r="G1355" s="567">
        <v>0</v>
      </c>
      <c r="H1355" s="566" t="s">
        <v>2117</v>
      </c>
      <c r="I1355" s="568">
        <v>2</v>
      </c>
      <c r="J1355" s="569">
        <v>9</v>
      </c>
      <c r="K1355" s="569">
        <v>9</v>
      </c>
      <c r="L1355" s="566"/>
      <c r="M1355" s="566" t="s">
        <v>476</v>
      </c>
      <c r="N1355" s="570">
        <v>846</v>
      </c>
      <c r="O1355" s="566"/>
      <c r="P1355" s="566" t="s">
        <v>477</v>
      </c>
      <c r="Q1355" s="568">
        <v>909678</v>
      </c>
      <c r="R1355" s="568">
        <v>46</v>
      </c>
      <c r="S1355" s="566" t="s">
        <v>1383</v>
      </c>
      <c r="T1355" s="571" t="s">
        <v>467</v>
      </c>
      <c r="U1355" s="571" t="s">
        <v>670</v>
      </c>
      <c r="V1355" s="571" t="s">
        <v>528</v>
      </c>
      <c r="W1355" s="572" t="s">
        <v>1354</v>
      </c>
      <c r="X1355" s="571" t="s">
        <v>1380</v>
      </c>
      <c r="Y1355" s="571" t="s">
        <v>1338</v>
      </c>
      <c r="Z1355" s="566" t="s">
        <v>2310</v>
      </c>
      <c r="AA1355" s="573">
        <v>846</v>
      </c>
      <c r="AB1355" s="571"/>
    </row>
    <row r="1356" spans="1:28" hidden="1">
      <c r="A1356" s="566" t="s">
        <v>1335</v>
      </c>
      <c r="B1356" s="566" t="s">
        <v>466</v>
      </c>
      <c r="C1356" s="566" t="s">
        <v>487</v>
      </c>
      <c r="D1356" s="566" t="s">
        <v>472</v>
      </c>
      <c r="E1356" s="566" t="s">
        <v>473</v>
      </c>
      <c r="F1356" s="566" t="s">
        <v>489</v>
      </c>
      <c r="G1356" s="567">
        <v>50</v>
      </c>
      <c r="H1356" s="566" t="s">
        <v>2119</v>
      </c>
      <c r="I1356" s="568">
        <v>2</v>
      </c>
      <c r="J1356" s="569">
        <v>9</v>
      </c>
      <c r="K1356" s="569">
        <v>9</v>
      </c>
      <c r="L1356" s="566"/>
      <c r="M1356" s="566" t="s">
        <v>476</v>
      </c>
      <c r="N1356" s="570">
        <v>882</v>
      </c>
      <c r="O1356" s="566"/>
      <c r="P1356" s="566" t="s">
        <v>477</v>
      </c>
      <c r="Q1356" s="568">
        <v>909678</v>
      </c>
      <c r="R1356" s="568">
        <v>47</v>
      </c>
      <c r="S1356" s="566" t="s">
        <v>1385</v>
      </c>
      <c r="T1356" s="571" t="s">
        <v>467</v>
      </c>
      <c r="U1356" s="571" t="s">
        <v>670</v>
      </c>
      <c r="V1356" s="571" t="s">
        <v>528</v>
      </c>
      <c r="W1356" s="572" t="s">
        <v>1358</v>
      </c>
      <c r="X1356" s="571" t="s">
        <v>1380</v>
      </c>
      <c r="Y1356" s="571" t="s">
        <v>1338</v>
      </c>
      <c r="Z1356" s="566" t="s">
        <v>2311</v>
      </c>
      <c r="AA1356" s="573">
        <v>882</v>
      </c>
      <c r="AB1356" s="571"/>
    </row>
    <row r="1357" spans="1:28" hidden="1">
      <c r="A1357" s="566" t="s">
        <v>1335</v>
      </c>
      <c r="B1357" s="566" t="s">
        <v>466</v>
      </c>
      <c r="C1357" s="566" t="s">
        <v>553</v>
      </c>
      <c r="D1357" s="566" t="s">
        <v>472</v>
      </c>
      <c r="E1357" s="566" t="s">
        <v>473</v>
      </c>
      <c r="F1357" s="566" t="s">
        <v>554</v>
      </c>
      <c r="G1357" s="567">
        <v>13</v>
      </c>
      <c r="H1357" s="566" t="s">
        <v>745</v>
      </c>
      <c r="I1357" s="568">
        <v>2</v>
      </c>
      <c r="J1357" s="569">
        <v>22</v>
      </c>
      <c r="K1357" s="569">
        <v>22</v>
      </c>
      <c r="L1357" s="569">
        <v>17</v>
      </c>
      <c r="M1357" s="566" t="s">
        <v>476</v>
      </c>
      <c r="N1357" s="570">
        <v>195</v>
      </c>
      <c r="O1357" s="566"/>
      <c r="P1357" s="566" t="s">
        <v>477</v>
      </c>
      <c r="Q1357" s="568">
        <v>909678</v>
      </c>
      <c r="R1357" s="568">
        <v>1</v>
      </c>
      <c r="S1357" s="566" t="s">
        <v>1387</v>
      </c>
      <c r="T1357" s="571" t="s">
        <v>467</v>
      </c>
      <c r="U1357" s="571" t="s">
        <v>670</v>
      </c>
      <c r="V1357" s="571" t="s">
        <v>528</v>
      </c>
      <c r="W1357" s="572" t="s">
        <v>577</v>
      </c>
      <c r="X1357" s="571" t="s">
        <v>1380</v>
      </c>
      <c r="Y1357" s="571" t="s">
        <v>1338</v>
      </c>
      <c r="Z1357" s="566" t="s">
        <v>744</v>
      </c>
      <c r="AA1357" s="573">
        <v>195</v>
      </c>
      <c r="AB1357" s="571">
        <v>260094</v>
      </c>
    </row>
    <row r="1358" spans="1:28" hidden="1">
      <c r="A1358" s="566" t="s">
        <v>1335</v>
      </c>
      <c r="B1358" s="566" t="s">
        <v>466</v>
      </c>
      <c r="C1358" s="566" t="s">
        <v>553</v>
      </c>
      <c r="D1358" s="566" t="s">
        <v>472</v>
      </c>
      <c r="E1358" s="566" t="s">
        <v>473</v>
      </c>
      <c r="F1358" s="566" t="s">
        <v>554</v>
      </c>
      <c r="G1358" s="567">
        <v>13</v>
      </c>
      <c r="H1358" s="566" t="s">
        <v>747</v>
      </c>
      <c r="I1358" s="568">
        <v>2</v>
      </c>
      <c r="J1358" s="569">
        <v>22</v>
      </c>
      <c r="K1358" s="569">
        <v>22</v>
      </c>
      <c r="L1358" s="569">
        <v>17</v>
      </c>
      <c r="M1358" s="566" t="s">
        <v>476</v>
      </c>
      <c r="N1358" s="570">
        <v>219</v>
      </c>
      <c r="O1358" s="566"/>
      <c r="P1358" s="566" t="s">
        <v>477</v>
      </c>
      <c r="Q1358" s="568">
        <v>909678</v>
      </c>
      <c r="R1358" s="568">
        <v>2</v>
      </c>
      <c r="S1358" s="566" t="s">
        <v>1388</v>
      </c>
      <c r="T1358" s="571" t="s">
        <v>467</v>
      </c>
      <c r="U1358" s="571" t="s">
        <v>670</v>
      </c>
      <c r="V1358" s="571" t="s">
        <v>528</v>
      </c>
      <c r="W1358" s="572" t="s">
        <v>580</v>
      </c>
      <c r="X1358" s="571" t="s">
        <v>1380</v>
      </c>
      <c r="Y1358" s="571" t="s">
        <v>1338</v>
      </c>
      <c r="Z1358" s="566" t="s">
        <v>746</v>
      </c>
      <c r="AA1358" s="573">
        <v>219</v>
      </c>
      <c r="AB1358" s="571">
        <v>260118</v>
      </c>
    </row>
    <row r="1359" spans="1:28" hidden="1">
      <c r="A1359" s="566" t="s">
        <v>1335</v>
      </c>
      <c r="B1359" s="566" t="s">
        <v>466</v>
      </c>
      <c r="C1359" s="566" t="s">
        <v>553</v>
      </c>
      <c r="D1359" s="566" t="s">
        <v>472</v>
      </c>
      <c r="E1359" s="566" t="s">
        <v>473</v>
      </c>
      <c r="F1359" s="566" t="s">
        <v>554</v>
      </c>
      <c r="G1359" s="567">
        <v>16</v>
      </c>
      <c r="H1359" s="566" t="s">
        <v>749</v>
      </c>
      <c r="I1359" s="568">
        <v>2</v>
      </c>
      <c r="J1359" s="569">
        <v>22</v>
      </c>
      <c r="K1359" s="569">
        <v>22</v>
      </c>
      <c r="L1359" s="569">
        <v>17</v>
      </c>
      <c r="M1359" s="566" t="s">
        <v>476</v>
      </c>
      <c r="N1359" s="570">
        <v>243</v>
      </c>
      <c r="O1359" s="566"/>
      <c r="P1359" s="566" t="s">
        <v>477</v>
      </c>
      <c r="Q1359" s="568">
        <v>909678</v>
      </c>
      <c r="R1359" s="568">
        <v>12</v>
      </c>
      <c r="S1359" s="566" t="s">
        <v>1389</v>
      </c>
      <c r="T1359" s="571" t="s">
        <v>467</v>
      </c>
      <c r="U1359" s="571" t="s">
        <v>670</v>
      </c>
      <c r="V1359" s="571" t="s">
        <v>528</v>
      </c>
      <c r="W1359" s="572" t="s">
        <v>583</v>
      </c>
      <c r="X1359" s="571" t="s">
        <v>1380</v>
      </c>
      <c r="Y1359" s="571" t="s">
        <v>1338</v>
      </c>
      <c r="Z1359" s="566" t="s">
        <v>748</v>
      </c>
      <c r="AA1359" s="573">
        <v>243</v>
      </c>
      <c r="AB1359" s="571">
        <v>260142</v>
      </c>
    </row>
    <row r="1360" spans="1:28" hidden="1">
      <c r="A1360" s="566" t="s">
        <v>1335</v>
      </c>
      <c r="B1360" s="566" t="s">
        <v>466</v>
      </c>
      <c r="C1360" s="566" t="s">
        <v>553</v>
      </c>
      <c r="D1360" s="566" t="s">
        <v>472</v>
      </c>
      <c r="E1360" s="566" t="s">
        <v>473</v>
      </c>
      <c r="F1360" s="566" t="s">
        <v>554</v>
      </c>
      <c r="G1360" s="567">
        <v>16</v>
      </c>
      <c r="H1360" s="566" t="s">
        <v>751</v>
      </c>
      <c r="I1360" s="568">
        <v>2</v>
      </c>
      <c r="J1360" s="569">
        <v>22</v>
      </c>
      <c r="K1360" s="569">
        <v>22</v>
      </c>
      <c r="L1360" s="569">
        <v>17</v>
      </c>
      <c r="M1360" s="566" t="s">
        <v>476</v>
      </c>
      <c r="N1360" s="570">
        <v>267</v>
      </c>
      <c r="O1360" s="566"/>
      <c r="P1360" s="566" t="s">
        <v>477</v>
      </c>
      <c r="Q1360" s="568">
        <v>909678</v>
      </c>
      <c r="R1360" s="568">
        <v>3</v>
      </c>
      <c r="S1360" s="566" t="s">
        <v>1390</v>
      </c>
      <c r="T1360" s="571" t="s">
        <v>467</v>
      </c>
      <c r="U1360" s="571" t="s">
        <v>670</v>
      </c>
      <c r="V1360" s="571" t="s">
        <v>528</v>
      </c>
      <c r="W1360" s="572" t="s">
        <v>586</v>
      </c>
      <c r="X1360" s="571" t="s">
        <v>1380</v>
      </c>
      <c r="Y1360" s="571" t="s">
        <v>1338</v>
      </c>
      <c r="Z1360" s="566" t="s">
        <v>750</v>
      </c>
      <c r="AA1360" s="573">
        <v>267</v>
      </c>
      <c r="AB1360" s="571">
        <v>260166</v>
      </c>
    </row>
    <row r="1361" spans="1:28" hidden="1">
      <c r="A1361" s="566" t="s">
        <v>1335</v>
      </c>
      <c r="B1361" s="566" t="s">
        <v>466</v>
      </c>
      <c r="C1361" s="566" t="s">
        <v>553</v>
      </c>
      <c r="D1361" s="566" t="s">
        <v>472</v>
      </c>
      <c r="E1361" s="566" t="s">
        <v>473</v>
      </c>
      <c r="F1361" s="566" t="s">
        <v>554</v>
      </c>
      <c r="G1361" s="567">
        <v>16</v>
      </c>
      <c r="H1361" s="566" t="s">
        <v>753</v>
      </c>
      <c r="I1361" s="568">
        <v>2</v>
      </c>
      <c r="J1361" s="569">
        <v>22</v>
      </c>
      <c r="K1361" s="569">
        <v>22</v>
      </c>
      <c r="L1361" s="569">
        <v>17</v>
      </c>
      <c r="M1361" s="566" t="s">
        <v>476</v>
      </c>
      <c r="N1361" s="570">
        <v>291</v>
      </c>
      <c r="O1361" s="566"/>
      <c r="P1361" s="566" t="s">
        <v>477</v>
      </c>
      <c r="Q1361" s="568">
        <v>909678</v>
      </c>
      <c r="R1361" s="568">
        <v>13</v>
      </c>
      <c r="S1361" s="566" t="s">
        <v>1391</v>
      </c>
      <c r="T1361" s="571" t="s">
        <v>467</v>
      </c>
      <c r="U1361" s="571" t="s">
        <v>670</v>
      </c>
      <c r="V1361" s="571" t="s">
        <v>528</v>
      </c>
      <c r="W1361" s="572" t="s">
        <v>589</v>
      </c>
      <c r="X1361" s="571" t="s">
        <v>1380</v>
      </c>
      <c r="Y1361" s="571" t="s">
        <v>1338</v>
      </c>
      <c r="Z1361" s="566" t="s">
        <v>752</v>
      </c>
      <c r="AA1361" s="573">
        <v>291</v>
      </c>
      <c r="AB1361" s="571">
        <v>260190</v>
      </c>
    </row>
    <row r="1362" spans="1:28" hidden="1">
      <c r="A1362" s="566" t="s">
        <v>1335</v>
      </c>
      <c r="B1362" s="566" t="s">
        <v>466</v>
      </c>
      <c r="C1362" s="566" t="s">
        <v>471</v>
      </c>
      <c r="D1362" s="566" t="s">
        <v>472</v>
      </c>
      <c r="E1362" s="566" t="s">
        <v>473</v>
      </c>
      <c r="F1362" s="566" t="s">
        <v>474</v>
      </c>
      <c r="G1362" s="567">
        <v>0</v>
      </c>
      <c r="H1362" s="566" t="s">
        <v>704</v>
      </c>
      <c r="I1362" s="568">
        <v>2</v>
      </c>
      <c r="J1362" s="569">
        <v>9</v>
      </c>
      <c r="K1362" s="569">
        <v>9</v>
      </c>
      <c r="L1362" s="566"/>
      <c r="M1362" s="566" t="s">
        <v>476</v>
      </c>
      <c r="N1362" s="570">
        <v>342</v>
      </c>
      <c r="O1362" s="566"/>
      <c r="P1362" s="566" t="s">
        <v>477</v>
      </c>
      <c r="Q1362" s="568">
        <v>909678</v>
      </c>
      <c r="R1362" s="568">
        <v>5</v>
      </c>
      <c r="S1362" s="566" t="s">
        <v>1392</v>
      </c>
      <c r="T1362" s="571" t="s">
        <v>467</v>
      </c>
      <c r="U1362" s="571" t="s">
        <v>670</v>
      </c>
      <c r="V1362" s="571" t="s">
        <v>528</v>
      </c>
      <c r="W1362" s="572" t="s">
        <v>509</v>
      </c>
      <c r="X1362" s="571" t="s">
        <v>1380</v>
      </c>
      <c r="Y1362" s="571" t="s">
        <v>1338</v>
      </c>
      <c r="Z1362" s="566" t="s">
        <v>754</v>
      </c>
      <c r="AA1362" s="573">
        <v>342</v>
      </c>
      <c r="AB1362" s="571"/>
    </row>
    <row r="1363" spans="1:28" hidden="1">
      <c r="A1363" s="566" t="s">
        <v>1335</v>
      </c>
      <c r="B1363" s="566" t="s">
        <v>466</v>
      </c>
      <c r="C1363" s="566" t="s">
        <v>471</v>
      </c>
      <c r="D1363" s="566" t="s">
        <v>472</v>
      </c>
      <c r="E1363" s="566" t="s">
        <v>473</v>
      </c>
      <c r="F1363" s="566" t="s">
        <v>474</v>
      </c>
      <c r="G1363" s="567">
        <v>0</v>
      </c>
      <c r="H1363" s="566" t="s">
        <v>706</v>
      </c>
      <c r="I1363" s="568">
        <v>2</v>
      </c>
      <c r="J1363" s="569">
        <v>9</v>
      </c>
      <c r="K1363" s="569">
        <v>9</v>
      </c>
      <c r="L1363" s="566"/>
      <c r="M1363" s="566" t="s">
        <v>476</v>
      </c>
      <c r="N1363" s="570">
        <v>378</v>
      </c>
      <c r="O1363" s="566"/>
      <c r="P1363" s="566" t="s">
        <v>477</v>
      </c>
      <c r="Q1363" s="568">
        <v>909678</v>
      </c>
      <c r="R1363" s="568">
        <v>6</v>
      </c>
      <c r="S1363" s="566" t="s">
        <v>1393</v>
      </c>
      <c r="T1363" s="571" t="s">
        <v>467</v>
      </c>
      <c r="U1363" s="571" t="s">
        <v>670</v>
      </c>
      <c r="V1363" s="571" t="s">
        <v>528</v>
      </c>
      <c r="W1363" s="572" t="s">
        <v>512</v>
      </c>
      <c r="X1363" s="571" t="s">
        <v>1380</v>
      </c>
      <c r="Y1363" s="571" t="s">
        <v>1338</v>
      </c>
      <c r="Z1363" s="566" t="s">
        <v>755</v>
      </c>
      <c r="AA1363" s="573">
        <v>378</v>
      </c>
      <c r="AB1363" s="571"/>
    </row>
    <row r="1364" spans="1:28" hidden="1">
      <c r="A1364" s="566" t="s">
        <v>1335</v>
      </c>
      <c r="B1364" s="566" t="s">
        <v>466</v>
      </c>
      <c r="C1364" s="566" t="s">
        <v>471</v>
      </c>
      <c r="D1364" s="566" t="s">
        <v>472</v>
      </c>
      <c r="E1364" s="566" t="s">
        <v>473</v>
      </c>
      <c r="F1364" s="566" t="s">
        <v>474</v>
      </c>
      <c r="G1364" s="567">
        <v>0</v>
      </c>
      <c r="H1364" s="566" t="s">
        <v>708</v>
      </c>
      <c r="I1364" s="568">
        <v>2</v>
      </c>
      <c r="J1364" s="569">
        <v>9</v>
      </c>
      <c r="K1364" s="569">
        <v>9</v>
      </c>
      <c r="L1364" s="566"/>
      <c r="M1364" s="566" t="s">
        <v>476</v>
      </c>
      <c r="N1364" s="570">
        <v>414</v>
      </c>
      <c r="O1364" s="566"/>
      <c r="P1364" s="566" t="s">
        <v>477</v>
      </c>
      <c r="Q1364" s="568">
        <v>909678</v>
      </c>
      <c r="R1364" s="568">
        <v>14</v>
      </c>
      <c r="S1364" s="566" t="s">
        <v>1394</v>
      </c>
      <c r="T1364" s="571" t="s">
        <v>467</v>
      </c>
      <c r="U1364" s="571" t="s">
        <v>670</v>
      </c>
      <c r="V1364" s="571" t="s">
        <v>528</v>
      </c>
      <c r="W1364" s="572" t="s">
        <v>514</v>
      </c>
      <c r="X1364" s="571" t="s">
        <v>1380</v>
      </c>
      <c r="Y1364" s="571" t="s">
        <v>1338</v>
      </c>
      <c r="Z1364" s="566" t="s">
        <v>756</v>
      </c>
      <c r="AA1364" s="573">
        <v>414</v>
      </c>
      <c r="AB1364" s="571"/>
    </row>
    <row r="1365" spans="1:28" hidden="1">
      <c r="A1365" s="566" t="s">
        <v>1335</v>
      </c>
      <c r="B1365" s="566" t="s">
        <v>466</v>
      </c>
      <c r="C1365" s="566" t="s">
        <v>471</v>
      </c>
      <c r="D1365" s="566" t="s">
        <v>472</v>
      </c>
      <c r="E1365" s="566" t="s">
        <v>473</v>
      </c>
      <c r="F1365" s="566" t="s">
        <v>474</v>
      </c>
      <c r="G1365" s="567">
        <v>0</v>
      </c>
      <c r="H1365" s="566" t="s">
        <v>677</v>
      </c>
      <c r="I1365" s="568">
        <v>2</v>
      </c>
      <c r="J1365" s="569">
        <v>33</v>
      </c>
      <c r="K1365" s="569">
        <v>33</v>
      </c>
      <c r="L1365" s="566"/>
      <c r="M1365" s="566" t="s">
        <v>476</v>
      </c>
      <c r="N1365" s="570">
        <v>1350</v>
      </c>
      <c r="O1365" s="566"/>
      <c r="P1365" s="566" t="s">
        <v>477</v>
      </c>
      <c r="Q1365" s="568">
        <v>909678</v>
      </c>
      <c r="R1365" s="568">
        <v>34</v>
      </c>
      <c r="S1365" s="566" t="s">
        <v>1395</v>
      </c>
      <c r="T1365" s="571" t="s">
        <v>467</v>
      </c>
      <c r="U1365" s="571" t="s">
        <v>670</v>
      </c>
      <c r="V1365" s="571" t="s">
        <v>528</v>
      </c>
      <c r="W1365" s="572" t="s">
        <v>1274</v>
      </c>
      <c r="X1365" s="571" t="s">
        <v>1380</v>
      </c>
      <c r="Y1365" s="571" t="s">
        <v>1367</v>
      </c>
      <c r="Z1365" s="566" t="s">
        <v>2312</v>
      </c>
      <c r="AA1365" s="573">
        <v>1350</v>
      </c>
      <c r="AB1365" s="571"/>
    </row>
    <row r="1366" spans="1:28" hidden="1">
      <c r="A1366" s="566" t="s">
        <v>1335</v>
      </c>
      <c r="B1366" s="566" t="s">
        <v>466</v>
      </c>
      <c r="C1366" s="566" t="s">
        <v>471</v>
      </c>
      <c r="D1366" s="566" t="s">
        <v>472</v>
      </c>
      <c r="E1366" s="566" t="s">
        <v>473</v>
      </c>
      <c r="F1366" s="566" t="s">
        <v>474</v>
      </c>
      <c r="G1366" s="567">
        <v>0</v>
      </c>
      <c r="H1366" s="566" t="s">
        <v>680</v>
      </c>
      <c r="I1366" s="568">
        <v>2</v>
      </c>
      <c r="J1366" s="569">
        <v>33</v>
      </c>
      <c r="K1366" s="569">
        <v>33</v>
      </c>
      <c r="L1366" s="566"/>
      <c r="M1366" s="566" t="s">
        <v>476</v>
      </c>
      <c r="N1366" s="570">
        <v>1386</v>
      </c>
      <c r="O1366" s="566"/>
      <c r="P1366" s="566" t="s">
        <v>477</v>
      </c>
      <c r="Q1366" s="568">
        <v>909678</v>
      </c>
      <c r="R1366" s="568">
        <v>35</v>
      </c>
      <c r="S1366" s="566" t="s">
        <v>1397</v>
      </c>
      <c r="T1366" s="571" t="s">
        <v>467</v>
      </c>
      <c r="U1366" s="571" t="s">
        <v>670</v>
      </c>
      <c r="V1366" s="571" t="s">
        <v>528</v>
      </c>
      <c r="W1366" s="572" t="s">
        <v>1275</v>
      </c>
      <c r="X1366" s="571" t="s">
        <v>1380</v>
      </c>
      <c r="Y1366" s="571" t="s">
        <v>1367</v>
      </c>
      <c r="Z1366" s="566" t="s">
        <v>2313</v>
      </c>
      <c r="AA1366" s="573">
        <v>1386</v>
      </c>
      <c r="AB1366" s="571"/>
    </row>
    <row r="1367" spans="1:28" hidden="1">
      <c r="A1367" s="566" t="s">
        <v>1335</v>
      </c>
      <c r="B1367" s="566" t="s">
        <v>466</v>
      </c>
      <c r="C1367" s="566" t="s">
        <v>487</v>
      </c>
      <c r="D1367" s="566" t="s">
        <v>472</v>
      </c>
      <c r="E1367" s="566" t="s">
        <v>473</v>
      </c>
      <c r="F1367" s="566" t="s">
        <v>489</v>
      </c>
      <c r="G1367" s="567">
        <v>50</v>
      </c>
      <c r="H1367" s="566" t="s">
        <v>689</v>
      </c>
      <c r="I1367" s="568">
        <v>2</v>
      </c>
      <c r="J1367" s="569">
        <v>33</v>
      </c>
      <c r="K1367" s="569">
        <v>33</v>
      </c>
      <c r="L1367" s="566"/>
      <c r="M1367" s="566" t="s">
        <v>476</v>
      </c>
      <c r="N1367" s="570">
        <v>1422</v>
      </c>
      <c r="O1367" s="566"/>
      <c r="P1367" s="566" t="s">
        <v>477</v>
      </c>
      <c r="Q1367" s="568">
        <v>909678</v>
      </c>
      <c r="R1367" s="568">
        <v>37</v>
      </c>
      <c r="S1367" s="566" t="s">
        <v>1399</v>
      </c>
      <c r="T1367" s="571" t="s">
        <v>467</v>
      </c>
      <c r="U1367" s="571" t="s">
        <v>670</v>
      </c>
      <c r="V1367" s="571" t="s">
        <v>528</v>
      </c>
      <c r="W1367" s="572" t="s">
        <v>1276</v>
      </c>
      <c r="X1367" s="571" t="s">
        <v>1380</v>
      </c>
      <c r="Y1367" s="571" t="s">
        <v>1367</v>
      </c>
      <c r="Z1367" s="566" t="s">
        <v>2314</v>
      </c>
      <c r="AA1367" s="573">
        <v>1422</v>
      </c>
      <c r="AB1367" s="571"/>
    </row>
    <row r="1368" spans="1:28" hidden="1">
      <c r="A1368" s="566" t="s">
        <v>1335</v>
      </c>
      <c r="B1368" s="566" t="s">
        <v>466</v>
      </c>
      <c r="C1368" s="566" t="s">
        <v>487</v>
      </c>
      <c r="D1368" s="566" t="s">
        <v>472</v>
      </c>
      <c r="E1368" s="566" t="s">
        <v>473</v>
      </c>
      <c r="F1368" s="566" t="s">
        <v>489</v>
      </c>
      <c r="G1368" s="567">
        <v>50</v>
      </c>
      <c r="H1368" s="566" t="s">
        <v>692</v>
      </c>
      <c r="I1368" s="568">
        <v>2</v>
      </c>
      <c r="J1368" s="569">
        <v>33</v>
      </c>
      <c r="K1368" s="569">
        <v>33</v>
      </c>
      <c r="L1368" s="566"/>
      <c r="M1368" s="566" t="s">
        <v>476</v>
      </c>
      <c r="N1368" s="570">
        <v>1458</v>
      </c>
      <c r="O1368" s="566"/>
      <c r="P1368" s="566" t="s">
        <v>477</v>
      </c>
      <c r="Q1368" s="568">
        <v>909678</v>
      </c>
      <c r="R1368" s="568">
        <v>38</v>
      </c>
      <c r="S1368" s="566" t="s">
        <v>1401</v>
      </c>
      <c r="T1368" s="571" t="s">
        <v>467</v>
      </c>
      <c r="U1368" s="571" t="s">
        <v>670</v>
      </c>
      <c r="V1368" s="571" t="s">
        <v>528</v>
      </c>
      <c r="W1368" s="572" t="s">
        <v>1277</v>
      </c>
      <c r="X1368" s="571" t="s">
        <v>1380</v>
      </c>
      <c r="Y1368" s="571" t="s">
        <v>1367</v>
      </c>
      <c r="Z1368" s="566" t="s">
        <v>2315</v>
      </c>
      <c r="AA1368" s="573">
        <v>1458</v>
      </c>
      <c r="AB1368" s="571"/>
    </row>
    <row r="1369" spans="1:28" hidden="1">
      <c r="A1369" s="566" t="s">
        <v>1335</v>
      </c>
      <c r="B1369" s="566" t="s">
        <v>466</v>
      </c>
      <c r="C1369" s="566" t="s">
        <v>471</v>
      </c>
      <c r="D1369" s="566" t="s">
        <v>472</v>
      </c>
      <c r="E1369" s="566" t="s">
        <v>473</v>
      </c>
      <c r="F1369" s="566" t="s">
        <v>474</v>
      </c>
      <c r="G1369" s="567">
        <v>0</v>
      </c>
      <c r="H1369" s="566" t="s">
        <v>2117</v>
      </c>
      <c r="I1369" s="568">
        <v>2</v>
      </c>
      <c r="J1369" s="569">
        <v>33</v>
      </c>
      <c r="K1369" s="569">
        <v>33</v>
      </c>
      <c r="L1369" s="566"/>
      <c r="M1369" s="566" t="s">
        <v>476</v>
      </c>
      <c r="N1369" s="570">
        <v>1494</v>
      </c>
      <c r="O1369" s="566"/>
      <c r="P1369" s="566" t="s">
        <v>477</v>
      </c>
      <c r="Q1369" s="568">
        <v>909678</v>
      </c>
      <c r="R1369" s="568">
        <v>36</v>
      </c>
      <c r="S1369" s="566" t="s">
        <v>1403</v>
      </c>
      <c r="T1369" s="571" t="s">
        <v>467</v>
      </c>
      <c r="U1369" s="571" t="s">
        <v>670</v>
      </c>
      <c r="V1369" s="571" t="s">
        <v>528</v>
      </c>
      <c r="W1369" s="572" t="s">
        <v>1354</v>
      </c>
      <c r="X1369" s="571" t="s">
        <v>1380</v>
      </c>
      <c r="Y1369" s="571" t="s">
        <v>1367</v>
      </c>
      <c r="Z1369" s="566" t="s">
        <v>2316</v>
      </c>
      <c r="AA1369" s="573">
        <v>1494</v>
      </c>
      <c r="AB1369" s="571"/>
    </row>
    <row r="1370" spans="1:28" hidden="1">
      <c r="A1370" s="566" t="s">
        <v>1335</v>
      </c>
      <c r="B1370" s="566" t="s">
        <v>466</v>
      </c>
      <c r="C1370" s="566" t="s">
        <v>487</v>
      </c>
      <c r="D1370" s="566" t="s">
        <v>472</v>
      </c>
      <c r="E1370" s="566" t="s">
        <v>473</v>
      </c>
      <c r="F1370" s="566" t="s">
        <v>489</v>
      </c>
      <c r="G1370" s="567">
        <v>50</v>
      </c>
      <c r="H1370" s="566" t="s">
        <v>2119</v>
      </c>
      <c r="I1370" s="568">
        <v>2</v>
      </c>
      <c r="J1370" s="569">
        <v>33</v>
      </c>
      <c r="K1370" s="569">
        <v>33</v>
      </c>
      <c r="L1370" s="566"/>
      <c r="M1370" s="566" t="s">
        <v>476</v>
      </c>
      <c r="N1370" s="570">
        <v>1530</v>
      </c>
      <c r="O1370" s="566"/>
      <c r="P1370" s="566" t="s">
        <v>477</v>
      </c>
      <c r="Q1370" s="568">
        <v>909678</v>
      </c>
      <c r="R1370" s="568">
        <v>39</v>
      </c>
      <c r="S1370" s="566" t="s">
        <v>1405</v>
      </c>
      <c r="T1370" s="571" t="s">
        <v>467</v>
      </c>
      <c r="U1370" s="571" t="s">
        <v>670</v>
      </c>
      <c r="V1370" s="571" t="s">
        <v>528</v>
      </c>
      <c r="W1370" s="572" t="s">
        <v>1358</v>
      </c>
      <c r="X1370" s="571" t="s">
        <v>1380</v>
      </c>
      <c r="Y1370" s="571" t="s">
        <v>1367</v>
      </c>
      <c r="Z1370" s="566" t="s">
        <v>2317</v>
      </c>
      <c r="AA1370" s="573">
        <v>1530</v>
      </c>
      <c r="AB1370" s="571"/>
    </row>
    <row r="1371" spans="1:28" hidden="1">
      <c r="A1371" s="566" t="s">
        <v>1335</v>
      </c>
      <c r="B1371" s="566" t="s">
        <v>466</v>
      </c>
      <c r="C1371" s="566" t="s">
        <v>471</v>
      </c>
      <c r="D1371" s="566" t="s">
        <v>472</v>
      </c>
      <c r="E1371" s="566" t="s">
        <v>473</v>
      </c>
      <c r="F1371" s="566" t="s">
        <v>474</v>
      </c>
      <c r="G1371" s="567">
        <v>0</v>
      </c>
      <c r="H1371" s="566" t="s">
        <v>675</v>
      </c>
      <c r="I1371" s="568">
        <v>2</v>
      </c>
      <c r="J1371" s="569">
        <v>9</v>
      </c>
      <c r="K1371" s="569">
        <v>9</v>
      </c>
      <c r="L1371" s="566"/>
      <c r="M1371" s="566" t="s">
        <v>476</v>
      </c>
      <c r="N1371" s="570">
        <v>450</v>
      </c>
      <c r="O1371" s="566"/>
      <c r="P1371" s="566" t="s">
        <v>477</v>
      </c>
      <c r="Q1371" s="568">
        <v>909678</v>
      </c>
      <c r="R1371" s="568">
        <v>7</v>
      </c>
      <c r="S1371" s="566" t="s">
        <v>1407</v>
      </c>
      <c r="T1371" s="575" t="s">
        <v>1408</v>
      </c>
      <c r="U1371" s="575" t="s">
        <v>670</v>
      </c>
      <c r="V1371" s="575" t="s">
        <v>528</v>
      </c>
      <c r="W1371" s="576" t="s">
        <v>470</v>
      </c>
      <c r="X1371" s="575" t="s">
        <v>1380</v>
      </c>
      <c r="Y1371" s="575" t="s">
        <v>1338</v>
      </c>
      <c r="Z1371" s="576" t="s">
        <v>2318</v>
      </c>
      <c r="AA1371" s="577">
        <v>450</v>
      </c>
      <c r="AB1371" s="575"/>
    </row>
    <row r="1372" spans="1:28" hidden="1">
      <c r="A1372" s="566" t="s">
        <v>1335</v>
      </c>
      <c r="B1372" s="566" t="s">
        <v>466</v>
      </c>
      <c r="C1372" s="566" t="s">
        <v>471</v>
      </c>
      <c r="D1372" s="566" t="s">
        <v>472</v>
      </c>
      <c r="E1372" s="566" t="s">
        <v>473</v>
      </c>
      <c r="F1372" s="566" t="s">
        <v>474</v>
      </c>
      <c r="G1372" s="567">
        <v>0</v>
      </c>
      <c r="H1372" s="566" t="s">
        <v>678</v>
      </c>
      <c r="I1372" s="568">
        <v>2</v>
      </c>
      <c r="J1372" s="569">
        <v>9</v>
      </c>
      <c r="K1372" s="569">
        <v>9</v>
      </c>
      <c r="L1372" s="566"/>
      <c r="M1372" s="566" t="s">
        <v>476</v>
      </c>
      <c r="N1372" s="570">
        <v>522</v>
      </c>
      <c r="O1372" s="566"/>
      <c r="P1372" s="566" t="s">
        <v>477</v>
      </c>
      <c r="Q1372" s="568">
        <v>909678</v>
      </c>
      <c r="R1372" s="568">
        <v>8</v>
      </c>
      <c r="S1372" s="566" t="s">
        <v>1410</v>
      </c>
      <c r="T1372" s="575" t="s">
        <v>1408</v>
      </c>
      <c r="U1372" s="575" t="s">
        <v>670</v>
      </c>
      <c r="V1372" s="575" t="s">
        <v>528</v>
      </c>
      <c r="W1372" s="576" t="s">
        <v>480</v>
      </c>
      <c r="X1372" s="575" t="s">
        <v>1380</v>
      </c>
      <c r="Y1372" s="575" t="s">
        <v>1338</v>
      </c>
      <c r="Z1372" s="576" t="s">
        <v>2319</v>
      </c>
      <c r="AA1372" s="577">
        <v>522</v>
      </c>
      <c r="AB1372" s="575"/>
    </row>
    <row r="1373" spans="1:28" hidden="1">
      <c r="A1373" s="566" t="s">
        <v>1335</v>
      </c>
      <c r="B1373" s="566" t="s">
        <v>466</v>
      </c>
      <c r="C1373" s="566" t="s">
        <v>487</v>
      </c>
      <c r="D1373" s="566" t="s">
        <v>472</v>
      </c>
      <c r="E1373" s="566" t="s">
        <v>473</v>
      </c>
      <c r="F1373" s="566" t="s">
        <v>489</v>
      </c>
      <c r="G1373" s="567">
        <v>50</v>
      </c>
      <c r="H1373" s="566" t="s">
        <v>687</v>
      </c>
      <c r="I1373" s="568">
        <v>2</v>
      </c>
      <c r="J1373" s="569">
        <v>9</v>
      </c>
      <c r="K1373" s="569">
        <v>9</v>
      </c>
      <c r="L1373" s="566"/>
      <c r="M1373" s="566" t="s">
        <v>476</v>
      </c>
      <c r="N1373" s="570">
        <v>702</v>
      </c>
      <c r="O1373" s="566"/>
      <c r="P1373" s="566" t="s">
        <v>477</v>
      </c>
      <c r="Q1373" s="568">
        <v>909678</v>
      </c>
      <c r="R1373" s="568">
        <v>11</v>
      </c>
      <c r="S1373" s="566" t="s">
        <v>1412</v>
      </c>
      <c r="T1373" s="575" t="s">
        <v>1408</v>
      </c>
      <c r="U1373" s="575" t="s">
        <v>670</v>
      </c>
      <c r="V1373" s="575" t="s">
        <v>528</v>
      </c>
      <c r="W1373" s="576" t="s">
        <v>499</v>
      </c>
      <c r="X1373" s="575" t="s">
        <v>1380</v>
      </c>
      <c r="Y1373" s="575" t="s">
        <v>1338</v>
      </c>
      <c r="Z1373" s="576" t="s">
        <v>2320</v>
      </c>
      <c r="AA1373" s="577">
        <v>702</v>
      </c>
      <c r="AB1373" s="575"/>
    </row>
    <row r="1374" spans="1:28" hidden="1">
      <c r="A1374" s="566" t="s">
        <v>1335</v>
      </c>
      <c r="B1374" s="566" t="s">
        <v>466</v>
      </c>
      <c r="C1374" s="566" t="s">
        <v>487</v>
      </c>
      <c r="D1374" s="566" t="s">
        <v>472</v>
      </c>
      <c r="E1374" s="566" t="s">
        <v>473</v>
      </c>
      <c r="F1374" s="566" t="s">
        <v>489</v>
      </c>
      <c r="G1374" s="567">
        <v>50</v>
      </c>
      <c r="H1374" s="566" t="s">
        <v>690</v>
      </c>
      <c r="I1374" s="568">
        <v>2</v>
      </c>
      <c r="J1374" s="569">
        <v>9</v>
      </c>
      <c r="K1374" s="569">
        <v>9</v>
      </c>
      <c r="L1374" s="566"/>
      <c r="M1374" s="566" t="s">
        <v>476</v>
      </c>
      <c r="N1374" s="570">
        <v>774</v>
      </c>
      <c r="O1374" s="566"/>
      <c r="P1374" s="566" t="s">
        <v>477</v>
      </c>
      <c r="Q1374" s="568">
        <v>909678</v>
      </c>
      <c r="R1374" s="568">
        <v>20</v>
      </c>
      <c r="S1374" s="566" t="s">
        <v>1414</v>
      </c>
      <c r="T1374" s="575" t="s">
        <v>1408</v>
      </c>
      <c r="U1374" s="575" t="s">
        <v>670</v>
      </c>
      <c r="V1374" s="575" t="s">
        <v>528</v>
      </c>
      <c r="W1374" s="576" t="s">
        <v>504</v>
      </c>
      <c r="X1374" s="575" t="s">
        <v>1380</v>
      </c>
      <c r="Y1374" s="575" t="s">
        <v>1338</v>
      </c>
      <c r="Z1374" s="576" t="s">
        <v>2321</v>
      </c>
      <c r="AA1374" s="577">
        <v>774</v>
      </c>
      <c r="AB1374" s="575"/>
    </row>
    <row r="1375" spans="1:28" hidden="1">
      <c r="A1375" s="566" t="s">
        <v>1335</v>
      </c>
      <c r="B1375" s="566" t="s">
        <v>466</v>
      </c>
      <c r="C1375" s="566" t="s">
        <v>471</v>
      </c>
      <c r="D1375" s="566" t="s">
        <v>472</v>
      </c>
      <c r="E1375" s="566" t="s">
        <v>473</v>
      </c>
      <c r="F1375" s="566" t="s">
        <v>474</v>
      </c>
      <c r="G1375" s="567">
        <v>0</v>
      </c>
      <c r="H1375" s="566" t="s">
        <v>677</v>
      </c>
      <c r="I1375" s="568">
        <v>2</v>
      </c>
      <c r="J1375" s="569">
        <v>55</v>
      </c>
      <c r="K1375" s="569">
        <v>55</v>
      </c>
      <c r="L1375" s="566"/>
      <c r="M1375" s="566" t="s">
        <v>476</v>
      </c>
      <c r="N1375" s="570">
        <v>1024</v>
      </c>
      <c r="O1375" s="566"/>
      <c r="P1375" s="566" t="s">
        <v>477</v>
      </c>
      <c r="Q1375" s="568">
        <v>909678</v>
      </c>
      <c r="R1375" s="568">
        <v>25</v>
      </c>
      <c r="S1375" s="566" t="s">
        <v>1336</v>
      </c>
      <c r="T1375" s="578" t="s">
        <v>779</v>
      </c>
      <c r="U1375" s="578" t="s">
        <v>670</v>
      </c>
      <c r="V1375" s="578" t="s">
        <v>528</v>
      </c>
      <c r="W1375" s="579" t="s">
        <v>1274</v>
      </c>
      <c r="X1375" s="578" t="s">
        <v>1337</v>
      </c>
      <c r="Y1375" s="578" t="s">
        <v>1338</v>
      </c>
      <c r="Z1375" s="580" t="s">
        <v>2322</v>
      </c>
      <c r="AA1375" s="581">
        <v>1024</v>
      </c>
      <c r="AB1375" s="578"/>
    </row>
    <row r="1376" spans="1:28" hidden="1">
      <c r="A1376" s="566" t="s">
        <v>1335</v>
      </c>
      <c r="B1376" s="566" t="s">
        <v>466</v>
      </c>
      <c r="C1376" s="566" t="s">
        <v>471</v>
      </c>
      <c r="D1376" s="566" t="s">
        <v>472</v>
      </c>
      <c r="E1376" s="566" t="s">
        <v>473</v>
      </c>
      <c r="F1376" s="566" t="s">
        <v>474</v>
      </c>
      <c r="G1376" s="567">
        <v>0</v>
      </c>
      <c r="H1376" s="566" t="s">
        <v>680</v>
      </c>
      <c r="I1376" s="568">
        <v>2</v>
      </c>
      <c r="J1376" s="569">
        <v>55</v>
      </c>
      <c r="K1376" s="569">
        <v>55</v>
      </c>
      <c r="L1376" s="566"/>
      <c r="M1376" s="566" t="s">
        <v>476</v>
      </c>
      <c r="N1376" s="570">
        <v>1060</v>
      </c>
      <c r="O1376" s="566"/>
      <c r="P1376" s="566" t="s">
        <v>477</v>
      </c>
      <c r="Q1376" s="568">
        <v>909678</v>
      </c>
      <c r="R1376" s="568">
        <v>26</v>
      </c>
      <c r="S1376" s="566" t="s">
        <v>1340</v>
      </c>
      <c r="T1376" s="578" t="s">
        <v>779</v>
      </c>
      <c r="U1376" s="578" t="s">
        <v>670</v>
      </c>
      <c r="V1376" s="578" t="s">
        <v>528</v>
      </c>
      <c r="W1376" s="579" t="s">
        <v>1275</v>
      </c>
      <c r="X1376" s="578" t="s">
        <v>1337</v>
      </c>
      <c r="Y1376" s="578" t="s">
        <v>1338</v>
      </c>
      <c r="Z1376" s="580" t="s">
        <v>2323</v>
      </c>
      <c r="AA1376" s="581">
        <v>1060</v>
      </c>
      <c r="AB1376" s="578"/>
    </row>
    <row r="1377" spans="1:28" hidden="1">
      <c r="A1377" s="566" t="s">
        <v>1335</v>
      </c>
      <c r="B1377" s="566" t="s">
        <v>466</v>
      </c>
      <c r="C1377" s="566" t="s">
        <v>487</v>
      </c>
      <c r="D1377" s="566" t="s">
        <v>472</v>
      </c>
      <c r="E1377" s="566" t="s">
        <v>473</v>
      </c>
      <c r="F1377" s="566" t="s">
        <v>489</v>
      </c>
      <c r="G1377" s="567">
        <v>50</v>
      </c>
      <c r="H1377" s="566" t="s">
        <v>682</v>
      </c>
      <c r="I1377" s="568">
        <v>2</v>
      </c>
      <c r="J1377" s="569">
        <v>55</v>
      </c>
      <c r="K1377" s="569">
        <v>55</v>
      </c>
      <c r="L1377" s="566"/>
      <c r="M1377" s="566" t="s">
        <v>476</v>
      </c>
      <c r="N1377" s="570">
        <v>1096</v>
      </c>
      <c r="O1377" s="566"/>
      <c r="P1377" s="566" t="s">
        <v>477</v>
      </c>
      <c r="Q1377" s="568">
        <v>909678</v>
      </c>
      <c r="R1377" s="568">
        <v>28</v>
      </c>
      <c r="S1377" s="566" t="s">
        <v>1342</v>
      </c>
      <c r="T1377" s="578" t="s">
        <v>779</v>
      </c>
      <c r="U1377" s="578" t="s">
        <v>670</v>
      </c>
      <c r="V1377" s="578" t="s">
        <v>528</v>
      </c>
      <c r="W1377" s="579" t="s">
        <v>485</v>
      </c>
      <c r="X1377" s="578" t="s">
        <v>1337</v>
      </c>
      <c r="Y1377" s="578" t="s">
        <v>1338</v>
      </c>
      <c r="Z1377" s="580" t="s">
        <v>2324</v>
      </c>
      <c r="AA1377" s="581">
        <v>1096</v>
      </c>
      <c r="AB1377" s="578"/>
    </row>
    <row r="1378" spans="1:28" hidden="1">
      <c r="A1378" s="566" t="s">
        <v>1335</v>
      </c>
      <c r="B1378" s="566" t="s">
        <v>466</v>
      </c>
      <c r="C1378" s="566" t="s">
        <v>487</v>
      </c>
      <c r="D1378" s="566" t="s">
        <v>472</v>
      </c>
      <c r="E1378" s="566" t="s">
        <v>473</v>
      </c>
      <c r="F1378" s="566" t="s">
        <v>489</v>
      </c>
      <c r="G1378" s="567">
        <v>50</v>
      </c>
      <c r="H1378" s="566" t="s">
        <v>684</v>
      </c>
      <c r="I1378" s="568">
        <v>2</v>
      </c>
      <c r="J1378" s="569">
        <v>55</v>
      </c>
      <c r="K1378" s="569">
        <v>55</v>
      </c>
      <c r="L1378" s="566"/>
      <c r="M1378" s="566" t="s">
        <v>476</v>
      </c>
      <c r="N1378" s="570">
        <v>1132</v>
      </c>
      <c r="O1378" s="566"/>
      <c r="P1378" s="566" t="s">
        <v>477</v>
      </c>
      <c r="Q1378" s="568">
        <v>909678</v>
      </c>
      <c r="R1378" s="568">
        <v>29</v>
      </c>
      <c r="S1378" s="566" t="s">
        <v>1344</v>
      </c>
      <c r="T1378" s="578" t="s">
        <v>779</v>
      </c>
      <c r="U1378" s="578" t="s">
        <v>670</v>
      </c>
      <c r="V1378" s="578" t="s">
        <v>528</v>
      </c>
      <c r="W1378" s="579" t="s">
        <v>491</v>
      </c>
      <c r="X1378" s="578" t="s">
        <v>1337</v>
      </c>
      <c r="Y1378" s="578" t="s">
        <v>1338</v>
      </c>
      <c r="Z1378" s="580" t="s">
        <v>2325</v>
      </c>
      <c r="AA1378" s="581">
        <v>1132</v>
      </c>
      <c r="AB1378" s="578"/>
    </row>
    <row r="1379" spans="1:28" hidden="1">
      <c r="A1379" s="566" t="s">
        <v>1335</v>
      </c>
      <c r="B1379" s="566" t="s">
        <v>466</v>
      </c>
      <c r="C1379" s="566" t="s">
        <v>487</v>
      </c>
      <c r="D1379" s="566" t="s">
        <v>472</v>
      </c>
      <c r="E1379" s="566" t="s">
        <v>473</v>
      </c>
      <c r="F1379" s="566" t="s">
        <v>489</v>
      </c>
      <c r="G1379" s="567">
        <v>50</v>
      </c>
      <c r="H1379" s="566" t="s">
        <v>686</v>
      </c>
      <c r="I1379" s="568">
        <v>2</v>
      </c>
      <c r="J1379" s="569">
        <v>55</v>
      </c>
      <c r="K1379" s="569">
        <v>55</v>
      </c>
      <c r="L1379" s="566"/>
      <c r="M1379" s="566" t="s">
        <v>476</v>
      </c>
      <c r="N1379" s="570">
        <v>1168</v>
      </c>
      <c r="O1379" s="566"/>
      <c r="P1379" s="566" t="s">
        <v>477</v>
      </c>
      <c r="Q1379" s="568">
        <v>909678</v>
      </c>
      <c r="R1379" s="568">
        <v>30</v>
      </c>
      <c r="S1379" s="566" t="s">
        <v>1346</v>
      </c>
      <c r="T1379" s="578" t="s">
        <v>779</v>
      </c>
      <c r="U1379" s="578" t="s">
        <v>670</v>
      </c>
      <c r="V1379" s="578" t="s">
        <v>528</v>
      </c>
      <c r="W1379" s="579" t="s">
        <v>495</v>
      </c>
      <c r="X1379" s="578" t="s">
        <v>1337</v>
      </c>
      <c r="Y1379" s="578" t="s">
        <v>1338</v>
      </c>
      <c r="Z1379" s="580" t="s">
        <v>2326</v>
      </c>
      <c r="AA1379" s="581">
        <v>1168</v>
      </c>
      <c r="AB1379" s="578"/>
    </row>
    <row r="1380" spans="1:28" hidden="1">
      <c r="A1380" s="566" t="s">
        <v>1335</v>
      </c>
      <c r="B1380" s="566" t="s">
        <v>466</v>
      </c>
      <c r="C1380" s="566" t="s">
        <v>487</v>
      </c>
      <c r="D1380" s="566" t="s">
        <v>472</v>
      </c>
      <c r="E1380" s="566" t="s">
        <v>473</v>
      </c>
      <c r="F1380" s="566" t="s">
        <v>489</v>
      </c>
      <c r="G1380" s="567">
        <v>50</v>
      </c>
      <c r="H1380" s="566" t="s">
        <v>689</v>
      </c>
      <c r="I1380" s="568">
        <v>2</v>
      </c>
      <c r="J1380" s="569">
        <v>55</v>
      </c>
      <c r="K1380" s="569">
        <v>55</v>
      </c>
      <c r="L1380" s="566"/>
      <c r="M1380" s="566" t="s">
        <v>476</v>
      </c>
      <c r="N1380" s="570">
        <v>1204</v>
      </c>
      <c r="O1380" s="566"/>
      <c r="P1380" s="566" t="s">
        <v>477</v>
      </c>
      <c r="Q1380" s="568">
        <v>909678</v>
      </c>
      <c r="R1380" s="568">
        <v>31</v>
      </c>
      <c r="S1380" s="566" t="s">
        <v>1348</v>
      </c>
      <c r="T1380" s="578" t="s">
        <v>779</v>
      </c>
      <c r="U1380" s="578" t="s">
        <v>670</v>
      </c>
      <c r="V1380" s="578" t="s">
        <v>528</v>
      </c>
      <c r="W1380" s="579" t="s">
        <v>1276</v>
      </c>
      <c r="X1380" s="578" t="s">
        <v>1337</v>
      </c>
      <c r="Y1380" s="578" t="s">
        <v>1338</v>
      </c>
      <c r="Z1380" s="580" t="s">
        <v>2327</v>
      </c>
      <c r="AA1380" s="581">
        <v>1204</v>
      </c>
      <c r="AB1380" s="578"/>
    </row>
    <row r="1381" spans="1:28" hidden="1">
      <c r="A1381" s="566" t="s">
        <v>1335</v>
      </c>
      <c r="B1381" s="566" t="s">
        <v>466</v>
      </c>
      <c r="C1381" s="566" t="s">
        <v>487</v>
      </c>
      <c r="D1381" s="566" t="s">
        <v>472</v>
      </c>
      <c r="E1381" s="566" t="s">
        <v>473</v>
      </c>
      <c r="F1381" s="566" t="s">
        <v>489</v>
      </c>
      <c r="G1381" s="567">
        <v>50</v>
      </c>
      <c r="H1381" s="566" t="s">
        <v>692</v>
      </c>
      <c r="I1381" s="568">
        <v>2</v>
      </c>
      <c r="J1381" s="569">
        <v>55</v>
      </c>
      <c r="K1381" s="569">
        <v>55</v>
      </c>
      <c r="L1381" s="566"/>
      <c r="M1381" s="566" t="s">
        <v>476</v>
      </c>
      <c r="N1381" s="570">
        <v>1240</v>
      </c>
      <c r="O1381" s="566"/>
      <c r="P1381" s="566" t="s">
        <v>477</v>
      </c>
      <c r="Q1381" s="568">
        <v>909678</v>
      </c>
      <c r="R1381" s="568">
        <v>32</v>
      </c>
      <c r="S1381" s="566" t="s">
        <v>1350</v>
      </c>
      <c r="T1381" s="578" t="s">
        <v>779</v>
      </c>
      <c r="U1381" s="578" t="s">
        <v>670</v>
      </c>
      <c r="V1381" s="578" t="s">
        <v>528</v>
      </c>
      <c r="W1381" s="579" t="s">
        <v>1277</v>
      </c>
      <c r="X1381" s="578" t="s">
        <v>1337</v>
      </c>
      <c r="Y1381" s="578" t="s">
        <v>1338</v>
      </c>
      <c r="Z1381" s="580" t="s">
        <v>2328</v>
      </c>
      <c r="AA1381" s="581">
        <v>1240</v>
      </c>
      <c r="AB1381" s="578"/>
    </row>
    <row r="1382" spans="1:28" hidden="1">
      <c r="A1382" s="566" t="s">
        <v>1335</v>
      </c>
      <c r="B1382" s="566" t="s">
        <v>466</v>
      </c>
      <c r="C1382" s="566" t="s">
        <v>471</v>
      </c>
      <c r="D1382" s="566" t="s">
        <v>472</v>
      </c>
      <c r="E1382" s="566" t="s">
        <v>473</v>
      </c>
      <c r="F1382" s="566" t="s">
        <v>474</v>
      </c>
      <c r="G1382" s="567">
        <v>0</v>
      </c>
      <c r="H1382" s="566" t="s">
        <v>2117</v>
      </c>
      <c r="I1382" s="568">
        <v>2</v>
      </c>
      <c r="J1382" s="569">
        <v>55</v>
      </c>
      <c r="K1382" s="569">
        <v>55</v>
      </c>
      <c r="L1382" s="566"/>
      <c r="M1382" s="566" t="s">
        <v>476</v>
      </c>
      <c r="N1382" s="570">
        <v>1276</v>
      </c>
      <c r="O1382" s="566"/>
      <c r="P1382" s="566" t="s">
        <v>477</v>
      </c>
      <c r="Q1382" s="568">
        <v>909678</v>
      </c>
      <c r="R1382" s="568">
        <v>27</v>
      </c>
      <c r="S1382" s="566" t="s">
        <v>1353</v>
      </c>
      <c r="T1382" s="578" t="s">
        <v>779</v>
      </c>
      <c r="U1382" s="578" t="s">
        <v>670</v>
      </c>
      <c r="V1382" s="578" t="s">
        <v>528</v>
      </c>
      <c r="W1382" s="579" t="s">
        <v>1354</v>
      </c>
      <c r="X1382" s="578" t="s">
        <v>1337</v>
      </c>
      <c r="Y1382" s="578" t="s">
        <v>1338</v>
      </c>
      <c r="Z1382" s="580" t="s">
        <v>2329</v>
      </c>
      <c r="AA1382" s="581">
        <v>1276</v>
      </c>
      <c r="AB1382" s="578"/>
    </row>
    <row r="1383" spans="1:28" hidden="1">
      <c r="A1383" s="566" t="s">
        <v>1335</v>
      </c>
      <c r="B1383" s="566" t="s">
        <v>466</v>
      </c>
      <c r="C1383" s="566" t="s">
        <v>487</v>
      </c>
      <c r="D1383" s="566" t="s">
        <v>472</v>
      </c>
      <c r="E1383" s="566" t="s">
        <v>473</v>
      </c>
      <c r="F1383" s="566" t="s">
        <v>489</v>
      </c>
      <c r="G1383" s="567">
        <v>50</v>
      </c>
      <c r="H1383" s="566" t="s">
        <v>2119</v>
      </c>
      <c r="I1383" s="568">
        <v>2</v>
      </c>
      <c r="J1383" s="569">
        <v>55</v>
      </c>
      <c r="K1383" s="569">
        <v>55</v>
      </c>
      <c r="L1383" s="566"/>
      <c r="M1383" s="566" t="s">
        <v>476</v>
      </c>
      <c r="N1383" s="570">
        <v>1312</v>
      </c>
      <c r="O1383" s="566"/>
      <c r="P1383" s="566" t="s">
        <v>477</v>
      </c>
      <c r="Q1383" s="568">
        <v>909678</v>
      </c>
      <c r="R1383" s="568">
        <v>33</v>
      </c>
      <c r="S1383" s="566" t="s">
        <v>1357</v>
      </c>
      <c r="T1383" s="578" t="s">
        <v>779</v>
      </c>
      <c r="U1383" s="578" t="s">
        <v>670</v>
      </c>
      <c r="V1383" s="578" t="s">
        <v>528</v>
      </c>
      <c r="W1383" s="579" t="s">
        <v>1358</v>
      </c>
      <c r="X1383" s="578" t="s">
        <v>1337</v>
      </c>
      <c r="Y1383" s="578" t="s">
        <v>1338</v>
      </c>
      <c r="Z1383" s="580" t="s">
        <v>2330</v>
      </c>
      <c r="AA1383" s="581">
        <v>1312</v>
      </c>
      <c r="AB1383" s="578"/>
    </row>
    <row r="1384" spans="1:28" hidden="1">
      <c r="A1384" s="566" t="s">
        <v>1335</v>
      </c>
      <c r="B1384" s="566" t="s">
        <v>466</v>
      </c>
      <c r="C1384" s="566" t="s">
        <v>471</v>
      </c>
      <c r="D1384" s="566" t="s">
        <v>472</v>
      </c>
      <c r="E1384" s="566" t="s">
        <v>473</v>
      </c>
      <c r="F1384" s="566" t="s">
        <v>474</v>
      </c>
      <c r="G1384" s="567">
        <v>0</v>
      </c>
      <c r="H1384" s="566" t="s">
        <v>704</v>
      </c>
      <c r="I1384" s="568">
        <v>2</v>
      </c>
      <c r="J1384" s="569">
        <v>55</v>
      </c>
      <c r="K1384" s="569">
        <v>55</v>
      </c>
      <c r="L1384" s="566"/>
      <c r="M1384" s="566" t="s">
        <v>476</v>
      </c>
      <c r="N1384" s="570">
        <v>916</v>
      </c>
      <c r="O1384" s="566"/>
      <c r="P1384" s="566" t="s">
        <v>477</v>
      </c>
      <c r="Q1384" s="568">
        <v>909678</v>
      </c>
      <c r="R1384" s="568">
        <v>22</v>
      </c>
      <c r="S1384" s="566" t="s">
        <v>1360</v>
      </c>
      <c r="T1384" s="578" t="s">
        <v>779</v>
      </c>
      <c r="U1384" s="578" t="s">
        <v>670</v>
      </c>
      <c r="V1384" s="578" t="s">
        <v>528</v>
      </c>
      <c r="W1384" s="579" t="s">
        <v>509</v>
      </c>
      <c r="X1384" s="578" t="s">
        <v>1337</v>
      </c>
      <c r="Y1384" s="578" t="s">
        <v>1338</v>
      </c>
      <c r="Z1384" s="580" t="s">
        <v>2331</v>
      </c>
      <c r="AA1384" s="581">
        <v>916</v>
      </c>
      <c r="AB1384" s="578"/>
    </row>
    <row r="1385" spans="1:28" hidden="1">
      <c r="A1385" s="566" t="s">
        <v>1335</v>
      </c>
      <c r="B1385" s="566" t="s">
        <v>466</v>
      </c>
      <c r="C1385" s="566" t="s">
        <v>471</v>
      </c>
      <c r="D1385" s="566" t="s">
        <v>472</v>
      </c>
      <c r="E1385" s="566" t="s">
        <v>473</v>
      </c>
      <c r="F1385" s="566" t="s">
        <v>474</v>
      </c>
      <c r="G1385" s="567">
        <v>0</v>
      </c>
      <c r="H1385" s="566" t="s">
        <v>706</v>
      </c>
      <c r="I1385" s="568">
        <v>2</v>
      </c>
      <c r="J1385" s="569">
        <v>55</v>
      </c>
      <c r="K1385" s="569">
        <v>55</v>
      </c>
      <c r="L1385" s="566"/>
      <c r="M1385" s="566" t="s">
        <v>476</v>
      </c>
      <c r="N1385" s="570">
        <v>952</v>
      </c>
      <c r="O1385" s="566"/>
      <c r="P1385" s="566" t="s">
        <v>477</v>
      </c>
      <c r="Q1385" s="568">
        <v>909678</v>
      </c>
      <c r="R1385" s="568">
        <v>23</v>
      </c>
      <c r="S1385" s="566" t="s">
        <v>1362</v>
      </c>
      <c r="T1385" s="578" t="s">
        <v>779</v>
      </c>
      <c r="U1385" s="578" t="s">
        <v>670</v>
      </c>
      <c r="V1385" s="578" t="s">
        <v>528</v>
      </c>
      <c r="W1385" s="579" t="s">
        <v>512</v>
      </c>
      <c r="X1385" s="578" t="s">
        <v>1337</v>
      </c>
      <c r="Y1385" s="578" t="s">
        <v>1338</v>
      </c>
      <c r="Z1385" s="580" t="s">
        <v>2332</v>
      </c>
      <c r="AA1385" s="581">
        <v>952</v>
      </c>
      <c r="AB1385" s="578"/>
    </row>
    <row r="1386" spans="1:28" hidden="1">
      <c r="A1386" s="566" t="s">
        <v>1335</v>
      </c>
      <c r="B1386" s="566" t="s">
        <v>466</v>
      </c>
      <c r="C1386" s="566" t="s">
        <v>471</v>
      </c>
      <c r="D1386" s="566" t="s">
        <v>472</v>
      </c>
      <c r="E1386" s="566" t="s">
        <v>473</v>
      </c>
      <c r="F1386" s="566" t="s">
        <v>474</v>
      </c>
      <c r="G1386" s="567">
        <v>0</v>
      </c>
      <c r="H1386" s="566" t="s">
        <v>708</v>
      </c>
      <c r="I1386" s="568">
        <v>2</v>
      </c>
      <c r="J1386" s="569">
        <v>55</v>
      </c>
      <c r="K1386" s="569">
        <v>55</v>
      </c>
      <c r="L1386" s="566"/>
      <c r="M1386" s="566" t="s">
        <v>476</v>
      </c>
      <c r="N1386" s="570">
        <v>988</v>
      </c>
      <c r="O1386" s="566"/>
      <c r="P1386" s="566" t="s">
        <v>477</v>
      </c>
      <c r="Q1386" s="568">
        <v>909678</v>
      </c>
      <c r="R1386" s="568">
        <v>24</v>
      </c>
      <c r="S1386" s="566" t="s">
        <v>1364</v>
      </c>
      <c r="T1386" s="578" t="s">
        <v>779</v>
      </c>
      <c r="U1386" s="578" t="s">
        <v>670</v>
      </c>
      <c r="V1386" s="578" t="s">
        <v>528</v>
      </c>
      <c r="W1386" s="579" t="s">
        <v>514</v>
      </c>
      <c r="X1386" s="578" t="s">
        <v>1337</v>
      </c>
      <c r="Y1386" s="578" t="s">
        <v>1338</v>
      </c>
      <c r="Z1386" s="580" t="s">
        <v>2333</v>
      </c>
      <c r="AA1386" s="581">
        <v>988</v>
      </c>
      <c r="AB1386" s="578"/>
    </row>
    <row r="1387" spans="1:28" hidden="1">
      <c r="A1387" s="566" t="s">
        <v>1335</v>
      </c>
      <c r="B1387" s="566" t="s">
        <v>466</v>
      </c>
      <c r="C1387" s="566" t="s">
        <v>471</v>
      </c>
      <c r="D1387" s="566" t="s">
        <v>472</v>
      </c>
      <c r="E1387" s="566" t="s">
        <v>473</v>
      </c>
      <c r="F1387" s="566" t="s">
        <v>474</v>
      </c>
      <c r="G1387" s="567">
        <v>0</v>
      </c>
      <c r="H1387" s="566" t="s">
        <v>677</v>
      </c>
      <c r="I1387" s="568">
        <v>2</v>
      </c>
      <c r="J1387" s="569">
        <v>79</v>
      </c>
      <c r="K1387" s="569">
        <v>79</v>
      </c>
      <c r="L1387" s="566"/>
      <c r="M1387" s="566" t="s">
        <v>476</v>
      </c>
      <c r="N1387" s="570">
        <v>1564</v>
      </c>
      <c r="O1387" s="566"/>
      <c r="P1387" s="566" t="s">
        <v>477</v>
      </c>
      <c r="Q1387" s="568">
        <v>909678</v>
      </c>
      <c r="R1387" s="568">
        <v>40</v>
      </c>
      <c r="S1387" s="566" t="s">
        <v>1366</v>
      </c>
      <c r="T1387" s="578" t="s">
        <v>779</v>
      </c>
      <c r="U1387" s="578" t="s">
        <v>670</v>
      </c>
      <c r="V1387" s="578" t="s">
        <v>528</v>
      </c>
      <c r="W1387" s="579" t="s">
        <v>1274</v>
      </c>
      <c r="X1387" s="578" t="s">
        <v>1337</v>
      </c>
      <c r="Y1387" s="578" t="s">
        <v>1367</v>
      </c>
      <c r="Z1387" s="580" t="s">
        <v>2334</v>
      </c>
      <c r="AA1387" s="581">
        <v>1564</v>
      </c>
      <c r="AB1387" s="578"/>
    </row>
    <row r="1388" spans="1:28" hidden="1">
      <c r="A1388" s="566" t="s">
        <v>1335</v>
      </c>
      <c r="B1388" s="566" t="s">
        <v>466</v>
      </c>
      <c r="C1388" s="566" t="s">
        <v>471</v>
      </c>
      <c r="D1388" s="566" t="s">
        <v>472</v>
      </c>
      <c r="E1388" s="566" t="s">
        <v>473</v>
      </c>
      <c r="F1388" s="566" t="s">
        <v>474</v>
      </c>
      <c r="G1388" s="567">
        <v>0</v>
      </c>
      <c r="H1388" s="566" t="s">
        <v>680</v>
      </c>
      <c r="I1388" s="568">
        <v>2</v>
      </c>
      <c r="J1388" s="569">
        <v>79</v>
      </c>
      <c r="K1388" s="569">
        <v>79</v>
      </c>
      <c r="L1388" s="566"/>
      <c r="M1388" s="566" t="s">
        <v>476</v>
      </c>
      <c r="N1388" s="570">
        <v>1600</v>
      </c>
      <c r="O1388" s="566"/>
      <c r="P1388" s="566" t="s">
        <v>477</v>
      </c>
      <c r="Q1388" s="568">
        <v>909678</v>
      </c>
      <c r="R1388" s="568">
        <v>41</v>
      </c>
      <c r="S1388" s="566" t="s">
        <v>1369</v>
      </c>
      <c r="T1388" s="578" t="s">
        <v>779</v>
      </c>
      <c r="U1388" s="578" t="s">
        <v>670</v>
      </c>
      <c r="V1388" s="578" t="s">
        <v>528</v>
      </c>
      <c r="W1388" s="579" t="s">
        <v>1275</v>
      </c>
      <c r="X1388" s="578" t="s">
        <v>1337</v>
      </c>
      <c r="Y1388" s="578" t="s">
        <v>1367</v>
      </c>
      <c r="Z1388" s="580" t="s">
        <v>2335</v>
      </c>
      <c r="AA1388" s="581">
        <v>1600</v>
      </c>
      <c r="AB1388" s="578"/>
    </row>
    <row r="1389" spans="1:28" hidden="1">
      <c r="A1389" s="566" t="s">
        <v>1335</v>
      </c>
      <c r="B1389" s="566" t="s">
        <v>466</v>
      </c>
      <c r="C1389" s="566" t="s">
        <v>487</v>
      </c>
      <c r="D1389" s="566" t="s">
        <v>472</v>
      </c>
      <c r="E1389" s="566" t="s">
        <v>473</v>
      </c>
      <c r="F1389" s="566" t="s">
        <v>489</v>
      </c>
      <c r="G1389" s="567">
        <v>50</v>
      </c>
      <c r="H1389" s="566" t="s">
        <v>689</v>
      </c>
      <c r="I1389" s="568">
        <v>2</v>
      </c>
      <c r="J1389" s="569">
        <v>79</v>
      </c>
      <c r="K1389" s="569">
        <v>79</v>
      </c>
      <c r="L1389" s="566"/>
      <c r="M1389" s="566" t="s">
        <v>476</v>
      </c>
      <c r="N1389" s="570">
        <v>1636</v>
      </c>
      <c r="O1389" s="566"/>
      <c r="P1389" s="566" t="s">
        <v>477</v>
      </c>
      <c r="Q1389" s="568">
        <v>909678</v>
      </c>
      <c r="R1389" s="568">
        <v>43</v>
      </c>
      <c r="S1389" s="566" t="s">
        <v>1371</v>
      </c>
      <c r="T1389" s="578" t="s">
        <v>779</v>
      </c>
      <c r="U1389" s="578" t="s">
        <v>670</v>
      </c>
      <c r="V1389" s="578" t="s">
        <v>528</v>
      </c>
      <c r="W1389" s="579" t="s">
        <v>1276</v>
      </c>
      <c r="X1389" s="578" t="s">
        <v>1337</v>
      </c>
      <c r="Y1389" s="578" t="s">
        <v>1367</v>
      </c>
      <c r="Z1389" s="580" t="s">
        <v>2336</v>
      </c>
      <c r="AA1389" s="581">
        <v>1636</v>
      </c>
      <c r="AB1389" s="578"/>
    </row>
    <row r="1390" spans="1:28" hidden="1">
      <c r="A1390" s="566" t="s">
        <v>1335</v>
      </c>
      <c r="B1390" s="566" t="s">
        <v>466</v>
      </c>
      <c r="C1390" s="566" t="s">
        <v>487</v>
      </c>
      <c r="D1390" s="566" t="s">
        <v>472</v>
      </c>
      <c r="E1390" s="566" t="s">
        <v>473</v>
      </c>
      <c r="F1390" s="566" t="s">
        <v>489</v>
      </c>
      <c r="G1390" s="567">
        <v>50</v>
      </c>
      <c r="H1390" s="566" t="s">
        <v>692</v>
      </c>
      <c r="I1390" s="568">
        <v>2</v>
      </c>
      <c r="J1390" s="569">
        <v>79</v>
      </c>
      <c r="K1390" s="569">
        <v>79</v>
      </c>
      <c r="L1390" s="566"/>
      <c r="M1390" s="566" t="s">
        <v>476</v>
      </c>
      <c r="N1390" s="570">
        <v>1672</v>
      </c>
      <c r="O1390" s="566"/>
      <c r="P1390" s="566" t="s">
        <v>477</v>
      </c>
      <c r="Q1390" s="568">
        <v>909678</v>
      </c>
      <c r="R1390" s="568">
        <v>44</v>
      </c>
      <c r="S1390" s="566" t="s">
        <v>1373</v>
      </c>
      <c r="T1390" s="578" t="s">
        <v>779</v>
      </c>
      <c r="U1390" s="578" t="s">
        <v>670</v>
      </c>
      <c r="V1390" s="578" t="s">
        <v>528</v>
      </c>
      <c r="W1390" s="579" t="s">
        <v>1277</v>
      </c>
      <c r="X1390" s="578" t="s">
        <v>1337</v>
      </c>
      <c r="Y1390" s="578" t="s">
        <v>1367</v>
      </c>
      <c r="Z1390" s="580" t="s">
        <v>2337</v>
      </c>
      <c r="AA1390" s="581">
        <v>1672</v>
      </c>
      <c r="AB1390" s="578"/>
    </row>
    <row r="1391" spans="1:28" hidden="1">
      <c r="A1391" s="566" t="s">
        <v>1335</v>
      </c>
      <c r="B1391" s="566" t="s">
        <v>466</v>
      </c>
      <c r="C1391" s="566" t="s">
        <v>471</v>
      </c>
      <c r="D1391" s="566" t="s">
        <v>472</v>
      </c>
      <c r="E1391" s="566" t="s">
        <v>473</v>
      </c>
      <c r="F1391" s="566" t="s">
        <v>474</v>
      </c>
      <c r="G1391" s="567">
        <v>0</v>
      </c>
      <c r="H1391" s="566" t="s">
        <v>2117</v>
      </c>
      <c r="I1391" s="568">
        <v>2</v>
      </c>
      <c r="J1391" s="569">
        <v>79</v>
      </c>
      <c r="K1391" s="569">
        <v>79</v>
      </c>
      <c r="L1391" s="566"/>
      <c r="M1391" s="566" t="s">
        <v>476</v>
      </c>
      <c r="N1391" s="570">
        <v>1708</v>
      </c>
      <c r="O1391" s="566"/>
      <c r="P1391" s="566" t="s">
        <v>477</v>
      </c>
      <c r="Q1391" s="568">
        <v>909678</v>
      </c>
      <c r="R1391" s="568">
        <v>42</v>
      </c>
      <c r="S1391" s="566" t="s">
        <v>1375</v>
      </c>
      <c r="T1391" s="578" t="s">
        <v>779</v>
      </c>
      <c r="U1391" s="578" t="s">
        <v>670</v>
      </c>
      <c r="V1391" s="578" t="s">
        <v>528</v>
      </c>
      <c r="W1391" s="579" t="s">
        <v>1354</v>
      </c>
      <c r="X1391" s="578" t="s">
        <v>1337</v>
      </c>
      <c r="Y1391" s="578" t="s">
        <v>1367</v>
      </c>
      <c r="Z1391" s="580" t="s">
        <v>2338</v>
      </c>
      <c r="AA1391" s="581">
        <v>1708</v>
      </c>
      <c r="AB1391" s="578"/>
    </row>
    <row r="1392" spans="1:28" hidden="1">
      <c r="A1392" s="566" t="s">
        <v>1335</v>
      </c>
      <c r="B1392" s="566" t="s">
        <v>466</v>
      </c>
      <c r="C1392" s="566" t="s">
        <v>487</v>
      </c>
      <c r="D1392" s="566" t="s">
        <v>472</v>
      </c>
      <c r="E1392" s="566" t="s">
        <v>473</v>
      </c>
      <c r="F1392" s="566" t="s">
        <v>489</v>
      </c>
      <c r="G1392" s="567">
        <v>50</v>
      </c>
      <c r="H1392" s="566" t="s">
        <v>2119</v>
      </c>
      <c r="I1392" s="568">
        <v>2</v>
      </c>
      <c r="J1392" s="569">
        <v>79</v>
      </c>
      <c r="K1392" s="569">
        <v>79</v>
      </c>
      <c r="L1392" s="566"/>
      <c r="M1392" s="566" t="s">
        <v>476</v>
      </c>
      <c r="N1392" s="570">
        <v>1744</v>
      </c>
      <c r="O1392" s="566"/>
      <c r="P1392" s="566" t="s">
        <v>477</v>
      </c>
      <c r="Q1392" s="568">
        <v>909678</v>
      </c>
      <c r="R1392" s="568">
        <v>45</v>
      </c>
      <c r="S1392" s="566" t="s">
        <v>1377</v>
      </c>
      <c r="T1392" s="578" t="s">
        <v>779</v>
      </c>
      <c r="U1392" s="578" t="s">
        <v>670</v>
      </c>
      <c r="V1392" s="578" t="s">
        <v>528</v>
      </c>
      <c r="W1392" s="579" t="s">
        <v>1358</v>
      </c>
      <c r="X1392" s="578" t="s">
        <v>1337</v>
      </c>
      <c r="Y1392" s="578" t="s">
        <v>1367</v>
      </c>
      <c r="Z1392" s="580" t="s">
        <v>2339</v>
      </c>
      <c r="AA1392" s="581">
        <v>1744</v>
      </c>
      <c r="AB1392" s="578"/>
    </row>
    <row r="1393" spans="1:28" hidden="1">
      <c r="A1393" s="566" t="s">
        <v>1335</v>
      </c>
      <c r="B1393" s="566" t="s">
        <v>466</v>
      </c>
      <c r="C1393" s="566" t="s">
        <v>553</v>
      </c>
      <c r="D1393" s="566" t="s">
        <v>472</v>
      </c>
      <c r="E1393" s="566" t="s">
        <v>473</v>
      </c>
      <c r="F1393" s="566" t="s">
        <v>554</v>
      </c>
      <c r="G1393" s="567">
        <v>13</v>
      </c>
      <c r="H1393" s="566" t="s">
        <v>964</v>
      </c>
      <c r="I1393" s="568">
        <v>2</v>
      </c>
      <c r="J1393" s="569">
        <v>22</v>
      </c>
      <c r="K1393" s="569">
        <v>22</v>
      </c>
      <c r="L1393" s="569">
        <v>17</v>
      </c>
      <c r="M1393" s="566" t="s">
        <v>476</v>
      </c>
      <c r="N1393" s="570">
        <v>169</v>
      </c>
      <c r="O1393" s="566"/>
      <c r="P1393" s="566" t="s">
        <v>477</v>
      </c>
      <c r="Q1393" s="568">
        <v>909678</v>
      </c>
      <c r="R1393" s="568">
        <v>9</v>
      </c>
      <c r="S1393" s="566" t="s">
        <v>1379</v>
      </c>
      <c r="T1393" s="578" t="s">
        <v>779</v>
      </c>
      <c r="U1393" s="578" t="s">
        <v>670</v>
      </c>
      <c r="V1393" s="578" t="s">
        <v>528</v>
      </c>
      <c r="W1393" s="579" t="s">
        <v>551</v>
      </c>
      <c r="X1393" s="578" t="s">
        <v>1380</v>
      </c>
      <c r="Y1393" s="578" t="s">
        <v>1338</v>
      </c>
      <c r="Z1393" s="580" t="s">
        <v>963</v>
      </c>
      <c r="AA1393" s="581">
        <v>169</v>
      </c>
      <c r="AB1393" s="578">
        <v>260068</v>
      </c>
    </row>
    <row r="1394" spans="1:28" hidden="1">
      <c r="A1394" s="566" t="s">
        <v>1335</v>
      </c>
      <c r="B1394" s="566" t="s">
        <v>466</v>
      </c>
      <c r="C1394" s="566" t="s">
        <v>553</v>
      </c>
      <c r="D1394" s="566" t="s">
        <v>472</v>
      </c>
      <c r="E1394" s="566" t="s">
        <v>473</v>
      </c>
      <c r="F1394" s="566" t="s">
        <v>554</v>
      </c>
      <c r="G1394" s="567">
        <v>16</v>
      </c>
      <c r="H1394" s="566" t="s">
        <v>966</v>
      </c>
      <c r="I1394" s="568">
        <v>2</v>
      </c>
      <c r="J1394" s="569">
        <v>22</v>
      </c>
      <c r="K1394" s="569">
        <v>22</v>
      </c>
      <c r="L1394" s="569">
        <v>17</v>
      </c>
      <c r="M1394" s="566" t="s">
        <v>476</v>
      </c>
      <c r="N1394" s="570">
        <v>313</v>
      </c>
      <c r="O1394" s="566"/>
      <c r="P1394" s="566" t="s">
        <v>477</v>
      </c>
      <c r="Q1394" s="568">
        <v>909678</v>
      </c>
      <c r="R1394" s="568">
        <v>4</v>
      </c>
      <c r="S1394" s="566" t="s">
        <v>1381</v>
      </c>
      <c r="T1394" s="578" t="s">
        <v>779</v>
      </c>
      <c r="U1394" s="578" t="s">
        <v>670</v>
      </c>
      <c r="V1394" s="578" t="s">
        <v>528</v>
      </c>
      <c r="W1394" s="579" t="s">
        <v>556</v>
      </c>
      <c r="X1394" s="578" t="s">
        <v>1380</v>
      </c>
      <c r="Y1394" s="578" t="s">
        <v>1338</v>
      </c>
      <c r="Z1394" s="580" t="s">
        <v>965</v>
      </c>
      <c r="AA1394" s="581">
        <v>313</v>
      </c>
      <c r="AB1394" s="578">
        <v>260212</v>
      </c>
    </row>
    <row r="1395" spans="1:28" hidden="1">
      <c r="A1395" s="566" t="s">
        <v>1335</v>
      </c>
      <c r="B1395" s="566" t="s">
        <v>466</v>
      </c>
      <c r="C1395" s="566" t="s">
        <v>471</v>
      </c>
      <c r="D1395" s="566" t="s">
        <v>472</v>
      </c>
      <c r="E1395" s="566" t="s">
        <v>473</v>
      </c>
      <c r="F1395" s="566" t="s">
        <v>474</v>
      </c>
      <c r="G1395" s="567">
        <v>0</v>
      </c>
      <c r="H1395" s="566" t="s">
        <v>677</v>
      </c>
      <c r="I1395" s="568">
        <v>2</v>
      </c>
      <c r="J1395" s="569">
        <v>7</v>
      </c>
      <c r="K1395" s="569">
        <v>7</v>
      </c>
      <c r="L1395" s="566"/>
      <c r="M1395" s="566" t="s">
        <v>476</v>
      </c>
      <c r="N1395" s="570">
        <v>484</v>
      </c>
      <c r="O1395" s="566"/>
      <c r="P1395" s="566" t="s">
        <v>477</v>
      </c>
      <c r="Q1395" s="568">
        <v>909678</v>
      </c>
      <c r="R1395" s="568">
        <v>10</v>
      </c>
      <c r="S1395" s="566" t="s">
        <v>1382</v>
      </c>
      <c r="T1395" s="578" t="s">
        <v>779</v>
      </c>
      <c r="U1395" s="578" t="s">
        <v>670</v>
      </c>
      <c r="V1395" s="578" t="s">
        <v>528</v>
      </c>
      <c r="W1395" s="579" t="s">
        <v>1274</v>
      </c>
      <c r="X1395" s="578" t="s">
        <v>1380</v>
      </c>
      <c r="Y1395" s="578" t="s">
        <v>1338</v>
      </c>
      <c r="Z1395" s="580" t="s">
        <v>967</v>
      </c>
      <c r="AA1395" s="581">
        <v>484</v>
      </c>
      <c r="AB1395" s="578"/>
    </row>
    <row r="1396" spans="1:28" hidden="1">
      <c r="A1396" s="566" t="s">
        <v>1335</v>
      </c>
      <c r="B1396" s="566" t="s">
        <v>466</v>
      </c>
      <c r="C1396" s="566" t="s">
        <v>471</v>
      </c>
      <c r="D1396" s="566" t="s">
        <v>472</v>
      </c>
      <c r="E1396" s="566" t="s">
        <v>473</v>
      </c>
      <c r="F1396" s="566" t="s">
        <v>474</v>
      </c>
      <c r="G1396" s="567">
        <v>0</v>
      </c>
      <c r="H1396" s="566" t="s">
        <v>680</v>
      </c>
      <c r="I1396" s="568">
        <v>2</v>
      </c>
      <c r="J1396" s="569">
        <v>7</v>
      </c>
      <c r="K1396" s="569">
        <v>7</v>
      </c>
      <c r="L1396" s="566"/>
      <c r="M1396" s="566" t="s">
        <v>476</v>
      </c>
      <c r="N1396" s="570">
        <v>556</v>
      </c>
      <c r="O1396" s="566"/>
      <c r="P1396" s="566" t="s">
        <v>477</v>
      </c>
      <c r="Q1396" s="568">
        <v>909678</v>
      </c>
      <c r="R1396" s="568">
        <v>15</v>
      </c>
      <c r="S1396" s="566" t="s">
        <v>483</v>
      </c>
      <c r="T1396" s="578" t="s">
        <v>779</v>
      </c>
      <c r="U1396" s="578" t="s">
        <v>670</v>
      </c>
      <c r="V1396" s="578" t="s">
        <v>528</v>
      </c>
      <c r="W1396" s="579" t="s">
        <v>1275</v>
      </c>
      <c r="X1396" s="578" t="s">
        <v>1380</v>
      </c>
      <c r="Y1396" s="578" t="s">
        <v>1338</v>
      </c>
      <c r="Z1396" s="580" t="s">
        <v>968</v>
      </c>
      <c r="AA1396" s="581">
        <v>556</v>
      </c>
      <c r="AB1396" s="578"/>
    </row>
    <row r="1397" spans="1:28" hidden="1">
      <c r="A1397" s="566" t="s">
        <v>1335</v>
      </c>
      <c r="B1397" s="566" t="s">
        <v>466</v>
      </c>
      <c r="C1397" s="566" t="s">
        <v>487</v>
      </c>
      <c r="D1397" s="566" t="s">
        <v>472</v>
      </c>
      <c r="E1397" s="566" t="s">
        <v>473</v>
      </c>
      <c r="F1397" s="566" t="s">
        <v>489</v>
      </c>
      <c r="G1397" s="567">
        <v>50</v>
      </c>
      <c r="H1397" s="566" t="s">
        <v>682</v>
      </c>
      <c r="I1397" s="568">
        <v>2</v>
      </c>
      <c r="J1397" s="569">
        <v>7</v>
      </c>
      <c r="K1397" s="569">
        <v>7</v>
      </c>
      <c r="L1397" s="566"/>
      <c r="M1397" s="566" t="s">
        <v>476</v>
      </c>
      <c r="N1397" s="570">
        <v>592</v>
      </c>
      <c r="O1397" s="566"/>
      <c r="P1397" s="566" t="s">
        <v>477</v>
      </c>
      <c r="Q1397" s="568">
        <v>909678</v>
      </c>
      <c r="R1397" s="568">
        <v>16</v>
      </c>
      <c r="S1397" s="566" t="s">
        <v>488</v>
      </c>
      <c r="T1397" s="578" t="s">
        <v>779</v>
      </c>
      <c r="U1397" s="578" t="s">
        <v>670</v>
      </c>
      <c r="V1397" s="578" t="s">
        <v>528</v>
      </c>
      <c r="W1397" s="579" t="s">
        <v>485</v>
      </c>
      <c r="X1397" s="578" t="s">
        <v>1380</v>
      </c>
      <c r="Y1397" s="578" t="s">
        <v>1338</v>
      </c>
      <c r="Z1397" s="580" t="s">
        <v>969</v>
      </c>
      <c r="AA1397" s="581">
        <v>592</v>
      </c>
      <c r="AB1397" s="578"/>
    </row>
    <row r="1398" spans="1:28" hidden="1">
      <c r="A1398" s="566" t="s">
        <v>1335</v>
      </c>
      <c r="B1398" s="566" t="s">
        <v>466</v>
      </c>
      <c r="C1398" s="566" t="s">
        <v>487</v>
      </c>
      <c r="D1398" s="566" t="s">
        <v>472</v>
      </c>
      <c r="E1398" s="566" t="s">
        <v>473</v>
      </c>
      <c r="F1398" s="566" t="s">
        <v>489</v>
      </c>
      <c r="G1398" s="567">
        <v>50</v>
      </c>
      <c r="H1398" s="566" t="s">
        <v>684</v>
      </c>
      <c r="I1398" s="568">
        <v>2</v>
      </c>
      <c r="J1398" s="569">
        <v>7</v>
      </c>
      <c r="K1398" s="569">
        <v>7</v>
      </c>
      <c r="L1398" s="566"/>
      <c r="M1398" s="566" t="s">
        <v>476</v>
      </c>
      <c r="N1398" s="570">
        <v>628</v>
      </c>
      <c r="O1398" s="566"/>
      <c r="P1398" s="566" t="s">
        <v>477</v>
      </c>
      <c r="Q1398" s="568">
        <v>909678</v>
      </c>
      <c r="R1398" s="568">
        <v>17</v>
      </c>
      <c r="S1398" s="566" t="s">
        <v>493</v>
      </c>
      <c r="T1398" s="578" t="s">
        <v>779</v>
      </c>
      <c r="U1398" s="578" t="s">
        <v>670</v>
      </c>
      <c r="V1398" s="578" t="s">
        <v>528</v>
      </c>
      <c r="W1398" s="579" t="s">
        <v>491</v>
      </c>
      <c r="X1398" s="578" t="s">
        <v>1380</v>
      </c>
      <c r="Y1398" s="578" t="s">
        <v>1338</v>
      </c>
      <c r="Z1398" s="580" t="s">
        <v>970</v>
      </c>
      <c r="AA1398" s="581">
        <v>628</v>
      </c>
      <c r="AB1398" s="578"/>
    </row>
    <row r="1399" spans="1:28" hidden="1">
      <c r="A1399" s="566" t="s">
        <v>1335</v>
      </c>
      <c r="B1399" s="566" t="s">
        <v>466</v>
      </c>
      <c r="C1399" s="566" t="s">
        <v>487</v>
      </c>
      <c r="D1399" s="566" t="s">
        <v>472</v>
      </c>
      <c r="E1399" s="566" t="s">
        <v>473</v>
      </c>
      <c r="F1399" s="566" t="s">
        <v>489</v>
      </c>
      <c r="G1399" s="567">
        <v>50</v>
      </c>
      <c r="H1399" s="566" t="s">
        <v>686</v>
      </c>
      <c r="I1399" s="568">
        <v>2</v>
      </c>
      <c r="J1399" s="569">
        <v>7</v>
      </c>
      <c r="K1399" s="569">
        <v>7</v>
      </c>
      <c r="L1399" s="566"/>
      <c r="M1399" s="566" t="s">
        <v>476</v>
      </c>
      <c r="N1399" s="570">
        <v>664</v>
      </c>
      <c r="O1399" s="566"/>
      <c r="P1399" s="566" t="s">
        <v>477</v>
      </c>
      <c r="Q1399" s="568">
        <v>909678</v>
      </c>
      <c r="R1399" s="568">
        <v>18</v>
      </c>
      <c r="S1399" s="566" t="s">
        <v>497</v>
      </c>
      <c r="T1399" s="578" t="s">
        <v>779</v>
      </c>
      <c r="U1399" s="578" t="s">
        <v>670</v>
      </c>
      <c r="V1399" s="578" t="s">
        <v>528</v>
      </c>
      <c r="W1399" s="579" t="s">
        <v>495</v>
      </c>
      <c r="X1399" s="578" t="s">
        <v>1380</v>
      </c>
      <c r="Y1399" s="578" t="s">
        <v>1338</v>
      </c>
      <c r="Z1399" s="580" t="s">
        <v>971</v>
      </c>
      <c r="AA1399" s="581">
        <v>664</v>
      </c>
      <c r="AB1399" s="578"/>
    </row>
    <row r="1400" spans="1:28" hidden="1">
      <c r="A1400" s="566" t="s">
        <v>1335</v>
      </c>
      <c r="B1400" s="566" t="s">
        <v>466</v>
      </c>
      <c r="C1400" s="566" t="s">
        <v>487</v>
      </c>
      <c r="D1400" s="566" t="s">
        <v>472</v>
      </c>
      <c r="E1400" s="566" t="s">
        <v>473</v>
      </c>
      <c r="F1400" s="566" t="s">
        <v>489</v>
      </c>
      <c r="G1400" s="567">
        <v>50</v>
      </c>
      <c r="H1400" s="566" t="s">
        <v>689</v>
      </c>
      <c r="I1400" s="568">
        <v>2</v>
      </c>
      <c r="J1400" s="569">
        <v>7</v>
      </c>
      <c r="K1400" s="569">
        <v>7</v>
      </c>
      <c r="L1400" s="566"/>
      <c r="M1400" s="566" t="s">
        <v>476</v>
      </c>
      <c r="N1400" s="570">
        <v>736</v>
      </c>
      <c r="O1400" s="566"/>
      <c r="P1400" s="566" t="s">
        <v>477</v>
      </c>
      <c r="Q1400" s="568">
        <v>909678</v>
      </c>
      <c r="R1400" s="568">
        <v>19</v>
      </c>
      <c r="S1400" s="566" t="s">
        <v>502</v>
      </c>
      <c r="T1400" s="578" t="s">
        <v>779</v>
      </c>
      <c r="U1400" s="578" t="s">
        <v>670</v>
      </c>
      <c r="V1400" s="578" t="s">
        <v>528</v>
      </c>
      <c r="W1400" s="579" t="s">
        <v>1276</v>
      </c>
      <c r="X1400" s="578" t="s">
        <v>1380</v>
      </c>
      <c r="Y1400" s="578" t="s">
        <v>1338</v>
      </c>
      <c r="Z1400" s="580" t="s">
        <v>972</v>
      </c>
      <c r="AA1400" s="581">
        <v>736</v>
      </c>
      <c r="AB1400" s="578"/>
    </row>
    <row r="1401" spans="1:28" hidden="1">
      <c r="A1401" s="566" t="s">
        <v>1335</v>
      </c>
      <c r="B1401" s="566" t="s">
        <v>466</v>
      </c>
      <c r="C1401" s="566" t="s">
        <v>487</v>
      </c>
      <c r="D1401" s="566" t="s">
        <v>472</v>
      </c>
      <c r="E1401" s="566" t="s">
        <v>473</v>
      </c>
      <c r="F1401" s="566" t="s">
        <v>489</v>
      </c>
      <c r="G1401" s="567">
        <v>50</v>
      </c>
      <c r="H1401" s="566" t="s">
        <v>692</v>
      </c>
      <c r="I1401" s="568">
        <v>2</v>
      </c>
      <c r="J1401" s="569">
        <v>7</v>
      </c>
      <c r="K1401" s="569">
        <v>7</v>
      </c>
      <c r="L1401" s="566"/>
      <c r="M1401" s="566" t="s">
        <v>476</v>
      </c>
      <c r="N1401" s="570">
        <v>808</v>
      </c>
      <c r="O1401" s="566"/>
      <c r="P1401" s="566" t="s">
        <v>477</v>
      </c>
      <c r="Q1401" s="568">
        <v>909678</v>
      </c>
      <c r="R1401" s="568">
        <v>21</v>
      </c>
      <c r="S1401" s="566" t="s">
        <v>507</v>
      </c>
      <c r="T1401" s="578" t="s">
        <v>779</v>
      </c>
      <c r="U1401" s="578" t="s">
        <v>670</v>
      </c>
      <c r="V1401" s="578" t="s">
        <v>528</v>
      </c>
      <c r="W1401" s="579" t="s">
        <v>1277</v>
      </c>
      <c r="X1401" s="578" t="s">
        <v>1380</v>
      </c>
      <c r="Y1401" s="578" t="s">
        <v>1338</v>
      </c>
      <c r="Z1401" s="580" t="s">
        <v>973</v>
      </c>
      <c r="AA1401" s="581">
        <v>808</v>
      </c>
      <c r="AB1401" s="578"/>
    </row>
    <row r="1402" spans="1:28" hidden="1">
      <c r="A1402" s="566" t="s">
        <v>1335</v>
      </c>
      <c r="B1402" s="566" t="s">
        <v>466</v>
      </c>
      <c r="C1402" s="566" t="s">
        <v>471</v>
      </c>
      <c r="D1402" s="566" t="s">
        <v>472</v>
      </c>
      <c r="E1402" s="566" t="s">
        <v>473</v>
      </c>
      <c r="F1402" s="566" t="s">
        <v>474</v>
      </c>
      <c r="G1402" s="567">
        <v>0</v>
      </c>
      <c r="H1402" s="566" t="s">
        <v>2117</v>
      </c>
      <c r="I1402" s="568">
        <v>2</v>
      </c>
      <c r="J1402" s="569">
        <v>7</v>
      </c>
      <c r="K1402" s="569">
        <v>7</v>
      </c>
      <c r="L1402" s="566"/>
      <c r="M1402" s="566" t="s">
        <v>476</v>
      </c>
      <c r="N1402" s="570">
        <v>844</v>
      </c>
      <c r="O1402" s="566"/>
      <c r="P1402" s="566" t="s">
        <v>477</v>
      </c>
      <c r="Q1402" s="568">
        <v>909678</v>
      </c>
      <c r="R1402" s="568">
        <v>46</v>
      </c>
      <c r="S1402" s="566" t="s">
        <v>1383</v>
      </c>
      <c r="T1402" s="578" t="s">
        <v>779</v>
      </c>
      <c r="U1402" s="578" t="s">
        <v>670</v>
      </c>
      <c r="V1402" s="578" t="s">
        <v>528</v>
      </c>
      <c r="W1402" s="579" t="s">
        <v>1354</v>
      </c>
      <c r="X1402" s="578" t="s">
        <v>1380</v>
      </c>
      <c r="Y1402" s="578" t="s">
        <v>1338</v>
      </c>
      <c r="Z1402" s="580" t="s">
        <v>2340</v>
      </c>
      <c r="AA1402" s="581">
        <v>844</v>
      </c>
      <c r="AB1402" s="578"/>
    </row>
    <row r="1403" spans="1:28" hidden="1">
      <c r="A1403" s="566" t="s">
        <v>1335</v>
      </c>
      <c r="B1403" s="566" t="s">
        <v>466</v>
      </c>
      <c r="C1403" s="566" t="s">
        <v>487</v>
      </c>
      <c r="D1403" s="566" t="s">
        <v>472</v>
      </c>
      <c r="E1403" s="566" t="s">
        <v>473</v>
      </c>
      <c r="F1403" s="566" t="s">
        <v>489</v>
      </c>
      <c r="G1403" s="567">
        <v>50</v>
      </c>
      <c r="H1403" s="566" t="s">
        <v>2119</v>
      </c>
      <c r="I1403" s="568">
        <v>2</v>
      </c>
      <c r="J1403" s="569">
        <v>7</v>
      </c>
      <c r="K1403" s="569">
        <v>7</v>
      </c>
      <c r="L1403" s="566"/>
      <c r="M1403" s="566" t="s">
        <v>476</v>
      </c>
      <c r="N1403" s="570">
        <v>880</v>
      </c>
      <c r="O1403" s="566"/>
      <c r="P1403" s="566" t="s">
        <v>477</v>
      </c>
      <c r="Q1403" s="568">
        <v>909678</v>
      </c>
      <c r="R1403" s="568">
        <v>47</v>
      </c>
      <c r="S1403" s="566" t="s">
        <v>1385</v>
      </c>
      <c r="T1403" s="578" t="s">
        <v>779</v>
      </c>
      <c r="U1403" s="578" t="s">
        <v>670</v>
      </c>
      <c r="V1403" s="578" t="s">
        <v>528</v>
      </c>
      <c r="W1403" s="579" t="s">
        <v>1358</v>
      </c>
      <c r="X1403" s="578" t="s">
        <v>1380</v>
      </c>
      <c r="Y1403" s="578" t="s">
        <v>1338</v>
      </c>
      <c r="Z1403" s="580" t="s">
        <v>2341</v>
      </c>
      <c r="AA1403" s="581">
        <v>880</v>
      </c>
      <c r="AB1403" s="578"/>
    </row>
    <row r="1404" spans="1:28" hidden="1">
      <c r="A1404" s="566" t="s">
        <v>1335</v>
      </c>
      <c r="B1404" s="566" t="s">
        <v>466</v>
      </c>
      <c r="C1404" s="566" t="s">
        <v>553</v>
      </c>
      <c r="D1404" s="566" t="s">
        <v>472</v>
      </c>
      <c r="E1404" s="566" t="s">
        <v>473</v>
      </c>
      <c r="F1404" s="566" t="s">
        <v>554</v>
      </c>
      <c r="G1404" s="567">
        <v>13</v>
      </c>
      <c r="H1404" s="566" t="s">
        <v>975</v>
      </c>
      <c r="I1404" s="568">
        <v>2</v>
      </c>
      <c r="J1404" s="569">
        <v>22</v>
      </c>
      <c r="K1404" s="569">
        <v>22</v>
      </c>
      <c r="L1404" s="569">
        <v>17</v>
      </c>
      <c r="M1404" s="566" t="s">
        <v>476</v>
      </c>
      <c r="N1404" s="570">
        <v>193</v>
      </c>
      <c r="O1404" s="566"/>
      <c r="P1404" s="566" t="s">
        <v>477</v>
      </c>
      <c r="Q1404" s="568">
        <v>909678</v>
      </c>
      <c r="R1404" s="568">
        <v>1</v>
      </c>
      <c r="S1404" s="566" t="s">
        <v>1387</v>
      </c>
      <c r="T1404" s="578" t="s">
        <v>779</v>
      </c>
      <c r="U1404" s="578" t="s">
        <v>670</v>
      </c>
      <c r="V1404" s="578" t="s">
        <v>528</v>
      </c>
      <c r="W1404" s="579" t="s">
        <v>577</v>
      </c>
      <c r="X1404" s="578" t="s">
        <v>1380</v>
      </c>
      <c r="Y1404" s="578" t="s">
        <v>1338</v>
      </c>
      <c r="Z1404" s="580" t="s">
        <v>974</v>
      </c>
      <c r="AA1404" s="581">
        <v>193</v>
      </c>
      <c r="AB1404" s="578">
        <v>260092</v>
      </c>
    </row>
    <row r="1405" spans="1:28" hidden="1">
      <c r="A1405" s="566" t="s">
        <v>1335</v>
      </c>
      <c r="B1405" s="566" t="s">
        <v>466</v>
      </c>
      <c r="C1405" s="566" t="s">
        <v>553</v>
      </c>
      <c r="D1405" s="566" t="s">
        <v>472</v>
      </c>
      <c r="E1405" s="566" t="s">
        <v>473</v>
      </c>
      <c r="F1405" s="566" t="s">
        <v>554</v>
      </c>
      <c r="G1405" s="567">
        <v>13</v>
      </c>
      <c r="H1405" s="566" t="s">
        <v>977</v>
      </c>
      <c r="I1405" s="568">
        <v>2</v>
      </c>
      <c r="J1405" s="569">
        <v>22</v>
      </c>
      <c r="K1405" s="569">
        <v>22</v>
      </c>
      <c r="L1405" s="569">
        <v>17</v>
      </c>
      <c r="M1405" s="566" t="s">
        <v>476</v>
      </c>
      <c r="N1405" s="570">
        <v>217</v>
      </c>
      <c r="O1405" s="566"/>
      <c r="P1405" s="566" t="s">
        <v>477</v>
      </c>
      <c r="Q1405" s="568">
        <v>909678</v>
      </c>
      <c r="R1405" s="568">
        <v>2</v>
      </c>
      <c r="S1405" s="566" t="s">
        <v>1388</v>
      </c>
      <c r="T1405" s="578" t="s">
        <v>779</v>
      </c>
      <c r="U1405" s="578" t="s">
        <v>670</v>
      </c>
      <c r="V1405" s="578" t="s">
        <v>528</v>
      </c>
      <c r="W1405" s="579" t="s">
        <v>580</v>
      </c>
      <c r="X1405" s="578" t="s">
        <v>1380</v>
      </c>
      <c r="Y1405" s="578" t="s">
        <v>1338</v>
      </c>
      <c r="Z1405" s="580" t="s">
        <v>976</v>
      </c>
      <c r="AA1405" s="581">
        <v>217</v>
      </c>
      <c r="AB1405" s="578">
        <v>260116</v>
      </c>
    </row>
    <row r="1406" spans="1:28" hidden="1">
      <c r="A1406" s="566" t="s">
        <v>1335</v>
      </c>
      <c r="B1406" s="566" t="s">
        <v>466</v>
      </c>
      <c r="C1406" s="566" t="s">
        <v>553</v>
      </c>
      <c r="D1406" s="566" t="s">
        <v>472</v>
      </c>
      <c r="E1406" s="566" t="s">
        <v>473</v>
      </c>
      <c r="F1406" s="566" t="s">
        <v>554</v>
      </c>
      <c r="G1406" s="567">
        <v>16</v>
      </c>
      <c r="H1406" s="566" t="s">
        <v>979</v>
      </c>
      <c r="I1406" s="568">
        <v>2</v>
      </c>
      <c r="J1406" s="569">
        <v>22</v>
      </c>
      <c r="K1406" s="569">
        <v>22</v>
      </c>
      <c r="L1406" s="569">
        <v>17</v>
      </c>
      <c r="M1406" s="566" t="s">
        <v>476</v>
      </c>
      <c r="N1406" s="570">
        <v>241</v>
      </c>
      <c r="O1406" s="566"/>
      <c r="P1406" s="566" t="s">
        <v>477</v>
      </c>
      <c r="Q1406" s="568">
        <v>909678</v>
      </c>
      <c r="R1406" s="568">
        <v>12</v>
      </c>
      <c r="S1406" s="566" t="s">
        <v>1389</v>
      </c>
      <c r="T1406" s="578" t="s">
        <v>779</v>
      </c>
      <c r="U1406" s="578" t="s">
        <v>670</v>
      </c>
      <c r="V1406" s="578" t="s">
        <v>528</v>
      </c>
      <c r="W1406" s="579" t="s">
        <v>583</v>
      </c>
      <c r="X1406" s="578" t="s">
        <v>1380</v>
      </c>
      <c r="Y1406" s="578" t="s">
        <v>1338</v>
      </c>
      <c r="Z1406" s="580" t="s">
        <v>978</v>
      </c>
      <c r="AA1406" s="581">
        <v>241</v>
      </c>
      <c r="AB1406" s="578">
        <v>260140</v>
      </c>
    </row>
    <row r="1407" spans="1:28" hidden="1">
      <c r="A1407" s="566" t="s">
        <v>1335</v>
      </c>
      <c r="B1407" s="566" t="s">
        <v>466</v>
      </c>
      <c r="C1407" s="566" t="s">
        <v>553</v>
      </c>
      <c r="D1407" s="566" t="s">
        <v>472</v>
      </c>
      <c r="E1407" s="566" t="s">
        <v>473</v>
      </c>
      <c r="F1407" s="566" t="s">
        <v>554</v>
      </c>
      <c r="G1407" s="567">
        <v>16</v>
      </c>
      <c r="H1407" s="566" t="s">
        <v>981</v>
      </c>
      <c r="I1407" s="568">
        <v>2</v>
      </c>
      <c r="J1407" s="569">
        <v>22</v>
      </c>
      <c r="K1407" s="569">
        <v>22</v>
      </c>
      <c r="L1407" s="569">
        <v>17</v>
      </c>
      <c r="M1407" s="566" t="s">
        <v>476</v>
      </c>
      <c r="N1407" s="570">
        <v>265</v>
      </c>
      <c r="O1407" s="566"/>
      <c r="P1407" s="566" t="s">
        <v>477</v>
      </c>
      <c r="Q1407" s="568">
        <v>909678</v>
      </c>
      <c r="R1407" s="568">
        <v>3</v>
      </c>
      <c r="S1407" s="566" t="s">
        <v>1390</v>
      </c>
      <c r="T1407" s="578" t="s">
        <v>779</v>
      </c>
      <c r="U1407" s="578" t="s">
        <v>670</v>
      </c>
      <c r="V1407" s="578" t="s">
        <v>528</v>
      </c>
      <c r="W1407" s="579" t="s">
        <v>586</v>
      </c>
      <c r="X1407" s="578" t="s">
        <v>1380</v>
      </c>
      <c r="Y1407" s="578" t="s">
        <v>1338</v>
      </c>
      <c r="Z1407" s="580" t="s">
        <v>980</v>
      </c>
      <c r="AA1407" s="581">
        <v>265</v>
      </c>
      <c r="AB1407" s="578">
        <v>260164</v>
      </c>
    </row>
    <row r="1408" spans="1:28" hidden="1">
      <c r="A1408" s="566" t="s">
        <v>1335</v>
      </c>
      <c r="B1408" s="566" t="s">
        <v>466</v>
      </c>
      <c r="C1408" s="566" t="s">
        <v>553</v>
      </c>
      <c r="D1408" s="566" t="s">
        <v>472</v>
      </c>
      <c r="E1408" s="566" t="s">
        <v>473</v>
      </c>
      <c r="F1408" s="566" t="s">
        <v>554</v>
      </c>
      <c r="G1408" s="567">
        <v>16</v>
      </c>
      <c r="H1408" s="566" t="s">
        <v>983</v>
      </c>
      <c r="I1408" s="568">
        <v>2</v>
      </c>
      <c r="J1408" s="569">
        <v>22</v>
      </c>
      <c r="K1408" s="569">
        <v>22</v>
      </c>
      <c r="L1408" s="569">
        <v>17</v>
      </c>
      <c r="M1408" s="566" t="s">
        <v>476</v>
      </c>
      <c r="N1408" s="570">
        <v>289</v>
      </c>
      <c r="O1408" s="566"/>
      <c r="P1408" s="566" t="s">
        <v>477</v>
      </c>
      <c r="Q1408" s="568">
        <v>909678</v>
      </c>
      <c r="R1408" s="568">
        <v>13</v>
      </c>
      <c r="S1408" s="566" t="s">
        <v>1391</v>
      </c>
      <c r="T1408" s="578" t="s">
        <v>779</v>
      </c>
      <c r="U1408" s="578" t="s">
        <v>670</v>
      </c>
      <c r="V1408" s="578" t="s">
        <v>528</v>
      </c>
      <c r="W1408" s="579" t="s">
        <v>589</v>
      </c>
      <c r="X1408" s="578" t="s">
        <v>1380</v>
      </c>
      <c r="Y1408" s="578" t="s">
        <v>1338</v>
      </c>
      <c r="Z1408" s="580" t="s">
        <v>982</v>
      </c>
      <c r="AA1408" s="581">
        <v>289</v>
      </c>
      <c r="AB1408" s="578">
        <v>260188</v>
      </c>
    </row>
    <row r="1409" spans="1:28" hidden="1">
      <c r="A1409" s="566" t="s">
        <v>1335</v>
      </c>
      <c r="B1409" s="566" t="s">
        <v>466</v>
      </c>
      <c r="C1409" s="566" t="s">
        <v>471</v>
      </c>
      <c r="D1409" s="566" t="s">
        <v>472</v>
      </c>
      <c r="E1409" s="566" t="s">
        <v>473</v>
      </c>
      <c r="F1409" s="566" t="s">
        <v>474</v>
      </c>
      <c r="G1409" s="567">
        <v>0</v>
      </c>
      <c r="H1409" s="566" t="s">
        <v>704</v>
      </c>
      <c r="I1409" s="568">
        <v>2</v>
      </c>
      <c r="J1409" s="569">
        <v>7</v>
      </c>
      <c r="K1409" s="569">
        <v>7</v>
      </c>
      <c r="L1409" s="566"/>
      <c r="M1409" s="566" t="s">
        <v>476</v>
      </c>
      <c r="N1409" s="570">
        <v>340</v>
      </c>
      <c r="O1409" s="566"/>
      <c r="P1409" s="566" t="s">
        <v>477</v>
      </c>
      <c r="Q1409" s="568">
        <v>909678</v>
      </c>
      <c r="R1409" s="568">
        <v>5</v>
      </c>
      <c r="S1409" s="566" t="s">
        <v>1392</v>
      </c>
      <c r="T1409" s="578" t="s">
        <v>779</v>
      </c>
      <c r="U1409" s="578" t="s">
        <v>670</v>
      </c>
      <c r="V1409" s="578" t="s">
        <v>528</v>
      </c>
      <c r="W1409" s="579" t="s">
        <v>509</v>
      </c>
      <c r="X1409" s="578" t="s">
        <v>1380</v>
      </c>
      <c r="Y1409" s="578" t="s">
        <v>1338</v>
      </c>
      <c r="Z1409" s="580" t="s">
        <v>984</v>
      </c>
      <c r="AA1409" s="581">
        <v>340</v>
      </c>
      <c r="AB1409" s="578"/>
    </row>
    <row r="1410" spans="1:28" hidden="1">
      <c r="A1410" s="566" t="s">
        <v>1335</v>
      </c>
      <c r="B1410" s="566" t="s">
        <v>466</v>
      </c>
      <c r="C1410" s="566" t="s">
        <v>471</v>
      </c>
      <c r="D1410" s="566" t="s">
        <v>472</v>
      </c>
      <c r="E1410" s="566" t="s">
        <v>473</v>
      </c>
      <c r="F1410" s="566" t="s">
        <v>474</v>
      </c>
      <c r="G1410" s="567">
        <v>0</v>
      </c>
      <c r="H1410" s="566" t="s">
        <v>706</v>
      </c>
      <c r="I1410" s="568">
        <v>2</v>
      </c>
      <c r="J1410" s="569">
        <v>7</v>
      </c>
      <c r="K1410" s="569">
        <v>7</v>
      </c>
      <c r="L1410" s="566"/>
      <c r="M1410" s="566" t="s">
        <v>476</v>
      </c>
      <c r="N1410" s="570">
        <v>376</v>
      </c>
      <c r="O1410" s="566"/>
      <c r="P1410" s="566" t="s">
        <v>477</v>
      </c>
      <c r="Q1410" s="568">
        <v>909678</v>
      </c>
      <c r="R1410" s="568">
        <v>6</v>
      </c>
      <c r="S1410" s="566" t="s">
        <v>1393</v>
      </c>
      <c r="T1410" s="578" t="s">
        <v>779</v>
      </c>
      <c r="U1410" s="578" t="s">
        <v>670</v>
      </c>
      <c r="V1410" s="578" t="s">
        <v>528</v>
      </c>
      <c r="W1410" s="579" t="s">
        <v>512</v>
      </c>
      <c r="X1410" s="578" t="s">
        <v>1380</v>
      </c>
      <c r="Y1410" s="578" t="s">
        <v>1338</v>
      </c>
      <c r="Z1410" s="580" t="s">
        <v>985</v>
      </c>
      <c r="AA1410" s="581">
        <v>376</v>
      </c>
      <c r="AB1410" s="578"/>
    </row>
    <row r="1411" spans="1:28" hidden="1">
      <c r="A1411" s="566" t="s">
        <v>1335</v>
      </c>
      <c r="B1411" s="566" t="s">
        <v>466</v>
      </c>
      <c r="C1411" s="566" t="s">
        <v>471</v>
      </c>
      <c r="D1411" s="566" t="s">
        <v>472</v>
      </c>
      <c r="E1411" s="566" t="s">
        <v>473</v>
      </c>
      <c r="F1411" s="566" t="s">
        <v>474</v>
      </c>
      <c r="G1411" s="567">
        <v>0</v>
      </c>
      <c r="H1411" s="566" t="s">
        <v>708</v>
      </c>
      <c r="I1411" s="568">
        <v>2</v>
      </c>
      <c r="J1411" s="569">
        <v>7</v>
      </c>
      <c r="K1411" s="569">
        <v>7</v>
      </c>
      <c r="L1411" s="566"/>
      <c r="M1411" s="566" t="s">
        <v>476</v>
      </c>
      <c r="N1411" s="570">
        <v>412</v>
      </c>
      <c r="O1411" s="566"/>
      <c r="P1411" s="566" t="s">
        <v>477</v>
      </c>
      <c r="Q1411" s="568">
        <v>909678</v>
      </c>
      <c r="R1411" s="568">
        <v>14</v>
      </c>
      <c r="S1411" s="566" t="s">
        <v>1394</v>
      </c>
      <c r="T1411" s="578" t="s">
        <v>779</v>
      </c>
      <c r="U1411" s="578" t="s">
        <v>670</v>
      </c>
      <c r="V1411" s="578" t="s">
        <v>528</v>
      </c>
      <c r="W1411" s="579" t="s">
        <v>514</v>
      </c>
      <c r="X1411" s="578" t="s">
        <v>1380</v>
      </c>
      <c r="Y1411" s="578" t="s">
        <v>1338</v>
      </c>
      <c r="Z1411" s="580" t="s">
        <v>986</v>
      </c>
      <c r="AA1411" s="581">
        <v>412</v>
      </c>
      <c r="AB1411" s="578"/>
    </row>
    <row r="1412" spans="1:28" hidden="1">
      <c r="A1412" s="566" t="s">
        <v>1335</v>
      </c>
      <c r="B1412" s="566" t="s">
        <v>466</v>
      </c>
      <c r="C1412" s="566" t="s">
        <v>471</v>
      </c>
      <c r="D1412" s="566" t="s">
        <v>472</v>
      </c>
      <c r="E1412" s="566" t="s">
        <v>473</v>
      </c>
      <c r="F1412" s="566" t="s">
        <v>474</v>
      </c>
      <c r="G1412" s="567">
        <v>0</v>
      </c>
      <c r="H1412" s="566" t="s">
        <v>677</v>
      </c>
      <c r="I1412" s="568">
        <v>2</v>
      </c>
      <c r="J1412" s="569">
        <v>31</v>
      </c>
      <c r="K1412" s="569">
        <v>31</v>
      </c>
      <c r="L1412" s="566"/>
      <c r="M1412" s="566" t="s">
        <v>476</v>
      </c>
      <c r="N1412" s="570">
        <v>1348</v>
      </c>
      <c r="O1412" s="566"/>
      <c r="P1412" s="566" t="s">
        <v>477</v>
      </c>
      <c r="Q1412" s="568">
        <v>909678</v>
      </c>
      <c r="R1412" s="568">
        <v>34</v>
      </c>
      <c r="S1412" s="566" t="s">
        <v>1395</v>
      </c>
      <c r="T1412" s="578" t="s">
        <v>779</v>
      </c>
      <c r="U1412" s="578" t="s">
        <v>670</v>
      </c>
      <c r="V1412" s="578" t="s">
        <v>528</v>
      </c>
      <c r="W1412" s="579" t="s">
        <v>1274</v>
      </c>
      <c r="X1412" s="578" t="s">
        <v>1380</v>
      </c>
      <c r="Y1412" s="578" t="s">
        <v>1367</v>
      </c>
      <c r="Z1412" s="580" t="s">
        <v>2342</v>
      </c>
      <c r="AA1412" s="581">
        <v>1348</v>
      </c>
      <c r="AB1412" s="578"/>
    </row>
    <row r="1413" spans="1:28" hidden="1">
      <c r="A1413" s="566" t="s">
        <v>1335</v>
      </c>
      <c r="B1413" s="566" t="s">
        <v>466</v>
      </c>
      <c r="C1413" s="566" t="s">
        <v>471</v>
      </c>
      <c r="D1413" s="566" t="s">
        <v>472</v>
      </c>
      <c r="E1413" s="566" t="s">
        <v>473</v>
      </c>
      <c r="F1413" s="566" t="s">
        <v>474</v>
      </c>
      <c r="G1413" s="567">
        <v>0</v>
      </c>
      <c r="H1413" s="566" t="s">
        <v>680</v>
      </c>
      <c r="I1413" s="568">
        <v>2</v>
      </c>
      <c r="J1413" s="569">
        <v>31</v>
      </c>
      <c r="K1413" s="569">
        <v>31</v>
      </c>
      <c r="L1413" s="566"/>
      <c r="M1413" s="566" t="s">
        <v>476</v>
      </c>
      <c r="N1413" s="570">
        <v>1384</v>
      </c>
      <c r="O1413" s="566"/>
      <c r="P1413" s="566" t="s">
        <v>477</v>
      </c>
      <c r="Q1413" s="568">
        <v>909678</v>
      </c>
      <c r="R1413" s="568">
        <v>35</v>
      </c>
      <c r="S1413" s="566" t="s">
        <v>1397</v>
      </c>
      <c r="T1413" s="578" t="s">
        <v>779</v>
      </c>
      <c r="U1413" s="578" t="s">
        <v>670</v>
      </c>
      <c r="V1413" s="578" t="s">
        <v>528</v>
      </c>
      <c r="W1413" s="579" t="s">
        <v>1275</v>
      </c>
      <c r="X1413" s="578" t="s">
        <v>1380</v>
      </c>
      <c r="Y1413" s="578" t="s">
        <v>1367</v>
      </c>
      <c r="Z1413" s="580" t="s">
        <v>2343</v>
      </c>
      <c r="AA1413" s="581">
        <v>1384</v>
      </c>
      <c r="AB1413" s="578"/>
    </row>
    <row r="1414" spans="1:28" hidden="1">
      <c r="A1414" s="566" t="s">
        <v>1335</v>
      </c>
      <c r="B1414" s="566" t="s">
        <v>466</v>
      </c>
      <c r="C1414" s="566" t="s">
        <v>487</v>
      </c>
      <c r="D1414" s="566" t="s">
        <v>472</v>
      </c>
      <c r="E1414" s="566" t="s">
        <v>473</v>
      </c>
      <c r="F1414" s="566" t="s">
        <v>489</v>
      </c>
      <c r="G1414" s="567">
        <v>50</v>
      </c>
      <c r="H1414" s="566" t="s">
        <v>689</v>
      </c>
      <c r="I1414" s="568">
        <v>2</v>
      </c>
      <c r="J1414" s="569">
        <v>31</v>
      </c>
      <c r="K1414" s="569">
        <v>31</v>
      </c>
      <c r="L1414" s="566"/>
      <c r="M1414" s="566" t="s">
        <v>476</v>
      </c>
      <c r="N1414" s="570">
        <v>1420</v>
      </c>
      <c r="O1414" s="566"/>
      <c r="P1414" s="566" t="s">
        <v>477</v>
      </c>
      <c r="Q1414" s="568">
        <v>909678</v>
      </c>
      <c r="R1414" s="568">
        <v>37</v>
      </c>
      <c r="S1414" s="566" t="s">
        <v>1399</v>
      </c>
      <c r="T1414" s="578" t="s">
        <v>779</v>
      </c>
      <c r="U1414" s="578" t="s">
        <v>670</v>
      </c>
      <c r="V1414" s="578" t="s">
        <v>528</v>
      </c>
      <c r="W1414" s="579" t="s">
        <v>1276</v>
      </c>
      <c r="X1414" s="578" t="s">
        <v>1380</v>
      </c>
      <c r="Y1414" s="578" t="s">
        <v>1367</v>
      </c>
      <c r="Z1414" s="580" t="s">
        <v>2344</v>
      </c>
      <c r="AA1414" s="581">
        <v>1420</v>
      </c>
      <c r="AB1414" s="578"/>
    </row>
    <row r="1415" spans="1:28" hidden="1">
      <c r="A1415" s="566" t="s">
        <v>1335</v>
      </c>
      <c r="B1415" s="566" t="s">
        <v>466</v>
      </c>
      <c r="C1415" s="566" t="s">
        <v>487</v>
      </c>
      <c r="D1415" s="566" t="s">
        <v>472</v>
      </c>
      <c r="E1415" s="566" t="s">
        <v>473</v>
      </c>
      <c r="F1415" s="566" t="s">
        <v>489</v>
      </c>
      <c r="G1415" s="567">
        <v>50</v>
      </c>
      <c r="H1415" s="566" t="s">
        <v>692</v>
      </c>
      <c r="I1415" s="568">
        <v>2</v>
      </c>
      <c r="J1415" s="569">
        <v>31</v>
      </c>
      <c r="K1415" s="569">
        <v>31</v>
      </c>
      <c r="L1415" s="566"/>
      <c r="M1415" s="566" t="s">
        <v>476</v>
      </c>
      <c r="N1415" s="570">
        <v>1456</v>
      </c>
      <c r="O1415" s="566"/>
      <c r="P1415" s="566" t="s">
        <v>477</v>
      </c>
      <c r="Q1415" s="568">
        <v>909678</v>
      </c>
      <c r="R1415" s="568">
        <v>38</v>
      </c>
      <c r="S1415" s="566" t="s">
        <v>1401</v>
      </c>
      <c r="T1415" s="578" t="s">
        <v>779</v>
      </c>
      <c r="U1415" s="578" t="s">
        <v>670</v>
      </c>
      <c r="V1415" s="578" t="s">
        <v>528</v>
      </c>
      <c r="W1415" s="579" t="s">
        <v>1277</v>
      </c>
      <c r="X1415" s="578" t="s">
        <v>1380</v>
      </c>
      <c r="Y1415" s="578" t="s">
        <v>1367</v>
      </c>
      <c r="Z1415" s="580" t="s">
        <v>2345</v>
      </c>
      <c r="AA1415" s="581">
        <v>1456</v>
      </c>
      <c r="AB1415" s="578"/>
    </row>
    <row r="1416" spans="1:28" hidden="1">
      <c r="A1416" s="566" t="s">
        <v>1335</v>
      </c>
      <c r="B1416" s="566" t="s">
        <v>466</v>
      </c>
      <c r="C1416" s="566" t="s">
        <v>471</v>
      </c>
      <c r="D1416" s="566" t="s">
        <v>472</v>
      </c>
      <c r="E1416" s="566" t="s">
        <v>473</v>
      </c>
      <c r="F1416" s="566" t="s">
        <v>474</v>
      </c>
      <c r="G1416" s="567">
        <v>0</v>
      </c>
      <c r="H1416" s="566" t="s">
        <v>2117</v>
      </c>
      <c r="I1416" s="568">
        <v>2</v>
      </c>
      <c r="J1416" s="569">
        <v>31</v>
      </c>
      <c r="K1416" s="569">
        <v>31</v>
      </c>
      <c r="L1416" s="566"/>
      <c r="M1416" s="566" t="s">
        <v>476</v>
      </c>
      <c r="N1416" s="570">
        <v>1492</v>
      </c>
      <c r="O1416" s="566"/>
      <c r="P1416" s="566" t="s">
        <v>477</v>
      </c>
      <c r="Q1416" s="568">
        <v>909678</v>
      </c>
      <c r="R1416" s="568">
        <v>36</v>
      </c>
      <c r="S1416" s="566" t="s">
        <v>1403</v>
      </c>
      <c r="T1416" s="578" t="s">
        <v>779</v>
      </c>
      <c r="U1416" s="578" t="s">
        <v>670</v>
      </c>
      <c r="V1416" s="578" t="s">
        <v>528</v>
      </c>
      <c r="W1416" s="579" t="s">
        <v>1354</v>
      </c>
      <c r="X1416" s="578" t="s">
        <v>1380</v>
      </c>
      <c r="Y1416" s="578" t="s">
        <v>1367</v>
      </c>
      <c r="Z1416" s="580" t="s">
        <v>2346</v>
      </c>
      <c r="AA1416" s="581">
        <v>1492</v>
      </c>
      <c r="AB1416" s="578"/>
    </row>
    <row r="1417" spans="1:28" hidden="1">
      <c r="A1417" s="566" t="s">
        <v>1335</v>
      </c>
      <c r="B1417" s="566" t="s">
        <v>466</v>
      </c>
      <c r="C1417" s="566" t="s">
        <v>487</v>
      </c>
      <c r="D1417" s="566" t="s">
        <v>472</v>
      </c>
      <c r="E1417" s="566" t="s">
        <v>473</v>
      </c>
      <c r="F1417" s="566" t="s">
        <v>489</v>
      </c>
      <c r="G1417" s="567">
        <v>50</v>
      </c>
      <c r="H1417" s="566" t="s">
        <v>2119</v>
      </c>
      <c r="I1417" s="568">
        <v>2</v>
      </c>
      <c r="J1417" s="569">
        <v>31</v>
      </c>
      <c r="K1417" s="569">
        <v>31</v>
      </c>
      <c r="L1417" s="566"/>
      <c r="M1417" s="566" t="s">
        <v>476</v>
      </c>
      <c r="N1417" s="570">
        <v>1528</v>
      </c>
      <c r="O1417" s="566"/>
      <c r="P1417" s="566" t="s">
        <v>477</v>
      </c>
      <c r="Q1417" s="568">
        <v>909678</v>
      </c>
      <c r="R1417" s="568">
        <v>39</v>
      </c>
      <c r="S1417" s="566" t="s">
        <v>1405</v>
      </c>
      <c r="T1417" s="578" t="s">
        <v>779</v>
      </c>
      <c r="U1417" s="578" t="s">
        <v>670</v>
      </c>
      <c r="V1417" s="578" t="s">
        <v>528</v>
      </c>
      <c r="W1417" s="579" t="s">
        <v>1358</v>
      </c>
      <c r="X1417" s="578" t="s">
        <v>1380</v>
      </c>
      <c r="Y1417" s="578" t="s">
        <v>1367</v>
      </c>
      <c r="Z1417" s="580" t="s">
        <v>2347</v>
      </c>
      <c r="AA1417" s="581">
        <v>1528</v>
      </c>
      <c r="AB1417" s="578"/>
    </row>
    <row r="1418" spans="1:28" hidden="1">
      <c r="A1418" s="566" t="s">
        <v>1335</v>
      </c>
      <c r="B1418" s="566" t="s">
        <v>466</v>
      </c>
      <c r="C1418" s="566" t="s">
        <v>471</v>
      </c>
      <c r="D1418" s="566" t="s">
        <v>472</v>
      </c>
      <c r="E1418" s="566" t="s">
        <v>473</v>
      </c>
      <c r="F1418" s="566" t="s">
        <v>474</v>
      </c>
      <c r="G1418" s="567">
        <v>0</v>
      </c>
      <c r="H1418" s="566" t="s">
        <v>675</v>
      </c>
      <c r="I1418" s="568">
        <v>2</v>
      </c>
      <c r="J1418" s="569">
        <v>7</v>
      </c>
      <c r="K1418" s="569">
        <v>7</v>
      </c>
      <c r="L1418" s="566"/>
      <c r="M1418" s="566" t="s">
        <v>476</v>
      </c>
      <c r="N1418" s="570">
        <v>448</v>
      </c>
      <c r="O1418" s="566"/>
      <c r="P1418" s="566" t="s">
        <v>477</v>
      </c>
      <c r="Q1418" s="568">
        <v>909678</v>
      </c>
      <c r="R1418" s="568">
        <v>7</v>
      </c>
      <c r="S1418" s="566" t="s">
        <v>1407</v>
      </c>
      <c r="T1418" s="575" t="s">
        <v>1442</v>
      </c>
      <c r="U1418" s="575" t="s">
        <v>670</v>
      </c>
      <c r="V1418" s="575" t="s">
        <v>528</v>
      </c>
      <c r="W1418" s="576" t="s">
        <v>470</v>
      </c>
      <c r="X1418" s="575" t="s">
        <v>1380</v>
      </c>
      <c r="Y1418" s="575" t="s">
        <v>1338</v>
      </c>
      <c r="Z1418" s="576" t="s">
        <v>2348</v>
      </c>
      <c r="AA1418" s="577">
        <v>448</v>
      </c>
      <c r="AB1418" s="575"/>
    </row>
    <row r="1419" spans="1:28" hidden="1">
      <c r="A1419" s="566" t="s">
        <v>1335</v>
      </c>
      <c r="B1419" s="566" t="s">
        <v>466</v>
      </c>
      <c r="C1419" s="566" t="s">
        <v>471</v>
      </c>
      <c r="D1419" s="566" t="s">
        <v>472</v>
      </c>
      <c r="E1419" s="566" t="s">
        <v>473</v>
      </c>
      <c r="F1419" s="566" t="s">
        <v>474</v>
      </c>
      <c r="G1419" s="567">
        <v>0</v>
      </c>
      <c r="H1419" s="566" t="s">
        <v>678</v>
      </c>
      <c r="I1419" s="568">
        <v>2</v>
      </c>
      <c r="J1419" s="569">
        <v>7</v>
      </c>
      <c r="K1419" s="569">
        <v>7</v>
      </c>
      <c r="L1419" s="566"/>
      <c r="M1419" s="566" t="s">
        <v>476</v>
      </c>
      <c r="N1419" s="570">
        <v>520</v>
      </c>
      <c r="O1419" s="566"/>
      <c r="P1419" s="566" t="s">
        <v>477</v>
      </c>
      <c r="Q1419" s="568">
        <v>909678</v>
      </c>
      <c r="R1419" s="568">
        <v>8</v>
      </c>
      <c r="S1419" s="566" t="s">
        <v>1410</v>
      </c>
      <c r="T1419" s="575" t="s">
        <v>1442</v>
      </c>
      <c r="U1419" s="575" t="s">
        <v>670</v>
      </c>
      <c r="V1419" s="575" t="s">
        <v>528</v>
      </c>
      <c r="W1419" s="576" t="s">
        <v>480</v>
      </c>
      <c r="X1419" s="575" t="s">
        <v>1380</v>
      </c>
      <c r="Y1419" s="575" t="s">
        <v>1338</v>
      </c>
      <c r="Z1419" s="576" t="s">
        <v>2349</v>
      </c>
      <c r="AA1419" s="577">
        <v>520</v>
      </c>
      <c r="AB1419" s="575"/>
    </row>
    <row r="1420" spans="1:28" hidden="1">
      <c r="A1420" s="566" t="s">
        <v>1335</v>
      </c>
      <c r="B1420" s="566" t="s">
        <v>466</v>
      </c>
      <c r="C1420" s="566" t="s">
        <v>487</v>
      </c>
      <c r="D1420" s="566" t="s">
        <v>472</v>
      </c>
      <c r="E1420" s="566" t="s">
        <v>473</v>
      </c>
      <c r="F1420" s="566" t="s">
        <v>489</v>
      </c>
      <c r="G1420" s="567">
        <v>50</v>
      </c>
      <c r="H1420" s="566" t="s">
        <v>687</v>
      </c>
      <c r="I1420" s="568">
        <v>2</v>
      </c>
      <c r="J1420" s="569">
        <v>7</v>
      </c>
      <c r="K1420" s="569">
        <v>7</v>
      </c>
      <c r="L1420" s="566"/>
      <c r="M1420" s="566" t="s">
        <v>476</v>
      </c>
      <c r="N1420" s="570">
        <v>700</v>
      </c>
      <c r="O1420" s="566"/>
      <c r="P1420" s="566" t="s">
        <v>477</v>
      </c>
      <c r="Q1420" s="568">
        <v>909678</v>
      </c>
      <c r="R1420" s="568">
        <v>11</v>
      </c>
      <c r="S1420" s="566" t="s">
        <v>1412</v>
      </c>
      <c r="T1420" s="575" t="s">
        <v>1442</v>
      </c>
      <c r="U1420" s="575" t="s">
        <v>670</v>
      </c>
      <c r="V1420" s="575" t="s">
        <v>528</v>
      </c>
      <c r="W1420" s="576" t="s">
        <v>499</v>
      </c>
      <c r="X1420" s="575" t="s">
        <v>1380</v>
      </c>
      <c r="Y1420" s="575" t="s">
        <v>1338</v>
      </c>
      <c r="Z1420" s="576" t="s">
        <v>2350</v>
      </c>
      <c r="AA1420" s="577">
        <v>700</v>
      </c>
      <c r="AB1420" s="575"/>
    </row>
    <row r="1421" spans="1:28" hidden="1">
      <c r="A1421" s="566" t="s">
        <v>1335</v>
      </c>
      <c r="B1421" s="566" t="s">
        <v>466</v>
      </c>
      <c r="C1421" s="566" t="s">
        <v>487</v>
      </c>
      <c r="D1421" s="566" t="s">
        <v>472</v>
      </c>
      <c r="E1421" s="566" t="s">
        <v>473</v>
      </c>
      <c r="F1421" s="566" t="s">
        <v>489</v>
      </c>
      <c r="G1421" s="567">
        <v>50</v>
      </c>
      <c r="H1421" s="566" t="s">
        <v>690</v>
      </c>
      <c r="I1421" s="568">
        <v>2</v>
      </c>
      <c r="J1421" s="569">
        <v>7</v>
      </c>
      <c r="K1421" s="569">
        <v>7</v>
      </c>
      <c r="L1421" s="566"/>
      <c r="M1421" s="566" t="s">
        <v>476</v>
      </c>
      <c r="N1421" s="570">
        <v>772</v>
      </c>
      <c r="O1421" s="566"/>
      <c r="P1421" s="566" t="s">
        <v>477</v>
      </c>
      <c r="Q1421" s="568">
        <v>909678</v>
      </c>
      <c r="R1421" s="568">
        <v>20</v>
      </c>
      <c r="S1421" s="566" t="s">
        <v>1414</v>
      </c>
      <c r="T1421" s="575" t="s">
        <v>1442</v>
      </c>
      <c r="U1421" s="575" t="s">
        <v>670</v>
      </c>
      <c r="V1421" s="575" t="s">
        <v>528</v>
      </c>
      <c r="W1421" s="576" t="s">
        <v>504</v>
      </c>
      <c r="X1421" s="575" t="s">
        <v>1380</v>
      </c>
      <c r="Y1421" s="575" t="s">
        <v>1338</v>
      </c>
      <c r="Z1421" s="576" t="s">
        <v>2351</v>
      </c>
      <c r="AA1421" s="577">
        <v>772</v>
      </c>
      <c r="AB1421" s="575"/>
    </row>
    <row r="1422" spans="1:28" hidden="1">
      <c r="A1422" s="566" t="s">
        <v>1335</v>
      </c>
      <c r="B1422" s="566" t="s">
        <v>466</v>
      </c>
      <c r="C1422" s="566" t="s">
        <v>471</v>
      </c>
      <c r="D1422" s="566" t="s">
        <v>472</v>
      </c>
      <c r="E1422" s="566" t="s">
        <v>473</v>
      </c>
      <c r="F1422" s="566" t="s">
        <v>474</v>
      </c>
      <c r="G1422" s="567">
        <v>0</v>
      </c>
      <c r="H1422" s="566" t="s">
        <v>677</v>
      </c>
      <c r="I1422" s="568">
        <v>2</v>
      </c>
      <c r="J1422" s="569">
        <v>56</v>
      </c>
      <c r="K1422" s="569">
        <v>56</v>
      </c>
      <c r="L1422" s="566"/>
      <c r="M1422" s="566" t="s">
        <v>476</v>
      </c>
      <c r="N1422" s="570">
        <v>1025</v>
      </c>
      <c r="O1422" s="566"/>
      <c r="P1422" s="566" t="s">
        <v>477</v>
      </c>
      <c r="Q1422" s="568">
        <v>909678</v>
      </c>
      <c r="R1422" s="568">
        <v>25</v>
      </c>
      <c r="S1422" s="566" t="s">
        <v>1336</v>
      </c>
      <c r="T1422" s="582" t="s">
        <v>253</v>
      </c>
      <c r="U1422" s="582" t="s">
        <v>670</v>
      </c>
      <c r="V1422" s="582" t="s">
        <v>528</v>
      </c>
      <c r="W1422" s="583" t="s">
        <v>1274</v>
      </c>
      <c r="X1422" s="582" t="s">
        <v>1337</v>
      </c>
      <c r="Y1422" s="582" t="s">
        <v>1338</v>
      </c>
      <c r="Z1422" s="584" t="s">
        <v>2352</v>
      </c>
      <c r="AA1422" s="585">
        <v>1025</v>
      </c>
      <c r="AB1422" s="582"/>
    </row>
    <row r="1423" spans="1:28" hidden="1">
      <c r="A1423" s="566" t="s">
        <v>1335</v>
      </c>
      <c r="B1423" s="566" t="s">
        <v>466</v>
      </c>
      <c r="C1423" s="566" t="s">
        <v>471</v>
      </c>
      <c r="D1423" s="566" t="s">
        <v>472</v>
      </c>
      <c r="E1423" s="566" t="s">
        <v>473</v>
      </c>
      <c r="F1423" s="566" t="s">
        <v>474</v>
      </c>
      <c r="G1423" s="567">
        <v>0</v>
      </c>
      <c r="H1423" s="566" t="s">
        <v>680</v>
      </c>
      <c r="I1423" s="568">
        <v>2</v>
      </c>
      <c r="J1423" s="569">
        <v>56</v>
      </c>
      <c r="K1423" s="569">
        <v>56</v>
      </c>
      <c r="L1423" s="566"/>
      <c r="M1423" s="566" t="s">
        <v>476</v>
      </c>
      <c r="N1423" s="570">
        <v>1061</v>
      </c>
      <c r="O1423" s="566"/>
      <c r="P1423" s="566" t="s">
        <v>477</v>
      </c>
      <c r="Q1423" s="568">
        <v>909678</v>
      </c>
      <c r="R1423" s="568">
        <v>26</v>
      </c>
      <c r="S1423" s="566" t="s">
        <v>1340</v>
      </c>
      <c r="T1423" s="582" t="s">
        <v>253</v>
      </c>
      <c r="U1423" s="582" t="s">
        <v>670</v>
      </c>
      <c r="V1423" s="582" t="s">
        <v>528</v>
      </c>
      <c r="W1423" s="583" t="s">
        <v>1275</v>
      </c>
      <c r="X1423" s="582" t="s">
        <v>1337</v>
      </c>
      <c r="Y1423" s="582" t="s">
        <v>1338</v>
      </c>
      <c r="Z1423" s="584" t="s">
        <v>2353</v>
      </c>
      <c r="AA1423" s="585">
        <v>1061</v>
      </c>
      <c r="AB1423" s="582"/>
    </row>
    <row r="1424" spans="1:28" hidden="1">
      <c r="A1424" s="566" t="s">
        <v>1335</v>
      </c>
      <c r="B1424" s="566" t="s">
        <v>466</v>
      </c>
      <c r="C1424" s="566" t="s">
        <v>487</v>
      </c>
      <c r="D1424" s="566" t="s">
        <v>472</v>
      </c>
      <c r="E1424" s="566" t="s">
        <v>473</v>
      </c>
      <c r="F1424" s="566" t="s">
        <v>489</v>
      </c>
      <c r="G1424" s="567">
        <v>50</v>
      </c>
      <c r="H1424" s="566" t="s">
        <v>682</v>
      </c>
      <c r="I1424" s="568">
        <v>2</v>
      </c>
      <c r="J1424" s="569">
        <v>56</v>
      </c>
      <c r="K1424" s="569">
        <v>56</v>
      </c>
      <c r="L1424" s="566"/>
      <c r="M1424" s="566" t="s">
        <v>476</v>
      </c>
      <c r="N1424" s="570">
        <v>1097</v>
      </c>
      <c r="O1424" s="566"/>
      <c r="P1424" s="566" t="s">
        <v>477</v>
      </c>
      <c r="Q1424" s="568">
        <v>909678</v>
      </c>
      <c r="R1424" s="568">
        <v>28</v>
      </c>
      <c r="S1424" s="566" t="s">
        <v>1342</v>
      </c>
      <c r="T1424" s="582" t="s">
        <v>253</v>
      </c>
      <c r="U1424" s="582" t="s">
        <v>670</v>
      </c>
      <c r="V1424" s="582" t="s">
        <v>528</v>
      </c>
      <c r="W1424" s="583" t="s">
        <v>485</v>
      </c>
      <c r="X1424" s="582" t="s">
        <v>1337</v>
      </c>
      <c r="Y1424" s="582" t="s">
        <v>1338</v>
      </c>
      <c r="Z1424" s="584" t="s">
        <v>2354</v>
      </c>
      <c r="AA1424" s="585">
        <v>1097</v>
      </c>
      <c r="AB1424" s="582"/>
    </row>
    <row r="1425" spans="1:28" hidden="1">
      <c r="A1425" s="566" t="s">
        <v>1335</v>
      </c>
      <c r="B1425" s="566" t="s">
        <v>466</v>
      </c>
      <c r="C1425" s="566" t="s">
        <v>487</v>
      </c>
      <c r="D1425" s="566" t="s">
        <v>472</v>
      </c>
      <c r="E1425" s="566" t="s">
        <v>473</v>
      </c>
      <c r="F1425" s="566" t="s">
        <v>489</v>
      </c>
      <c r="G1425" s="567">
        <v>50</v>
      </c>
      <c r="H1425" s="566" t="s">
        <v>684</v>
      </c>
      <c r="I1425" s="568">
        <v>2</v>
      </c>
      <c r="J1425" s="569">
        <v>56</v>
      </c>
      <c r="K1425" s="569">
        <v>56</v>
      </c>
      <c r="L1425" s="566"/>
      <c r="M1425" s="566" t="s">
        <v>476</v>
      </c>
      <c r="N1425" s="570">
        <v>1133</v>
      </c>
      <c r="O1425" s="566"/>
      <c r="P1425" s="566" t="s">
        <v>477</v>
      </c>
      <c r="Q1425" s="568">
        <v>909678</v>
      </c>
      <c r="R1425" s="568">
        <v>29</v>
      </c>
      <c r="S1425" s="566" t="s">
        <v>1344</v>
      </c>
      <c r="T1425" s="582" t="s">
        <v>253</v>
      </c>
      <c r="U1425" s="582" t="s">
        <v>670</v>
      </c>
      <c r="V1425" s="582" t="s">
        <v>528</v>
      </c>
      <c r="W1425" s="583" t="s">
        <v>491</v>
      </c>
      <c r="X1425" s="582" t="s">
        <v>1337</v>
      </c>
      <c r="Y1425" s="582" t="s">
        <v>1338</v>
      </c>
      <c r="Z1425" s="584" t="s">
        <v>2355</v>
      </c>
      <c r="AA1425" s="585">
        <v>1133</v>
      </c>
      <c r="AB1425" s="582"/>
    </row>
    <row r="1426" spans="1:28" hidden="1">
      <c r="A1426" s="566" t="s">
        <v>1335</v>
      </c>
      <c r="B1426" s="566" t="s">
        <v>466</v>
      </c>
      <c r="C1426" s="566" t="s">
        <v>487</v>
      </c>
      <c r="D1426" s="566" t="s">
        <v>472</v>
      </c>
      <c r="E1426" s="566" t="s">
        <v>473</v>
      </c>
      <c r="F1426" s="566" t="s">
        <v>489</v>
      </c>
      <c r="G1426" s="567">
        <v>50</v>
      </c>
      <c r="H1426" s="566" t="s">
        <v>686</v>
      </c>
      <c r="I1426" s="568">
        <v>2</v>
      </c>
      <c r="J1426" s="569">
        <v>56</v>
      </c>
      <c r="K1426" s="569">
        <v>56</v>
      </c>
      <c r="L1426" s="566"/>
      <c r="M1426" s="566" t="s">
        <v>476</v>
      </c>
      <c r="N1426" s="570">
        <v>1169</v>
      </c>
      <c r="O1426" s="566"/>
      <c r="P1426" s="566" t="s">
        <v>477</v>
      </c>
      <c r="Q1426" s="568">
        <v>909678</v>
      </c>
      <c r="R1426" s="568">
        <v>30</v>
      </c>
      <c r="S1426" s="566" t="s">
        <v>1346</v>
      </c>
      <c r="T1426" s="582" t="s">
        <v>253</v>
      </c>
      <c r="U1426" s="582" t="s">
        <v>670</v>
      </c>
      <c r="V1426" s="582" t="s">
        <v>528</v>
      </c>
      <c r="W1426" s="583" t="s">
        <v>495</v>
      </c>
      <c r="X1426" s="582" t="s">
        <v>1337</v>
      </c>
      <c r="Y1426" s="582" t="s">
        <v>1338</v>
      </c>
      <c r="Z1426" s="584" t="s">
        <v>2356</v>
      </c>
      <c r="AA1426" s="585">
        <v>1169</v>
      </c>
      <c r="AB1426" s="582"/>
    </row>
    <row r="1427" spans="1:28" hidden="1">
      <c r="A1427" s="566" t="s">
        <v>1335</v>
      </c>
      <c r="B1427" s="566" t="s">
        <v>466</v>
      </c>
      <c r="C1427" s="566" t="s">
        <v>487</v>
      </c>
      <c r="D1427" s="566" t="s">
        <v>472</v>
      </c>
      <c r="E1427" s="566" t="s">
        <v>473</v>
      </c>
      <c r="F1427" s="566" t="s">
        <v>489</v>
      </c>
      <c r="G1427" s="567">
        <v>50</v>
      </c>
      <c r="H1427" s="566" t="s">
        <v>689</v>
      </c>
      <c r="I1427" s="568">
        <v>2</v>
      </c>
      <c r="J1427" s="569">
        <v>56</v>
      </c>
      <c r="K1427" s="569">
        <v>56</v>
      </c>
      <c r="L1427" s="566"/>
      <c r="M1427" s="566" t="s">
        <v>476</v>
      </c>
      <c r="N1427" s="570">
        <v>1205</v>
      </c>
      <c r="O1427" s="566"/>
      <c r="P1427" s="566" t="s">
        <v>477</v>
      </c>
      <c r="Q1427" s="568">
        <v>909678</v>
      </c>
      <c r="R1427" s="568">
        <v>31</v>
      </c>
      <c r="S1427" s="566" t="s">
        <v>1348</v>
      </c>
      <c r="T1427" s="582" t="s">
        <v>253</v>
      </c>
      <c r="U1427" s="582" t="s">
        <v>670</v>
      </c>
      <c r="V1427" s="582" t="s">
        <v>528</v>
      </c>
      <c r="W1427" s="583" t="s">
        <v>1276</v>
      </c>
      <c r="X1427" s="582" t="s">
        <v>1337</v>
      </c>
      <c r="Y1427" s="582" t="s">
        <v>1338</v>
      </c>
      <c r="Z1427" s="584" t="s">
        <v>2357</v>
      </c>
      <c r="AA1427" s="585">
        <v>1205</v>
      </c>
      <c r="AB1427" s="582"/>
    </row>
    <row r="1428" spans="1:28" hidden="1">
      <c r="A1428" s="566" t="s">
        <v>1335</v>
      </c>
      <c r="B1428" s="566" t="s">
        <v>466</v>
      </c>
      <c r="C1428" s="566" t="s">
        <v>487</v>
      </c>
      <c r="D1428" s="566" t="s">
        <v>472</v>
      </c>
      <c r="E1428" s="566" t="s">
        <v>473</v>
      </c>
      <c r="F1428" s="566" t="s">
        <v>489</v>
      </c>
      <c r="G1428" s="567">
        <v>50</v>
      </c>
      <c r="H1428" s="566" t="s">
        <v>692</v>
      </c>
      <c r="I1428" s="568">
        <v>2</v>
      </c>
      <c r="J1428" s="569">
        <v>56</v>
      </c>
      <c r="K1428" s="569">
        <v>56</v>
      </c>
      <c r="L1428" s="566"/>
      <c r="M1428" s="566" t="s">
        <v>476</v>
      </c>
      <c r="N1428" s="570">
        <v>1241</v>
      </c>
      <c r="O1428" s="566"/>
      <c r="P1428" s="566" t="s">
        <v>477</v>
      </c>
      <c r="Q1428" s="568">
        <v>909678</v>
      </c>
      <c r="R1428" s="568">
        <v>32</v>
      </c>
      <c r="S1428" s="566" t="s">
        <v>1350</v>
      </c>
      <c r="T1428" s="582" t="s">
        <v>253</v>
      </c>
      <c r="U1428" s="582" t="s">
        <v>670</v>
      </c>
      <c r="V1428" s="582" t="s">
        <v>528</v>
      </c>
      <c r="W1428" s="583" t="s">
        <v>1277</v>
      </c>
      <c r="X1428" s="582" t="s">
        <v>1337</v>
      </c>
      <c r="Y1428" s="582" t="s">
        <v>1338</v>
      </c>
      <c r="Z1428" s="584" t="s">
        <v>2358</v>
      </c>
      <c r="AA1428" s="585">
        <v>1241</v>
      </c>
      <c r="AB1428" s="582"/>
    </row>
    <row r="1429" spans="1:28" hidden="1">
      <c r="A1429" s="566" t="s">
        <v>1335</v>
      </c>
      <c r="B1429" s="566" t="s">
        <v>466</v>
      </c>
      <c r="C1429" s="566" t="s">
        <v>471</v>
      </c>
      <c r="D1429" s="566" t="s">
        <v>472</v>
      </c>
      <c r="E1429" s="566" t="s">
        <v>473</v>
      </c>
      <c r="F1429" s="566" t="s">
        <v>474</v>
      </c>
      <c r="G1429" s="567">
        <v>0</v>
      </c>
      <c r="H1429" s="566" t="s">
        <v>2117</v>
      </c>
      <c r="I1429" s="568">
        <v>2</v>
      </c>
      <c r="J1429" s="569">
        <v>56</v>
      </c>
      <c r="K1429" s="569">
        <v>56</v>
      </c>
      <c r="L1429" s="566"/>
      <c r="M1429" s="566" t="s">
        <v>476</v>
      </c>
      <c r="N1429" s="570">
        <v>1277</v>
      </c>
      <c r="O1429" s="566"/>
      <c r="P1429" s="566" t="s">
        <v>477</v>
      </c>
      <c r="Q1429" s="568">
        <v>909678</v>
      </c>
      <c r="R1429" s="568">
        <v>27</v>
      </c>
      <c r="S1429" s="566" t="s">
        <v>1353</v>
      </c>
      <c r="T1429" s="582" t="s">
        <v>253</v>
      </c>
      <c r="U1429" s="582" t="s">
        <v>670</v>
      </c>
      <c r="V1429" s="582" t="s">
        <v>528</v>
      </c>
      <c r="W1429" s="583" t="s">
        <v>1354</v>
      </c>
      <c r="X1429" s="582" t="s">
        <v>1337</v>
      </c>
      <c r="Y1429" s="582" t="s">
        <v>1338</v>
      </c>
      <c r="Z1429" s="584" t="s">
        <v>2359</v>
      </c>
      <c r="AA1429" s="585">
        <v>1277</v>
      </c>
      <c r="AB1429" s="582"/>
    </row>
    <row r="1430" spans="1:28" hidden="1">
      <c r="A1430" s="566" t="s">
        <v>1335</v>
      </c>
      <c r="B1430" s="566" t="s">
        <v>466</v>
      </c>
      <c r="C1430" s="566" t="s">
        <v>487</v>
      </c>
      <c r="D1430" s="566" t="s">
        <v>472</v>
      </c>
      <c r="E1430" s="566" t="s">
        <v>473</v>
      </c>
      <c r="F1430" s="566" t="s">
        <v>489</v>
      </c>
      <c r="G1430" s="567">
        <v>50</v>
      </c>
      <c r="H1430" s="566" t="s">
        <v>2119</v>
      </c>
      <c r="I1430" s="568">
        <v>2</v>
      </c>
      <c r="J1430" s="569">
        <v>56</v>
      </c>
      <c r="K1430" s="569">
        <v>56</v>
      </c>
      <c r="L1430" s="566"/>
      <c r="M1430" s="566" t="s">
        <v>476</v>
      </c>
      <c r="N1430" s="570">
        <v>1313</v>
      </c>
      <c r="O1430" s="566"/>
      <c r="P1430" s="566" t="s">
        <v>477</v>
      </c>
      <c r="Q1430" s="568">
        <v>909678</v>
      </c>
      <c r="R1430" s="568">
        <v>33</v>
      </c>
      <c r="S1430" s="566" t="s">
        <v>1357</v>
      </c>
      <c r="T1430" s="582" t="s">
        <v>253</v>
      </c>
      <c r="U1430" s="582" t="s">
        <v>670</v>
      </c>
      <c r="V1430" s="582" t="s">
        <v>528</v>
      </c>
      <c r="W1430" s="583" t="s">
        <v>1358</v>
      </c>
      <c r="X1430" s="582" t="s">
        <v>1337</v>
      </c>
      <c r="Y1430" s="582" t="s">
        <v>1338</v>
      </c>
      <c r="Z1430" s="584" t="s">
        <v>2360</v>
      </c>
      <c r="AA1430" s="585">
        <v>1313</v>
      </c>
      <c r="AB1430" s="582"/>
    </row>
    <row r="1431" spans="1:28" hidden="1">
      <c r="A1431" s="566" t="s">
        <v>1335</v>
      </c>
      <c r="B1431" s="566" t="s">
        <v>466</v>
      </c>
      <c r="C1431" s="566" t="s">
        <v>471</v>
      </c>
      <c r="D1431" s="566" t="s">
        <v>472</v>
      </c>
      <c r="E1431" s="566" t="s">
        <v>473</v>
      </c>
      <c r="F1431" s="566" t="s">
        <v>474</v>
      </c>
      <c r="G1431" s="567">
        <v>0</v>
      </c>
      <c r="H1431" s="566" t="s">
        <v>704</v>
      </c>
      <c r="I1431" s="568">
        <v>2</v>
      </c>
      <c r="J1431" s="569">
        <v>56</v>
      </c>
      <c r="K1431" s="569">
        <v>56</v>
      </c>
      <c r="L1431" s="566"/>
      <c r="M1431" s="566" t="s">
        <v>476</v>
      </c>
      <c r="N1431" s="570">
        <v>917</v>
      </c>
      <c r="O1431" s="566"/>
      <c r="P1431" s="566" t="s">
        <v>477</v>
      </c>
      <c r="Q1431" s="568">
        <v>909678</v>
      </c>
      <c r="R1431" s="568">
        <v>22</v>
      </c>
      <c r="S1431" s="566" t="s">
        <v>1360</v>
      </c>
      <c r="T1431" s="582" t="s">
        <v>253</v>
      </c>
      <c r="U1431" s="582" t="s">
        <v>670</v>
      </c>
      <c r="V1431" s="582" t="s">
        <v>528</v>
      </c>
      <c r="W1431" s="583" t="s">
        <v>509</v>
      </c>
      <c r="X1431" s="582" t="s">
        <v>1337</v>
      </c>
      <c r="Y1431" s="582" t="s">
        <v>1338</v>
      </c>
      <c r="Z1431" s="584" t="s">
        <v>2361</v>
      </c>
      <c r="AA1431" s="585">
        <v>917</v>
      </c>
      <c r="AB1431" s="582"/>
    </row>
    <row r="1432" spans="1:28" hidden="1">
      <c r="A1432" s="566" t="s">
        <v>1335</v>
      </c>
      <c r="B1432" s="566" t="s">
        <v>466</v>
      </c>
      <c r="C1432" s="566" t="s">
        <v>471</v>
      </c>
      <c r="D1432" s="566" t="s">
        <v>472</v>
      </c>
      <c r="E1432" s="566" t="s">
        <v>473</v>
      </c>
      <c r="F1432" s="566" t="s">
        <v>474</v>
      </c>
      <c r="G1432" s="567">
        <v>0</v>
      </c>
      <c r="H1432" s="566" t="s">
        <v>706</v>
      </c>
      <c r="I1432" s="568">
        <v>2</v>
      </c>
      <c r="J1432" s="569">
        <v>56</v>
      </c>
      <c r="K1432" s="569">
        <v>56</v>
      </c>
      <c r="L1432" s="566"/>
      <c r="M1432" s="566" t="s">
        <v>476</v>
      </c>
      <c r="N1432" s="570">
        <v>953</v>
      </c>
      <c r="O1432" s="566"/>
      <c r="P1432" s="566" t="s">
        <v>477</v>
      </c>
      <c r="Q1432" s="568">
        <v>909678</v>
      </c>
      <c r="R1432" s="568">
        <v>23</v>
      </c>
      <c r="S1432" s="566" t="s">
        <v>1362</v>
      </c>
      <c r="T1432" s="582" t="s">
        <v>253</v>
      </c>
      <c r="U1432" s="582" t="s">
        <v>670</v>
      </c>
      <c r="V1432" s="582" t="s">
        <v>528</v>
      </c>
      <c r="W1432" s="583" t="s">
        <v>512</v>
      </c>
      <c r="X1432" s="582" t="s">
        <v>1337</v>
      </c>
      <c r="Y1432" s="582" t="s">
        <v>1338</v>
      </c>
      <c r="Z1432" s="584" t="s">
        <v>2362</v>
      </c>
      <c r="AA1432" s="585">
        <v>953</v>
      </c>
      <c r="AB1432" s="582"/>
    </row>
    <row r="1433" spans="1:28" hidden="1">
      <c r="A1433" s="566" t="s">
        <v>1335</v>
      </c>
      <c r="B1433" s="566" t="s">
        <v>466</v>
      </c>
      <c r="C1433" s="566" t="s">
        <v>471</v>
      </c>
      <c r="D1433" s="566" t="s">
        <v>472</v>
      </c>
      <c r="E1433" s="566" t="s">
        <v>473</v>
      </c>
      <c r="F1433" s="566" t="s">
        <v>474</v>
      </c>
      <c r="G1433" s="567">
        <v>0</v>
      </c>
      <c r="H1433" s="566" t="s">
        <v>708</v>
      </c>
      <c r="I1433" s="568">
        <v>2</v>
      </c>
      <c r="J1433" s="569">
        <v>56</v>
      </c>
      <c r="K1433" s="569">
        <v>56</v>
      </c>
      <c r="L1433" s="566"/>
      <c r="M1433" s="566" t="s">
        <v>476</v>
      </c>
      <c r="N1433" s="570">
        <v>989</v>
      </c>
      <c r="O1433" s="566"/>
      <c r="P1433" s="566" t="s">
        <v>477</v>
      </c>
      <c r="Q1433" s="568">
        <v>909678</v>
      </c>
      <c r="R1433" s="568">
        <v>24</v>
      </c>
      <c r="S1433" s="566" t="s">
        <v>1364</v>
      </c>
      <c r="T1433" s="582" t="s">
        <v>253</v>
      </c>
      <c r="U1433" s="582" t="s">
        <v>670</v>
      </c>
      <c r="V1433" s="582" t="s">
        <v>528</v>
      </c>
      <c r="W1433" s="583" t="s">
        <v>514</v>
      </c>
      <c r="X1433" s="582" t="s">
        <v>1337</v>
      </c>
      <c r="Y1433" s="582" t="s">
        <v>1338</v>
      </c>
      <c r="Z1433" s="584" t="s">
        <v>2363</v>
      </c>
      <c r="AA1433" s="585">
        <v>989</v>
      </c>
      <c r="AB1433" s="582"/>
    </row>
    <row r="1434" spans="1:28" hidden="1">
      <c r="A1434" s="566" t="s">
        <v>1335</v>
      </c>
      <c r="B1434" s="566" t="s">
        <v>466</v>
      </c>
      <c r="C1434" s="566" t="s">
        <v>471</v>
      </c>
      <c r="D1434" s="566" t="s">
        <v>472</v>
      </c>
      <c r="E1434" s="566" t="s">
        <v>473</v>
      </c>
      <c r="F1434" s="566" t="s">
        <v>474</v>
      </c>
      <c r="G1434" s="567">
        <v>0</v>
      </c>
      <c r="H1434" s="566" t="s">
        <v>677</v>
      </c>
      <c r="I1434" s="568">
        <v>2</v>
      </c>
      <c r="J1434" s="569">
        <v>80</v>
      </c>
      <c r="K1434" s="569">
        <v>80</v>
      </c>
      <c r="L1434" s="566"/>
      <c r="M1434" s="566" t="s">
        <v>476</v>
      </c>
      <c r="N1434" s="570">
        <v>1565</v>
      </c>
      <c r="O1434" s="566"/>
      <c r="P1434" s="566" t="s">
        <v>477</v>
      </c>
      <c r="Q1434" s="568">
        <v>909678</v>
      </c>
      <c r="R1434" s="568">
        <v>40</v>
      </c>
      <c r="S1434" s="566" t="s">
        <v>1366</v>
      </c>
      <c r="T1434" s="582" t="s">
        <v>253</v>
      </c>
      <c r="U1434" s="582" t="s">
        <v>670</v>
      </c>
      <c r="V1434" s="582" t="s">
        <v>528</v>
      </c>
      <c r="W1434" s="583" t="s">
        <v>1274</v>
      </c>
      <c r="X1434" s="582" t="s">
        <v>1337</v>
      </c>
      <c r="Y1434" s="582" t="s">
        <v>1367</v>
      </c>
      <c r="Z1434" s="584" t="s">
        <v>2364</v>
      </c>
      <c r="AA1434" s="585">
        <v>1565</v>
      </c>
      <c r="AB1434" s="582"/>
    </row>
    <row r="1435" spans="1:28" hidden="1">
      <c r="A1435" s="566" t="s">
        <v>1335</v>
      </c>
      <c r="B1435" s="566" t="s">
        <v>466</v>
      </c>
      <c r="C1435" s="566" t="s">
        <v>471</v>
      </c>
      <c r="D1435" s="566" t="s">
        <v>472</v>
      </c>
      <c r="E1435" s="566" t="s">
        <v>473</v>
      </c>
      <c r="F1435" s="566" t="s">
        <v>474</v>
      </c>
      <c r="G1435" s="567">
        <v>0</v>
      </c>
      <c r="H1435" s="566" t="s">
        <v>680</v>
      </c>
      <c r="I1435" s="568">
        <v>2</v>
      </c>
      <c r="J1435" s="569">
        <v>80</v>
      </c>
      <c r="K1435" s="569">
        <v>80</v>
      </c>
      <c r="L1435" s="566"/>
      <c r="M1435" s="566" t="s">
        <v>476</v>
      </c>
      <c r="N1435" s="570">
        <v>1601</v>
      </c>
      <c r="O1435" s="566"/>
      <c r="P1435" s="566" t="s">
        <v>477</v>
      </c>
      <c r="Q1435" s="568">
        <v>909678</v>
      </c>
      <c r="R1435" s="568">
        <v>41</v>
      </c>
      <c r="S1435" s="566" t="s">
        <v>1369</v>
      </c>
      <c r="T1435" s="582" t="s">
        <v>253</v>
      </c>
      <c r="U1435" s="582" t="s">
        <v>670</v>
      </c>
      <c r="V1435" s="582" t="s">
        <v>528</v>
      </c>
      <c r="W1435" s="583" t="s">
        <v>1275</v>
      </c>
      <c r="X1435" s="582" t="s">
        <v>1337</v>
      </c>
      <c r="Y1435" s="582" t="s">
        <v>1367</v>
      </c>
      <c r="Z1435" s="584" t="s">
        <v>2365</v>
      </c>
      <c r="AA1435" s="585">
        <v>1601</v>
      </c>
      <c r="AB1435" s="582"/>
    </row>
    <row r="1436" spans="1:28" hidden="1">
      <c r="A1436" s="566" t="s">
        <v>1335</v>
      </c>
      <c r="B1436" s="566" t="s">
        <v>466</v>
      </c>
      <c r="C1436" s="566" t="s">
        <v>487</v>
      </c>
      <c r="D1436" s="566" t="s">
        <v>472</v>
      </c>
      <c r="E1436" s="566" t="s">
        <v>473</v>
      </c>
      <c r="F1436" s="566" t="s">
        <v>489</v>
      </c>
      <c r="G1436" s="567">
        <v>50</v>
      </c>
      <c r="H1436" s="566" t="s">
        <v>689</v>
      </c>
      <c r="I1436" s="568">
        <v>2</v>
      </c>
      <c r="J1436" s="569">
        <v>80</v>
      </c>
      <c r="K1436" s="569">
        <v>80</v>
      </c>
      <c r="L1436" s="566"/>
      <c r="M1436" s="566" t="s">
        <v>476</v>
      </c>
      <c r="N1436" s="570">
        <v>1637</v>
      </c>
      <c r="O1436" s="566"/>
      <c r="P1436" s="566" t="s">
        <v>477</v>
      </c>
      <c r="Q1436" s="568">
        <v>909678</v>
      </c>
      <c r="R1436" s="568">
        <v>43</v>
      </c>
      <c r="S1436" s="566" t="s">
        <v>1371</v>
      </c>
      <c r="T1436" s="582" t="s">
        <v>253</v>
      </c>
      <c r="U1436" s="582" t="s">
        <v>670</v>
      </c>
      <c r="V1436" s="582" t="s">
        <v>528</v>
      </c>
      <c r="W1436" s="583" t="s">
        <v>1276</v>
      </c>
      <c r="X1436" s="582" t="s">
        <v>1337</v>
      </c>
      <c r="Y1436" s="582" t="s">
        <v>1367</v>
      </c>
      <c r="Z1436" s="584" t="s">
        <v>2366</v>
      </c>
      <c r="AA1436" s="585">
        <v>1637</v>
      </c>
      <c r="AB1436" s="582"/>
    </row>
    <row r="1437" spans="1:28" hidden="1">
      <c r="A1437" s="566" t="s">
        <v>1335</v>
      </c>
      <c r="B1437" s="566" t="s">
        <v>466</v>
      </c>
      <c r="C1437" s="566" t="s">
        <v>487</v>
      </c>
      <c r="D1437" s="566" t="s">
        <v>472</v>
      </c>
      <c r="E1437" s="566" t="s">
        <v>473</v>
      </c>
      <c r="F1437" s="566" t="s">
        <v>489</v>
      </c>
      <c r="G1437" s="567">
        <v>50</v>
      </c>
      <c r="H1437" s="566" t="s">
        <v>692</v>
      </c>
      <c r="I1437" s="568">
        <v>2</v>
      </c>
      <c r="J1437" s="569">
        <v>80</v>
      </c>
      <c r="K1437" s="569">
        <v>80</v>
      </c>
      <c r="L1437" s="566"/>
      <c r="M1437" s="566" t="s">
        <v>476</v>
      </c>
      <c r="N1437" s="570">
        <v>1673</v>
      </c>
      <c r="O1437" s="566"/>
      <c r="P1437" s="566" t="s">
        <v>477</v>
      </c>
      <c r="Q1437" s="568">
        <v>909678</v>
      </c>
      <c r="R1437" s="568">
        <v>44</v>
      </c>
      <c r="S1437" s="566" t="s">
        <v>1373</v>
      </c>
      <c r="T1437" s="582" t="s">
        <v>253</v>
      </c>
      <c r="U1437" s="582" t="s">
        <v>670</v>
      </c>
      <c r="V1437" s="582" t="s">
        <v>528</v>
      </c>
      <c r="W1437" s="583" t="s">
        <v>1277</v>
      </c>
      <c r="X1437" s="582" t="s">
        <v>1337</v>
      </c>
      <c r="Y1437" s="582" t="s">
        <v>1367</v>
      </c>
      <c r="Z1437" s="584" t="s">
        <v>2367</v>
      </c>
      <c r="AA1437" s="585">
        <v>1673</v>
      </c>
      <c r="AB1437" s="582"/>
    </row>
    <row r="1438" spans="1:28" hidden="1">
      <c r="A1438" s="566" t="s">
        <v>1335</v>
      </c>
      <c r="B1438" s="566" t="s">
        <v>466</v>
      </c>
      <c r="C1438" s="566" t="s">
        <v>471</v>
      </c>
      <c r="D1438" s="566" t="s">
        <v>472</v>
      </c>
      <c r="E1438" s="566" t="s">
        <v>473</v>
      </c>
      <c r="F1438" s="566" t="s">
        <v>474</v>
      </c>
      <c r="G1438" s="567">
        <v>0</v>
      </c>
      <c r="H1438" s="566" t="s">
        <v>2117</v>
      </c>
      <c r="I1438" s="568">
        <v>2</v>
      </c>
      <c r="J1438" s="569">
        <v>80</v>
      </c>
      <c r="K1438" s="569">
        <v>80</v>
      </c>
      <c r="L1438" s="566"/>
      <c r="M1438" s="566" t="s">
        <v>476</v>
      </c>
      <c r="N1438" s="570">
        <v>1709</v>
      </c>
      <c r="O1438" s="566"/>
      <c r="P1438" s="566" t="s">
        <v>477</v>
      </c>
      <c r="Q1438" s="568">
        <v>909678</v>
      </c>
      <c r="R1438" s="568">
        <v>42</v>
      </c>
      <c r="S1438" s="566" t="s">
        <v>1375</v>
      </c>
      <c r="T1438" s="582" t="s">
        <v>253</v>
      </c>
      <c r="U1438" s="582" t="s">
        <v>670</v>
      </c>
      <c r="V1438" s="582" t="s">
        <v>528</v>
      </c>
      <c r="W1438" s="583" t="s">
        <v>1354</v>
      </c>
      <c r="X1438" s="582" t="s">
        <v>1337</v>
      </c>
      <c r="Y1438" s="582" t="s">
        <v>1367</v>
      </c>
      <c r="Z1438" s="584" t="s">
        <v>2368</v>
      </c>
      <c r="AA1438" s="585">
        <v>1709</v>
      </c>
      <c r="AB1438" s="582"/>
    </row>
    <row r="1439" spans="1:28" hidden="1">
      <c r="A1439" s="566" t="s">
        <v>1335</v>
      </c>
      <c r="B1439" s="566" t="s">
        <v>466</v>
      </c>
      <c r="C1439" s="566" t="s">
        <v>487</v>
      </c>
      <c r="D1439" s="566" t="s">
        <v>472</v>
      </c>
      <c r="E1439" s="566" t="s">
        <v>473</v>
      </c>
      <c r="F1439" s="566" t="s">
        <v>489</v>
      </c>
      <c r="G1439" s="567">
        <v>50</v>
      </c>
      <c r="H1439" s="566" t="s">
        <v>2119</v>
      </c>
      <c r="I1439" s="568">
        <v>2</v>
      </c>
      <c r="J1439" s="569">
        <v>80</v>
      </c>
      <c r="K1439" s="569">
        <v>80</v>
      </c>
      <c r="L1439" s="566"/>
      <c r="M1439" s="566" t="s">
        <v>476</v>
      </c>
      <c r="N1439" s="570">
        <v>1745</v>
      </c>
      <c r="O1439" s="566"/>
      <c r="P1439" s="566" t="s">
        <v>477</v>
      </c>
      <c r="Q1439" s="568">
        <v>909678</v>
      </c>
      <c r="R1439" s="568">
        <v>45</v>
      </c>
      <c r="S1439" s="566" t="s">
        <v>1377</v>
      </c>
      <c r="T1439" s="582" t="s">
        <v>253</v>
      </c>
      <c r="U1439" s="582" t="s">
        <v>670</v>
      </c>
      <c r="V1439" s="582" t="s">
        <v>528</v>
      </c>
      <c r="W1439" s="583" t="s">
        <v>1358</v>
      </c>
      <c r="X1439" s="582" t="s">
        <v>1337</v>
      </c>
      <c r="Y1439" s="582" t="s">
        <v>1367</v>
      </c>
      <c r="Z1439" s="584" t="s">
        <v>2369</v>
      </c>
      <c r="AA1439" s="585">
        <v>1745</v>
      </c>
      <c r="AB1439" s="582"/>
    </row>
    <row r="1440" spans="1:28" hidden="1">
      <c r="A1440" s="566" t="s">
        <v>1335</v>
      </c>
      <c r="B1440" s="566" t="s">
        <v>466</v>
      </c>
      <c r="C1440" s="566" t="s">
        <v>553</v>
      </c>
      <c r="D1440" s="566" t="s">
        <v>472</v>
      </c>
      <c r="E1440" s="566" t="s">
        <v>473</v>
      </c>
      <c r="F1440" s="566" t="s">
        <v>554</v>
      </c>
      <c r="G1440" s="567">
        <v>13</v>
      </c>
      <c r="H1440" s="566" t="s">
        <v>1194</v>
      </c>
      <c r="I1440" s="568">
        <v>2</v>
      </c>
      <c r="J1440" s="569">
        <v>22</v>
      </c>
      <c r="K1440" s="569">
        <v>22</v>
      </c>
      <c r="L1440" s="569">
        <v>17</v>
      </c>
      <c r="M1440" s="566" t="s">
        <v>476</v>
      </c>
      <c r="N1440" s="570">
        <v>170</v>
      </c>
      <c r="O1440" s="566"/>
      <c r="P1440" s="566" t="s">
        <v>477</v>
      </c>
      <c r="Q1440" s="568">
        <v>909678</v>
      </c>
      <c r="R1440" s="568">
        <v>9</v>
      </c>
      <c r="S1440" s="566" t="s">
        <v>1379</v>
      </c>
      <c r="T1440" s="582" t="s">
        <v>257</v>
      </c>
      <c r="U1440" s="582" t="s">
        <v>670</v>
      </c>
      <c r="V1440" s="582" t="s">
        <v>528</v>
      </c>
      <c r="W1440" s="583" t="s">
        <v>551</v>
      </c>
      <c r="X1440" s="582" t="s">
        <v>1380</v>
      </c>
      <c r="Y1440" s="582" t="s">
        <v>1338</v>
      </c>
      <c r="Z1440" s="584" t="s">
        <v>1193</v>
      </c>
      <c r="AA1440" s="585">
        <v>170</v>
      </c>
      <c r="AB1440" s="582">
        <v>260069</v>
      </c>
    </row>
    <row r="1441" spans="1:28" hidden="1">
      <c r="A1441" s="566" t="s">
        <v>1335</v>
      </c>
      <c r="B1441" s="566" t="s">
        <v>466</v>
      </c>
      <c r="C1441" s="566" t="s">
        <v>553</v>
      </c>
      <c r="D1441" s="566" t="s">
        <v>472</v>
      </c>
      <c r="E1441" s="566" t="s">
        <v>473</v>
      </c>
      <c r="F1441" s="566" t="s">
        <v>554</v>
      </c>
      <c r="G1441" s="567">
        <v>16</v>
      </c>
      <c r="H1441" s="566" t="s">
        <v>1196</v>
      </c>
      <c r="I1441" s="568">
        <v>2</v>
      </c>
      <c r="J1441" s="569">
        <v>22</v>
      </c>
      <c r="K1441" s="569">
        <v>22</v>
      </c>
      <c r="L1441" s="569">
        <v>17</v>
      </c>
      <c r="M1441" s="566" t="s">
        <v>476</v>
      </c>
      <c r="N1441" s="570">
        <v>314</v>
      </c>
      <c r="O1441" s="566"/>
      <c r="P1441" s="566" t="s">
        <v>477</v>
      </c>
      <c r="Q1441" s="568">
        <v>909678</v>
      </c>
      <c r="R1441" s="568">
        <v>4</v>
      </c>
      <c r="S1441" s="566" t="s">
        <v>1381</v>
      </c>
      <c r="T1441" s="582" t="s">
        <v>257</v>
      </c>
      <c r="U1441" s="582" t="s">
        <v>670</v>
      </c>
      <c r="V1441" s="582" t="s">
        <v>528</v>
      </c>
      <c r="W1441" s="583" t="s">
        <v>556</v>
      </c>
      <c r="X1441" s="582" t="s">
        <v>1380</v>
      </c>
      <c r="Y1441" s="582" t="s">
        <v>1338</v>
      </c>
      <c r="Z1441" s="584" t="s">
        <v>1195</v>
      </c>
      <c r="AA1441" s="585">
        <v>314</v>
      </c>
      <c r="AB1441" s="582">
        <v>260213</v>
      </c>
    </row>
    <row r="1442" spans="1:28" hidden="1">
      <c r="A1442" s="566" t="s">
        <v>1335</v>
      </c>
      <c r="B1442" s="566" t="s">
        <v>466</v>
      </c>
      <c r="C1442" s="566" t="s">
        <v>471</v>
      </c>
      <c r="D1442" s="566" t="s">
        <v>472</v>
      </c>
      <c r="E1442" s="566" t="s">
        <v>473</v>
      </c>
      <c r="F1442" s="566" t="s">
        <v>474</v>
      </c>
      <c r="G1442" s="567">
        <v>0</v>
      </c>
      <c r="H1442" s="566" t="s">
        <v>677</v>
      </c>
      <c r="I1442" s="568">
        <v>2</v>
      </c>
      <c r="J1442" s="569">
        <v>8</v>
      </c>
      <c r="K1442" s="569">
        <v>8</v>
      </c>
      <c r="L1442" s="566"/>
      <c r="M1442" s="566" t="s">
        <v>476</v>
      </c>
      <c r="N1442" s="570">
        <v>485</v>
      </c>
      <c r="O1442" s="566"/>
      <c r="P1442" s="566" t="s">
        <v>477</v>
      </c>
      <c r="Q1442" s="568">
        <v>909678</v>
      </c>
      <c r="R1442" s="568">
        <v>10</v>
      </c>
      <c r="S1442" s="566" t="s">
        <v>1382</v>
      </c>
      <c r="T1442" s="582" t="s">
        <v>253</v>
      </c>
      <c r="U1442" s="582" t="s">
        <v>670</v>
      </c>
      <c r="V1442" s="582" t="s">
        <v>528</v>
      </c>
      <c r="W1442" s="583" t="s">
        <v>1274</v>
      </c>
      <c r="X1442" s="582" t="s">
        <v>1380</v>
      </c>
      <c r="Y1442" s="582" t="s">
        <v>1338</v>
      </c>
      <c r="Z1442" s="584" t="s">
        <v>1197</v>
      </c>
      <c r="AA1442" s="585">
        <v>485</v>
      </c>
      <c r="AB1442" s="582"/>
    </row>
    <row r="1443" spans="1:28" hidden="1">
      <c r="A1443" s="566" t="s">
        <v>1335</v>
      </c>
      <c r="B1443" s="566" t="s">
        <v>466</v>
      </c>
      <c r="C1443" s="566" t="s">
        <v>471</v>
      </c>
      <c r="D1443" s="566" t="s">
        <v>472</v>
      </c>
      <c r="E1443" s="566" t="s">
        <v>473</v>
      </c>
      <c r="F1443" s="566" t="s">
        <v>474</v>
      </c>
      <c r="G1443" s="567">
        <v>0</v>
      </c>
      <c r="H1443" s="566" t="s">
        <v>680</v>
      </c>
      <c r="I1443" s="568">
        <v>2</v>
      </c>
      <c r="J1443" s="569">
        <v>8</v>
      </c>
      <c r="K1443" s="569">
        <v>8</v>
      </c>
      <c r="L1443" s="566"/>
      <c r="M1443" s="566" t="s">
        <v>476</v>
      </c>
      <c r="N1443" s="570">
        <v>557</v>
      </c>
      <c r="O1443" s="566"/>
      <c r="P1443" s="566" t="s">
        <v>477</v>
      </c>
      <c r="Q1443" s="568">
        <v>909678</v>
      </c>
      <c r="R1443" s="568">
        <v>15</v>
      </c>
      <c r="S1443" s="566" t="s">
        <v>483</v>
      </c>
      <c r="T1443" s="582" t="s">
        <v>253</v>
      </c>
      <c r="U1443" s="582" t="s">
        <v>670</v>
      </c>
      <c r="V1443" s="582" t="s">
        <v>528</v>
      </c>
      <c r="W1443" s="583" t="s">
        <v>1275</v>
      </c>
      <c r="X1443" s="582" t="s">
        <v>1380</v>
      </c>
      <c r="Y1443" s="582" t="s">
        <v>1338</v>
      </c>
      <c r="Z1443" s="584" t="s">
        <v>1198</v>
      </c>
      <c r="AA1443" s="585">
        <v>557</v>
      </c>
      <c r="AB1443" s="582"/>
    </row>
    <row r="1444" spans="1:28" hidden="1">
      <c r="A1444" s="566" t="s">
        <v>1335</v>
      </c>
      <c r="B1444" s="566" t="s">
        <v>466</v>
      </c>
      <c r="C1444" s="566" t="s">
        <v>487</v>
      </c>
      <c r="D1444" s="566" t="s">
        <v>472</v>
      </c>
      <c r="E1444" s="566" t="s">
        <v>473</v>
      </c>
      <c r="F1444" s="566" t="s">
        <v>489</v>
      </c>
      <c r="G1444" s="567">
        <v>50</v>
      </c>
      <c r="H1444" s="566" t="s">
        <v>682</v>
      </c>
      <c r="I1444" s="568">
        <v>2</v>
      </c>
      <c r="J1444" s="569">
        <v>8</v>
      </c>
      <c r="K1444" s="569">
        <v>8</v>
      </c>
      <c r="L1444" s="566"/>
      <c r="M1444" s="566" t="s">
        <v>476</v>
      </c>
      <c r="N1444" s="570">
        <v>593</v>
      </c>
      <c r="O1444" s="566"/>
      <c r="P1444" s="566" t="s">
        <v>477</v>
      </c>
      <c r="Q1444" s="568">
        <v>909678</v>
      </c>
      <c r="R1444" s="568">
        <v>16</v>
      </c>
      <c r="S1444" s="566" t="s">
        <v>488</v>
      </c>
      <c r="T1444" s="582" t="s">
        <v>253</v>
      </c>
      <c r="U1444" s="582" t="s">
        <v>670</v>
      </c>
      <c r="V1444" s="582" t="s">
        <v>528</v>
      </c>
      <c r="W1444" s="583" t="s">
        <v>485</v>
      </c>
      <c r="X1444" s="582" t="s">
        <v>1380</v>
      </c>
      <c r="Y1444" s="582" t="s">
        <v>1338</v>
      </c>
      <c r="Z1444" s="584" t="s">
        <v>1199</v>
      </c>
      <c r="AA1444" s="585">
        <v>593</v>
      </c>
      <c r="AB1444" s="582"/>
    </row>
    <row r="1445" spans="1:28" hidden="1">
      <c r="A1445" s="566" t="s">
        <v>1335</v>
      </c>
      <c r="B1445" s="566" t="s">
        <v>466</v>
      </c>
      <c r="C1445" s="566" t="s">
        <v>487</v>
      </c>
      <c r="D1445" s="566" t="s">
        <v>472</v>
      </c>
      <c r="E1445" s="566" t="s">
        <v>473</v>
      </c>
      <c r="F1445" s="566" t="s">
        <v>489</v>
      </c>
      <c r="G1445" s="567">
        <v>50</v>
      </c>
      <c r="H1445" s="566" t="s">
        <v>684</v>
      </c>
      <c r="I1445" s="568">
        <v>2</v>
      </c>
      <c r="J1445" s="569">
        <v>8</v>
      </c>
      <c r="K1445" s="569">
        <v>8</v>
      </c>
      <c r="L1445" s="566"/>
      <c r="M1445" s="566" t="s">
        <v>476</v>
      </c>
      <c r="N1445" s="570">
        <v>629</v>
      </c>
      <c r="O1445" s="566"/>
      <c r="P1445" s="566" t="s">
        <v>477</v>
      </c>
      <c r="Q1445" s="568">
        <v>909678</v>
      </c>
      <c r="R1445" s="568">
        <v>17</v>
      </c>
      <c r="S1445" s="566" t="s">
        <v>493</v>
      </c>
      <c r="T1445" s="582" t="s">
        <v>253</v>
      </c>
      <c r="U1445" s="582" t="s">
        <v>670</v>
      </c>
      <c r="V1445" s="582" t="s">
        <v>528</v>
      </c>
      <c r="W1445" s="583" t="s">
        <v>491</v>
      </c>
      <c r="X1445" s="582" t="s">
        <v>1380</v>
      </c>
      <c r="Y1445" s="582" t="s">
        <v>1338</v>
      </c>
      <c r="Z1445" s="584" t="s">
        <v>1200</v>
      </c>
      <c r="AA1445" s="585">
        <v>629</v>
      </c>
      <c r="AB1445" s="582"/>
    </row>
    <row r="1446" spans="1:28" hidden="1">
      <c r="A1446" s="566" t="s">
        <v>1335</v>
      </c>
      <c r="B1446" s="566" t="s">
        <v>466</v>
      </c>
      <c r="C1446" s="566" t="s">
        <v>487</v>
      </c>
      <c r="D1446" s="566" t="s">
        <v>472</v>
      </c>
      <c r="E1446" s="566" t="s">
        <v>473</v>
      </c>
      <c r="F1446" s="566" t="s">
        <v>489</v>
      </c>
      <c r="G1446" s="567">
        <v>50</v>
      </c>
      <c r="H1446" s="566" t="s">
        <v>686</v>
      </c>
      <c r="I1446" s="568">
        <v>2</v>
      </c>
      <c r="J1446" s="569">
        <v>8</v>
      </c>
      <c r="K1446" s="569">
        <v>8</v>
      </c>
      <c r="L1446" s="566"/>
      <c r="M1446" s="566" t="s">
        <v>476</v>
      </c>
      <c r="N1446" s="570">
        <v>665</v>
      </c>
      <c r="O1446" s="566"/>
      <c r="P1446" s="566" t="s">
        <v>477</v>
      </c>
      <c r="Q1446" s="568">
        <v>909678</v>
      </c>
      <c r="R1446" s="568">
        <v>18</v>
      </c>
      <c r="S1446" s="566" t="s">
        <v>497</v>
      </c>
      <c r="T1446" s="582" t="s">
        <v>253</v>
      </c>
      <c r="U1446" s="582" t="s">
        <v>670</v>
      </c>
      <c r="V1446" s="582" t="s">
        <v>528</v>
      </c>
      <c r="W1446" s="583" t="s">
        <v>495</v>
      </c>
      <c r="X1446" s="582" t="s">
        <v>1380</v>
      </c>
      <c r="Y1446" s="582" t="s">
        <v>1338</v>
      </c>
      <c r="Z1446" s="584" t="s">
        <v>1201</v>
      </c>
      <c r="AA1446" s="585">
        <v>665</v>
      </c>
      <c r="AB1446" s="582"/>
    </row>
    <row r="1447" spans="1:28" hidden="1">
      <c r="A1447" s="566" t="s">
        <v>1335</v>
      </c>
      <c r="B1447" s="566" t="s">
        <v>466</v>
      </c>
      <c r="C1447" s="566" t="s">
        <v>487</v>
      </c>
      <c r="D1447" s="566" t="s">
        <v>472</v>
      </c>
      <c r="E1447" s="566" t="s">
        <v>473</v>
      </c>
      <c r="F1447" s="566" t="s">
        <v>489</v>
      </c>
      <c r="G1447" s="567">
        <v>50</v>
      </c>
      <c r="H1447" s="566" t="s">
        <v>689</v>
      </c>
      <c r="I1447" s="568">
        <v>2</v>
      </c>
      <c r="J1447" s="569">
        <v>8</v>
      </c>
      <c r="K1447" s="569">
        <v>8</v>
      </c>
      <c r="L1447" s="566"/>
      <c r="M1447" s="566" t="s">
        <v>476</v>
      </c>
      <c r="N1447" s="570">
        <v>737</v>
      </c>
      <c r="O1447" s="566"/>
      <c r="P1447" s="566" t="s">
        <v>477</v>
      </c>
      <c r="Q1447" s="568">
        <v>909678</v>
      </c>
      <c r="R1447" s="568">
        <v>19</v>
      </c>
      <c r="S1447" s="566" t="s">
        <v>502</v>
      </c>
      <c r="T1447" s="582" t="s">
        <v>253</v>
      </c>
      <c r="U1447" s="582" t="s">
        <v>670</v>
      </c>
      <c r="V1447" s="582" t="s">
        <v>528</v>
      </c>
      <c r="W1447" s="583" t="s">
        <v>1276</v>
      </c>
      <c r="X1447" s="582" t="s">
        <v>1380</v>
      </c>
      <c r="Y1447" s="582" t="s">
        <v>1338</v>
      </c>
      <c r="Z1447" s="584" t="s">
        <v>1202</v>
      </c>
      <c r="AA1447" s="585">
        <v>737</v>
      </c>
      <c r="AB1447" s="582"/>
    </row>
    <row r="1448" spans="1:28" hidden="1">
      <c r="A1448" s="566" t="s">
        <v>1335</v>
      </c>
      <c r="B1448" s="566" t="s">
        <v>466</v>
      </c>
      <c r="C1448" s="566" t="s">
        <v>487</v>
      </c>
      <c r="D1448" s="566" t="s">
        <v>472</v>
      </c>
      <c r="E1448" s="566" t="s">
        <v>473</v>
      </c>
      <c r="F1448" s="566" t="s">
        <v>489</v>
      </c>
      <c r="G1448" s="567">
        <v>50</v>
      </c>
      <c r="H1448" s="566" t="s">
        <v>692</v>
      </c>
      <c r="I1448" s="568">
        <v>2</v>
      </c>
      <c r="J1448" s="569">
        <v>8</v>
      </c>
      <c r="K1448" s="569">
        <v>8</v>
      </c>
      <c r="L1448" s="566"/>
      <c r="M1448" s="566" t="s">
        <v>476</v>
      </c>
      <c r="N1448" s="570">
        <v>809</v>
      </c>
      <c r="O1448" s="566"/>
      <c r="P1448" s="566" t="s">
        <v>477</v>
      </c>
      <c r="Q1448" s="568">
        <v>909678</v>
      </c>
      <c r="R1448" s="568">
        <v>21</v>
      </c>
      <c r="S1448" s="566" t="s">
        <v>507</v>
      </c>
      <c r="T1448" s="582" t="s">
        <v>253</v>
      </c>
      <c r="U1448" s="582" t="s">
        <v>670</v>
      </c>
      <c r="V1448" s="582" t="s">
        <v>528</v>
      </c>
      <c r="W1448" s="583" t="s">
        <v>1277</v>
      </c>
      <c r="X1448" s="582" t="s">
        <v>1380</v>
      </c>
      <c r="Y1448" s="582" t="s">
        <v>1338</v>
      </c>
      <c r="Z1448" s="584" t="s">
        <v>1203</v>
      </c>
      <c r="AA1448" s="585">
        <v>809</v>
      </c>
      <c r="AB1448" s="582"/>
    </row>
    <row r="1449" spans="1:28" hidden="1">
      <c r="A1449" s="566" t="s">
        <v>1335</v>
      </c>
      <c r="B1449" s="566" t="s">
        <v>466</v>
      </c>
      <c r="C1449" s="566" t="s">
        <v>471</v>
      </c>
      <c r="D1449" s="566" t="s">
        <v>472</v>
      </c>
      <c r="E1449" s="566" t="s">
        <v>473</v>
      </c>
      <c r="F1449" s="566" t="s">
        <v>474</v>
      </c>
      <c r="G1449" s="567">
        <v>0</v>
      </c>
      <c r="H1449" s="566" t="s">
        <v>2117</v>
      </c>
      <c r="I1449" s="568">
        <v>2</v>
      </c>
      <c r="J1449" s="569">
        <v>8</v>
      </c>
      <c r="K1449" s="569">
        <v>8</v>
      </c>
      <c r="L1449" s="566"/>
      <c r="M1449" s="566" t="s">
        <v>476</v>
      </c>
      <c r="N1449" s="570">
        <v>845</v>
      </c>
      <c r="O1449" s="566"/>
      <c r="P1449" s="566" t="s">
        <v>477</v>
      </c>
      <c r="Q1449" s="568">
        <v>909678</v>
      </c>
      <c r="R1449" s="568">
        <v>46</v>
      </c>
      <c r="S1449" s="566" t="s">
        <v>1383</v>
      </c>
      <c r="T1449" s="582" t="s">
        <v>253</v>
      </c>
      <c r="U1449" s="582" t="s">
        <v>670</v>
      </c>
      <c r="V1449" s="582" t="s">
        <v>528</v>
      </c>
      <c r="W1449" s="583" t="s">
        <v>1354</v>
      </c>
      <c r="X1449" s="582" t="s">
        <v>1380</v>
      </c>
      <c r="Y1449" s="582" t="s">
        <v>1338</v>
      </c>
      <c r="Z1449" s="584" t="s">
        <v>2370</v>
      </c>
      <c r="AA1449" s="585">
        <v>845</v>
      </c>
      <c r="AB1449" s="582"/>
    </row>
    <row r="1450" spans="1:28" hidden="1">
      <c r="A1450" s="566" t="s">
        <v>1335</v>
      </c>
      <c r="B1450" s="566" t="s">
        <v>466</v>
      </c>
      <c r="C1450" s="566" t="s">
        <v>487</v>
      </c>
      <c r="D1450" s="566" t="s">
        <v>472</v>
      </c>
      <c r="E1450" s="566" t="s">
        <v>473</v>
      </c>
      <c r="F1450" s="566" t="s">
        <v>489</v>
      </c>
      <c r="G1450" s="567">
        <v>50</v>
      </c>
      <c r="H1450" s="566" t="s">
        <v>2119</v>
      </c>
      <c r="I1450" s="568">
        <v>2</v>
      </c>
      <c r="J1450" s="569">
        <v>8</v>
      </c>
      <c r="K1450" s="569">
        <v>8</v>
      </c>
      <c r="L1450" s="566"/>
      <c r="M1450" s="566" t="s">
        <v>476</v>
      </c>
      <c r="N1450" s="570">
        <v>881</v>
      </c>
      <c r="O1450" s="566"/>
      <c r="P1450" s="566" t="s">
        <v>477</v>
      </c>
      <c r="Q1450" s="568">
        <v>909678</v>
      </c>
      <c r="R1450" s="568">
        <v>47</v>
      </c>
      <c r="S1450" s="566" t="s">
        <v>1385</v>
      </c>
      <c r="T1450" s="582" t="s">
        <v>253</v>
      </c>
      <c r="U1450" s="582" t="s">
        <v>670</v>
      </c>
      <c r="V1450" s="582" t="s">
        <v>528</v>
      </c>
      <c r="W1450" s="583" t="s">
        <v>1358</v>
      </c>
      <c r="X1450" s="582" t="s">
        <v>1380</v>
      </c>
      <c r="Y1450" s="582" t="s">
        <v>1338</v>
      </c>
      <c r="Z1450" s="584" t="s">
        <v>2371</v>
      </c>
      <c r="AA1450" s="585">
        <v>881</v>
      </c>
      <c r="AB1450" s="582"/>
    </row>
    <row r="1451" spans="1:28" hidden="1">
      <c r="A1451" s="566" t="s">
        <v>1335</v>
      </c>
      <c r="B1451" s="566" t="s">
        <v>466</v>
      </c>
      <c r="C1451" s="566" t="s">
        <v>553</v>
      </c>
      <c r="D1451" s="566" t="s">
        <v>472</v>
      </c>
      <c r="E1451" s="566" t="s">
        <v>473</v>
      </c>
      <c r="F1451" s="566" t="s">
        <v>554</v>
      </c>
      <c r="G1451" s="567">
        <v>13</v>
      </c>
      <c r="H1451" s="566" t="s">
        <v>1205</v>
      </c>
      <c r="I1451" s="568">
        <v>2</v>
      </c>
      <c r="J1451" s="569">
        <v>22</v>
      </c>
      <c r="K1451" s="569">
        <v>22</v>
      </c>
      <c r="L1451" s="569">
        <v>17</v>
      </c>
      <c r="M1451" s="566" t="s">
        <v>476</v>
      </c>
      <c r="N1451" s="570">
        <v>194</v>
      </c>
      <c r="O1451" s="566"/>
      <c r="P1451" s="566" t="s">
        <v>477</v>
      </c>
      <c r="Q1451" s="568">
        <v>909678</v>
      </c>
      <c r="R1451" s="568">
        <v>1</v>
      </c>
      <c r="S1451" s="566" t="s">
        <v>1387</v>
      </c>
      <c r="T1451" s="582" t="s">
        <v>257</v>
      </c>
      <c r="U1451" s="582" t="s">
        <v>670</v>
      </c>
      <c r="V1451" s="582" t="s">
        <v>528</v>
      </c>
      <c r="W1451" s="583" t="s">
        <v>577</v>
      </c>
      <c r="X1451" s="582" t="s">
        <v>1380</v>
      </c>
      <c r="Y1451" s="582" t="s">
        <v>1338</v>
      </c>
      <c r="Z1451" s="584" t="s">
        <v>1204</v>
      </c>
      <c r="AA1451" s="585">
        <v>194</v>
      </c>
      <c r="AB1451" s="582">
        <v>260093</v>
      </c>
    </row>
    <row r="1452" spans="1:28" hidden="1">
      <c r="A1452" s="566" t="s">
        <v>1335</v>
      </c>
      <c r="B1452" s="566" t="s">
        <v>466</v>
      </c>
      <c r="C1452" s="566" t="s">
        <v>553</v>
      </c>
      <c r="D1452" s="566" t="s">
        <v>472</v>
      </c>
      <c r="E1452" s="566" t="s">
        <v>473</v>
      </c>
      <c r="F1452" s="566" t="s">
        <v>554</v>
      </c>
      <c r="G1452" s="567">
        <v>13</v>
      </c>
      <c r="H1452" s="566" t="s">
        <v>1207</v>
      </c>
      <c r="I1452" s="568">
        <v>2</v>
      </c>
      <c r="J1452" s="569">
        <v>22</v>
      </c>
      <c r="K1452" s="569">
        <v>22</v>
      </c>
      <c r="L1452" s="569">
        <v>17</v>
      </c>
      <c r="M1452" s="566" t="s">
        <v>476</v>
      </c>
      <c r="N1452" s="570">
        <v>218</v>
      </c>
      <c r="O1452" s="566"/>
      <c r="P1452" s="566" t="s">
        <v>477</v>
      </c>
      <c r="Q1452" s="568">
        <v>909678</v>
      </c>
      <c r="R1452" s="568">
        <v>2</v>
      </c>
      <c r="S1452" s="566" t="s">
        <v>1388</v>
      </c>
      <c r="T1452" s="582" t="s">
        <v>257</v>
      </c>
      <c r="U1452" s="582" t="s">
        <v>670</v>
      </c>
      <c r="V1452" s="582" t="s">
        <v>528</v>
      </c>
      <c r="W1452" s="583" t="s">
        <v>580</v>
      </c>
      <c r="X1452" s="582" t="s">
        <v>1380</v>
      </c>
      <c r="Y1452" s="582" t="s">
        <v>1338</v>
      </c>
      <c r="Z1452" s="584" t="s">
        <v>1206</v>
      </c>
      <c r="AA1452" s="585">
        <v>218</v>
      </c>
      <c r="AB1452" s="582">
        <v>260117</v>
      </c>
    </row>
    <row r="1453" spans="1:28" hidden="1">
      <c r="A1453" s="566" t="s">
        <v>1335</v>
      </c>
      <c r="B1453" s="566" t="s">
        <v>466</v>
      </c>
      <c r="C1453" s="566" t="s">
        <v>553</v>
      </c>
      <c r="D1453" s="566" t="s">
        <v>472</v>
      </c>
      <c r="E1453" s="566" t="s">
        <v>473</v>
      </c>
      <c r="F1453" s="566" t="s">
        <v>554</v>
      </c>
      <c r="G1453" s="567">
        <v>16</v>
      </c>
      <c r="H1453" s="566" t="s">
        <v>1209</v>
      </c>
      <c r="I1453" s="568">
        <v>2</v>
      </c>
      <c r="J1453" s="569">
        <v>22</v>
      </c>
      <c r="K1453" s="569">
        <v>22</v>
      </c>
      <c r="L1453" s="569">
        <v>17</v>
      </c>
      <c r="M1453" s="566" t="s">
        <v>476</v>
      </c>
      <c r="N1453" s="570">
        <v>242</v>
      </c>
      <c r="O1453" s="566"/>
      <c r="P1453" s="566" t="s">
        <v>477</v>
      </c>
      <c r="Q1453" s="568">
        <v>909678</v>
      </c>
      <c r="R1453" s="568">
        <v>12</v>
      </c>
      <c r="S1453" s="566" t="s">
        <v>1389</v>
      </c>
      <c r="T1453" s="582" t="s">
        <v>257</v>
      </c>
      <c r="U1453" s="582" t="s">
        <v>670</v>
      </c>
      <c r="V1453" s="582" t="s">
        <v>528</v>
      </c>
      <c r="W1453" s="583" t="s">
        <v>583</v>
      </c>
      <c r="X1453" s="582" t="s">
        <v>1380</v>
      </c>
      <c r="Y1453" s="582" t="s">
        <v>1338</v>
      </c>
      <c r="Z1453" s="584" t="s">
        <v>1208</v>
      </c>
      <c r="AA1453" s="585">
        <v>242</v>
      </c>
      <c r="AB1453" s="582">
        <v>260141</v>
      </c>
    </row>
    <row r="1454" spans="1:28" hidden="1">
      <c r="A1454" s="566" t="s">
        <v>1335</v>
      </c>
      <c r="B1454" s="566" t="s">
        <v>466</v>
      </c>
      <c r="C1454" s="566" t="s">
        <v>553</v>
      </c>
      <c r="D1454" s="566" t="s">
        <v>472</v>
      </c>
      <c r="E1454" s="566" t="s">
        <v>473</v>
      </c>
      <c r="F1454" s="566" t="s">
        <v>554</v>
      </c>
      <c r="G1454" s="567">
        <v>16</v>
      </c>
      <c r="H1454" s="566" t="s">
        <v>1211</v>
      </c>
      <c r="I1454" s="568">
        <v>2</v>
      </c>
      <c r="J1454" s="569">
        <v>22</v>
      </c>
      <c r="K1454" s="569">
        <v>22</v>
      </c>
      <c r="L1454" s="569">
        <v>17</v>
      </c>
      <c r="M1454" s="566" t="s">
        <v>476</v>
      </c>
      <c r="N1454" s="570">
        <v>266</v>
      </c>
      <c r="O1454" s="566"/>
      <c r="P1454" s="566" t="s">
        <v>477</v>
      </c>
      <c r="Q1454" s="568">
        <v>909678</v>
      </c>
      <c r="R1454" s="568">
        <v>3</v>
      </c>
      <c r="S1454" s="566" t="s">
        <v>1390</v>
      </c>
      <c r="T1454" s="582" t="s">
        <v>257</v>
      </c>
      <c r="U1454" s="582" t="s">
        <v>670</v>
      </c>
      <c r="V1454" s="582" t="s">
        <v>528</v>
      </c>
      <c r="W1454" s="583" t="s">
        <v>586</v>
      </c>
      <c r="X1454" s="582" t="s">
        <v>1380</v>
      </c>
      <c r="Y1454" s="582" t="s">
        <v>1338</v>
      </c>
      <c r="Z1454" s="584" t="s">
        <v>1210</v>
      </c>
      <c r="AA1454" s="585">
        <v>266</v>
      </c>
      <c r="AB1454" s="582">
        <v>260165</v>
      </c>
    </row>
    <row r="1455" spans="1:28" hidden="1">
      <c r="A1455" s="566" t="s">
        <v>1335</v>
      </c>
      <c r="B1455" s="566" t="s">
        <v>466</v>
      </c>
      <c r="C1455" s="566" t="s">
        <v>553</v>
      </c>
      <c r="D1455" s="566" t="s">
        <v>472</v>
      </c>
      <c r="E1455" s="566" t="s">
        <v>473</v>
      </c>
      <c r="F1455" s="566" t="s">
        <v>554</v>
      </c>
      <c r="G1455" s="567">
        <v>16</v>
      </c>
      <c r="H1455" s="566" t="s">
        <v>1213</v>
      </c>
      <c r="I1455" s="568">
        <v>2</v>
      </c>
      <c r="J1455" s="569">
        <v>22</v>
      </c>
      <c r="K1455" s="569">
        <v>22</v>
      </c>
      <c r="L1455" s="569">
        <v>17</v>
      </c>
      <c r="M1455" s="566" t="s">
        <v>476</v>
      </c>
      <c r="N1455" s="570">
        <v>290</v>
      </c>
      <c r="O1455" s="566"/>
      <c r="P1455" s="566" t="s">
        <v>477</v>
      </c>
      <c r="Q1455" s="568">
        <v>909678</v>
      </c>
      <c r="R1455" s="568">
        <v>13</v>
      </c>
      <c r="S1455" s="566" t="s">
        <v>1391</v>
      </c>
      <c r="T1455" s="582" t="s">
        <v>257</v>
      </c>
      <c r="U1455" s="582" t="s">
        <v>670</v>
      </c>
      <c r="V1455" s="582" t="s">
        <v>528</v>
      </c>
      <c r="W1455" s="583" t="s">
        <v>589</v>
      </c>
      <c r="X1455" s="582" t="s">
        <v>1380</v>
      </c>
      <c r="Y1455" s="582" t="s">
        <v>1338</v>
      </c>
      <c r="Z1455" s="584" t="s">
        <v>1212</v>
      </c>
      <c r="AA1455" s="585">
        <v>290</v>
      </c>
      <c r="AB1455" s="582">
        <v>260189</v>
      </c>
    </row>
    <row r="1456" spans="1:28" hidden="1">
      <c r="A1456" s="566" t="s">
        <v>1335</v>
      </c>
      <c r="B1456" s="566" t="s">
        <v>466</v>
      </c>
      <c r="C1456" s="566" t="s">
        <v>471</v>
      </c>
      <c r="D1456" s="566" t="s">
        <v>472</v>
      </c>
      <c r="E1456" s="566" t="s">
        <v>473</v>
      </c>
      <c r="F1456" s="566" t="s">
        <v>474</v>
      </c>
      <c r="G1456" s="567">
        <v>0</v>
      </c>
      <c r="H1456" s="566" t="s">
        <v>704</v>
      </c>
      <c r="I1456" s="568">
        <v>2</v>
      </c>
      <c r="J1456" s="569">
        <v>8</v>
      </c>
      <c r="K1456" s="569">
        <v>8</v>
      </c>
      <c r="L1456" s="566"/>
      <c r="M1456" s="566" t="s">
        <v>476</v>
      </c>
      <c r="N1456" s="570">
        <v>341</v>
      </c>
      <c r="O1456" s="566"/>
      <c r="P1456" s="566" t="s">
        <v>477</v>
      </c>
      <c r="Q1456" s="568">
        <v>909678</v>
      </c>
      <c r="R1456" s="568">
        <v>5</v>
      </c>
      <c r="S1456" s="566" t="s">
        <v>1392</v>
      </c>
      <c r="T1456" s="582" t="s">
        <v>253</v>
      </c>
      <c r="U1456" s="582" t="s">
        <v>670</v>
      </c>
      <c r="V1456" s="582" t="s">
        <v>528</v>
      </c>
      <c r="W1456" s="583" t="s">
        <v>509</v>
      </c>
      <c r="X1456" s="582" t="s">
        <v>1380</v>
      </c>
      <c r="Y1456" s="582" t="s">
        <v>1338</v>
      </c>
      <c r="Z1456" s="584" t="s">
        <v>1214</v>
      </c>
      <c r="AA1456" s="585">
        <v>341</v>
      </c>
      <c r="AB1456" s="582"/>
    </row>
    <row r="1457" spans="1:28" hidden="1">
      <c r="A1457" s="566" t="s">
        <v>1335</v>
      </c>
      <c r="B1457" s="566" t="s">
        <v>466</v>
      </c>
      <c r="C1457" s="566" t="s">
        <v>471</v>
      </c>
      <c r="D1457" s="566" t="s">
        <v>472</v>
      </c>
      <c r="E1457" s="566" t="s">
        <v>473</v>
      </c>
      <c r="F1457" s="566" t="s">
        <v>474</v>
      </c>
      <c r="G1457" s="567">
        <v>0</v>
      </c>
      <c r="H1457" s="566" t="s">
        <v>706</v>
      </c>
      <c r="I1457" s="568">
        <v>2</v>
      </c>
      <c r="J1457" s="569">
        <v>8</v>
      </c>
      <c r="K1457" s="569">
        <v>8</v>
      </c>
      <c r="L1457" s="566"/>
      <c r="M1457" s="566" t="s">
        <v>476</v>
      </c>
      <c r="N1457" s="570">
        <v>377</v>
      </c>
      <c r="O1457" s="566"/>
      <c r="P1457" s="566" t="s">
        <v>477</v>
      </c>
      <c r="Q1457" s="568">
        <v>909678</v>
      </c>
      <c r="R1457" s="568">
        <v>6</v>
      </c>
      <c r="S1457" s="566" t="s">
        <v>1393</v>
      </c>
      <c r="T1457" s="582" t="s">
        <v>253</v>
      </c>
      <c r="U1457" s="582" t="s">
        <v>670</v>
      </c>
      <c r="V1457" s="582" t="s">
        <v>528</v>
      </c>
      <c r="W1457" s="583" t="s">
        <v>512</v>
      </c>
      <c r="X1457" s="582" t="s">
        <v>1380</v>
      </c>
      <c r="Y1457" s="582" t="s">
        <v>1338</v>
      </c>
      <c r="Z1457" s="584" t="s">
        <v>1215</v>
      </c>
      <c r="AA1457" s="585">
        <v>377</v>
      </c>
      <c r="AB1457" s="582"/>
    </row>
    <row r="1458" spans="1:28" hidden="1">
      <c r="A1458" s="566" t="s">
        <v>1335</v>
      </c>
      <c r="B1458" s="566" t="s">
        <v>466</v>
      </c>
      <c r="C1458" s="566" t="s">
        <v>471</v>
      </c>
      <c r="D1458" s="566" t="s">
        <v>472</v>
      </c>
      <c r="E1458" s="566" t="s">
        <v>473</v>
      </c>
      <c r="F1458" s="566" t="s">
        <v>474</v>
      </c>
      <c r="G1458" s="567">
        <v>0</v>
      </c>
      <c r="H1458" s="566" t="s">
        <v>708</v>
      </c>
      <c r="I1458" s="568">
        <v>2</v>
      </c>
      <c r="J1458" s="569">
        <v>8</v>
      </c>
      <c r="K1458" s="569">
        <v>8</v>
      </c>
      <c r="L1458" s="566"/>
      <c r="M1458" s="566" t="s">
        <v>476</v>
      </c>
      <c r="N1458" s="570">
        <v>413</v>
      </c>
      <c r="O1458" s="566"/>
      <c r="P1458" s="566" t="s">
        <v>477</v>
      </c>
      <c r="Q1458" s="568">
        <v>909678</v>
      </c>
      <c r="R1458" s="568">
        <v>14</v>
      </c>
      <c r="S1458" s="566" t="s">
        <v>1394</v>
      </c>
      <c r="T1458" s="582" t="s">
        <v>253</v>
      </c>
      <c r="U1458" s="582" t="s">
        <v>670</v>
      </c>
      <c r="V1458" s="582" t="s">
        <v>528</v>
      </c>
      <c r="W1458" s="583" t="s">
        <v>514</v>
      </c>
      <c r="X1458" s="582" t="s">
        <v>1380</v>
      </c>
      <c r="Y1458" s="582" t="s">
        <v>1338</v>
      </c>
      <c r="Z1458" s="584" t="s">
        <v>1216</v>
      </c>
      <c r="AA1458" s="585">
        <v>413</v>
      </c>
      <c r="AB1458" s="582"/>
    </row>
    <row r="1459" spans="1:28" hidden="1">
      <c r="A1459" s="566" t="s">
        <v>1335</v>
      </c>
      <c r="B1459" s="566" t="s">
        <v>466</v>
      </c>
      <c r="C1459" s="566" t="s">
        <v>471</v>
      </c>
      <c r="D1459" s="566" t="s">
        <v>472</v>
      </c>
      <c r="E1459" s="566" t="s">
        <v>473</v>
      </c>
      <c r="F1459" s="566" t="s">
        <v>474</v>
      </c>
      <c r="G1459" s="567">
        <v>0</v>
      </c>
      <c r="H1459" s="566" t="s">
        <v>677</v>
      </c>
      <c r="I1459" s="568">
        <v>2</v>
      </c>
      <c r="J1459" s="569">
        <v>32</v>
      </c>
      <c r="K1459" s="569">
        <v>32</v>
      </c>
      <c r="L1459" s="566"/>
      <c r="M1459" s="566" t="s">
        <v>476</v>
      </c>
      <c r="N1459" s="570">
        <v>1349</v>
      </c>
      <c r="O1459" s="566"/>
      <c r="P1459" s="566" t="s">
        <v>477</v>
      </c>
      <c r="Q1459" s="568">
        <v>909678</v>
      </c>
      <c r="R1459" s="568">
        <v>34</v>
      </c>
      <c r="S1459" s="566" t="s">
        <v>1395</v>
      </c>
      <c r="T1459" s="582" t="s">
        <v>253</v>
      </c>
      <c r="U1459" s="582" t="s">
        <v>670</v>
      </c>
      <c r="V1459" s="582" t="s">
        <v>528</v>
      </c>
      <c r="W1459" s="583" t="s">
        <v>1274</v>
      </c>
      <c r="X1459" s="582" t="s">
        <v>1380</v>
      </c>
      <c r="Y1459" s="582" t="s">
        <v>1367</v>
      </c>
      <c r="Z1459" s="584" t="s">
        <v>2372</v>
      </c>
      <c r="AA1459" s="585">
        <v>1349</v>
      </c>
      <c r="AB1459" s="582"/>
    </row>
    <row r="1460" spans="1:28" hidden="1">
      <c r="A1460" s="566" t="s">
        <v>1335</v>
      </c>
      <c r="B1460" s="566" t="s">
        <v>466</v>
      </c>
      <c r="C1460" s="566" t="s">
        <v>471</v>
      </c>
      <c r="D1460" s="566" t="s">
        <v>472</v>
      </c>
      <c r="E1460" s="566" t="s">
        <v>473</v>
      </c>
      <c r="F1460" s="566" t="s">
        <v>474</v>
      </c>
      <c r="G1460" s="567">
        <v>0</v>
      </c>
      <c r="H1460" s="566" t="s">
        <v>680</v>
      </c>
      <c r="I1460" s="568">
        <v>2</v>
      </c>
      <c r="J1460" s="569">
        <v>32</v>
      </c>
      <c r="K1460" s="569">
        <v>32</v>
      </c>
      <c r="L1460" s="566"/>
      <c r="M1460" s="566" t="s">
        <v>476</v>
      </c>
      <c r="N1460" s="570">
        <v>1385</v>
      </c>
      <c r="O1460" s="566"/>
      <c r="P1460" s="566" t="s">
        <v>477</v>
      </c>
      <c r="Q1460" s="568">
        <v>909678</v>
      </c>
      <c r="R1460" s="568">
        <v>35</v>
      </c>
      <c r="S1460" s="566" t="s">
        <v>1397</v>
      </c>
      <c r="T1460" s="582" t="s">
        <v>253</v>
      </c>
      <c r="U1460" s="582" t="s">
        <v>670</v>
      </c>
      <c r="V1460" s="582" t="s">
        <v>528</v>
      </c>
      <c r="W1460" s="583" t="s">
        <v>1275</v>
      </c>
      <c r="X1460" s="582" t="s">
        <v>1380</v>
      </c>
      <c r="Y1460" s="582" t="s">
        <v>1367</v>
      </c>
      <c r="Z1460" s="584" t="s">
        <v>2373</v>
      </c>
      <c r="AA1460" s="585">
        <v>1385</v>
      </c>
      <c r="AB1460" s="582"/>
    </row>
    <row r="1461" spans="1:28" hidden="1">
      <c r="A1461" s="566" t="s">
        <v>1335</v>
      </c>
      <c r="B1461" s="566" t="s">
        <v>466</v>
      </c>
      <c r="C1461" s="566" t="s">
        <v>487</v>
      </c>
      <c r="D1461" s="566" t="s">
        <v>472</v>
      </c>
      <c r="E1461" s="566" t="s">
        <v>473</v>
      </c>
      <c r="F1461" s="566" t="s">
        <v>489</v>
      </c>
      <c r="G1461" s="567">
        <v>50</v>
      </c>
      <c r="H1461" s="566" t="s">
        <v>689</v>
      </c>
      <c r="I1461" s="568">
        <v>2</v>
      </c>
      <c r="J1461" s="569">
        <v>32</v>
      </c>
      <c r="K1461" s="569">
        <v>32</v>
      </c>
      <c r="L1461" s="566"/>
      <c r="M1461" s="566" t="s">
        <v>476</v>
      </c>
      <c r="N1461" s="570">
        <v>1421</v>
      </c>
      <c r="O1461" s="566"/>
      <c r="P1461" s="566" t="s">
        <v>477</v>
      </c>
      <c r="Q1461" s="568">
        <v>909678</v>
      </c>
      <c r="R1461" s="568">
        <v>37</v>
      </c>
      <c r="S1461" s="566" t="s">
        <v>1399</v>
      </c>
      <c r="T1461" s="582" t="s">
        <v>253</v>
      </c>
      <c r="U1461" s="582" t="s">
        <v>670</v>
      </c>
      <c r="V1461" s="582" t="s">
        <v>528</v>
      </c>
      <c r="W1461" s="583" t="s">
        <v>1276</v>
      </c>
      <c r="X1461" s="582" t="s">
        <v>1380</v>
      </c>
      <c r="Y1461" s="582" t="s">
        <v>1367</v>
      </c>
      <c r="Z1461" s="584" t="s">
        <v>2374</v>
      </c>
      <c r="AA1461" s="585">
        <v>1421</v>
      </c>
      <c r="AB1461" s="582"/>
    </row>
    <row r="1462" spans="1:28" hidden="1">
      <c r="A1462" s="566" t="s">
        <v>1335</v>
      </c>
      <c r="B1462" s="566" t="s">
        <v>466</v>
      </c>
      <c r="C1462" s="566" t="s">
        <v>487</v>
      </c>
      <c r="D1462" s="566" t="s">
        <v>472</v>
      </c>
      <c r="E1462" s="566" t="s">
        <v>473</v>
      </c>
      <c r="F1462" s="566" t="s">
        <v>489</v>
      </c>
      <c r="G1462" s="567">
        <v>50</v>
      </c>
      <c r="H1462" s="566" t="s">
        <v>692</v>
      </c>
      <c r="I1462" s="568">
        <v>2</v>
      </c>
      <c r="J1462" s="569">
        <v>32</v>
      </c>
      <c r="K1462" s="569">
        <v>32</v>
      </c>
      <c r="L1462" s="566"/>
      <c r="M1462" s="566" t="s">
        <v>476</v>
      </c>
      <c r="N1462" s="570">
        <v>1457</v>
      </c>
      <c r="O1462" s="566"/>
      <c r="P1462" s="566" t="s">
        <v>477</v>
      </c>
      <c r="Q1462" s="568">
        <v>909678</v>
      </c>
      <c r="R1462" s="568">
        <v>38</v>
      </c>
      <c r="S1462" s="566" t="s">
        <v>1401</v>
      </c>
      <c r="T1462" s="582" t="s">
        <v>253</v>
      </c>
      <c r="U1462" s="582" t="s">
        <v>670</v>
      </c>
      <c r="V1462" s="582" t="s">
        <v>528</v>
      </c>
      <c r="W1462" s="583" t="s">
        <v>1277</v>
      </c>
      <c r="X1462" s="582" t="s">
        <v>1380</v>
      </c>
      <c r="Y1462" s="582" t="s">
        <v>1367</v>
      </c>
      <c r="Z1462" s="584" t="s">
        <v>2375</v>
      </c>
      <c r="AA1462" s="585">
        <v>1457</v>
      </c>
      <c r="AB1462" s="582"/>
    </row>
    <row r="1463" spans="1:28" hidden="1">
      <c r="A1463" s="566" t="s">
        <v>1335</v>
      </c>
      <c r="B1463" s="566" t="s">
        <v>466</v>
      </c>
      <c r="C1463" s="566" t="s">
        <v>471</v>
      </c>
      <c r="D1463" s="566" t="s">
        <v>472</v>
      </c>
      <c r="E1463" s="566" t="s">
        <v>473</v>
      </c>
      <c r="F1463" s="566" t="s">
        <v>474</v>
      </c>
      <c r="G1463" s="567">
        <v>0</v>
      </c>
      <c r="H1463" s="566" t="s">
        <v>2117</v>
      </c>
      <c r="I1463" s="568">
        <v>2</v>
      </c>
      <c r="J1463" s="569">
        <v>32</v>
      </c>
      <c r="K1463" s="569">
        <v>32</v>
      </c>
      <c r="L1463" s="566"/>
      <c r="M1463" s="566" t="s">
        <v>476</v>
      </c>
      <c r="N1463" s="570">
        <v>1493</v>
      </c>
      <c r="O1463" s="566"/>
      <c r="P1463" s="566" t="s">
        <v>477</v>
      </c>
      <c r="Q1463" s="568">
        <v>909678</v>
      </c>
      <c r="R1463" s="568">
        <v>36</v>
      </c>
      <c r="S1463" s="566" t="s">
        <v>1403</v>
      </c>
      <c r="T1463" s="582" t="s">
        <v>253</v>
      </c>
      <c r="U1463" s="582" t="s">
        <v>670</v>
      </c>
      <c r="V1463" s="582" t="s">
        <v>528</v>
      </c>
      <c r="W1463" s="583" t="s">
        <v>1354</v>
      </c>
      <c r="X1463" s="582" t="s">
        <v>1380</v>
      </c>
      <c r="Y1463" s="582" t="s">
        <v>1367</v>
      </c>
      <c r="Z1463" s="584" t="s">
        <v>2376</v>
      </c>
      <c r="AA1463" s="585">
        <v>1493</v>
      </c>
      <c r="AB1463" s="582"/>
    </row>
    <row r="1464" spans="1:28" hidden="1">
      <c r="A1464" s="566" t="s">
        <v>1335</v>
      </c>
      <c r="B1464" s="566" t="s">
        <v>466</v>
      </c>
      <c r="C1464" s="566" t="s">
        <v>487</v>
      </c>
      <c r="D1464" s="566" t="s">
        <v>472</v>
      </c>
      <c r="E1464" s="566" t="s">
        <v>473</v>
      </c>
      <c r="F1464" s="566" t="s">
        <v>489</v>
      </c>
      <c r="G1464" s="567">
        <v>50</v>
      </c>
      <c r="H1464" s="566" t="s">
        <v>2119</v>
      </c>
      <c r="I1464" s="568">
        <v>2</v>
      </c>
      <c r="J1464" s="569">
        <v>32</v>
      </c>
      <c r="K1464" s="569">
        <v>32</v>
      </c>
      <c r="L1464" s="566"/>
      <c r="M1464" s="566" t="s">
        <v>476</v>
      </c>
      <c r="N1464" s="570">
        <v>1529</v>
      </c>
      <c r="O1464" s="566"/>
      <c r="P1464" s="566" t="s">
        <v>477</v>
      </c>
      <c r="Q1464" s="568">
        <v>909678</v>
      </c>
      <c r="R1464" s="568">
        <v>39</v>
      </c>
      <c r="S1464" s="566" t="s">
        <v>1405</v>
      </c>
      <c r="T1464" s="582" t="s">
        <v>253</v>
      </c>
      <c r="U1464" s="582" t="s">
        <v>670</v>
      </c>
      <c r="V1464" s="582" t="s">
        <v>528</v>
      </c>
      <c r="W1464" s="583" t="s">
        <v>1358</v>
      </c>
      <c r="X1464" s="582" t="s">
        <v>1380</v>
      </c>
      <c r="Y1464" s="582" t="s">
        <v>1367</v>
      </c>
      <c r="Z1464" s="584" t="s">
        <v>2377</v>
      </c>
      <c r="AA1464" s="585">
        <v>1529</v>
      </c>
      <c r="AB1464" s="582"/>
    </row>
    <row r="1465" spans="1:28" hidden="1">
      <c r="A1465" s="566" t="s">
        <v>1335</v>
      </c>
      <c r="B1465" s="566" t="s">
        <v>466</v>
      </c>
      <c r="C1465" s="566" t="s">
        <v>471</v>
      </c>
      <c r="D1465" s="566" t="s">
        <v>472</v>
      </c>
      <c r="E1465" s="566" t="s">
        <v>473</v>
      </c>
      <c r="F1465" s="566" t="s">
        <v>474</v>
      </c>
      <c r="G1465" s="567">
        <v>0</v>
      </c>
      <c r="H1465" s="566" t="s">
        <v>675</v>
      </c>
      <c r="I1465" s="568">
        <v>2</v>
      </c>
      <c r="J1465" s="569">
        <v>8</v>
      </c>
      <c r="K1465" s="569">
        <v>8</v>
      </c>
      <c r="L1465" s="566"/>
      <c r="M1465" s="566" t="s">
        <v>476</v>
      </c>
      <c r="N1465" s="570">
        <v>449</v>
      </c>
      <c r="O1465" s="566"/>
      <c r="P1465" s="566" t="s">
        <v>477</v>
      </c>
      <c r="Q1465" s="568">
        <v>909678</v>
      </c>
      <c r="R1465" s="568">
        <v>7</v>
      </c>
      <c r="S1465" s="566" t="s">
        <v>1407</v>
      </c>
      <c r="T1465" s="575" t="s">
        <v>1473</v>
      </c>
      <c r="U1465" s="575" t="s">
        <v>670</v>
      </c>
      <c r="V1465" s="575" t="s">
        <v>528</v>
      </c>
      <c r="W1465" s="576" t="s">
        <v>470</v>
      </c>
      <c r="X1465" s="575" t="s">
        <v>1380</v>
      </c>
      <c r="Y1465" s="575" t="s">
        <v>1338</v>
      </c>
      <c r="Z1465" s="576" t="s">
        <v>2378</v>
      </c>
      <c r="AA1465" s="577">
        <v>449</v>
      </c>
      <c r="AB1465" s="575"/>
    </row>
    <row r="1466" spans="1:28" hidden="1">
      <c r="A1466" s="566" t="s">
        <v>1335</v>
      </c>
      <c r="B1466" s="566" t="s">
        <v>466</v>
      </c>
      <c r="C1466" s="566" t="s">
        <v>471</v>
      </c>
      <c r="D1466" s="566" t="s">
        <v>472</v>
      </c>
      <c r="E1466" s="566" t="s">
        <v>473</v>
      </c>
      <c r="F1466" s="566" t="s">
        <v>474</v>
      </c>
      <c r="G1466" s="567">
        <v>0</v>
      </c>
      <c r="H1466" s="566" t="s">
        <v>678</v>
      </c>
      <c r="I1466" s="568">
        <v>2</v>
      </c>
      <c r="J1466" s="569">
        <v>8</v>
      </c>
      <c r="K1466" s="569">
        <v>8</v>
      </c>
      <c r="L1466" s="566"/>
      <c r="M1466" s="566" t="s">
        <v>476</v>
      </c>
      <c r="N1466" s="570">
        <v>521</v>
      </c>
      <c r="O1466" s="566"/>
      <c r="P1466" s="566" t="s">
        <v>477</v>
      </c>
      <c r="Q1466" s="568">
        <v>909678</v>
      </c>
      <c r="R1466" s="568">
        <v>8</v>
      </c>
      <c r="S1466" s="566" t="s">
        <v>1410</v>
      </c>
      <c r="T1466" s="575" t="s">
        <v>1473</v>
      </c>
      <c r="U1466" s="575" t="s">
        <v>670</v>
      </c>
      <c r="V1466" s="575" t="s">
        <v>528</v>
      </c>
      <c r="W1466" s="576" t="s">
        <v>480</v>
      </c>
      <c r="X1466" s="575" t="s">
        <v>1380</v>
      </c>
      <c r="Y1466" s="575" t="s">
        <v>1338</v>
      </c>
      <c r="Z1466" s="576" t="s">
        <v>2379</v>
      </c>
      <c r="AA1466" s="577">
        <v>521</v>
      </c>
      <c r="AB1466" s="575"/>
    </row>
    <row r="1467" spans="1:28" hidden="1">
      <c r="A1467" s="566" t="s">
        <v>1335</v>
      </c>
      <c r="B1467" s="566" t="s">
        <v>466</v>
      </c>
      <c r="C1467" s="566" t="s">
        <v>487</v>
      </c>
      <c r="D1467" s="566" t="s">
        <v>472</v>
      </c>
      <c r="E1467" s="566" t="s">
        <v>473</v>
      </c>
      <c r="F1467" s="566" t="s">
        <v>489</v>
      </c>
      <c r="G1467" s="567">
        <v>50</v>
      </c>
      <c r="H1467" s="566" t="s">
        <v>687</v>
      </c>
      <c r="I1467" s="568">
        <v>2</v>
      </c>
      <c r="J1467" s="569">
        <v>8</v>
      </c>
      <c r="K1467" s="569">
        <v>8</v>
      </c>
      <c r="L1467" s="566"/>
      <c r="M1467" s="566" t="s">
        <v>476</v>
      </c>
      <c r="N1467" s="570">
        <v>701</v>
      </c>
      <c r="O1467" s="566"/>
      <c r="P1467" s="566" t="s">
        <v>477</v>
      </c>
      <c r="Q1467" s="568">
        <v>909678</v>
      </c>
      <c r="R1467" s="568">
        <v>11</v>
      </c>
      <c r="S1467" s="566" t="s">
        <v>1412</v>
      </c>
      <c r="T1467" s="575" t="s">
        <v>1473</v>
      </c>
      <c r="U1467" s="575" t="s">
        <v>670</v>
      </c>
      <c r="V1467" s="575" t="s">
        <v>528</v>
      </c>
      <c r="W1467" s="576" t="s">
        <v>499</v>
      </c>
      <c r="X1467" s="575" t="s">
        <v>1380</v>
      </c>
      <c r="Y1467" s="575" t="s">
        <v>1338</v>
      </c>
      <c r="Z1467" s="576" t="s">
        <v>2380</v>
      </c>
      <c r="AA1467" s="577">
        <v>701</v>
      </c>
      <c r="AB1467" s="575"/>
    </row>
    <row r="1468" spans="1:28" hidden="1">
      <c r="A1468" s="566" t="s">
        <v>1335</v>
      </c>
      <c r="B1468" s="566" t="s">
        <v>466</v>
      </c>
      <c r="C1468" s="566" t="s">
        <v>487</v>
      </c>
      <c r="D1468" s="566" t="s">
        <v>472</v>
      </c>
      <c r="E1468" s="566" t="s">
        <v>473</v>
      </c>
      <c r="F1468" s="566" t="s">
        <v>489</v>
      </c>
      <c r="G1468" s="567">
        <v>50</v>
      </c>
      <c r="H1468" s="566" t="s">
        <v>690</v>
      </c>
      <c r="I1468" s="568">
        <v>2</v>
      </c>
      <c r="J1468" s="569">
        <v>8</v>
      </c>
      <c r="K1468" s="569">
        <v>8</v>
      </c>
      <c r="L1468" s="566"/>
      <c r="M1468" s="566" t="s">
        <v>476</v>
      </c>
      <c r="N1468" s="570">
        <v>773</v>
      </c>
      <c r="O1468" s="566"/>
      <c r="P1468" s="566" t="s">
        <v>477</v>
      </c>
      <c r="Q1468" s="568">
        <v>909678</v>
      </c>
      <c r="R1468" s="568">
        <v>20</v>
      </c>
      <c r="S1468" s="566" t="s">
        <v>1414</v>
      </c>
      <c r="T1468" s="575" t="s">
        <v>1473</v>
      </c>
      <c r="U1468" s="575" t="s">
        <v>670</v>
      </c>
      <c r="V1468" s="575" t="s">
        <v>528</v>
      </c>
      <c r="W1468" s="576" t="s">
        <v>504</v>
      </c>
      <c r="X1468" s="575" t="s">
        <v>1380</v>
      </c>
      <c r="Y1468" s="575" t="s">
        <v>1338</v>
      </c>
      <c r="Z1468" s="576" t="s">
        <v>2381</v>
      </c>
      <c r="AA1468" s="577">
        <v>773</v>
      </c>
      <c r="AB1468" s="575"/>
    </row>
    <row r="1469" spans="1:28" hidden="1">
      <c r="A1469" s="566" t="s">
        <v>1335</v>
      </c>
      <c r="B1469" s="566" t="s">
        <v>466</v>
      </c>
      <c r="C1469" s="566" t="s">
        <v>471</v>
      </c>
      <c r="D1469" s="566" t="s">
        <v>472</v>
      </c>
      <c r="E1469" s="566" t="s">
        <v>473</v>
      </c>
      <c r="F1469" s="566" t="s">
        <v>474</v>
      </c>
      <c r="G1469" s="567">
        <v>0</v>
      </c>
      <c r="H1469" s="566" t="s">
        <v>677</v>
      </c>
      <c r="I1469" s="568">
        <v>2</v>
      </c>
      <c r="J1469" s="569">
        <v>60</v>
      </c>
      <c r="K1469" s="569">
        <v>60</v>
      </c>
      <c r="L1469" s="566"/>
      <c r="M1469" s="566" t="s">
        <v>476</v>
      </c>
      <c r="N1469" s="570">
        <v>1029</v>
      </c>
      <c r="O1469" s="566"/>
      <c r="P1469" s="566" t="s">
        <v>477</v>
      </c>
      <c r="Q1469" s="568">
        <v>909678</v>
      </c>
      <c r="R1469" s="568">
        <v>25</v>
      </c>
      <c r="S1469" s="566" t="s">
        <v>1336</v>
      </c>
      <c r="T1469" s="571" t="s">
        <v>467</v>
      </c>
      <c r="U1469" s="571" t="s">
        <v>670</v>
      </c>
      <c r="V1469" s="571" t="s">
        <v>539</v>
      </c>
      <c r="W1469" s="572" t="s">
        <v>1274</v>
      </c>
      <c r="X1469" s="571" t="s">
        <v>1337</v>
      </c>
      <c r="Y1469" s="571" t="s">
        <v>1338</v>
      </c>
      <c r="Z1469" s="566" t="s">
        <v>2382</v>
      </c>
      <c r="AA1469" s="573">
        <v>1029</v>
      </c>
      <c r="AB1469" s="571"/>
    </row>
    <row r="1470" spans="1:28" hidden="1">
      <c r="A1470" s="566" t="s">
        <v>1335</v>
      </c>
      <c r="B1470" s="566" t="s">
        <v>466</v>
      </c>
      <c r="C1470" s="566" t="s">
        <v>471</v>
      </c>
      <c r="D1470" s="566" t="s">
        <v>472</v>
      </c>
      <c r="E1470" s="566" t="s">
        <v>473</v>
      </c>
      <c r="F1470" s="566" t="s">
        <v>474</v>
      </c>
      <c r="G1470" s="567">
        <v>0</v>
      </c>
      <c r="H1470" s="566" t="s">
        <v>680</v>
      </c>
      <c r="I1470" s="568">
        <v>2</v>
      </c>
      <c r="J1470" s="569">
        <v>60</v>
      </c>
      <c r="K1470" s="569">
        <v>60</v>
      </c>
      <c r="L1470" s="566"/>
      <c r="M1470" s="566" t="s">
        <v>476</v>
      </c>
      <c r="N1470" s="570">
        <v>1065</v>
      </c>
      <c r="O1470" s="566"/>
      <c r="P1470" s="566" t="s">
        <v>477</v>
      </c>
      <c r="Q1470" s="568">
        <v>909678</v>
      </c>
      <c r="R1470" s="568">
        <v>26</v>
      </c>
      <c r="S1470" s="566" t="s">
        <v>1340</v>
      </c>
      <c r="T1470" s="571" t="s">
        <v>467</v>
      </c>
      <c r="U1470" s="571" t="s">
        <v>670</v>
      </c>
      <c r="V1470" s="571" t="s">
        <v>539</v>
      </c>
      <c r="W1470" s="572" t="s">
        <v>1275</v>
      </c>
      <c r="X1470" s="571" t="s">
        <v>1337</v>
      </c>
      <c r="Y1470" s="571" t="s">
        <v>1338</v>
      </c>
      <c r="Z1470" s="566" t="s">
        <v>2383</v>
      </c>
      <c r="AA1470" s="573">
        <v>1065</v>
      </c>
      <c r="AB1470" s="571"/>
    </row>
    <row r="1471" spans="1:28" hidden="1">
      <c r="A1471" s="566" t="s">
        <v>1335</v>
      </c>
      <c r="B1471" s="566" t="s">
        <v>466</v>
      </c>
      <c r="C1471" s="566" t="s">
        <v>487</v>
      </c>
      <c r="D1471" s="566" t="s">
        <v>472</v>
      </c>
      <c r="E1471" s="566" t="s">
        <v>473</v>
      </c>
      <c r="F1471" s="566" t="s">
        <v>489</v>
      </c>
      <c r="G1471" s="567">
        <v>50</v>
      </c>
      <c r="H1471" s="566" t="s">
        <v>682</v>
      </c>
      <c r="I1471" s="568">
        <v>2</v>
      </c>
      <c r="J1471" s="569">
        <v>60</v>
      </c>
      <c r="K1471" s="569">
        <v>60</v>
      </c>
      <c r="L1471" s="566"/>
      <c r="M1471" s="566" t="s">
        <v>476</v>
      </c>
      <c r="N1471" s="570">
        <v>1101</v>
      </c>
      <c r="O1471" s="566"/>
      <c r="P1471" s="566" t="s">
        <v>477</v>
      </c>
      <c r="Q1471" s="568">
        <v>909678</v>
      </c>
      <c r="R1471" s="568">
        <v>28</v>
      </c>
      <c r="S1471" s="566" t="s">
        <v>1342</v>
      </c>
      <c r="T1471" s="571" t="s">
        <v>467</v>
      </c>
      <c r="U1471" s="571" t="s">
        <v>670</v>
      </c>
      <c r="V1471" s="571" t="s">
        <v>539</v>
      </c>
      <c r="W1471" s="572" t="s">
        <v>485</v>
      </c>
      <c r="X1471" s="571" t="s">
        <v>1337</v>
      </c>
      <c r="Y1471" s="571" t="s">
        <v>1338</v>
      </c>
      <c r="Z1471" s="566" t="s">
        <v>2384</v>
      </c>
      <c r="AA1471" s="573">
        <v>1101</v>
      </c>
      <c r="AB1471" s="571"/>
    </row>
    <row r="1472" spans="1:28" hidden="1">
      <c r="A1472" s="566" t="s">
        <v>1335</v>
      </c>
      <c r="B1472" s="566" t="s">
        <v>466</v>
      </c>
      <c r="C1472" s="566" t="s">
        <v>487</v>
      </c>
      <c r="D1472" s="566" t="s">
        <v>472</v>
      </c>
      <c r="E1472" s="566" t="s">
        <v>473</v>
      </c>
      <c r="F1472" s="566" t="s">
        <v>489</v>
      </c>
      <c r="G1472" s="567">
        <v>50</v>
      </c>
      <c r="H1472" s="566" t="s">
        <v>684</v>
      </c>
      <c r="I1472" s="568">
        <v>2</v>
      </c>
      <c r="J1472" s="569">
        <v>60</v>
      </c>
      <c r="K1472" s="569">
        <v>60</v>
      </c>
      <c r="L1472" s="566"/>
      <c r="M1472" s="566" t="s">
        <v>476</v>
      </c>
      <c r="N1472" s="570">
        <v>1137</v>
      </c>
      <c r="O1472" s="566"/>
      <c r="P1472" s="566" t="s">
        <v>477</v>
      </c>
      <c r="Q1472" s="568">
        <v>909678</v>
      </c>
      <c r="R1472" s="568">
        <v>29</v>
      </c>
      <c r="S1472" s="566" t="s">
        <v>1344</v>
      </c>
      <c r="T1472" s="571" t="s">
        <v>467</v>
      </c>
      <c r="U1472" s="571" t="s">
        <v>670</v>
      </c>
      <c r="V1472" s="571" t="s">
        <v>539</v>
      </c>
      <c r="W1472" s="572" t="s">
        <v>491</v>
      </c>
      <c r="X1472" s="571" t="s">
        <v>1337</v>
      </c>
      <c r="Y1472" s="571" t="s">
        <v>1338</v>
      </c>
      <c r="Z1472" s="566" t="s">
        <v>2385</v>
      </c>
      <c r="AA1472" s="573">
        <v>1137</v>
      </c>
      <c r="AB1472" s="571"/>
    </row>
    <row r="1473" spans="1:28" hidden="1">
      <c r="A1473" s="566" t="s">
        <v>1335</v>
      </c>
      <c r="B1473" s="566" t="s">
        <v>466</v>
      </c>
      <c r="C1473" s="566" t="s">
        <v>487</v>
      </c>
      <c r="D1473" s="566" t="s">
        <v>472</v>
      </c>
      <c r="E1473" s="566" t="s">
        <v>473</v>
      </c>
      <c r="F1473" s="566" t="s">
        <v>489</v>
      </c>
      <c r="G1473" s="567">
        <v>50</v>
      </c>
      <c r="H1473" s="566" t="s">
        <v>686</v>
      </c>
      <c r="I1473" s="568">
        <v>2</v>
      </c>
      <c r="J1473" s="569">
        <v>60</v>
      </c>
      <c r="K1473" s="569">
        <v>60</v>
      </c>
      <c r="L1473" s="566"/>
      <c r="M1473" s="566" t="s">
        <v>476</v>
      </c>
      <c r="N1473" s="570">
        <v>1173</v>
      </c>
      <c r="O1473" s="566"/>
      <c r="P1473" s="566" t="s">
        <v>477</v>
      </c>
      <c r="Q1473" s="568">
        <v>909678</v>
      </c>
      <c r="R1473" s="568">
        <v>30</v>
      </c>
      <c r="S1473" s="566" t="s">
        <v>1346</v>
      </c>
      <c r="T1473" s="571" t="s">
        <v>467</v>
      </c>
      <c r="U1473" s="571" t="s">
        <v>670</v>
      </c>
      <c r="V1473" s="571" t="s">
        <v>539</v>
      </c>
      <c r="W1473" s="572" t="s">
        <v>495</v>
      </c>
      <c r="X1473" s="571" t="s">
        <v>1337</v>
      </c>
      <c r="Y1473" s="571" t="s">
        <v>1338</v>
      </c>
      <c r="Z1473" s="566" t="s">
        <v>2386</v>
      </c>
      <c r="AA1473" s="573">
        <v>1173</v>
      </c>
      <c r="AB1473" s="571"/>
    </row>
    <row r="1474" spans="1:28" hidden="1">
      <c r="A1474" s="566" t="s">
        <v>1335</v>
      </c>
      <c r="B1474" s="566" t="s">
        <v>466</v>
      </c>
      <c r="C1474" s="566" t="s">
        <v>487</v>
      </c>
      <c r="D1474" s="566" t="s">
        <v>472</v>
      </c>
      <c r="E1474" s="566" t="s">
        <v>473</v>
      </c>
      <c r="F1474" s="566" t="s">
        <v>489</v>
      </c>
      <c r="G1474" s="567">
        <v>50</v>
      </c>
      <c r="H1474" s="566" t="s">
        <v>689</v>
      </c>
      <c r="I1474" s="568">
        <v>2</v>
      </c>
      <c r="J1474" s="569">
        <v>60</v>
      </c>
      <c r="K1474" s="569">
        <v>60</v>
      </c>
      <c r="L1474" s="566"/>
      <c r="M1474" s="566" t="s">
        <v>476</v>
      </c>
      <c r="N1474" s="570">
        <v>1209</v>
      </c>
      <c r="O1474" s="566"/>
      <c r="P1474" s="566" t="s">
        <v>477</v>
      </c>
      <c r="Q1474" s="568">
        <v>909678</v>
      </c>
      <c r="R1474" s="568">
        <v>31</v>
      </c>
      <c r="S1474" s="566" t="s">
        <v>1348</v>
      </c>
      <c r="T1474" s="571" t="s">
        <v>467</v>
      </c>
      <c r="U1474" s="571" t="s">
        <v>670</v>
      </c>
      <c r="V1474" s="571" t="s">
        <v>539</v>
      </c>
      <c r="W1474" s="572" t="s">
        <v>1276</v>
      </c>
      <c r="X1474" s="571" t="s">
        <v>1337</v>
      </c>
      <c r="Y1474" s="571" t="s">
        <v>1338</v>
      </c>
      <c r="Z1474" s="566" t="s">
        <v>2387</v>
      </c>
      <c r="AA1474" s="573">
        <v>1209</v>
      </c>
      <c r="AB1474" s="571"/>
    </row>
    <row r="1475" spans="1:28" hidden="1">
      <c r="A1475" s="566" t="s">
        <v>1335</v>
      </c>
      <c r="B1475" s="566" t="s">
        <v>466</v>
      </c>
      <c r="C1475" s="566" t="s">
        <v>487</v>
      </c>
      <c r="D1475" s="566" t="s">
        <v>472</v>
      </c>
      <c r="E1475" s="566" t="s">
        <v>473</v>
      </c>
      <c r="F1475" s="566" t="s">
        <v>489</v>
      </c>
      <c r="G1475" s="567">
        <v>50</v>
      </c>
      <c r="H1475" s="566" t="s">
        <v>692</v>
      </c>
      <c r="I1475" s="568">
        <v>2</v>
      </c>
      <c r="J1475" s="569">
        <v>60</v>
      </c>
      <c r="K1475" s="569">
        <v>60</v>
      </c>
      <c r="L1475" s="566"/>
      <c r="M1475" s="566" t="s">
        <v>476</v>
      </c>
      <c r="N1475" s="570">
        <v>1245</v>
      </c>
      <c r="O1475" s="566"/>
      <c r="P1475" s="566" t="s">
        <v>477</v>
      </c>
      <c r="Q1475" s="568">
        <v>909678</v>
      </c>
      <c r="R1475" s="568">
        <v>32</v>
      </c>
      <c r="S1475" s="566" t="s">
        <v>1350</v>
      </c>
      <c r="T1475" s="571" t="s">
        <v>467</v>
      </c>
      <c r="U1475" s="571" t="s">
        <v>670</v>
      </c>
      <c r="V1475" s="571" t="s">
        <v>539</v>
      </c>
      <c r="W1475" s="572" t="s">
        <v>1277</v>
      </c>
      <c r="X1475" s="571" t="s">
        <v>1337</v>
      </c>
      <c r="Y1475" s="571" t="s">
        <v>1338</v>
      </c>
      <c r="Z1475" s="566" t="s">
        <v>2388</v>
      </c>
      <c r="AA1475" s="573">
        <v>1245</v>
      </c>
      <c r="AB1475" s="571"/>
    </row>
    <row r="1476" spans="1:28" hidden="1">
      <c r="A1476" s="566" t="s">
        <v>1335</v>
      </c>
      <c r="B1476" s="566" t="s">
        <v>466</v>
      </c>
      <c r="C1476" s="566" t="s">
        <v>471</v>
      </c>
      <c r="D1476" s="566" t="s">
        <v>472</v>
      </c>
      <c r="E1476" s="566" t="s">
        <v>473</v>
      </c>
      <c r="F1476" s="566" t="s">
        <v>474</v>
      </c>
      <c r="G1476" s="567">
        <v>0</v>
      </c>
      <c r="H1476" s="566" t="s">
        <v>2117</v>
      </c>
      <c r="I1476" s="568">
        <v>2</v>
      </c>
      <c r="J1476" s="569">
        <v>60</v>
      </c>
      <c r="K1476" s="569">
        <v>60</v>
      </c>
      <c r="L1476" s="566"/>
      <c r="M1476" s="566" t="s">
        <v>476</v>
      </c>
      <c r="N1476" s="570">
        <v>1281</v>
      </c>
      <c r="O1476" s="566"/>
      <c r="P1476" s="566" t="s">
        <v>477</v>
      </c>
      <c r="Q1476" s="568">
        <v>909678</v>
      </c>
      <c r="R1476" s="568">
        <v>27</v>
      </c>
      <c r="S1476" s="566" t="s">
        <v>1353</v>
      </c>
      <c r="T1476" s="571" t="s">
        <v>467</v>
      </c>
      <c r="U1476" s="571" t="s">
        <v>670</v>
      </c>
      <c r="V1476" s="571" t="s">
        <v>539</v>
      </c>
      <c r="W1476" s="572" t="s">
        <v>1354</v>
      </c>
      <c r="X1476" s="571" t="s">
        <v>1337</v>
      </c>
      <c r="Y1476" s="571" t="s">
        <v>1338</v>
      </c>
      <c r="Z1476" s="566" t="s">
        <v>2389</v>
      </c>
      <c r="AA1476" s="573">
        <v>1281</v>
      </c>
      <c r="AB1476" s="571"/>
    </row>
    <row r="1477" spans="1:28" hidden="1">
      <c r="A1477" s="566" t="s">
        <v>1335</v>
      </c>
      <c r="B1477" s="566" t="s">
        <v>466</v>
      </c>
      <c r="C1477" s="566" t="s">
        <v>487</v>
      </c>
      <c r="D1477" s="566" t="s">
        <v>472</v>
      </c>
      <c r="E1477" s="566" t="s">
        <v>473</v>
      </c>
      <c r="F1477" s="566" t="s">
        <v>489</v>
      </c>
      <c r="G1477" s="567">
        <v>50</v>
      </c>
      <c r="H1477" s="566" t="s">
        <v>2119</v>
      </c>
      <c r="I1477" s="568">
        <v>2</v>
      </c>
      <c r="J1477" s="569">
        <v>60</v>
      </c>
      <c r="K1477" s="569">
        <v>60</v>
      </c>
      <c r="L1477" s="566"/>
      <c r="M1477" s="566" t="s">
        <v>476</v>
      </c>
      <c r="N1477" s="570">
        <v>1317</v>
      </c>
      <c r="O1477" s="566"/>
      <c r="P1477" s="566" t="s">
        <v>477</v>
      </c>
      <c r="Q1477" s="568">
        <v>909678</v>
      </c>
      <c r="R1477" s="568">
        <v>33</v>
      </c>
      <c r="S1477" s="566" t="s">
        <v>1357</v>
      </c>
      <c r="T1477" s="571" t="s">
        <v>467</v>
      </c>
      <c r="U1477" s="571" t="s">
        <v>670</v>
      </c>
      <c r="V1477" s="571" t="s">
        <v>539</v>
      </c>
      <c r="W1477" s="572" t="s">
        <v>1358</v>
      </c>
      <c r="X1477" s="571" t="s">
        <v>1337</v>
      </c>
      <c r="Y1477" s="571" t="s">
        <v>1338</v>
      </c>
      <c r="Z1477" s="566" t="s">
        <v>2390</v>
      </c>
      <c r="AA1477" s="573">
        <v>1317</v>
      </c>
      <c r="AB1477" s="571"/>
    </row>
    <row r="1478" spans="1:28" hidden="1">
      <c r="A1478" s="566" t="s">
        <v>1335</v>
      </c>
      <c r="B1478" s="566" t="s">
        <v>466</v>
      </c>
      <c r="C1478" s="566" t="s">
        <v>471</v>
      </c>
      <c r="D1478" s="566" t="s">
        <v>472</v>
      </c>
      <c r="E1478" s="566" t="s">
        <v>473</v>
      </c>
      <c r="F1478" s="566" t="s">
        <v>474</v>
      </c>
      <c r="G1478" s="567">
        <v>0</v>
      </c>
      <c r="H1478" s="566" t="s">
        <v>704</v>
      </c>
      <c r="I1478" s="568">
        <v>2</v>
      </c>
      <c r="J1478" s="569">
        <v>60</v>
      </c>
      <c r="K1478" s="569">
        <v>60</v>
      </c>
      <c r="L1478" s="566"/>
      <c r="M1478" s="566" t="s">
        <v>476</v>
      </c>
      <c r="N1478" s="570">
        <v>921</v>
      </c>
      <c r="O1478" s="566"/>
      <c r="P1478" s="566" t="s">
        <v>477</v>
      </c>
      <c r="Q1478" s="568">
        <v>909678</v>
      </c>
      <c r="R1478" s="568">
        <v>22</v>
      </c>
      <c r="S1478" s="566" t="s">
        <v>1360</v>
      </c>
      <c r="T1478" s="571" t="s">
        <v>467</v>
      </c>
      <c r="U1478" s="571" t="s">
        <v>670</v>
      </c>
      <c r="V1478" s="571" t="s">
        <v>539</v>
      </c>
      <c r="W1478" s="572" t="s">
        <v>509</v>
      </c>
      <c r="X1478" s="571" t="s">
        <v>1337</v>
      </c>
      <c r="Y1478" s="571" t="s">
        <v>1338</v>
      </c>
      <c r="Z1478" s="566" t="s">
        <v>2391</v>
      </c>
      <c r="AA1478" s="573">
        <v>921</v>
      </c>
      <c r="AB1478" s="571"/>
    </row>
    <row r="1479" spans="1:28" hidden="1">
      <c r="A1479" s="566" t="s">
        <v>1335</v>
      </c>
      <c r="B1479" s="566" t="s">
        <v>466</v>
      </c>
      <c r="C1479" s="566" t="s">
        <v>471</v>
      </c>
      <c r="D1479" s="566" t="s">
        <v>472</v>
      </c>
      <c r="E1479" s="566" t="s">
        <v>473</v>
      </c>
      <c r="F1479" s="566" t="s">
        <v>474</v>
      </c>
      <c r="G1479" s="567">
        <v>0</v>
      </c>
      <c r="H1479" s="566" t="s">
        <v>706</v>
      </c>
      <c r="I1479" s="568">
        <v>2</v>
      </c>
      <c r="J1479" s="569">
        <v>60</v>
      </c>
      <c r="K1479" s="569">
        <v>60</v>
      </c>
      <c r="L1479" s="566"/>
      <c r="M1479" s="566" t="s">
        <v>476</v>
      </c>
      <c r="N1479" s="570">
        <v>957</v>
      </c>
      <c r="O1479" s="566"/>
      <c r="P1479" s="566" t="s">
        <v>477</v>
      </c>
      <c r="Q1479" s="568">
        <v>909678</v>
      </c>
      <c r="R1479" s="568">
        <v>23</v>
      </c>
      <c r="S1479" s="566" t="s">
        <v>1362</v>
      </c>
      <c r="T1479" s="571" t="s">
        <v>467</v>
      </c>
      <c r="U1479" s="571" t="s">
        <v>670</v>
      </c>
      <c r="V1479" s="571" t="s">
        <v>539</v>
      </c>
      <c r="W1479" s="572" t="s">
        <v>512</v>
      </c>
      <c r="X1479" s="571" t="s">
        <v>1337</v>
      </c>
      <c r="Y1479" s="571" t="s">
        <v>1338</v>
      </c>
      <c r="Z1479" s="566" t="s">
        <v>2392</v>
      </c>
      <c r="AA1479" s="573">
        <v>957</v>
      </c>
      <c r="AB1479" s="571"/>
    </row>
    <row r="1480" spans="1:28" hidden="1">
      <c r="A1480" s="566" t="s">
        <v>1335</v>
      </c>
      <c r="B1480" s="566" t="s">
        <v>466</v>
      </c>
      <c r="C1480" s="566" t="s">
        <v>471</v>
      </c>
      <c r="D1480" s="566" t="s">
        <v>472</v>
      </c>
      <c r="E1480" s="566" t="s">
        <v>473</v>
      </c>
      <c r="F1480" s="566" t="s">
        <v>474</v>
      </c>
      <c r="G1480" s="567">
        <v>0</v>
      </c>
      <c r="H1480" s="566" t="s">
        <v>708</v>
      </c>
      <c r="I1480" s="568">
        <v>2</v>
      </c>
      <c r="J1480" s="569">
        <v>60</v>
      </c>
      <c r="K1480" s="569">
        <v>60</v>
      </c>
      <c r="L1480" s="566"/>
      <c r="M1480" s="566" t="s">
        <v>476</v>
      </c>
      <c r="N1480" s="570">
        <v>993</v>
      </c>
      <c r="O1480" s="566"/>
      <c r="P1480" s="566" t="s">
        <v>477</v>
      </c>
      <c r="Q1480" s="568">
        <v>909678</v>
      </c>
      <c r="R1480" s="568">
        <v>24</v>
      </c>
      <c r="S1480" s="566" t="s">
        <v>1364</v>
      </c>
      <c r="T1480" s="571" t="s">
        <v>467</v>
      </c>
      <c r="U1480" s="571" t="s">
        <v>670</v>
      </c>
      <c r="V1480" s="571" t="s">
        <v>539</v>
      </c>
      <c r="W1480" s="572" t="s">
        <v>514</v>
      </c>
      <c r="X1480" s="571" t="s">
        <v>1337</v>
      </c>
      <c r="Y1480" s="571" t="s">
        <v>1338</v>
      </c>
      <c r="Z1480" s="566" t="s">
        <v>2393</v>
      </c>
      <c r="AA1480" s="573">
        <v>993</v>
      </c>
      <c r="AB1480" s="571"/>
    </row>
    <row r="1481" spans="1:28" hidden="1">
      <c r="A1481" s="566" t="s">
        <v>1335</v>
      </c>
      <c r="B1481" s="566" t="s">
        <v>466</v>
      </c>
      <c r="C1481" s="566" t="s">
        <v>471</v>
      </c>
      <c r="D1481" s="566" t="s">
        <v>472</v>
      </c>
      <c r="E1481" s="566" t="s">
        <v>473</v>
      </c>
      <c r="F1481" s="566" t="s">
        <v>474</v>
      </c>
      <c r="G1481" s="567">
        <v>0</v>
      </c>
      <c r="H1481" s="566" t="s">
        <v>677</v>
      </c>
      <c r="I1481" s="568">
        <v>2</v>
      </c>
      <c r="J1481" s="569">
        <v>84</v>
      </c>
      <c r="K1481" s="569">
        <v>84</v>
      </c>
      <c r="L1481" s="566"/>
      <c r="M1481" s="566" t="s">
        <v>476</v>
      </c>
      <c r="N1481" s="570">
        <v>1569</v>
      </c>
      <c r="O1481" s="566"/>
      <c r="P1481" s="566" t="s">
        <v>477</v>
      </c>
      <c r="Q1481" s="568">
        <v>909678</v>
      </c>
      <c r="R1481" s="568">
        <v>40</v>
      </c>
      <c r="S1481" s="566" t="s">
        <v>1366</v>
      </c>
      <c r="T1481" s="571" t="s">
        <v>467</v>
      </c>
      <c r="U1481" s="571" t="s">
        <v>670</v>
      </c>
      <c r="V1481" s="571" t="s">
        <v>539</v>
      </c>
      <c r="W1481" s="572" t="s">
        <v>1274</v>
      </c>
      <c r="X1481" s="571" t="s">
        <v>1337</v>
      </c>
      <c r="Y1481" s="571" t="s">
        <v>1367</v>
      </c>
      <c r="Z1481" s="566" t="s">
        <v>2394</v>
      </c>
      <c r="AA1481" s="573">
        <v>1569</v>
      </c>
      <c r="AB1481" s="571"/>
    </row>
    <row r="1482" spans="1:28" hidden="1">
      <c r="A1482" s="566" t="s">
        <v>1335</v>
      </c>
      <c r="B1482" s="566" t="s">
        <v>466</v>
      </c>
      <c r="C1482" s="566" t="s">
        <v>471</v>
      </c>
      <c r="D1482" s="566" t="s">
        <v>472</v>
      </c>
      <c r="E1482" s="566" t="s">
        <v>473</v>
      </c>
      <c r="F1482" s="566" t="s">
        <v>474</v>
      </c>
      <c r="G1482" s="567">
        <v>0</v>
      </c>
      <c r="H1482" s="566" t="s">
        <v>680</v>
      </c>
      <c r="I1482" s="568">
        <v>2</v>
      </c>
      <c r="J1482" s="569">
        <v>84</v>
      </c>
      <c r="K1482" s="569">
        <v>84</v>
      </c>
      <c r="L1482" s="566"/>
      <c r="M1482" s="566" t="s">
        <v>476</v>
      </c>
      <c r="N1482" s="570">
        <v>1605</v>
      </c>
      <c r="O1482" s="566"/>
      <c r="P1482" s="566" t="s">
        <v>477</v>
      </c>
      <c r="Q1482" s="568">
        <v>909678</v>
      </c>
      <c r="R1482" s="568">
        <v>41</v>
      </c>
      <c r="S1482" s="566" t="s">
        <v>1369</v>
      </c>
      <c r="T1482" s="571" t="s">
        <v>467</v>
      </c>
      <c r="U1482" s="571" t="s">
        <v>670</v>
      </c>
      <c r="V1482" s="571" t="s">
        <v>539</v>
      </c>
      <c r="W1482" s="572" t="s">
        <v>1275</v>
      </c>
      <c r="X1482" s="571" t="s">
        <v>1337</v>
      </c>
      <c r="Y1482" s="571" t="s">
        <v>1367</v>
      </c>
      <c r="Z1482" s="566" t="s">
        <v>2395</v>
      </c>
      <c r="AA1482" s="573">
        <v>1605</v>
      </c>
      <c r="AB1482" s="571"/>
    </row>
    <row r="1483" spans="1:28" hidden="1">
      <c r="A1483" s="566" t="s">
        <v>1335</v>
      </c>
      <c r="B1483" s="566" t="s">
        <v>466</v>
      </c>
      <c r="C1483" s="566" t="s">
        <v>487</v>
      </c>
      <c r="D1483" s="566" t="s">
        <v>472</v>
      </c>
      <c r="E1483" s="566" t="s">
        <v>473</v>
      </c>
      <c r="F1483" s="566" t="s">
        <v>489</v>
      </c>
      <c r="G1483" s="567">
        <v>50</v>
      </c>
      <c r="H1483" s="566" t="s">
        <v>689</v>
      </c>
      <c r="I1483" s="568">
        <v>2</v>
      </c>
      <c r="J1483" s="569">
        <v>84</v>
      </c>
      <c r="K1483" s="569">
        <v>84</v>
      </c>
      <c r="L1483" s="566"/>
      <c r="M1483" s="566" t="s">
        <v>476</v>
      </c>
      <c r="N1483" s="570">
        <v>1641</v>
      </c>
      <c r="O1483" s="566"/>
      <c r="P1483" s="566" t="s">
        <v>477</v>
      </c>
      <c r="Q1483" s="568">
        <v>909678</v>
      </c>
      <c r="R1483" s="568">
        <v>43</v>
      </c>
      <c r="S1483" s="566" t="s">
        <v>1371</v>
      </c>
      <c r="T1483" s="571" t="s">
        <v>467</v>
      </c>
      <c r="U1483" s="571" t="s">
        <v>670</v>
      </c>
      <c r="V1483" s="571" t="s">
        <v>539</v>
      </c>
      <c r="W1483" s="572" t="s">
        <v>1276</v>
      </c>
      <c r="X1483" s="571" t="s">
        <v>1337</v>
      </c>
      <c r="Y1483" s="571" t="s">
        <v>1367</v>
      </c>
      <c r="Z1483" s="566" t="s">
        <v>2396</v>
      </c>
      <c r="AA1483" s="573">
        <v>1641</v>
      </c>
      <c r="AB1483" s="571"/>
    </row>
    <row r="1484" spans="1:28" hidden="1">
      <c r="A1484" s="566" t="s">
        <v>1335</v>
      </c>
      <c r="B1484" s="566" t="s">
        <v>466</v>
      </c>
      <c r="C1484" s="566" t="s">
        <v>487</v>
      </c>
      <c r="D1484" s="566" t="s">
        <v>472</v>
      </c>
      <c r="E1484" s="566" t="s">
        <v>473</v>
      </c>
      <c r="F1484" s="566" t="s">
        <v>489</v>
      </c>
      <c r="G1484" s="567">
        <v>50</v>
      </c>
      <c r="H1484" s="566" t="s">
        <v>692</v>
      </c>
      <c r="I1484" s="568">
        <v>2</v>
      </c>
      <c r="J1484" s="569">
        <v>84</v>
      </c>
      <c r="K1484" s="569">
        <v>84</v>
      </c>
      <c r="L1484" s="566"/>
      <c r="M1484" s="566" t="s">
        <v>476</v>
      </c>
      <c r="N1484" s="570">
        <v>1677</v>
      </c>
      <c r="O1484" s="566"/>
      <c r="P1484" s="566" t="s">
        <v>477</v>
      </c>
      <c r="Q1484" s="568">
        <v>909678</v>
      </c>
      <c r="R1484" s="568">
        <v>44</v>
      </c>
      <c r="S1484" s="566" t="s">
        <v>1373</v>
      </c>
      <c r="T1484" s="571" t="s">
        <v>467</v>
      </c>
      <c r="U1484" s="571" t="s">
        <v>670</v>
      </c>
      <c r="V1484" s="571" t="s">
        <v>539</v>
      </c>
      <c r="W1484" s="572" t="s">
        <v>1277</v>
      </c>
      <c r="X1484" s="571" t="s">
        <v>1337</v>
      </c>
      <c r="Y1484" s="571" t="s">
        <v>1367</v>
      </c>
      <c r="Z1484" s="566" t="s">
        <v>2397</v>
      </c>
      <c r="AA1484" s="573">
        <v>1677</v>
      </c>
      <c r="AB1484" s="571"/>
    </row>
    <row r="1485" spans="1:28" hidden="1">
      <c r="A1485" s="566" t="s">
        <v>1335</v>
      </c>
      <c r="B1485" s="566" t="s">
        <v>466</v>
      </c>
      <c r="C1485" s="566" t="s">
        <v>471</v>
      </c>
      <c r="D1485" s="566" t="s">
        <v>472</v>
      </c>
      <c r="E1485" s="566" t="s">
        <v>473</v>
      </c>
      <c r="F1485" s="566" t="s">
        <v>474</v>
      </c>
      <c r="G1485" s="567">
        <v>0</v>
      </c>
      <c r="H1485" s="566" t="s">
        <v>2117</v>
      </c>
      <c r="I1485" s="568">
        <v>2</v>
      </c>
      <c r="J1485" s="569">
        <v>84</v>
      </c>
      <c r="K1485" s="569">
        <v>84</v>
      </c>
      <c r="L1485" s="566"/>
      <c r="M1485" s="566" t="s">
        <v>476</v>
      </c>
      <c r="N1485" s="570">
        <v>1713</v>
      </c>
      <c r="O1485" s="566"/>
      <c r="P1485" s="566" t="s">
        <v>477</v>
      </c>
      <c r="Q1485" s="568">
        <v>909678</v>
      </c>
      <c r="R1485" s="568">
        <v>42</v>
      </c>
      <c r="S1485" s="566" t="s">
        <v>1375</v>
      </c>
      <c r="T1485" s="571" t="s">
        <v>467</v>
      </c>
      <c r="U1485" s="571" t="s">
        <v>670</v>
      </c>
      <c r="V1485" s="571" t="s">
        <v>539</v>
      </c>
      <c r="W1485" s="572" t="s">
        <v>1354</v>
      </c>
      <c r="X1485" s="571" t="s">
        <v>1337</v>
      </c>
      <c r="Y1485" s="571" t="s">
        <v>1367</v>
      </c>
      <c r="Z1485" s="566" t="s">
        <v>2398</v>
      </c>
      <c r="AA1485" s="573">
        <v>1713</v>
      </c>
      <c r="AB1485" s="571"/>
    </row>
    <row r="1486" spans="1:28" hidden="1">
      <c r="A1486" s="566" t="s">
        <v>1335</v>
      </c>
      <c r="B1486" s="566" t="s">
        <v>466</v>
      </c>
      <c r="C1486" s="566" t="s">
        <v>487</v>
      </c>
      <c r="D1486" s="566" t="s">
        <v>472</v>
      </c>
      <c r="E1486" s="566" t="s">
        <v>473</v>
      </c>
      <c r="F1486" s="566" t="s">
        <v>489</v>
      </c>
      <c r="G1486" s="567">
        <v>50</v>
      </c>
      <c r="H1486" s="566" t="s">
        <v>2119</v>
      </c>
      <c r="I1486" s="568">
        <v>2</v>
      </c>
      <c r="J1486" s="569">
        <v>84</v>
      </c>
      <c r="K1486" s="569">
        <v>84</v>
      </c>
      <c r="L1486" s="566"/>
      <c r="M1486" s="566" t="s">
        <v>476</v>
      </c>
      <c r="N1486" s="570">
        <v>1749</v>
      </c>
      <c r="O1486" s="566"/>
      <c r="P1486" s="566" t="s">
        <v>477</v>
      </c>
      <c r="Q1486" s="568">
        <v>909678</v>
      </c>
      <c r="R1486" s="568">
        <v>45</v>
      </c>
      <c r="S1486" s="566" t="s">
        <v>1377</v>
      </c>
      <c r="T1486" s="571" t="s">
        <v>467</v>
      </c>
      <c r="U1486" s="571" t="s">
        <v>670</v>
      </c>
      <c r="V1486" s="571" t="s">
        <v>539</v>
      </c>
      <c r="W1486" s="572" t="s">
        <v>1358</v>
      </c>
      <c r="X1486" s="571" t="s">
        <v>1337</v>
      </c>
      <c r="Y1486" s="571" t="s">
        <v>1367</v>
      </c>
      <c r="Z1486" s="566" t="s">
        <v>2399</v>
      </c>
      <c r="AA1486" s="573">
        <v>1749</v>
      </c>
      <c r="AB1486" s="571"/>
    </row>
    <row r="1487" spans="1:28" hidden="1">
      <c r="A1487" s="566" t="s">
        <v>1335</v>
      </c>
      <c r="B1487" s="566" t="s">
        <v>466</v>
      </c>
      <c r="C1487" s="566" t="s">
        <v>553</v>
      </c>
      <c r="D1487" s="566" t="s">
        <v>472</v>
      </c>
      <c r="E1487" s="566" t="s">
        <v>473</v>
      </c>
      <c r="F1487" s="566" t="s">
        <v>554</v>
      </c>
      <c r="G1487" s="567">
        <v>13</v>
      </c>
      <c r="H1487" s="566" t="s">
        <v>758</v>
      </c>
      <c r="I1487" s="568">
        <v>2</v>
      </c>
      <c r="J1487" s="569">
        <v>22</v>
      </c>
      <c r="K1487" s="569">
        <v>22</v>
      </c>
      <c r="L1487" s="569">
        <v>17</v>
      </c>
      <c r="M1487" s="566" t="s">
        <v>476</v>
      </c>
      <c r="N1487" s="570">
        <v>174</v>
      </c>
      <c r="O1487" s="566"/>
      <c r="P1487" s="566" t="s">
        <v>477</v>
      </c>
      <c r="Q1487" s="568">
        <v>909678</v>
      </c>
      <c r="R1487" s="568">
        <v>9</v>
      </c>
      <c r="S1487" s="566" t="s">
        <v>1379</v>
      </c>
      <c r="T1487" s="571" t="s">
        <v>467</v>
      </c>
      <c r="U1487" s="571" t="s">
        <v>670</v>
      </c>
      <c r="V1487" s="571" t="s">
        <v>539</v>
      </c>
      <c r="W1487" s="572" t="s">
        <v>551</v>
      </c>
      <c r="X1487" s="571" t="s">
        <v>1380</v>
      </c>
      <c r="Y1487" s="571" t="s">
        <v>1338</v>
      </c>
      <c r="Z1487" s="566" t="s">
        <v>757</v>
      </c>
      <c r="AA1487" s="573">
        <v>174</v>
      </c>
      <c r="AB1487" s="571">
        <v>260073</v>
      </c>
    </row>
    <row r="1488" spans="1:28" hidden="1">
      <c r="A1488" s="566" t="s">
        <v>1335</v>
      </c>
      <c r="B1488" s="566" t="s">
        <v>466</v>
      </c>
      <c r="C1488" s="566" t="s">
        <v>553</v>
      </c>
      <c r="D1488" s="566" t="s">
        <v>472</v>
      </c>
      <c r="E1488" s="566" t="s">
        <v>473</v>
      </c>
      <c r="F1488" s="566" t="s">
        <v>554</v>
      </c>
      <c r="G1488" s="567">
        <v>16</v>
      </c>
      <c r="H1488" s="566" t="s">
        <v>760</v>
      </c>
      <c r="I1488" s="568">
        <v>2</v>
      </c>
      <c r="J1488" s="569">
        <v>22</v>
      </c>
      <c r="K1488" s="569">
        <v>22</v>
      </c>
      <c r="L1488" s="569">
        <v>17</v>
      </c>
      <c r="M1488" s="566" t="s">
        <v>476</v>
      </c>
      <c r="N1488" s="570">
        <v>318</v>
      </c>
      <c r="O1488" s="566"/>
      <c r="P1488" s="566" t="s">
        <v>477</v>
      </c>
      <c r="Q1488" s="568">
        <v>909678</v>
      </c>
      <c r="R1488" s="568">
        <v>4</v>
      </c>
      <c r="S1488" s="566" t="s">
        <v>1381</v>
      </c>
      <c r="T1488" s="571" t="s">
        <v>467</v>
      </c>
      <c r="U1488" s="571" t="s">
        <v>670</v>
      </c>
      <c r="V1488" s="571" t="s">
        <v>539</v>
      </c>
      <c r="W1488" s="572" t="s">
        <v>556</v>
      </c>
      <c r="X1488" s="571" t="s">
        <v>1380</v>
      </c>
      <c r="Y1488" s="571" t="s">
        <v>1338</v>
      </c>
      <c r="Z1488" s="566" t="s">
        <v>759</v>
      </c>
      <c r="AA1488" s="573">
        <v>318</v>
      </c>
      <c r="AB1488" s="571">
        <v>260217</v>
      </c>
    </row>
    <row r="1489" spans="1:28" hidden="1">
      <c r="A1489" s="566" t="s">
        <v>1335</v>
      </c>
      <c r="B1489" s="566" t="s">
        <v>466</v>
      </c>
      <c r="C1489" s="566" t="s">
        <v>471</v>
      </c>
      <c r="D1489" s="566" t="s">
        <v>472</v>
      </c>
      <c r="E1489" s="566" t="s">
        <v>473</v>
      </c>
      <c r="F1489" s="566" t="s">
        <v>474</v>
      </c>
      <c r="G1489" s="567">
        <v>0</v>
      </c>
      <c r="H1489" s="566" t="s">
        <v>677</v>
      </c>
      <c r="I1489" s="568">
        <v>2</v>
      </c>
      <c r="J1489" s="569">
        <v>12</v>
      </c>
      <c r="K1489" s="569">
        <v>12</v>
      </c>
      <c r="L1489" s="566"/>
      <c r="M1489" s="566" t="s">
        <v>476</v>
      </c>
      <c r="N1489" s="570">
        <v>489</v>
      </c>
      <c r="O1489" s="566"/>
      <c r="P1489" s="566" t="s">
        <v>477</v>
      </c>
      <c r="Q1489" s="568">
        <v>909678</v>
      </c>
      <c r="R1489" s="568">
        <v>10</v>
      </c>
      <c r="S1489" s="566" t="s">
        <v>1382</v>
      </c>
      <c r="T1489" s="571" t="s">
        <v>467</v>
      </c>
      <c r="U1489" s="571" t="s">
        <v>670</v>
      </c>
      <c r="V1489" s="571" t="s">
        <v>539</v>
      </c>
      <c r="W1489" s="572" t="s">
        <v>1274</v>
      </c>
      <c r="X1489" s="571" t="s">
        <v>1380</v>
      </c>
      <c r="Y1489" s="571" t="s">
        <v>1338</v>
      </c>
      <c r="Z1489" s="566" t="s">
        <v>761</v>
      </c>
      <c r="AA1489" s="573">
        <v>489</v>
      </c>
      <c r="AB1489" s="571"/>
    </row>
    <row r="1490" spans="1:28" hidden="1">
      <c r="A1490" s="566" t="s">
        <v>1335</v>
      </c>
      <c r="B1490" s="566" t="s">
        <v>466</v>
      </c>
      <c r="C1490" s="566" t="s">
        <v>471</v>
      </c>
      <c r="D1490" s="566" t="s">
        <v>472</v>
      </c>
      <c r="E1490" s="566" t="s">
        <v>473</v>
      </c>
      <c r="F1490" s="566" t="s">
        <v>474</v>
      </c>
      <c r="G1490" s="567">
        <v>0</v>
      </c>
      <c r="H1490" s="566" t="s">
        <v>680</v>
      </c>
      <c r="I1490" s="568">
        <v>2</v>
      </c>
      <c r="J1490" s="569">
        <v>12</v>
      </c>
      <c r="K1490" s="569">
        <v>12</v>
      </c>
      <c r="L1490" s="566"/>
      <c r="M1490" s="566" t="s">
        <v>476</v>
      </c>
      <c r="N1490" s="570">
        <v>561</v>
      </c>
      <c r="O1490" s="566"/>
      <c r="P1490" s="566" t="s">
        <v>477</v>
      </c>
      <c r="Q1490" s="568">
        <v>909678</v>
      </c>
      <c r="R1490" s="568">
        <v>15</v>
      </c>
      <c r="S1490" s="566" t="s">
        <v>483</v>
      </c>
      <c r="T1490" s="571" t="s">
        <v>467</v>
      </c>
      <c r="U1490" s="571" t="s">
        <v>670</v>
      </c>
      <c r="V1490" s="571" t="s">
        <v>539</v>
      </c>
      <c r="W1490" s="572" t="s">
        <v>1275</v>
      </c>
      <c r="X1490" s="571" t="s">
        <v>1380</v>
      </c>
      <c r="Y1490" s="571" t="s">
        <v>1338</v>
      </c>
      <c r="Z1490" s="566" t="s">
        <v>762</v>
      </c>
      <c r="AA1490" s="573">
        <v>561</v>
      </c>
      <c r="AB1490" s="571"/>
    </row>
    <row r="1491" spans="1:28" hidden="1">
      <c r="A1491" s="566" t="s">
        <v>1335</v>
      </c>
      <c r="B1491" s="566" t="s">
        <v>466</v>
      </c>
      <c r="C1491" s="566" t="s">
        <v>487</v>
      </c>
      <c r="D1491" s="566" t="s">
        <v>472</v>
      </c>
      <c r="E1491" s="566" t="s">
        <v>473</v>
      </c>
      <c r="F1491" s="566" t="s">
        <v>489</v>
      </c>
      <c r="G1491" s="567">
        <v>50</v>
      </c>
      <c r="H1491" s="566" t="s">
        <v>682</v>
      </c>
      <c r="I1491" s="568">
        <v>2</v>
      </c>
      <c r="J1491" s="569">
        <v>12</v>
      </c>
      <c r="K1491" s="569">
        <v>12</v>
      </c>
      <c r="L1491" s="566"/>
      <c r="M1491" s="566" t="s">
        <v>476</v>
      </c>
      <c r="N1491" s="570">
        <v>597</v>
      </c>
      <c r="O1491" s="566"/>
      <c r="P1491" s="566" t="s">
        <v>477</v>
      </c>
      <c r="Q1491" s="568">
        <v>909678</v>
      </c>
      <c r="R1491" s="568">
        <v>16</v>
      </c>
      <c r="S1491" s="566" t="s">
        <v>488</v>
      </c>
      <c r="T1491" s="571" t="s">
        <v>467</v>
      </c>
      <c r="U1491" s="571" t="s">
        <v>670</v>
      </c>
      <c r="V1491" s="571" t="s">
        <v>539</v>
      </c>
      <c r="W1491" s="572" t="s">
        <v>485</v>
      </c>
      <c r="X1491" s="571" t="s">
        <v>1380</v>
      </c>
      <c r="Y1491" s="571" t="s">
        <v>1338</v>
      </c>
      <c r="Z1491" s="566" t="s">
        <v>763</v>
      </c>
      <c r="AA1491" s="573">
        <v>597</v>
      </c>
      <c r="AB1491" s="571"/>
    </row>
    <row r="1492" spans="1:28" hidden="1">
      <c r="A1492" s="566" t="s">
        <v>1335</v>
      </c>
      <c r="B1492" s="566" t="s">
        <v>466</v>
      </c>
      <c r="C1492" s="566" t="s">
        <v>487</v>
      </c>
      <c r="D1492" s="566" t="s">
        <v>472</v>
      </c>
      <c r="E1492" s="566" t="s">
        <v>473</v>
      </c>
      <c r="F1492" s="566" t="s">
        <v>489</v>
      </c>
      <c r="G1492" s="567">
        <v>50</v>
      </c>
      <c r="H1492" s="566" t="s">
        <v>684</v>
      </c>
      <c r="I1492" s="568">
        <v>2</v>
      </c>
      <c r="J1492" s="569">
        <v>12</v>
      </c>
      <c r="K1492" s="569">
        <v>12</v>
      </c>
      <c r="L1492" s="566"/>
      <c r="M1492" s="566" t="s">
        <v>476</v>
      </c>
      <c r="N1492" s="570">
        <v>633</v>
      </c>
      <c r="O1492" s="566"/>
      <c r="P1492" s="566" t="s">
        <v>477</v>
      </c>
      <c r="Q1492" s="568">
        <v>909678</v>
      </c>
      <c r="R1492" s="568">
        <v>17</v>
      </c>
      <c r="S1492" s="566" t="s">
        <v>493</v>
      </c>
      <c r="T1492" s="571" t="s">
        <v>467</v>
      </c>
      <c r="U1492" s="571" t="s">
        <v>670</v>
      </c>
      <c r="V1492" s="571" t="s">
        <v>539</v>
      </c>
      <c r="W1492" s="572" t="s">
        <v>491</v>
      </c>
      <c r="X1492" s="571" t="s">
        <v>1380</v>
      </c>
      <c r="Y1492" s="571" t="s">
        <v>1338</v>
      </c>
      <c r="Z1492" s="566" t="s">
        <v>764</v>
      </c>
      <c r="AA1492" s="573">
        <v>633</v>
      </c>
      <c r="AB1492" s="571"/>
    </row>
    <row r="1493" spans="1:28" hidden="1">
      <c r="A1493" s="566" t="s">
        <v>1335</v>
      </c>
      <c r="B1493" s="566" t="s">
        <v>466</v>
      </c>
      <c r="C1493" s="566" t="s">
        <v>487</v>
      </c>
      <c r="D1493" s="566" t="s">
        <v>472</v>
      </c>
      <c r="E1493" s="566" t="s">
        <v>473</v>
      </c>
      <c r="F1493" s="566" t="s">
        <v>489</v>
      </c>
      <c r="G1493" s="567">
        <v>50</v>
      </c>
      <c r="H1493" s="566" t="s">
        <v>686</v>
      </c>
      <c r="I1493" s="568">
        <v>2</v>
      </c>
      <c r="J1493" s="569">
        <v>12</v>
      </c>
      <c r="K1493" s="569">
        <v>12</v>
      </c>
      <c r="L1493" s="566"/>
      <c r="M1493" s="566" t="s">
        <v>476</v>
      </c>
      <c r="N1493" s="570">
        <v>669</v>
      </c>
      <c r="O1493" s="566"/>
      <c r="P1493" s="566" t="s">
        <v>477</v>
      </c>
      <c r="Q1493" s="568">
        <v>909678</v>
      </c>
      <c r="R1493" s="568">
        <v>18</v>
      </c>
      <c r="S1493" s="566" t="s">
        <v>497</v>
      </c>
      <c r="T1493" s="571" t="s">
        <v>467</v>
      </c>
      <c r="U1493" s="571" t="s">
        <v>670</v>
      </c>
      <c r="V1493" s="571" t="s">
        <v>539</v>
      </c>
      <c r="W1493" s="572" t="s">
        <v>495</v>
      </c>
      <c r="X1493" s="571" t="s">
        <v>1380</v>
      </c>
      <c r="Y1493" s="571" t="s">
        <v>1338</v>
      </c>
      <c r="Z1493" s="566" t="s">
        <v>765</v>
      </c>
      <c r="AA1493" s="573">
        <v>669</v>
      </c>
      <c r="AB1493" s="571"/>
    </row>
    <row r="1494" spans="1:28" hidden="1">
      <c r="A1494" s="566" t="s">
        <v>1335</v>
      </c>
      <c r="B1494" s="566" t="s">
        <v>466</v>
      </c>
      <c r="C1494" s="566" t="s">
        <v>487</v>
      </c>
      <c r="D1494" s="566" t="s">
        <v>472</v>
      </c>
      <c r="E1494" s="566" t="s">
        <v>473</v>
      </c>
      <c r="F1494" s="566" t="s">
        <v>489</v>
      </c>
      <c r="G1494" s="567">
        <v>50</v>
      </c>
      <c r="H1494" s="566" t="s">
        <v>689</v>
      </c>
      <c r="I1494" s="568">
        <v>2</v>
      </c>
      <c r="J1494" s="569">
        <v>12</v>
      </c>
      <c r="K1494" s="569">
        <v>12</v>
      </c>
      <c r="L1494" s="566"/>
      <c r="M1494" s="566" t="s">
        <v>476</v>
      </c>
      <c r="N1494" s="570">
        <v>741</v>
      </c>
      <c r="O1494" s="566"/>
      <c r="P1494" s="566" t="s">
        <v>477</v>
      </c>
      <c r="Q1494" s="568">
        <v>909678</v>
      </c>
      <c r="R1494" s="568">
        <v>19</v>
      </c>
      <c r="S1494" s="566" t="s">
        <v>502</v>
      </c>
      <c r="T1494" s="571" t="s">
        <v>467</v>
      </c>
      <c r="U1494" s="571" t="s">
        <v>670</v>
      </c>
      <c r="V1494" s="571" t="s">
        <v>539</v>
      </c>
      <c r="W1494" s="572" t="s">
        <v>1276</v>
      </c>
      <c r="X1494" s="571" t="s">
        <v>1380</v>
      </c>
      <c r="Y1494" s="571" t="s">
        <v>1338</v>
      </c>
      <c r="Z1494" s="566" t="s">
        <v>766</v>
      </c>
      <c r="AA1494" s="573">
        <v>741</v>
      </c>
      <c r="AB1494" s="571"/>
    </row>
    <row r="1495" spans="1:28" hidden="1">
      <c r="A1495" s="566" t="s">
        <v>1335</v>
      </c>
      <c r="B1495" s="566" t="s">
        <v>466</v>
      </c>
      <c r="C1495" s="566" t="s">
        <v>487</v>
      </c>
      <c r="D1495" s="566" t="s">
        <v>472</v>
      </c>
      <c r="E1495" s="566" t="s">
        <v>473</v>
      </c>
      <c r="F1495" s="566" t="s">
        <v>489</v>
      </c>
      <c r="G1495" s="567">
        <v>50</v>
      </c>
      <c r="H1495" s="566" t="s">
        <v>692</v>
      </c>
      <c r="I1495" s="568">
        <v>2</v>
      </c>
      <c r="J1495" s="569">
        <v>12</v>
      </c>
      <c r="K1495" s="569">
        <v>12</v>
      </c>
      <c r="L1495" s="566"/>
      <c r="M1495" s="566" t="s">
        <v>476</v>
      </c>
      <c r="N1495" s="570">
        <v>813</v>
      </c>
      <c r="O1495" s="566"/>
      <c r="P1495" s="566" t="s">
        <v>477</v>
      </c>
      <c r="Q1495" s="568">
        <v>909678</v>
      </c>
      <c r="R1495" s="568">
        <v>21</v>
      </c>
      <c r="S1495" s="566" t="s">
        <v>507</v>
      </c>
      <c r="T1495" s="571" t="s">
        <v>467</v>
      </c>
      <c r="U1495" s="571" t="s">
        <v>670</v>
      </c>
      <c r="V1495" s="571" t="s">
        <v>539</v>
      </c>
      <c r="W1495" s="572" t="s">
        <v>1277</v>
      </c>
      <c r="X1495" s="571" t="s">
        <v>1380</v>
      </c>
      <c r="Y1495" s="571" t="s">
        <v>1338</v>
      </c>
      <c r="Z1495" s="566" t="s">
        <v>767</v>
      </c>
      <c r="AA1495" s="573">
        <v>813</v>
      </c>
      <c r="AB1495" s="571"/>
    </row>
    <row r="1496" spans="1:28" hidden="1">
      <c r="A1496" s="566" t="s">
        <v>1335</v>
      </c>
      <c r="B1496" s="566" t="s">
        <v>466</v>
      </c>
      <c r="C1496" s="566" t="s">
        <v>471</v>
      </c>
      <c r="D1496" s="566" t="s">
        <v>472</v>
      </c>
      <c r="E1496" s="566" t="s">
        <v>473</v>
      </c>
      <c r="F1496" s="566" t="s">
        <v>474</v>
      </c>
      <c r="G1496" s="567">
        <v>0</v>
      </c>
      <c r="H1496" s="566" t="s">
        <v>2117</v>
      </c>
      <c r="I1496" s="568">
        <v>2</v>
      </c>
      <c r="J1496" s="569">
        <v>12</v>
      </c>
      <c r="K1496" s="569">
        <v>12</v>
      </c>
      <c r="L1496" s="566"/>
      <c r="M1496" s="566" t="s">
        <v>476</v>
      </c>
      <c r="N1496" s="570">
        <v>849</v>
      </c>
      <c r="O1496" s="566"/>
      <c r="P1496" s="566" t="s">
        <v>477</v>
      </c>
      <c r="Q1496" s="568">
        <v>909678</v>
      </c>
      <c r="R1496" s="568">
        <v>46</v>
      </c>
      <c r="S1496" s="566" t="s">
        <v>1383</v>
      </c>
      <c r="T1496" s="571" t="s">
        <v>467</v>
      </c>
      <c r="U1496" s="571" t="s">
        <v>670</v>
      </c>
      <c r="V1496" s="571" t="s">
        <v>539</v>
      </c>
      <c r="W1496" s="572" t="s">
        <v>1354</v>
      </c>
      <c r="X1496" s="571" t="s">
        <v>1380</v>
      </c>
      <c r="Y1496" s="571" t="s">
        <v>1338</v>
      </c>
      <c r="Z1496" s="566" t="s">
        <v>2400</v>
      </c>
      <c r="AA1496" s="573">
        <v>849</v>
      </c>
      <c r="AB1496" s="571"/>
    </row>
    <row r="1497" spans="1:28" hidden="1">
      <c r="A1497" s="566" t="s">
        <v>1335</v>
      </c>
      <c r="B1497" s="566" t="s">
        <v>466</v>
      </c>
      <c r="C1497" s="566" t="s">
        <v>487</v>
      </c>
      <c r="D1497" s="566" t="s">
        <v>472</v>
      </c>
      <c r="E1497" s="566" t="s">
        <v>473</v>
      </c>
      <c r="F1497" s="566" t="s">
        <v>489</v>
      </c>
      <c r="G1497" s="567">
        <v>50</v>
      </c>
      <c r="H1497" s="566" t="s">
        <v>2119</v>
      </c>
      <c r="I1497" s="568">
        <v>2</v>
      </c>
      <c r="J1497" s="569">
        <v>12</v>
      </c>
      <c r="K1497" s="569">
        <v>12</v>
      </c>
      <c r="L1497" s="566"/>
      <c r="M1497" s="566" t="s">
        <v>476</v>
      </c>
      <c r="N1497" s="570">
        <v>885</v>
      </c>
      <c r="O1497" s="566"/>
      <c r="P1497" s="566" t="s">
        <v>477</v>
      </c>
      <c r="Q1497" s="568">
        <v>909678</v>
      </c>
      <c r="R1497" s="568">
        <v>47</v>
      </c>
      <c r="S1497" s="566" t="s">
        <v>1385</v>
      </c>
      <c r="T1497" s="571" t="s">
        <v>467</v>
      </c>
      <c r="U1497" s="571" t="s">
        <v>670</v>
      </c>
      <c r="V1497" s="571" t="s">
        <v>539</v>
      </c>
      <c r="W1497" s="572" t="s">
        <v>1358</v>
      </c>
      <c r="X1497" s="571" t="s">
        <v>1380</v>
      </c>
      <c r="Y1497" s="571" t="s">
        <v>1338</v>
      </c>
      <c r="Z1497" s="566" t="s">
        <v>2401</v>
      </c>
      <c r="AA1497" s="573">
        <v>885</v>
      </c>
      <c r="AB1497" s="571"/>
    </row>
    <row r="1498" spans="1:28" hidden="1">
      <c r="A1498" s="566" t="s">
        <v>1335</v>
      </c>
      <c r="B1498" s="566" t="s">
        <v>466</v>
      </c>
      <c r="C1498" s="566" t="s">
        <v>553</v>
      </c>
      <c r="D1498" s="566" t="s">
        <v>472</v>
      </c>
      <c r="E1498" s="566" t="s">
        <v>473</v>
      </c>
      <c r="F1498" s="566" t="s">
        <v>554</v>
      </c>
      <c r="G1498" s="567">
        <v>13</v>
      </c>
      <c r="H1498" s="566" t="s">
        <v>539</v>
      </c>
      <c r="I1498" s="568">
        <v>2</v>
      </c>
      <c r="J1498" s="569">
        <v>22</v>
      </c>
      <c r="K1498" s="569">
        <v>22</v>
      </c>
      <c r="L1498" s="569">
        <v>17</v>
      </c>
      <c r="M1498" s="566" t="s">
        <v>476</v>
      </c>
      <c r="N1498" s="570">
        <v>198</v>
      </c>
      <c r="O1498" s="566"/>
      <c r="P1498" s="566" t="s">
        <v>477</v>
      </c>
      <c r="Q1498" s="568">
        <v>909678</v>
      </c>
      <c r="R1498" s="568">
        <v>1</v>
      </c>
      <c r="S1498" s="566" t="s">
        <v>1387</v>
      </c>
      <c r="T1498" s="571" t="s">
        <v>467</v>
      </c>
      <c r="U1498" s="571" t="s">
        <v>670</v>
      </c>
      <c r="V1498" s="571" t="s">
        <v>539</v>
      </c>
      <c r="W1498" s="572" t="s">
        <v>577</v>
      </c>
      <c r="X1498" s="571" t="s">
        <v>1380</v>
      </c>
      <c r="Y1498" s="571" t="s">
        <v>1338</v>
      </c>
      <c r="Z1498" s="566" t="s">
        <v>768</v>
      </c>
      <c r="AA1498" s="573">
        <v>198</v>
      </c>
      <c r="AB1498" s="571">
        <v>260097</v>
      </c>
    </row>
    <row r="1499" spans="1:28" hidden="1">
      <c r="A1499" s="566" t="s">
        <v>1335</v>
      </c>
      <c r="B1499" s="566" t="s">
        <v>466</v>
      </c>
      <c r="C1499" s="566" t="s">
        <v>553</v>
      </c>
      <c r="D1499" s="566" t="s">
        <v>472</v>
      </c>
      <c r="E1499" s="566" t="s">
        <v>473</v>
      </c>
      <c r="F1499" s="566" t="s">
        <v>554</v>
      </c>
      <c r="G1499" s="567">
        <v>13</v>
      </c>
      <c r="H1499" s="566" t="s">
        <v>214</v>
      </c>
      <c r="I1499" s="568">
        <v>2</v>
      </c>
      <c r="J1499" s="569">
        <v>22</v>
      </c>
      <c r="K1499" s="569">
        <v>22</v>
      </c>
      <c r="L1499" s="569">
        <v>17</v>
      </c>
      <c r="M1499" s="566" t="s">
        <v>476</v>
      </c>
      <c r="N1499" s="570">
        <v>222</v>
      </c>
      <c r="O1499" s="566"/>
      <c r="P1499" s="566" t="s">
        <v>477</v>
      </c>
      <c r="Q1499" s="568">
        <v>909678</v>
      </c>
      <c r="R1499" s="568">
        <v>2</v>
      </c>
      <c r="S1499" s="566" t="s">
        <v>1388</v>
      </c>
      <c r="T1499" s="571" t="s">
        <v>467</v>
      </c>
      <c r="U1499" s="571" t="s">
        <v>670</v>
      </c>
      <c r="V1499" s="571" t="s">
        <v>539</v>
      </c>
      <c r="W1499" s="572" t="s">
        <v>580</v>
      </c>
      <c r="X1499" s="571" t="s">
        <v>1380</v>
      </c>
      <c r="Y1499" s="571" t="s">
        <v>1338</v>
      </c>
      <c r="Z1499" s="566" t="s">
        <v>769</v>
      </c>
      <c r="AA1499" s="573">
        <v>222</v>
      </c>
      <c r="AB1499" s="571">
        <v>260121</v>
      </c>
    </row>
    <row r="1500" spans="1:28" hidden="1">
      <c r="A1500" s="566" t="s">
        <v>1335</v>
      </c>
      <c r="B1500" s="566" t="s">
        <v>466</v>
      </c>
      <c r="C1500" s="566" t="s">
        <v>553</v>
      </c>
      <c r="D1500" s="566" t="s">
        <v>472</v>
      </c>
      <c r="E1500" s="566" t="s">
        <v>473</v>
      </c>
      <c r="F1500" s="566" t="s">
        <v>554</v>
      </c>
      <c r="G1500" s="567">
        <v>16</v>
      </c>
      <c r="H1500" s="566" t="s">
        <v>771</v>
      </c>
      <c r="I1500" s="568">
        <v>2</v>
      </c>
      <c r="J1500" s="569">
        <v>22</v>
      </c>
      <c r="K1500" s="569">
        <v>22</v>
      </c>
      <c r="L1500" s="569">
        <v>17</v>
      </c>
      <c r="M1500" s="566" t="s">
        <v>476</v>
      </c>
      <c r="N1500" s="570">
        <v>246</v>
      </c>
      <c r="O1500" s="566"/>
      <c r="P1500" s="566" t="s">
        <v>477</v>
      </c>
      <c r="Q1500" s="568">
        <v>909678</v>
      </c>
      <c r="R1500" s="568">
        <v>12</v>
      </c>
      <c r="S1500" s="566" t="s">
        <v>1389</v>
      </c>
      <c r="T1500" s="571" t="s">
        <v>467</v>
      </c>
      <c r="U1500" s="571" t="s">
        <v>670</v>
      </c>
      <c r="V1500" s="571" t="s">
        <v>539</v>
      </c>
      <c r="W1500" s="572" t="s">
        <v>583</v>
      </c>
      <c r="X1500" s="571" t="s">
        <v>1380</v>
      </c>
      <c r="Y1500" s="571" t="s">
        <v>1338</v>
      </c>
      <c r="Z1500" s="566" t="s">
        <v>770</v>
      </c>
      <c r="AA1500" s="573">
        <v>246</v>
      </c>
      <c r="AB1500" s="571">
        <v>260145</v>
      </c>
    </row>
    <row r="1501" spans="1:28" hidden="1">
      <c r="A1501" s="566" t="s">
        <v>1335</v>
      </c>
      <c r="B1501" s="566" t="s">
        <v>466</v>
      </c>
      <c r="C1501" s="566" t="s">
        <v>553</v>
      </c>
      <c r="D1501" s="566" t="s">
        <v>472</v>
      </c>
      <c r="E1501" s="566" t="s">
        <v>473</v>
      </c>
      <c r="F1501" s="566" t="s">
        <v>554</v>
      </c>
      <c r="G1501" s="567">
        <v>16</v>
      </c>
      <c r="H1501" s="566" t="s">
        <v>773</v>
      </c>
      <c r="I1501" s="568">
        <v>2</v>
      </c>
      <c r="J1501" s="569">
        <v>22</v>
      </c>
      <c r="K1501" s="569">
        <v>22</v>
      </c>
      <c r="L1501" s="569">
        <v>17</v>
      </c>
      <c r="M1501" s="566" t="s">
        <v>476</v>
      </c>
      <c r="N1501" s="570">
        <v>270</v>
      </c>
      <c r="O1501" s="566"/>
      <c r="P1501" s="566" t="s">
        <v>477</v>
      </c>
      <c r="Q1501" s="568">
        <v>909678</v>
      </c>
      <c r="R1501" s="568">
        <v>3</v>
      </c>
      <c r="S1501" s="566" t="s">
        <v>1390</v>
      </c>
      <c r="T1501" s="571" t="s">
        <v>467</v>
      </c>
      <c r="U1501" s="571" t="s">
        <v>670</v>
      </c>
      <c r="V1501" s="571" t="s">
        <v>539</v>
      </c>
      <c r="W1501" s="572" t="s">
        <v>586</v>
      </c>
      <c r="X1501" s="571" t="s">
        <v>1380</v>
      </c>
      <c r="Y1501" s="571" t="s">
        <v>1338</v>
      </c>
      <c r="Z1501" s="566" t="s">
        <v>772</v>
      </c>
      <c r="AA1501" s="573">
        <v>270</v>
      </c>
      <c r="AB1501" s="571">
        <v>260169</v>
      </c>
    </row>
    <row r="1502" spans="1:28" hidden="1">
      <c r="A1502" s="566" t="s">
        <v>1335</v>
      </c>
      <c r="B1502" s="566" t="s">
        <v>466</v>
      </c>
      <c r="C1502" s="566" t="s">
        <v>553</v>
      </c>
      <c r="D1502" s="566" t="s">
        <v>472</v>
      </c>
      <c r="E1502" s="566" t="s">
        <v>473</v>
      </c>
      <c r="F1502" s="566" t="s">
        <v>554</v>
      </c>
      <c r="G1502" s="567">
        <v>16</v>
      </c>
      <c r="H1502" s="566" t="s">
        <v>775</v>
      </c>
      <c r="I1502" s="568">
        <v>2</v>
      </c>
      <c r="J1502" s="569">
        <v>22</v>
      </c>
      <c r="K1502" s="569">
        <v>22</v>
      </c>
      <c r="L1502" s="569">
        <v>17</v>
      </c>
      <c r="M1502" s="566" t="s">
        <v>476</v>
      </c>
      <c r="N1502" s="570">
        <v>294</v>
      </c>
      <c r="O1502" s="566"/>
      <c r="P1502" s="566" t="s">
        <v>477</v>
      </c>
      <c r="Q1502" s="568">
        <v>909678</v>
      </c>
      <c r="R1502" s="568">
        <v>13</v>
      </c>
      <c r="S1502" s="566" t="s">
        <v>1391</v>
      </c>
      <c r="T1502" s="571" t="s">
        <v>467</v>
      </c>
      <c r="U1502" s="571" t="s">
        <v>670</v>
      </c>
      <c r="V1502" s="571" t="s">
        <v>539</v>
      </c>
      <c r="W1502" s="572" t="s">
        <v>589</v>
      </c>
      <c r="X1502" s="571" t="s">
        <v>1380</v>
      </c>
      <c r="Y1502" s="571" t="s">
        <v>1338</v>
      </c>
      <c r="Z1502" s="566" t="s">
        <v>774</v>
      </c>
      <c r="AA1502" s="573">
        <v>294</v>
      </c>
      <c r="AB1502" s="571">
        <v>260193</v>
      </c>
    </row>
    <row r="1503" spans="1:28" hidden="1">
      <c r="A1503" s="566" t="s">
        <v>1335</v>
      </c>
      <c r="B1503" s="566" t="s">
        <v>466</v>
      </c>
      <c r="C1503" s="566" t="s">
        <v>471</v>
      </c>
      <c r="D1503" s="566" t="s">
        <v>472</v>
      </c>
      <c r="E1503" s="566" t="s">
        <v>473</v>
      </c>
      <c r="F1503" s="566" t="s">
        <v>474</v>
      </c>
      <c r="G1503" s="567">
        <v>0</v>
      </c>
      <c r="H1503" s="566" t="s">
        <v>704</v>
      </c>
      <c r="I1503" s="568">
        <v>2</v>
      </c>
      <c r="J1503" s="569">
        <v>12</v>
      </c>
      <c r="K1503" s="569">
        <v>12</v>
      </c>
      <c r="L1503" s="566"/>
      <c r="M1503" s="566" t="s">
        <v>476</v>
      </c>
      <c r="N1503" s="570">
        <v>345</v>
      </c>
      <c r="O1503" s="566"/>
      <c r="P1503" s="566" t="s">
        <v>477</v>
      </c>
      <c r="Q1503" s="568">
        <v>909678</v>
      </c>
      <c r="R1503" s="568">
        <v>5</v>
      </c>
      <c r="S1503" s="566" t="s">
        <v>1392</v>
      </c>
      <c r="T1503" s="571" t="s">
        <v>467</v>
      </c>
      <c r="U1503" s="571" t="s">
        <v>670</v>
      </c>
      <c r="V1503" s="571" t="s">
        <v>539</v>
      </c>
      <c r="W1503" s="572" t="s">
        <v>509</v>
      </c>
      <c r="X1503" s="571" t="s">
        <v>1380</v>
      </c>
      <c r="Y1503" s="571" t="s">
        <v>1338</v>
      </c>
      <c r="Z1503" s="566" t="s">
        <v>776</v>
      </c>
      <c r="AA1503" s="573">
        <v>345</v>
      </c>
      <c r="AB1503" s="571"/>
    </row>
    <row r="1504" spans="1:28" hidden="1">
      <c r="A1504" s="566" t="s">
        <v>1335</v>
      </c>
      <c r="B1504" s="566" t="s">
        <v>466</v>
      </c>
      <c r="C1504" s="566" t="s">
        <v>471</v>
      </c>
      <c r="D1504" s="566" t="s">
        <v>472</v>
      </c>
      <c r="E1504" s="566" t="s">
        <v>473</v>
      </c>
      <c r="F1504" s="566" t="s">
        <v>474</v>
      </c>
      <c r="G1504" s="567">
        <v>0</v>
      </c>
      <c r="H1504" s="566" t="s">
        <v>706</v>
      </c>
      <c r="I1504" s="568">
        <v>2</v>
      </c>
      <c r="J1504" s="569">
        <v>12</v>
      </c>
      <c r="K1504" s="569">
        <v>12</v>
      </c>
      <c r="L1504" s="566"/>
      <c r="M1504" s="566" t="s">
        <v>476</v>
      </c>
      <c r="N1504" s="570">
        <v>381</v>
      </c>
      <c r="O1504" s="566"/>
      <c r="P1504" s="566" t="s">
        <v>477</v>
      </c>
      <c r="Q1504" s="568">
        <v>909678</v>
      </c>
      <c r="R1504" s="568">
        <v>6</v>
      </c>
      <c r="S1504" s="566" t="s">
        <v>1393</v>
      </c>
      <c r="T1504" s="571" t="s">
        <v>467</v>
      </c>
      <c r="U1504" s="571" t="s">
        <v>670</v>
      </c>
      <c r="V1504" s="571" t="s">
        <v>539</v>
      </c>
      <c r="W1504" s="572" t="s">
        <v>512</v>
      </c>
      <c r="X1504" s="571" t="s">
        <v>1380</v>
      </c>
      <c r="Y1504" s="571" t="s">
        <v>1338</v>
      </c>
      <c r="Z1504" s="566" t="s">
        <v>777</v>
      </c>
      <c r="AA1504" s="573">
        <v>381</v>
      </c>
      <c r="AB1504" s="571"/>
    </row>
    <row r="1505" spans="1:28" hidden="1">
      <c r="A1505" s="566" t="s">
        <v>1335</v>
      </c>
      <c r="B1505" s="566" t="s">
        <v>466</v>
      </c>
      <c r="C1505" s="566" t="s">
        <v>471</v>
      </c>
      <c r="D1505" s="566" t="s">
        <v>472</v>
      </c>
      <c r="E1505" s="566" t="s">
        <v>473</v>
      </c>
      <c r="F1505" s="566" t="s">
        <v>474</v>
      </c>
      <c r="G1505" s="567">
        <v>0</v>
      </c>
      <c r="H1505" s="566" t="s">
        <v>708</v>
      </c>
      <c r="I1505" s="568">
        <v>2</v>
      </c>
      <c r="J1505" s="569">
        <v>12</v>
      </c>
      <c r="K1505" s="569">
        <v>12</v>
      </c>
      <c r="L1505" s="566"/>
      <c r="M1505" s="566" t="s">
        <v>476</v>
      </c>
      <c r="N1505" s="570">
        <v>417</v>
      </c>
      <c r="O1505" s="566"/>
      <c r="P1505" s="566" t="s">
        <v>477</v>
      </c>
      <c r="Q1505" s="568">
        <v>909678</v>
      </c>
      <c r="R1505" s="568">
        <v>14</v>
      </c>
      <c r="S1505" s="566" t="s">
        <v>1394</v>
      </c>
      <c r="T1505" s="571" t="s">
        <v>467</v>
      </c>
      <c r="U1505" s="571" t="s">
        <v>670</v>
      </c>
      <c r="V1505" s="571" t="s">
        <v>539</v>
      </c>
      <c r="W1505" s="572" t="s">
        <v>514</v>
      </c>
      <c r="X1505" s="571" t="s">
        <v>1380</v>
      </c>
      <c r="Y1505" s="571" t="s">
        <v>1338</v>
      </c>
      <c r="Z1505" s="566" t="s">
        <v>778</v>
      </c>
      <c r="AA1505" s="573">
        <v>417</v>
      </c>
      <c r="AB1505" s="571"/>
    </row>
    <row r="1506" spans="1:28" hidden="1">
      <c r="A1506" s="566" t="s">
        <v>1335</v>
      </c>
      <c r="B1506" s="566" t="s">
        <v>466</v>
      </c>
      <c r="C1506" s="566" t="s">
        <v>471</v>
      </c>
      <c r="D1506" s="566" t="s">
        <v>472</v>
      </c>
      <c r="E1506" s="566" t="s">
        <v>473</v>
      </c>
      <c r="F1506" s="566" t="s">
        <v>474</v>
      </c>
      <c r="G1506" s="567">
        <v>0</v>
      </c>
      <c r="H1506" s="566" t="s">
        <v>677</v>
      </c>
      <c r="I1506" s="568">
        <v>2</v>
      </c>
      <c r="J1506" s="569">
        <v>36</v>
      </c>
      <c r="K1506" s="569">
        <v>36</v>
      </c>
      <c r="L1506" s="566"/>
      <c r="M1506" s="566" t="s">
        <v>476</v>
      </c>
      <c r="N1506" s="570">
        <v>1353</v>
      </c>
      <c r="O1506" s="566"/>
      <c r="P1506" s="566" t="s">
        <v>477</v>
      </c>
      <c r="Q1506" s="568">
        <v>909678</v>
      </c>
      <c r="R1506" s="568">
        <v>34</v>
      </c>
      <c r="S1506" s="566" t="s">
        <v>1395</v>
      </c>
      <c r="T1506" s="571" t="s">
        <v>467</v>
      </c>
      <c r="U1506" s="571" t="s">
        <v>670</v>
      </c>
      <c r="V1506" s="571" t="s">
        <v>539</v>
      </c>
      <c r="W1506" s="572" t="s">
        <v>1274</v>
      </c>
      <c r="X1506" s="571" t="s">
        <v>1380</v>
      </c>
      <c r="Y1506" s="571" t="s">
        <v>1367</v>
      </c>
      <c r="Z1506" s="566" t="s">
        <v>2402</v>
      </c>
      <c r="AA1506" s="573">
        <v>1353</v>
      </c>
      <c r="AB1506" s="571"/>
    </row>
    <row r="1507" spans="1:28" hidden="1">
      <c r="A1507" s="566" t="s">
        <v>1335</v>
      </c>
      <c r="B1507" s="566" t="s">
        <v>466</v>
      </c>
      <c r="C1507" s="566" t="s">
        <v>471</v>
      </c>
      <c r="D1507" s="566" t="s">
        <v>472</v>
      </c>
      <c r="E1507" s="566" t="s">
        <v>473</v>
      </c>
      <c r="F1507" s="566" t="s">
        <v>474</v>
      </c>
      <c r="G1507" s="567">
        <v>0</v>
      </c>
      <c r="H1507" s="566" t="s">
        <v>680</v>
      </c>
      <c r="I1507" s="568">
        <v>2</v>
      </c>
      <c r="J1507" s="569">
        <v>36</v>
      </c>
      <c r="K1507" s="569">
        <v>36</v>
      </c>
      <c r="L1507" s="566"/>
      <c r="M1507" s="566" t="s">
        <v>476</v>
      </c>
      <c r="N1507" s="570">
        <v>1389</v>
      </c>
      <c r="O1507" s="566"/>
      <c r="P1507" s="566" t="s">
        <v>477</v>
      </c>
      <c r="Q1507" s="568">
        <v>909678</v>
      </c>
      <c r="R1507" s="568">
        <v>35</v>
      </c>
      <c r="S1507" s="566" t="s">
        <v>1397</v>
      </c>
      <c r="T1507" s="571" t="s">
        <v>467</v>
      </c>
      <c r="U1507" s="571" t="s">
        <v>670</v>
      </c>
      <c r="V1507" s="571" t="s">
        <v>539</v>
      </c>
      <c r="W1507" s="572" t="s">
        <v>1275</v>
      </c>
      <c r="X1507" s="571" t="s">
        <v>1380</v>
      </c>
      <c r="Y1507" s="571" t="s">
        <v>1367</v>
      </c>
      <c r="Z1507" s="566" t="s">
        <v>2403</v>
      </c>
      <c r="AA1507" s="573">
        <v>1389</v>
      </c>
      <c r="AB1507" s="571"/>
    </row>
    <row r="1508" spans="1:28" hidden="1">
      <c r="A1508" s="566" t="s">
        <v>1335</v>
      </c>
      <c r="B1508" s="566" t="s">
        <v>466</v>
      </c>
      <c r="C1508" s="566" t="s">
        <v>487</v>
      </c>
      <c r="D1508" s="566" t="s">
        <v>472</v>
      </c>
      <c r="E1508" s="566" t="s">
        <v>473</v>
      </c>
      <c r="F1508" s="566" t="s">
        <v>489</v>
      </c>
      <c r="G1508" s="567">
        <v>50</v>
      </c>
      <c r="H1508" s="566" t="s">
        <v>689</v>
      </c>
      <c r="I1508" s="568">
        <v>2</v>
      </c>
      <c r="J1508" s="569">
        <v>36</v>
      </c>
      <c r="K1508" s="569">
        <v>36</v>
      </c>
      <c r="L1508" s="566"/>
      <c r="M1508" s="566" t="s">
        <v>476</v>
      </c>
      <c r="N1508" s="570">
        <v>1425</v>
      </c>
      <c r="O1508" s="566"/>
      <c r="P1508" s="566" t="s">
        <v>477</v>
      </c>
      <c r="Q1508" s="568">
        <v>909678</v>
      </c>
      <c r="R1508" s="568">
        <v>37</v>
      </c>
      <c r="S1508" s="566" t="s">
        <v>1399</v>
      </c>
      <c r="T1508" s="571" t="s">
        <v>467</v>
      </c>
      <c r="U1508" s="571" t="s">
        <v>670</v>
      </c>
      <c r="V1508" s="571" t="s">
        <v>539</v>
      </c>
      <c r="W1508" s="572" t="s">
        <v>1276</v>
      </c>
      <c r="X1508" s="571" t="s">
        <v>1380</v>
      </c>
      <c r="Y1508" s="571" t="s">
        <v>1367</v>
      </c>
      <c r="Z1508" s="566" t="s">
        <v>2404</v>
      </c>
      <c r="AA1508" s="573">
        <v>1425</v>
      </c>
      <c r="AB1508" s="571"/>
    </row>
    <row r="1509" spans="1:28" hidden="1">
      <c r="A1509" s="566" t="s">
        <v>1335</v>
      </c>
      <c r="B1509" s="566" t="s">
        <v>466</v>
      </c>
      <c r="C1509" s="566" t="s">
        <v>487</v>
      </c>
      <c r="D1509" s="566" t="s">
        <v>472</v>
      </c>
      <c r="E1509" s="566" t="s">
        <v>473</v>
      </c>
      <c r="F1509" s="566" t="s">
        <v>489</v>
      </c>
      <c r="G1509" s="567">
        <v>50</v>
      </c>
      <c r="H1509" s="566" t="s">
        <v>692</v>
      </c>
      <c r="I1509" s="568">
        <v>2</v>
      </c>
      <c r="J1509" s="569">
        <v>36</v>
      </c>
      <c r="K1509" s="569">
        <v>36</v>
      </c>
      <c r="L1509" s="566"/>
      <c r="M1509" s="566" t="s">
        <v>476</v>
      </c>
      <c r="N1509" s="570">
        <v>1461</v>
      </c>
      <c r="O1509" s="566"/>
      <c r="P1509" s="566" t="s">
        <v>477</v>
      </c>
      <c r="Q1509" s="568">
        <v>909678</v>
      </c>
      <c r="R1509" s="568">
        <v>38</v>
      </c>
      <c r="S1509" s="566" t="s">
        <v>1401</v>
      </c>
      <c r="T1509" s="571" t="s">
        <v>467</v>
      </c>
      <c r="U1509" s="571" t="s">
        <v>670</v>
      </c>
      <c r="V1509" s="571" t="s">
        <v>539</v>
      </c>
      <c r="W1509" s="572" t="s">
        <v>1277</v>
      </c>
      <c r="X1509" s="571" t="s">
        <v>1380</v>
      </c>
      <c r="Y1509" s="571" t="s">
        <v>1367</v>
      </c>
      <c r="Z1509" s="566" t="s">
        <v>2405</v>
      </c>
      <c r="AA1509" s="573">
        <v>1461</v>
      </c>
      <c r="AB1509" s="571"/>
    </row>
    <row r="1510" spans="1:28" hidden="1">
      <c r="A1510" s="566" t="s">
        <v>1335</v>
      </c>
      <c r="B1510" s="566" t="s">
        <v>466</v>
      </c>
      <c r="C1510" s="566" t="s">
        <v>471</v>
      </c>
      <c r="D1510" s="566" t="s">
        <v>472</v>
      </c>
      <c r="E1510" s="566" t="s">
        <v>473</v>
      </c>
      <c r="F1510" s="566" t="s">
        <v>474</v>
      </c>
      <c r="G1510" s="567">
        <v>0</v>
      </c>
      <c r="H1510" s="566" t="s">
        <v>2117</v>
      </c>
      <c r="I1510" s="568">
        <v>2</v>
      </c>
      <c r="J1510" s="569">
        <v>36</v>
      </c>
      <c r="K1510" s="569">
        <v>36</v>
      </c>
      <c r="L1510" s="566"/>
      <c r="M1510" s="566" t="s">
        <v>476</v>
      </c>
      <c r="N1510" s="570">
        <v>1497</v>
      </c>
      <c r="O1510" s="566"/>
      <c r="P1510" s="566" t="s">
        <v>477</v>
      </c>
      <c r="Q1510" s="568">
        <v>909678</v>
      </c>
      <c r="R1510" s="568">
        <v>36</v>
      </c>
      <c r="S1510" s="566" t="s">
        <v>1403</v>
      </c>
      <c r="T1510" s="571" t="s">
        <v>467</v>
      </c>
      <c r="U1510" s="571" t="s">
        <v>670</v>
      </c>
      <c r="V1510" s="571" t="s">
        <v>539</v>
      </c>
      <c r="W1510" s="572" t="s">
        <v>1354</v>
      </c>
      <c r="X1510" s="571" t="s">
        <v>1380</v>
      </c>
      <c r="Y1510" s="571" t="s">
        <v>1367</v>
      </c>
      <c r="Z1510" s="566" t="s">
        <v>2406</v>
      </c>
      <c r="AA1510" s="573">
        <v>1497</v>
      </c>
      <c r="AB1510" s="571"/>
    </row>
    <row r="1511" spans="1:28" hidden="1">
      <c r="A1511" s="566" t="s">
        <v>1335</v>
      </c>
      <c r="B1511" s="566" t="s">
        <v>466</v>
      </c>
      <c r="C1511" s="566" t="s">
        <v>487</v>
      </c>
      <c r="D1511" s="566" t="s">
        <v>472</v>
      </c>
      <c r="E1511" s="566" t="s">
        <v>473</v>
      </c>
      <c r="F1511" s="566" t="s">
        <v>489</v>
      </c>
      <c r="G1511" s="567">
        <v>50</v>
      </c>
      <c r="H1511" s="566" t="s">
        <v>2119</v>
      </c>
      <c r="I1511" s="568">
        <v>2</v>
      </c>
      <c r="J1511" s="569">
        <v>36</v>
      </c>
      <c r="K1511" s="569">
        <v>36</v>
      </c>
      <c r="L1511" s="566"/>
      <c r="M1511" s="566" t="s">
        <v>476</v>
      </c>
      <c r="N1511" s="570">
        <v>1533</v>
      </c>
      <c r="O1511" s="566"/>
      <c r="P1511" s="566" t="s">
        <v>477</v>
      </c>
      <c r="Q1511" s="568">
        <v>909678</v>
      </c>
      <c r="R1511" s="568">
        <v>39</v>
      </c>
      <c r="S1511" s="566" t="s">
        <v>1405</v>
      </c>
      <c r="T1511" s="571" t="s">
        <v>467</v>
      </c>
      <c r="U1511" s="571" t="s">
        <v>670</v>
      </c>
      <c r="V1511" s="571" t="s">
        <v>539</v>
      </c>
      <c r="W1511" s="572" t="s">
        <v>1358</v>
      </c>
      <c r="X1511" s="571" t="s">
        <v>1380</v>
      </c>
      <c r="Y1511" s="571" t="s">
        <v>1367</v>
      </c>
      <c r="Z1511" s="566" t="s">
        <v>2407</v>
      </c>
      <c r="AA1511" s="573">
        <v>1533</v>
      </c>
      <c r="AB1511" s="571"/>
    </row>
    <row r="1512" spans="1:28" hidden="1">
      <c r="A1512" s="566" t="s">
        <v>1335</v>
      </c>
      <c r="B1512" s="566" t="s">
        <v>466</v>
      </c>
      <c r="C1512" s="566" t="s">
        <v>471</v>
      </c>
      <c r="D1512" s="566" t="s">
        <v>472</v>
      </c>
      <c r="E1512" s="566" t="s">
        <v>473</v>
      </c>
      <c r="F1512" s="566" t="s">
        <v>474</v>
      </c>
      <c r="G1512" s="567">
        <v>0</v>
      </c>
      <c r="H1512" s="566" t="s">
        <v>675</v>
      </c>
      <c r="I1512" s="568">
        <v>2</v>
      </c>
      <c r="J1512" s="569">
        <v>12</v>
      </c>
      <c r="K1512" s="569">
        <v>12</v>
      </c>
      <c r="L1512" s="566"/>
      <c r="M1512" s="566" t="s">
        <v>476</v>
      </c>
      <c r="N1512" s="570">
        <v>453</v>
      </c>
      <c r="O1512" s="566"/>
      <c r="P1512" s="566" t="s">
        <v>477</v>
      </c>
      <c r="Q1512" s="568">
        <v>909678</v>
      </c>
      <c r="R1512" s="568">
        <v>7</v>
      </c>
      <c r="S1512" s="566" t="s">
        <v>1407</v>
      </c>
      <c r="T1512" s="575" t="s">
        <v>1408</v>
      </c>
      <c r="U1512" s="575" t="s">
        <v>670</v>
      </c>
      <c r="V1512" s="575" t="s">
        <v>539</v>
      </c>
      <c r="W1512" s="576" t="s">
        <v>470</v>
      </c>
      <c r="X1512" s="575" t="s">
        <v>1380</v>
      </c>
      <c r="Y1512" s="575" t="s">
        <v>1338</v>
      </c>
      <c r="Z1512" s="576" t="s">
        <v>2408</v>
      </c>
      <c r="AA1512" s="577">
        <v>453</v>
      </c>
      <c r="AB1512" s="575"/>
    </row>
    <row r="1513" spans="1:28" hidden="1">
      <c r="A1513" s="566" t="s">
        <v>1335</v>
      </c>
      <c r="B1513" s="566" t="s">
        <v>466</v>
      </c>
      <c r="C1513" s="566" t="s">
        <v>471</v>
      </c>
      <c r="D1513" s="566" t="s">
        <v>472</v>
      </c>
      <c r="E1513" s="566" t="s">
        <v>473</v>
      </c>
      <c r="F1513" s="566" t="s">
        <v>474</v>
      </c>
      <c r="G1513" s="567">
        <v>0</v>
      </c>
      <c r="H1513" s="566" t="s">
        <v>678</v>
      </c>
      <c r="I1513" s="568">
        <v>2</v>
      </c>
      <c r="J1513" s="569">
        <v>12</v>
      </c>
      <c r="K1513" s="569">
        <v>12</v>
      </c>
      <c r="L1513" s="566"/>
      <c r="M1513" s="566" t="s">
        <v>476</v>
      </c>
      <c r="N1513" s="570">
        <v>525</v>
      </c>
      <c r="O1513" s="566"/>
      <c r="P1513" s="566" t="s">
        <v>477</v>
      </c>
      <c r="Q1513" s="568">
        <v>909678</v>
      </c>
      <c r="R1513" s="568">
        <v>8</v>
      </c>
      <c r="S1513" s="566" t="s">
        <v>1410</v>
      </c>
      <c r="T1513" s="575" t="s">
        <v>1408</v>
      </c>
      <c r="U1513" s="575" t="s">
        <v>670</v>
      </c>
      <c r="V1513" s="575" t="s">
        <v>539</v>
      </c>
      <c r="W1513" s="576" t="s">
        <v>480</v>
      </c>
      <c r="X1513" s="575" t="s">
        <v>1380</v>
      </c>
      <c r="Y1513" s="575" t="s">
        <v>1338</v>
      </c>
      <c r="Z1513" s="576" t="s">
        <v>2409</v>
      </c>
      <c r="AA1513" s="577">
        <v>525</v>
      </c>
      <c r="AB1513" s="575"/>
    </row>
    <row r="1514" spans="1:28" hidden="1">
      <c r="A1514" s="566" t="s">
        <v>1335</v>
      </c>
      <c r="B1514" s="566" t="s">
        <v>466</v>
      </c>
      <c r="C1514" s="566" t="s">
        <v>487</v>
      </c>
      <c r="D1514" s="566" t="s">
        <v>472</v>
      </c>
      <c r="E1514" s="566" t="s">
        <v>473</v>
      </c>
      <c r="F1514" s="566" t="s">
        <v>489</v>
      </c>
      <c r="G1514" s="567">
        <v>50</v>
      </c>
      <c r="H1514" s="566" t="s">
        <v>687</v>
      </c>
      <c r="I1514" s="568">
        <v>2</v>
      </c>
      <c r="J1514" s="569">
        <v>12</v>
      </c>
      <c r="K1514" s="569">
        <v>12</v>
      </c>
      <c r="L1514" s="566"/>
      <c r="M1514" s="566" t="s">
        <v>476</v>
      </c>
      <c r="N1514" s="570">
        <v>705</v>
      </c>
      <c r="O1514" s="566"/>
      <c r="P1514" s="566" t="s">
        <v>477</v>
      </c>
      <c r="Q1514" s="568">
        <v>909678</v>
      </c>
      <c r="R1514" s="568">
        <v>11</v>
      </c>
      <c r="S1514" s="566" t="s">
        <v>1412</v>
      </c>
      <c r="T1514" s="575" t="s">
        <v>1408</v>
      </c>
      <c r="U1514" s="575" t="s">
        <v>670</v>
      </c>
      <c r="V1514" s="575" t="s">
        <v>539</v>
      </c>
      <c r="W1514" s="576" t="s">
        <v>499</v>
      </c>
      <c r="X1514" s="575" t="s">
        <v>1380</v>
      </c>
      <c r="Y1514" s="575" t="s">
        <v>1338</v>
      </c>
      <c r="Z1514" s="576" t="s">
        <v>2410</v>
      </c>
      <c r="AA1514" s="577">
        <v>705</v>
      </c>
      <c r="AB1514" s="575"/>
    </row>
    <row r="1515" spans="1:28" hidden="1">
      <c r="A1515" s="566" t="s">
        <v>1335</v>
      </c>
      <c r="B1515" s="566" t="s">
        <v>466</v>
      </c>
      <c r="C1515" s="566" t="s">
        <v>487</v>
      </c>
      <c r="D1515" s="566" t="s">
        <v>472</v>
      </c>
      <c r="E1515" s="566" t="s">
        <v>473</v>
      </c>
      <c r="F1515" s="566" t="s">
        <v>489</v>
      </c>
      <c r="G1515" s="567">
        <v>50</v>
      </c>
      <c r="H1515" s="566" t="s">
        <v>690</v>
      </c>
      <c r="I1515" s="568">
        <v>2</v>
      </c>
      <c r="J1515" s="569">
        <v>12</v>
      </c>
      <c r="K1515" s="569">
        <v>12</v>
      </c>
      <c r="L1515" s="566"/>
      <c r="M1515" s="566" t="s">
        <v>476</v>
      </c>
      <c r="N1515" s="570">
        <v>777</v>
      </c>
      <c r="O1515" s="566"/>
      <c r="P1515" s="566" t="s">
        <v>477</v>
      </c>
      <c r="Q1515" s="568">
        <v>909678</v>
      </c>
      <c r="R1515" s="568">
        <v>20</v>
      </c>
      <c r="S1515" s="566" t="s">
        <v>1414</v>
      </c>
      <c r="T1515" s="575" t="s">
        <v>1408</v>
      </c>
      <c r="U1515" s="575" t="s">
        <v>670</v>
      </c>
      <c r="V1515" s="575" t="s">
        <v>539</v>
      </c>
      <c r="W1515" s="576" t="s">
        <v>504</v>
      </c>
      <c r="X1515" s="575" t="s">
        <v>1380</v>
      </c>
      <c r="Y1515" s="575" t="s">
        <v>1338</v>
      </c>
      <c r="Z1515" s="576" t="s">
        <v>2411</v>
      </c>
      <c r="AA1515" s="577">
        <v>777</v>
      </c>
      <c r="AB1515" s="575"/>
    </row>
    <row r="1516" spans="1:28" hidden="1">
      <c r="A1516" s="566" t="s">
        <v>1335</v>
      </c>
      <c r="B1516" s="566" t="s">
        <v>466</v>
      </c>
      <c r="C1516" s="566" t="s">
        <v>471</v>
      </c>
      <c r="D1516" s="566" t="s">
        <v>472</v>
      </c>
      <c r="E1516" s="566" t="s">
        <v>473</v>
      </c>
      <c r="F1516" s="566" t="s">
        <v>474</v>
      </c>
      <c r="G1516" s="567">
        <v>0</v>
      </c>
      <c r="H1516" s="566" t="s">
        <v>677</v>
      </c>
      <c r="I1516" s="568">
        <v>2</v>
      </c>
      <c r="J1516" s="569">
        <v>58</v>
      </c>
      <c r="K1516" s="569">
        <v>58</v>
      </c>
      <c r="L1516" s="566"/>
      <c r="M1516" s="566" t="s">
        <v>476</v>
      </c>
      <c r="N1516" s="570">
        <v>1027</v>
      </c>
      <c r="O1516" s="566"/>
      <c r="P1516" s="566" t="s">
        <v>477</v>
      </c>
      <c r="Q1516" s="568">
        <v>909678</v>
      </c>
      <c r="R1516" s="568">
        <v>25</v>
      </c>
      <c r="S1516" s="566" t="s">
        <v>1336</v>
      </c>
      <c r="T1516" s="578" t="s">
        <v>779</v>
      </c>
      <c r="U1516" s="578" t="s">
        <v>670</v>
      </c>
      <c r="V1516" s="578" t="s">
        <v>539</v>
      </c>
      <c r="W1516" s="579" t="s">
        <v>1274</v>
      </c>
      <c r="X1516" s="578" t="s">
        <v>1337</v>
      </c>
      <c r="Y1516" s="578" t="s">
        <v>1338</v>
      </c>
      <c r="Z1516" s="580" t="s">
        <v>2412</v>
      </c>
      <c r="AA1516" s="581">
        <v>1027</v>
      </c>
      <c r="AB1516" s="578"/>
    </row>
    <row r="1517" spans="1:28" hidden="1">
      <c r="A1517" s="566" t="s">
        <v>1335</v>
      </c>
      <c r="B1517" s="566" t="s">
        <v>466</v>
      </c>
      <c r="C1517" s="566" t="s">
        <v>471</v>
      </c>
      <c r="D1517" s="566" t="s">
        <v>472</v>
      </c>
      <c r="E1517" s="566" t="s">
        <v>473</v>
      </c>
      <c r="F1517" s="566" t="s">
        <v>474</v>
      </c>
      <c r="G1517" s="567">
        <v>0</v>
      </c>
      <c r="H1517" s="566" t="s">
        <v>680</v>
      </c>
      <c r="I1517" s="568">
        <v>2</v>
      </c>
      <c r="J1517" s="569">
        <v>58</v>
      </c>
      <c r="K1517" s="569">
        <v>58</v>
      </c>
      <c r="L1517" s="566"/>
      <c r="M1517" s="566" t="s">
        <v>476</v>
      </c>
      <c r="N1517" s="570">
        <v>1063</v>
      </c>
      <c r="O1517" s="566"/>
      <c r="P1517" s="566" t="s">
        <v>477</v>
      </c>
      <c r="Q1517" s="568">
        <v>909678</v>
      </c>
      <c r="R1517" s="568">
        <v>26</v>
      </c>
      <c r="S1517" s="566" t="s">
        <v>1340</v>
      </c>
      <c r="T1517" s="578" t="s">
        <v>779</v>
      </c>
      <c r="U1517" s="578" t="s">
        <v>670</v>
      </c>
      <c r="V1517" s="578" t="s">
        <v>539</v>
      </c>
      <c r="W1517" s="579" t="s">
        <v>1275</v>
      </c>
      <c r="X1517" s="578" t="s">
        <v>1337</v>
      </c>
      <c r="Y1517" s="578" t="s">
        <v>1338</v>
      </c>
      <c r="Z1517" s="580" t="s">
        <v>2413</v>
      </c>
      <c r="AA1517" s="581">
        <v>1063</v>
      </c>
      <c r="AB1517" s="578"/>
    </row>
    <row r="1518" spans="1:28" hidden="1">
      <c r="A1518" s="566" t="s">
        <v>1335</v>
      </c>
      <c r="B1518" s="566" t="s">
        <v>466</v>
      </c>
      <c r="C1518" s="566" t="s">
        <v>487</v>
      </c>
      <c r="D1518" s="566" t="s">
        <v>472</v>
      </c>
      <c r="E1518" s="566" t="s">
        <v>473</v>
      </c>
      <c r="F1518" s="566" t="s">
        <v>489</v>
      </c>
      <c r="G1518" s="567">
        <v>50</v>
      </c>
      <c r="H1518" s="566" t="s">
        <v>682</v>
      </c>
      <c r="I1518" s="568">
        <v>2</v>
      </c>
      <c r="J1518" s="569">
        <v>58</v>
      </c>
      <c r="K1518" s="569">
        <v>58</v>
      </c>
      <c r="L1518" s="566"/>
      <c r="M1518" s="566" t="s">
        <v>476</v>
      </c>
      <c r="N1518" s="570">
        <v>1099</v>
      </c>
      <c r="O1518" s="566"/>
      <c r="P1518" s="566" t="s">
        <v>477</v>
      </c>
      <c r="Q1518" s="568">
        <v>909678</v>
      </c>
      <c r="R1518" s="568">
        <v>28</v>
      </c>
      <c r="S1518" s="566" t="s">
        <v>1342</v>
      </c>
      <c r="T1518" s="578" t="s">
        <v>779</v>
      </c>
      <c r="U1518" s="578" t="s">
        <v>670</v>
      </c>
      <c r="V1518" s="578" t="s">
        <v>539</v>
      </c>
      <c r="W1518" s="579" t="s">
        <v>485</v>
      </c>
      <c r="X1518" s="578" t="s">
        <v>1337</v>
      </c>
      <c r="Y1518" s="578" t="s">
        <v>1338</v>
      </c>
      <c r="Z1518" s="580" t="s">
        <v>2414</v>
      </c>
      <c r="AA1518" s="581">
        <v>1099</v>
      </c>
      <c r="AB1518" s="578"/>
    </row>
    <row r="1519" spans="1:28" hidden="1">
      <c r="A1519" s="566" t="s">
        <v>1335</v>
      </c>
      <c r="B1519" s="566" t="s">
        <v>466</v>
      </c>
      <c r="C1519" s="566" t="s">
        <v>487</v>
      </c>
      <c r="D1519" s="566" t="s">
        <v>472</v>
      </c>
      <c r="E1519" s="566" t="s">
        <v>473</v>
      </c>
      <c r="F1519" s="566" t="s">
        <v>489</v>
      </c>
      <c r="G1519" s="567">
        <v>50</v>
      </c>
      <c r="H1519" s="566" t="s">
        <v>684</v>
      </c>
      <c r="I1519" s="568">
        <v>2</v>
      </c>
      <c r="J1519" s="569">
        <v>58</v>
      </c>
      <c r="K1519" s="569">
        <v>58</v>
      </c>
      <c r="L1519" s="566"/>
      <c r="M1519" s="566" t="s">
        <v>476</v>
      </c>
      <c r="N1519" s="570">
        <v>1135</v>
      </c>
      <c r="O1519" s="566"/>
      <c r="P1519" s="566" t="s">
        <v>477</v>
      </c>
      <c r="Q1519" s="568">
        <v>909678</v>
      </c>
      <c r="R1519" s="568">
        <v>29</v>
      </c>
      <c r="S1519" s="566" t="s">
        <v>1344</v>
      </c>
      <c r="T1519" s="578" t="s">
        <v>779</v>
      </c>
      <c r="U1519" s="578" t="s">
        <v>670</v>
      </c>
      <c r="V1519" s="578" t="s">
        <v>539</v>
      </c>
      <c r="W1519" s="579" t="s">
        <v>491</v>
      </c>
      <c r="X1519" s="578" t="s">
        <v>1337</v>
      </c>
      <c r="Y1519" s="578" t="s">
        <v>1338</v>
      </c>
      <c r="Z1519" s="580" t="s">
        <v>2415</v>
      </c>
      <c r="AA1519" s="581">
        <v>1135</v>
      </c>
      <c r="AB1519" s="578"/>
    </row>
    <row r="1520" spans="1:28" hidden="1">
      <c r="A1520" s="566" t="s">
        <v>1335</v>
      </c>
      <c r="B1520" s="566" t="s">
        <v>466</v>
      </c>
      <c r="C1520" s="566" t="s">
        <v>487</v>
      </c>
      <c r="D1520" s="566" t="s">
        <v>472</v>
      </c>
      <c r="E1520" s="566" t="s">
        <v>473</v>
      </c>
      <c r="F1520" s="566" t="s">
        <v>489</v>
      </c>
      <c r="G1520" s="567">
        <v>50</v>
      </c>
      <c r="H1520" s="566" t="s">
        <v>686</v>
      </c>
      <c r="I1520" s="568">
        <v>2</v>
      </c>
      <c r="J1520" s="569">
        <v>58</v>
      </c>
      <c r="K1520" s="569">
        <v>58</v>
      </c>
      <c r="L1520" s="566"/>
      <c r="M1520" s="566" t="s">
        <v>476</v>
      </c>
      <c r="N1520" s="570">
        <v>1171</v>
      </c>
      <c r="O1520" s="566"/>
      <c r="P1520" s="566" t="s">
        <v>477</v>
      </c>
      <c r="Q1520" s="568">
        <v>909678</v>
      </c>
      <c r="R1520" s="568">
        <v>30</v>
      </c>
      <c r="S1520" s="566" t="s">
        <v>1346</v>
      </c>
      <c r="T1520" s="578" t="s">
        <v>779</v>
      </c>
      <c r="U1520" s="578" t="s">
        <v>670</v>
      </c>
      <c r="V1520" s="578" t="s">
        <v>539</v>
      </c>
      <c r="W1520" s="579" t="s">
        <v>495</v>
      </c>
      <c r="X1520" s="578" t="s">
        <v>1337</v>
      </c>
      <c r="Y1520" s="578" t="s">
        <v>1338</v>
      </c>
      <c r="Z1520" s="580" t="s">
        <v>2416</v>
      </c>
      <c r="AA1520" s="581">
        <v>1171</v>
      </c>
      <c r="AB1520" s="578"/>
    </row>
    <row r="1521" spans="1:28" hidden="1">
      <c r="A1521" s="566" t="s">
        <v>1335</v>
      </c>
      <c r="B1521" s="566" t="s">
        <v>466</v>
      </c>
      <c r="C1521" s="566" t="s">
        <v>487</v>
      </c>
      <c r="D1521" s="566" t="s">
        <v>472</v>
      </c>
      <c r="E1521" s="566" t="s">
        <v>473</v>
      </c>
      <c r="F1521" s="566" t="s">
        <v>489</v>
      </c>
      <c r="G1521" s="567">
        <v>50</v>
      </c>
      <c r="H1521" s="566" t="s">
        <v>689</v>
      </c>
      <c r="I1521" s="568">
        <v>2</v>
      </c>
      <c r="J1521" s="569">
        <v>58</v>
      </c>
      <c r="K1521" s="569">
        <v>58</v>
      </c>
      <c r="L1521" s="566"/>
      <c r="M1521" s="566" t="s">
        <v>476</v>
      </c>
      <c r="N1521" s="570">
        <v>1207</v>
      </c>
      <c r="O1521" s="566"/>
      <c r="P1521" s="566" t="s">
        <v>477</v>
      </c>
      <c r="Q1521" s="568">
        <v>909678</v>
      </c>
      <c r="R1521" s="568">
        <v>31</v>
      </c>
      <c r="S1521" s="566" t="s">
        <v>1348</v>
      </c>
      <c r="T1521" s="578" t="s">
        <v>779</v>
      </c>
      <c r="U1521" s="578" t="s">
        <v>670</v>
      </c>
      <c r="V1521" s="578" t="s">
        <v>539</v>
      </c>
      <c r="W1521" s="579" t="s">
        <v>1276</v>
      </c>
      <c r="X1521" s="578" t="s">
        <v>1337</v>
      </c>
      <c r="Y1521" s="578" t="s">
        <v>1338</v>
      </c>
      <c r="Z1521" s="580" t="s">
        <v>2417</v>
      </c>
      <c r="AA1521" s="581">
        <v>1207</v>
      </c>
      <c r="AB1521" s="578"/>
    </row>
    <row r="1522" spans="1:28" hidden="1">
      <c r="A1522" s="566" t="s">
        <v>1335</v>
      </c>
      <c r="B1522" s="566" t="s">
        <v>466</v>
      </c>
      <c r="C1522" s="566" t="s">
        <v>487</v>
      </c>
      <c r="D1522" s="566" t="s">
        <v>472</v>
      </c>
      <c r="E1522" s="566" t="s">
        <v>473</v>
      </c>
      <c r="F1522" s="566" t="s">
        <v>489</v>
      </c>
      <c r="G1522" s="567">
        <v>50</v>
      </c>
      <c r="H1522" s="566" t="s">
        <v>692</v>
      </c>
      <c r="I1522" s="568">
        <v>2</v>
      </c>
      <c r="J1522" s="569">
        <v>58</v>
      </c>
      <c r="K1522" s="569">
        <v>58</v>
      </c>
      <c r="L1522" s="566"/>
      <c r="M1522" s="566" t="s">
        <v>476</v>
      </c>
      <c r="N1522" s="570">
        <v>1243</v>
      </c>
      <c r="O1522" s="566"/>
      <c r="P1522" s="566" t="s">
        <v>477</v>
      </c>
      <c r="Q1522" s="568">
        <v>909678</v>
      </c>
      <c r="R1522" s="568">
        <v>32</v>
      </c>
      <c r="S1522" s="566" t="s">
        <v>1350</v>
      </c>
      <c r="T1522" s="578" t="s">
        <v>779</v>
      </c>
      <c r="U1522" s="578" t="s">
        <v>670</v>
      </c>
      <c r="V1522" s="578" t="s">
        <v>539</v>
      </c>
      <c r="W1522" s="579" t="s">
        <v>1277</v>
      </c>
      <c r="X1522" s="578" t="s">
        <v>1337</v>
      </c>
      <c r="Y1522" s="578" t="s">
        <v>1338</v>
      </c>
      <c r="Z1522" s="580" t="s">
        <v>2418</v>
      </c>
      <c r="AA1522" s="581">
        <v>1243</v>
      </c>
      <c r="AB1522" s="578"/>
    </row>
    <row r="1523" spans="1:28" hidden="1">
      <c r="A1523" s="566" t="s">
        <v>1335</v>
      </c>
      <c r="B1523" s="566" t="s">
        <v>466</v>
      </c>
      <c r="C1523" s="566" t="s">
        <v>471</v>
      </c>
      <c r="D1523" s="566" t="s">
        <v>472</v>
      </c>
      <c r="E1523" s="566" t="s">
        <v>473</v>
      </c>
      <c r="F1523" s="566" t="s">
        <v>474</v>
      </c>
      <c r="G1523" s="567">
        <v>0</v>
      </c>
      <c r="H1523" s="566" t="s">
        <v>2117</v>
      </c>
      <c r="I1523" s="568">
        <v>2</v>
      </c>
      <c r="J1523" s="569">
        <v>58</v>
      </c>
      <c r="K1523" s="569">
        <v>58</v>
      </c>
      <c r="L1523" s="566"/>
      <c r="M1523" s="566" t="s">
        <v>476</v>
      </c>
      <c r="N1523" s="570">
        <v>1279</v>
      </c>
      <c r="O1523" s="566"/>
      <c r="P1523" s="566" t="s">
        <v>477</v>
      </c>
      <c r="Q1523" s="568">
        <v>909678</v>
      </c>
      <c r="R1523" s="568">
        <v>27</v>
      </c>
      <c r="S1523" s="566" t="s">
        <v>1353</v>
      </c>
      <c r="T1523" s="578" t="s">
        <v>779</v>
      </c>
      <c r="U1523" s="578" t="s">
        <v>670</v>
      </c>
      <c r="V1523" s="578" t="s">
        <v>539</v>
      </c>
      <c r="W1523" s="579" t="s">
        <v>1354</v>
      </c>
      <c r="X1523" s="578" t="s">
        <v>1337</v>
      </c>
      <c r="Y1523" s="578" t="s">
        <v>1338</v>
      </c>
      <c r="Z1523" s="580" t="s">
        <v>2419</v>
      </c>
      <c r="AA1523" s="581">
        <v>1279</v>
      </c>
      <c r="AB1523" s="578"/>
    </row>
    <row r="1524" spans="1:28" hidden="1">
      <c r="A1524" s="566" t="s">
        <v>1335</v>
      </c>
      <c r="B1524" s="566" t="s">
        <v>466</v>
      </c>
      <c r="C1524" s="566" t="s">
        <v>487</v>
      </c>
      <c r="D1524" s="566" t="s">
        <v>472</v>
      </c>
      <c r="E1524" s="566" t="s">
        <v>473</v>
      </c>
      <c r="F1524" s="566" t="s">
        <v>489</v>
      </c>
      <c r="G1524" s="567">
        <v>50</v>
      </c>
      <c r="H1524" s="566" t="s">
        <v>2119</v>
      </c>
      <c r="I1524" s="568">
        <v>2</v>
      </c>
      <c r="J1524" s="569">
        <v>58</v>
      </c>
      <c r="K1524" s="569">
        <v>58</v>
      </c>
      <c r="L1524" s="566"/>
      <c r="M1524" s="566" t="s">
        <v>476</v>
      </c>
      <c r="N1524" s="570">
        <v>1315</v>
      </c>
      <c r="O1524" s="566"/>
      <c r="P1524" s="566" t="s">
        <v>477</v>
      </c>
      <c r="Q1524" s="568">
        <v>909678</v>
      </c>
      <c r="R1524" s="568">
        <v>33</v>
      </c>
      <c r="S1524" s="566" t="s">
        <v>1357</v>
      </c>
      <c r="T1524" s="578" t="s">
        <v>779</v>
      </c>
      <c r="U1524" s="578" t="s">
        <v>670</v>
      </c>
      <c r="V1524" s="578" t="s">
        <v>539</v>
      </c>
      <c r="W1524" s="579" t="s">
        <v>1358</v>
      </c>
      <c r="X1524" s="578" t="s">
        <v>1337</v>
      </c>
      <c r="Y1524" s="578" t="s">
        <v>1338</v>
      </c>
      <c r="Z1524" s="580" t="s">
        <v>2420</v>
      </c>
      <c r="AA1524" s="581">
        <v>1315</v>
      </c>
      <c r="AB1524" s="578"/>
    </row>
    <row r="1525" spans="1:28" hidden="1">
      <c r="A1525" s="566" t="s">
        <v>1335</v>
      </c>
      <c r="B1525" s="566" t="s">
        <v>466</v>
      </c>
      <c r="C1525" s="566" t="s">
        <v>471</v>
      </c>
      <c r="D1525" s="566" t="s">
        <v>472</v>
      </c>
      <c r="E1525" s="566" t="s">
        <v>473</v>
      </c>
      <c r="F1525" s="566" t="s">
        <v>474</v>
      </c>
      <c r="G1525" s="567">
        <v>0</v>
      </c>
      <c r="H1525" s="566" t="s">
        <v>704</v>
      </c>
      <c r="I1525" s="568">
        <v>2</v>
      </c>
      <c r="J1525" s="569">
        <v>58</v>
      </c>
      <c r="K1525" s="569">
        <v>58</v>
      </c>
      <c r="L1525" s="566"/>
      <c r="M1525" s="566" t="s">
        <v>476</v>
      </c>
      <c r="N1525" s="570">
        <v>919</v>
      </c>
      <c r="O1525" s="566"/>
      <c r="P1525" s="566" t="s">
        <v>477</v>
      </c>
      <c r="Q1525" s="568">
        <v>909678</v>
      </c>
      <c r="R1525" s="568">
        <v>22</v>
      </c>
      <c r="S1525" s="566" t="s">
        <v>1360</v>
      </c>
      <c r="T1525" s="578" t="s">
        <v>779</v>
      </c>
      <c r="U1525" s="578" t="s">
        <v>670</v>
      </c>
      <c r="V1525" s="578" t="s">
        <v>539</v>
      </c>
      <c r="W1525" s="579" t="s">
        <v>509</v>
      </c>
      <c r="X1525" s="578" t="s">
        <v>1337</v>
      </c>
      <c r="Y1525" s="578" t="s">
        <v>1338</v>
      </c>
      <c r="Z1525" s="580" t="s">
        <v>2421</v>
      </c>
      <c r="AA1525" s="581">
        <v>919</v>
      </c>
      <c r="AB1525" s="578"/>
    </row>
    <row r="1526" spans="1:28" hidden="1">
      <c r="A1526" s="566" t="s">
        <v>1335</v>
      </c>
      <c r="B1526" s="566" t="s">
        <v>466</v>
      </c>
      <c r="C1526" s="566" t="s">
        <v>471</v>
      </c>
      <c r="D1526" s="566" t="s">
        <v>472</v>
      </c>
      <c r="E1526" s="566" t="s">
        <v>473</v>
      </c>
      <c r="F1526" s="566" t="s">
        <v>474</v>
      </c>
      <c r="G1526" s="567">
        <v>0</v>
      </c>
      <c r="H1526" s="566" t="s">
        <v>706</v>
      </c>
      <c r="I1526" s="568">
        <v>2</v>
      </c>
      <c r="J1526" s="569">
        <v>58</v>
      </c>
      <c r="K1526" s="569">
        <v>58</v>
      </c>
      <c r="L1526" s="566"/>
      <c r="M1526" s="566" t="s">
        <v>476</v>
      </c>
      <c r="N1526" s="570">
        <v>955</v>
      </c>
      <c r="O1526" s="566"/>
      <c r="P1526" s="566" t="s">
        <v>477</v>
      </c>
      <c r="Q1526" s="568">
        <v>909678</v>
      </c>
      <c r="R1526" s="568">
        <v>23</v>
      </c>
      <c r="S1526" s="566" t="s">
        <v>1362</v>
      </c>
      <c r="T1526" s="578" t="s">
        <v>779</v>
      </c>
      <c r="U1526" s="578" t="s">
        <v>670</v>
      </c>
      <c r="V1526" s="578" t="s">
        <v>539</v>
      </c>
      <c r="W1526" s="579" t="s">
        <v>512</v>
      </c>
      <c r="X1526" s="578" t="s">
        <v>1337</v>
      </c>
      <c r="Y1526" s="578" t="s">
        <v>1338</v>
      </c>
      <c r="Z1526" s="580" t="s">
        <v>2422</v>
      </c>
      <c r="AA1526" s="581">
        <v>955</v>
      </c>
      <c r="AB1526" s="578"/>
    </row>
    <row r="1527" spans="1:28" hidden="1">
      <c r="A1527" s="566" t="s">
        <v>1335</v>
      </c>
      <c r="B1527" s="566" t="s">
        <v>466</v>
      </c>
      <c r="C1527" s="566" t="s">
        <v>471</v>
      </c>
      <c r="D1527" s="566" t="s">
        <v>472</v>
      </c>
      <c r="E1527" s="566" t="s">
        <v>473</v>
      </c>
      <c r="F1527" s="566" t="s">
        <v>474</v>
      </c>
      <c r="G1527" s="567">
        <v>0</v>
      </c>
      <c r="H1527" s="566" t="s">
        <v>708</v>
      </c>
      <c r="I1527" s="568">
        <v>2</v>
      </c>
      <c r="J1527" s="569">
        <v>58</v>
      </c>
      <c r="K1527" s="569">
        <v>58</v>
      </c>
      <c r="L1527" s="566"/>
      <c r="M1527" s="566" t="s">
        <v>476</v>
      </c>
      <c r="N1527" s="570">
        <v>991</v>
      </c>
      <c r="O1527" s="566"/>
      <c r="P1527" s="566" t="s">
        <v>477</v>
      </c>
      <c r="Q1527" s="568">
        <v>909678</v>
      </c>
      <c r="R1527" s="568">
        <v>24</v>
      </c>
      <c r="S1527" s="566" t="s">
        <v>1364</v>
      </c>
      <c r="T1527" s="578" t="s">
        <v>779</v>
      </c>
      <c r="U1527" s="578" t="s">
        <v>670</v>
      </c>
      <c r="V1527" s="578" t="s">
        <v>539</v>
      </c>
      <c r="W1527" s="579" t="s">
        <v>514</v>
      </c>
      <c r="X1527" s="578" t="s">
        <v>1337</v>
      </c>
      <c r="Y1527" s="578" t="s">
        <v>1338</v>
      </c>
      <c r="Z1527" s="580" t="s">
        <v>2423</v>
      </c>
      <c r="AA1527" s="581">
        <v>991</v>
      </c>
      <c r="AB1527" s="578"/>
    </row>
    <row r="1528" spans="1:28" hidden="1">
      <c r="A1528" s="566" t="s">
        <v>1335</v>
      </c>
      <c r="B1528" s="566" t="s">
        <v>466</v>
      </c>
      <c r="C1528" s="566" t="s">
        <v>471</v>
      </c>
      <c r="D1528" s="566" t="s">
        <v>472</v>
      </c>
      <c r="E1528" s="566" t="s">
        <v>473</v>
      </c>
      <c r="F1528" s="566" t="s">
        <v>474</v>
      </c>
      <c r="G1528" s="567">
        <v>0</v>
      </c>
      <c r="H1528" s="566" t="s">
        <v>677</v>
      </c>
      <c r="I1528" s="568">
        <v>2</v>
      </c>
      <c r="J1528" s="569">
        <v>82</v>
      </c>
      <c r="K1528" s="569">
        <v>82</v>
      </c>
      <c r="L1528" s="566"/>
      <c r="M1528" s="566" t="s">
        <v>476</v>
      </c>
      <c r="N1528" s="570">
        <v>1567</v>
      </c>
      <c r="O1528" s="566"/>
      <c r="P1528" s="566" t="s">
        <v>477</v>
      </c>
      <c r="Q1528" s="568">
        <v>909678</v>
      </c>
      <c r="R1528" s="568">
        <v>40</v>
      </c>
      <c r="S1528" s="566" t="s">
        <v>1366</v>
      </c>
      <c r="T1528" s="578" t="s">
        <v>779</v>
      </c>
      <c r="U1528" s="578" t="s">
        <v>670</v>
      </c>
      <c r="V1528" s="578" t="s">
        <v>539</v>
      </c>
      <c r="W1528" s="579" t="s">
        <v>1274</v>
      </c>
      <c r="X1528" s="578" t="s">
        <v>1337</v>
      </c>
      <c r="Y1528" s="578" t="s">
        <v>1367</v>
      </c>
      <c r="Z1528" s="580" t="s">
        <v>2424</v>
      </c>
      <c r="AA1528" s="581">
        <v>1567</v>
      </c>
      <c r="AB1528" s="578"/>
    </row>
    <row r="1529" spans="1:28" hidden="1">
      <c r="A1529" s="566" t="s">
        <v>1335</v>
      </c>
      <c r="B1529" s="566" t="s">
        <v>466</v>
      </c>
      <c r="C1529" s="566" t="s">
        <v>471</v>
      </c>
      <c r="D1529" s="566" t="s">
        <v>472</v>
      </c>
      <c r="E1529" s="566" t="s">
        <v>473</v>
      </c>
      <c r="F1529" s="566" t="s">
        <v>474</v>
      </c>
      <c r="G1529" s="567">
        <v>0</v>
      </c>
      <c r="H1529" s="566" t="s">
        <v>680</v>
      </c>
      <c r="I1529" s="568">
        <v>2</v>
      </c>
      <c r="J1529" s="569">
        <v>82</v>
      </c>
      <c r="K1529" s="569">
        <v>82</v>
      </c>
      <c r="L1529" s="566"/>
      <c r="M1529" s="566" t="s">
        <v>476</v>
      </c>
      <c r="N1529" s="570">
        <v>1603</v>
      </c>
      <c r="O1529" s="566"/>
      <c r="P1529" s="566" t="s">
        <v>477</v>
      </c>
      <c r="Q1529" s="568">
        <v>909678</v>
      </c>
      <c r="R1529" s="568">
        <v>41</v>
      </c>
      <c r="S1529" s="566" t="s">
        <v>1369</v>
      </c>
      <c r="T1529" s="578" t="s">
        <v>779</v>
      </c>
      <c r="U1529" s="578" t="s">
        <v>670</v>
      </c>
      <c r="V1529" s="578" t="s">
        <v>539</v>
      </c>
      <c r="W1529" s="579" t="s">
        <v>1275</v>
      </c>
      <c r="X1529" s="578" t="s">
        <v>1337</v>
      </c>
      <c r="Y1529" s="578" t="s">
        <v>1367</v>
      </c>
      <c r="Z1529" s="580" t="s">
        <v>2425</v>
      </c>
      <c r="AA1529" s="581">
        <v>1603</v>
      </c>
      <c r="AB1529" s="578"/>
    </row>
    <row r="1530" spans="1:28" hidden="1">
      <c r="A1530" s="566" t="s">
        <v>1335</v>
      </c>
      <c r="B1530" s="566" t="s">
        <v>466</v>
      </c>
      <c r="C1530" s="566" t="s">
        <v>487</v>
      </c>
      <c r="D1530" s="566" t="s">
        <v>472</v>
      </c>
      <c r="E1530" s="566" t="s">
        <v>473</v>
      </c>
      <c r="F1530" s="566" t="s">
        <v>489</v>
      </c>
      <c r="G1530" s="567">
        <v>50</v>
      </c>
      <c r="H1530" s="566" t="s">
        <v>689</v>
      </c>
      <c r="I1530" s="568">
        <v>2</v>
      </c>
      <c r="J1530" s="569">
        <v>82</v>
      </c>
      <c r="K1530" s="569">
        <v>82</v>
      </c>
      <c r="L1530" s="566"/>
      <c r="M1530" s="566" t="s">
        <v>476</v>
      </c>
      <c r="N1530" s="570">
        <v>1639</v>
      </c>
      <c r="O1530" s="566"/>
      <c r="P1530" s="566" t="s">
        <v>477</v>
      </c>
      <c r="Q1530" s="568">
        <v>909678</v>
      </c>
      <c r="R1530" s="568">
        <v>43</v>
      </c>
      <c r="S1530" s="566" t="s">
        <v>1371</v>
      </c>
      <c r="T1530" s="578" t="s">
        <v>779</v>
      </c>
      <c r="U1530" s="578" t="s">
        <v>670</v>
      </c>
      <c r="V1530" s="578" t="s">
        <v>539</v>
      </c>
      <c r="W1530" s="579" t="s">
        <v>1276</v>
      </c>
      <c r="X1530" s="578" t="s">
        <v>1337</v>
      </c>
      <c r="Y1530" s="578" t="s">
        <v>1367</v>
      </c>
      <c r="Z1530" s="580" t="s">
        <v>2426</v>
      </c>
      <c r="AA1530" s="581">
        <v>1639</v>
      </c>
      <c r="AB1530" s="578"/>
    </row>
    <row r="1531" spans="1:28" hidden="1">
      <c r="A1531" s="566" t="s">
        <v>1335</v>
      </c>
      <c r="B1531" s="566" t="s">
        <v>466</v>
      </c>
      <c r="C1531" s="566" t="s">
        <v>487</v>
      </c>
      <c r="D1531" s="566" t="s">
        <v>472</v>
      </c>
      <c r="E1531" s="566" t="s">
        <v>473</v>
      </c>
      <c r="F1531" s="566" t="s">
        <v>489</v>
      </c>
      <c r="G1531" s="567">
        <v>50</v>
      </c>
      <c r="H1531" s="566" t="s">
        <v>692</v>
      </c>
      <c r="I1531" s="568">
        <v>2</v>
      </c>
      <c r="J1531" s="569">
        <v>82</v>
      </c>
      <c r="K1531" s="569">
        <v>82</v>
      </c>
      <c r="L1531" s="566"/>
      <c r="M1531" s="566" t="s">
        <v>476</v>
      </c>
      <c r="N1531" s="570">
        <v>1675</v>
      </c>
      <c r="O1531" s="566"/>
      <c r="P1531" s="566" t="s">
        <v>477</v>
      </c>
      <c r="Q1531" s="568">
        <v>909678</v>
      </c>
      <c r="R1531" s="568">
        <v>44</v>
      </c>
      <c r="S1531" s="566" t="s">
        <v>1373</v>
      </c>
      <c r="T1531" s="578" t="s">
        <v>779</v>
      </c>
      <c r="U1531" s="578" t="s">
        <v>670</v>
      </c>
      <c r="V1531" s="578" t="s">
        <v>539</v>
      </c>
      <c r="W1531" s="579" t="s">
        <v>1277</v>
      </c>
      <c r="X1531" s="578" t="s">
        <v>1337</v>
      </c>
      <c r="Y1531" s="578" t="s">
        <v>1367</v>
      </c>
      <c r="Z1531" s="580" t="s">
        <v>2427</v>
      </c>
      <c r="AA1531" s="581">
        <v>1675</v>
      </c>
      <c r="AB1531" s="578"/>
    </row>
    <row r="1532" spans="1:28" hidden="1">
      <c r="A1532" s="566" t="s">
        <v>1335</v>
      </c>
      <c r="B1532" s="566" t="s">
        <v>466</v>
      </c>
      <c r="C1532" s="566" t="s">
        <v>471</v>
      </c>
      <c r="D1532" s="566" t="s">
        <v>472</v>
      </c>
      <c r="E1532" s="566" t="s">
        <v>473</v>
      </c>
      <c r="F1532" s="566" t="s">
        <v>474</v>
      </c>
      <c r="G1532" s="567">
        <v>0</v>
      </c>
      <c r="H1532" s="566" t="s">
        <v>2117</v>
      </c>
      <c r="I1532" s="568">
        <v>2</v>
      </c>
      <c r="J1532" s="569">
        <v>82</v>
      </c>
      <c r="K1532" s="569">
        <v>82</v>
      </c>
      <c r="L1532" s="566"/>
      <c r="M1532" s="566" t="s">
        <v>476</v>
      </c>
      <c r="N1532" s="570">
        <v>1711</v>
      </c>
      <c r="O1532" s="566"/>
      <c r="P1532" s="566" t="s">
        <v>477</v>
      </c>
      <c r="Q1532" s="568">
        <v>909678</v>
      </c>
      <c r="R1532" s="568">
        <v>42</v>
      </c>
      <c r="S1532" s="566" t="s">
        <v>1375</v>
      </c>
      <c r="T1532" s="578" t="s">
        <v>779</v>
      </c>
      <c r="U1532" s="578" t="s">
        <v>670</v>
      </c>
      <c r="V1532" s="578" t="s">
        <v>539</v>
      </c>
      <c r="W1532" s="579" t="s">
        <v>1354</v>
      </c>
      <c r="X1532" s="578" t="s">
        <v>1337</v>
      </c>
      <c r="Y1532" s="578" t="s">
        <v>1367</v>
      </c>
      <c r="Z1532" s="580" t="s">
        <v>2428</v>
      </c>
      <c r="AA1532" s="581">
        <v>1711</v>
      </c>
      <c r="AB1532" s="578"/>
    </row>
    <row r="1533" spans="1:28" hidden="1">
      <c r="A1533" s="566" t="s">
        <v>1335</v>
      </c>
      <c r="B1533" s="566" t="s">
        <v>466</v>
      </c>
      <c r="C1533" s="566" t="s">
        <v>487</v>
      </c>
      <c r="D1533" s="566" t="s">
        <v>472</v>
      </c>
      <c r="E1533" s="566" t="s">
        <v>473</v>
      </c>
      <c r="F1533" s="566" t="s">
        <v>489</v>
      </c>
      <c r="G1533" s="567">
        <v>50</v>
      </c>
      <c r="H1533" s="566" t="s">
        <v>2119</v>
      </c>
      <c r="I1533" s="568">
        <v>2</v>
      </c>
      <c r="J1533" s="569">
        <v>82</v>
      </c>
      <c r="K1533" s="569">
        <v>82</v>
      </c>
      <c r="L1533" s="566"/>
      <c r="M1533" s="566" t="s">
        <v>476</v>
      </c>
      <c r="N1533" s="570">
        <v>1747</v>
      </c>
      <c r="O1533" s="566"/>
      <c r="P1533" s="566" t="s">
        <v>477</v>
      </c>
      <c r="Q1533" s="568">
        <v>909678</v>
      </c>
      <c r="R1533" s="568">
        <v>45</v>
      </c>
      <c r="S1533" s="566" t="s">
        <v>1377</v>
      </c>
      <c r="T1533" s="578" t="s">
        <v>779</v>
      </c>
      <c r="U1533" s="578" t="s">
        <v>670</v>
      </c>
      <c r="V1533" s="578" t="s">
        <v>539</v>
      </c>
      <c r="W1533" s="579" t="s">
        <v>1358</v>
      </c>
      <c r="X1533" s="578" t="s">
        <v>1337</v>
      </c>
      <c r="Y1533" s="578" t="s">
        <v>1367</v>
      </c>
      <c r="Z1533" s="580" t="s">
        <v>2429</v>
      </c>
      <c r="AA1533" s="581">
        <v>1747</v>
      </c>
      <c r="AB1533" s="578"/>
    </row>
    <row r="1534" spans="1:28" hidden="1">
      <c r="A1534" s="566" t="s">
        <v>1335</v>
      </c>
      <c r="B1534" s="566" t="s">
        <v>466</v>
      </c>
      <c r="C1534" s="566" t="s">
        <v>553</v>
      </c>
      <c r="D1534" s="566" t="s">
        <v>472</v>
      </c>
      <c r="E1534" s="566" t="s">
        <v>473</v>
      </c>
      <c r="F1534" s="566" t="s">
        <v>554</v>
      </c>
      <c r="G1534" s="567">
        <v>13</v>
      </c>
      <c r="H1534" s="566" t="s">
        <v>988</v>
      </c>
      <c r="I1534" s="568">
        <v>2</v>
      </c>
      <c r="J1534" s="569">
        <v>22</v>
      </c>
      <c r="K1534" s="569">
        <v>22</v>
      </c>
      <c r="L1534" s="569">
        <v>17</v>
      </c>
      <c r="M1534" s="566" t="s">
        <v>476</v>
      </c>
      <c r="N1534" s="570">
        <v>172</v>
      </c>
      <c r="O1534" s="566"/>
      <c r="P1534" s="566" t="s">
        <v>477</v>
      </c>
      <c r="Q1534" s="568">
        <v>909678</v>
      </c>
      <c r="R1534" s="568">
        <v>9</v>
      </c>
      <c r="S1534" s="566" t="s">
        <v>1379</v>
      </c>
      <c r="T1534" s="578" t="s">
        <v>779</v>
      </c>
      <c r="U1534" s="578" t="s">
        <v>670</v>
      </c>
      <c r="V1534" s="578" t="s">
        <v>539</v>
      </c>
      <c r="W1534" s="579" t="s">
        <v>551</v>
      </c>
      <c r="X1534" s="578" t="s">
        <v>1380</v>
      </c>
      <c r="Y1534" s="578" t="s">
        <v>1338</v>
      </c>
      <c r="Z1534" s="580" t="s">
        <v>987</v>
      </c>
      <c r="AA1534" s="581">
        <v>172</v>
      </c>
      <c r="AB1534" s="578">
        <v>260071</v>
      </c>
    </row>
    <row r="1535" spans="1:28" hidden="1">
      <c r="A1535" s="566" t="s">
        <v>1335</v>
      </c>
      <c r="B1535" s="566" t="s">
        <v>466</v>
      </c>
      <c r="C1535" s="566" t="s">
        <v>553</v>
      </c>
      <c r="D1535" s="566" t="s">
        <v>472</v>
      </c>
      <c r="E1535" s="566" t="s">
        <v>473</v>
      </c>
      <c r="F1535" s="566" t="s">
        <v>554</v>
      </c>
      <c r="G1535" s="567">
        <v>16</v>
      </c>
      <c r="H1535" s="566" t="s">
        <v>990</v>
      </c>
      <c r="I1535" s="568">
        <v>2</v>
      </c>
      <c r="J1535" s="569">
        <v>22</v>
      </c>
      <c r="K1535" s="569">
        <v>22</v>
      </c>
      <c r="L1535" s="569">
        <v>17</v>
      </c>
      <c r="M1535" s="566" t="s">
        <v>476</v>
      </c>
      <c r="N1535" s="570">
        <v>316</v>
      </c>
      <c r="O1535" s="566"/>
      <c r="P1535" s="566" t="s">
        <v>477</v>
      </c>
      <c r="Q1535" s="568">
        <v>909678</v>
      </c>
      <c r="R1535" s="568">
        <v>4</v>
      </c>
      <c r="S1535" s="566" t="s">
        <v>1381</v>
      </c>
      <c r="T1535" s="578" t="s">
        <v>779</v>
      </c>
      <c r="U1535" s="578" t="s">
        <v>670</v>
      </c>
      <c r="V1535" s="578" t="s">
        <v>539</v>
      </c>
      <c r="W1535" s="579" t="s">
        <v>556</v>
      </c>
      <c r="X1535" s="578" t="s">
        <v>1380</v>
      </c>
      <c r="Y1535" s="578" t="s">
        <v>1338</v>
      </c>
      <c r="Z1535" s="580" t="s">
        <v>989</v>
      </c>
      <c r="AA1535" s="581">
        <v>316</v>
      </c>
      <c r="AB1535" s="578">
        <v>260215</v>
      </c>
    </row>
    <row r="1536" spans="1:28" hidden="1">
      <c r="A1536" s="566" t="s">
        <v>1335</v>
      </c>
      <c r="B1536" s="566" t="s">
        <v>466</v>
      </c>
      <c r="C1536" s="566" t="s">
        <v>471</v>
      </c>
      <c r="D1536" s="566" t="s">
        <v>472</v>
      </c>
      <c r="E1536" s="566" t="s">
        <v>473</v>
      </c>
      <c r="F1536" s="566" t="s">
        <v>474</v>
      </c>
      <c r="G1536" s="567">
        <v>0</v>
      </c>
      <c r="H1536" s="566" t="s">
        <v>677</v>
      </c>
      <c r="I1536" s="568">
        <v>2</v>
      </c>
      <c r="J1536" s="569">
        <v>10</v>
      </c>
      <c r="K1536" s="569">
        <v>10</v>
      </c>
      <c r="L1536" s="566"/>
      <c r="M1536" s="566" t="s">
        <v>476</v>
      </c>
      <c r="N1536" s="570">
        <v>487</v>
      </c>
      <c r="O1536" s="566"/>
      <c r="P1536" s="566" t="s">
        <v>477</v>
      </c>
      <c r="Q1536" s="568">
        <v>909678</v>
      </c>
      <c r="R1536" s="568">
        <v>10</v>
      </c>
      <c r="S1536" s="566" t="s">
        <v>1382</v>
      </c>
      <c r="T1536" s="578" t="s">
        <v>779</v>
      </c>
      <c r="U1536" s="578" t="s">
        <v>670</v>
      </c>
      <c r="V1536" s="578" t="s">
        <v>539</v>
      </c>
      <c r="W1536" s="579" t="s">
        <v>1274</v>
      </c>
      <c r="X1536" s="578" t="s">
        <v>1380</v>
      </c>
      <c r="Y1536" s="578" t="s">
        <v>1338</v>
      </c>
      <c r="Z1536" s="580" t="s">
        <v>991</v>
      </c>
      <c r="AA1536" s="581">
        <v>487</v>
      </c>
      <c r="AB1536" s="578"/>
    </row>
    <row r="1537" spans="1:28" hidden="1">
      <c r="A1537" s="566" t="s">
        <v>1335</v>
      </c>
      <c r="B1537" s="566" t="s">
        <v>466</v>
      </c>
      <c r="C1537" s="566" t="s">
        <v>471</v>
      </c>
      <c r="D1537" s="566" t="s">
        <v>472</v>
      </c>
      <c r="E1537" s="566" t="s">
        <v>473</v>
      </c>
      <c r="F1537" s="566" t="s">
        <v>474</v>
      </c>
      <c r="G1537" s="567">
        <v>0</v>
      </c>
      <c r="H1537" s="566" t="s">
        <v>680</v>
      </c>
      <c r="I1537" s="568">
        <v>2</v>
      </c>
      <c r="J1537" s="569">
        <v>10</v>
      </c>
      <c r="K1537" s="569">
        <v>10</v>
      </c>
      <c r="L1537" s="566"/>
      <c r="M1537" s="566" t="s">
        <v>476</v>
      </c>
      <c r="N1537" s="570">
        <v>559</v>
      </c>
      <c r="O1537" s="566"/>
      <c r="P1537" s="566" t="s">
        <v>477</v>
      </c>
      <c r="Q1537" s="568">
        <v>909678</v>
      </c>
      <c r="R1537" s="568">
        <v>15</v>
      </c>
      <c r="S1537" s="566" t="s">
        <v>483</v>
      </c>
      <c r="T1537" s="578" t="s">
        <v>779</v>
      </c>
      <c r="U1537" s="578" t="s">
        <v>670</v>
      </c>
      <c r="V1537" s="578" t="s">
        <v>539</v>
      </c>
      <c r="W1537" s="579" t="s">
        <v>1275</v>
      </c>
      <c r="X1537" s="578" t="s">
        <v>1380</v>
      </c>
      <c r="Y1537" s="578" t="s">
        <v>1338</v>
      </c>
      <c r="Z1537" s="580" t="s">
        <v>992</v>
      </c>
      <c r="AA1537" s="581">
        <v>559</v>
      </c>
      <c r="AB1537" s="578"/>
    </row>
    <row r="1538" spans="1:28" hidden="1">
      <c r="A1538" s="566" t="s">
        <v>1335</v>
      </c>
      <c r="B1538" s="566" t="s">
        <v>466</v>
      </c>
      <c r="C1538" s="566" t="s">
        <v>487</v>
      </c>
      <c r="D1538" s="566" t="s">
        <v>472</v>
      </c>
      <c r="E1538" s="566" t="s">
        <v>473</v>
      </c>
      <c r="F1538" s="566" t="s">
        <v>489</v>
      </c>
      <c r="G1538" s="567">
        <v>50</v>
      </c>
      <c r="H1538" s="566" t="s">
        <v>682</v>
      </c>
      <c r="I1538" s="568">
        <v>2</v>
      </c>
      <c r="J1538" s="569">
        <v>10</v>
      </c>
      <c r="K1538" s="569">
        <v>10</v>
      </c>
      <c r="L1538" s="566"/>
      <c r="M1538" s="566" t="s">
        <v>476</v>
      </c>
      <c r="N1538" s="570">
        <v>595</v>
      </c>
      <c r="O1538" s="566"/>
      <c r="P1538" s="566" t="s">
        <v>477</v>
      </c>
      <c r="Q1538" s="568">
        <v>909678</v>
      </c>
      <c r="R1538" s="568">
        <v>16</v>
      </c>
      <c r="S1538" s="566" t="s">
        <v>488</v>
      </c>
      <c r="T1538" s="578" t="s">
        <v>779</v>
      </c>
      <c r="U1538" s="578" t="s">
        <v>670</v>
      </c>
      <c r="V1538" s="578" t="s">
        <v>539</v>
      </c>
      <c r="W1538" s="579" t="s">
        <v>485</v>
      </c>
      <c r="X1538" s="578" t="s">
        <v>1380</v>
      </c>
      <c r="Y1538" s="578" t="s">
        <v>1338</v>
      </c>
      <c r="Z1538" s="580" t="s">
        <v>993</v>
      </c>
      <c r="AA1538" s="581">
        <v>595</v>
      </c>
      <c r="AB1538" s="578"/>
    </row>
    <row r="1539" spans="1:28" hidden="1">
      <c r="A1539" s="566" t="s">
        <v>1335</v>
      </c>
      <c r="B1539" s="566" t="s">
        <v>466</v>
      </c>
      <c r="C1539" s="566" t="s">
        <v>487</v>
      </c>
      <c r="D1539" s="566" t="s">
        <v>472</v>
      </c>
      <c r="E1539" s="566" t="s">
        <v>473</v>
      </c>
      <c r="F1539" s="566" t="s">
        <v>489</v>
      </c>
      <c r="G1539" s="567">
        <v>50</v>
      </c>
      <c r="H1539" s="566" t="s">
        <v>684</v>
      </c>
      <c r="I1539" s="568">
        <v>2</v>
      </c>
      <c r="J1539" s="569">
        <v>10</v>
      </c>
      <c r="K1539" s="569">
        <v>10</v>
      </c>
      <c r="L1539" s="566"/>
      <c r="M1539" s="566" t="s">
        <v>476</v>
      </c>
      <c r="N1539" s="570">
        <v>631</v>
      </c>
      <c r="O1539" s="566"/>
      <c r="P1539" s="566" t="s">
        <v>477</v>
      </c>
      <c r="Q1539" s="568">
        <v>909678</v>
      </c>
      <c r="R1539" s="568">
        <v>17</v>
      </c>
      <c r="S1539" s="566" t="s">
        <v>493</v>
      </c>
      <c r="T1539" s="578" t="s">
        <v>779</v>
      </c>
      <c r="U1539" s="578" t="s">
        <v>670</v>
      </c>
      <c r="V1539" s="578" t="s">
        <v>539</v>
      </c>
      <c r="W1539" s="579" t="s">
        <v>491</v>
      </c>
      <c r="X1539" s="578" t="s">
        <v>1380</v>
      </c>
      <c r="Y1539" s="578" t="s">
        <v>1338</v>
      </c>
      <c r="Z1539" s="580" t="s">
        <v>994</v>
      </c>
      <c r="AA1539" s="581">
        <v>631</v>
      </c>
      <c r="AB1539" s="578"/>
    </row>
    <row r="1540" spans="1:28" hidden="1">
      <c r="A1540" s="566" t="s">
        <v>1335</v>
      </c>
      <c r="B1540" s="566" t="s">
        <v>466</v>
      </c>
      <c r="C1540" s="566" t="s">
        <v>487</v>
      </c>
      <c r="D1540" s="566" t="s">
        <v>472</v>
      </c>
      <c r="E1540" s="566" t="s">
        <v>473</v>
      </c>
      <c r="F1540" s="566" t="s">
        <v>489</v>
      </c>
      <c r="G1540" s="567">
        <v>50</v>
      </c>
      <c r="H1540" s="566" t="s">
        <v>686</v>
      </c>
      <c r="I1540" s="568">
        <v>2</v>
      </c>
      <c r="J1540" s="569">
        <v>10</v>
      </c>
      <c r="K1540" s="569">
        <v>10</v>
      </c>
      <c r="L1540" s="566"/>
      <c r="M1540" s="566" t="s">
        <v>476</v>
      </c>
      <c r="N1540" s="570">
        <v>667</v>
      </c>
      <c r="O1540" s="566"/>
      <c r="P1540" s="566" t="s">
        <v>477</v>
      </c>
      <c r="Q1540" s="568">
        <v>909678</v>
      </c>
      <c r="R1540" s="568">
        <v>18</v>
      </c>
      <c r="S1540" s="566" t="s">
        <v>497</v>
      </c>
      <c r="T1540" s="578" t="s">
        <v>779</v>
      </c>
      <c r="U1540" s="578" t="s">
        <v>670</v>
      </c>
      <c r="V1540" s="578" t="s">
        <v>539</v>
      </c>
      <c r="W1540" s="579" t="s">
        <v>495</v>
      </c>
      <c r="X1540" s="578" t="s">
        <v>1380</v>
      </c>
      <c r="Y1540" s="578" t="s">
        <v>1338</v>
      </c>
      <c r="Z1540" s="580" t="s">
        <v>995</v>
      </c>
      <c r="AA1540" s="581">
        <v>667</v>
      </c>
      <c r="AB1540" s="578"/>
    </row>
    <row r="1541" spans="1:28" hidden="1">
      <c r="A1541" s="566" t="s">
        <v>1335</v>
      </c>
      <c r="B1541" s="566" t="s">
        <v>466</v>
      </c>
      <c r="C1541" s="566" t="s">
        <v>487</v>
      </c>
      <c r="D1541" s="566" t="s">
        <v>472</v>
      </c>
      <c r="E1541" s="566" t="s">
        <v>473</v>
      </c>
      <c r="F1541" s="566" t="s">
        <v>489</v>
      </c>
      <c r="G1541" s="567">
        <v>50</v>
      </c>
      <c r="H1541" s="566" t="s">
        <v>689</v>
      </c>
      <c r="I1541" s="568">
        <v>2</v>
      </c>
      <c r="J1541" s="569">
        <v>10</v>
      </c>
      <c r="K1541" s="569">
        <v>10</v>
      </c>
      <c r="L1541" s="566"/>
      <c r="M1541" s="566" t="s">
        <v>476</v>
      </c>
      <c r="N1541" s="570">
        <v>739</v>
      </c>
      <c r="O1541" s="566"/>
      <c r="P1541" s="566" t="s">
        <v>477</v>
      </c>
      <c r="Q1541" s="568">
        <v>909678</v>
      </c>
      <c r="R1541" s="568">
        <v>19</v>
      </c>
      <c r="S1541" s="566" t="s">
        <v>502</v>
      </c>
      <c r="T1541" s="578" t="s">
        <v>779</v>
      </c>
      <c r="U1541" s="578" t="s">
        <v>670</v>
      </c>
      <c r="V1541" s="578" t="s">
        <v>539</v>
      </c>
      <c r="W1541" s="579" t="s">
        <v>1276</v>
      </c>
      <c r="X1541" s="578" t="s">
        <v>1380</v>
      </c>
      <c r="Y1541" s="578" t="s">
        <v>1338</v>
      </c>
      <c r="Z1541" s="580" t="s">
        <v>996</v>
      </c>
      <c r="AA1541" s="581">
        <v>739</v>
      </c>
      <c r="AB1541" s="578"/>
    </row>
    <row r="1542" spans="1:28" hidden="1">
      <c r="A1542" s="566" t="s">
        <v>1335</v>
      </c>
      <c r="B1542" s="566" t="s">
        <v>466</v>
      </c>
      <c r="C1542" s="566" t="s">
        <v>487</v>
      </c>
      <c r="D1542" s="566" t="s">
        <v>472</v>
      </c>
      <c r="E1542" s="566" t="s">
        <v>473</v>
      </c>
      <c r="F1542" s="566" t="s">
        <v>489</v>
      </c>
      <c r="G1542" s="567">
        <v>50</v>
      </c>
      <c r="H1542" s="566" t="s">
        <v>692</v>
      </c>
      <c r="I1542" s="568">
        <v>2</v>
      </c>
      <c r="J1542" s="569">
        <v>10</v>
      </c>
      <c r="K1542" s="569">
        <v>10</v>
      </c>
      <c r="L1542" s="566"/>
      <c r="M1542" s="566" t="s">
        <v>476</v>
      </c>
      <c r="N1542" s="570">
        <v>811</v>
      </c>
      <c r="O1542" s="566"/>
      <c r="P1542" s="566" t="s">
        <v>477</v>
      </c>
      <c r="Q1542" s="568">
        <v>909678</v>
      </c>
      <c r="R1542" s="568">
        <v>21</v>
      </c>
      <c r="S1542" s="566" t="s">
        <v>507</v>
      </c>
      <c r="T1542" s="578" t="s">
        <v>779</v>
      </c>
      <c r="U1542" s="578" t="s">
        <v>670</v>
      </c>
      <c r="V1542" s="578" t="s">
        <v>539</v>
      </c>
      <c r="W1542" s="579" t="s">
        <v>1277</v>
      </c>
      <c r="X1542" s="578" t="s">
        <v>1380</v>
      </c>
      <c r="Y1542" s="578" t="s">
        <v>1338</v>
      </c>
      <c r="Z1542" s="580" t="s">
        <v>997</v>
      </c>
      <c r="AA1542" s="581">
        <v>811</v>
      </c>
      <c r="AB1542" s="578"/>
    </row>
    <row r="1543" spans="1:28" hidden="1">
      <c r="A1543" s="566" t="s">
        <v>1335</v>
      </c>
      <c r="B1543" s="566" t="s">
        <v>466</v>
      </c>
      <c r="C1543" s="566" t="s">
        <v>471</v>
      </c>
      <c r="D1543" s="566" t="s">
        <v>472</v>
      </c>
      <c r="E1543" s="566" t="s">
        <v>473</v>
      </c>
      <c r="F1543" s="566" t="s">
        <v>474</v>
      </c>
      <c r="G1543" s="567">
        <v>0</v>
      </c>
      <c r="H1543" s="566" t="s">
        <v>2117</v>
      </c>
      <c r="I1543" s="568">
        <v>2</v>
      </c>
      <c r="J1543" s="569">
        <v>10</v>
      </c>
      <c r="K1543" s="569">
        <v>10</v>
      </c>
      <c r="L1543" s="566"/>
      <c r="M1543" s="566" t="s">
        <v>476</v>
      </c>
      <c r="N1543" s="570">
        <v>847</v>
      </c>
      <c r="O1543" s="566"/>
      <c r="P1543" s="566" t="s">
        <v>477</v>
      </c>
      <c r="Q1543" s="568">
        <v>909678</v>
      </c>
      <c r="R1543" s="568">
        <v>46</v>
      </c>
      <c r="S1543" s="566" t="s">
        <v>1383</v>
      </c>
      <c r="T1543" s="578" t="s">
        <v>779</v>
      </c>
      <c r="U1543" s="578" t="s">
        <v>670</v>
      </c>
      <c r="V1543" s="578" t="s">
        <v>539</v>
      </c>
      <c r="W1543" s="579" t="s">
        <v>1354</v>
      </c>
      <c r="X1543" s="578" t="s">
        <v>1380</v>
      </c>
      <c r="Y1543" s="578" t="s">
        <v>1338</v>
      </c>
      <c r="Z1543" s="580" t="s">
        <v>2430</v>
      </c>
      <c r="AA1543" s="581">
        <v>847</v>
      </c>
      <c r="AB1543" s="578"/>
    </row>
    <row r="1544" spans="1:28" hidden="1">
      <c r="A1544" s="566" t="s">
        <v>1335</v>
      </c>
      <c r="B1544" s="566" t="s">
        <v>466</v>
      </c>
      <c r="C1544" s="566" t="s">
        <v>487</v>
      </c>
      <c r="D1544" s="566" t="s">
        <v>472</v>
      </c>
      <c r="E1544" s="566" t="s">
        <v>473</v>
      </c>
      <c r="F1544" s="566" t="s">
        <v>489</v>
      </c>
      <c r="G1544" s="567">
        <v>50</v>
      </c>
      <c r="H1544" s="566" t="s">
        <v>2119</v>
      </c>
      <c r="I1544" s="568">
        <v>2</v>
      </c>
      <c r="J1544" s="569">
        <v>10</v>
      </c>
      <c r="K1544" s="569">
        <v>10</v>
      </c>
      <c r="L1544" s="566"/>
      <c r="M1544" s="566" t="s">
        <v>476</v>
      </c>
      <c r="N1544" s="570">
        <v>883</v>
      </c>
      <c r="O1544" s="566"/>
      <c r="P1544" s="566" t="s">
        <v>477</v>
      </c>
      <c r="Q1544" s="568">
        <v>909678</v>
      </c>
      <c r="R1544" s="568">
        <v>47</v>
      </c>
      <c r="S1544" s="566" t="s">
        <v>1385</v>
      </c>
      <c r="T1544" s="578" t="s">
        <v>779</v>
      </c>
      <c r="U1544" s="578" t="s">
        <v>670</v>
      </c>
      <c r="V1544" s="578" t="s">
        <v>539</v>
      </c>
      <c r="W1544" s="579" t="s">
        <v>1358</v>
      </c>
      <c r="X1544" s="578" t="s">
        <v>1380</v>
      </c>
      <c r="Y1544" s="578" t="s">
        <v>1338</v>
      </c>
      <c r="Z1544" s="580" t="s">
        <v>2431</v>
      </c>
      <c r="AA1544" s="581">
        <v>883</v>
      </c>
      <c r="AB1544" s="578"/>
    </row>
    <row r="1545" spans="1:28" hidden="1">
      <c r="A1545" s="566" t="s">
        <v>1335</v>
      </c>
      <c r="B1545" s="566" t="s">
        <v>466</v>
      </c>
      <c r="C1545" s="566" t="s">
        <v>553</v>
      </c>
      <c r="D1545" s="566" t="s">
        <v>472</v>
      </c>
      <c r="E1545" s="566" t="s">
        <v>473</v>
      </c>
      <c r="F1545" s="566" t="s">
        <v>554</v>
      </c>
      <c r="G1545" s="567">
        <v>13</v>
      </c>
      <c r="H1545" s="566" t="s">
        <v>999</v>
      </c>
      <c r="I1545" s="568">
        <v>2</v>
      </c>
      <c r="J1545" s="569">
        <v>22</v>
      </c>
      <c r="K1545" s="569">
        <v>22</v>
      </c>
      <c r="L1545" s="569">
        <v>17</v>
      </c>
      <c r="M1545" s="566" t="s">
        <v>476</v>
      </c>
      <c r="N1545" s="570">
        <v>196</v>
      </c>
      <c r="O1545" s="566"/>
      <c r="P1545" s="566" t="s">
        <v>477</v>
      </c>
      <c r="Q1545" s="568">
        <v>909678</v>
      </c>
      <c r="R1545" s="568">
        <v>1</v>
      </c>
      <c r="S1545" s="566" t="s">
        <v>1387</v>
      </c>
      <c r="T1545" s="578" t="s">
        <v>779</v>
      </c>
      <c r="U1545" s="578" t="s">
        <v>670</v>
      </c>
      <c r="V1545" s="578" t="s">
        <v>539</v>
      </c>
      <c r="W1545" s="579" t="s">
        <v>577</v>
      </c>
      <c r="X1545" s="578" t="s">
        <v>1380</v>
      </c>
      <c r="Y1545" s="578" t="s">
        <v>1338</v>
      </c>
      <c r="Z1545" s="580" t="s">
        <v>998</v>
      </c>
      <c r="AA1545" s="581">
        <v>196</v>
      </c>
      <c r="AB1545" s="578">
        <v>260095</v>
      </c>
    </row>
    <row r="1546" spans="1:28" hidden="1">
      <c r="A1546" s="566" t="s">
        <v>1335</v>
      </c>
      <c r="B1546" s="566" t="s">
        <v>466</v>
      </c>
      <c r="C1546" s="566" t="s">
        <v>553</v>
      </c>
      <c r="D1546" s="566" t="s">
        <v>472</v>
      </c>
      <c r="E1546" s="566" t="s">
        <v>473</v>
      </c>
      <c r="F1546" s="566" t="s">
        <v>554</v>
      </c>
      <c r="G1546" s="567">
        <v>13</v>
      </c>
      <c r="H1546" s="566" t="s">
        <v>1001</v>
      </c>
      <c r="I1546" s="568">
        <v>2</v>
      </c>
      <c r="J1546" s="569">
        <v>22</v>
      </c>
      <c r="K1546" s="569">
        <v>22</v>
      </c>
      <c r="L1546" s="569">
        <v>17</v>
      </c>
      <c r="M1546" s="566" t="s">
        <v>476</v>
      </c>
      <c r="N1546" s="570">
        <v>220</v>
      </c>
      <c r="O1546" s="566"/>
      <c r="P1546" s="566" t="s">
        <v>477</v>
      </c>
      <c r="Q1546" s="568">
        <v>909678</v>
      </c>
      <c r="R1546" s="568">
        <v>2</v>
      </c>
      <c r="S1546" s="566" t="s">
        <v>1388</v>
      </c>
      <c r="T1546" s="578" t="s">
        <v>779</v>
      </c>
      <c r="U1546" s="578" t="s">
        <v>670</v>
      </c>
      <c r="V1546" s="578" t="s">
        <v>539</v>
      </c>
      <c r="W1546" s="579" t="s">
        <v>580</v>
      </c>
      <c r="X1546" s="578" t="s">
        <v>1380</v>
      </c>
      <c r="Y1546" s="578" t="s">
        <v>1338</v>
      </c>
      <c r="Z1546" s="580" t="s">
        <v>1000</v>
      </c>
      <c r="AA1546" s="581">
        <v>220</v>
      </c>
      <c r="AB1546" s="578">
        <v>260119</v>
      </c>
    </row>
    <row r="1547" spans="1:28" hidden="1">
      <c r="A1547" s="566" t="s">
        <v>1335</v>
      </c>
      <c r="B1547" s="566" t="s">
        <v>466</v>
      </c>
      <c r="C1547" s="566" t="s">
        <v>553</v>
      </c>
      <c r="D1547" s="566" t="s">
        <v>472</v>
      </c>
      <c r="E1547" s="566" t="s">
        <v>473</v>
      </c>
      <c r="F1547" s="566" t="s">
        <v>554</v>
      </c>
      <c r="G1547" s="567">
        <v>16</v>
      </c>
      <c r="H1547" s="566" t="s">
        <v>1003</v>
      </c>
      <c r="I1547" s="568">
        <v>2</v>
      </c>
      <c r="J1547" s="569">
        <v>22</v>
      </c>
      <c r="K1547" s="569">
        <v>22</v>
      </c>
      <c r="L1547" s="569">
        <v>17</v>
      </c>
      <c r="M1547" s="566" t="s">
        <v>476</v>
      </c>
      <c r="N1547" s="570">
        <v>244</v>
      </c>
      <c r="O1547" s="566"/>
      <c r="P1547" s="566" t="s">
        <v>477</v>
      </c>
      <c r="Q1547" s="568">
        <v>909678</v>
      </c>
      <c r="R1547" s="568">
        <v>12</v>
      </c>
      <c r="S1547" s="566" t="s">
        <v>1389</v>
      </c>
      <c r="T1547" s="578" t="s">
        <v>779</v>
      </c>
      <c r="U1547" s="578" t="s">
        <v>670</v>
      </c>
      <c r="V1547" s="578" t="s">
        <v>539</v>
      </c>
      <c r="W1547" s="579" t="s">
        <v>583</v>
      </c>
      <c r="X1547" s="578" t="s">
        <v>1380</v>
      </c>
      <c r="Y1547" s="578" t="s">
        <v>1338</v>
      </c>
      <c r="Z1547" s="580" t="s">
        <v>1002</v>
      </c>
      <c r="AA1547" s="581">
        <v>244</v>
      </c>
      <c r="AB1547" s="578">
        <v>260143</v>
      </c>
    </row>
    <row r="1548" spans="1:28" hidden="1">
      <c r="A1548" s="566" t="s">
        <v>1335</v>
      </c>
      <c r="B1548" s="566" t="s">
        <v>466</v>
      </c>
      <c r="C1548" s="566" t="s">
        <v>553</v>
      </c>
      <c r="D1548" s="566" t="s">
        <v>472</v>
      </c>
      <c r="E1548" s="566" t="s">
        <v>473</v>
      </c>
      <c r="F1548" s="566" t="s">
        <v>554</v>
      </c>
      <c r="G1548" s="567">
        <v>16</v>
      </c>
      <c r="H1548" s="566" t="s">
        <v>1005</v>
      </c>
      <c r="I1548" s="568">
        <v>2</v>
      </c>
      <c r="J1548" s="569">
        <v>22</v>
      </c>
      <c r="K1548" s="569">
        <v>22</v>
      </c>
      <c r="L1548" s="569">
        <v>17</v>
      </c>
      <c r="M1548" s="566" t="s">
        <v>476</v>
      </c>
      <c r="N1548" s="570">
        <v>268</v>
      </c>
      <c r="O1548" s="566"/>
      <c r="P1548" s="566" t="s">
        <v>477</v>
      </c>
      <c r="Q1548" s="568">
        <v>909678</v>
      </c>
      <c r="R1548" s="568">
        <v>3</v>
      </c>
      <c r="S1548" s="566" t="s">
        <v>1390</v>
      </c>
      <c r="T1548" s="578" t="s">
        <v>779</v>
      </c>
      <c r="U1548" s="578" t="s">
        <v>670</v>
      </c>
      <c r="V1548" s="578" t="s">
        <v>539</v>
      </c>
      <c r="W1548" s="579" t="s">
        <v>586</v>
      </c>
      <c r="X1548" s="578" t="s">
        <v>1380</v>
      </c>
      <c r="Y1548" s="578" t="s">
        <v>1338</v>
      </c>
      <c r="Z1548" s="580" t="s">
        <v>1004</v>
      </c>
      <c r="AA1548" s="581">
        <v>268</v>
      </c>
      <c r="AB1548" s="578">
        <v>260167</v>
      </c>
    </row>
    <row r="1549" spans="1:28" hidden="1">
      <c r="A1549" s="566" t="s">
        <v>1335</v>
      </c>
      <c r="B1549" s="566" t="s">
        <v>466</v>
      </c>
      <c r="C1549" s="566" t="s">
        <v>553</v>
      </c>
      <c r="D1549" s="566" t="s">
        <v>472</v>
      </c>
      <c r="E1549" s="566" t="s">
        <v>473</v>
      </c>
      <c r="F1549" s="566" t="s">
        <v>554</v>
      </c>
      <c r="G1549" s="567">
        <v>16</v>
      </c>
      <c r="H1549" s="566" t="s">
        <v>1007</v>
      </c>
      <c r="I1549" s="568">
        <v>2</v>
      </c>
      <c r="J1549" s="569">
        <v>22</v>
      </c>
      <c r="K1549" s="569">
        <v>22</v>
      </c>
      <c r="L1549" s="569">
        <v>17</v>
      </c>
      <c r="M1549" s="566" t="s">
        <v>476</v>
      </c>
      <c r="N1549" s="570">
        <v>292</v>
      </c>
      <c r="O1549" s="566"/>
      <c r="P1549" s="566" t="s">
        <v>477</v>
      </c>
      <c r="Q1549" s="568">
        <v>909678</v>
      </c>
      <c r="R1549" s="568">
        <v>13</v>
      </c>
      <c r="S1549" s="566" t="s">
        <v>1391</v>
      </c>
      <c r="T1549" s="578" t="s">
        <v>779</v>
      </c>
      <c r="U1549" s="578" t="s">
        <v>670</v>
      </c>
      <c r="V1549" s="578" t="s">
        <v>539</v>
      </c>
      <c r="W1549" s="579" t="s">
        <v>589</v>
      </c>
      <c r="X1549" s="578" t="s">
        <v>1380</v>
      </c>
      <c r="Y1549" s="578" t="s">
        <v>1338</v>
      </c>
      <c r="Z1549" s="580" t="s">
        <v>1006</v>
      </c>
      <c r="AA1549" s="581">
        <v>292</v>
      </c>
      <c r="AB1549" s="578">
        <v>260191</v>
      </c>
    </row>
    <row r="1550" spans="1:28" hidden="1">
      <c r="A1550" s="566" t="s">
        <v>1335</v>
      </c>
      <c r="B1550" s="566" t="s">
        <v>466</v>
      </c>
      <c r="C1550" s="566" t="s">
        <v>471</v>
      </c>
      <c r="D1550" s="566" t="s">
        <v>472</v>
      </c>
      <c r="E1550" s="566" t="s">
        <v>473</v>
      </c>
      <c r="F1550" s="566" t="s">
        <v>474</v>
      </c>
      <c r="G1550" s="567">
        <v>0</v>
      </c>
      <c r="H1550" s="566" t="s">
        <v>704</v>
      </c>
      <c r="I1550" s="568">
        <v>2</v>
      </c>
      <c r="J1550" s="569">
        <v>10</v>
      </c>
      <c r="K1550" s="569">
        <v>10</v>
      </c>
      <c r="L1550" s="566"/>
      <c r="M1550" s="566" t="s">
        <v>476</v>
      </c>
      <c r="N1550" s="570">
        <v>343</v>
      </c>
      <c r="O1550" s="566"/>
      <c r="P1550" s="566" t="s">
        <v>477</v>
      </c>
      <c r="Q1550" s="568">
        <v>909678</v>
      </c>
      <c r="R1550" s="568">
        <v>5</v>
      </c>
      <c r="S1550" s="566" t="s">
        <v>1392</v>
      </c>
      <c r="T1550" s="578" t="s">
        <v>779</v>
      </c>
      <c r="U1550" s="578" t="s">
        <v>670</v>
      </c>
      <c r="V1550" s="578" t="s">
        <v>539</v>
      </c>
      <c r="W1550" s="579" t="s">
        <v>509</v>
      </c>
      <c r="X1550" s="578" t="s">
        <v>1380</v>
      </c>
      <c r="Y1550" s="578" t="s">
        <v>1338</v>
      </c>
      <c r="Z1550" s="580" t="s">
        <v>1008</v>
      </c>
      <c r="AA1550" s="581">
        <v>343</v>
      </c>
      <c r="AB1550" s="578"/>
    </row>
    <row r="1551" spans="1:28" hidden="1">
      <c r="A1551" s="566" t="s">
        <v>1335</v>
      </c>
      <c r="B1551" s="566" t="s">
        <v>466</v>
      </c>
      <c r="C1551" s="566" t="s">
        <v>471</v>
      </c>
      <c r="D1551" s="566" t="s">
        <v>472</v>
      </c>
      <c r="E1551" s="566" t="s">
        <v>473</v>
      </c>
      <c r="F1551" s="566" t="s">
        <v>474</v>
      </c>
      <c r="G1551" s="567">
        <v>0</v>
      </c>
      <c r="H1551" s="566" t="s">
        <v>706</v>
      </c>
      <c r="I1551" s="568">
        <v>2</v>
      </c>
      <c r="J1551" s="569">
        <v>10</v>
      </c>
      <c r="K1551" s="569">
        <v>10</v>
      </c>
      <c r="L1551" s="566"/>
      <c r="M1551" s="566" t="s">
        <v>476</v>
      </c>
      <c r="N1551" s="570">
        <v>379</v>
      </c>
      <c r="O1551" s="566"/>
      <c r="P1551" s="566" t="s">
        <v>477</v>
      </c>
      <c r="Q1551" s="568">
        <v>909678</v>
      </c>
      <c r="R1551" s="568">
        <v>6</v>
      </c>
      <c r="S1551" s="566" t="s">
        <v>1393</v>
      </c>
      <c r="T1551" s="578" t="s">
        <v>779</v>
      </c>
      <c r="U1551" s="578" t="s">
        <v>670</v>
      </c>
      <c r="V1551" s="578" t="s">
        <v>539</v>
      </c>
      <c r="W1551" s="579" t="s">
        <v>512</v>
      </c>
      <c r="X1551" s="578" t="s">
        <v>1380</v>
      </c>
      <c r="Y1551" s="578" t="s">
        <v>1338</v>
      </c>
      <c r="Z1551" s="580" t="s">
        <v>1009</v>
      </c>
      <c r="AA1551" s="581">
        <v>379</v>
      </c>
      <c r="AB1551" s="578"/>
    </row>
    <row r="1552" spans="1:28" hidden="1">
      <c r="A1552" s="566" t="s">
        <v>1335</v>
      </c>
      <c r="B1552" s="566" t="s">
        <v>466</v>
      </c>
      <c r="C1552" s="566" t="s">
        <v>471</v>
      </c>
      <c r="D1552" s="566" t="s">
        <v>472</v>
      </c>
      <c r="E1552" s="566" t="s">
        <v>473</v>
      </c>
      <c r="F1552" s="566" t="s">
        <v>474</v>
      </c>
      <c r="G1552" s="567">
        <v>0</v>
      </c>
      <c r="H1552" s="566" t="s">
        <v>708</v>
      </c>
      <c r="I1552" s="568">
        <v>2</v>
      </c>
      <c r="J1552" s="569">
        <v>10</v>
      </c>
      <c r="K1552" s="569">
        <v>10</v>
      </c>
      <c r="L1552" s="566"/>
      <c r="M1552" s="566" t="s">
        <v>476</v>
      </c>
      <c r="N1552" s="570">
        <v>415</v>
      </c>
      <c r="O1552" s="566"/>
      <c r="P1552" s="566" t="s">
        <v>477</v>
      </c>
      <c r="Q1552" s="568">
        <v>909678</v>
      </c>
      <c r="R1552" s="568">
        <v>14</v>
      </c>
      <c r="S1552" s="566" t="s">
        <v>1394</v>
      </c>
      <c r="T1552" s="578" t="s">
        <v>779</v>
      </c>
      <c r="U1552" s="578" t="s">
        <v>670</v>
      </c>
      <c r="V1552" s="578" t="s">
        <v>539</v>
      </c>
      <c r="W1552" s="579" t="s">
        <v>514</v>
      </c>
      <c r="X1552" s="578" t="s">
        <v>1380</v>
      </c>
      <c r="Y1552" s="578" t="s">
        <v>1338</v>
      </c>
      <c r="Z1552" s="580" t="s">
        <v>1010</v>
      </c>
      <c r="AA1552" s="581">
        <v>415</v>
      </c>
      <c r="AB1552" s="578"/>
    </row>
    <row r="1553" spans="1:28" hidden="1">
      <c r="A1553" s="566" t="s">
        <v>1335</v>
      </c>
      <c r="B1553" s="566" t="s">
        <v>466</v>
      </c>
      <c r="C1553" s="566" t="s">
        <v>471</v>
      </c>
      <c r="D1553" s="566" t="s">
        <v>472</v>
      </c>
      <c r="E1553" s="566" t="s">
        <v>473</v>
      </c>
      <c r="F1553" s="566" t="s">
        <v>474</v>
      </c>
      <c r="G1553" s="567">
        <v>0</v>
      </c>
      <c r="H1553" s="566" t="s">
        <v>677</v>
      </c>
      <c r="I1553" s="568">
        <v>2</v>
      </c>
      <c r="J1553" s="569">
        <v>34</v>
      </c>
      <c r="K1553" s="569">
        <v>34</v>
      </c>
      <c r="L1553" s="566"/>
      <c r="M1553" s="566" t="s">
        <v>476</v>
      </c>
      <c r="N1553" s="570">
        <v>1351</v>
      </c>
      <c r="O1553" s="566"/>
      <c r="P1553" s="566" t="s">
        <v>477</v>
      </c>
      <c r="Q1553" s="568">
        <v>909678</v>
      </c>
      <c r="R1553" s="568">
        <v>34</v>
      </c>
      <c r="S1553" s="566" t="s">
        <v>1395</v>
      </c>
      <c r="T1553" s="578" t="s">
        <v>779</v>
      </c>
      <c r="U1553" s="578" t="s">
        <v>670</v>
      </c>
      <c r="V1553" s="578" t="s">
        <v>539</v>
      </c>
      <c r="W1553" s="579" t="s">
        <v>1274</v>
      </c>
      <c r="X1553" s="578" t="s">
        <v>1380</v>
      </c>
      <c r="Y1553" s="578" t="s">
        <v>1367</v>
      </c>
      <c r="Z1553" s="580" t="s">
        <v>2432</v>
      </c>
      <c r="AA1553" s="581">
        <v>1351</v>
      </c>
      <c r="AB1553" s="578"/>
    </row>
    <row r="1554" spans="1:28" hidden="1">
      <c r="A1554" s="566" t="s">
        <v>1335</v>
      </c>
      <c r="B1554" s="566" t="s">
        <v>466</v>
      </c>
      <c r="C1554" s="566" t="s">
        <v>471</v>
      </c>
      <c r="D1554" s="566" t="s">
        <v>472</v>
      </c>
      <c r="E1554" s="566" t="s">
        <v>473</v>
      </c>
      <c r="F1554" s="566" t="s">
        <v>474</v>
      </c>
      <c r="G1554" s="567">
        <v>0</v>
      </c>
      <c r="H1554" s="566" t="s">
        <v>680</v>
      </c>
      <c r="I1554" s="568">
        <v>2</v>
      </c>
      <c r="J1554" s="569">
        <v>34</v>
      </c>
      <c r="K1554" s="569">
        <v>34</v>
      </c>
      <c r="L1554" s="566"/>
      <c r="M1554" s="566" t="s">
        <v>476</v>
      </c>
      <c r="N1554" s="570">
        <v>1387</v>
      </c>
      <c r="O1554" s="566"/>
      <c r="P1554" s="566" t="s">
        <v>477</v>
      </c>
      <c r="Q1554" s="568">
        <v>909678</v>
      </c>
      <c r="R1554" s="568">
        <v>35</v>
      </c>
      <c r="S1554" s="566" t="s">
        <v>1397</v>
      </c>
      <c r="T1554" s="578" t="s">
        <v>779</v>
      </c>
      <c r="U1554" s="578" t="s">
        <v>670</v>
      </c>
      <c r="V1554" s="578" t="s">
        <v>539</v>
      </c>
      <c r="W1554" s="579" t="s">
        <v>1275</v>
      </c>
      <c r="X1554" s="578" t="s">
        <v>1380</v>
      </c>
      <c r="Y1554" s="578" t="s">
        <v>1367</v>
      </c>
      <c r="Z1554" s="580" t="s">
        <v>2433</v>
      </c>
      <c r="AA1554" s="581">
        <v>1387</v>
      </c>
      <c r="AB1554" s="578"/>
    </row>
    <row r="1555" spans="1:28" hidden="1">
      <c r="A1555" s="566" t="s">
        <v>1335</v>
      </c>
      <c r="B1555" s="566" t="s">
        <v>466</v>
      </c>
      <c r="C1555" s="566" t="s">
        <v>487</v>
      </c>
      <c r="D1555" s="566" t="s">
        <v>472</v>
      </c>
      <c r="E1555" s="566" t="s">
        <v>473</v>
      </c>
      <c r="F1555" s="566" t="s">
        <v>489</v>
      </c>
      <c r="G1555" s="567">
        <v>50</v>
      </c>
      <c r="H1555" s="566" t="s">
        <v>689</v>
      </c>
      <c r="I1555" s="568">
        <v>2</v>
      </c>
      <c r="J1555" s="569">
        <v>34</v>
      </c>
      <c r="K1555" s="569">
        <v>34</v>
      </c>
      <c r="L1555" s="566"/>
      <c r="M1555" s="566" t="s">
        <v>476</v>
      </c>
      <c r="N1555" s="570">
        <v>1423</v>
      </c>
      <c r="O1555" s="566"/>
      <c r="P1555" s="566" t="s">
        <v>477</v>
      </c>
      <c r="Q1555" s="568">
        <v>909678</v>
      </c>
      <c r="R1555" s="568">
        <v>37</v>
      </c>
      <c r="S1555" s="566" t="s">
        <v>1399</v>
      </c>
      <c r="T1555" s="578" t="s">
        <v>779</v>
      </c>
      <c r="U1555" s="578" t="s">
        <v>670</v>
      </c>
      <c r="V1555" s="578" t="s">
        <v>539</v>
      </c>
      <c r="W1555" s="579" t="s">
        <v>1276</v>
      </c>
      <c r="X1555" s="578" t="s">
        <v>1380</v>
      </c>
      <c r="Y1555" s="578" t="s">
        <v>1367</v>
      </c>
      <c r="Z1555" s="580" t="s">
        <v>2434</v>
      </c>
      <c r="AA1555" s="581">
        <v>1423</v>
      </c>
      <c r="AB1555" s="578"/>
    </row>
    <row r="1556" spans="1:28" hidden="1">
      <c r="A1556" s="566" t="s">
        <v>1335</v>
      </c>
      <c r="B1556" s="566" t="s">
        <v>466</v>
      </c>
      <c r="C1556" s="566" t="s">
        <v>487</v>
      </c>
      <c r="D1556" s="566" t="s">
        <v>472</v>
      </c>
      <c r="E1556" s="566" t="s">
        <v>473</v>
      </c>
      <c r="F1556" s="566" t="s">
        <v>489</v>
      </c>
      <c r="G1556" s="567">
        <v>50</v>
      </c>
      <c r="H1556" s="566" t="s">
        <v>692</v>
      </c>
      <c r="I1556" s="568">
        <v>2</v>
      </c>
      <c r="J1556" s="569">
        <v>34</v>
      </c>
      <c r="K1556" s="569">
        <v>34</v>
      </c>
      <c r="L1556" s="566"/>
      <c r="M1556" s="566" t="s">
        <v>476</v>
      </c>
      <c r="N1556" s="570">
        <v>1459</v>
      </c>
      <c r="O1556" s="566"/>
      <c r="P1556" s="566" t="s">
        <v>477</v>
      </c>
      <c r="Q1556" s="568">
        <v>909678</v>
      </c>
      <c r="R1556" s="568">
        <v>38</v>
      </c>
      <c r="S1556" s="566" t="s">
        <v>1401</v>
      </c>
      <c r="T1556" s="578" t="s">
        <v>779</v>
      </c>
      <c r="U1556" s="578" t="s">
        <v>670</v>
      </c>
      <c r="V1556" s="578" t="s">
        <v>539</v>
      </c>
      <c r="W1556" s="579" t="s">
        <v>1277</v>
      </c>
      <c r="X1556" s="578" t="s">
        <v>1380</v>
      </c>
      <c r="Y1556" s="578" t="s">
        <v>1367</v>
      </c>
      <c r="Z1556" s="580" t="s">
        <v>2435</v>
      </c>
      <c r="AA1556" s="581">
        <v>1459</v>
      </c>
      <c r="AB1556" s="578"/>
    </row>
    <row r="1557" spans="1:28" hidden="1">
      <c r="A1557" s="566" t="s">
        <v>1335</v>
      </c>
      <c r="B1557" s="566" t="s">
        <v>466</v>
      </c>
      <c r="C1557" s="566" t="s">
        <v>471</v>
      </c>
      <c r="D1557" s="566" t="s">
        <v>472</v>
      </c>
      <c r="E1557" s="566" t="s">
        <v>473</v>
      </c>
      <c r="F1557" s="566" t="s">
        <v>474</v>
      </c>
      <c r="G1557" s="567">
        <v>0</v>
      </c>
      <c r="H1557" s="566" t="s">
        <v>2117</v>
      </c>
      <c r="I1557" s="568">
        <v>2</v>
      </c>
      <c r="J1557" s="569">
        <v>34</v>
      </c>
      <c r="K1557" s="569">
        <v>34</v>
      </c>
      <c r="L1557" s="566"/>
      <c r="M1557" s="566" t="s">
        <v>476</v>
      </c>
      <c r="N1557" s="570">
        <v>1495</v>
      </c>
      <c r="O1557" s="566"/>
      <c r="P1557" s="566" t="s">
        <v>477</v>
      </c>
      <c r="Q1557" s="568">
        <v>909678</v>
      </c>
      <c r="R1557" s="568">
        <v>36</v>
      </c>
      <c r="S1557" s="566" t="s">
        <v>1403</v>
      </c>
      <c r="T1557" s="578" t="s">
        <v>779</v>
      </c>
      <c r="U1557" s="578" t="s">
        <v>670</v>
      </c>
      <c r="V1557" s="578" t="s">
        <v>539</v>
      </c>
      <c r="W1557" s="579" t="s">
        <v>1354</v>
      </c>
      <c r="X1557" s="578" t="s">
        <v>1380</v>
      </c>
      <c r="Y1557" s="578" t="s">
        <v>1367</v>
      </c>
      <c r="Z1557" s="580" t="s">
        <v>2436</v>
      </c>
      <c r="AA1557" s="581">
        <v>1495</v>
      </c>
      <c r="AB1557" s="578"/>
    </row>
    <row r="1558" spans="1:28" hidden="1">
      <c r="A1558" s="566" t="s">
        <v>1335</v>
      </c>
      <c r="B1558" s="566" t="s">
        <v>466</v>
      </c>
      <c r="C1558" s="566" t="s">
        <v>487</v>
      </c>
      <c r="D1558" s="566" t="s">
        <v>472</v>
      </c>
      <c r="E1558" s="566" t="s">
        <v>473</v>
      </c>
      <c r="F1558" s="566" t="s">
        <v>489</v>
      </c>
      <c r="G1558" s="567">
        <v>50</v>
      </c>
      <c r="H1558" s="566" t="s">
        <v>2119</v>
      </c>
      <c r="I1558" s="568">
        <v>2</v>
      </c>
      <c r="J1558" s="569">
        <v>34</v>
      </c>
      <c r="K1558" s="569">
        <v>34</v>
      </c>
      <c r="L1558" s="566"/>
      <c r="M1558" s="566" t="s">
        <v>476</v>
      </c>
      <c r="N1558" s="570">
        <v>1531</v>
      </c>
      <c r="O1558" s="566"/>
      <c r="P1558" s="566" t="s">
        <v>477</v>
      </c>
      <c r="Q1558" s="568">
        <v>909678</v>
      </c>
      <c r="R1558" s="568">
        <v>39</v>
      </c>
      <c r="S1558" s="566" t="s">
        <v>1405</v>
      </c>
      <c r="T1558" s="578" t="s">
        <v>779</v>
      </c>
      <c r="U1558" s="578" t="s">
        <v>670</v>
      </c>
      <c r="V1558" s="578" t="s">
        <v>539</v>
      </c>
      <c r="W1558" s="579" t="s">
        <v>1358</v>
      </c>
      <c r="X1558" s="578" t="s">
        <v>1380</v>
      </c>
      <c r="Y1558" s="578" t="s">
        <v>1367</v>
      </c>
      <c r="Z1558" s="580" t="s">
        <v>2437</v>
      </c>
      <c r="AA1558" s="581">
        <v>1531</v>
      </c>
      <c r="AB1558" s="578"/>
    </row>
    <row r="1559" spans="1:28" hidden="1">
      <c r="A1559" s="566" t="s">
        <v>1335</v>
      </c>
      <c r="B1559" s="566" t="s">
        <v>466</v>
      </c>
      <c r="C1559" s="566" t="s">
        <v>471</v>
      </c>
      <c r="D1559" s="566" t="s">
        <v>472</v>
      </c>
      <c r="E1559" s="566" t="s">
        <v>473</v>
      </c>
      <c r="F1559" s="566" t="s">
        <v>474</v>
      </c>
      <c r="G1559" s="567">
        <v>0</v>
      </c>
      <c r="H1559" s="566" t="s">
        <v>675</v>
      </c>
      <c r="I1559" s="568">
        <v>2</v>
      </c>
      <c r="J1559" s="569">
        <v>10</v>
      </c>
      <c r="K1559" s="569">
        <v>10</v>
      </c>
      <c r="L1559" s="566"/>
      <c r="M1559" s="566" t="s">
        <v>476</v>
      </c>
      <c r="N1559" s="570">
        <v>451</v>
      </c>
      <c r="O1559" s="566"/>
      <c r="P1559" s="566" t="s">
        <v>477</v>
      </c>
      <c r="Q1559" s="568">
        <v>909678</v>
      </c>
      <c r="R1559" s="568">
        <v>7</v>
      </c>
      <c r="S1559" s="566" t="s">
        <v>1407</v>
      </c>
      <c r="T1559" s="575" t="s">
        <v>1442</v>
      </c>
      <c r="U1559" s="575" t="s">
        <v>670</v>
      </c>
      <c r="V1559" s="575" t="s">
        <v>539</v>
      </c>
      <c r="W1559" s="576" t="s">
        <v>470</v>
      </c>
      <c r="X1559" s="575" t="s">
        <v>1380</v>
      </c>
      <c r="Y1559" s="575" t="s">
        <v>1338</v>
      </c>
      <c r="Z1559" s="576" t="s">
        <v>2438</v>
      </c>
      <c r="AA1559" s="577">
        <v>451</v>
      </c>
      <c r="AB1559" s="575"/>
    </row>
    <row r="1560" spans="1:28" hidden="1">
      <c r="A1560" s="566" t="s">
        <v>1335</v>
      </c>
      <c r="B1560" s="566" t="s">
        <v>466</v>
      </c>
      <c r="C1560" s="566" t="s">
        <v>471</v>
      </c>
      <c r="D1560" s="566" t="s">
        <v>472</v>
      </c>
      <c r="E1560" s="566" t="s">
        <v>473</v>
      </c>
      <c r="F1560" s="566" t="s">
        <v>474</v>
      </c>
      <c r="G1560" s="567">
        <v>0</v>
      </c>
      <c r="H1560" s="566" t="s">
        <v>678</v>
      </c>
      <c r="I1560" s="568">
        <v>2</v>
      </c>
      <c r="J1560" s="569">
        <v>10</v>
      </c>
      <c r="K1560" s="569">
        <v>10</v>
      </c>
      <c r="L1560" s="566"/>
      <c r="M1560" s="566" t="s">
        <v>476</v>
      </c>
      <c r="N1560" s="570">
        <v>523</v>
      </c>
      <c r="O1560" s="566"/>
      <c r="P1560" s="566" t="s">
        <v>477</v>
      </c>
      <c r="Q1560" s="568">
        <v>909678</v>
      </c>
      <c r="R1560" s="568">
        <v>8</v>
      </c>
      <c r="S1560" s="566" t="s">
        <v>1410</v>
      </c>
      <c r="T1560" s="575" t="s">
        <v>1442</v>
      </c>
      <c r="U1560" s="575" t="s">
        <v>670</v>
      </c>
      <c r="V1560" s="575" t="s">
        <v>539</v>
      </c>
      <c r="W1560" s="576" t="s">
        <v>480</v>
      </c>
      <c r="X1560" s="575" t="s">
        <v>1380</v>
      </c>
      <c r="Y1560" s="575" t="s">
        <v>1338</v>
      </c>
      <c r="Z1560" s="576" t="s">
        <v>2439</v>
      </c>
      <c r="AA1560" s="577">
        <v>523</v>
      </c>
      <c r="AB1560" s="575"/>
    </row>
    <row r="1561" spans="1:28" hidden="1">
      <c r="A1561" s="566" t="s">
        <v>1335</v>
      </c>
      <c r="B1561" s="566" t="s">
        <v>466</v>
      </c>
      <c r="C1561" s="566" t="s">
        <v>487</v>
      </c>
      <c r="D1561" s="566" t="s">
        <v>472</v>
      </c>
      <c r="E1561" s="566" t="s">
        <v>473</v>
      </c>
      <c r="F1561" s="566" t="s">
        <v>489</v>
      </c>
      <c r="G1561" s="567">
        <v>50</v>
      </c>
      <c r="H1561" s="566" t="s">
        <v>687</v>
      </c>
      <c r="I1561" s="568">
        <v>2</v>
      </c>
      <c r="J1561" s="569">
        <v>10</v>
      </c>
      <c r="K1561" s="569">
        <v>10</v>
      </c>
      <c r="L1561" s="566"/>
      <c r="M1561" s="566" t="s">
        <v>476</v>
      </c>
      <c r="N1561" s="570">
        <v>703</v>
      </c>
      <c r="O1561" s="566"/>
      <c r="P1561" s="566" t="s">
        <v>477</v>
      </c>
      <c r="Q1561" s="568">
        <v>909678</v>
      </c>
      <c r="R1561" s="568">
        <v>11</v>
      </c>
      <c r="S1561" s="566" t="s">
        <v>1412</v>
      </c>
      <c r="T1561" s="575" t="s">
        <v>1442</v>
      </c>
      <c r="U1561" s="575" t="s">
        <v>670</v>
      </c>
      <c r="V1561" s="575" t="s">
        <v>539</v>
      </c>
      <c r="W1561" s="576" t="s">
        <v>499</v>
      </c>
      <c r="X1561" s="575" t="s">
        <v>1380</v>
      </c>
      <c r="Y1561" s="575" t="s">
        <v>1338</v>
      </c>
      <c r="Z1561" s="576" t="s">
        <v>2440</v>
      </c>
      <c r="AA1561" s="577">
        <v>703</v>
      </c>
      <c r="AB1561" s="575"/>
    </row>
    <row r="1562" spans="1:28" hidden="1">
      <c r="A1562" s="566" t="s">
        <v>1335</v>
      </c>
      <c r="B1562" s="566" t="s">
        <v>466</v>
      </c>
      <c r="C1562" s="566" t="s">
        <v>487</v>
      </c>
      <c r="D1562" s="566" t="s">
        <v>472</v>
      </c>
      <c r="E1562" s="566" t="s">
        <v>473</v>
      </c>
      <c r="F1562" s="566" t="s">
        <v>489</v>
      </c>
      <c r="G1562" s="567">
        <v>50</v>
      </c>
      <c r="H1562" s="566" t="s">
        <v>690</v>
      </c>
      <c r="I1562" s="568">
        <v>2</v>
      </c>
      <c r="J1562" s="569">
        <v>10</v>
      </c>
      <c r="K1562" s="569">
        <v>10</v>
      </c>
      <c r="L1562" s="566"/>
      <c r="M1562" s="566" t="s">
        <v>476</v>
      </c>
      <c r="N1562" s="570">
        <v>775</v>
      </c>
      <c r="O1562" s="566"/>
      <c r="P1562" s="566" t="s">
        <v>477</v>
      </c>
      <c r="Q1562" s="568">
        <v>909678</v>
      </c>
      <c r="R1562" s="568">
        <v>20</v>
      </c>
      <c r="S1562" s="566" t="s">
        <v>1414</v>
      </c>
      <c r="T1562" s="575" t="s">
        <v>1442</v>
      </c>
      <c r="U1562" s="575" t="s">
        <v>670</v>
      </c>
      <c r="V1562" s="575" t="s">
        <v>539</v>
      </c>
      <c r="W1562" s="576" t="s">
        <v>504</v>
      </c>
      <c r="X1562" s="575" t="s">
        <v>1380</v>
      </c>
      <c r="Y1562" s="575" t="s">
        <v>1338</v>
      </c>
      <c r="Z1562" s="576" t="s">
        <v>2441</v>
      </c>
      <c r="AA1562" s="577">
        <v>775</v>
      </c>
      <c r="AB1562" s="575"/>
    </row>
    <row r="1563" spans="1:28" hidden="1">
      <c r="A1563" s="566" t="s">
        <v>1335</v>
      </c>
      <c r="B1563" s="566" t="s">
        <v>466</v>
      </c>
      <c r="C1563" s="566" t="s">
        <v>471</v>
      </c>
      <c r="D1563" s="566" t="s">
        <v>472</v>
      </c>
      <c r="E1563" s="566" t="s">
        <v>473</v>
      </c>
      <c r="F1563" s="566" t="s">
        <v>474</v>
      </c>
      <c r="G1563" s="567">
        <v>0</v>
      </c>
      <c r="H1563" s="566" t="s">
        <v>677</v>
      </c>
      <c r="I1563" s="568">
        <v>2</v>
      </c>
      <c r="J1563" s="569">
        <v>59</v>
      </c>
      <c r="K1563" s="569">
        <v>59</v>
      </c>
      <c r="L1563" s="566"/>
      <c r="M1563" s="566" t="s">
        <v>476</v>
      </c>
      <c r="N1563" s="570">
        <v>1028</v>
      </c>
      <c r="O1563" s="566"/>
      <c r="P1563" s="566" t="s">
        <v>477</v>
      </c>
      <c r="Q1563" s="568">
        <v>909678</v>
      </c>
      <c r="R1563" s="568">
        <v>25</v>
      </c>
      <c r="S1563" s="566" t="s">
        <v>1336</v>
      </c>
      <c r="T1563" s="582" t="s">
        <v>253</v>
      </c>
      <c r="U1563" s="582" t="s">
        <v>670</v>
      </c>
      <c r="V1563" s="582" t="s">
        <v>539</v>
      </c>
      <c r="W1563" s="583" t="s">
        <v>1274</v>
      </c>
      <c r="X1563" s="582" t="s">
        <v>1337</v>
      </c>
      <c r="Y1563" s="582" t="s">
        <v>1338</v>
      </c>
      <c r="Z1563" s="584" t="s">
        <v>2442</v>
      </c>
      <c r="AA1563" s="585">
        <v>1028</v>
      </c>
      <c r="AB1563" s="582"/>
    </row>
    <row r="1564" spans="1:28" hidden="1">
      <c r="A1564" s="566" t="s">
        <v>1335</v>
      </c>
      <c r="B1564" s="566" t="s">
        <v>466</v>
      </c>
      <c r="C1564" s="566" t="s">
        <v>471</v>
      </c>
      <c r="D1564" s="566" t="s">
        <v>472</v>
      </c>
      <c r="E1564" s="566" t="s">
        <v>473</v>
      </c>
      <c r="F1564" s="566" t="s">
        <v>474</v>
      </c>
      <c r="G1564" s="567">
        <v>0</v>
      </c>
      <c r="H1564" s="566" t="s">
        <v>680</v>
      </c>
      <c r="I1564" s="568">
        <v>2</v>
      </c>
      <c r="J1564" s="569">
        <v>59</v>
      </c>
      <c r="K1564" s="569">
        <v>59</v>
      </c>
      <c r="L1564" s="566"/>
      <c r="M1564" s="566" t="s">
        <v>476</v>
      </c>
      <c r="N1564" s="570">
        <v>1064</v>
      </c>
      <c r="O1564" s="566"/>
      <c r="P1564" s="566" t="s">
        <v>477</v>
      </c>
      <c r="Q1564" s="568">
        <v>909678</v>
      </c>
      <c r="R1564" s="568">
        <v>26</v>
      </c>
      <c r="S1564" s="566" t="s">
        <v>1340</v>
      </c>
      <c r="T1564" s="582" t="s">
        <v>253</v>
      </c>
      <c r="U1564" s="582" t="s">
        <v>670</v>
      </c>
      <c r="V1564" s="582" t="s">
        <v>539</v>
      </c>
      <c r="W1564" s="583" t="s">
        <v>1275</v>
      </c>
      <c r="X1564" s="582" t="s">
        <v>1337</v>
      </c>
      <c r="Y1564" s="582" t="s">
        <v>1338</v>
      </c>
      <c r="Z1564" s="584" t="s">
        <v>2443</v>
      </c>
      <c r="AA1564" s="585">
        <v>1064</v>
      </c>
      <c r="AB1564" s="582"/>
    </row>
    <row r="1565" spans="1:28" hidden="1">
      <c r="A1565" s="566" t="s">
        <v>1335</v>
      </c>
      <c r="B1565" s="566" t="s">
        <v>466</v>
      </c>
      <c r="C1565" s="566" t="s">
        <v>487</v>
      </c>
      <c r="D1565" s="566" t="s">
        <v>472</v>
      </c>
      <c r="E1565" s="566" t="s">
        <v>473</v>
      </c>
      <c r="F1565" s="566" t="s">
        <v>489</v>
      </c>
      <c r="G1565" s="567">
        <v>50</v>
      </c>
      <c r="H1565" s="566" t="s">
        <v>682</v>
      </c>
      <c r="I1565" s="568">
        <v>2</v>
      </c>
      <c r="J1565" s="569">
        <v>59</v>
      </c>
      <c r="K1565" s="569">
        <v>59</v>
      </c>
      <c r="L1565" s="566"/>
      <c r="M1565" s="566" t="s">
        <v>476</v>
      </c>
      <c r="N1565" s="570">
        <v>1100</v>
      </c>
      <c r="O1565" s="566"/>
      <c r="P1565" s="566" t="s">
        <v>477</v>
      </c>
      <c r="Q1565" s="568">
        <v>909678</v>
      </c>
      <c r="R1565" s="568">
        <v>28</v>
      </c>
      <c r="S1565" s="566" t="s">
        <v>1342</v>
      </c>
      <c r="T1565" s="582" t="s">
        <v>253</v>
      </c>
      <c r="U1565" s="582" t="s">
        <v>670</v>
      </c>
      <c r="V1565" s="582" t="s">
        <v>539</v>
      </c>
      <c r="W1565" s="583" t="s">
        <v>485</v>
      </c>
      <c r="X1565" s="582" t="s">
        <v>1337</v>
      </c>
      <c r="Y1565" s="582" t="s">
        <v>1338</v>
      </c>
      <c r="Z1565" s="584" t="s">
        <v>2444</v>
      </c>
      <c r="AA1565" s="585">
        <v>1100</v>
      </c>
      <c r="AB1565" s="582"/>
    </row>
    <row r="1566" spans="1:28" hidden="1">
      <c r="A1566" s="566" t="s">
        <v>1335</v>
      </c>
      <c r="B1566" s="566" t="s">
        <v>466</v>
      </c>
      <c r="C1566" s="566" t="s">
        <v>487</v>
      </c>
      <c r="D1566" s="566" t="s">
        <v>472</v>
      </c>
      <c r="E1566" s="566" t="s">
        <v>473</v>
      </c>
      <c r="F1566" s="566" t="s">
        <v>489</v>
      </c>
      <c r="G1566" s="567">
        <v>50</v>
      </c>
      <c r="H1566" s="566" t="s">
        <v>684</v>
      </c>
      <c r="I1566" s="568">
        <v>2</v>
      </c>
      <c r="J1566" s="569">
        <v>59</v>
      </c>
      <c r="K1566" s="569">
        <v>59</v>
      </c>
      <c r="L1566" s="566"/>
      <c r="M1566" s="566" t="s">
        <v>476</v>
      </c>
      <c r="N1566" s="570">
        <v>1136</v>
      </c>
      <c r="O1566" s="566"/>
      <c r="P1566" s="566" t="s">
        <v>477</v>
      </c>
      <c r="Q1566" s="568">
        <v>909678</v>
      </c>
      <c r="R1566" s="568">
        <v>29</v>
      </c>
      <c r="S1566" s="566" t="s">
        <v>1344</v>
      </c>
      <c r="T1566" s="582" t="s">
        <v>253</v>
      </c>
      <c r="U1566" s="582" t="s">
        <v>670</v>
      </c>
      <c r="V1566" s="582" t="s">
        <v>539</v>
      </c>
      <c r="W1566" s="583" t="s">
        <v>491</v>
      </c>
      <c r="X1566" s="582" t="s">
        <v>1337</v>
      </c>
      <c r="Y1566" s="582" t="s">
        <v>1338</v>
      </c>
      <c r="Z1566" s="584" t="s">
        <v>2445</v>
      </c>
      <c r="AA1566" s="585">
        <v>1136</v>
      </c>
      <c r="AB1566" s="582"/>
    </row>
    <row r="1567" spans="1:28" hidden="1">
      <c r="A1567" s="566" t="s">
        <v>1335</v>
      </c>
      <c r="B1567" s="566" t="s">
        <v>466</v>
      </c>
      <c r="C1567" s="566" t="s">
        <v>487</v>
      </c>
      <c r="D1567" s="566" t="s">
        <v>472</v>
      </c>
      <c r="E1567" s="566" t="s">
        <v>473</v>
      </c>
      <c r="F1567" s="566" t="s">
        <v>489</v>
      </c>
      <c r="G1567" s="567">
        <v>50</v>
      </c>
      <c r="H1567" s="566" t="s">
        <v>686</v>
      </c>
      <c r="I1567" s="568">
        <v>2</v>
      </c>
      <c r="J1567" s="569">
        <v>59</v>
      </c>
      <c r="K1567" s="569">
        <v>59</v>
      </c>
      <c r="L1567" s="566"/>
      <c r="M1567" s="566" t="s">
        <v>476</v>
      </c>
      <c r="N1567" s="570">
        <v>1172</v>
      </c>
      <c r="O1567" s="566"/>
      <c r="P1567" s="566" t="s">
        <v>477</v>
      </c>
      <c r="Q1567" s="568">
        <v>909678</v>
      </c>
      <c r="R1567" s="568">
        <v>30</v>
      </c>
      <c r="S1567" s="566" t="s">
        <v>1346</v>
      </c>
      <c r="T1567" s="582" t="s">
        <v>253</v>
      </c>
      <c r="U1567" s="582" t="s">
        <v>670</v>
      </c>
      <c r="V1567" s="582" t="s">
        <v>539</v>
      </c>
      <c r="W1567" s="583" t="s">
        <v>495</v>
      </c>
      <c r="X1567" s="582" t="s">
        <v>1337</v>
      </c>
      <c r="Y1567" s="582" t="s">
        <v>1338</v>
      </c>
      <c r="Z1567" s="584" t="s">
        <v>2446</v>
      </c>
      <c r="AA1567" s="585">
        <v>1172</v>
      </c>
      <c r="AB1567" s="582"/>
    </row>
    <row r="1568" spans="1:28" hidden="1">
      <c r="A1568" s="566" t="s">
        <v>1335</v>
      </c>
      <c r="B1568" s="566" t="s">
        <v>466</v>
      </c>
      <c r="C1568" s="566" t="s">
        <v>487</v>
      </c>
      <c r="D1568" s="566" t="s">
        <v>472</v>
      </c>
      <c r="E1568" s="566" t="s">
        <v>473</v>
      </c>
      <c r="F1568" s="566" t="s">
        <v>489</v>
      </c>
      <c r="G1568" s="567">
        <v>50</v>
      </c>
      <c r="H1568" s="566" t="s">
        <v>689</v>
      </c>
      <c r="I1568" s="568">
        <v>2</v>
      </c>
      <c r="J1568" s="569">
        <v>59</v>
      </c>
      <c r="K1568" s="569">
        <v>59</v>
      </c>
      <c r="L1568" s="566"/>
      <c r="M1568" s="566" t="s">
        <v>476</v>
      </c>
      <c r="N1568" s="570">
        <v>1208</v>
      </c>
      <c r="O1568" s="566"/>
      <c r="P1568" s="566" t="s">
        <v>477</v>
      </c>
      <c r="Q1568" s="568">
        <v>909678</v>
      </c>
      <c r="R1568" s="568">
        <v>31</v>
      </c>
      <c r="S1568" s="566" t="s">
        <v>1348</v>
      </c>
      <c r="T1568" s="582" t="s">
        <v>253</v>
      </c>
      <c r="U1568" s="582" t="s">
        <v>670</v>
      </c>
      <c r="V1568" s="582" t="s">
        <v>539</v>
      </c>
      <c r="W1568" s="583" t="s">
        <v>1276</v>
      </c>
      <c r="X1568" s="582" t="s">
        <v>1337</v>
      </c>
      <c r="Y1568" s="582" t="s">
        <v>1338</v>
      </c>
      <c r="Z1568" s="584" t="s">
        <v>2447</v>
      </c>
      <c r="AA1568" s="585">
        <v>1208</v>
      </c>
      <c r="AB1568" s="582"/>
    </row>
    <row r="1569" spans="1:28" hidden="1">
      <c r="A1569" s="566" t="s">
        <v>1335</v>
      </c>
      <c r="B1569" s="566" t="s">
        <v>466</v>
      </c>
      <c r="C1569" s="566" t="s">
        <v>487</v>
      </c>
      <c r="D1569" s="566" t="s">
        <v>472</v>
      </c>
      <c r="E1569" s="566" t="s">
        <v>473</v>
      </c>
      <c r="F1569" s="566" t="s">
        <v>489</v>
      </c>
      <c r="G1569" s="567">
        <v>50</v>
      </c>
      <c r="H1569" s="566" t="s">
        <v>692</v>
      </c>
      <c r="I1569" s="568">
        <v>2</v>
      </c>
      <c r="J1569" s="569">
        <v>59</v>
      </c>
      <c r="K1569" s="569">
        <v>59</v>
      </c>
      <c r="L1569" s="566"/>
      <c r="M1569" s="566" t="s">
        <v>476</v>
      </c>
      <c r="N1569" s="570">
        <v>1244</v>
      </c>
      <c r="O1569" s="566"/>
      <c r="P1569" s="566" t="s">
        <v>477</v>
      </c>
      <c r="Q1569" s="568">
        <v>909678</v>
      </c>
      <c r="R1569" s="568">
        <v>32</v>
      </c>
      <c r="S1569" s="566" t="s">
        <v>1350</v>
      </c>
      <c r="T1569" s="582" t="s">
        <v>253</v>
      </c>
      <c r="U1569" s="582" t="s">
        <v>670</v>
      </c>
      <c r="V1569" s="582" t="s">
        <v>539</v>
      </c>
      <c r="W1569" s="583" t="s">
        <v>1277</v>
      </c>
      <c r="X1569" s="582" t="s">
        <v>1337</v>
      </c>
      <c r="Y1569" s="582" t="s">
        <v>1338</v>
      </c>
      <c r="Z1569" s="584" t="s">
        <v>2448</v>
      </c>
      <c r="AA1569" s="585">
        <v>1244</v>
      </c>
      <c r="AB1569" s="582"/>
    </row>
    <row r="1570" spans="1:28" hidden="1">
      <c r="A1570" s="566" t="s">
        <v>1335</v>
      </c>
      <c r="B1570" s="566" t="s">
        <v>466</v>
      </c>
      <c r="C1570" s="566" t="s">
        <v>471</v>
      </c>
      <c r="D1570" s="566" t="s">
        <v>472</v>
      </c>
      <c r="E1570" s="566" t="s">
        <v>473</v>
      </c>
      <c r="F1570" s="566" t="s">
        <v>474</v>
      </c>
      <c r="G1570" s="567">
        <v>0</v>
      </c>
      <c r="H1570" s="566" t="s">
        <v>2117</v>
      </c>
      <c r="I1570" s="568">
        <v>2</v>
      </c>
      <c r="J1570" s="569">
        <v>59</v>
      </c>
      <c r="K1570" s="569">
        <v>59</v>
      </c>
      <c r="L1570" s="566"/>
      <c r="M1570" s="566" t="s">
        <v>476</v>
      </c>
      <c r="N1570" s="570">
        <v>1280</v>
      </c>
      <c r="O1570" s="566"/>
      <c r="P1570" s="566" t="s">
        <v>477</v>
      </c>
      <c r="Q1570" s="568">
        <v>909678</v>
      </c>
      <c r="R1570" s="568">
        <v>27</v>
      </c>
      <c r="S1570" s="566" t="s">
        <v>1353</v>
      </c>
      <c r="T1570" s="582" t="s">
        <v>253</v>
      </c>
      <c r="U1570" s="582" t="s">
        <v>670</v>
      </c>
      <c r="V1570" s="582" t="s">
        <v>539</v>
      </c>
      <c r="W1570" s="583" t="s">
        <v>1354</v>
      </c>
      <c r="X1570" s="582" t="s">
        <v>1337</v>
      </c>
      <c r="Y1570" s="582" t="s">
        <v>1338</v>
      </c>
      <c r="Z1570" s="584" t="s">
        <v>2449</v>
      </c>
      <c r="AA1570" s="585">
        <v>1280</v>
      </c>
      <c r="AB1570" s="582"/>
    </row>
    <row r="1571" spans="1:28" hidden="1">
      <c r="A1571" s="566" t="s">
        <v>1335</v>
      </c>
      <c r="B1571" s="566" t="s">
        <v>466</v>
      </c>
      <c r="C1571" s="566" t="s">
        <v>487</v>
      </c>
      <c r="D1571" s="566" t="s">
        <v>472</v>
      </c>
      <c r="E1571" s="566" t="s">
        <v>473</v>
      </c>
      <c r="F1571" s="566" t="s">
        <v>489</v>
      </c>
      <c r="G1571" s="567">
        <v>50</v>
      </c>
      <c r="H1571" s="566" t="s">
        <v>2119</v>
      </c>
      <c r="I1571" s="568">
        <v>2</v>
      </c>
      <c r="J1571" s="569">
        <v>59</v>
      </c>
      <c r="K1571" s="569">
        <v>59</v>
      </c>
      <c r="L1571" s="566"/>
      <c r="M1571" s="566" t="s">
        <v>476</v>
      </c>
      <c r="N1571" s="570">
        <v>1316</v>
      </c>
      <c r="O1571" s="566"/>
      <c r="P1571" s="566" t="s">
        <v>477</v>
      </c>
      <c r="Q1571" s="568">
        <v>909678</v>
      </c>
      <c r="R1571" s="568">
        <v>33</v>
      </c>
      <c r="S1571" s="566" t="s">
        <v>1357</v>
      </c>
      <c r="T1571" s="582" t="s">
        <v>253</v>
      </c>
      <c r="U1571" s="582" t="s">
        <v>670</v>
      </c>
      <c r="V1571" s="582" t="s">
        <v>539</v>
      </c>
      <c r="W1571" s="583" t="s">
        <v>1358</v>
      </c>
      <c r="X1571" s="582" t="s">
        <v>1337</v>
      </c>
      <c r="Y1571" s="582" t="s">
        <v>1338</v>
      </c>
      <c r="Z1571" s="584" t="s">
        <v>2450</v>
      </c>
      <c r="AA1571" s="585">
        <v>1316</v>
      </c>
      <c r="AB1571" s="582"/>
    </row>
    <row r="1572" spans="1:28" hidden="1">
      <c r="A1572" s="566" t="s">
        <v>1335</v>
      </c>
      <c r="B1572" s="566" t="s">
        <v>466</v>
      </c>
      <c r="C1572" s="566" t="s">
        <v>471</v>
      </c>
      <c r="D1572" s="566" t="s">
        <v>472</v>
      </c>
      <c r="E1572" s="566" t="s">
        <v>473</v>
      </c>
      <c r="F1572" s="566" t="s">
        <v>474</v>
      </c>
      <c r="G1572" s="567">
        <v>0</v>
      </c>
      <c r="H1572" s="566" t="s">
        <v>704</v>
      </c>
      <c r="I1572" s="568">
        <v>2</v>
      </c>
      <c r="J1572" s="569">
        <v>59</v>
      </c>
      <c r="K1572" s="569">
        <v>59</v>
      </c>
      <c r="L1572" s="566"/>
      <c r="M1572" s="566" t="s">
        <v>476</v>
      </c>
      <c r="N1572" s="570">
        <v>920</v>
      </c>
      <c r="O1572" s="566"/>
      <c r="P1572" s="566" t="s">
        <v>477</v>
      </c>
      <c r="Q1572" s="568">
        <v>909678</v>
      </c>
      <c r="R1572" s="568">
        <v>22</v>
      </c>
      <c r="S1572" s="566" t="s">
        <v>1360</v>
      </c>
      <c r="T1572" s="582" t="s">
        <v>253</v>
      </c>
      <c r="U1572" s="582" t="s">
        <v>670</v>
      </c>
      <c r="V1572" s="582" t="s">
        <v>539</v>
      </c>
      <c r="W1572" s="583" t="s">
        <v>509</v>
      </c>
      <c r="X1572" s="582" t="s">
        <v>1337</v>
      </c>
      <c r="Y1572" s="582" t="s">
        <v>1338</v>
      </c>
      <c r="Z1572" s="584" t="s">
        <v>2451</v>
      </c>
      <c r="AA1572" s="585">
        <v>920</v>
      </c>
      <c r="AB1572" s="582"/>
    </row>
    <row r="1573" spans="1:28" hidden="1">
      <c r="A1573" s="566" t="s">
        <v>1335</v>
      </c>
      <c r="B1573" s="566" t="s">
        <v>466</v>
      </c>
      <c r="C1573" s="566" t="s">
        <v>471</v>
      </c>
      <c r="D1573" s="566" t="s">
        <v>472</v>
      </c>
      <c r="E1573" s="566" t="s">
        <v>473</v>
      </c>
      <c r="F1573" s="566" t="s">
        <v>474</v>
      </c>
      <c r="G1573" s="567">
        <v>0</v>
      </c>
      <c r="H1573" s="566" t="s">
        <v>706</v>
      </c>
      <c r="I1573" s="568">
        <v>2</v>
      </c>
      <c r="J1573" s="569">
        <v>59</v>
      </c>
      <c r="K1573" s="569">
        <v>59</v>
      </c>
      <c r="L1573" s="566"/>
      <c r="M1573" s="566" t="s">
        <v>476</v>
      </c>
      <c r="N1573" s="570">
        <v>956</v>
      </c>
      <c r="O1573" s="566"/>
      <c r="P1573" s="566" t="s">
        <v>477</v>
      </c>
      <c r="Q1573" s="568">
        <v>909678</v>
      </c>
      <c r="R1573" s="568">
        <v>23</v>
      </c>
      <c r="S1573" s="566" t="s">
        <v>1362</v>
      </c>
      <c r="T1573" s="582" t="s">
        <v>253</v>
      </c>
      <c r="U1573" s="582" t="s">
        <v>670</v>
      </c>
      <c r="V1573" s="582" t="s">
        <v>539</v>
      </c>
      <c r="W1573" s="583" t="s">
        <v>512</v>
      </c>
      <c r="X1573" s="582" t="s">
        <v>1337</v>
      </c>
      <c r="Y1573" s="582" t="s">
        <v>1338</v>
      </c>
      <c r="Z1573" s="584" t="s">
        <v>2452</v>
      </c>
      <c r="AA1573" s="585">
        <v>956</v>
      </c>
      <c r="AB1573" s="582"/>
    </row>
    <row r="1574" spans="1:28" hidden="1">
      <c r="A1574" s="566" t="s">
        <v>1335</v>
      </c>
      <c r="B1574" s="566" t="s">
        <v>466</v>
      </c>
      <c r="C1574" s="566" t="s">
        <v>471</v>
      </c>
      <c r="D1574" s="566" t="s">
        <v>472</v>
      </c>
      <c r="E1574" s="566" t="s">
        <v>473</v>
      </c>
      <c r="F1574" s="566" t="s">
        <v>474</v>
      </c>
      <c r="G1574" s="567">
        <v>0</v>
      </c>
      <c r="H1574" s="566" t="s">
        <v>708</v>
      </c>
      <c r="I1574" s="568">
        <v>2</v>
      </c>
      <c r="J1574" s="569">
        <v>59</v>
      </c>
      <c r="K1574" s="569">
        <v>59</v>
      </c>
      <c r="L1574" s="566"/>
      <c r="M1574" s="566" t="s">
        <v>476</v>
      </c>
      <c r="N1574" s="570">
        <v>992</v>
      </c>
      <c r="O1574" s="566"/>
      <c r="P1574" s="566" t="s">
        <v>477</v>
      </c>
      <c r="Q1574" s="568">
        <v>909678</v>
      </c>
      <c r="R1574" s="568">
        <v>24</v>
      </c>
      <c r="S1574" s="566" t="s">
        <v>1364</v>
      </c>
      <c r="T1574" s="582" t="s">
        <v>253</v>
      </c>
      <c r="U1574" s="582" t="s">
        <v>670</v>
      </c>
      <c r="V1574" s="582" t="s">
        <v>539</v>
      </c>
      <c r="W1574" s="583" t="s">
        <v>514</v>
      </c>
      <c r="X1574" s="582" t="s">
        <v>1337</v>
      </c>
      <c r="Y1574" s="582" t="s">
        <v>1338</v>
      </c>
      <c r="Z1574" s="584" t="s">
        <v>2453</v>
      </c>
      <c r="AA1574" s="585">
        <v>992</v>
      </c>
      <c r="AB1574" s="582"/>
    </row>
    <row r="1575" spans="1:28" hidden="1">
      <c r="A1575" s="566" t="s">
        <v>1335</v>
      </c>
      <c r="B1575" s="566" t="s">
        <v>466</v>
      </c>
      <c r="C1575" s="566" t="s">
        <v>471</v>
      </c>
      <c r="D1575" s="566" t="s">
        <v>472</v>
      </c>
      <c r="E1575" s="566" t="s">
        <v>473</v>
      </c>
      <c r="F1575" s="566" t="s">
        <v>474</v>
      </c>
      <c r="G1575" s="567">
        <v>0</v>
      </c>
      <c r="H1575" s="566" t="s">
        <v>677</v>
      </c>
      <c r="I1575" s="568">
        <v>2</v>
      </c>
      <c r="J1575" s="569">
        <v>83</v>
      </c>
      <c r="K1575" s="569">
        <v>83</v>
      </c>
      <c r="L1575" s="566"/>
      <c r="M1575" s="566" t="s">
        <v>476</v>
      </c>
      <c r="N1575" s="570">
        <v>1568</v>
      </c>
      <c r="O1575" s="566"/>
      <c r="P1575" s="566" t="s">
        <v>477</v>
      </c>
      <c r="Q1575" s="568">
        <v>909678</v>
      </c>
      <c r="R1575" s="568">
        <v>40</v>
      </c>
      <c r="S1575" s="566" t="s">
        <v>1366</v>
      </c>
      <c r="T1575" s="582" t="s">
        <v>253</v>
      </c>
      <c r="U1575" s="582" t="s">
        <v>670</v>
      </c>
      <c r="V1575" s="582" t="s">
        <v>539</v>
      </c>
      <c r="W1575" s="583" t="s">
        <v>1274</v>
      </c>
      <c r="X1575" s="582" t="s">
        <v>1337</v>
      </c>
      <c r="Y1575" s="582" t="s">
        <v>1367</v>
      </c>
      <c r="Z1575" s="584" t="s">
        <v>2454</v>
      </c>
      <c r="AA1575" s="585">
        <v>1568</v>
      </c>
      <c r="AB1575" s="582"/>
    </row>
    <row r="1576" spans="1:28" hidden="1">
      <c r="A1576" s="566" t="s">
        <v>1335</v>
      </c>
      <c r="B1576" s="566" t="s">
        <v>466</v>
      </c>
      <c r="C1576" s="566" t="s">
        <v>471</v>
      </c>
      <c r="D1576" s="566" t="s">
        <v>472</v>
      </c>
      <c r="E1576" s="566" t="s">
        <v>473</v>
      </c>
      <c r="F1576" s="566" t="s">
        <v>474</v>
      </c>
      <c r="G1576" s="567">
        <v>0</v>
      </c>
      <c r="H1576" s="566" t="s">
        <v>680</v>
      </c>
      <c r="I1576" s="568">
        <v>2</v>
      </c>
      <c r="J1576" s="569">
        <v>83</v>
      </c>
      <c r="K1576" s="569">
        <v>83</v>
      </c>
      <c r="L1576" s="566"/>
      <c r="M1576" s="566" t="s">
        <v>476</v>
      </c>
      <c r="N1576" s="570">
        <v>1604</v>
      </c>
      <c r="O1576" s="566"/>
      <c r="P1576" s="566" t="s">
        <v>477</v>
      </c>
      <c r="Q1576" s="568">
        <v>909678</v>
      </c>
      <c r="R1576" s="568">
        <v>41</v>
      </c>
      <c r="S1576" s="566" t="s">
        <v>1369</v>
      </c>
      <c r="T1576" s="582" t="s">
        <v>253</v>
      </c>
      <c r="U1576" s="582" t="s">
        <v>670</v>
      </c>
      <c r="V1576" s="582" t="s">
        <v>539</v>
      </c>
      <c r="W1576" s="583" t="s">
        <v>1275</v>
      </c>
      <c r="X1576" s="582" t="s">
        <v>1337</v>
      </c>
      <c r="Y1576" s="582" t="s">
        <v>1367</v>
      </c>
      <c r="Z1576" s="584" t="s">
        <v>2455</v>
      </c>
      <c r="AA1576" s="585">
        <v>1604</v>
      </c>
      <c r="AB1576" s="582"/>
    </row>
    <row r="1577" spans="1:28" hidden="1">
      <c r="A1577" s="566" t="s">
        <v>1335</v>
      </c>
      <c r="B1577" s="566" t="s">
        <v>466</v>
      </c>
      <c r="C1577" s="566" t="s">
        <v>487</v>
      </c>
      <c r="D1577" s="566" t="s">
        <v>472</v>
      </c>
      <c r="E1577" s="566" t="s">
        <v>473</v>
      </c>
      <c r="F1577" s="566" t="s">
        <v>489</v>
      </c>
      <c r="G1577" s="567">
        <v>50</v>
      </c>
      <c r="H1577" s="566" t="s">
        <v>689</v>
      </c>
      <c r="I1577" s="568">
        <v>2</v>
      </c>
      <c r="J1577" s="569">
        <v>83</v>
      </c>
      <c r="K1577" s="569">
        <v>83</v>
      </c>
      <c r="L1577" s="566"/>
      <c r="M1577" s="566" t="s">
        <v>476</v>
      </c>
      <c r="N1577" s="570">
        <v>1640</v>
      </c>
      <c r="O1577" s="566"/>
      <c r="P1577" s="566" t="s">
        <v>477</v>
      </c>
      <c r="Q1577" s="568">
        <v>909678</v>
      </c>
      <c r="R1577" s="568">
        <v>43</v>
      </c>
      <c r="S1577" s="566" t="s">
        <v>1371</v>
      </c>
      <c r="T1577" s="582" t="s">
        <v>253</v>
      </c>
      <c r="U1577" s="582" t="s">
        <v>670</v>
      </c>
      <c r="V1577" s="582" t="s">
        <v>539</v>
      </c>
      <c r="W1577" s="583" t="s">
        <v>1276</v>
      </c>
      <c r="X1577" s="582" t="s">
        <v>1337</v>
      </c>
      <c r="Y1577" s="582" t="s">
        <v>1367</v>
      </c>
      <c r="Z1577" s="584" t="s">
        <v>2456</v>
      </c>
      <c r="AA1577" s="585">
        <v>1640</v>
      </c>
      <c r="AB1577" s="582"/>
    </row>
    <row r="1578" spans="1:28" hidden="1">
      <c r="A1578" s="566" t="s">
        <v>1335</v>
      </c>
      <c r="B1578" s="566" t="s">
        <v>466</v>
      </c>
      <c r="C1578" s="566" t="s">
        <v>487</v>
      </c>
      <c r="D1578" s="566" t="s">
        <v>472</v>
      </c>
      <c r="E1578" s="566" t="s">
        <v>473</v>
      </c>
      <c r="F1578" s="566" t="s">
        <v>489</v>
      </c>
      <c r="G1578" s="567">
        <v>50</v>
      </c>
      <c r="H1578" s="566" t="s">
        <v>692</v>
      </c>
      <c r="I1578" s="568">
        <v>2</v>
      </c>
      <c r="J1578" s="569">
        <v>83</v>
      </c>
      <c r="K1578" s="569">
        <v>83</v>
      </c>
      <c r="L1578" s="566"/>
      <c r="M1578" s="566" t="s">
        <v>476</v>
      </c>
      <c r="N1578" s="570">
        <v>1676</v>
      </c>
      <c r="O1578" s="566"/>
      <c r="P1578" s="566" t="s">
        <v>477</v>
      </c>
      <c r="Q1578" s="568">
        <v>909678</v>
      </c>
      <c r="R1578" s="568">
        <v>44</v>
      </c>
      <c r="S1578" s="566" t="s">
        <v>1373</v>
      </c>
      <c r="T1578" s="582" t="s">
        <v>253</v>
      </c>
      <c r="U1578" s="582" t="s">
        <v>670</v>
      </c>
      <c r="V1578" s="582" t="s">
        <v>539</v>
      </c>
      <c r="W1578" s="583" t="s">
        <v>1277</v>
      </c>
      <c r="X1578" s="582" t="s">
        <v>1337</v>
      </c>
      <c r="Y1578" s="582" t="s">
        <v>1367</v>
      </c>
      <c r="Z1578" s="584" t="s">
        <v>2457</v>
      </c>
      <c r="AA1578" s="585">
        <v>1676</v>
      </c>
      <c r="AB1578" s="582"/>
    </row>
    <row r="1579" spans="1:28" hidden="1">
      <c r="A1579" s="566" t="s">
        <v>1335</v>
      </c>
      <c r="B1579" s="566" t="s">
        <v>466</v>
      </c>
      <c r="C1579" s="566" t="s">
        <v>471</v>
      </c>
      <c r="D1579" s="566" t="s">
        <v>472</v>
      </c>
      <c r="E1579" s="566" t="s">
        <v>473</v>
      </c>
      <c r="F1579" s="566" t="s">
        <v>474</v>
      </c>
      <c r="G1579" s="567">
        <v>0</v>
      </c>
      <c r="H1579" s="566" t="s">
        <v>2117</v>
      </c>
      <c r="I1579" s="568">
        <v>2</v>
      </c>
      <c r="J1579" s="569">
        <v>83</v>
      </c>
      <c r="K1579" s="569">
        <v>83</v>
      </c>
      <c r="L1579" s="566"/>
      <c r="M1579" s="566" t="s">
        <v>476</v>
      </c>
      <c r="N1579" s="570">
        <v>1712</v>
      </c>
      <c r="O1579" s="566"/>
      <c r="P1579" s="566" t="s">
        <v>477</v>
      </c>
      <c r="Q1579" s="568">
        <v>909678</v>
      </c>
      <c r="R1579" s="568">
        <v>42</v>
      </c>
      <c r="S1579" s="566" t="s">
        <v>1375</v>
      </c>
      <c r="T1579" s="582" t="s">
        <v>253</v>
      </c>
      <c r="U1579" s="582" t="s">
        <v>670</v>
      </c>
      <c r="V1579" s="582" t="s">
        <v>539</v>
      </c>
      <c r="W1579" s="583" t="s">
        <v>1354</v>
      </c>
      <c r="X1579" s="582" t="s">
        <v>1337</v>
      </c>
      <c r="Y1579" s="582" t="s">
        <v>1367</v>
      </c>
      <c r="Z1579" s="584" t="s">
        <v>2458</v>
      </c>
      <c r="AA1579" s="585">
        <v>1712</v>
      </c>
      <c r="AB1579" s="582"/>
    </row>
    <row r="1580" spans="1:28" hidden="1">
      <c r="A1580" s="566" t="s">
        <v>1335</v>
      </c>
      <c r="B1580" s="566" t="s">
        <v>466</v>
      </c>
      <c r="C1580" s="566" t="s">
        <v>487</v>
      </c>
      <c r="D1580" s="566" t="s">
        <v>472</v>
      </c>
      <c r="E1580" s="566" t="s">
        <v>473</v>
      </c>
      <c r="F1580" s="566" t="s">
        <v>489</v>
      </c>
      <c r="G1580" s="567">
        <v>50</v>
      </c>
      <c r="H1580" s="566" t="s">
        <v>2119</v>
      </c>
      <c r="I1580" s="568">
        <v>2</v>
      </c>
      <c r="J1580" s="569">
        <v>83</v>
      </c>
      <c r="K1580" s="569">
        <v>83</v>
      </c>
      <c r="L1580" s="566"/>
      <c r="M1580" s="566" t="s">
        <v>476</v>
      </c>
      <c r="N1580" s="570">
        <v>1748</v>
      </c>
      <c r="O1580" s="566"/>
      <c r="P1580" s="566" t="s">
        <v>477</v>
      </c>
      <c r="Q1580" s="568">
        <v>909678</v>
      </c>
      <c r="R1580" s="568">
        <v>45</v>
      </c>
      <c r="S1580" s="566" t="s">
        <v>1377</v>
      </c>
      <c r="T1580" s="582" t="s">
        <v>253</v>
      </c>
      <c r="U1580" s="582" t="s">
        <v>670</v>
      </c>
      <c r="V1580" s="582" t="s">
        <v>539</v>
      </c>
      <c r="W1580" s="583" t="s">
        <v>1358</v>
      </c>
      <c r="X1580" s="582" t="s">
        <v>1337</v>
      </c>
      <c r="Y1580" s="582" t="s">
        <v>1367</v>
      </c>
      <c r="Z1580" s="584" t="s">
        <v>2459</v>
      </c>
      <c r="AA1580" s="585">
        <v>1748</v>
      </c>
      <c r="AB1580" s="582"/>
    </row>
    <row r="1581" spans="1:28" hidden="1">
      <c r="A1581" s="566" t="s">
        <v>1335</v>
      </c>
      <c r="B1581" s="566" t="s">
        <v>466</v>
      </c>
      <c r="C1581" s="566" t="s">
        <v>553</v>
      </c>
      <c r="D1581" s="566" t="s">
        <v>472</v>
      </c>
      <c r="E1581" s="566" t="s">
        <v>473</v>
      </c>
      <c r="F1581" s="566" t="s">
        <v>554</v>
      </c>
      <c r="G1581" s="567">
        <v>13</v>
      </c>
      <c r="H1581" s="566" t="s">
        <v>1218</v>
      </c>
      <c r="I1581" s="568">
        <v>2</v>
      </c>
      <c r="J1581" s="569">
        <v>22</v>
      </c>
      <c r="K1581" s="569">
        <v>22</v>
      </c>
      <c r="L1581" s="569">
        <v>17</v>
      </c>
      <c r="M1581" s="566" t="s">
        <v>476</v>
      </c>
      <c r="N1581" s="570">
        <v>173</v>
      </c>
      <c r="O1581" s="566"/>
      <c r="P1581" s="566" t="s">
        <v>477</v>
      </c>
      <c r="Q1581" s="568">
        <v>909678</v>
      </c>
      <c r="R1581" s="568">
        <v>9</v>
      </c>
      <c r="S1581" s="566" t="s">
        <v>1379</v>
      </c>
      <c r="T1581" s="582" t="s">
        <v>257</v>
      </c>
      <c r="U1581" s="582" t="s">
        <v>670</v>
      </c>
      <c r="V1581" s="582" t="s">
        <v>539</v>
      </c>
      <c r="W1581" s="583" t="s">
        <v>551</v>
      </c>
      <c r="X1581" s="582" t="s">
        <v>1380</v>
      </c>
      <c r="Y1581" s="582" t="s">
        <v>1338</v>
      </c>
      <c r="Z1581" s="584" t="s">
        <v>1217</v>
      </c>
      <c r="AA1581" s="585">
        <v>173</v>
      </c>
      <c r="AB1581" s="582">
        <v>260072</v>
      </c>
    </row>
    <row r="1582" spans="1:28" hidden="1">
      <c r="A1582" s="566" t="s">
        <v>1335</v>
      </c>
      <c r="B1582" s="566" t="s">
        <v>466</v>
      </c>
      <c r="C1582" s="566" t="s">
        <v>553</v>
      </c>
      <c r="D1582" s="566" t="s">
        <v>472</v>
      </c>
      <c r="E1582" s="566" t="s">
        <v>473</v>
      </c>
      <c r="F1582" s="566" t="s">
        <v>554</v>
      </c>
      <c r="G1582" s="567">
        <v>16</v>
      </c>
      <c r="H1582" s="566" t="s">
        <v>1220</v>
      </c>
      <c r="I1582" s="568">
        <v>2</v>
      </c>
      <c r="J1582" s="569">
        <v>22</v>
      </c>
      <c r="K1582" s="569">
        <v>22</v>
      </c>
      <c r="L1582" s="569">
        <v>17</v>
      </c>
      <c r="M1582" s="566" t="s">
        <v>476</v>
      </c>
      <c r="N1582" s="570">
        <v>317</v>
      </c>
      <c r="O1582" s="566"/>
      <c r="P1582" s="566" t="s">
        <v>477</v>
      </c>
      <c r="Q1582" s="568">
        <v>909678</v>
      </c>
      <c r="R1582" s="568">
        <v>4</v>
      </c>
      <c r="S1582" s="566" t="s">
        <v>1381</v>
      </c>
      <c r="T1582" s="582" t="s">
        <v>257</v>
      </c>
      <c r="U1582" s="582" t="s">
        <v>670</v>
      </c>
      <c r="V1582" s="582" t="s">
        <v>539</v>
      </c>
      <c r="W1582" s="583" t="s">
        <v>556</v>
      </c>
      <c r="X1582" s="582" t="s">
        <v>1380</v>
      </c>
      <c r="Y1582" s="582" t="s">
        <v>1338</v>
      </c>
      <c r="Z1582" s="584" t="s">
        <v>1219</v>
      </c>
      <c r="AA1582" s="585">
        <v>317</v>
      </c>
      <c r="AB1582" s="582">
        <v>260216</v>
      </c>
    </row>
    <row r="1583" spans="1:28" hidden="1">
      <c r="A1583" s="566" t="s">
        <v>1335</v>
      </c>
      <c r="B1583" s="566" t="s">
        <v>466</v>
      </c>
      <c r="C1583" s="566" t="s">
        <v>471</v>
      </c>
      <c r="D1583" s="566" t="s">
        <v>472</v>
      </c>
      <c r="E1583" s="566" t="s">
        <v>473</v>
      </c>
      <c r="F1583" s="566" t="s">
        <v>474</v>
      </c>
      <c r="G1583" s="567">
        <v>0</v>
      </c>
      <c r="H1583" s="566" t="s">
        <v>677</v>
      </c>
      <c r="I1583" s="568">
        <v>2</v>
      </c>
      <c r="J1583" s="569">
        <v>11</v>
      </c>
      <c r="K1583" s="569">
        <v>11</v>
      </c>
      <c r="L1583" s="566"/>
      <c r="M1583" s="566" t="s">
        <v>476</v>
      </c>
      <c r="N1583" s="570">
        <v>488</v>
      </c>
      <c r="O1583" s="566"/>
      <c r="P1583" s="566" t="s">
        <v>477</v>
      </c>
      <c r="Q1583" s="568">
        <v>909678</v>
      </c>
      <c r="R1583" s="568">
        <v>10</v>
      </c>
      <c r="S1583" s="566" t="s">
        <v>1382</v>
      </c>
      <c r="T1583" s="582" t="s">
        <v>253</v>
      </c>
      <c r="U1583" s="582" t="s">
        <v>670</v>
      </c>
      <c r="V1583" s="582" t="s">
        <v>539</v>
      </c>
      <c r="W1583" s="583" t="s">
        <v>1274</v>
      </c>
      <c r="X1583" s="582" t="s">
        <v>1380</v>
      </c>
      <c r="Y1583" s="582" t="s">
        <v>1338</v>
      </c>
      <c r="Z1583" s="584" t="s">
        <v>1221</v>
      </c>
      <c r="AA1583" s="585">
        <v>488</v>
      </c>
      <c r="AB1583" s="582"/>
    </row>
    <row r="1584" spans="1:28" hidden="1">
      <c r="A1584" s="566" t="s">
        <v>1335</v>
      </c>
      <c r="B1584" s="566" t="s">
        <v>466</v>
      </c>
      <c r="C1584" s="566" t="s">
        <v>471</v>
      </c>
      <c r="D1584" s="566" t="s">
        <v>472</v>
      </c>
      <c r="E1584" s="566" t="s">
        <v>473</v>
      </c>
      <c r="F1584" s="566" t="s">
        <v>474</v>
      </c>
      <c r="G1584" s="567">
        <v>0</v>
      </c>
      <c r="H1584" s="566" t="s">
        <v>680</v>
      </c>
      <c r="I1584" s="568">
        <v>2</v>
      </c>
      <c r="J1584" s="569">
        <v>11</v>
      </c>
      <c r="K1584" s="569">
        <v>11</v>
      </c>
      <c r="L1584" s="566"/>
      <c r="M1584" s="566" t="s">
        <v>476</v>
      </c>
      <c r="N1584" s="570">
        <v>560</v>
      </c>
      <c r="O1584" s="566"/>
      <c r="P1584" s="566" t="s">
        <v>477</v>
      </c>
      <c r="Q1584" s="568">
        <v>909678</v>
      </c>
      <c r="R1584" s="568">
        <v>15</v>
      </c>
      <c r="S1584" s="566" t="s">
        <v>483</v>
      </c>
      <c r="T1584" s="582" t="s">
        <v>253</v>
      </c>
      <c r="U1584" s="582" t="s">
        <v>670</v>
      </c>
      <c r="V1584" s="582" t="s">
        <v>539</v>
      </c>
      <c r="W1584" s="583" t="s">
        <v>1275</v>
      </c>
      <c r="X1584" s="582" t="s">
        <v>1380</v>
      </c>
      <c r="Y1584" s="582" t="s">
        <v>1338</v>
      </c>
      <c r="Z1584" s="584" t="s">
        <v>1222</v>
      </c>
      <c r="AA1584" s="585">
        <v>560</v>
      </c>
      <c r="AB1584" s="582"/>
    </row>
    <row r="1585" spans="1:28" hidden="1">
      <c r="A1585" s="566" t="s">
        <v>1335</v>
      </c>
      <c r="B1585" s="566" t="s">
        <v>466</v>
      </c>
      <c r="C1585" s="566" t="s">
        <v>487</v>
      </c>
      <c r="D1585" s="566" t="s">
        <v>472</v>
      </c>
      <c r="E1585" s="566" t="s">
        <v>473</v>
      </c>
      <c r="F1585" s="566" t="s">
        <v>489</v>
      </c>
      <c r="G1585" s="567">
        <v>50</v>
      </c>
      <c r="H1585" s="566" t="s">
        <v>682</v>
      </c>
      <c r="I1585" s="568">
        <v>2</v>
      </c>
      <c r="J1585" s="569">
        <v>11</v>
      </c>
      <c r="K1585" s="569">
        <v>11</v>
      </c>
      <c r="L1585" s="566"/>
      <c r="M1585" s="566" t="s">
        <v>476</v>
      </c>
      <c r="N1585" s="570">
        <v>596</v>
      </c>
      <c r="O1585" s="566"/>
      <c r="P1585" s="566" t="s">
        <v>477</v>
      </c>
      <c r="Q1585" s="568">
        <v>909678</v>
      </c>
      <c r="R1585" s="568">
        <v>16</v>
      </c>
      <c r="S1585" s="566" t="s">
        <v>488</v>
      </c>
      <c r="T1585" s="582" t="s">
        <v>253</v>
      </c>
      <c r="U1585" s="582" t="s">
        <v>670</v>
      </c>
      <c r="V1585" s="582" t="s">
        <v>539</v>
      </c>
      <c r="W1585" s="583" t="s">
        <v>485</v>
      </c>
      <c r="X1585" s="582" t="s">
        <v>1380</v>
      </c>
      <c r="Y1585" s="582" t="s">
        <v>1338</v>
      </c>
      <c r="Z1585" s="584" t="s">
        <v>1223</v>
      </c>
      <c r="AA1585" s="585">
        <v>596</v>
      </c>
      <c r="AB1585" s="582"/>
    </row>
    <row r="1586" spans="1:28" hidden="1">
      <c r="A1586" s="566" t="s">
        <v>1335</v>
      </c>
      <c r="B1586" s="566" t="s">
        <v>466</v>
      </c>
      <c r="C1586" s="566" t="s">
        <v>487</v>
      </c>
      <c r="D1586" s="566" t="s">
        <v>472</v>
      </c>
      <c r="E1586" s="566" t="s">
        <v>473</v>
      </c>
      <c r="F1586" s="566" t="s">
        <v>489</v>
      </c>
      <c r="G1586" s="567">
        <v>50</v>
      </c>
      <c r="H1586" s="566" t="s">
        <v>684</v>
      </c>
      <c r="I1586" s="568">
        <v>2</v>
      </c>
      <c r="J1586" s="569">
        <v>11</v>
      </c>
      <c r="K1586" s="569">
        <v>11</v>
      </c>
      <c r="L1586" s="566"/>
      <c r="M1586" s="566" t="s">
        <v>476</v>
      </c>
      <c r="N1586" s="570">
        <v>632</v>
      </c>
      <c r="O1586" s="566"/>
      <c r="P1586" s="566" t="s">
        <v>477</v>
      </c>
      <c r="Q1586" s="568">
        <v>909678</v>
      </c>
      <c r="R1586" s="568">
        <v>17</v>
      </c>
      <c r="S1586" s="566" t="s">
        <v>493</v>
      </c>
      <c r="T1586" s="582" t="s">
        <v>253</v>
      </c>
      <c r="U1586" s="582" t="s">
        <v>670</v>
      </c>
      <c r="V1586" s="582" t="s">
        <v>539</v>
      </c>
      <c r="W1586" s="583" t="s">
        <v>491</v>
      </c>
      <c r="X1586" s="582" t="s">
        <v>1380</v>
      </c>
      <c r="Y1586" s="582" t="s">
        <v>1338</v>
      </c>
      <c r="Z1586" s="584" t="s">
        <v>1224</v>
      </c>
      <c r="AA1586" s="585">
        <v>632</v>
      </c>
      <c r="AB1586" s="582"/>
    </row>
    <row r="1587" spans="1:28" hidden="1">
      <c r="A1587" s="566" t="s">
        <v>1335</v>
      </c>
      <c r="B1587" s="566" t="s">
        <v>466</v>
      </c>
      <c r="C1587" s="566" t="s">
        <v>487</v>
      </c>
      <c r="D1587" s="566" t="s">
        <v>472</v>
      </c>
      <c r="E1587" s="566" t="s">
        <v>473</v>
      </c>
      <c r="F1587" s="566" t="s">
        <v>489</v>
      </c>
      <c r="G1587" s="567">
        <v>50</v>
      </c>
      <c r="H1587" s="566" t="s">
        <v>686</v>
      </c>
      <c r="I1587" s="568">
        <v>2</v>
      </c>
      <c r="J1587" s="569">
        <v>11</v>
      </c>
      <c r="K1587" s="569">
        <v>11</v>
      </c>
      <c r="L1587" s="566"/>
      <c r="M1587" s="566" t="s">
        <v>476</v>
      </c>
      <c r="N1587" s="570">
        <v>668</v>
      </c>
      <c r="O1587" s="566"/>
      <c r="P1587" s="566" t="s">
        <v>477</v>
      </c>
      <c r="Q1587" s="568">
        <v>909678</v>
      </c>
      <c r="R1587" s="568">
        <v>18</v>
      </c>
      <c r="S1587" s="566" t="s">
        <v>497</v>
      </c>
      <c r="T1587" s="582" t="s">
        <v>253</v>
      </c>
      <c r="U1587" s="582" t="s">
        <v>670</v>
      </c>
      <c r="V1587" s="582" t="s">
        <v>539</v>
      </c>
      <c r="W1587" s="583" t="s">
        <v>495</v>
      </c>
      <c r="X1587" s="582" t="s">
        <v>1380</v>
      </c>
      <c r="Y1587" s="582" t="s">
        <v>1338</v>
      </c>
      <c r="Z1587" s="584" t="s">
        <v>1225</v>
      </c>
      <c r="AA1587" s="585">
        <v>668</v>
      </c>
      <c r="AB1587" s="582"/>
    </row>
    <row r="1588" spans="1:28" hidden="1">
      <c r="A1588" s="566" t="s">
        <v>1335</v>
      </c>
      <c r="B1588" s="566" t="s">
        <v>466</v>
      </c>
      <c r="C1588" s="566" t="s">
        <v>487</v>
      </c>
      <c r="D1588" s="566" t="s">
        <v>472</v>
      </c>
      <c r="E1588" s="566" t="s">
        <v>473</v>
      </c>
      <c r="F1588" s="566" t="s">
        <v>489</v>
      </c>
      <c r="G1588" s="567">
        <v>50</v>
      </c>
      <c r="H1588" s="566" t="s">
        <v>689</v>
      </c>
      <c r="I1588" s="568">
        <v>2</v>
      </c>
      <c r="J1588" s="569">
        <v>11</v>
      </c>
      <c r="K1588" s="569">
        <v>11</v>
      </c>
      <c r="L1588" s="566"/>
      <c r="M1588" s="566" t="s">
        <v>476</v>
      </c>
      <c r="N1588" s="570">
        <v>740</v>
      </c>
      <c r="O1588" s="566"/>
      <c r="P1588" s="566" t="s">
        <v>477</v>
      </c>
      <c r="Q1588" s="568">
        <v>909678</v>
      </c>
      <c r="R1588" s="568">
        <v>19</v>
      </c>
      <c r="S1588" s="566" t="s">
        <v>502</v>
      </c>
      <c r="T1588" s="582" t="s">
        <v>253</v>
      </c>
      <c r="U1588" s="582" t="s">
        <v>670</v>
      </c>
      <c r="V1588" s="582" t="s">
        <v>539</v>
      </c>
      <c r="W1588" s="583" t="s">
        <v>1276</v>
      </c>
      <c r="X1588" s="582" t="s">
        <v>1380</v>
      </c>
      <c r="Y1588" s="582" t="s">
        <v>1338</v>
      </c>
      <c r="Z1588" s="584" t="s">
        <v>1226</v>
      </c>
      <c r="AA1588" s="585">
        <v>740</v>
      </c>
      <c r="AB1588" s="582"/>
    </row>
    <row r="1589" spans="1:28" hidden="1">
      <c r="A1589" s="566" t="s">
        <v>1335</v>
      </c>
      <c r="B1589" s="566" t="s">
        <v>466</v>
      </c>
      <c r="C1589" s="566" t="s">
        <v>487</v>
      </c>
      <c r="D1589" s="566" t="s">
        <v>472</v>
      </c>
      <c r="E1589" s="566" t="s">
        <v>473</v>
      </c>
      <c r="F1589" s="566" t="s">
        <v>489</v>
      </c>
      <c r="G1589" s="567">
        <v>50</v>
      </c>
      <c r="H1589" s="566" t="s">
        <v>692</v>
      </c>
      <c r="I1589" s="568">
        <v>2</v>
      </c>
      <c r="J1589" s="569">
        <v>11</v>
      </c>
      <c r="K1589" s="569">
        <v>11</v>
      </c>
      <c r="L1589" s="566"/>
      <c r="M1589" s="566" t="s">
        <v>476</v>
      </c>
      <c r="N1589" s="570">
        <v>812</v>
      </c>
      <c r="O1589" s="566"/>
      <c r="P1589" s="566" t="s">
        <v>477</v>
      </c>
      <c r="Q1589" s="568">
        <v>909678</v>
      </c>
      <c r="R1589" s="568">
        <v>21</v>
      </c>
      <c r="S1589" s="566" t="s">
        <v>507</v>
      </c>
      <c r="T1589" s="582" t="s">
        <v>253</v>
      </c>
      <c r="U1589" s="582" t="s">
        <v>670</v>
      </c>
      <c r="V1589" s="582" t="s">
        <v>539</v>
      </c>
      <c r="W1589" s="583" t="s">
        <v>1277</v>
      </c>
      <c r="X1589" s="582" t="s">
        <v>1380</v>
      </c>
      <c r="Y1589" s="582" t="s">
        <v>1338</v>
      </c>
      <c r="Z1589" s="584" t="s">
        <v>1227</v>
      </c>
      <c r="AA1589" s="585">
        <v>812</v>
      </c>
      <c r="AB1589" s="582"/>
    </row>
    <row r="1590" spans="1:28" hidden="1">
      <c r="A1590" s="566" t="s">
        <v>1335</v>
      </c>
      <c r="B1590" s="566" t="s">
        <v>466</v>
      </c>
      <c r="C1590" s="566" t="s">
        <v>471</v>
      </c>
      <c r="D1590" s="566" t="s">
        <v>472</v>
      </c>
      <c r="E1590" s="566" t="s">
        <v>473</v>
      </c>
      <c r="F1590" s="566" t="s">
        <v>474</v>
      </c>
      <c r="G1590" s="567">
        <v>0</v>
      </c>
      <c r="H1590" s="566" t="s">
        <v>2117</v>
      </c>
      <c r="I1590" s="568">
        <v>2</v>
      </c>
      <c r="J1590" s="569">
        <v>11</v>
      </c>
      <c r="K1590" s="569">
        <v>11</v>
      </c>
      <c r="L1590" s="566"/>
      <c r="M1590" s="566" t="s">
        <v>476</v>
      </c>
      <c r="N1590" s="570">
        <v>848</v>
      </c>
      <c r="O1590" s="566"/>
      <c r="P1590" s="566" t="s">
        <v>477</v>
      </c>
      <c r="Q1590" s="568">
        <v>909678</v>
      </c>
      <c r="R1590" s="568">
        <v>46</v>
      </c>
      <c r="S1590" s="566" t="s">
        <v>1383</v>
      </c>
      <c r="T1590" s="582" t="s">
        <v>253</v>
      </c>
      <c r="U1590" s="582" t="s">
        <v>670</v>
      </c>
      <c r="V1590" s="582" t="s">
        <v>539</v>
      </c>
      <c r="W1590" s="583" t="s">
        <v>1354</v>
      </c>
      <c r="X1590" s="582" t="s">
        <v>1380</v>
      </c>
      <c r="Y1590" s="582" t="s">
        <v>1338</v>
      </c>
      <c r="Z1590" s="584" t="s">
        <v>2460</v>
      </c>
      <c r="AA1590" s="585">
        <v>848</v>
      </c>
      <c r="AB1590" s="582"/>
    </row>
    <row r="1591" spans="1:28" hidden="1">
      <c r="A1591" s="566" t="s">
        <v>1335</v>
      </c>
      <c r="B1591" s="566" t="s">
        <v>466</v>
      </c>
      <c r="C1591" s="566" t="s">
        <v>487</v>
      </c>
      <c r="D1591" s="566" t="s">
        <v>472</v>
      </c>
      <c r="E1591" s="566" t="s">
        <v>473</v>
      </c>
      <c r="F1591" s="566" t="s">
        <v>489</v>
      </c>
      <c r="G1591" s="567">
        <v>50</v>
      </c>
      <c r="H1591" s="566" t="s">
        <v>2119</v>
      </c>
      <c r="I1591" s="568">
        <v>2</v>
      </c>
      <c r="J1591" s="569">
        <v>11</v>
      </c>
      <c r="K1591" s="569">
        <v>11</v>
      </c>
      <c r="L1591" s="566"/>
      <c r="M1591" s="566" t="s">
        <v>476</v>
      </c>
      <c r="N1591" s="570">
        <v>884</v>
      </c>
      <c r="O1591" s="566"/>
      <c r="P1591" s="566" t="s">
        <v>477</v>
      </c>
      <c r="Q1591" s="568">
        <v>909678</v>
      </c>
      <c r="R1591" s="568">
        <v>47</v>
      </c>
      <c r="S1591" s="566" t="s">
        <v>1385</v>
      </c>
      <c r="T1591" s="582" t="s">
        <v>253</v>
      </c>
      <c r="U1591" s="582" t="s">
        <v>670</v>
      </c>
      <c r="V1591" s="582" t="s">
        <v>539</v>
      </c>
      <c r="W1591" s="583" t="s">
        <v>1358</v>
      </c>
      <c r="X1591" s="582" t="s">
        <v>1380</v>
      </c>
      <c r="Y1591" s="582" t="s">
        <v>1338</v>
      </c>
      <c r="Z1591" s="584" t="s">
        <v>2461</v>
      </c>
      <c r="AA1591" s="585">
        <v>884</v>
      </c>
      <c r="AB1591" s="582"/>
    </row>
    <row r="1592" spans="1:28" hidden="1">
      <c r="A1592" s="566" t="s">
        <v>1335</v>
      </c>
      <c r="B1592" s="566" t="s">
        <v>466</v>
      </c>
      <c r="C1592" s="566" t="s">
        <v>553</v>
      </c>
      <c r="D1592" s="566" t="s">
        <v>472</v>
      </c>
      <c r="E1592" s="566" t="s">
        <v>473</v>
      </c>
      <c r="F1592" s="566" t="s">
        <v>554</v>
      </c>
      <c r="G1592" s="567">
        <v>13</v>
      </c>
      <c r="H1592" s="566" t="s">
        <v>1229</v>
      </c>
      <c r="I1592" s="568">
        <v>2</v>
      </c>
      <c r="J1592" s="569">
        <v>22</v>
      </c>
      <c r="K1592" s="569">
        <v>22</v>
      </c>
      <c r="L1592" s="569">
        <v>17</v>
      </c>
      <c r="M1592" s="566" t="s">
        <v>476</v>
      </c>
      <c r="N1592" s="570">
        <v>197</v>
      </c>
      <c r="O1592" s="566"/>
      <c r="P1592" s="566" t="s">
        <v>477</v>
      </c>
      <c r="Q1592" s="568">
        <v>909678</v>
      </c>
      <c r="R1592" s="568">
        <v>1</v>
      </c>
      <c r="S1592" s="566" t="s">
        <v>1387</v>
      </c>
      <c r="T1592" s="582" t="s">
        <v>257</v>
      </c>
      <c r="U1592" s="582" t="s">
        <v>670</v>
      </c>
      <c r="V1592" s="582" t="s">
        <v>539</v>
      </c>
      <c r="W1592" s="583" t="s">
        <v>577</v>
      </c>
      <c r="X1592" s="582" t="s">
        <v>1380</v>
      </c>
      <c r="Y1592" s="582" t="s">
        <v>1338</v>
      </c>
      <c r="Z1592" s="584" t="s">
        <v>1228</v>
      </c>
      <c r="AA1592" s="585">
        <v>197</v>
      </c>
      <c r="AB1592" s="582">
        <v>260096</v>
      </c>
    </row>
    <row r="1593" spans="1:28" hidden="1">
      <c r="A1593" s="566" t="s">
        <v>1335</v>
      </c>
      <c r="B1593" s="566" t="s">
        <v>466</v>
      </c>
      <c r="C1593" s="566" t="s">
        <v>553</v>
      </c>
      <c r="D1593" s="566" t="s">
        <v>472</v>
      </c>
      <c r="E1593" s="566" t="s">
        <v>473</v>
      </c>
      <c r="F1593" s="566" t="s">
        <v>554</v>
      </c>
      <c r="G1593" s="567">
        <v>13</v>
      </c>
      <c r="H1593" s="566" t="s">
        <v>211</v>
      </c>
      <c r="I1593" s="568">
        <v>2</v>
      </c>
      <c r="J1593" s="569">
        <v>22</v>
      </c>
      <c r="K1593" s="569">
        <v>22</v>
      </c>
      <c r="L1593" s="569">
        <v>17</v>
      </c>
      <c r="M1593" s="566" t="s">
        <v>476</v>
      </c>
      <c r="N1593" s="570">
        <v>221</v>
      </c>
      <c r="O1593" s="566"/>
      <c r="P1593" s="566" t="s">
        <v>477</v>
      </c>
      <c r="Q1593" s="568">
        <v>909678</v>
      </c>
      <c r="R1593" s="568">
        <v>2</v>
      </c>
      <c r="S1593" s="566" t="s">
        <v>1388</v>
      </c>
      <c r="T1593" s="582" t="s">
        <v>257</v>
      </c>
      <c r="U1593" s="582" t="s">
        <v>670</v>
      </c>
      <c r="V1593" s="582" t="s">
        <v>539</v>
      </c>
      <c r="W1593" s="583" t="s">
        <v>580</v>
      </c>
      <c r="X1593" s="582" t="s">
        <v>1380</v>
      </c>
      <c r="Y1593" s="582" t="s">
        <v>1338</v>
      </c>
      <c r="Z1593" s="584" t="s">
        <v>1230</v>
      </c>
      <c r="AA1593" s="585">
        <v>221</v>
      </c>
      <c r="AB1593" s="582">
        <v>260120</v>
      </c>
    </row>
    <row r="1594" spans="1:28" hidden="1">
      <c r="A1594" s="566" t="s">
        <v>1335</v>
      </c>
      <c r="B1594" s="566" t="s">
        <v>466</v>
      </c>
      <c r="C1594" s="566" t="s">
        <v>553</v>
      </c>
      <c r="D1594" s="566" t="s">
        <v>472</v>
      </c>
      <c r="E1594" s="566" t="s">
        <v>473</v>
      </c>
      <c r="F1594" s="566" t="s">
        <v>554</v>
      </c>
      <c r="G1594" s="567">
        <v>16</v>
      </c>
      <c r="H1594" s="566" t="s">
        <v>1232</v>
      </c>
      <c r="I1594" s="568">
        <v>2</v>
      </c>
      <c r="J1594" s="569">
        <v>22</v>
      </c>
      <c r="K1594" s="569">
        <v>22</v>
      </c>
      <c r="L1594" s="569">
        <v>17</v>
      </c>
      <c r="M1594" s="566" t="s">
        <v>476</v>
      </c>
      <c r="N1594" s="570">
        <v>245</v>
      </c>
      <c r="O1594" s="566"/>
      <c r="P1594" s="566" t="s">
        <v>477</v>
      </c>
      <c r="Q1594" s="568">
        <v>909678</v>
      </c>
      <c r="R1594" s="568">
        <v>12</v>
      </c>
      <c r="S1594" s="566" t="s">
        <v>1389</v>
      </c>
      <c r="T1594" s="582" t="s">
        <v>257</v>
      </c>
      <c r="U1594" s="582" t="s">
        <v>670</v>
      </c>
      <c r="V1594" s="582" t="s">
        <v>539</v>
      </c>
      <c r="W1594" s="583" t="s">
        <v>583</v>
      </c>
      <c r="X1594" s="582" t="s">
        <v>1380</v>
      </c>
      <c r="Y1594" s="582" t="s">
        <v>1338</v>
      </c>
      <c r="Z1594" s="584" t="s">
        <v>1231</v>
      </c>
      <c r="AA1594" s="585">
        <v>245</v>
      </c>
      <c r="AB1594" s="582">
        <v>260144</v>
      </c>
    </row>
    <row r="1595" spans="1:28" hidden="1">
      <c r="A1595" s="566" t="s">
        <v>1335</v>
      </c>
      <c r="B1595" s="566" t="s">
        <v>466</v>
      </c>
      <c r="C1595" s="566" t="s">
        <v>553</v>
      </c>
      <c r="D1595" s="566" t="s">
        <v>472</v>
      </c>
      <c r="E1595" s="566" t="s">
        <v>473</v>
      </c>
      <c r="F1595" s="566" t="s">
        <v>554</v>
      </c>
      <c r="G1595" s="567">
        <v>16</v>
      </c>
      <c r="H1595" s="566" t="s">
        <v>473</v>
      </c>
      <c r="I1595" s="568">
        <v>2</v>
      </c>
      <c r="J1595" s="569">
        <v>22</v>
      </c>
      <c r="K1595" s="569">
        <v>22</v>
      </c>
      <c r="L1595" s="569">
        <v>17</v>
      </c>
      <c r="M1595" s="566" t="s">
        <v>476</v>
      </c>
      <c r="N1595" s="570">
        <v>269</v>
      </c>
      <c r="O1595" s="566"/>
      <c r="P1595" s="566" t="s">
        <v>477</v>
      </c>
      <c r="Q1595" s="568">
        <v>909678</v>
      </c>
      <c r="R1595" s="568">
        <v>3</v>
      </c>
      <c r="S1595" s="566" t="s">
        <v>1390</v>
      </c>
      <c r="T1595" s="582" t="s">
        <v>257</v>
      </c>
      <c r="U1595" s="582" t="s">
        <v>670</v>
      </c>
      <c r="V1595" s="582" t="s">
        <v>539</v>
      </c>
      <c r="W1595" s="583" t="s">
        <v>586</v>
      </c>
      <c r="X1595" s="582" t="s">
        <v>1380</v>
      </c>
      <c r="Y1595" s="582" t="s">
        <v>1338</v>
      </c>
      <c r="Z1595" s="584" t="s">
        <v>1233</v>
      </c>
      <c r="AA1595" s="585">
        <v>269</v>
      </c>
      <c r="AB1595" s="582">
        <v>260168</v>
      </c>
    </row>
    <row r="1596" spans="1:28" hidden="1">
      <c r="A1596" s="566" t="s">
        <v>1335</v>
      </c>
      <c r="B1596" s="566" t="s">
        <v>466</v>
      </c>
      <c r="C1596" s="566" t="s">
        <v>553</v>
      </c>
      <c r="D1596" s="566" t="s">
        <v>472</v>
      </c>
      <c r="E1596" s="566" t="s">
        <v>473</v>
      </c>
      <c r="F1596" s="566" t="s">
        <v>554</v>
      </c>
      <c r="G1596" s="567">
        <v>16</v>
      </c>
      <c r="H1596" s="566" t="s">
        <v>1235</v>
      </c>
      <c r="I1596" s="568">
        <v>2</v>
      </c>
      <c r="J1596" s="569">
        <v>22</v>
      </c>
      <c r="K1596" s="569">
        <v>22</v>
      </c>
      <c r="L1596" s="569">
        <v>17</v>
      </c>
      <c r="M1596" s="566" t="s">
        <v>476</v>
      </c>
      <c r="N1596" s="570">
        <v>293</v>
      </c>
      <c r="O1596" s="566"/>
      <c r="P1596" s="566" t="s">
        <v>477</v>
      </c>
      <c r="Q1596" s="568">
        <v>909678</v>
      </c>
      <c r="R1596" s="568">
        <v>13</v>
      </c>
      <c r="S1596" s="566" t="s">
        <v>1391</v>
      </c>
      <c r="T1596" s="582" t="s">
        <v>257</v>
      </c>
      <c r="U1596" s="582" t="s">
        <v>670</v>
      </c>
      <c r="V1596" s="582" t="s">
        <v>539</v>
      </c>
      <c r="W1596" s="583" t="s">
        <v>589</v>
      </c>
      <c r="X1596" s="582" t="s">
        <v>1380</v>
      </c>
      <c r="Y1596" s="582" t="s">
        <v>1338</v>
      </c>
      <c r="Z1596" s="584" t="s">
        <v>1234</v>
      </c>
      <c r="AA1596" s="585">
        <v>293</v>
      </c>
      <c r="AB1596" s="582">
        <v>260192</v>
      </c>
    </row>
    <row r="1597" spans="1:28" hidden="1">
      <c r="A1597" s="566" t="s">
        <v>1335</v>
      </c>
      <c r="B1597" s="566" t="s">
        <v>466</v>
      </c>
      <c r="C1597" s="566" t="s">
        <v>471</v>
      </c>
      <c r="D1597" s="566" t="s">
        <v>472</v>
      </c>
      <c r="E1597" s="566" t="s">
        <v>473</v>
      </c>
      <c r="F1597" s="566" t="s">
        <v>474</v>
      </c>
      <c r="G1597" s="567">
        <v>0</v>
      </c>
      <c r="H1597" s="566" t="s">
        <v>704</v>
      </c>
      <c r="I1597" s="568">
        <v>2</v>
      </c>
      <c r="J1597" s="569">
        <v>11</v>
      </c>
      <c r="K1597" s="569">
        <v>11</v>
      </c>
      <c r="L1597" s="566"/>
      <c r="M1597" s="566" t="s">
        <v>476</v>
      </c>
      <c r="N1597" s="570">
        <v>344</v>
      </c>
      <c r="O1597" s="566"/>
      <c r="P1597" s="566" t="s">
        <v>477</v>
      </c>
      <c r="Q1597" s="568">
        <v>909678</v>
      </c>
      <c r="R1597" s="568">
        <v>5</v>
      </c>
      <c r="S1597" s="566" t="s">
        <v>1392</v>
      </c>
      <c r="T1597" s="582" t="s">
        <v>253</v>
      </c>
      <c r="U1597" s="582" t="s">
        <v>670</v>
      </c>
      <c r="V1597" s="582" t="s">
        <v>539</v>
      </c>
      <c r="W1597" s="583" t="s">
        <v>509</v>
      </c>
      <c r="X1597" s="582" t="s">
        <v>1380</v>
      </c>
      <c r="Y1597" s="582" t="s">
        <v>1338</v>
      </c>
      <c r="Z1597" s="584" t="s">
        <v>1236</v>
      </c>
      <c r="AA1597" s="585">
        <v>344</v>
      </c>
      <c r="AB1597" s="582"/>
    </row>
    <row r="1598" spans="1:28" hidden="1">
      <c r="A1598" s="566" t="s">
        <v>1335</v>
      </c>
      <c r="B1598" s="566" t="s">
        <v>466</v>
      </c>
      <c r="C1598" s="566" t="s">
        <v>471</v>
      </c>
      <c r="D1598" s="566" t="s">
        <v>472</v>
      </c>
      <c r="E1598" s="566" t="s">
        <v>473</v>
      </c>
      <c r="F1598" s="566" t="s">
        <v>474</v>
      </c>
      <c r="G1598" s="567">
        <v>0</v>
      </c>
      <c r="H1598" s="566" t="s">
        <v>706</v>
      </c>
      <c r="I1598" s="568">
        <v>2</v>
      </c>
      <c r="J1598" s="569">
        <v>11</v>
      </c>
      <c r="K1598" s="569">
        <v>11</v>
      </c>
      <c r="L1598" s="566"/>
      <c r="M1598" s="566" t="s">
        <v>476</v>
      </c>
      <c r="N1598" s="570">
        <v>380</v>
      </c>
      <c r="O1598" s="566"/>
      <c r="P1598" s="566" t="s">
        <v>477</v>
      </c>
      <c r="Q1598" s="568">
        <v>909678</v>
      </c>
      <c r="R1598" s="568">
        <v>6</v>
      </c>
      <c r="S1598" s="566" t="s">
        <v>1393</v>
      </c>
      <c r="T1598" s="582" t="s">
        <v>253</v>
      </c>
      <c r="U1598" s="582" t="s">
        <v>670</v>
      </c>
      <c r="V1598" s="582" t="s">
        <v>539</v>
      </c>
      <c r="W1598" s="583" t="s">
        <v>512</v>
      </c>
      <c r="X1598" s="582" t="s">
        <v>1380</v>
      </c>
      <c r="Y1598" s="582" t="s">
        <v>1338</v>
      </c>
      <c r="Z1598" s="584" t="s">
        <v>1237</v>
      </c>
      <c r="AA1598" s="585">
        <v>380</v>
      </c>
      <c r="AB1598" s="582"/>
    </row>
    <row r="1599" spans="1:28" hidden="1">
      <c r="A1599" s="566" t="s">
        <v>1335</v>
      </c>
      <c r="B1599" s="566" t="s">
        <v>466</v>
      </c>
      <c r="C1599" s="566" t="s">
        <v>471</v>
      </c>
      <c r="D1599" s="566" t="s">
        <v>472</v>
      </c>
      <c r="E1599" s="566" t="s">
        <v>473</v>
      </c>
      <c r="F1599" s="566" t="s">
        <v>474</v>
      </c>
      <c r="G1599" s="567">
        <v>0</v>
      </c>
      <c r="H1599" s="566" t="s">
        <v>708</v>
      </c>
      <c r="I1599" s="568">
        <v>2</v>
      </c>
      <c r="J1599" s="569">
        <v>11</v>
      </c>
      <c r="K1599" s="569">
        <v>11</v>
      </c>
      <c r="L1599" s="566"/>
      <c r="M1599" s="566" t="s">
        <v>476</v>
      </c>
      <c r="N1599" s="570">
        <v>416</v>
      </c>
      <c r="O1599" s="566"/>
      <c r="P1599" s="566" t="s">
        <v>477</v>
      </c>
      <c r="Q1599" s="568">
        <v>909678</v>
      </c>
      <c r="R1599" s="568">
        <v>14</v>
      </c>
      <c r="S1599" s="566" t="s">
        <v>1394</v>
      </c>
      <c r="T1599" s="582" t="s">
        <v>253</v>
      </c>
      <c r="U1599" s="582" t="s">
        <v>670</v>
      </c>
      <c r="V1599" s="582" t="s">
        <v>539</v>
      </c>
      <c r="W1599" s="583" t="s">
        <v>514</v>
      </c>
      <c r="X1599" s="582" t="s">
        <v>1380</v>
      </c>
      <c r="Y1599" s="582" t="s">
        <v>1338</v>
      </c>
      <c r="Z1599" s="584" t="s">
        <v>1238</v>
      </c>
      <c r="AA1599" s="585">
        <v>416</v>
      </c>
      <c r="AB1599" s="582"/>
    </row>
    <row r="1600" spans="1:28" hidden="1">
      <c r="A1600" s="566" t="s">
        <v>1335</v>
      </c>
      <c r="B1600" s="566" t="s">
        <v>466</v>
      </c>
      <c r="C1600" s="566" t="s">
        <v>471</v>
      </c>
      <c r="D1600" s="566" t="s">
        <v>472</v>
      </c>
      <c r="E1600" s="566" t="s">
        <v>473</v>
      </c>
      <c r="F1600" s="566" t="s">
        <v>474</v>
      </c>
      <c r="G1600" s="567">
        <v>0</v>
      </c>
      <c r="H1600" s="566" t="s">
        <v>677</v>
      </c>
      <c r="I1600" s="568">
        <v>2</v>
      </c>
      <c r="J1600" s="569">
        <v>35</v>
      </c>
      <c r="K1600" s="569">
        <v>35</v>
      </c>
      <c r="L1600" s="566"/>
      <c r="M1600" s="566" t="s">
        <v>476</v>
      </c>
      <c r="N1600" s="570">
        <v>1352</v>
      </c>
      <c r="O1600" s="566"/>
      <c r="P1600" s="566" t="s">
        <v>477</v>
      </c>
      <c r="Q1600" s="568">
        <v>909678</v>
      </c>
      <c r="R1600" s="568">
        <v>34</v>
      </c>
      <c r="S1600" s="566" t="s">
        <v>1395</v>
      </c>
      <c r="T1600" s="582" t="s">
        <v>253</v>
      </c>
      <c r="U1600" s="582" t="s">
        <v>670</v>
      </c>
      <c r="V1600" s="582" t="s">
        <v>539</v>
      </c>
      <c r="W1600" s="583" t="s">
        <v>1274</v>
      </c>
      <c r="X1600" s="582" t="s">
        <v>1380</v>
      </c>
      <c r="Y1600" s="582" t="s">
        <v>1367</v>
      </c>
      <c r="Z1600" s="584" t="s">
        <v>2462</v>
      </c>
      <c r="AA1600" s="585">
        <v>1352</v>
      </c>
      <c r="AB1600" s="582"/>
    </row>
    <row r="1601" spans="1:28" hidden="1">
      <c r="A1601" s="566" t="s">
        <v>1335</v>
      </c>
      <c r="B1601" s="566" t="s">
        <v>466</v>
      </c>
      <c r="C1601" s="566" t="s">
        <v>471</v>
      </c>
      <c r="D1601" s="566" t="s">
        <v>472</v>
      </c>
      <c r="E1601" s="566" t="s">
        <v>473</v>
      </c>
      <c r="F1601" s="566" t="s">
        <v>474</v>
      </c>
      <c r="G1601" s="567">
        <v>0</v>
      </c>
      <c r="H1601" s="566" t="s">
        <v>680</v>
      </c>
      <c r="I1601" s="568">
        <v>2</v>
      </c>
      <c r="J1601" s="569">
        <v>35</v>
      </c>
      <c r="K1601" s="569">
        <v>35</v>
      </c>
      <c r="L1601" s="566"/>
      <c r="M1601" s="566" t="s">
        <v>476</v>
      </c>
      <c r="N1601" s="570">
        <v>1388</v>
      </c>
      <c r="O1601" s="566"/>
      <c r="P1601" s="566" t="s">
        <v>477</v>
      </c>
      <c r="Q1601" s="568">
        <v>909678</v>
      </c>
      <c r="R1601" s="568">
        <v>35</v>
      </c>
      <c r="S1601" s="566" t="s">
        <v>1397</v>
      </c>
      <c r="T1601" s="582" t="s">
        <v>253</v>
      </c>
      <c r="U1601" s="582" t="s">
        <v>670</v>
      </c>
      <c r="V1601" s="582" t="s">
        <v>539</v>
      </c>
      <c r="W1601" s="583" t="s">
        <v>1275</v>
      </c>
      <c r="X1601" s="582" t="s">
        <v>1380</v>
      </c>
      <c r="Y1601" s="582" t="s">
        <v>1367</v>
      </c>
      <c r="Z1601" s="584" t="s">
        <v>2463</v>
      </c>
      <c r="AA1601" s="585">
        <v>1388</v>
      </c>
      <c r="AB1601" s="582"/>
    </row>
    <row r="1602" spans="1:28" hidden="1">
      <c r="A1602" s="566" t="s">
        <v>1335</v>
      </c>
      <c r="B1602" s="566" t="s">
        <v>466</v>
      </c>
      <c r="C1602" s="566" t="s">
        <v>487</v>
      </c>
      <c r="D1602" s="566" t="s">
        <v>472</v>
      </c>
      <c r="E1602" s="566" t="s">
        <v>473</v>
      </c>
      <c r="F1602" s="566" t="s">
        <v>489</v>
      </c>
      <c r="G1602" s="567">
        <v>50</v>
      </c>
      <c r="H1602" s="566" t="s">
        <v>689</v>
      </c>
      <c r="I1602" s="568">
        <v>2</v>
      </c>
      <c r="J1602" s="569">
        <v>35</v>
      </c>
      <c r="K1602" s="569">
        <v>35</v>
      </c>
      <c r="L1602" s="566"/>
      <c r="M1602" s="566" t="s">
        <v>476</v>
      </c>
      <c r="N1602" s="570">
        <v>1424</v>
      </c>
      <c r="O1602" s="566"/>
      <c r="P1602" s="566" t="s">
        <v>477</v>
      </c>
      <c r="Q1602" s="568">
        <v>909678</v>
      </c>
      <c r="R1602" s="568">
        <v>37</v>
      </c>
      <c r="S1602" s="566" t="s">
        <v>1399</v>
      </c>
      <c r="T1602" s="582" t="s">
        <v>253</v>
      </c>
      <c r="U1602" s="582" t="s">
        <v>670</v>
      </c>
      <c r="V1602" s="582" t="s">
        <v>539</v>
      </c>
      <c r="W1602" s="583" t="s">
        <v>1276</v>
      </c>
      <c r="X1602" s="582" t="s">
        <v>1380</v>
      </c>
      <c r="Y1602" s="582" t="s">
        <v>1367</v>
      </c>
      <c r="Z1602" s="584" t="s">
        <v>2464</v>
      </c>
      <c r="AA1602" s="585">
        <v>1424</v>
      </c>
      <c r="AB1602" s="582"/>
    </row>
    <row r="1603" spans="1:28" hidden="1">
      <c r="A1603" s="566" t="s">
        <v>1335</v>
      </c>
      <c r="B1603" s="566" t="s">
        <v>466</v>
      </c>
      <c r="C1603" s="566" t="s">
        <v>487</v>
      </c>
      <c r="D1603" s="566" t="s">
        <v>472</v>
      </c>
      <c r="E1603" s="566" t="s">
        <v>473</v>
      </c>
      <c r="F1603" s="566" t="s">
        <v>489</v>
      </c>
      <c r="G1603" s="567">
        <v>50</v>
      </c>
      <c r="H1603" s="566" t="s">
        <v>692</v>
      </c>
      <c r="I1603" s="568">
        <v>2</v>
      </c>
      <c r="J1603" s="569">
        <v>35</v>
      </c>
      <c r="K1603" s="569">
        <v>35</v>
      </c>
      <c r="L1603" s="566"/>
      <c r="M1603" s="566" t="s">
        <v>476</v>
      </c>
      <c r="N1603" s="570">
        <v>1460</v>
      </c>
      <c r="O1603" s="566"/>
      <c r="P1603" s="566" t="s">
        <v>477</v>
      </c>
      <c r="Q1603" s="568">
        <v>909678</v>
      </c>
      <c r="R1603" s="568">
        <v>38</v>
      </c>
      <c r="S1603" s="566" t="s">
        <v>1401</v>
      </c>
      <c r="T1603" s="582" t="s">
        <v>253</v>
      </c>
      <c r="U1603" s="582" t="s">
        <v>670</v>
      </c>
      <c r="V1603" s="582" t="s">
        <v>539</v>
      </c>
      <c r="W1603" s="583" t="s">
        <v>1277</v>
      </c>
      <c r="X1603" s="582" t="s">
        <v>1380</v>
      </c>
      <c r="Y1603" s="582" t="s">
        <v>1367</v>
      </c>
      <c r="Z1603" s="584" t="s">
        <v>2465</v>
      </c>
      <c r="AA1603" s="585">
        <v>1460</v>
      </c>
      <c r="AB1603" s="582"/>
    </row>
    <row r="1604" spans="1:28" hidden="1">
      <c r="A1604" s="566" t="s">
        <v>1335</v>
      </c>
      <c r="B1604" s="566" t="s">
        <v>466</v>
      </c>
      <c r="C1604" s="566" t="s">
        <v>471</v>
      </c>
      <c r="D1604" s="566" t="s">
        <v>472</v>
      </c>
      <c r="E1604" s="566" t="s">
        <v>473</v>
      </c>
      <c r="F1604" s="566" t="s">
        <v>474</v>
      </c>
      <c r="G1604" s="567">
        <v>0</v>
      </c>
      <c r="H1604" s="566" t="s">
        <v>2117</v>
      </c>
      <c r="I1604" s="568">
        <v>2</v>
      </c>
      <c r="J1604" s="569">
        <v>35</v>
      </c>
      <c r="K1604" s="569">
        <v>35</v>
      </c>
      <c r="L1604" s="566"/>
      <c r="M1604" s="566" t="s">
        <v>476</v>
      </c>
      <c r="N1604" s="570">
        <v>1496</v>
      </c>
      <c r="O1604" s="566"/>
      <c r="P1604" s="566" t="s">
        <v>477</v>
      </c>
      <c r="Q1604" s="568">
        <v>909678</v>
      </c>
      <c r="R1604" s="568">
        <v>36</v>
      </c>
      <c r="S1604" s="566" t="s">
        <v>1403</v>
      </c>
      <c r="T1604" s="582" t="s">
        <v>253</v>
      </c>
      <c r="U1604" s="582" t="s">
        <v>670</v>
      </c>
      <c r="V1604" s="582" t="s">
        <v>539</v>
      </c>
      <c r="W1604" s="583" t="s">
        <v>1354</v>
      </c>
      <c r="X1604" s="582" t="s">
        <v>1380</v>
      </c>
      <c r="Y1604" s="582" t="s">
        <v>1367</v>
      </c>
      <c r="Z1604" s="584" t="s">
        <v>2466</v>
      </c>
      <c r="AA1604" s="585">
        <v>1496</v>
      </c>
      <c r="AB1604" s="582"/>
    </row>
    <row r="1605" spans="1:28" hidden="1">
      <c r="A1605" s="566" t="s">
        <v>1335</v>
      </c>
      <c r="B1605" s="566" t="s">
        <v>466</v>
      </c>
      <c r="C1605" s="566" t="s">
        <v>487</v>
      </c>
      <c r="D1605" s="566" t="s">
        <v>472</v>
      </c>
      <c r="E1605" s="566" t="s">
        <v>473</v>
      </c>
      <c r="F1605" s="566" t="s">
        <v>489</v>
      </c>
      <c r="G1605" s="567">
        <v>50</v>
      </c>
      <c r="H1605" s="566" t="s">
        <v>2119</v>
      </c>
      <c r="I1605" s="568">
        <v>2</v>
      </c>
      <c r="J1605" s="569">
        <v>35</v>
      </c>
      <c r="K1605" s="569">
        <v>35</v>
      </c>
      <c r="L1605" s="566"/>
      <c r="M1605" s="566" t="s">
        <v>476</v>
      </c>
      <c r="N1605" s="570">
        <v>1532</v>
      </c>
      <c r="O1605" s="566"/>
      <c r="P1605" s="566" t="s">
        <v>477</v>
      </c>
      <c r="Q1605" s="568">
        <v>909678</v>
      </c>
      <c r="R1605" s="568">
        <v>39</v>
      </c>
      <c r="S1605" s="566" t="s">
        <v>1405</v>
      </c>
      <c r="T1605" s="582" t="s">
        <v>253</v>
      </c>
      <c r="U1605" s="582" t="s">
        <v>670</v>
      </c>
      <c r="V1605" s="582" t="s">
        <v>539</v>
      </c>
      <c r="W1605" s="583" t="s">
        <v>1358</v>
      </c>
      <c r="X1605" s="582" t="s">
        <v>1380</v>
      </c>
      <c r="Y1605" s="582" t="s">
        <v>1367</v>
      </c>
      <c r="Z1605" s="584" t="s">
        <v>2467</v>
      </c>
      <c r="AA1605" s="585">
        <v>1532</v>
      </c>
      <c r="AB1605" s="582"/>
    </row>
    <row r="1606" spans="1:28" hidden="1">
      <c r="A1606" s="566" t="s">
        <v>1335</v>
      </c>
      <c r="B1606" s="566" t="s">
        <v>466</v>
      </c>
      <c r="C1606" s="566" t="s">
        <v>471</v>
      </c>
      <c r="D1606" s="566" t="s">
        <v>472</v>
      </c>
      <c r="E1606" s="566" t="s">
        <v>473</v>
      </c>
      <c r="F1606" s="566" t="s">
        <v>474</v>
      </c>
      <c r="G1606" s="567">
        <v>0</v>
      </c>
      <c r="H1606" s="566" t="s">
        <v>675</v>
      </c>
      <c r="I1606" s="568">
        <v>2</v>
      </c>
      <c r="J1606" s="569">
        <v>11</v>
      </c>
      <c r="K1606" s="569">
        <v>11</v>
      </c>
      <c r="L1606" s="566"/>
      <c r="M1606" s="566" t="s">
        <v>476</v>
      </c>
      <c r="N1606" s="570">
        <v>452</v>
      </c>
      <c r="O1606" s="566"/>
      <c r="P1606" s="566" t="s">
        <v>477</v>
      </c>
      <c r="Q1606" s="568">
        <v>909678</v>
      </c>
      <c r="R1606" s="568">
        <v>7</v>
      </c>
      <c r="S1606" s="566" t="s">
        <v>1407</v>
      </c>
      <c r="T1606" s="575" t="s">
        <v>1473</v>
      </c>
      <c r="U1606" s="575" t="s">
        <v>670</v>
      </c>
      <c r="V1606" s="575" t="s">
        <v>539</v>
      </c>
      <c r="W1606" s="576" t="s">
        <v>470</v>
      </c>
      <c r="X1606" s="575" t="s">
        <v>1380</v>
      </c>
      <c r="Y1606" s="575" t="s">
        <v>1338</v>
      </c>
      <c r="Z1606" s="576" t="s">
        <v>2468</v>
      </c>
      <c r="AA1606" s="577">
        <v>452</v>
      </c>
      <c r="AB1606" s="575"/>
    </row>
    <row r="1607" spans="1:28" hidden="1">
      <c r="A1607" s="566" t="s">
        <v>1335</v>
      </c>
      <c r="B1607" s="566" t="s">
        <v>466</v>
      </c>
      <c r="C1607" s="566" t="s">
        <v>471</v>
      </c>
      <c r="D1607" s="566" t="s">
        <v>472</v>
      </c>
      <c r="E1607" s="566" t="s">
        <v>473</v>
      </c>
      <c r="F1607" s="566" t="s">
        <v>474</v>
      </c>
      <c r="G1607" s="567">
        <v>0</v>
      </c>
      <c r="H1607" s="566" t="s">
        <v>678</v>
      </c>
      <c r="I1607" s="568">
        <v>2</v>
      </c>
      <c r="J1607" s="569">
        <v>11</v>
      </c>
      <c r="K1607" s="569">
        <v>11</v>
      </c>
      <c r="L1607" s="566"/>
      <c r="M1607" s="566" t="s">
        <v>476</v>
      </c>
      <c r="N1607" s="570">
        <v>524</v>
      </c>
      <c r="O1607" s="566"/>
      <c r="P1607" s="566" t="s">
        <v>477</v>
      </c>
      <c r="Q1607" s="568">
        <v>909678</v>
      </c>
      <c r="R1607" s="568">
        <v>8</v>
      </c>
      <c r="S1607" s="566" t="s">
        <v>1410</v>
      </c>
      <c r="T1607" s="575" t="s">
        <v>1473</v>
      </c>
      <c r="U1607" s="575" t="s">
        <v>670</v>
      </c>
      <c r="V1607" s="575" t="s">
        <v>539</v>
      </c>
      <c r="W1607" s="576" t="s">
        <v>480</v>
      </c>
      <c r="X1607" s="575" t="s">
        <v>1380</v>
      </c>
      <c r="Y1607" s="575" t="s">
        <v>1338</v>
      </c>
      <c r="Z1607" s="576" t="s">
        <v>2469</v>
      </c>
      <c r="AA1607" s="577">
        <v>524</v>
      </c>
      <c r="AB1607" s="575"/>
    </row>
    <row r="1608" spans="1:28" hidden="1">
      <c r="A1608" s="566" t="s">
        <v>1335</v>
      </c>
      <c r="B1608" s="566" t="s">
        <v>466</v>
      </c>
      <c r="C1608" s="566" t="s">
        <v>487</v>
      </c>
      <c r="D1608" s="566" t="s">
        <v>472</v>
      </c>
      <c r="E1608" s="566" t="s">
        <v>473</v>
      </c>
      <c r="F1608" s="566" t="s">
        <v>489</v>
      </c>
      <c r="G1608" s="567">
        <v>50</v>
      </c>
      <c r="H1608" s="566" t="s">
        <v>687</v>
      </c>
      <c r="I1608" s="568">
        <v>2</v>
      </c>
      <c r="J1608" s="569">
        <v>11</v>
      </c>
      <c r="K1608" s="569">
        <v>11</v>
      </c>
      <c r="L1608" s="566"/>
      <c r="M1608" s="566" t="s">
        <v>476</v>
      </c>
      <c r="N1608" s="570">
        <v>704</v>
      </c>
      <c r="O1608" s="566"/>
      <c r="P1608" s="566" t="s">
        <v>477</v>
      </c>
      <c r="Q1608" s="568">
        <v>909678</v>
      </c>
      <c r="R1608" s="568">
        <v>11</v>
      </c>
      <c r="S1608" s="566" t="s">
        <v>1412</v>
      </c>
      <c r="T1608" s="575" t="s">
        <v>1473</v>
      </c>
      <c r="U1608" s="575" t="s">
        <v>670</v>
      </c>
      <c r="V1608" s="575" t="s">
        <v>539</v>
      </c>
      <c r="W1608" s="576" t="s">
        <v>499</v>
      </c>
      <c r="X1608" s="575" t="s">
        <v>1380</v>
      </c>
      <c r="Y1608" s="575" t="s">
        <v>1338</v>
      </c>
      <c r="Z1608" s="576" t="s">
        <v>2470</v>
      </c>
      <c r="AA1608" s="577">
        <v>704</v>
      </c>
      <c r="AB1608" s="575"/>
    </row>
    <row r="1609" spans="1:28" hidden="1">
      <c r="A1609" s="566" t="s">
        <v>1335</v>
      </c>
      <c r="B1609" s="566" t="s">
        <v>466</v>
      </c>
      <c r="C1609" s="566" t="s">
        <v>487</v>
      </c>
      <c r="D1609" s="566" t="s">
        <v>472</v>
      </c>
      <c r="E1609" s="566" t="s">
        <v>473</v>
      </c>
      <c r="F1609" s="566" t="s">
        <v>489</v>
      </c>
      <c r="G1609" s="567">
        <v>50</v>
      </c>
      <c r="H1609" s="566" t="s">
        <v>690</v>
      </c>
      <c r="I1609" s="568">
        <v>2</v>
      </c>
      <c r="J1609" s="569">
        <v>11</v>
      </c>
      <c r="K1609" s="569">
        <v>11</v>
      </c>
      <c r="L1609" s="566"/>
      <c r="M1609" s="566" t="s">
        <v>476</v>
      </c>
      <c r="N1609" s="570">
        <v>776</v>
      </c>
      <c r="O1609" s="566"/>
      <c r="P1609" s="566" t="s">
        <v>477</v>
      </c>
      <c r="Q1609" s="568">
        <v>909678</v>
      </c>
      <c r="R1609" s="568">
        <v>20</v>
      </c>
      <c r="S1609" s="566" t="s">
        <v>1414</v>
      </c>
      <c r="T1609" s="575" t="s">
        <v>1473</v>
      </c>
      <c r="U1609" s="575" t="s">
        <v>670</v>
      </c>
      <c r="V1609" s="575" t="s">
        <v>539</v>
      </c>
      <c r="W1609" s="576" t="s">
        <v>504</v>
      </c>
      <c r="X1609" s="575" t="s">
        <v>1380</v>
      </c>
      <c r="Y1609" s="575" t="s">
        <v>1338</v>
      </c>
      <c r="Z1609" s="576" t="s">
        <v>2471</v>
      </c>
      <c r="AA1609" s="577">
        <v>776</v>
      </c>
      <c r="AB1609" s="575"/>
    </row>
  </sheetData>
  <autoFilter ref="A1:AC1609" xr:uid="{00000000-0009-0000-0000-00000E000000}">
    <filterColumn colId="19">
      <filters>
        <filter val="Active"/>
      </filters>
    </filterColumn>
    <filterColumn colId="20">
      <filters>
        <filter val="NCA"/>
      </filters>
    </filterColumn>
    <filterColumn colId="21">
      <filters>
        <filter val="A"/>
      </filters>
    </filterColumn>
    <filterColumn colId="23">
      <filters>
        <filter val="ADV - Advantage"/>
      </filters>
    </filterColumn>
    <filterColumn colId="24">
      <filters>
        <filter val="-"/>
      </filters>
    </filterColumn>
  </autoFilter>
  <customSheetViews>
    <customSheetView guid="{141C9473-79E8-40AC-A2DD-D2D896AD155D}" showPageBreaks="1" showAutoFilter="1" hiddenColumns="1" topLeftCell="T1">
      <pane ySplit="1" topLeftCell="A14" activePane="bottomLeft" state="frozenSplit"/>
      <selection pane="bottomLeft" activeCell="T3" sqref="T3"/>
      <pageMargins left="0.75" right="0.75" top="1" bottom="1" header="0.5" footer="0.5"/>
      <pageSetup orientation="portrait" r:id="rId1"/>
      <headerFooter alignWithMargins="0"/>
      <autoFilter ref="A1:AC1609" xr:uid="{00000000-0000-0000-0000-000000000000}"/>
    </customSheetView>
  </customSheetViews>
  <pageMargins left="0.75" right="0.75" top="1" bottom="1" header="0.5" footer="0.5"/>
  <pageSetup orientation="portrait" r:id="rId2"/>
  <headerFooter alignWithMargins="0"/>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B050"/>
  </sheetPr>
  <dimension ref="A1:O115"/>
  <sheetViews>
    <sheetView showGridLines="0" topLeftCell="A46" workbookViewId="0">
      <selection activeCell="E62" sqref="E62"/>
    </sheetView>
  </sheetViews>
  <sheetFormatPr defaultColWidth="12" defaultRowHeight="36" customHeight="1"/>
  <cols>
    <col min="1" max="1" width="8.875" style="1105" customWidth="1"/>
    <col min="2" max="2" width="12" style="1105"/>
    <col min="3" max="3" width="24.125" style="1105" customWidth="1"/>
    <col min="4" max="5" width="35.875" style="1105" customWidth="1"/>
    <col min="6" max="6" width="12" style="1105"/>
    <col min="7" max="7" width="0" style="1105" hidden="1" customWidth="1"/>
    <col min="8" max="8" width="12" style="1105"/>
    <col min="9" max="10" width="0" style="1105" hidden="1" customWidth="1"/>
    <col min="11" max="11" width="12" style="1105" hidden="1" customWidth="1"/>
    <col min="12" max="12" width="4.375" style="1105" customWidth="1"/>
    <col min="13" max="13" width="12" style="1105"/>
    <col min="14" max="14" width="3.625" style="1105" customWidth="1"/>
    <col min="15" max="15" width="37.125" style="1106" customWidth="1"/>
    <col min="16" max="16384" width="12" style="1105"/>
  </cols>
  <sheetData>
    <row r="1" spans="1:15" ht="36" hidden="1" customHeight="1">
      <c r="A1" s="1104" t="s">
        <v>4382</v>
      </c>
    </row>
    <row r="2" spans="1:15" ht="36" hidden="1" customHeight="1"/>
    <row r="3" spans="1:15" s="1108" customFormat="1" ht="36" customHeight="1">
      <c r="A3" s="1107" t="s">
        <v>3647</v>
      </c>
      <c r="O3" s="1109"/>
    </row>
    <row r="4" spans="1:15" ht="36" hidden="1" customHeight="1"/>
    <row r="5" spans="1:15" ht="36" customHeight="1">
      <c r="A5" s="1110"/>
      <c r="B5" s="1111" t="s">
        <v>4383</v>
      </c>
      <c r="C5" s="1112" t="s">
        <v>4384</v>
      </c>
      <c r="D5" s="1112" t="s">
        <v>4385</v>
      </c>
      <c r="E5" s="1161" t="s">
        <v>4494</v>
      </c>
      <c r="F5" s="1112" t="s">
        <v>4386</v>
      </c>
      <c r="G5" s="1111" t="s">
        <v>4387</v>
      </c>
      <c r="H5" s="1111" t="s">
        <v>4388</v>
      </c>
      <c r="I5" s="1112" t="s">
        <v>4389</v>
      </c>
      <c r="J5" s="1112" t="s">
        <v>4390</v>
      </c>
      <c r="K5" s="1112" t="s">
        <v>4391</v>
      </c>
      <c r="M5" s="1111" t="s">
        <v>3646</v>
      </c>
      <c r="O5" s="1113" t="s">
        <v>3956</v>
      </c>
    </row>
    <row r="6" spans="1:15" ht="36" customHeight="1">
      <c r="A6" s="1114"/>
      <c r="B6" s="1115" t="s">
        <v>4392</v>
      </c>
      <c r="C6" s="1116" t="s">
        <v>4393</v>
      </c>
      <c r="D6" s="1117" t="s">
        <v>3999</v>
      </c>
      <c r="E6" s="1159" t="s">
        <v>3999</v>
      </c>
      <c r="F6" s="1118">
        <v>1</v>
      </c>
      <c r="G6" s="1119" t="s">
        <v>4394</v>
      </c>
      <c r="H6" s="1120" t="s">
        <v>4395</v>
      </c>
      <c r="I6" s="1120" t="s">
        <v>85</v>
      </c>
      <c r="J6" s="1120" t="s">
        <v>113</v>
      </c>
      <c r="K6" s="1120" t="s">
        <v>113</v>
      </c>
      <c r="M6" s="1121">
        <v>43466</v>
      </c>
      <c r="O6" s="1116" t="s">
        <v>4396</v>
      </c>
    </row>
    <row r="7" spans="1:15" ht="36" customHeight="1">
      <c r="A7" s="1114"/>
      <c r="B7" s="1115" t="s">
        <v>4392</v>
      </c>
      <c r="C7" s="1116" t="s">
        <v>4397</v>
      </c>
      <c r="D7" s="1117" t="s">
        <v>3965</v>
      </c>
      <c r="E7" s="1159" t="s">
        <v>3965</v>
      </c>
      <c r="F7" s="1118">
        <v>2</v>
      </c>
      <c r="G7" s="1119" t="s">
        <v>4394</v>
      </c>
      <c r="H7" s="1120" t="s">
        <v>4395</v>
      </c>
      <c r="I7" s="1120" t="s">
        <v>85</v>
      </c>
      <c r="J7" s="1120" t="s">
        <v>113</v>
      </c>
      <c r="K7" s="1120" t="s">
        <v>113</v>
      </c>
      <c r="M7" s="1121">
        <v>43466</v>
      </c>
      <c r="O7" s="1116" t="s">
        <v>4396</v>
      </c>
    </row>
    <row r="8" spans="1:15" ht="36" customHeight="1">
      <c r="A8" s="1114"/>
      <c r="B8" s="1115" t="s">
        <v>4392</v>
      </c>
      <c r="C8" s="1116" t="s">
        <v>4398</v>
      </c>
      <c r="D8" s="1117" t="s">
        <v>4044</v>
      </c>
      <c r="E8" s="1159" t="s">
        <v>4044</v>
      </c>
      <c r="F8" s="1118">
        <v>3</v>
      </c>
      <c r="G8" s="1119" t="s">
        <v>4394</v>
      </c>
      <c r="H8" s="1120" t="s">
        <v>4395</v>
      </c>
      <c r="I8" s="1120" t="s">
        <v>85</v>
      </c>
      <c r="J8" s="1120" t="s">
        <v>113</v>
      </c>
      <c r="K8" s="1120" t="s">
        <v>113</v>
      </c>
      <c r="M8" s="1121">
        <v>43466</v>
      </c>
      <c r="O8" s="1116" t="s">
        <v>4396</v>
      </c>
    </row>
    <row r="9" spans="1:15" ht="36" customHeight="1">
      <c r="A9" s="1114"/>
      <c r="B9" s="1115" t="s">
        <v>4392</v>
      </c>
      <c r="C9" s="1116" t="s">
        <v>4399</v>
      </c>
      <c r="D9" s="1117" t="s">
        <v>4400</v>
      </c>
      <c r="E9" s="1159" t="s">
        <v>4039</v>
      </c>
      <c r="F9" s="1118">
        <v>4</v>
      </c>
      <c r="G9" s="1119" t="s">
        <v>4394</v>
      </c>
      <c r="H9" s="1120" t="s">
        <v>4395</v>
      </c>
      <c r="I9" s="1120" t="s">
        <v>85</v>
      </c>
      <c r="J9" s="1120" t="s">
        <v>113</v>
      </c>
      <c r="K9" s="1120" t="s">
        <v>113</v>
      </c>
      <c r="M9" s="1121">
        <v>43466</v>
      </c>
      <c r="O9" s="1116" t="s">
        <v>4401</v>
      </c>
    </row>
    <row r="10" spans="1:15" ht="36" customHeight="1">
      <c r="A10" s="1114"/>
      <c r="B10" s="1115" t="s">
        <v>4392</v>
      </c>
      <c r="C10" s="1116" t="s">
        <v>4402</v>
      </c>
      <c r="D10" s="1117" t="s">
        <v>3970</v>
      </c>
      <c r="E10" s="1159" t="s">
        <v>3970</v>
      </c>
      <c r="F10" s="1118">
        <v>5</v>
      </c>
      <c r="G10" s="1119" t="s">
        <v>4394</v>
      </c>
      <c r="H10" s="1120" t="s">
        <v>4395</v>
      </c>
      <c r="I10" s="1120" t="s">
        <v>85</v>
      </c>
      <c r="J10" s="1120" t="s">
        <v>113</v>
      </c>
      <c r="K10" s="1120" t="s">
        <v>113</v>
      </c>
      <c r="M10" s="1121">
        <v>43466</v>
      </c>
      <c r="O10" s="1116" t="s">
        <v>4401</v>
      </c>
    </row>
    <row r="11" spans="1:15" ht="36" customHeight="1">
      <c r="A11" s="1114"/>
      <c r="B11" s="1115" t="s">
        <v>4392</v>
      </c>
      <c r="C11" s="1116" t="s">
        <v>4403</v>
      </c>
      <c r="D11" s="1117" t="s">
        <v>4404</v>
      </c>
      <c r="E11" s="1159" t="s">
        <v>4404</v>
      </c>
      <c r="F11" s="1118">
        <v>6</v>
      </c>
      <c r="G11" s="1119" t="s">
        <v>4394</v>
      </c>
      <c r="H11" s="1120" t="s">
        <v>4395</v>
      </c>
      <c r="I11" s="1120" t="s">
        <v>85</v>
      </c>
      <c r="J11" s="1120" t="s">
        <v>113</v>
      </c>
      <c r="K11" s="1120" t="s">
        <v>113</v>
      </c>
      <c r="M11" s="1121">
        <v>43466</v>
      </c>
      <c r="O11" s="1116" t="s">
        <v>4401</v>
      </c>
    </row>
    <row r="12" spans="1:15" ht="36" customHeight="1">
      <c r="A12" s="1114"/>
      <c r="B12" s="1115" t="s">
        <v>4392</v>
      </c>
      <c r="C12" s="1116" t="s">
        <v>4405</v>
      </c>
      <c r="D12" s="1117" t="s">
        <v>4002</v>
      </c>
      <c r="E12" s="1159" t="s">
        <v>4002</v>
      </c>
      <c r="F12" s="1118">
        <v>7</v>
      </c>
      <c r="G12" s="1119" t="s">
        <v>4394</v>
      </c>
      <c r="H12" s="1120" t="s">
        <v>4395</v>
      </c>
      <c r="I12" s="1120" t="s">
        <v>85</v>
      </c>
      <c r="J12" s="1120" t="s">
        <v>113</v>
      </c>
      <c r="K12" s="1120" t="s">
        <v>113</v>
      </c>
      <c r="M12" s="1121">
        <v>43466</v>
      </c>
      <c r="O12" s="1118"/>
    </row>
    <row r="13" spans="1:15" ht="36" customHeight="1">
      <c r="A13" s="1114"/>
      <c r="B13" s="1115" t="s">
        <v>4392</v>
      </c>
      <c r="C13" s="1116" t="s">
        <v>4406</v>
      </c>
      <c r="D13" s="1117" t="s">
        <v>4007</v>
      </c>
      <c r="E13" s="1159" t="s">
        <v>4007</v>
      </c>
      <c r="F13" s="1118">
        <v>8</v>
      </c>
      <c r="G13" s="1119" t="s">
        <v>4394</v>
      </c>
      <c r="H13" s="1120" t="s">
        <v>4395</v>
      </c>
      <c r="I13" s="1120" t="s">
        <v>85</v>
      </c>
      <c r="J13" s="1120" t="s">
        <v>113</v>
      </c>
      <c r="K13" s="1120" t="s">
        <v>113</v>
      </c>
      <c r="M13" s="1121">
        <v>43466</v>
      </c>
      <c r="O13" s="1118"/>
    </row>
    <row r="14" spans="1:15" ht="36" customHeight="1">
      <c r="A14" s="1114"/>
      <c r="B14" s="1115" t="s">
        <v>4392</v>
      </c>
      <c r="C14" s="1116" t="s">
        <v>4407</v>
      </c>
      <c r="D14" s="1117" t="s">
        <v>3975</v>
      </c>
      <c r="E14" s="1159" t="s">
        <v>3975</v>
      </c>
      <c r="F14" s="1118">
        <v>9</v>
      </c>
      <c r="G14" s="1119" t="s">
        <v>4394</v>
      </c>
      <c r="H14" s="1120" t="s">
        <v>4395</v>
      </c>
      <c r="I14" s="1120" t="s">
        <v>85</v>
      </c>
      <c r="J14" s="1120" t="s">
        <v>113</v>
      </c>
      <c r="K14" s="1120" t="s">
        <v>113</v>
      </c>
      <c r="M14" s="1121">
        <v>43466</v>
      </c>
      <c r="O14" s="1118"/>
    </row>
    <row r="15" spans="1:15" ht="36" customHeight="1">
      <c r="A15" s="1114"/>
      <c r="B15" s="1115" t="s">
        <v>4392</v>
      </c>
      <c r="C15" s="1116" t="s">
        <v>4408</v>
      </c>
      <c r="D15" s="1117" t="s">
        <v>4409</v>
      </c>
      <c r="E15" s="1159" t="s">
        <v>3988</v>
      </c>
      <c r="F15" s="1118">
        <v>10</v>
      </c>
      <c r="G15" s="1119" t="s">
        <v>4394</v>
      </c>
      <c r="H15" s="1120" t="s">
        <v>4395</v>
      </c>
      <c r="I15" s="1120" t="s">
        <v>85</v>
      </c>
      <c r="J15" s="1120" t="s">
        <v>113</v>
      </c>
      <c r="K15" s="1120" t="s">
        <v>113</v>
      </c>
      <c r="M15" s="1121">
        <v>43466</v>
      </c>
      <c r="O15" s="1118"/>
    </row>
    <row r="16" spans="1:15" ht="36" customHeight="1">
      <c r="A16" s="1114"/>
      <c r="B16" s="1115" t="s">
        <v>4392</v>
      </c>
      <c r="C16" s="1116" t="s">
        <v>4410</v>
      </c>
      <c r="D16" s="1117" t="s">
        <v>3983</v>
      </c>
      <c r="E16" s="1159" t="s">
        <v>3983</v>
      </c>
      <c r="F16" s="1118">
        <v>11</v>
      </c>
      <c r="G16" s="1119" t="s">
        <v>4394</v>
      </c>
      <c r="H16" s="1120" t="s">
        <v>4395</v>
      </c>
      <c r="I16" s="1120" t="s">
        <v>85</v>
      </c>
      <c r="J16" s="1120" t="s">
        <v>113</v>
      </c>
      <c r="K16" s="1120" t="s">
        <v>113</v>
      </c>
      <c r="M16" s="1121">
        <v>43466</v>
      </c>
      <c r="O16" s="1118"/>
    </row>
    <row r="17" spans="1:15" ht="36" customHeight="1">
      <c r="A17" s="1114"/>
      <c r="B17" s="1115" t="s">
        <v>4392</v>
      </c>
      <c r="C17" s="1116" t="s">
        <v>4411</v>
      </c>
      <c r="D17" s="1117" t="s">
        <v>4412</v>
      </c>
      <c r="E17" s="1159" t="s">
        <v>4412</v>
      </c>
      <c r="F17" s="1118">
        <v>12</v>
      </c>
      <c r="G17" s="1119" t="s">
        <v>4394</v>
      </c>
      <c r="H17" s="1120" t="s">
        <v>4395</v>
      </c>
      <c r="I17" s="1120" t="s">
        <v>85</v>
      </c>
      <c r="J17" s="1120" t="s">
        <v>113</v>
      </c>
      <c r="K17" s="1120" t="s">
        <v>113</v>
      </c>
      <c r="M17" s="1121">
        <v>43466</v>
      </c>
      <c r="O17" s="1118"/>
    </row>
    <row r="18" spans="1:15" ht="36" customHeight="1">
      <c r="A18" s="1114"/>
      <c r="B18" s="1115" t="s">
        <v>4392</v>
      </c>
      <c r="C18" s="1116" t="s">
        <v>4413</v>
      </c>
      <c r="D18" s="1117" t="s">
        <v>4414</v>
      </c>
      <c r="E18" s="1159" t="s">
        <v>4414</v>
      </c>
      <c r="F18" s="1118">
        <v>18</v>
      </c>
      <c r="G18" s="1119" t="s">
        <v>4394</v>
      </c>
      <c r="H18" s="1120" t="s">
        <v>4395</v>
      </c>
      <c r="I18" s="1120" t="s">
        <v>85</v>
      </c>
      <c r="J18" s="1120" t="s">
        <v>113</v>
      </c>
      <c r="K18" s="1120" t="s">
        <v>113</v>
      </c>
      <c r="M18" s="1121">
        <v>43466</v>
      </c>
      <c r="O18" s="1118"/>
    </row>
    <row r="19" spans="1:15" ht="36" customHeight="1">
      <c r="A19" s="1114"/>
      <c r="B19" s="1892" t="s">
        <v>4415</v>
      </c>
      <c r="C19" s="1892"/>
      <c r="D19" s="1892"/>
      <c r="E19" s="1892"/>
      <c r="F19" s="1892"/>
      <c r="G19" s="1892"/>
      <c r="H19" s="1892"/>
      <c r="I19" s="1892"/>
      <c r="J19" s="1892"/>
      <c r="K19" s="1892"/>
      <c r="L19" s="1892"/>
      <c r="M19" s="1892"/>
      <c r="N19" s="1892"/>
      <c r="O19" s="1892"/>
    </row>
    <row r="20" spans="1:15" ht="36" customHeight="1">
      <c r="A20" s="1114"/>
      <c r="B20" s="1115" t="s">
        <v>4392</v>
      </c>
      <c r="C20" s="1116" t="s">
        <v>4416</v>
      </c>
      <c r="D20" s="1117" t="s">
        <v>4090</v>
      </c>
      <c r="E20" s="1159" t="s">
        <v>4090</v>
      </c>
      <c r="F20" s="1118">
        <v>13</v>
      </c>
      <c r="G20" s="1119" t="s">
        <v>4394</v>
      </c>
      <c r="H20" s="1120" t="s">
        <v>4395</v>
      </c>
      <c r="I20" s="1120" t="s">
        <v>85</v>
      </c>
      <c r="J20" s="1120" t="s">
        <v>113</v>
      </c>
      <c r="K20" s="1120" t="s">
        <v>113</v>
      </c>
      <c r="M20" s="1121">
        <v>43466</v>
      </c>
      <c r="O20" s="1116" t="s">
        <v>4417</v>
      </c>
    </row>
    <row r="21" spans="1:15" ht="36" customHeight="1">
      <c r="A21" s="1114"/>
      <c r="B21" s="1115" t="s">
        <v>4392</v>
      </c>
      <c r="C21" s="1116" t="s">
        <v>4418</v>
      </c>
      <c r="D21" s="1117" t="s">
        <v>4060</v>
      </c>
      <c r="E21" s="1159" t="s">
        <v>4060</v>
      </c>
      <c r="F21" s="1118">
        <v>14</v>
      </c>
      <c r="G21" s="1119" t="s">
        <v>4394</v>
      </c>
      <c r="H21" s="1120" t="s">
        <v>4395</v>
      </c>
      <c r="I21" s="1120" t="s">
        <v>85</v>
      </c>
      <c r="J21" s="1120" t="s">
        <v>113</v>
      </c>
      <c r="K21" s="1120" t="s">
        <v>113</v>
      </c>
      <c r="M21" s="1121">
        <v>43466</v>
      </c>
      <c r="O21" s="1116" t="s">
        <v>4417</v>
      </c>
    </row>
    <row r="22" spans="1:15" ht="36" customHeight="1">
      <c r="A22" s="1114"/>
      <c r="B22" s="1115" t="s">
        <v>4392</v>
      </c>
      <c r="C22" s="1116" t="s">
        <v>4419</v>
      </c>
      <c r="D22" s="1117" t="s">
        <v>4420</v>
      </c>
      <c r="E22" s="1159" t="s">
        <v>4420</v>
      </c>
      <c r="F22" s="1118">
        <v>15</v>
      </c>
      <c r="G22" s="1119" t="s">
        <v>4394</v>
      </c>
      <c r="H22" s="1120" t="s">
        <v>4395</v>
      </c>
      <c r="I22" s="1120" t="s">
        <v>85</v>
      </c>
      <c r="J22" s="1120" t="s">
        <v>113</v>
      </c>
      <c r="K22" s="1120" t="s">
        <v>113</v>
      </c>
      <c r="M22" s="1121">
        <v>43466</v>
      </c>
      <c r="O22" s="1116" t="s">
        <v>4417</v>
      </c>
    </row>
    <row r="23" spans="1:15" ht="36" customHeight="1">
      <c r="A23" s="1114"/>
      <c r="B23" s="1115" t="s">
        <v>4392</v>
      </c>
      <c r="C23" s="1116" t="s">
        <v>4421</v>
      </c>
      <c r="D23" s="1117" t="s">
        <v>4066</v>
      </c>
      <c r="E23" s="1159" t="s">
        <v>4066</v>
      </c>
      <c r="F23" s="1118">
        <v>16</v>
      </c>
      <c r="G23" s="1119" t="s">
        <v>4394</v>
      </c>
      <c r="H23" s="1120" t="s">
        <v>4395</v>
      </c>
      <c r="I23" s="1120" t="s">
        <v>85</v>
      </c>
      <c r="J23" s="1120" t="s">
        <v>113</v>
      </c>
      <c r="K23" s="1120" t="s">
        <v>113</v>
      </c>
      <c r="M23" s="1121">
        <v>43466</v>
      </c>
      <c r="O23" s="1116" t="s">
        <v>4417</v>
      </c>
    </row>
    <row r="24" spans="1:15" ht="36" customHeight="1">
      <c r="A24" s="1114"/>
      <c r="B24" s="1115" t="s">
        <v>4392</v>
      </c>
      <c r="C24" s="1116" t="s">
        <v>4422</v>
      </c>
      <c r="D24" s="1117" t="s">
        <v>4423</v>
      </c>
      <c r="E24" s="1159" t="s">
        <v>4423</v>
      </c>
      <c r="F24" s="1118">
        <v>17</v>
      </c>
      <c r="G24" s="1119" t="s">
        <v>4394</v>
      </c>
      <c r="H24" s="1120" t="s">
        <v>4395</v>
      </c>
      <c r="I24" s="1120" t="s">
        <v>85</v>
      </c>
      <c r="J24" s="1120" t="s">
        <v>113</v>
      </c>
      <c r="K24" s="1120" t="s">
        <v>113</v>
      </c>
      <c r="M24" s="1121">
        <v>43466</v>
      </c>
      <c r="O24" s="1116" t="s">
        <v>4417</v>
      </c>
    </row>
    <row r="25" spans="1:15" ht="36" customHeight="1">
      <c r="A25" s="1114"/>
      <c r="B25" s="1115" t="s">
        <v>4392</v>
      </c>
      <c r="C25" s="1116" t="s">
        <v>4424</v>
      </c>
      <c r="D25" s="1117" t="s">
        <v>4425</v>
      </c>
      <c r="E25" s="1159" t="s">
        <v>4425</v>
      </c>
      <c r="F25" s="1118">
        <v>19</v>
      </c>
      <c r="G25" s="1119" t="s">
        <v>4394</v>
      </c>
      <c r="H25" s="1120" t="s">
        <v>4395</v>
      </c>
      <c r="I25" s="1120" t="s">
        <v>85</v>
      </c>
      <c r="J25" s="1120" t="s">
        <v>113</v>
      </c>
      <c r="K25" s="1120" t="s">
        <v>113</v>
      </c>
      <c r="M25" s="1121">
        <v>43466</v>
      </c>
      <c r="O25" s="1116" t="s">
        <v>4417</v>
      </c>
    </row>
    <row r="26" spans="1:15" ht="36" hidden="1" customHeight="1">
      <c r="A26" s="1114"/>
      <c r="B26" s="1115"/>
      <c r="C26" s="1116"/>
      <c r="D26" s="1117"/>
      <c r="E26" s="1117"/>
      <c r="F26" s="1118"/>
      <c r="G26" s="1119"/>
      <c r="H26" s="1120"/>
      <c r="I26" s="1120"/>
      <c r="J26" s="1120"/>
      <c r="K26" s="1120"/>
      <c r="M26" s="1121"/>
      <c r="O26" s="1118"/>
    </row>
    <row r="27" spans="1:15" ht="36" hidden="1" customHeight="1">
      <c r="A27" s="1114"/>
      <c r="B27" s="1115"/>
      <c r="C27" s="1116"/>
      <c r="D27" s="1117"/>
      <c r="E27" s="1117"/>
      <c r="F27" s="1118"/>
      <c r="G27" s="1119"/>
      <c r="H27" s="1120"/>
      <c r="I27" s="1120"/>
      <c r="J27" s="1120"/>
      <c r="K27" s="1120"/>
      <c r="M27" s="1121"/>
      <c r="O27" s="1118"/>
    </row>
    <row r="28" spans="1:15" ht="36" hidden="1" customHeight="1">
      <c r="A28" s="1114"/>
      <c r="B28" s="1115"/>
      <c r="C28" s="1116"/>
      <c r="D28" s="1117"/>
      <c r="E28" s="1117"/>
      <c r="F28" s="1118"/>
      <c r="G28" s="1119"/>
      <c r="H28" s="1120"/>
      <c r="I28" s="1120"/>
      <c r="J28" s="1120"/>
      <c r="K28" s="1120"/>
      <c r="M28" s="1121"/>
      <c r="O28" s="1118"/>
    </row>
    <row r="29" spans="1:15" ht="36" hidden="1" customHeight="1"/>
    <row r="30" spans="1:15" s="1108" customFormat="1" ht="36" customHeight="1">
      <c r="A30" s="1107" t="s">
        <v>3650</v>
      </c>
      <c r="O30" s="1109"/>
    </row>
    <row r="31" spans="1:15" ht="36" hidden="1" customHeight="1"/>
    <row r="32" spans="1:15" ht="36" customHeight="1">
      <c r="A32" s="1110"/>
      <c r="B32" s="1111" t="s">
        <v>4383</v>
      </c>
      <c r="C32" s="1112" t="s">
        <v>4384</v>
      </c>
      <c r="D32" s="1112" t="s">
        <v>4385</v>
      </c>
      <c r="E32" s="1161" t="s">
        <v>4494</v>
      </c>
      <c r="F32" s="1112" t="s">
        <v>4386</v>
      </c>
      <c r="G32" s="1111" t="s">
        <v>4387</v>
      </c>
      <c r="H32" s="1111" t="s">
        <v>4388</v>
      </c>
      <c r="I32" s="1112" t="s">
        <v>4389</v>
      </c>
      <c r="J32" s="1112" t="s">
        <v>4390</v>
      </c>
      <c r="K32" s="1112" t="s">
        <v>4391</v>
      </c>
      <c r="M32" s="1111" t="s">
        <v>3646</v>
      </c>
      <c r="O32" s="1113" t="s">
        <v>3956</v>
      </c>
    </row>
    <row r="33" spans="1:15" ht="36" customHeight="1">
      <c r="A33" s="1114"/>
      <c r="B33" s="1122" t="s">
        <v>2757</v>
      </c>
      <c r="C33" s="1118" t="s">
        <v>4426</v>
      </c>
      <c r="D33" s="1117" t="s">
        <v>4427</v>
      </c>
      <c r="E33" s="1159" t="s">
        <v>4495</v>
      </c>
      <c r="F33" s="1118">
        <v>1</v>
      </c>
      <c r="G33" s="1119" t="s">
        <v>4394</v>
      </c>
      <c r="H33" s="1120" t="s">
        <v>4395</v>
      </c>
      <c r="I33" s="1120" t="s">
        <v>85</v>
      </c>
      <c r="J33" s="1120" t="s">
        <v>113</v>
      </c>
      <c r="K33" s="1120" t="s">
        <v>113</v>
      </c>
      <c r="M33" s="1121">
        <v>43466</v>
      </c>
      <c r="O33" s="1118"/>
    </row>
    <row r="34" spans="1:15" ht="36" customHeight="1">
      <c r="A34" s="1114"/>
      <c r="B34" s="1122" t="s">
        <v>2757</v>
      </c>
      <c r="C34" s="1118" t="s">
        <v>4428</v>
      </c>
      <c r="D34" s="1117" t="s">
        <v>4429</v>
      </c>
      <c r="E34" s="1159" t="s">
        <v>4496</v>
      </c>
      <c r="F34" s="1118">
        <v>2</v>
      </c>
      <c r="G34" s="1119" t="s">
        <v>4394</v>
      </c>
      <c r="H34" s="1120" t="s">
        <v>4395</v>
      </c>
      <c r="I34" s="1120" t="s">
        <v>85</v>
      </c>
      <c r="J34" s="1120" t="s">
        <v>113</v>
      </c>
      <c r="K34" s="1120" t="s">
        <v>113</v>
      </c>
      <c r="M34" s="1121">
        <v>43466</v>
      </c>
      <c r="O34" s="1118"/>
    </row>
    <row r="35" spans="1:15" ht="36" customHeight="1">
      <c r="A35" s="1114"/>
      <c r="B35" s="1122" t="s">
        <v>2757</v>
      </c>
      <c r="C35" s="1118" t="s">
        <v>4430</v>
      </c>
      <c r="D35" s="1117" t="s">
        <v>4431</v>
      </c>
      <c r="E35" s="1159" t="s">
        <v>4497</v>
      </c>
      <c r="F35" s="1118">
        <v>3</v>
      </c>
      <c r="G35" s="1119" t="s">
        <v>4394</v>
      </c>
      <c r="H35" s="1120" t="s">
        <v>4395</v>
      </c>
      <c r="I35" s="1120" t="s">
        <v>85</v>
      </c>
      <c r="J35" s="1120" t="s">
        <v>113</v>
      </c>
      <c r="K35" s="1120" t="s">
        <v>113</v>
      </c>
      <c r="M35" s="1121">
        <v>43466</v>
      </c>
      <c r="O35" s="1118"/>
    </row>
    <row r="36" spans="1:15" ht="36" customHeight="1">
      <c r="A36" s="1114"/>
      <c r="B36" s="1122" t="s">
        <v>2757</v>
      </c>
      <c r="C36" s="1118" t="s">
        <v>4432</v>
      </c>
      <c r="D36" s="1117" t="s">
        <v>4433</v>
      </c>
      <c r="E36" s="1159" t="s">
        <v>4498</v>
      </c>
      <c r="F36" s="1118">
        <v>4</v>
      </c>
      <c r="G36" s="1119" t="s">
        <v>4394</v>
      </c>
      <c r="H36" s="1120" t="s">
        <v>4395</v>
      </c>
      <c r="I36" s="1120" t="s">
        <v>85</v>
      </c>
      <c r="J36" s="1120" t="s">
        <v>113</v>
      </c>
      <c r="K36" s="1120" t="s">
        <v>113</v>
      </c>
      <c r="M36" s="1121">
        <v>43466</v>
      </c>
      <c r="O36" s="1118"/>
    </row>
    <row r="37" spans="1:15" ht="36" customHeight="1">
      <c r="A37" s="1114"/>
      <c r="B37" s="1122" t="s">
        <v>2757</v>
      </c>
      <c r="C37" s="1118" t="s">
        <v>4434</v>
      </c>
      <c r="D37" s="1117" t="s">
        <v>4435</v>
      </c>
      <c r="E37" s="1159" t="s">
        <v>4553</v>
      </c>
      <c r="F37" s="1118">
        <v>5</v>
      </c>
      <c r="G37" s="1119" t="s">
        <v>4394</v>
      </c>
      <c r="H37" s="1120" t="s">
        <v>4395</v>
      </c>
      <c r="I37" s="1120" t="s">
        <v>85</v>
      </c>
      <c r="J37" s="1120" t="s">
        <v>113</v>
      </c>
      <c r="K37" s="1120" t="s">
        <v>113</v>
      </c>
      <c r="M37" s="1121">
        <v>43466</v>
      </c>
      <c r="O37" s="1118"/>
    </row>
    <row r="38" spans="1:15" ht="36" customHeight="1">
      <c r="A38" s="1114"/>
      <c r="B38" s="1122" t="s">
        <v>2757</v>
      </c>
      <c r="C38" s="1118" t="s">
        <v>4436</v>
      </c>
      <c r="D38" s="1117" t="s">
        <v>4437</v>
      </c>
      <c r="E38" s="1159" t="s">
        <v>4499</v>
      </c>
      <c r="F38" s="1118">
        <v>6</v>
      </c>
      <c r="G38" s="1119" t="s">
        <v>4394</v>
      </c>
      <c r="H38" s="1120" t="s">
        <v>4395</v>
      </c>
      <c r="I38" s="1120" t="s">
        <v>85</v>
      </c>
      <c r="J38" s="1120" t="s">
        <v>113</v>
      </c>
      <c r="K38" s="1120" t="s">
        <v>113</v>
      </c>
      <c r="M38" s="1121">
        <v>43466</v>
      </c>
      <c r="O38" s="1118"/>
    </row>
    <row r="39" spans="1:15" ht="36" customHeight="1">
      <c r="A39" s="1114"/>
      <c r="B39" s="1122" t="s">
        <v>2757</v>
      </c>
      <c r="C39" s="1118" t="s">
        <v>4438</v>
      </c>
      <c r="D39" s="1117" t="s">
        <v>4439</v>
      </c>
      <c r="E39" s="1159" t="s">
        <v>4500</v>
      </c>
      <c r="F39" s="1118">
        <v>7</v>
      </c>
      <c r="G39" s="1119" t="s">
        <v>4394</v>
      </c>
      <c r="H39" s="1120" t="s">
        <v>4395</v>
      </c>
      <c r="I39" s="1120" t="s">
        <v>85</v>
      </c>
      <c r="J39" s="1120" t="s">
        <v>113</v>
      </c>
      <c r="K39" s="1120" t="s">
        <v>113</v>
      </c>
      <c r="M39" s="1121">
        <v>43466</v>
      </c>
      <c r="O39" s="1118"/>
    </row>
    <row r="40" spans="1:15" ht="36" customHeight="1">
      <c r="A40" s="1114"/>
      <c r="B40" s="1122" t="s">
        <v>2757</v>
      </c>
      <c r="C40" s="1118" t="s">
        <v>4440</v>
      </c>
      <c r="D40" s="1117" t="s">
        <v>4441</v>
      </c>
      <c r="E40" s="1159" t="s">
        <v>4501</v>
      </c>
      <c r="F40" s="1118">
        <v>8</v>
      </c>
      <c r="G40" s="1119" t="s">
        <v>4394</v>
      </c>
      <c r="H40" s="1120" t="s">
        <v>4395</v>
      </c>
      <c r="I40" s="1120" t="s">
        <v>85</v>
      </c>
      <c r="J40" s="1120" t="s">
        <v>113</v>
      </c>
      <c r="K40" s="1120" t="s">
        <v>113</v>
      </c>
      <c r="M40" s="1121">
        <v>43466</v>
      </c>
      <c r="O40" s="1118"/>
    </row>
    <row r="41" spans="1:15" ht="36" hidden="1" customHeight="1"/>
    <row r="42" spans="1:15" s="1108" customFormat="1" ht="36" customHeight="1">
      <c r="A42" s="1107" t="s">
        <v>3651</v>
      </c>
      <c r="O42" s="1109"/>
    </row>
    <row r="43" spans="1:15" ht="36" hidden="1" customHeight="1"/>
    <row r="44" spans="1:15" ht="36" customHeight="1">
      <c r="A44" s="1110"/>
      <c r="B44" s="1111" t="s">
        <v>4383</v>
      </c>
      <c r="C44" s="1112" t="s">
        <v>4384</v>
      </c>
      <c r="D44" s="1112" t="s">
        <v>4385</v>
      </c>
      <c r="E44" s="1161" t="s">
        <v>4494</v>
      </c>
      <c r="F44" s="1112" t="s">
        <v>4386</v>
      </c>
      <c r="G44" s="1111" t="s">
        <v>4387</v>
      </c>
      <c r="H44" s="1111" t="s">
        <v>4388</v>
      </c>
      <c r="I44" s="1112" t="s">
        <v>4389</v>
      </c>
      <c r="J44" s="1112" t="s">
        <v>4390</v>
      </c>
      <c r="K44" s="1112" t="s">
        <v>4391</v>
      </c>
      <c r="M44" s="1111" t="s">
        <v>3646</v>
      </c>
      <c r="O44" s="1113" t="s">
        <v>3956</v>
      </c>
    </row>
    <row r="45" spans="1:15" ht="36" customHeight="1">
      <c r="A45" s="1114"/>
      <c r="B45" s="1122" t="s">
        <v>2757</v>
      </c>
      <c r="C45" s="1118" t="s">
        <v>4442</v>
      </c>
      <c r="D45" s="1117" t="s">
        <v>4443</v>
      </c>
      <c r="E45" s="1159" t="s">
        <v>4502</v>
      </c>
      <c r="F45" s="1118">
        <v>1</v>
      </c>
      <c r="G45" s="1119" t="s">
        <v>4394</v>
      </c>
      <c r="H45" s="1120" t="s">
        <v>4395</v>
      </c>
      <c r="I45" s="1120" t="s">
        <v>85</v>
      </c>
      <c r="J45" s="1120" t="s">
        <v>113</v>
      </c>
      <c r="K45" s="1120" t="s">
        <v>113</v>
      </c>
      <c r="M45" s="1121">
        <v>43466</v>
      </c>
      <c r="O45" s="1118"/>
    </row>
    <row r="46" spans="1:15" ht="36" customHeight="1">
      <c r="A46" s="1114"/>
      <c r="B46" s="1122" t="s">
        <v>2757</v>
      </c>
      <c r="C46" s="1118" t="s">
        <v>4444</v>
      </c>
      <c r="D46" s="1117" t="s">
        <v>4445</v>
      </c>
      <c r="E46" s="1159" t="s">
        <v>4503</v>
      </c>
      <c r="F46" s="1118">
        <v>2</v>
      </c>
      <c r="G46" s="1119" t="s">
        <v>4394</v>
      </c>
      <c r="H46" s="1120" t="s">
        <v>4395</v>
      </c>
      <c r="I46" s="1120" t="s">
        <v>85</v>
      </c>
      <c r="J46" s="1120" t="s">
        <v>113</v>
      </c>
      <c r="K46" s="1120" t="s">
        <v>113</v>
      </c>
      <c r="M46" s="1121">
        <v>43466</v>
      </c>
      <c r="O46" s="1118"/>
    </row>
    <row r="47" spans="1:15" ht="36" customHeight="1">
      <c r="A47" s="1114"/>
      <c r="B47" s="1122" t="s">
        <v>2757</v>
      </c>
      <c r="C47" s="1118" t="s">
        <v>4446</v>
      </c>
      <c r="D47" s="1117" t="s">
        <v>4447</v>
      </c>
      <c r="E47" s="1159" t="s">
        <v>4504</v>
      </c>
      <c r="F47" s="1118">
        <v>3</v>
      </c>
      <c r="G47" s="1119" t="s">
        <v>4394</v>
      </c>
      <c r="H47" s="1120" t="s">
        <v>4395</v>
      </c>
      <c r="I47" s="1120" t="s">
        <v>85</v>
      </c>
      <c r="J47" s="1120" t="s">
        <v>113</v>
      </c>
      <c r="K47" s="1120" t="s">
        <v>113</v>
      </c>
      <c r="M47" s="1121">
        <v>43466</v>
      </c>
      <c r="O47" s="1118"/>
    </row>
    <row r="48" spans="1:15" ht="36" hidden="1" customHeight="1">
      <c r="B48" s="1123"/>
      <c r="C48" s="1123"/>
      <c r="D48" s="1123"/>
      <c r="E48" s="1123"/>
      <c r="F48" s="1123"/>
      <c r="G48" s="1124"/>
      <c r="H48" s="1124"/>
      <c r="I48" s="1124"/>
      <c r="J48" s="1124"/>
      <c r="K48" s="1124"/>
    </row>
    <row r="49" spans="1:15" s="1108" customFormat="1" ht="36" customHeight="1">
      <c r="A49" s="1107" t="s">
        <v>4448</v>
      </c>
      <c r="O49" s="1109"/>
    </row>
    <row r="50" spans="1:15" ht="36" hidden="1" customHeight="1"/>
    <row r="51" spans="1:15" ht="36" customHeight="1">
      <c r="A51" s="1110"/>
      <c r="B51" s="1111" t="s">
        <v>4383</v>
      </c>
      <c r="C51" s="1112" t="s">
        <v>4384</v>
      </c>
      <c r="D51" s="1112" t="s">
        <v>4385</v>
      </c>
      <c r="E51" s="1161" t="s">
        <v>4494</v>
      </c>
      <c r="F51" s="1112" t="s">
        <v>4386</v>
      </c>
      <c r="G51" s="1111" t="s">
        <v>4387</v>
      </c>
      <c r="H51" s="1111" t="s">
        <v>4388</v>
      </c>
      <c r="I51" s="1112" t="s">
        <v>4389</v>
      </c>
      <c r="J51" s="1112" t="s">
        <v>4390</v>
      </c>
      <c r="K51" s="1112" t="s">
        <v>4391</v>
      </c>
      <c r="M51" s="1111" t="s">
        <v>3646</v>
      </c>
      <c r="O51" s="1113" t="s">
        <v>3956</v>
      </c>
    </row>
    <row r="52" spans="1:15" ht="36" customHeight="1">
      <c r="A52" s="1114"/>
      <c r="B52" s="1116" t="s">
        <v>4260</v>
      </c>
      <c r="C52" s="1118" t="s">
        <v>148</v>
      </c>
      <c r="D52" s="1117" t="s">
        <v>4449</v>
      </c>
      <c r="E52" s="1159" t="s">
        <v>4505</v>
      </c>
      <c r="F52" s="1118" t="s">
        <v>72</v>
      </c>
      <c r="G52" s="1119" t="s">
        <v>4394</v>
      </c>
      <c r="H52" s="1120" t="s">
        <v>4450</v>
      </c>
      <c r="I52" s="1120" t="s">
        <v>113</v>
      </c>
      <c r="J52" s="1120" t="s">
        <v>113</v>
      </c>
      <c r="K52" s="1120" t="s">
        <v>85</v>
      </c>
      <c r="M52" s="1121">
        <v>43466</v>
      </c>
      <c r="O52" s="1118"/>
    </row>
    <row r="53" spans="1:15" ht="36" customHeight="1">
      <c r="A53" s="1114"/>
      <c r="B53" s="1116" t="s">
        <v>4260</v>
      </c>
      <c r="C53" s="1118" t="s">
        <v>1249</v>
      </c>
      <c r="D53" s="1117" t="s">
        <v>4451</v>
      </c>
      <c r="E53" s="1159" t="s">
        <v>4506</v>
      </c>
      <c r="F53" s="1118" t="s">
        <v>72</v>
      </c>
      <c r="G53" s="1119" t="s">
        <v>4394</v>
      </c>
      <c r="H53" s="1120" t="s">
        <v>4450</v>
      </c>
      <c r="I53" s="1120" t="s">
        <v>113</v>
      </c>
      <c r="J53" s="1120" t="s">
        <v>113</v>
      </c>
      <c r="K53" s="1120" t="s">
        <v>85</v>
      </c>
      <c r="M53" s="1121">
        <v>43466</v>
      </c>
      <c r="O53" s="1118"/>
    </row>
    <row r="54" spans="1:15" ht="36" customHeight="1">
      <c r="A54" s="1114"/>
      <c r="B54" s="1116" t="s">
        <v>4260</v>
      </c>
      <c r="C54" s="1118" t="s">
        <v>57</v>
      </c>
      <c r="D54" s="1117" t="s">
        <v>4452</v>
      </c>
      <c r="E54" s="1159" t="s">
        <v>4507</v>
      </c>
      <c r="F54" s="1118" t="s">
        <v>72</v>
      </c>
      <c r="G54" s="1119" t="s">
        <v>4394</v>
      </c>
      <c r="H54" s="1120" t="s">
        <v>4450</v>
      </c>
      <c r="I54" s="1120" t="s">
        <v>113</v>
      </c>
      <c r="J54" s="1120" t="s">
        <v>113</v>
      </c>
      <c r="K54" s="1120" t="s">
        <v>85</v>
      </c>
      <c r="M54" s="1121">
        <v>43466</v>
      </c>
      <c r="O54" s="1118"/>
    </row>
    <row r="55" spans="1:15" ht="36" customHeight="1">
      <c r="A55" s="1114"/>
      <c r="B55" s="1116" t="s">
        <v>4260</v>
      </c>
      <c r="C55" s="1118" t="s">
        <v>126</v>
      </c>
      <c r="D55" s="1117" t="s">
        <v>4453</v>
      </c>
      <c r="E55" s="1159" t="s">
        <v>4508</v>
      </c>
      <c r="F55" s="1118" t="s">
        <v>72</v>
      </c>
      <c r="G55" s="1119" t="s">
        <v>4394</v>
      </c>
      <c r="H55" s="1120" t="s">
        <v>4450</v>
      </c>
      <c r="I55" s="1120" t="s">
        <v>113</v>
      </c>
      <c r="J55" s="1120" t="s">
        <v>113</v>
      </c>
      <c r="K55" s="1120" t="s">
        <v>85</v>
      </c>
      <c r="M55" s="1121">
        <v>43466</v>
      </c>
      <c r="O55" s="1118"/>
    </row>
    <row r="56" spans="1:15" ht="36" hidden="1" customHeight="1"/>
    <row r="57" spans="1:15" s="1108" customFormat="1" ht="36" customHeight="1">
      <c r="A57" s="1107" t="s">
        <v>4454</v>
      </c>
      <c r="O57" s="1109"/>
    </row>
    <row r="58" spans="1:15" ht="36" hidden="1" customHeight="1"/>
    <row r="59" spans="1:15" ht="36" customHeight="1">
      <c r="A59" s="1110"/>
      <c r="B59" s="1111" t="s">
        <v>4383</v>
      </c>
      <c r="C59" s="1112" t="s">
        <v>4384</v>
      </c>
      <c r="D59" s="1112" t="s">
        <v>4385</v>
      </c>
      <c r="E59" s="1161" t="s">
        <v>4494</v>
      </c>
      <c r="F59" s="1112" t="s">
        <v>4386</v>
      </c>
      <c r="G59" s="1111" t="s">
        <v>4387</v>
      </c>
      <c r="H59" s="1111" t="s">
        <v>4388</v>
      </c>
      <c r="I59" s="1112" t="s">
        <v>4389</v>
      </c>
      <c r="J59" s="1112" t="s">
        <v>4390</v>
      </c>
      <c r="K59" s="1112" t="s">
        <v>4391</v>
      </c>
      <c r="M59" s="1111" t="s">
        <v>3646</v>
      </c>
      <c r="O59" s="1113" t="s">
        <v>3956</v>
      </c>
    </row>
    <row r="60" spans="1:15" ht="36" customHeight="1">
      <c r="A60" s="1114"/>
      <c r="B60" s="1116" t="s">
        <v>4260</v>
      </c>
      <c r="C60" s="1118" t="s">
        <v>4455</v>
      </c>
      <c r="D60" s="1117" t="s">
        <v>4456</v>
      </c>
      <c r="E60" s="1159" t="s">
        <v>4509</v>
      </c>
      <c r="F60" s="1118" t="s">
        <v>72</v>
      </c>
      <c r="G60" s="1119" t="s">
        <v>4394</v>
      </c>
      <c r="H60" s="1120" t="s">
        <v>4450</v>
      </c>
      <c r="I60" s="1120" t="s">
        <v>85</v>
      </c>
      <c r="J60" s="1120" t="s">
        <v>113</v>
      </c>
      <c r="K60" s="1120" t="s">
        <v>113</v>
      </c>
      <c r="M60" s="1121">
        <v>43466</v>
      </c>
      <c r="O60" s="1118"/>
    </row>
    <row r="61" spans="1:15" ht="36" customHeight="1">
      <c r="A61" s="1114"/>
      <c r="B61" s="1116" t="s">
        <v>4260</v>
      </c>
      <c r="C61" s="1118" t="s">
        <v>4457</v>
      </c>
      <c r="D61" s="1117" t="s">
        <v>4458</v>
      </c>
      <c r="E61" s="1159" t="s">
        <v>4510</v>
      </c>
      <c r="F61" s="1118" t="s">
        <v>72</v>
      </c>
      <c r="G61" s="1119" t="s">
        <v>4394</v>
      </c>
      <c r="H61" s="1120" t="s">
        <v>4450</v>
      </c>
      <c r="I61" s="1120" t="s">
        <v>85</v>
      </c>
      <c r="J61" s="1120" t="s">
        <v>113</v>
      </c>
      <c r="K61" s="1120" t="s">
        <v>113</v>
      </c>
      <c r="M61" s="1121">
        <v>43466</v>
      </c>
      <c r="O61" s="1118"/>
    </row>
    <row r="62" spans="1:15" ht="36" customHeight="1">
      <c r="A62" s="1114"/>
      <c r="B62" s="1116" t="s">
        <v>4260</v>
      </c>
      <c r="C62" s="1118" t="s">
        <v>4459</v>
      </c>
      <c r="D62" s="1156">
        <v>5000</v>
      </c>
      <c r="E62" s="1159" t="s">
        <v>4511</v>
      </c>
      <c r="F62" s="1118" t="s">
        <v>72</v>
      </c>
      <c r="G62" s="1119" t="s">
        <v>4394</v>
      </c>
      <c r="H62" s="1120" t="s">
        <v>4450</v>
      </c>
      <c r="I62" s="1120" t="s">
        <v>85</v>
      </c>
      <c r="J62" s="1120" t="s">
        <v>113</v>
      </c>
      <c r="K62" s="1120" t="s">
        <v>113</v>
      </c>
      <c r="M62" s="1121">
        <v>43466</v>
      </c>
      <c r="O62" s="1118"/>
    </row>
    <row r="63" spans="1:15" ht="36" hidden="1" customHeight="1">
      <c r="E63" s="1160"/>
    </row>
    <row r="64" spans="1:15" ht="36" customHeight="1">
      <c r="B64" s="1116" t="s">
        <v>4260</v>
      </c>
      <c r="C64" s="1118" t="s">
        <v>4459</v>
      </c>
      <c r="D64" s="1156">
        <v>10000</v>
      </c>
      <c r="E64" s="1159" t="s">
        <v>4512</v>
      </c>
      <c r="F64" s="1118" t="s">
        <v>72</v>
      </c>
      <c r="G64" s="1119" t="s">
        <v>4394</v>
      </c>
      <c r="H64" s="1120" t="s">
        <v>4450</v>
      </c>
      <c r="I64" s="1120" t="s">
        <v>85</v>
      </c>
      <c r="J64" s="1120" t="s">
        <v>113</v>
      </c>
      <c r="K64" s="1120" t="s">
        <v>113</v>
      </c>
      <c r="M64" s="1121">
        <v>43466</v>
      </c>
    </row>
    <row r="65" spans="1:15" s="1108" customFormat="1" ht="36" customHeight="1">
      <c r="A65" s="1107" t="s">
        <v>4460</v>
      </c>
      <c r="O65" s="1109"/>
    </row>
    <row r="66" spans="1:15" ht="36" hidden="1" customHeight="1"/>
    <row r="67" spans="1:15" ht="36" customHeight="1">
      <c r="A67" s="1110"/>
      <c r="B67" s="1111" t="s">
        <v>4383</v>
      </c>
      <c r="C67" s="1112" t="s">
        <v>4384</v>
      </c>
      <c r="D67" s="1112" t="s">
        <v>4385</v>
      </c>
      <c r="E67" s="1161" t="s">
        <v>4494</v>
      </c>
      <c r="F67" s="1112" t="s">
        <v>4386</v>
      </c>
      <c r="G67" s="1111" t="s">
        <v>4387</v>
      </c>
      <c r="H67" s="1111" t="s">
        <v>4388</v>
      </c>
      <c r="I67" s="1112" t="s">
        <v>4389</v>
      </c>
      <c r="J67" s="1112" t="s">
        <v>4390</v>
      </c>
      <c r="K67" s="1112" t="s">
        <v>4391</v>
      </c>
      <c r="M67" s="1111" t="s">
        <v>3646</v>
      </c>
      <c r="O67" s="1113" t="s">
        <v>3956</v>
      </c>
    </row>
    <row r="68" spans="1:15" ht="36" customHeight="1">
      <c r="A68" s="1114"/>
      <c r="B68" s="1116" t="s">
        <v>4260</v>
      </c>
      <c r="C68" s="1118" t="s">
        <v>4461</v>
      </c>
      <c r="D68" s="1117" t="s">
        <v>81</v>
      </c>
      <c r="E68" s="1159" t="s">
        <v>4513</v>
      </c>
      <c r="F68" s="1118" t="s">
        <v>72</v>
      </c>
      <c r="G68" s="1119" t="s">
        <v>4394</v>
      </c>
      <c r="H68" s="1120" t="s">
        <v>4450</v>
      </c>
      <c r="I68" s="1120" t="s">
        <v>113</v>
      </c>
      <c r="J68" s="1120" t="s">
        <v>113</v>
      </c>
      <c r="K68" s="1120" t="s">
        <v>85</v>
      </c>
      <c r="M68" s="1121">
        <v>43466</v>
      </c>
      <c r="O68" s="1118"/>
    </row>
    <row r="69" spans="1:15" ht="36" customHeight="1">
      <c r="A69" s="1114"/>
      <c r="B69" s="1116" t="s">
        <v>4260</v>
      </c>
      <c r="C69" s="1118" t="s">
        <v>4461</v>
      </c>
      <c r="D69" s="1117" t="s">
        <v>266</v>
      </c>
      <c r="E69" s="1159" t="s">
        <v>4514</v>
      </c>
      <c r="F69" s="1118" t="s">
        <v>72</v>
      </c>
      <c r="G69" s="1119" t="s">
        <v>4394</v>
      </c>
      <c r="H69" s="1120" t="s">
        <v>4450</v>
      </c>
      <c r="I69" s="1120" t="s">
        <v>113</v>
      </c>
      <c r="J69" s="1120" t="s">
        <v>113</v>
      </c>
      <c r="K69" s="1120" t="s">
        <v>85</v>
      </c>
      <c r="M69" s="1121">
        <v>43466</v>
      </c>
      <c r="O69" s="1118"/>
    </row>
    <row r="70" spans="1:15" ht="36" customHeight="1">
      <c r="A70" s="1114"/>
      <c r="B70" s="1116" t="s">
        <v>4260</v>
      </c>
      <c r="C70" s="1118" t="s">
        <v>4461</v>
      </c>
      <c r="D70" s="1117" t="s">
        <v>63</v>
      </c>
      <c r="E70" s="1159" t="s">
        <v>4515</v>
      </c>
      <c r="F70" s="1118" t="s">
        <v>72</v>
      </c>
      <c r="G70" s="1119" t="s">
        <v>4394</v>
      </c>
      <c r="H70" s="1120" t="s">
        <v>4450</v>
      </c>
      <c r="I70" s="1120" t="s">
        <v>113</v>
      </c>
      <c r="J70" s="1120" t="s">
        <v>113</v>
      </c>
      <c r="K70" s="1120" t="s">
        <v>85</v>
      </c>
      <c r="M70" s="1121">
        <v>43466</v>
      </c>
      <c r="O70" s="1118"/>
    </row>
    <row r="71" spans="1:15" ht="36" customHeight="1">
      <c r="A71" s="1114"/>
      <c r="B71" s="1116" t="s">
        <v>4260</v>
      </c>
      <c r="C71" s="1118" t="s">
        <v>4461</v>
      </c>
      <c r="D71" s="1117" t="s">
        <v>101</v>
      </c>
      <c r="E71" s="1159" t="s">
        <v>4516</v>
      </c>
      <c r="F71" s="1118" t="s">
        <v>72</v>
      </c>
      <c r="G71" s="1119" t="s">
        <v>4394</v>
      </c>
      <c r="H71" s="1120" t="s">
        <v>4450</v>
      </c>
      <c r="I71" s="1120" t="s">
        <v>113</v>
      </c>
      <c r="J71" s="1120" t="s">
        <v>113</v>
      </c>
      <c r="K71" s="1120" t="s">
        <v>85</v>
      </c>
      <c r="M71" s="1121">
        <v>43466</v>
      </c>
      <c r="O71" s="1118"/>
    </row>
    <row r="72" spans="1:15" ht="36" customHeight="1">
      <c r="A72" s="1114"/>
      <c r="B72" s="1116" t="s">
        <v>4260</v>
      </c>
      <c r="C72" s="1118" t="s">
        <v>4461</v>
      </c>
      <c r="D72" s="1117" t="s">
        <v>256</v>
      </c>
      <c r="E72" s="1159" t="s">
        <v>4517</v>
      </c>
      <c r="F72" s="1118" t="s">
        <v>72</v>
      </c>
      <c r="G72" s="1119" t="s">
        <v>4394</v>
      </c>
      <c r="H72" s="1120" t="s">
        <v>4450</v>
      </c>
      <c r="I72" s="1120" t="s">
        <v>113</v>
      </c>
      <c r="J72" s="1120" t="s">
        <v>113</v>
      </c>
      <c r="K72" s="1120" t="s">
        <v>85</v>
      </c>
      <c r="M72" s="1121">
        <v>43466</v>
      </c>
      <c r="O72" s="1118"/>
    </row>
    <row r="73" spans="1:15" ht="36" customHeight="1">
      <c r="A73" s="1114"/>
      <c r="B73" s="1116" t="s">
        <v>4260</v>
      </c>
      <c r="C73" s="1118" t="s">
        <v>4461</v>
      </c>
      <c r="D73" s="1117" t="s">
        <v>3660</v>
      </c>
      <c r="E73" s="1159" t="s">
        <v>4518</v>
      </c>
      <c r="F73" s="1118" t="s">
        <v>72</v>
      </c>
      <c r="G73" s="1119" t="s">
        <v>4394</v>
      </c>
      <c r="H73" s="1120" t="s">
        <v>4450</v>
      </c>
      <c r="I73" s="1120" t="s">
        <v>113</v>
      </c>
      <c r="J73" s="1120" t="s">
        <v>113</v>
      </c>
      <c r="K73" s="1120" t="s">
        <v>85</v>
      </c>
      <c r="M73" s="1121">
        <v>43466</v>
      </c>
      <c r="O73" s="1118"/>
    </row>
    <row r="74" spans="1:15" ht="36" hidden="1" customHeight="1"/>
    <row r="75" spans="1:15" s="1108" customFormat="1" ht="36" customHeight="1">
      <c r="A75" s="1107" t="s">
        <v>4462</v>
      </c>
      <c r="O75" s="1109"/>
    </row>
    <row r="76" spans="1:15" ht="36" hidden="1" customHeight="1"/>
    <row r="77" spans="1:15" ht="36" customHeight="1">
      <c r="A77" s="1110"/>
      <c r="B77" s="1111" t="s">
        <v>4383</v>
      </c>
      <c r="C77" s="1112" t="s">
        <v>4384</v>
      </c>
      <c r="D77" s="1112" t="s">
        <v>4385</v>
      </c>
      <c r="E77" s="1161" t="s">
        <v>4494</v>
      </c>
      <c r="F77" s="1112" t="s">
        <v>4386</v>
      </c>
      <c r="G77" s="1111" t="s">
        <v>4387</v>
      </c>
      <c r="H77" s="1111" t="s">
        <v>4388</v>
      </c>
      <c r="I77" s="1112" t="s">
        <v>4389</v>
      </c>
      <c r="J77" s="1112" t="s">
        <v>4390</v>
      </c>
      <c r="K77" s="1112" t="s">
        <v>4391</v>
      </c>
      <c r="M77" s="1111" t="s">
        <v>3646</v>
      </c>
      <c r="O77" s="1113" t="s">
        <v>3956</v>
      </c>
    </row>
    <row r="78" spans="1:15" ht="36" customHeight="1">
      <c r="A78" s="1114"/>
      <c r="B78" s="1116" t="s">
        <v>4260</v>
      </c>
      <c r="C78" s="1118" t="s">
        <v>4463</v>
      </c>
      <c r="D78" s="1117" t="s">
        <v>82</v>
      </c>
      <c r="E78" s="1159" t="s">
        <v>4519</v>
      </c>
      <c r="F78" s="1118" t="s">
        <v>72</v>
      </c>
      <c r="G78" s="1119" t="s">
        <v>4394</v>
      </c>
      <c r="H78" s="1120" t="s">
        <v>4450</v>
      </c>
      <c r="I78" s="1120" t="s">
        <v>113</v>
      </c>
      <c r="J78" s="1120" t="s">
        <v>113</v>
      </c>
      <c r="K78" s="1120" t="s">
        <v>85</v>
      </c>
      <c r="M78" s="1121">
        <v>43466</v>
      </c>
      <c r="O78" s="1118"/>
    </row>
    <row r="79" spans="1:15" ht="36" customHeight="1">
      <c r="A79" s="1114"/>
      <c r="B79" s="1116" t="s">
        <v>4260</v>
      </c>
      <c r="C79" s="1118" t="s">
        <v>4463</v>
      </c>
      <c r="D79" s="1117" t="s">
        <v>4464</v>
      </c>
      <c r="E79" s="1159" t="s">
        <v>4520</v>
      </c>
      <c r="F79" s="1118" t="s">
        <v>72</v>
      </c>
      <c r="G79" s="1119" t="s">
        <v>4394</v>
      </c>
      <c r="H79" s="1120" t="s">
        <v>4450</v>
      </c>
      <c r="I79" s="1120" t="s">
        <v>113</v>
      </c>
      <c r="J79" s="1120" t="s">
        <v>113</v>
      </c>
      <c r="K79" s="1120" t="s">
        <v>85</v>
      </c>
      <c r="M79" s="1121">
        <v>43466</v>
      </c>
      <c r="O79" s="1118"/>
    </row>
    <row r="80" spans="1:15" ht="36" customHeight="1">
      <c r="A80" s="1114"/>
      <c r="B80" s="1116" t="s">
        <v>4260</v>
      </c>
      <c r="C80" s="1118" t="s">
        <v>4463</v>
      </c>
      <c r="D80" s="1117" t="s">
        <v>68</v>
      </c>
      <c r="E80" s="1159" t="s">
        <v>4521</v>
      </c>
      <c r="F80" s="1118" t="s">
        <v>72</v>
      </c>
      <c r="G80" s="1119" t="s">
        <v>4394</v>
      </c>
      <c r="H80" s="1120" t="s">
        <v>4450</v>
      </c>
      <c r="I80" s="1120" t="s">
        <v>113</v>
      </c>
      <c r="J80" s="1120" t="s">
        <v>113</v>
      </c>
      <c r="K80" s="1120" t="s">
        <v>85</v>
      </c>
      <c r="M80" s="1121">
        <v>43466</v>
      </c>
      <c r="O80" s="1118"/>
    </row>
    <row r="81" spans="1:15" ht="36" customHeight="1">
      <c r="A81" s="1114"/>
      <c r="B81" s="1116" t="s">
        <v>4260</v>
      </c>
      <c r="C81" s="1118" t="s">
        <v>4463</v>
      </c>
      <c r="D81" s="1117" t="s">
        <v>440</v>
      </c>
      <c r="E81" s="1159" t="s">
        <v>4522</v>
      </c>
      <c r="F81" s="1118" t="s">
        <v>72</v>
      </c>
      <c r="G81" s="1119" t="s">
        <v>4394</v>
      </c>
      <c r="H81" s="1120" t="s">
        <v>4450</v>
      </c>
      <c r="I81" s="1120" t="s">
        <v>113</v>
      </c>
      <c r="J81" s="1120" t="s">
        <v>113</v>
      </c>
      <c r="K81" s="1120" t="s">
        <v>85</v>
      </c>
      <c r="M81" s="1121">
        <v>43466</v>
      </c>
      <c r="O81" s="1118"/>
    </row>
    <row r="82" spans="1:15" ht="36" customHeight="1">
      <c r="A82" s="1114"/>
      <c r="B82" s="1116" t="s">
        <v>4260</v>
      </c>
      <c r="C82" s="1118" t="s">
        <v>4463</v>
      </c>
      <c r="D82" s="1117" t="s">
        <v>4465</v>
      </c>
      <c r="E82" s="1159" t="s">
        <v>4523</v>
      </c>
      <c r="F82" s="1118" t="s">
        <v>72</v>
      </c>
      <c r="G82" s="1119" t="s">
        <v>4394</v>
      </c>
      <c r="H82" s="1120" t="s">
        <v>4450</v>
      </c>
      <c r="I82" s="1120" t="s">
        <v>113</v>
      </c>
      <c r="J82" s="1120" t="s">
        <v>113</v>
      </c>
      <c r="K82" s="1120" t="s">
        <v>85</v>
      </c>
      <c r="M82" s="1121">
        <v>43466</v>
      </c>
      <c r="O82" s="1118"/>
    </row>
    <row r="83" spans="1:15" ht="36" customHeight="1">
      <c r="A83" s="1114"/>
      <c r="B83" s="1116" t="s">
        <v>4260</v>
      </c>
      <c r="C83" s="1118" t="s">
        <v>4463</v>
      </c>
      <c r="D83" s="1117" t="s">
        <v>1243</v>
      </c>
      <c r="E83" s="1159" t="s">
        <v>4524</v>
      </c>
      <c r="F83" s="1118" t="s">
        <v>72</v>
      </c>
      <c r="G83" s="1119" t="s">
        <v>4394</v>
      </c>
      <c r="H83" s="1120" t="s">
        <v>4450</v>
      </c>
      <c r="I83" s="1120" t="s">
        <v>113</v>
      </c>
      <c r="J83" s="1120" t="s">
        <v>113</v>
      </c>
      <c r="K83" s="1120" t="s">
        <v>85</v>
      </c>
      <c r="M83" s="1121">
        <v>43466</v>
      </c>
      <c r="O83" s="1118"/>
    </row>
    <row r="84" spans="1:15" ht="36" hidden="1" customHeight="1"/>
    <row r="85" spans="1:15" s="1108" customFormat="1" ht="36" hidden="1" customHeight="1">
      <c r="A85" s="1107" t="s">
        <v>4466</v>
      </c>
      <c r="O85" s="1109"/>
    </row>
    <row r="86" spans="1:15" ht="36" hidden="1" customHeight="1"/>
    <row r="87" spans="1:15" ht="36" hidden="1" customHeight="1">
      <c r="B87" s="1893" t="s">
        <v>4467</v>
      </c>
      <c r="C87" s="1893"/>
      <c r="D87" s="1125" t="s">
        <v>4468</v>
      </c>
      <c r="E87" s="1157"/>
    </row>
    <row r="88" spans="1:15" ht="25.5" hidden="1" customHeight="1"/>
    <row r="89" spans="1:15" ht="36" hidden="1" customHeight="1">
      <c r="B89" s="1104" t="s">
        <v>3649</v>
      </c>
      <c r="C89" s="1111" t="s">
        <v>4469</v>
      </c>
      <c r="D89" s="1111" t="s">
        <v>4387</v>
      </c>
      <c r="E89" s="1111"/>
      <c r="G89" s="1111" t="s">
        <v>3646</v>
      </c>
      <c r="I89" s="1111" t="s">
        <v>3956</v>
      </c>
    </row>
    <row r="90" spans="1:15" ht="36" hidden="1" customHeight="1">
      <c r="B90" s="1126" t="s">
        <v>4470</v>
      </c>
      <c r="C90" s="1127" t="s">
        <v>85</v>
      </c>
      <c r="D90" s="1128" t="s">
        <v>4394</v>
      </c>
      <c r="E90" s="1158"/>
      <c r="G90" s="1121">
        <v>43466</v>
      </c>
      <c r="I90" s="1119"/>
    </row>
    <row r="91" spans="1:15" ht="36" hidden="1" customHeight="1">
      <c r="B91" s="1126" t="s">
        <v>4471</v>
      </c>
      <c r="C91" s="1127" t="s">
        <v>85</v>
      </c>
      <c r="D91" s="1128" t="s">
        <v>4394</v>
      </c>
      <c r="E91" s="1158"/>
      <c r="G91" s="1121">
        <v>43466</v>
      </c>
      <c r="I91" s="1119"/>
    </row>
    <row r="92" spans="1:15" ht="36" hidden="1" customHeight="1">
      <c r="B92" s="1104"/>
      <c r="C92" s="1111"/>
    </row>
    <row r="93" spans="1:15" ht="36" hidden="1" customHeight="1">
      <c r="B93" s="1893" t="s">
        <v>4472</v>
      </c>
      <c r="C93" s="1893"/>
      <c r="D93" s="1125" t="s">
        <v>50</v>
      </c>
      <c r="E93" s="1157"/>
    </row>
    <row r="94" spans="1:15" ht="25.5" hidden="1" customHeight="1"/>
    <row r="95" spans="1:15" ht="36" hidden="1" customHeight="1">
      <c r="B95" s="1104" t="s">
        <v>3652</v>
      </c>
      <c r="C95" s="1111" t="s">
        <v>4469</v>
      </c>
      <c r="D95" s="1111" t="s">
        <v>4387</v>
      </c>
      <c r="E95" s="1111"/>
      <c r="G95" s="1111" t="s">
        <v>3646</v>
      </c>
      <c r="I95" s="1111" t="s">
        <v>3956</v>
      </c>
    </row>
    <row r="96" spans="1:15" ht="36" hidden="1" customHeight="1">
      <c r="B96" s="1126" t="s">
        <v>4473</v>
      </c>
      <c r="C96" s="1127" t="s">
        <v>85</v>
      </c>
      <c r="D96" s="1128" t="s">
        <v>4394</v>
      </c>
      <c r="E96" s="1158"/>
      <c r="G96" s="1121">
        <v>43466</v>
      </c>
      <c r="I96" s="1119"/>
    </row>
    <row r="97" spans="1:15" ht="36" hidden="1" customHeight="1">
      <c r="B97" s="1126" t="s">
        <v>4474</v>
      </c>
      <c r="C97" s="1127" t="s">
        <v>85</v>
      </c>
      <c r="D97" s="1128" t="s">
        <v>4394</v>
      </c>
      <c r="E97" s="1158"/>
      <c r="G97" s="1121">
        <v>43466</v>
      </c>
      <c r="I97" s="1119"/>
    </row>
    <row r="98" spans="1:15" ht="36" hidden="1" customHeight="1"/>
    <row r="99" spans="1:15" s="1108" customFormat="1" ht="36" customHeight="1">
      <c r="A99" s="1107" t="s">
        <v>4475</v>
      </c>
      <c r="O99" s="1109"/>
    </row>
    <row r="100" spans="1:15" ht="36" hidden="1" customHeight="1"/>
    <row r="101" spans="1:15" ht="36" customHeight="1">
      <c r="A101" s="1110"/>
      <c r="B101" s="1111" t="s">
        <v>4383</v>
      </c>
      <c r="C101" s="1112" t="s">
        <v>4384</v>
      </c>
      <c r="D101" s="1112" t="s">
        <v>4385</v>
      </c>
      <c r="E101" s="1161" t="s">
        <v>4494</v>
      </c>
      <c r="F101" s="1112" t="s">
        <v>4386</v>
      </c>
      <c r="G101" s="1111" t="s">
        <v>4387</v>
      </c>
      <c r="H101" s="1111" t="s">
        <v>4388</v>
      </c>
      <c r="I101" s="1112" t="s">
        <v>4389</v>
      </c>
      <c r="J101" s="1112" t="s">
        <v>4390</v>
      </c>
      <c r="K101" s="1112" t="s">
        <v>4391</v>
      </c>
      <c r="M101" s="1111" t="s">
        <v>3646</v>
      </c>
      <c r="O101" s="1113" t="s">
        <v>3956</v>
      </c>
    </row>
    <row r="102" spans="1:15" ht="36" customHeight="1">
      <c r="A102" s="1114"/>
      <c r="B102" s="1116" t="s">
        <v>4260</v>
      </c>
      <c r="C102" s="1118" t="s">
        <v>4476</v>
      </c>
      <c r="D102" s="1117" t="s">
        <v>4477</v>
      </c>
      <c r="E102" s="1159" t="s">
        <v>4476</v>
      </c>
      <c r="F102" s="1118" t="s">
        <v>72</v>
      </c>
      <c r="G102" s="1119" t="s">
        <v>4394</v>
      </c>
      <c r="H102" s="1120" t="s">
        <v>4450</v>
      </c>
      <c r="I102" s="1120" t="s">
        <v>85</v>
      </c>
      <c r="J102" s="1120" t="s">
        <v>113</v>
      </c>
      <c r="K102" s="1120" t="s">
        <v>113</v>
      </c>
      <c r="M102" s="1121">
        <v>43466</v>
      </c>
      <c r="O102" s="1118" t="s">
        <v>4478</v>
      </c>
    </row>
    <row r="103" spans="1:15" ht="36" customHeight="1">
      <c r="A103" s="1114"/>
      <c r="B103" s="1116" t="s">
        <v>4260</v>
      </c>
      <c r="C103" s="1118" t="s">
        <v>4479</v>
      </c>
      <c r="D103" s="1117" t="s">
        <v>4480</v>
      </c>
      <c r="E103" s="1159" t="s">
        <v>4479</v>
      </c>
      <c r="F103" s="1118" t="s">
        <v>72</v>
      </c>
      <c r="G103" s="1119" t="s">
        <v>4394</v>
      </c>
      <c r="H103" s="1120" t="s">
        <v>4450</v>
      </c>
      <c r="I103" s="1120" t="s">
        <v>85</v>
      </c>
      <c r="J103" s="1120" t="s">
        <v>113</v>
      </c>
      <c r="K103" s="1120" t="s">
        <v>113</v>
      </c>
      <c r="M103" s="1121">
        <v>43466</v>
      </c>
      <c r="O103" s="1118" t="s">
        <v>4481</v>
      </c>
    </row>
    <row r="104" spans="1:15" ht="36" customHeight="1">
      <c r="A104" s="1114"/>
      <c r="B104" s="1116" t="s">
        <v>4260</v>
      </c>
      <c r="C104" s="1118" t="s">
        <v>4482</v>
      </c>
      <c r="D104" s="1117" t="s">
        <v>4525</v>
      </c>
      <c r="E104" s="1159" t="s">
        <v>4526</v>
      </c>
      <c r="F104" s="1118" t="s">
        <v>72</v>
      </c>
      <c r="G104" s="1119" t="s">
        <v>4394</v>
      </c>
      <c r="H104" s="1120" t="s">
        <v>4450</v>
      </c>
      <c r="I104" s="1120" t="s">
        <v>85</v>
      </c>
      <c r="J104" s="1120" t="s">
        <v>113</v>
      </c>
      <c r="K104" s="1120" t="s">
        <v>113</v>
      </c>
      <c r="M104" s="1121">
        <v>43466</v>
      </c>
      <c r="O104" s="1118" t="s">
        <v>4478</v>
      </c>
    </row>
    <row r="105" spans="1:15" ht="36" customHeight="1">
      <c r="A105" s="1114"/>
      <c r="B105" s="1116" t="s">
        <v>4260</v>
      </c>
      <c r="C105" s="1118" t="s">
        <v>4482</v>
      </c>
      <c r="D105" s="1117" t="s">
        <v>4527</v>
      </c>
      <c r="E105" s="1159" t="s">
        <v>4528</v>
      </c>
      <c r="F105" s="1118" t="s">
        <v>72</v>
      </c>
      <c r="G105" s="1119" t="s">
        <v>4394</v>
      </c>
      <c r="H105" s="1120" t="s">
        <v>4450</v>
      </c>
      <c r="I105" s="1120" t="s">
        <v>85</v>
      </c>
      <c r="J105" s="1120" t="s">
        <v>113</v>
      </c>
      <c r="K105" s="1120" t="s">
        <v>113</v>
      </c>
      <c r="M105" s="1121">
        <v>43466</v>
      </c>
      <c r="O105" s="1118" t="s">
        <v>4478</v>
      </c>
    </row>
    <row r="106" spans="1:15" ht="36" customHeight="1">
      <c r="A106" s="1114"/>
      <c r="B106" s="1116" t="s">
        <v>4260</v>
      </c>
      <c r="C106" s="1118" t="s">
        <v>4482</v>
      </c>
      <c r="D106" s="1117" t="s">
        <v>4529</v>
      </c>
      <c r="E106" s="1159" t="s">
        <v>4530</v>
      </c>
      <c r="F106" s="1118" t="s">
        <v>72</v>
      </c>
      <c r="G106" s="1119" t="s">
        <v>4394</v>
      </c>
      <c r="H106" s="1120" t="s">
        <v>4450</v>
      </c>
      <c r="I106" s="1120" t="s">
        <v>85</v>
      </c>
      <c r="J106" s="1120" t="s">
        <v>113</v>
      </c>
      <c r="K106" s="1120" t="s">
        <v>113</v>
      </c>
      <c r="M106" s="1121">
        <v>43466</v>
      </c>
      <c r="O106" s="1118" t="s">
        <v>4478</v>
      </c>
    </row>
    <row r="107" spans="1:15" ht="36" customHeight="1">
      <c r="A107" s="1114"/>
      <c r="B107" s="1116" t="s">
        <v>4260</v>
      </c>
      <c r="C107" s="1118" t="s">
        <v>4482</v>
      </c>
      <c r="D107" s="1117" t="s">
        <v>4531</v>
      </c>
      <c r="E107" s="1159" t="s">
        <v>4532</v>
      </c>
      <c r="F107" s="1118" t="s">
        <v>72</v>
      </c>
      <c r="G107" s="1119" t="s">
        <v>4394</v>
      </c>
      <c r="H107" s="1120" t="s">
        <v>4450</v>
      </c>
      <c r="I107" s="1120" t="s">
        <v>85</v>
      </c>
      <c r="J107" s="1120" t="s">
        <v>113</v>
      </c>
      <c r="K107" s="1120" t="s">
        <v>113</v>
      </c>
      <c r="M107" s="1121">
        <v>43466</v>
      </c>
      <c r="O107" s="1118" t="s">
        <v>4478</v>
      </c>
    </row>
    <row r="108" spans="1:15" ht="36" customHeight="1">
      <c r="A108" s="1114"/>
      <c r="B108" s="1116" t="s">
        <v>4260</v>
      </c>
      <c r="C108" s="1118" t="s">
        <v>4483</v>
      </c>
      <c r="D108" s="1117" t="s">
        <v>4533</v>
      </c>
      <c r="E108" s="1159" t="s">
        <v>4534</v>
      </c>
      <c r="F108" s="1118" t="s">
        <v>72</v>
      </c>
      <c r="G108" s="1119" t="s">
        <v>4394</v>
      </c>
      <c r="H108" s="1120" t="s">
        <v>4450</v>
      </c>
      <c r="I108" s="1120" t="s">
        <v>85</v>
      </c>
      <c r="J108" s="1120" t="s">
        <v>113</v>
      </c>
      <c r="K108" s="1120" t="s">
        <v>113</v>
      </c>
      <c r="M108" s="1121">
        <v>43466</v>
      </c>
      <c r="O108" s="1118" t="s">
        <v>4481</v>
      </c>
    </row>
    <row r="109" spans="1:15" ht="36" customHeight="1">
      <c r="A109" s="1114"/>
      <c r="B109" s="1116" t="s">
        <v>4260</v>
      </c>
      <c r="C109" s="1118" t="s">
        <v>4483</v>
      </c>
      <c r="D109" s="1117" t="s">
        <v>4535</v>
      </c>
      <c r="E109" s="1159" t="s">
        <v>4536</v>
      </c>
      <c r="F109" s="1118" t="s">
        <v>72</v>
      </c>
      <c r="G109" s="1119" t="s">
        <v>4394</v>
      </c>
      <c r="H109" s="1120" t="s">
        <v>4450</v>
      </c>
      <c r="I109" s="1120" t="s">
        <v>85</v>
      </c>
      <c r="J109" s="1120" t="s">
        <v>113</v>
      </c>
      <c r="K109" s="1120" t="s">
        <v>113</v>
      </c>
      <c r="M109" s="1121">
        <v>43466</v>
      </c>
      <c r="O109" s="1118" t="s">
        <v>4481</v>
      </c>
    </row>
    <row r="110" spans="1:15" ht="36" customHeight="1">
      <c r="A110" s="1114"/>
      <c r="B110" s="1116" t="s">
        <v>4260</v>
      </c>
      <c r="C110" s="1118" t="s">
        <v>4483</v>
      </c>
      <c r="D110" s="1117" t="s">
        <v>4537</v>
      </c>
      <c r="E110" s="1159" t="s">
        <v>4538</v>
      </c>
      <c r="F110" s="1118" t="s">
        <v>72</v>
      </c>
      <c r="G110" s="1119" t="s">
        <v>4394</v>
      </c>
      <c r="H110" s="1120" t="s">
        <v>4450</v>
      </c>
      <c r="I110" s="1120" t="s">
        <v>85</v>
      </c>
      <c r="J110" s="1120" t="s">
        <v>113</v>
      </c>
      <c r="K110" s="1120" t="s">
        <v>113</v>
      </c>
      <c r="M110" s="1121">
        <v>43466</v>
      </c>
      <c r="O110" s="1118" t="s">
        <v>4481</v>
      </c>
    </row>
    <row r="111" spans="1:15" ht="36" customHeight="1">
      <c r="A111" s="1114"/>
      <c r="B111" s="1116" t="s">
        <v>4260</v>
      </c>
      <c r="C111" s="1118" t="s">
        <v>4483</v>
      </c>
      <c r="D111" s="1117" t="s">
        <v>4539</v>
      </c>
      <c r="E111" s="1159" t="s">
        <v>4540</v>
      </c>
      <c r="F111" s="1118" t="s">
        <v>72</v>
      </c>
      <c r="G111" s="1119" t="s">
        <v>4394</v>
      </c>
      <c r="H111" s="1120" t="s">
        <v>4450</v>
      </c>
      <c r="I111" s="1120" t="s">
        <v>85</v>
      </c>
      <c r="J111" s="1120" t="s">
        <v>113</v>
      </c>
      <c r="K111" s="1120" t="s">
        <v>113</v>
      </c>
      <c r="M111" s="1121">
        <v>43466</v>
      </c>
      <c r="O111" s="1118" t="s">
        <v>4481</v>
      </c>
    </row>
    <row r="112" spans="1:15" ht="36" customHeight="1">
      <c r="A112" s="1114"/>
      <c r="B112" s="1116" t="s">
        <v>4260</v>
      </c>
      <c r="C112" s="1118" t="s">
        <v>4484</v>
      </c>
      <c r="D112" s="1117" t="s">
        <v>4485</v>
      </c>
      <c r="E112" s="1159" t="s">
        <v>4541</v>
      </c>
      <c r="F112" s="1118" t="s">
        <v>72</v>
      </c>
      <c r="G112" s="1119" t="s">
        <v>4394</v>
      </c>
      <c r="H112" s="1120" t="s">
        <v>4450</v>
      </c>
      <c r="I112" s="1120" t="s">
        <v>113</v>
      </c>
      <c r="J112" s="1120" t="s">
        <v>113</v>
      </c>
      <c r="K112" s="1120" t="s">
        <v>85</v>
      </c>
      <c r="M112" s="1121">
        <v>43466</v>
      </c>
      <c r="O112" s="1118"/>
    </row>
    <row r="113" spans="1:15" ht="36" customHeight="1">
      <c r="A113" s="1114"/>
      <c r="B113" s="1116" t="s">
        <v>4260</v>
      </c>
      <c r="C113" s="1118" t="s">
        <v>4486</v>
      </c>
      <c r="D113" s="1117" t="s">
        <v>4487</v>
      </c>
      <c r="E113" s="1159" t="s">
        <v>4542</v>
      </c>
      <c r="F113" s="1118" t="s">
        <v>72</v>
      </c>
      <c r="G113" s="1119" t="s">
        <v>4394</v>
      </c>
      <c r="H113" s="1120" t="s">
        <v>4450</v>
      </c>
      <c r="I113" s="1120" t="s">
        <v>85</v>
      </c>
      <c r="J113" s="1120" t="s">
        <v>113</v>
      </c>
      <c r="K113" s="1120" t="s">
        <v>113</v>
      </c>
      <c r="M113" s="1121">
        <v>43466</v>
      </c>
      <c r="O113" s="1118"/>
    </row>
    <row r="114" spans="1:15" ht="36" hidden="1" customHeight="1">
      <c r="A114" s="1114"/>
      <c r="B114" s="1122"/>
      <c r="C114" s="1122"/>
      <c r="D114" s="1129"/>
      <c r="E114" s="1129"/>
      <c r="F114" s="1120"/>
      <c r="G114" s="1119"/>
      <c r="H114" s="1120"/>
      <c r="I114" s="1120"/>
      <c r="J114" s="1120"/>
      <c r="K114" s="1120"/>
      <c r="M114" s="1121"/>
      <c r="O114" s="1118"/>
    </row>
    <row r="115" spans="1:15" ht="36" hidden="1" customHeight="1">
      <c r="A115" s="1114"/>
      <c r="B115" s="1122"/>
      <c r="C115" s="1122"/>
      <c r="D115" s="1129"/>
      <c r="E115" s="1129"/>
      <c r="F115" s="1120"/>
      <c r="G115" s="1119"/>
      <c r="H115" s="1120"/>
      <c r="I115" s="1120"/>
      <c r="J115" s="1120"/>
      <c r="K115" s="1120"/>
      <c r="M115" s="1121"/>
      <c r="O115" s="1118"/>
    </row>
  </sheetData>
  <mergeCells count="3">
    <mergeCell ref="B19:O19"/>
    <mergeCell ref="B87:C87"/>
    <mergeCell ref="B93:C93"/>
  </mergeCell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7"/>
  </sheetPr>
  <dimension ref="A1:AY370"/>
  <sheetViews>
    <sheetView view="pageBreakPreview" zoomScale="85" zoomScaleSheetLayoutView="85" workbookViewId="0">
      <pane ySplit="1" topLeftCell="A331" activePane="bottomLeft" state="frozen"/>
      <selection activeCell="D1" sqref="D1:E1048576"/>
      <selection pane="bottomLeft" activeCell="D343" sqref="D343"/>
    </sheetView>
  </sheetViews>
  <sheetFormatPr defaultColWidth="17.125" defaultRowHeight="12.75"/>
  <cols>
    <col min="1" max="1" width="14.125" style="895" customWidth="1"/>
    <col min="2" max="2" width="18" style="895" customWidth="1"/>
    <col min="3" max="3" width="20.125" style="870" hidden="1" customWidth="1"/>
    <col min="4" max="4" width="20.125" style="870" customWidth="1"/>
    <col min="5" max="5" width="34.375" style="870" customWidth="1"/>
    <col min="6" max="6" width="31.625" style="870" customWidth="1"/>
    <col min="7" max="7" width="15.625" style="870" customWidth="1"/>
    <col min="8" max="8" width="33.875" style="896" customWidth="1"/>
    <col min="9" max="9" width="37.875" style="889" customWidth="1"/>
    <col min="10" max="10" width="7.125" style="844" customWidth="1"/>
    <col min="11" max="37" width="17.125" style="844"/>
    <col min="38" max="16384" width="17.125" style="870"/>
  </cols>
  <sheetData>
    <row r="1" spans="1:37" s="837" customFormat="1" ht="33.75" customHeight="1" thickBot="1">
      <c r="A1" s="831" t="s">
        <v>2506</v>
      </c>
      <c r="B1" s="832" t="s">
        <v>2507</v>
      </c>
      <c r="C1" s="832" t="s">
        <v>2508</v>
      </c>
      <c r="D1" s="832" t="s">
        <v>2509</v>
      </c>
      <c r="E1" s="833" t="s">
        <v>2510</v>
      </c>
      <c r="F1" s="833" t="s">
        <v>2511</v>
      </c>
      <c r="G1" s="834" t="s">
        <v>2512</v>
      </c>
      <c r="H1" s="834" t="s">
        <v>2513</v>
      </c>
      <c r="I1" s="835" t="s">
        <v>2514</v>
      </c>
      <c r="J1" s="836"/>
      <c r="K1" s="836"/>
      <c r="L1" s="836"/>
      <c r="M1" s="836"/>
      <c r="N1" s="836"/>
      <c r="O1" s="836"/>
      <c r="P1" s="836"/>
      <c r="Q1" s="836"/>
      <c r="R1" s="836"/>
      <c r="S1" s="836"/>
      <c r="T1" s="836"/>
      <c r="U1" s="836"/>
      <c r="V1" s="836"/>
      <c r="W1" s="836"/>
      <c r="X1" s="836"/>
      <c r="Y1" s="836"/>
      <c r="Z1" s="836"/>
      <c r="AA1" s="836"/>
      <c r="AB1" s="836"/>
      <c r="AC1" s="836"/>
      <c r="AD1" s="836"/>
      <c r="AE1" s="836"/>
      <c r="AF1" s="836"/>
      <c r="AG1" s="836"/>
      <c r="AH1" s="836"/>
      <c r="AI1" s="836"/>
      <c r="AJ1" s="836"/>
      <c r="AK1" s="836"/>
    </row>
    <row r="2" spans="1:37" s="839" customFormat="1" ht="29.25" customHeight="1" thickBot="1">
      <c r="A2" s="1904" t="s">
        <v>2515</v>
      </c>
      <c r="B2" s="1958" t="s">
        <v>2516</v>
      </c>
      <c r="C2" s="1933" t="s">
        <v>2517</v>
      </c>
      <c r="D2" s="1934"/>
      <c r="E2" s="1935"/>
      <c r="F2" s="1935"/>
      <c r="G2" s="1935"/>
      <c r="H2" s="1935"/>
      <c r="I2" s="1936"/>
      <c r="J2" s="838"/>
      <c r="K2" s="838"/>
      <c r="L2" s="838"/>
      <c r="M2" s="838"/>
      <c r="N2" s="838"/>
      <c r="O2" s="838"/>
      <c r="P2" s="838"/>
      <c r="Q2" s="838"/>
      <c r="R2" s="838"/>
      <c r="S2" s="838"/>
      <c r="T2" s="838"/>
      <c r="U2" s="838"/>
      <c r="V2" s="838"/>
      <c r="W2" s="838"/>
      <c r="X2" s="838"/>
      <c r="Y2" s="838"/>
      <c r="Z2" s="838"/>
      <c r="AA2" s="838"/>
      <c r="AB2" s="838"/>
      <c r="AC2" s="838"/>
      <c r="AD2" s="838"/>
      <c r="AE2" s="838"/>
      <c r="AF2" s="838"/>
      <c r="AG2" s="838"/>
      <c r="AH2" s="838"/>
      <c r="AI2" s="838"/>
      <c r="AJ2" s="838"/>
      <c r="AK2" s="838"/>
    </row>
    <row r="3" spans="1:37" s="839" customFormat="1" ht="42" customHeight="1">
      <c r="A3" s="1905"/>
      <c r="B3" s="1959"/>
      <c r="C3" s="840" t="s">
        <v>2518</v>
      </c>
      <c r="D3" s="841" t="s">
        <v>2519</v>
      </c>
      <c r="E3" s="842" t="s">
        <v>2520</v>
      </c>
      <c r="F3" s="841" t="s">
        <v>2521</v>
      </c>
      <c r="G3" s="841" t="s">
        <v>72</v>
      </c>
      <c r="H3" s="598" t="s">
        <v>2522</v>
      </c>
      <c r="I3" s="843" t="s">
        <v>72</v>
      </c>
      <c r="J3" s="844"/>
      <c r="K3" s="844"/>
      <c r="L3" s="844"/>
      <c r="M3" s="844"/>
      <c r="N3" s="844"/>
      <c r="O3" s="844"/>
      <c r="P3" s="844"/>
      <c r="Q3" s="844"/>
      <c r="R3" s="844"/>
      <c r="S3" s="844"/>
      <c r="T3" s="844"/>
      <c r="U3" s="844"/>
      <c r="V3" s="844"/>
      <c r="W3" s="844"/>
      <c r="X3" s="844"/>
      <c r="Y3" s="844"/>
      <c r="Z3" s="844"/>
      <c r="AA3" s="844"/>
      <c r="AB3" s="844"/>
      <c r="AC3" s="844"/>
      <c r="AD3" s="844"/>
      <c r="AE3" s="844"/>
      <c r="AF3" s="844"/>
      <c r="AG3" s="844"/>
      <c r="AH3" s="844"/>
      <c r="AI3" s="844"/>
      <c r="AJ3" s="844"/>
      <c r="AK3" s="844"/>
    </row>
    <row r="4" spans="1:37" s="839" customFormat="1" ht="42" customHeight="1">
      <c r="A4" s="1905"/>
      <c r="B4" s="1959"/>
      <c r="C4" s="840" t="s">
        <v>2518</v>
      </c>
      <c r="D4" s="840" t="s">
        <v>2523</v>
      </c>
      <c r="E4" s="845" t="s">
        <v>2524</v>
      </c>
      <c r="F4" s="840" t="s">
        <v>2525</v>
      </c>
      <c r="G4" s="840" t="s">
        <v>2526</v>
      </c>
      <c r="H4" s="599" t="s">
        <v>2527</v>
      </c>
      <c r="I4" s="846" t="s">
        <v>72</v>
      </c>
      <c r="J4" s="844"/>
      <c r="K4" s="844"/>
      <c r="L4" s="844"/>
      <c r="M4" s="844"/>
      <c r="N4" s="844"/>
      <c r="O4" s="844"/>
      <c r="P4" s="844"/>
      <c r="Q4" s="844"/>
      <c r="R4" s="844"/>
      <c r="S4" s="844"/>
      <c r="T4" s="844"/>
      <c r="U4" s="844"/>
      <c r="V4" s="844"/>
      <c r="W4" s="844"/>
      <c r="X4" s="844"/>
      <c r="Y4" s="844"/>
      <c r="Z4" s="844"/>
      <c r="AA4" s="844"/>
      <c r="AB4" s="844"/>
      <c r="AC4" s="844"/>
      <c r="AD4" s="844"/>
      <c r="AE4" s="844"/>
      <c r="AF4" s="844"/>
      <c r="AG4" s="844"/>
      <c r="AH4" s="844"/>
      <c r="AI4" s="844"/>
      <c r="AJ4" s="844"/>
      <c r="AK4" s="844"/>
    </row>
    <row r="5" spans="1:37" s="839" customFormat="1" ht="42" customHeight="1">
      <c r="A5" s="1905"/>
      <c r="B5" s="1959"/>
      <c r="C5" s="840" t="s">
        <v>2518</v>
      </c>
      <c r="D5" s="840" t="s">
        <v>2528</v>
      </c>
      <c r="E5" s="845" t="s">
        <v>2529</v>
      </c>
      <c r="F5" s="840" t="s">
        <v>2530</v>
      </c>
      <c r="G5" s="840" t="s">
        <v>2531</v>
      </c>
      <c r="H5" s="599" t="s">
        <v>2532</v>
      </c>
      <c r="I5" s="846" t="s">
        <v>2533</v>
      </c>
      <c r="J5" s="844"/>
      <c r="K5" s="844"/>
      <c r="L5" s="844"/>
      <c r="M5" s="844"/>
      <c r="N5" s="844"/>
      <c r="O5" s="844"/>
      <c r="P5" s="844"/>
      <c r="Q5" s="844"/>
      <c r="R5" s="844"/>
      <c r="S5" s="844"/>
      <c r="T5" s="844"/>
      <c r="U5" s="844"/>
      <c r="V5" s="844"/>
      <c r="W5" s="844"/>
      <c r="X5" s="844"/>
      <c r="Y5" s="844"/>
      <c r="Z5" s="844"/>
      <c r="AA5" s="844"/>
      <c r="AB5" s="844"/>
      <c r="AC5" s="844"/>
      <c r="AD5" s="844"/>
      <c r="AE5" s="844"/>
      <c r="AF5" s="844"/>
      <c r="AG5" s="844"/>
      <c r="AH5" s="844"/>
      <c r="AI5" s="844"/>
      <c r="AJ5" s="844"/>
      <c r="AK5" s="844"/>
    </row>
    <row r="6" spans="1:37" s="839" customFormat="1" ht="42" customHeight="1">
      <c r="A6" s="1905"/>
      <c r="B6" s="1959"/>
      <c r="C6" s="840" t="s">
        <v>2518</v>
      </c>
      <c r="D6" s="840" t="s">
        <v>4358</v>
      </c>
      <c r="E6" s="845" t="s">
        <v>2534</v>
      </c>
      <c r="F6" s="840" t="s">
        <v>4359</v>
      </c>
      <c r="G6" s="840" t="s">
        <v>72</v>
      </c>
      <c r="H6" s="600" t="s">
        <v>4360</v>
      </c>
      <c r="I6" s="846" t="s">
        <v>4361</v>
      </c>
      <c r="J6" s="844"/>
      <c r="K6" s="844"/>
      <c r="L6" s="844"/>
      <c r="M6" s="844"/>
      <c r="N6" s="844"/>
      <c r="O6" s="844"/>
      <c r="P6" s="844"/>
      <c r="Q6" s="844"/>
      <c r="R6" s="844"/>
      <c r="S6" s="844"/>
      <c r="T6" s="844"/>
      <c r="U6" s="844"/>
      <c r="V6" s="844"/>
      <c r="W6" s="844"/>
      <c r="X6" s="844"/>
      <c r="Y6" s="844"/>
      <c r="Z6" s="844"/>
      <c r="AA6" s="844"/>
      <c r="AB6" s="844"/>
      <c r="AC6" s="844"/>
      <c r="AD6" s="844"/>
      <c r="AE6" s="844"/>
      <c r="AF6" s="844"/>
      <c r="AG6" s="844"/>
      <c r="AH6" s="844"/>
      <c r="AI6" s="844"/>
      <c r="AJ6" s="844"/>
      <c r="AK6" s="844"/>
    </row>
    <row r="7" spans="1:37" s="839" customFormat="1" ht="42" customHeight="1">
      <c r="A7" s="1905"/>
      <c r="B7" s="1959"/>
      <c r="C7" s="840" t="s">
        <v>2518</v>
      </c>
      <c r="D7" s="840" t="s">
        <v>2535</v>
      </c>
      <c r="E7" s="840" t="s">
        <v>2536</v>
      </c>
      <c r="F7" s="840" t="s">
        <v>2537</v>
      </c>
      <c r="G7" s="840" t="s">
        <v>2538</v>
      </c>
      <c r="H7" s="600" t="s">
        <v>2539</v>
      </c>
      <c r="I7" s="846" t="s">
        <v>72</v>
      </c>
      <c r="J7" s="844"/>
      <c r="K7" s="844"/>
      <c r="L7" s="844"/>
      <c r="M7" s="844"/>
      <c r="N7" s="844"/>
      <c r="O7" s="844"/>
      <c r="P7" s="844"/>
      <c r="Q7" s="844"/>
      <c r="R7" s="844"/>
      <c r="S7" s="844"/>
      <c r="T7" s="844"/>
      <c r="U7" s="844"/>
      <c r="V7" s="844"/>
      <c r="W7" s="844"/>
      <c r="X7" s="844"/>
      <c r="Y7" s="844"/>
      <c r="Z7" s="844"/>
      <c r="AA7" s="844"/>
      <c r="AB7" s="844"/>
      <c r="AC7" s="844"/>
      <c r="AD7" s="844"/>
      <c r="AE7" s="844"/>
      <c r="AF7" s="844"/>
      <c r="AG7" s="844"/>
      <c r="AH7" s="844"/>
      <c r="AI7" s="844"/>
      <c r="AJ7" s="844"/>
      <c r="AK7" s="844"/>
    </row>
    <row r="8" spans="1:37" s="839" customFormat="1" ht="42" customHeight="1">
      <c r="A8" s="1905"/>
      <c r="B8" s="1959"/>
      <c r="C8" s="840" t="s">
        <v>2518</v>
      </c>
      <c r="D8" s="840" t="s">
        <v>2540</v>
      </c>
      <c r="E8" s="845" t="s">
        <v>2541</v>
      </c>
      <c r="F8" s="840" t="s">
        <v>2542</v>
      </c>
      <c r="G8" s="840" t="s">
        <v>2538</v>
      </c>
      <c r="H8" s="599" t="s">
        <v>2543</v>
      </c>
      <c r="I8" s="846" t="s">
        <v>72</v>
      </c>
      <c r="J8" s="844"/>
      <c r="K8" s="844"/>
      <c r="L8" s="844"/>
      <c r="M8" s="844"/>
      <c r="N8" s="844"/>
      <c r="O8" s="844"/>
      <c r="P8" s="844"/>
      <c r="Q8" s="844"/>
      <c r="R8" s="844"/>
      <c r="S8" s="844"/>
      <c r="T8" s="844"/>
      <c r="U8" s="844"/>
      <c r="V8" s="844"/>
      <c r="W8" s="844"/>
      <c r="X8" s="844"/>
      <c r="Y8" s="844"/>
      <c r="Z8" s="844"/>
      <c r="AA8" s="844"/>
      <c r="AB8" s="844"/>
      <c r="AC8" s="844"/>
      <c r="AD8" s="844"/>
      <c r="AE8" s="844"/>
      <c r="AF8" s="844"/>
      <c r="AG8" s="844"/>
      <c r="AH8" s="844"/>
      <c r="AI8" s="844"/>
      <c r="AJ8" s="844"/>
      <c r="AK8" s="844"/>
    </row>
    <row r="9" spans="1:37" s="839" customFormat="1" ht="42" customHeight="1">
      <c r="A9" s="1905"/>
      <c r="B9" s="1959"/>
      <c r="C9" s="840" t="s">
        <v>2518</v>
      </c>
      <c r="D9" s="840" t="s">
        <v>2544</v>
      </c>
      <c r="E9" s="845" t="s">
        <v>2545</v>
      </c>
      <c r="F9" s="840" t="s">
        <v>2546</v>
      </c>
      <c r="G9" s="840" t="s">
        <v>2547</v>
      </c>
      <c r="H9" s="599" t="s">
        <v>2548</v>
      </c>
      <c r="I9" s="846" t="s">
        <v>72</v>
      </c>
      <c r="J9" s="844"/>
      <c r="K9" s="844"/>
      <c r="L9" s="844"/>
      <c r="M9" s="844"/>
      <c r="N9" s="844"/>
      <c r="O9" s="844"/>
      <c r="P9" s="844"/>
      <c r="Q9" s="844"/>
      <c r="R9" s="844"/>
      <c r="S9" s="844"/>
      <c r="T9" s="844"/>
      <c r="U9" s="844"/>
      <c r="V9" s="844"/>
      <c r="W9" s="844"/>
      <c r="X9" s="844"/>
      <c r="Y9" s="844"/>
      <c r="Z9" s="844"/>
      <c r="AA9" s="844"/>
      <c r="AB9" s="844"/>
      <c r="AC9" s="844"/>
      <c r="AD9" s="844"/>
      <c r="AE9" s="844"/>
      <c r="AF9" s="844"/>
      <c r="AG9" s="844"/>
      <c r="AH9" s="844"/>
      <c r="AI9" s="844"/>
      <c r="AJ9" s="844"/>
      <c r="AK9" s="844"/>
    </row>
    <row r="10" spans="1:37" s="839" customFormat="1" ht="24" customHeight="1">
      <c r="A10" s="1905"/>
      <c r="B10" s="1959"/>
      <c r="C10" s="1950" t="s">
        <v>2518</v>
      </c>
      <c r="D10" s="1950" t="s">
        <v>2549</v>
      </c>
      <c r="E10" s="1952" t="s">
        <v>2550</v>
      </c>
      <c r="F10" s="1950" t="s">
        <v>72</v>
      </c>
      <c r="G10" s="1950" t="s">
        <v>72</v>
      </c>
      <c r="H10" s="600" t="s">
        <v>2551</v>
      </c>
      <c r="I10" s="1912" t="s">
        <v>72</v>
      </c>
      <c r="J10" s="844"/>
      <c r="K10" s="844"/>
      <c r="L10" s="844"/>
      <c r="M10" s="844"/>
      <c r="N10" s="844"/>
      <c r="O10" s="844"/>
      <c r="P10" s="844"/>
      <c r="Q10" s="844"/>
      <c r="R10" s="844"/>
      <c r="S10" s="844"/>
      <c r="T10" s="844"/>
      <c r="U10" s="844"/>
      <c r="V10" s="844"/>
      <c r="W10" s="844"/>
      <c r="X10" s="844"/>
      <c r="Y10" s="844"/>
      <c r="Z10" s="844"/>
      <c r="AA10" s="844"/>
      <c r="AB10" s="844"/>
      <c r="AC10" s="844"/>
      <c r="AD10" s="844"/>
      <c r="AE10" s="844"/>
      <c r="AF10" s="844"/>
      <c r="AG10" s="844"/>
      <c r="AH10" s="844"/>
      <c r="AI10" s="844"/>
      <c r="AJ10" s="844"/>
      <c r="AK10" s="844"/>
    </row>
    <row r="11" spans="1:37" s="839" customFormat="1" ht="35.25" customHeight="1">
      <c r="A11" s="1905"/>
      <c r="B11" s="1959"/>
      <c r="C11" s="1961"/>
      <c r="D11" s="1961"/>
      <c r="E11" s="1962"/>
      <c r="F11" s="1961"/>
      <c r="G11" s="1961"/>
      <c r="H11" s="601" t="s">
        <v>2552</v>
      </c>
      <c r="I11" s="1913"/>
      <c r="J11" s="844"/>
      <c r="K11" s="844"/>
      <c r="L11" s="844"/>
      <c r="M11" s="844"/>
      <c r="N11" s="844"/>
      <c r="O11" s="844"/>
      <c r="P11" s="844"/>
      <c r="Q11" s="844"/>
      <c r="R11" s="844"/>
      <c r="S11" s="844"/>
      <c r="T11" s="844"/>
      <c r="U11" s="844"/>
      <c r="V11" s="844"/>
      <c r="W11" s="844"/>
      <c r="X11" s="844"/>
      <c r="Y11" s="844"/>
      <c r="Z11" s="844"/>
      <c r="AA11" s="844"/>
      <c r="AB11" s="844"/>
      <c r="AC11" s="844"/>
      <c r="AD11" s="844"/>
      <c r="AE11" s="844"/>
      <c r="AF11" s="844"/>
      <c r="AG11" s="844"/>
      <c r="AH11" s="844"/>
      <c r="AI11" s="844"/>
      <c r="AJ11" s="844"/>
      <c r="AK11" s="844"/>
    </row>
    <row r="12" spans="1:37" s="839" customFormat="1" ht="56.25" customHeight="1" thickBot="1">
      <c r="A12" s="1905"/>
      <c r="B12" s="1959"/>
      <c r="C12" s="840" t="s">
        <v>2518</v>
      </c>
      <c r="D12" s="847" t="s">
        <v>2553</v>
      </c>
      <c r="E12" s="848" t="s">
        <v>2554</v>
      </c>
      <c r="F12" s="847" t="s">
        <v>72</v>
      </c>
      <c r="G12" s="847" t="s">
        <v>72</v>
      </c>
      <c r="H12" s="601" t="s">
        <v>2555</v>
      </c>
      <c r="I12" s="849" t="s">
        <v>72</v>
      </c>
      <c r="J12" s="844"/>
      <c r="K12" s="844"/>
      <c r="L12" s="844"/>
      <c r="M12" s="844"/>
      <c r="N12" s="844"/>
      <c r="O12" s="844"/>
      <c r="P12" s="844"/>
      <c r="Q12" s="844"/>
      <c r="R12" s="844"/>
      <c r="S12" s="844"/>
      <c r="T12" s="844"/>
      <c r="U12" s="844"/>
      <c r="V12" s="844"/>
      <c r="W12" s="844"/>
      <c r="X12" s="844"/>
      <c r="Y12" s="844"/>
      <c r="Z12" s="844"/>
      <c r="AA12" s="844"/>
      <c r="AB12" s="844"/>
      <c r="AC12" s="844"/>
      <c r="AD12" s="844"/>
      <c r="AE12" s="844"/>
      <c r="AF12" s="844"/>
      <c r="AG12" s="844"/>
      <c r="AH12" s="844"/>
      <c r="AI12" s="844"/>
      <c r="AJ12" s="844"/>
      <c r="AK12" s="844"/>
    </row>
    <row r="13" spans="1:37" s="839" customFormat="1" ht="29.25" customHeight="1" thickBot="1">
      <c r="A13" s="1905"/>
      <c r="B13" s="1959"/>
      <c r="C13" s="1915" t="s">
        <v>2556</v>
      </c>
      <c r="D13" s="1916"/>
      <c r="E13" s="1917"/>
      <c r="F13" s="1917"/>
      <c r="G13" s="1917"/>
      <c r="H13" s="1917"/>
      <c r="I13" s="1918"/>
      <c r="J13" s="838"/>
      <c r="K13" s="838"/>
      <c r="L13" s="838"/>
      <c r="M13" s="838"/>
      <c r="N13" s="838"/>
      <c r="O13" s="838"/>
      <c r="P13" s="838"/>
      <c r="Q13" s="838"/>
      <c r="R13" s="838"/>
      <c r="S13" s="838"/>
      <c r="T13" s="838"/>
      <c r="U13" s="838"/>
      <c r="V13" s="838"/>
      <c r="W13" s="838"/>
      <c r="X13" s="838"/>
      <c r="Y13" s="838"/>
      <c r="Z13" s="838"/>
      <c r="AA13" s="838"/>
      <c r="AB13" s="838"/>
      <c r="AC13" s="838"/>
      <c r="AD13" s="838"/>
      <c r="AE13" s="838"/>
      <c r="AF13" s="838"/>
      <c r="AG13" s="838"/>
      <c r="AH13" s="838"/>
      <c r="AI13" s="838"/>
      <c r="AJ13" s="838"/>
      <c r="AK13" s="838"/>
    </row>
    <row r="14" spans="1:37" s="839" customFormat="1" ht="42" customHeight="1">
      <c r="A14" s="1905"/>
      <c r="B14" s="1959"/>
      <c r="C14" s="840" t="s">
        <v>2557</v>
      </c>
      <c r="D14" s="850" t="s">
        <v>2558</v>
      </c>
      <c r="E14" s="851" t="s">
        <v>2559</v>
      </c>
      <c r="F14" s="850" t="s">
        <v>2560</v>
      </c>
      <c r="G14" s="850" t="s">
        <v>72</v>
      </c>
      <c r="H14" s="841" t="s">
        <v>72</v>
      </c>
      <c r="I14" s="852" t="s">
        <v>72</v>
      </c>
      <c r="J14" s="844"/>
      <c r="K14" s="844"/>
      <c r="L14" s="844"/>
      <c r="M14" s="844"/>
      <c r="N14" s="844"/>
      <c r="O14" s="844"/>
      <c r="P14" s="844"/>
      <c r="Q14" s="844"/>
      <c r="R14" s="844"/>
      <c r="S14" s="844"/>
      <c r="T14" s="844"/>
      <c r="U14" s="844"/>
      <c r="V14" s="844"/>
      <c r="W14" s="844"/>
      <c r="X14" s="844"/>
      <c r="Y14" s="844"/>
      <c r="Z14" s="844"/>
      <c r="AA14" s="844"/>
      <c r="AB14" s="844"/>
      <c r="AC14" s="844"/>
      <c r="AD14" s="844"/>
      <c r="AE14" s="844"/>
      <c r="AF14" s="844"/>
      <c r="AG14" s="844"/>
      <c r="AH14" s="844"/>
      <c r="AI14" s="844"/>
      <c r="AJ14" s="844"/>
      <c r="AK14" s="844"/>
    </row>
    <row r="15" spans="1:37" s="839" customFormat="1" ht="63" customHeight="1" thickBot="1">
      <c r="A15" s="1905"/>
      <c r="B15" s="1959"/>
      <c r="C15" s="840" t="s">
        <v>2557</v>
      </c>
      <c r="D15" s="840" t="s">
        <v>2561</v>
      </c>
      <c r="E15" s="845" t="s">
        <v>2562</v>
      </c>
      <c r="F15" s="840" t="s">
        <v>72</v>
      </c>
      <c r="G15" s="840" t="s">
        <v>72</v>
      </c>
      <c r="H15" s="600" t="s">
        <v>2563</v>
      </c>
      <c r="I15" s="846" t="s">
        <v>72</v>
      </c>
      <c r="J15" s="844"/>
      <c r="K15" s="844"/>
      <c r="L15" s="844"/>
      <c r="M15" s="844"/>
      <c r="N15" s="844"/>
      <c r="O15" s="844"/>
      <c r="P15" s="844"/>
      <c r="Q15" s="844"/>
      <c r="R15" s="844"/>
      <c r="S15" s="844"/>
      <c r="T15" s="844"/>
      <c r="U15" s="844"/>
      <c r="V15" s="844"/>
      <c r="W15" s="844"/>
      <c r="X15" s="844"/>
      <c r="Y15" s="844"/>
      <c r="Z15" s="844"/>
      <c r="AA15" s="844"/>
      <c r="AB15" s="844"/>
      <c r="AC15" s="844"/>
      <c r="AD15" s="844"/>
      <c r="AE15" s="844"/>
      <c r="AF15" s="844"/>
      <c r="AG15" s="844"/>
      <c r="AH15" s="844"/>
      <c r="AI15" s="844"/>
      <c r="AJ15" s="844"/>
      <c r="AK15" s="844"/>
    </row>
    <row r="16" spans="1:37" s="839" customFormat="1" ht="29.25" customHeight="1" thickBot="1">
      <c r="A16" s="1894" t="s">
        <v>2564</v>
      </c>
      <c r="B16" s="1942" t="s">
        <v>2565</v>
      </c>
      <c r="C16" s="1933" t="s">
        <v>2517</v>
      </c>
      <c r="D16" s="1934"/>
      <c r="E16" s="1935"/>
      <c r="F16" s="1935"/>
      <c r="G16" s="1935"/>
      <c r="H16" s="1935"/>
      <c r="I16" s="1936"/>
      <c r="J16" s="838"/>
      <c r="K16" s="838"/>
      <c r="L16" s="838"/>
      <c r="M16" s="838"/>
      <c r="N16" s="838"/>
      <c r="O16" s="838"/>
      <c r="P16" s="838"/>
      <c r="Q16" s="838"/>
      <c r="R16" s="838"/>
      <c r="S16" s="838"/>
      <c r="T16" s="838"/>
      <c r="U16" s="838"/>
      <c r="V16" s="838"/>
      <c r="W16" s="838"/>
      <c r="X16" s="838"/>
      <c r="Y16" s="838"/>
      <c r="Z16" s="838"/>
      <c r="AA16" s="838"/>
      <c r="AB16" s="838"/>
      <c r="AC16" s="838"/>
      <c r="AD16" s="838"/>
      <c r="AE16" s="838"/>
      <c r="AF16" s="838"/>
      <c r="AG16" s="838"/>
      <c r="AH16" s="838"/>
      <c r="AI16" s="838"/>
      <c r="AJ16" s="838"/>
      <c r="AK16" s="838"/>
    </row>
    <row r="17" spans="1:37" s="839" customFormat="1" ht="114.75" customHeight="1">
      <c r="A17" s="1895"/>
      <c r="B17" s="1943"/>
      <c r="C17" s="841" t="s">
        <v>2518</v>
      </c>
      <c r="D17" s="841" t="s">
        <v>2566</v>
      </c>
      <c r="E17" s="842" t="s">
        <v>2567</v>
      </c>
      <c r="F17" s="841" t="s">
        <v>2568</v>
      </c>
      <c r="G17" s="841" t="s">
        <v>72</v>
      </c>
      <c r="H17" s="598" t="s">
        <v>2569</v>
      </c>
      <c r="I17" s="1911" t="s">
        <v>2570</v>
      </c>
      <c r="J17" s="844"/>
      <c r="K17" s="844"/>
      <c r="L17" s="844"/>
      <c r="M17" s="844"/>
      <c r="N17" s="844"/>
      <c r="O17" s="844"/>
      <c r="P17" s="844"/>
      <c r="Q17" s="844"/>
      <c r="R17" s="844"/>
      <c r="S17" s="844"/>
      <c r="T17" s="844"/>
      <c r="U17" s="844"/>
      <c r="V17" s="844"/>
      <c r="W17" s="844"/>
      <c r="X17" s="844"/>
      <c r="Y17" s="844"/>
      <c r="Z17" s="844"/>
      <c r="AA17" s="844"/>
      <c r="AB17" s="844"/>
      <c r="AC17" s="844"/>
      <c r="AD17" s="844"/>
      <c r="AE17" s="844"/>
      <c r="AF17" s="844"/>
      <c r="AG17" s="844"/>
      <c r="AH17" s="844"/>
      <c r="AI17" s="844"/>
      <c r="AJ17" s="844"/>
      <c r="AK17" s="844"/>
    </row>
    <row r="18" spans="1:37" s="839" customFormat="1" ht="25.5">
      <c r="A18" s="1895"/>
      <c r="B18" s="1943"/>
      <c r="C18" s="840" t="s">
        <v>2518</v>
      </c>
      <c r="D18" s="840" t="s">
        <v>2571</v>
      </c>
      <c r="E18" s="845" t="s">
        <v>2572</v>
      </c>
      <c r="F18" s="840" t="s">
        <v>2573</v>
      </c>
      <c r="G18" s="840" t="s">
        <v>2574</v>
      </c>
      <c r="H18" s="599" t="s">
        <v>2575</v>
      </c>
      <c r="I18" s="1913"/>
      <c r="J18" s="844"/>
      <c r="K18" s="844"/>
      <c r="L18" s="844"/>
      <c r="M18" s="844"/>
      <c r="N18" s="844"/>
      <c r="O18" s="844"/>
      <c r="P18" s="844"/>
      <c r="Q18" s="844"/>
      <c r="R18" s="844"/>
      <c r="S18" s="844"/>
      <c r="T18" s="844"/>
      <c r="U18" s="844"/>
      <c r="V18" s="844"/>
      <c r="W18" s="844"/>
      <c r="X18" s="844"/>
      <c r="Y18" s="844"/>
      <c r="Z18" s="844"/>
      <c r="AA18" s="844"/>
      <c r="AB18" s="844"/>
      <c r="AC18" s="844"/>
      <c r="AD18" s="844"/>
      <c r="AE18" s="844"/>
      <c r="AF18" s="844"/>
      <c r="AG18" s="844"/>
      <c r="AH18" s="844"/>
      <c r="AI18" s="844"/>
      <c r="AJ18" s="844"/>
      <c r="AK18" s="844"/>
    </row>
    <row r="19" spans="1:37" s="839" customFormat="1" ht="38.25">
      <c r="A19" s="1895"/>
      <c r="B19" s="1943"/>
      <c r="C19" s="840" t="s">
        <v>2518</v>
      </c>
      <c r="D19" s="840" t="s">
        <v>2576</v>
      </c>
      <c r="E19" s="602" t="s">
        <v>2577</v>
      </c>
      <c r="F19" s="840" t="s">
        <v>2578</v>
      </c>
      <c r="G19" s="840" t="s">
        <v>2579</v>
      </c>
      <c r="H19" s="599" t="s">
        <v>2580</v>
      </c>
      <c r="I19" s="846" t="s">
        <v>2570</v>
      </c>
      <c r="J19" s="844"/>
      <c r="K19" s="844"/>
      <c r="L19" s="844"/>
      <c r="M19" s="844"/>
      <c r="N19" s="844"/>
      <c r="O19" s="844"/>
      <c r="P19" s="844"/>
      <c r="Q19" s="844"/>
      <c r="R19" s="844"/>
      <c r="S19" s="844"/>
      <c r="T19" s="844"/>
      <c r="U19" s="844"/>
      <c r="V19" s="844"/>
      <c r="W19" s="844"/>
      <c r="X19" s="844"/>
      <c r="Y19" s="844"/>
      <c r="Z19" s="844"/>
      <c r="AA19" s="844"/>
      <c r="AB19" s="844"/>
      <c r="AC19" s="844"/>
      <c r="AD19" s="844"/>
      <c r="AE19" s="844"/>
      <c r="AF19" s="844"/>
      <c r="AG19" s="844"/>
      <c r="AH19" s="844"/>
      <c r="AI19" s="844"/>
      <c r="AJ19" s="844"/>
      <c r="AK19" s="844"/>
    </row>
    <row r="20" spans="1:37" s="839" customFormat="1" ht="38.25">
      <c r="A20" s="1895"/>
      <c r="B20" s="1943"/>
      <c r="C20" s="840" t="s">
        <v>2518</v>
      </c>
      <c r="D20" s="840" t="s">
        <v>2581</v>
      </c>
      <c r="E20" s="602" t="s">
        <v>2577</v>
      </c>
      <c r="F20" s="840" t="s">
        <v>2582</v>
      </c>
      <c r="G20" s="840" t="s">
        <v>72</v>
      </c>
      <c r="H20" s="600" t="s">
        <v>2583</v>
      </c>
      <c r="I20" s="846" t="s">
        <v>72</v>
      </c>
      <c r="J20" s="844"/>
      <c r="K20" s="844"/>
      <c r="L20" s="844"/>
      <c r="M20" s="844"/>
      <c r="N20" s="844"/>
      <c r="O20" s="844"/>
      <c r="P20" s="844"/>
      <c r="Q20" s="844"/>
      <c r="R20" s="844"/>
      <c r="S20" s="844"/>
      <c r="T20" s="844"/>
      <c r="U20" s="844"/>
      <c r="V20" s="844"/>
      <c r="W20" s="844"/>
      <c r="X20" s="844"/>
      <c r="Y20" s="844"/>
      <c r="Z20" s="844"/>
      <c r="AA20" s="844"/>
      <c r="AB20" s="844"/>
      <c r="AC20" s="844"/>
      <c r="AD20" s="844"/>
      <c r="AE20" s="844"/>
      <c r="AF20" s="844"/>
      <c r="AG20" s="844"/>
      <c r="AH20" s="844"/>
      <c r="AI20" s="844"/>
      <c r="AJ20" s="844"/>
      <c r="AK20" s="844"/>
    </row>
    <row r="21" spans="1:37" s="839" customFormat="1" ht="41.25" customHeight="1">
      <c r="A21" s="1895"/>
      <c r="B21" s="1943"/>
      <c r="C21" s="840" t="s">
        <v>2518</v>
      </c>
      <c r="D21" s="840" t="s">
        <v>2584</v>
      </c>
      <c r="E21" s="602" t="s">
        <v>2577</v>
      </c>
      <c r="F21" s="840"/>
      <c r="G21" s="840" t="s">
        <v>72</v>
      </c>
      <c r="H21" s="600" t="s">
        <v>2585</v>
      </c>
      <c r="I21" s="846" t="s">
        <v>72</v>
      </c>
      <c r="J21" s="844"/>
      <c r="K21" s="844"/>
      <c r="L21" s="844"/>
      <c r="M21" s="844"/>
      <c r="N21" s="844"/>
      <c r="O21" s="844"/>
      <c r="P21" s="844"/>
      <c r="Q21" s="844"/>
      <c r="R21" s="844"/>
      <c r="S21" s="844"/>
      <c r="T21" s="844"/>
      <c r="U21" s="844"/>
      <c r="V21" s="844"/>
      <c r="W21" s="844"/>
      <c r="X21" s="844"/>
      <c r="Y21" s="844"/>
      <c r="Z21" s="844"/>
      <c r="AA21" s="844"/>
      <c r="AB21" s="844"/>
      <c r="AC21" s="844"/>
      <c r="AD21" s="844"/>
      <c r="AE21" s="844"/>
      <c r="AF21" s="844"/>
      <c r="AG21" s="844"/>
      <c r="AH21" s="844"/>
      <c r="AI21" s="844"/>
      <c r="AJ21" s="844"/>
      <c r="AK21" s="844"/>
    </row>
    <row r="22" spans="1:37" s="839" customFormat="1" ht="38.25">
      <c r="A22" s="1895"/>
      <c r="B22" s="1943"/>
      <c r="C22" s="840" t="s">
        <v>2518</v>
      </c>
      <c r="D22" s="840" t="s">
        <v>2586</v>
      </c>
      <c r="E22" s="602" t="s">
        <v>2587</v>
      </c>
      <c r="F22" s="853" t="s">
        <v>2588</v>
      </c>
      <c r="G22" s="840" t="s">
        <v>2589</v>
      </c>
      <c r="H22" s="599" t="s">
        <v>2590</v>
      </c>
      <c r="I22" s="846" t="s">
        <v>2591</v>
      </c>
      <c r="J22" s="844"/>
      <c r="K22" s="844"/>
      <c r="L22" s="844"/>
      <c r="M22" s="844"/>
      <c r="N22" s="844"/>
      <c r="O22" s="844"/>
      <c r="P22" s="844"/>
      <c r="Q22" s="844"/>
      <c r="R22" s="844"/>
      <c r="S22" s="844"/>
      <c r="T22" s="844"/>
      <c r="U22" s="844"/>
      <c r="V22" s="844"/>
      <c r="W22" s="844"/>
      <c r="X22" s="844"/>
      <c r="Y22" s="844"/>
      <c r="Z22" s="844"/>
      <c r="AA22" s="844"/>
      <c r="AB22" s="844"/>
      <c r="AC22" s="844"/>
      <c r="AD22" s="844"/>
      <c r="AE22" s="844"/>
      <c r="AF22" s="844"/>
      <c r="AG22" s="844"/>
      <c r="AH22" s="844"/>
      <c r="AI22" s="844"/>
      <c r="AJ22" s="844"/>
      <c r="AK22" s="844"/>
    </row>
    <row r="23" spans="1:37" s="839" customFormat="1" ht="25.5">
      <c r="A23" s="1895"/>
      <c r="B23" s="1943"/>
      <c r="C23" s="603" t="s">
        <v>2518</v>
      </c>
      <c r="D23" s="603" t="s">
        <v>2592</v>
      </c>
      <c r="E23" s="602" t="s">
        <v>2593</v>
      </c>
      <c r="F23" s="840" t="s">
        <v>2594</v>
      </c>
      <c r="G23" s="840" t="s">
        <v>2595</v>
      </c>
      <c r="H23" s="599" t="s">
        <v>2596</v>
      </c>
      <c r="I23" s="846" t="s">
        <v>72</v>
      </c>
      <c r="J23" s="844"/>
      <c r="K23" s="844"/>
      <c r="L23" s="844"/>
      <c r="M23" s="844"/>
      <c r="N23" s="844"/>
      <c r="O23" s="844"/>
      <c r="P23" s="844"/>
      <c r="Q23" s="844"/>
      <c r="R23" s="844"/>
      <c r="S23" s="844"/>
      <c r="T23" s="844"/>
      <c r="U23" s="844"/>
      <c r="V23" s="844"/>
      <c r="W23" s="844"/>
      <c r="X23" s="844"/>
      <c r="Y23" s="844"/>
      <c r="Z23" s="844"/>
      <c r="AA23" s="844"/>
      <c r="AB23" s="844"/>
      <c r="AC23" s="844"/>
      <c r="AD23" s="844"/>
      <c r="AE23" s="844"/>
      <c r="AF23" s="844"/>
      <c r="AG23" s="844"/>
      <c r="AH23" s="844"/>
      <c r="AI23" s="844"/>
      <c r="AJ23" s="844"/>
      <c r="AK23" s="844"/>
    </row>
    <row r="24" spans="1:37" s="839" customFormat="1" ht="25.5">
      <c r="A24" s="1895"/>
      <c r="B24" s="1943"/>
      <c r="C24" s="603" t="s">
        <v>2518</v>
      </c>
      <c r="D24" s="603" t="s">
        <v>2597</v>
      </c>
      <c r="E24" s="602" t="s">
        <v>2598</v>
      </c>
      <c r="F24" s="840" t="s">
        <v>2599</v>
      </c>
      <c r="G24" s="840" t="s">
        <v>2600</v>
      </c>
      <c r="H24" s="599" t="s">
        <v>2601</v>
      </c>
      <c r="I24" s="846" t="s">
        <v>2602</v>
      </c>
      <c r="J24" s="844"/>
      <c r="K24" s="844"/>
      <c r="L24" s="844"/>
      <c r="M24" s="844"/>
      <c r="N24" s="844"/>
      <c r="O24" s="844"/>
      <c r="P24" s="844"/>
      <c r="Q24" s="844"/>
      <c r="R24" s="844"/>
      <c r="S24" s="844"/>
      <c r="T24" s="844"/>
      <c r="U24" s="844"/>
      <c r="V24" s="844"/>
      <c r="W24" s="844"/>
      <c r="X24" s="844"/>
      <c r="Y24" s="844"/>
      <c r="Z24" s="844"/>
      <c r="AA24" s="844"/>
      <c r="AB24" s="844"/>
      <c r="AC24" s="844"/>
      <c r="AD24" s="844"/>
      <c r="AE24" s="844"/>
      <c r="AF24" s="844"/>
      <c r="AG24" s="844"/>
      <c r="AH24" s="844"/>
      <c r="AI24" s="844"/>
      <c r="AJ24" s="844"/>
      <c r="AK24" s="844"/>
    </row>
    <row r="25" spans="1:37" s="839" customFormat="1" ht="25.5">
      <c r="A25" s="1895"/>
      <c r="B25" s="1943"/>
      <c r="C25" s="603" t="s">
        <v>2518</v>
      </c>
      <c r="D25" s="603" t="s">
        <v>2603</v>
      </c>
      <c r="E25" s="845" t="s">
        <v>2604</v>
      </c>
      <c r="F25" s="840" t="s">
        <v>2594</v>
      </c>
      <c r="G25" s="840" t="s">
        <v>2605</v>
      </c>
      <c r="H25" s="599" t="s">
        <v>2606</v>
      </c>
      <c r="I25" s="1919" t="s">
        <v>72</v>
      </c>
      <c r="J25" s="844"/>
      <c r="K25" s="844"/>
      <c r="L25" s="844"/>
      <c r="M25" s="844"/>
      <c r="N25" s="844"/>
      <c r="O25" s="844"/>
      <c r="P25" s="844"/>
      <c r="Q25" s="844"/>
      <c r="R25" s="844"/>
      <c r="S25" s="844"/>
      <c r="T25" s="844"/>
      <c r="U25" s="844"/>
      <c r="V25" s="844"/>
      <c r="W25" s="844"/>
      <c r="X25" s="844"/>
      <c r="Y25" s="844"/>
      <c r="Z25" s="844"/>
      <c r="AA25" s="844"/>
      <c r="AB25" s="844"/>
      <c r="AC25" s="844"/>
      <c r="AD25" s="844"/>
      <c r="AE25" s="844"/>
      <c r="AF25" s="844"/>
      <c r="AG25" s="844"/>
      <c r="AH25" s="844"/>
      <c r="AI25" s="844"/>
      <c r="AJ25" s="844"/>
      <c r="AK25" s="844"/>
    </row>
    <row r="26" spans="1:37" s="839" customFormat="1" ht="23.25" customHeight="1" thickBot="1">
      <c r="A26" s="1895"/>
      <c r="B26" s="1943"/>
      <c r="C26" s="603" t="s">
        <v>2518</v>
      </c>
      <c r="D26" s="603" t="s">
        <v>2607</v>
      </c>
      <c r="E26" s="602" t="s">
        <v>2607</v>
      </c>
      <c r="F26" s="603" t="s">
        <v>2608</v>
      </c>
      <c r="G26" s="603" t="s">
        <v>2609</v>
      </c>
      <c r="H26" s="604" t="s">
        <v>72</v>
      </c>
      <c r="I26" s="1919"/>
      <c r="J26" s="844"/>
      <c r="K26" s="844"/>
      <c r="L26" s="844"/>
      <c r="M26" s="844"/>
      <c r="N26" s="844"/>
      <c r="O26" s="844"/>
      <c r="P26" s="844"/>
      <c r="Q26" s="844"/>
      <c r="R26" s="844"/>
      <c r="S26" s="844"/>
      <c r="T26" s="844"/>
      <c r="U26" s="844"/>
      <c r="V26" s="844"/>
      <c r="W26" s="844"/>
      <c r="X26" s="844"/>
      <c r="Y26" s="844"/>
      <c r="Z26" s="844"/>
      <c r="AA26" s="844"/>
      <c r="AB26" s="844"/>
      <c r="AC26" s="844"/>
      <c r="AD26" s="844"/>
      <c r="AE26" s="844"/>
      <c r="AF26" s="844"/>
      <c r="AG26" s="844"/>
      <c r="AH26" s="844"/>
      <c r="AI26" s="844"/>
      <c r="AJ26" s="844"/>
      <c r="AK26" s="844"/>
    </row>
    <row r="27" spans="1:37" s="839" customFormat="1" ht="29.25" customHeight="1" thickBot="1">
      <c r="A27" s="1895"/>
      <c r="B27" s="1943"/>
      <c r="C27" s="1915" t="s">
        <v>2556</v>
      </c>
      <c r="D27" s="1916"/>
      <c r="E27" s="1917"/>
      <c r="F27" s="1917"/>
      <c r="G27" s="1917"/>
      <c r="H27" s="1917"/>
      <c r="I27" s="1918"/>
      <c r="J27" s="838"/>
      <c r="K27" s="838"/>
      <c r="L27" s="838"/>
      <c r="M27" s="838"/>
      <c r="N27" s="838"/>
      <c r="O27" s="838"/>
      <c r="P27" s="838"/>
      <c r="Q27" s="838"/>
      <c r="R27" s="838"/>
      <c r="S27" s="838"/>
      <c r="T27" s="838"/>
      <c r="U27" s="838"/>
      <c r="V27" s="838"/>
      <c r="W27" s="838"/>
      <c r="X27" s="838"/>
      <c r="Y27" s="838"/>
      <c r="Z27" s="838"/>
      <c r="AA27" s="838"/>
      <c r="AB27" s="838"/>
      <c r="AC27" s="838"/>
      <c r="AD27" s="838"/>
      <c r="AE27" s="838"/>
      <c r="AF27" s="838"/>
      <c r="AG27" s="838"/>
      <c r="AH27" s="838"/>
      <c r="AI27" s="838"/>
      <c r="AJ27" s="838"/>
      <c r="AK27" s="838"/>
    </row>
    <row r="28" spans="1:37" s="839" customFormat="1" ht="51">
      <c r="A28" s="1895"/>
      <c r="B28" s="1943"/>
      <c r="C28" s="603" t="s">
        <v>2557</v>
      </c>
      <c r="D28" s="603" t="s">
        <v>2610</v>
      </c>
      <c r="E28" s="603" t="s">
        <v>2611</v>
      </c>
      <c r="F28" s="603" t="s">
        <v>2612</v>
      </c>
      <c r="G28" s="603" t="s">
        <v>72</v>
      </c>
      <c r="H28" s="604" t="s">
        <v>2613</v>
      </c>
      <c r="I28" s="846" t="s">
        <v>72</v>
      </c>
      <c r="J28" s="844"/>
      <c r="K28" s="844"/>
      <c r="L28" s="844"/>
      <c r="M28" s="844"/>
      <c r="N28" s="844"/>
      <c r="O28" s="844"/>
      <c r="P28" s="844"/>
      <c r="Q28" s="844"/>
      <c r="R28" s="844"/>
      <c r="S28" s="844"/>
      <c r="T28" s="844"/>
      <c r="U28" s="844"/>
      <c r="V28" s="844"/>
      <c r="W28" s="844"/>
      <c r="X28" s="844"/>
      <c r="Y28" s="844"/>
      <c r="Z28" s="844"/>
      <c r="AA28" s="844"/>
      <c r="AB28" s="844"/>
      <c r="AC28" s="844"/>
      <c r="AD28" s="844"/>
      <c r="AE28" s="844"/>
      <c r="AF28" s="844"/>
      <c r="AG28" s="844"/>
      <c r="AH28" s="844"/>
      <c r="AI28" s="844"/>
      <c r="AJ28" s="844"/>
      <c r="AK28" s="844"/>
    </row>
    <row r="29" spans="1:37" s="839" customFormat="1" ht="25.5">
      <c r="A29" s="1895"/>
      <c r="B29" s="1943"/>
      <c r="C29" s="603" t="s">
        <v>2557</v>
      </c>
      <c r="D29" s="603" t="s">
        <v>2614</v>
      </c>
      <c r="E29" s="602" t="s">
        <v>2615</v>
      </c>
      <c r="F29" s="603" t="s">
        <v>2616</v>
      </c>
      <c r="G29" s="603" t="s">
        <v>72</v>
      </c>
      <c r="H29" s="600" t="s">
        <v>2617</v>
      </c>
      <c r="I29" s="846" t="s">
        <v>72</v>
      </c>
      <c r="J29" s="844"/>
      <c r="K29" s="844"/>
      <c r="L29" s="844"/>
      <c r="M29" s="844"/>
      <c r="N29" s="844"/>
      <c r="O29" s="844"/>
      <c r="P29" s="844"/>
      <c r="Q29" s="844"/>
      <c r="R29" s="844"/>
      <c r="S29" s="844"/>
      <c r="T29" s="844"/>
      <c r="U29" s="844"/>
      <c r="V29" s="844"/>
      <c r="W29" s="844"/>
      <c r="X29" s="844"/>
      <c r="Y29" s="844"/>
      <c r="Z29" s="844"/>
      <c r="AA29" s="844"/>
      <c r="AB29" s="844"/>
      <c r="AC29" s="844"/>
      <c r="AD29" s="844"/>
      <c r="AE29" s="844"/>
      <c r="AF29" s="844"/>
      <c r="AG29" s="844"/>
      <c r="AH29" s="844"/>
      <c r="AI29" s="844"/>
      <c r="AJ29" s="844"/>
      <c r="AK29" s="844"/>
    </row>
    <row r="30" spans="1:37" s="839" customFormat="1" ht="38.25">
      <c r="A30" s="1895"/>
      <c r="B30" s="1943"/>
      <c r="C30" s="603" t="s">
        <v>2557</v>
      </c>
      <c r="D30" s="603" t="s">
        <v>2618</v>
      </c>
      <c r="E30" s="602" t="s">
        <v>2619</v>
      </c>
      <c r="F30" s="603" t="s">
        <v>2620</v>
      </c>
      <c r="G30" s="603" t="s">
        <v>72</v>
      </c>
      <c r="H30" s="604" t="s">
        <v>72</v>
      </c>
      <c r="I30" s="846" t="s">
        <v>72</v>
      </c>
      <c r="J30" s="844"/>
      <c r="K30" s="844"/>
      <c r="L30" s="844"/>
      <c r="M30" s="844"/>
      <c r="N30" s="844"/>
      <c r="O30" s="844"/>
      <c r="P30" s="844"/>
      <c r="Q30" s="844"/>
      <c r="R30" s="844"/>
      <c r="S30" s="844"/>
      <c r="T30" s="844"/>
      <c r="U30" s="844"/>
      <c r="V30" s="844"/>
      <c r="W30" s="844"/>
      <c r="X30" s="844"/>
      <c r="Y30" s="844"/>
      <c r="Z30" s="844"/>
      <c r="AA30" s="844"/>
      <c r="AB30" s="844"/>
      <c r="AC30" s="844"/>
      <c r="AD30" s="844"/>
      <c r="AE30" s="844"/>
      <c r="AF30" s="844"/>
      <c r="AG30" s="844"/>
      <c r="AH30" s="844"/>
      <c r="AI30" s="844"/>
      <c r="AJ30" s="844"/>
      <c r="AK30" s="844"/>
    </row>
    <row r="31" spans="1:37" s="839" customFormat="1" ht="38.25">
      <c r="A31" s="1895"/>
      <c r="B31" s="1943"/>
      <c r="C31" s="603" t="s">
        <v>2557</v>
      </c>
      <c r="D31" s="603" t="s">
        <v>2621</v>
      </c>
      <c r="E31" s="603" t="s">
        <v>2622</v>
      </c>
      <c r="F31" s="603" t="s">
        <v>2623</v>
      </c>
      <c r="G31" s="603" t="s">
        <v>72</v>
      </c>
      <c r="H31" s="604" t="s">
        <v>72</v>
      </c>
      <c r="I31" s="846" t="s">
        <v>72</v>
      </c>
      <c r="J31" s="844"/>
      <c r="K31" s="844"/>
      <c r="L31" s="844"/>
      <c r="M31" s="844"/>
      <c r="N31" s="844"/>
      <c r="O31" s="844"/>
      <c r="P31" s="844"/>
      <c r="Q31" s="844"/>
      <c r="R31" s="844"/>
      <c r="S31" s="844"/>
      <c r="T31" s="844"/>
      <c r="U31" s="844"/>
      <c r="V31" s="844"/>
      <c r="W31" s="844"/>
      <c r="X31" s="844"/>
      <c r="Y31" s="844"/>
      <c r="Z31" s="844"/>
      <c r="AA31" s="844"/>
      <c r="AB31" s="844"/>
      <c r="AC31" s="844"/>
      <c r="AD31" s="844"/>
      <c r="AE31" s="844"/>
      <c r="AF31" s="844"/>
      <c r="AG31" s="844"/>
      <c r="AH31" s="844"/>
      <c r="AI31" s="844"/>
      <c r="AJ31" s="844"/>
      <c r="AK31" s="844"/>
    </row>
    <row r="32" spans="1:37" s="839" customFormat="1" ht="25.5">
      <c r="A32" s="1895"/>
      <c r="B32" s="1943"/>
      <c r="C32" s="603" t="s">
        <v>2557</v>
      </c>
      <c r="D32" s="603" t="s">
        <v>2624</v>
      </c>
      <c r="E32" s="603" t="s">
        <v>2625</v>
      </c>
      <c r="F32" s="603" t="s">
        <v>2626</v>
      </c>
      <c r="G32" s="603" t="s">
        <v>72</v>
      </c>
      <c r="H32" s="604" t="s">
        <v>72</v>
      </c>
      <c r="I32" s="846" t="s">
        <v>72</v>
      </c>
      <c r="J32" s="844"/>
      <c r="K32" s="844"/>
      <c r="L32" s="844"/>
      <c r="M32" s="844"/>
      <c r="N32" s="844"/>
      <c r="O32" s="844"/>
      <c r="P32" s="844"/>
      <c r="Q32" s="844"/>
      <c r="R32" s="844"/>
      <c r="S32" s="844"/>
      <c r="T32" s="844"/>
      <c r="U32" s="844"/>
      <c r="V32" s="844"/>
      <c r="W32" s="844"/>
      <c r="X32" s="844"/>
      <c r="Y32" s="844"/>
      <c r="Z32" s="844"/>
      <c r="AA32" s="844"/>
      <c r="AB32" s="844"/>
      <c r="AC32" s="844"/>
      <c r="AD32" s="844"/>
      <c r="AE32" s="844"/>
      <c r="AF32" s="844"/>
      <c r="AG32" s="844"/>
      <c r="AH32" s="844"/>
      <c r="AI32" s="844"/>
      <c r="AJ32" s="844"/>
      <c r="AK32" s="844"/>
    </row>
    <row r="33" spans="1:37" s="839" customFormat="1" ht="25.5">
      <c r="A33" s="1895"/>
      <c r="B33" s="1943"/>
      <c r="C33" s="603" t="s">
        <v>2557</v>
      </c>
      <c r="D33" s="603" t="s">
        <v>2627</v>
      </c>
      <c r="E33" s="602" t="s">
        <v>2628</v>
      </c>
      <c r="F33" s="603" t="s">
        <v>2629</v>
      </c>
      <c r="G33" s="603" t="s">
        <v>72</v>
      </c>
      <c r="H33" s="600" t="s">
        <v>2630</v>
      </c>
      <c r="I33" s="846" t="s">
        <v>72</v>
      </c>
      <c r="J33" s="844"/>
      <c r="K33" s="844"/>
      <c r="L33" s="844"/>
      <c r="M33" s="844"/>
      <c r="N33" s="844"/>
      <c r="O33" s="844"/>
      <c r="P33" s="844"/>
      <c r="Q33" s="844"/>
      <c r="R33" s="844"/>
      <c r="S33" s="844"/>
      <c r="T33" s="844"/>
      <c r="U33" s="844"/>
      <c r="V33" s="844"/>
      <c r="W33" s="844"/>
      <c r="X33" s="844"/>
      <c r="Y33" s="844"/>
      <c r="Z33" s="844"/>
      <c r="AA33" s="844"/>
      <c r="AB33" s="844"/>
      <c r="AC33" s="844"/>
      <c r="AD33" s="844"/>
      <c r="AE33" s="844"/>
      <c r="AF33" s="844"/>
      <c r="AG33" s="844"/>
      <c r="AH33" s="844"/>
      <c r="AI33" s="844"/>
      <c r="AJ33" s="844"/>
      <c r="AK33" s="844"/>
    </row>
    <row r="34" spans="1:37" s="839" customFormat="1" ht="25.5">
      <c r="A34" s="1895"/>
      <c r="B34" s="1943"/>
      <c r="C34" s="603" t="s">
        <v>2557</v>
      </c>
      <c r="D34" s="603" t="s">
        <v>2631</v>
      </c>
      <c r="E34" s="602" t="s">
        <v>2632</v>
      </c>
      <c r="F34" s="603" t="s">
        <v>2633</v>
      </c>
      <c r="G34" s="603" t="s">
        <v>72</v>
      </c>
      <c r="H34" s="604" t="s">
        <v>72</v>
      </c>
      <c r="I34" s="846" t="s">
        <v>72</v>
      </c>
      <c r="J34" s="844"/>
      <c r="K34" s="844"/>
      <c r="L34" s="844"/>
      <c r="M34" s="844"/>
      <c r="N34" s="844"/>
      <c r="O34" s="844"/>
      <c r="P34" s="844"/>
      <c r="Q34" s="844"/>
      <c r="R34" s="844"/>
      <c r="S34" s="844"/>
      <c r="T34" s="844"/>
      <c r="U34" s="844"/>
      <c r="V34" s="844"/>
      <c r="W34" s="844"/>
      <c r="X34" s="844"/>
      <c r="Y34" s="844"/>
      <c r="Z34" s="844"/>
      <c r="AA34" s="844"/>
      <c r="AB34" s="844"/>
      <c r="AC34" s="844"/>
      <c r="AD34" s="844"/>
      <c r="AE34" s="844"/>
      <c r="AF34" s="844"/>
      <c r="AG34" s="844"/>
      <c r="AH34" s="844"/>
      <c r="AI34" s="844"/>
      <c r="AJ34" s="844"/>
      <c r="AK34" s="844"/>
    </row>
    <row r="35" spans="1:37" s="839" customFormat="1" ht="25.5">
      <c r="A35" s="1895"/>
      <c r="B35" s="1943"/>
      <c r="C35" s="603" t="s">
        <v>2557</v>
      </c>
      <c r="D35" s="603" t="s">
        <v>2634</v>
      </c>
      <c r="E35" s="602" t="s">
        <v>2635</v>
      </c>
      <c r="F35" s="603" t="s">
        <v>72</v>
      </c>
      <c r="G35" s="603" t="s">
        <v>72</v>
      </c>
      <c r="H35" s="604" t="s">
        <v>2636</v>
      </c>
      <c r="I35" s="846" t="s">
        <v>72</v>
      </c>
      <c r="J35" s="844"/>
      <c r="K35" s="844"/>
      <c r="L35" s="844"/>
      <c r="M35" s="844"/>
      <c r="N35" s="844"/>
      <c r="O35" s="844"/>
      <c r="P35" s="844"/>
      <c r="Q35" s="844"/>
      <c r="R35" s="844"/>
      <c r="S35" s="844"/>
      <c r="T35" s="844"/>
      <c r="U35" s="844"/>
      <c r="V35" s="844"/>
      <c r="W35" s="844"/>
      <c r="X35" s="844"/>
      <c r="Y35" s="844"/>
      <c r="Z35" s="844"/>
      <c r="AA35" s="844"/>
      <c r="AB35" s="844"/>
      <c r="AC35" s="844"/>
      <c r="AD35" s="844"/>
      <c r="AE35" s="844"/>
      <c r="AF35" s="844"/>
      <c r="AG35" s="844"/>
      <c r="AH35" s="844"/>
      <c r="AI35" s="844"/>
      <c r="AJ35" s="844"/>
      <c r="AK35" s="844"/>
    </row>
    <row r="36" spans="1:37" s="839" customFormat="1" ht="25.5">
      <c r="A36" s="1895"/>
      <c r="B36" s="1943"/>
      <c r="C36" s="603" t="s">
        <v>2557</v>
      </c>
      <c r="D36" s="603" t="s">
        <v>2637</v>
      </c>
      <c r="E36" s="602" t="s">
        <v>2638</v>
      </c>
      <c r="F36" s="603" t="s">
        <v>2639</v>
      </c>
      <c r="G36" s="603" t="s">
        <v>72</v>
      </c>
      <c r="H36" s="604" t="s">
        <v>72</v>
      </c>
      <c r="I36" s="846" t="s">
        <v>72</v>
      </c>
      <c r="J36" s="844"/>
      <c r="K36" s="844"/>
      <c r="L36" s="844"/>
      <c r="M36" s="844"/>
      <c r="N36" s="844"/>
      <c r="O36" s="844"/>
      <c r="P36" s="844"/>
      <c r="Q36" s="844"/>
      <c r="R36" s="844"/>
      <c r="S36" s="844"/>
      <c r="T36" s="844"/>
      <c r="U36" s="844"/>
      <c r="V36" s="844"/>
      <c r="W36" s="844"/>
      <c r="X36" s="844"/>
      <c r="Y36" s="844"/>
      <c r="Z36" s="844"/>
      <c r="AA36" s="844"/>
      <c r="AB36" s="844"/>
      <c r="AC36" s="844"/>
      <c r="AD36" s="844"/>
      <c r="AE36" s="844"/>
      <c r="AF36" s="844"/>
      <c r="AG36" s="844"/>
      <c r="AH36" s="844"/>
      <c r="AI36" s="844"/>
      <c r="AJ36" s="844"/>
      <c r="AK36" s="844"/>
    </row>
    <row r="37" spans="1:37" s="839" customFormat="1" ht="38.25">
      <c r="A37" s="1895"/>
      <c r="B37" s="1943"/>
      <c r="C37" s="603" t="s">
        <v>2557</v>
      </c>
      <c r="D37" s="603" t="s">
        <v>2640</v>
      </c>
      <c r="E37" s="602" t="s">
        <v>2641</v>
      </c>
      <c r="F37" s="603" t="s">
        <v>2642</v>
      </c>
      <c r="G37" s="603" t="s">
        <v>72</v>
      </c>
      <c r="H37" s="604" t="s">
        <v>72</v>
      </c>
      <c r="I37" s="846" t="s">
        <v>72</v>
      </c>
      <c r="J37" s="844"/>
      <c r="K37" s="844"/>
      <c r="L37" s="844"/>
      <c r="M37" s="844"/>
      <c r="N37" s="844"/>
      <c r="O37" s="844"/>
      <c r="P37" s="844"/>
      <c r="Q37" s="844"/>
      <c r="R37" s="844"/>
      <c r="S37" s="844"/>
      <c r="T37" s="844"/>
      <c r="U37" s="844"/>
      <c r="V37" s="844"/>
      <c r="W37" s="844"/>
      <c r="X37" s="844"/>
      <c r="Y37" s="844"/>
      <c r="Z37" s="844"/>
      <c r="AA37" s="844"/>
      <c r="AB37" s="844"/>
      <c r="AC37" s="844"/>
      <c r="AD37" s="844"/>
      <c r="AE37" s="844"/>
      <c r="AF37" s="844"/>
      <c r="AG37" s="844"/>
      <c r="AH37" s="844"/>
      <c r="AI37" s="844"/>
      <c r="AJ37" s="844"/>
      <c r="AK37" s="844"/>
    </row>
    <row r="38" spans="1:37" s="839" customFormat="1" ht="43.5" customHeight="1">
      <c r="A38" s="1895"/>
      <c r="B38" s="1943"/>
      <c r="C38" s="603" t="s">
        <v>2557</v>
      </c>
      <c r="D38" s="603" t="s">
        <v>2643</v>
      </c>
      <c r="E38" s="602" t="s">
        <v>2644</v>
      </c>
      <c r="F38" s="603" t="s">
        <v>2645</v>
      </c>
      <c r="G38" s="603" t="s">
        <v>72</v>
      </c>
      <c r="H38" s="604" t="s">
        <v>72</v>
      </c>
      <c r="I38" s="846" t="s">
        <v>72</v>
      </c>
      <c r="J38" s="844"/>
      <c r="K38" s="844"/>
      <c r="L38" s="844"/>
      <c r="M38" s="844"/>
      <c r="N38" s="844"/>
      <c r="O38" s="844"/>
      <c r="P38" s="844"/>
      <c r="Q38" s="844"/>
      <c r="R38" s="844"/>
      <c r="S38" s="844"/>
      <c r="T38" s="844"/>
      <c r="U38" s="844"/>
      <c r="V38" s="844"/>
      <c r="W38" s="844"/>
      <c r="X38" s="844"/>
      <c r="Y38" s="844"/>
      <c r="Z38" s="844"/>
      <c r="AA38" s="844"/>
      <c r="AB38" s="844"/>
      <c r="AC38" s="844"/>
      <c r="AD38" s="844"/>
      <c r="AE38" s="844"/>
      <c r="AF38" s="844"/>
      <c r="AG38" s="844"/>
      <c r="AH38" s="844"/>
      <c r="AI38" s="844"/>
      <c r="AJ38" s="844"/>
      <c r="AK38" s="844"/>
    </row>
    <row r="39" spans="1:37" s="839" customFormat="1" ht="43.5" customHeight="1" thickBot="1">
      <c r="A39" s="1896"/>
      <c r="B39" s="1944"/>
      <c r="C39" s="603" t="s">
        <v>2557</v>
      </c>
      <c r="D39" s="603" t="s">
        <v>2646</v>
      </c>
      <c r="E39" s="602" t="s">
        <v>2647</v>
      </c>
      <c r="F39" s="603" t="s">
        <v>2648</v>
      </c>
      <c r="G39" s="603" t="s">
        <v>72</v>
      </c>
      <c r="H39" s="604" t="s">
        <v>72</v>
      </c>
      <c r="I39" s="846" t="s">
        <v>72</v>
      </c>
      <c r="J39" s="844"/>
      <c r="K39" s="844"/>
      <c r="L39" s="844"/>
      <c r="M39" s="844"/>
      <c r="N39" s="844"/>
      <c r="O39" s="844"/>
      <c r="P39" s="844"/>
      <c r="Q39" s="844"/>
      <c r="R39" s="844"/>
      <c r="S39" s="844"/>
      <c r="T39" s="844"/>
      <c r="U39" s="844"/>
      <c r="V39" s="844"/>
      <c r="W39" s="844"/>
      <c r="X39" s="844"/>
      <c r="Y39" s="844"/>
      <c r="Z39" s="844"/>
      <c r="AA39" s="844"/>
      <c r="AB39" s="844"/>
      <c r="AC39" s="844"/>
      <c r="AD39" s="844"/>
      <c r="AE39" s="844"/>
      <c r="AF39" s="844"/>
      <c r="AG39" s="844"/>
      <c r="AH39" s="844"/>
      <c r="AI39" s="844"/>
      <c r="AJ39" s="844"/>
      <c r="AK39" s="844"/>
    </row>
    <row r="40" spans="1:37" s="839" customFormat="1" ht="29.25" customHeight="1" thickBot="1">
      <c r="A40" s="1904" t="s">
        <v>2649</v>
      </c>
      <c r="B40" s="1958" t="s">
        <v>2650</v>
      </c>
      <c r="C40" s="1933" t="s">
        <v>2517</v>
      </c>
      <c r="D40" s="1934"/>
      <c r="E40" s="1935"/>
      <c r="F40" s="1935"/>
      <c r="G40" s="1935"/>
      <c r="H40" s="1935"/>
      <c r="I40" s="1936"/>
      <c r="J40" s="838"/>
      <c r="K40" s="838"/>
      <c r="L40" s="838"/>
      <c r="M40" s="838"/>
      <c r="N40" s="838"/>
      <c r="O40" s="838"/>
      <c r="P40" s="838"/>
      <c r="Q40" s="838"/>
      <c r="R40" s="838"/>
      <c r="S40" s="838"/>
      <c r="T40" s="838"/>
      <c r="U40" s="838"/>
      <c r="V40" s="838"/>
      <c r="W40" s="838"/>
      <c r="X40" s="838"/>
      <c r="Y40" s="838"/>
      <c r="Z40" s="838"/>
      <c r="AA40" s="838"/>
      <c r="AB40" s="838"/>
      <c r="AC40" s="838"/>
      <c r="AD40" s="838"/>
      <c r="AE40" s="838"/>
      <c r="AF40" s="838"/>
      <c r="AG40" s="838"/>
      <c r="AH40" s="838"/>
      <c r="AI40" s="838"/>
      <c r="AJ40" s="838"/>
      <c r="AK40" s="838"/>
    </row>
    <row r="41" spans="1:37" s="839" customFormat="1" ht="66" customHeight="1">
      <c r="A41" s="1905"/>
      <c r="B41" s="1959"/>
      <c r="C41" s="854" t="s">
        <v>2518</v>
      </c>
      <c r="D41" s="854" t="s">
        <v>2535</v>
      </c>
      <c r="E41" s="855" t="s">
        <v>2535</v>
      </c>
      <c r="F41" s="854" t="s">
        <v>2651</v>
      </c>
      <c r="G41" s="854" t="s">
        <v>72</v>
      </c>
      <c r="H41" s="605" t="s">
        <v>2652</v>
      </c>
      <c r="I41" s="606" t="s">
        <v>2653</v>
      </c>
      <c r="J41" s="838"/>
      <c r="K41" s="838"/>
      <c r="L41" s="838"/>
      <c r="M41" s="838"/>
      <c r="N41" s="838"/>
      <c r="O41" s="838"/>
      <c r="P41" s="838"/>
      <c r="Q41" s="838"/>
      <c r="R41" s="838"/>
      <c r="S41" s="838"/>
      <c r="T41" s="838"/>
      <c r="U41" s="838"/>
      <c r="V41" s="838"/>
      <c r="W41" s="838"/>
      <c r="X41" s="838"/>
      <c r="Y41" s="838"/>
      <c r="Z41" s="838"/>
      <c r="AA41" s="838"/>
      <c r="AB41" s="838"/>
      <c r="AC41" s="838"/>
      <c r="AD41" s="838"/>
      <c r="AE41" s="838"/>
      <c r="AF41" s="838"/>
      <c r="AG41" s="838"/>
      <c r="AH41" s="838"/>
      <c r="AI41" s="838"/>
      <c r="AJ41" s="838"/>
      <c r="AK41" s="838"/>
    </row>
    <row r="42" spans="1:37" s="839" customFormat="1" ht="66" customHeight="1" thickBot="1">
      <c r="A42" s="1905"/>
      <c r="B42" s="1959"/>
      <c r="C42" s="840" t="s">
        <v>2518</v>
      </c>
      <c r="D42" s="840" t="s">
        <v>2654</v>
      </c>
      <c r="E42" s="856" t="s">
        <v>2655</v>
      </c>
      <c r="F42" s="840" t="s">
        <v>2656</v>
      </c>
      <c r="G42" s="840" t="s">
        <v>72</v>
      </c>
      <c r="H42" s="600" t="s">
        <v>2657</v>
      </c>
      <c r="I42" s="607"/>
      <c r="J42" s="838"/>
      <c r="K42" s="838"/>
      <c r="L42" s="838"/>
      <c r="M42" s="838"/>
      <c r="N42" s="838"/>
      <c r="O42" s="838"/>
      <c r="P42" s="838"/>
      <c r="Q42" s="838"/>
      <c r="R42" s="838"/>
      <c r="S42" s="838"/>
      <c r="T42" s="838"/>
      <c r="U42" s="838"/>
      <c r="V42" s="838"/>
      <c r="W42" s="838"/>
      <c r="X42" s="838"/>
      <c r="Y42" s="838"/>
      <c r="Z42" s="838"/>
      <c r="AA42" s="838"/>
      <c r="AB42" s="838"/>
      <c r="AC42" s="838"/>
      <c r="AD42" s="838"/>
      <c r="AE42" s="838"/>
      <c r="AF42" s="838"/>
      <c r="AG42" s="838"/>
      <c r="AH42" s="838"/>
      <c r="AI42" s="838"/>
      <c r="AJ42" s="838"/>
      <c r="AK42" s="838"/>
    </row>
    <row r="43" spans="1:37" s="839" customFormat="1" ht="29.25" customHeight="1" thickBot="1">
      <c r="A43" s="1905"/>
      <c r="B43" s="1959"/>
      <c r="C43" s="1915" t="s">
        <v>2556</v>
      </c>
      <c r="D43" s="1916"/>
      <c r="E43" s="1917"/>
      <c r="F43" s="1917"/>
      <c r="G43" s="1917"/>
      <c r="H43" s="1917"/>
      <c r="I43" s="1918"/>
      <c r="J43" s="838"/>
      <c r="K43" s="838"/>
      <c r="L43" s="838"/>
      <c r="M43" s="838"/>
      <c r="N43" s="838"/>
      <c r="O43" s="838"/>
      <c r="P43" s="838"/>
      <c r="Q43" s="838"/>
      <c r="R43" s="838"/>
      <c r="S43" s="838"/>
      <c r="T43" s="838"/>
      <c r="U43" s="838"/>
      <c r="V43" s="838"/>
      <c r="W43" s="838"/>
      <c r="X43" s="838"/>
      <c r="Y43" s="838"/>
      <c r="Z43" s="838"/>
      <c r="AA43" s="838"/>
      <c r="AB43" s="838"/>
      <c r="AC43" s="838"/>
      <c r="AD43" s="838"/>
      <c r="AE43" s="838"/>
      <c r="AF43" s="838"/>
      <c r="AG43" s="838"/>
      <c r="AH43" s="838"/>
      <c r="AI43" s="838"/>
      <c r="AJ43" s="838"/>
      <c r="AK43" s="838"/>
    </row>
    <row r="44" spans="1:37" s="839" customFormat="1" ht="53.25" customHeight="1" thickBot="1">
      <c r="A44" s="1906"/>
      <c r="B44" s="1960"/>
      <c r="C44" s="857" t="s">
        <v>2557</v>
      </c>
      <c r="D44" s="857" t="s">
        <v>2558</v>
      </c>
      <c r="E44" s="858" t="s">
        <v>2558</v>
      </c>
      <c r="F44" s="859" t="s">
        <v>2658</v>
      </c>
      <c r="G44" s="857" t="s">
        <v>72</v>
      </c>
      <c r="H44" s="608" t="s">
        <v>2659</v>
      </c>
      <c r="I44" s="860" t="s">
        <v>2660</v>
      </c>
      <c r="J44" s="838"/>
      <c r="K44" s="838"/>
      <c r="L44" s="838"/>
      <c r="M44" s="838"/>
      <c r="N44" s="838"/>
      <c r="O44" s="838"/>
      <c r="P44" s="838"/>
      <c r="Q44" s="838"/>
      <c r="R44" s="838"/>
      <c r="S44" s="838"/>
      <c r="T44" s="838"/>
      <c r="U44" s="838"/>
      <c r="V44" s="838"/>
      <c r="W44" s="838"/>
      <c r="X44" s="838"/>
      <c r="Y44" s="838"/>
      <c r="Z44" s="838"/>
      <c r="AA44" s="838"/>
      <c r="AB44" s="838"/>
      <c r="AC44" s="838"/>
      <c r="AD44" s="838"/>
      <c r="AE44" s="838"/>
      <c r="AF44" s="838"/>
      <c r="AG44" s="838"/>
      <c r="AH44" s="838"/>
      <c r="AI44" s="838"/>
      <c r="AJ44" s="838"/>
      <c r="AK44" s="838"/>
    </row>
    <row r="45" spans="1:37" s="839" customFormat="1" ht="29.25" customHeight="1" thickBot="1">
      <c r="A45" s="1894" t="s">
        <v>2661</v>
      </c>
      <c r="B45" s="1942" t="s">
        <v>2662</v>
      </c>
      <c r="C45" s="1929" t="s">
        <v>2663</v>
      </c>
      <c r="D45" s="1930"/>
      <c r="E45" s="1963"/>
      <c r="F45" s="1963"/>
      <c r="G45" s="1963"/>
      <c r="H45" s="1963"/>
      <c r="I45" s="1964"/>
      <c r="J45" s="838"/>
      <c r="K45" s="838"/>
      <c r="L45" s="838"/>
      <c r="M45" s="838"/>
      <c r="N45" s="838"/>
      <c r="O45" s="838"/>
      <c r="P45" s="838"/>
      <c r="Q45" s="838"/>
      <c r="R45" s="838"/>
      <c r="S45" s="838"/>
      <c r="T45" s="838"/>
      <c r="U45" s="838"/>
      <c r="V45" s="838"/>
      <c r="W45" s="838"/>
      <c r="X45" s="838"/>
      <c r="Y45" s="838"/>
      <c r="Z45" s="838"/>
      <c r="AA45" s="838"/>
      <c r="AB45" s="838"/>
      <c r="AC45" s="838"/>
      <c r="AD45" s="838"/>
      <c r="AE45" s="838"/>
      <c r="AF45" s="838"/>
      <c r="AG45" s="838"/>
      <c r="AH45" s="838"/>
      <c r="AI45" s="838"/>
      <c r="AJ45" s="838"/>
      <c r="AK45" s="838"/>
    </row>
    <row r="46" spans="1:37" s="839" customFormat="1" ht="38.25" customHeight="1">
      <c r="A46" s="1895"/>
      <c r="B46" s="1943"/>
      <c r="C46" s="918" t="s">
        <v>2664</v>
      </c>
      <c r="D46" s="918" t="s">
        <v>4262</v>
      </c>
      <c r="E46" s="919" t="s">
        <v>4263</v>
      </c>
      <c r="F46" s="918" t="s">
        <v>4264</v>
      </c>
      <c r="G46" s="918" t="s">
        <v>72</v>
      </c>
      <c r="H46" s="609" t="s">
        <v>4265</v>
      </c>
      <c r="I46" s="914" t="s">
        <v>2669</v>
      </c>
      <c r="J46" s="844"/>
      <c r="K46" s="844"/>
      <c r="L46" s="844"/>
      <c r="M46" s="844"/>
      <c r="N46" s="844"/>
      <c r="O46" s="844"/>
      <c r="P46" s="844"/>
      <c r="Q46" s="844"/>
      <c r="R46" s="844"/>
      <c r="S46" s="844"/>
      <c r="T46" s="844"/>
      <c r="U46" s="844"/>
      <c r="V46" s="844"/>
      <c r="W46" s="844"/>
      <c r="X46" s="844"/>
      <c r="Y46" s="844"/>
      <c r="Z46" s="844"/>
      <c r="AA46" s="844"/>
      <c r="AB46" s="844"/>
      <c r="AC46" s="844"/>
      <c r="AD46" s="844"/>
      <c r="AE46" s="844"/>
      <c r="AF46" s="844"/>
      <c r="AG46" s="844"/>
      <c r="AH46" s="844"/>
      <c r="AI46" s="844"/>
      <c r="AJ46" s="844"/>
      <c r="AK46" s="844"/>
    </row>
    <row r="47" spans="1:37" s="839" customFormat="1" ht="38.25" customHeight="1">
      <c r="A47" s="1895"/>
      <c r="B47" s="1943"/>
      <c r="C47" s="918"/>
      <c r="D47" s="918" t="s">
        <v>4267</v>
      </c>
      <c r="E47" s="919" t="s">
        <v>4266</v>
      </c>
      <c r="F47" s="918" t="s">
        <v>72</v>
      </c>
      <c r="G47" s="918" t="s">
        <v>72</v>
      </c>
      <c r="H47" s="609" t="s">
        <v>4268</v>
      </c>
      <c r="I47" s="914" t="s">
        <v>2669</v>
      </c>
      <c r="J47" s="844"/>
      <c r="K47" s="844"/>
      <c r="L47" s="844"/>
      <c r="M47" s="844"/>
      <c r="N47" s="844"/>
      <c r="O47" s="844"/>
      <c r="P47" s="844"/>
      <c r="Q47" s="844"/>
      <c r="R47" s="844"/>
      <c r="S47" s="844"/>
      <c r="T47" s="844"/>
      <c r="U47" s="844"/>
      <c r="V47" s="844"/>
      <c r="W47" s="844"/>
      <c r="X47" s="844"/>
      <c r="Y47" s="844"/>
      <c r="Z47" s="844"/>
      <c r="AA47" s="844"/>
      <c r="AB47" s="844"/>
      <c r="AC47" s="844"/>
      <c r="AD47" s="844"/>
      <c r="AE47" s="844"/>
      <c r="AF47" s="844"/>
      <c r="AG47" s="844"/>
      <c r="AH47" s="844"/>
      <c r="AI47" s="844"/>
      <c r="AJ47" s="844"/>
      <c r="AK47" s="844"/>
    </row>
    <row r="48" spans="1:37" s="839" customFormat="1" ht="38.25" customHeight="1">
      <c r="A48" s="1895"/>
      <c r="B48" s="1943"/>
      <c r="C48" s="918"/>
      <c r="D48" s="918" t="s">
        <v>4271</v>
      </c>
      <c r="E48" s="919" t="s">
        <v>4273</v>
      </c>
      <c r="F48" s="918" t="s">
        <v>4272</v>
      </c>
      <c r="G48" s="918" t="s">
        <v>72</v>
      </c>
      <c r="H48" s="923" t="s">
        <v>4269</v>
      </c>
      <c r="I48" s="914" t="s">
        <v>4270</v>
      </c>
      <c r="J48" s="844"/>
      <c r="K48" s="844"/>
      <c r="L48" s="844"/>
      <c r="M48" s="844"/>
      <c r="N48" s="844"/>
      <c r="O48" s="844"/>
      <c r="P48" s="844"/>
      <c r="Q48" s="844"/>
      <c r="R48" s="844"/>
      <c r="S48" s="844"/>
      <c r="T48" s="844"/>
      <c r="U48" s="844"/>
      <c r="V48" s="844"/>
      <c r="W48" s="844"/>
      <c r="X48" s="844"/>
      <c r="Y48" s="844"/>
      <c r="Z48" s="844"/>
      <c r="AA48" s="844"/>
      <c r="AB48" s="844"/>
      <c r="AC48" s="844"/>
      <c r="AD48" s="844"/>
      <c r="AE48" s="844"/>
      <c r="AF48" s="844"/>
      <c r="AG48" s="844"/>
      <c r="AH48" s="844"/>
      <c r="AI48" s="844"/>
      <c r="AJ48" s="844"/>
      <c r="AK48" s="844"/>
    </row>
    <row r="49" spans="1:37" s="839" customFormat="1" ht="38.25" customHeight="1">
      <c r="A49" s="1895"/>
      <c r="B49" s="1943"/>
      <c r="C49" s="861" t="s">
        <v>2664</v>
      </c>
      <c r="D49" s="861" t="s">
        <v>2665</v>
      </c>
      <c r="E49" s="862" t="s">
        <v>2666</v>
      </c>
      <c r="F49" s="861" t="s">
        <v>2667</v>
      </c>
      <c r="G49" s="861" t="s">
        <v>72</v>
      </c>
      <c r="H49" s="609" t="s">
        <v>2668</v>
      </c>
      <c r="I49" s="863" t="s">
        <v>2669</v>
      </c>
      <c r="J49" s="844"/>
      <c r="K49" s="844"/>
      <c r="L49" s="844"/>
      <c r="M49" s="844"/>
      <c r="N49" s="844"/>
      <c r="O49" s="844"/>
      <c r="P49" s="844"/>
      <c r="Q49" s="844"/>
      <c r="R49" s="844"/>
      <c r="S49" s="844"/>
      <c r="T49" s="844"/>
      <c r="U49" s="844"/>
      <c r="V49" s="844"/>
      <c r="W49" s="844"/>
      <c r="X49" s="844"/>
      <c r="Y49" s="844"/>
      <c r="Z49" s="844"/>
      <c r="AA49" s="844"/>
      <c r="AB49" s="844"/>
      <c r="AC49" s="844"/>
      <c r="AD49" s="844"/>
      <c r="AE49" s="844"/>
      <c r="AF49" s="844"/>
      <c r="AG49" s="844"/>
      <c r="AH49" s="844"/>
      <c r="AI49" s="844"/>
      <c r="AJ49" s="844"/>
      <c r="AK49" s="844"/>
    </row>
    <row r="50" spans="1:37" s="839" customFormat="1" ht="51">
      <c r="A50" s="1895"/>
      <c r="B50" s="1943"/>
      <c r="C50" s="861" t="s">
        <v>2664</v>
      </c>
      <c r="D50" s="861" t="s">
        <v>2670</v>
      </c>
      <c r="E50" s="862" t="s">
        <v>2671</v>
      </c>
      <c r="F50" s="861" t="s">
        <v>2672</v>
      </c>
      <c r="G50" s="861" t="s">
        <v>2673</v>
      </c>
      <c r="H50" s="609" t="s">
        <v>2674</v>
      </c>
      <c r="I50" s="846" t="s">
        <v>4152</v>
      </c>
      <c r="J50" s="844"/>
      <c r="K50" s="844"/>
      <c r="L50" s="844"/>
      <c r="M50" s="844"/>
      <c r="N50" s="844"/>
      <c r="O50" s="844"/>
      <c r="P50" s="844"/>
      <c r="Q50" s="844"/>
      <c r="R50" s="844"/>
      <c r="S50" s="844"/>
      <c r="T50" s="844"/>
      <c r="U50" s="844"/>
      <c r="V50" s="844"/>
      <c r="W50" s="844"/>
      <c r="X50" s="844"/>
      <c r="Y50" s="844"/>
      <c r="Z50" s="844"/>
      <c r="AA50" s="844"/>
      <c r="AB50" s="844"/>
      <c r="AC50" s="844"/>
      <c r="AD50" s="844"/>
      <c r="AE50" s="844"/>
      <c r="AF50" s="844"/>
      <c r="AG50" s="844"/>
      <c r="AH50" s="844"/>
      <c r="AI50" s="844"/>
      <c r="AJ50" s="844"/>
      <c r="AK50" s="844"/>
    </row>
    <row r="51" spans="1:37" s="839" customFormat="1" ht="38.25">
      <c r="A51" s="1895"/>
      <c r="B51" s="1943"/>
      <c r="C51" s="861" t="s">
        <v>2664</v>
      </c>
      <c r="D51" s="861" t="s">
        <v>2675</v>
      </c>
      <c r="E51" s="862" t="s">
        <v>2676</v>
      </c>
      <c r="F51" s="861" t="s">
        <v>2677</v>
      </c>
      <c r="G51" s="861" t="s">
        <v>2678</v>
      </c>
      <c r="H51" s="609" t="s">
        <v>2679</v>
      </c>
      <c r="I51" s="846" t="s">
        <v>2669</v>
      </c>
      <c r="J51" s="844"/>
      <c r="K51" s="844"/>
      <c r="L51" s="844"/>
      <c r="M51" s="844"/>
      <c r="N51" s="844"/>
      <c r="O51" s="844"/>
      <c r="P51" s="844"/>
      <c r="Q51" s="844"/>
      <c r="R51" s="844"/>
      <c r="S51" s="844"/>
      <c r="T51" s="844"/>
      <c r="U51" s="844"/>
      <c r="V51" s="844"/>
      <c r="W51" s="844"/>
      <c r="X51" s="844"/>
      <c r="Y51" s="844"/>
      <c r="Z51" s="844"/>
      <c r="AA51" s="844"/>
      <c r="AB51" s="844"/>
      <c r="AC51" s="844"/>
      <c r="AD51" s="844"/>
      <c r="AE51" s="844"/>
      <c r="AF51" s="844"/>
      <c r="AG51" s="844"/>
      <c r="AH51" s="844"/>
      <c r="AI51" s="844"/>
      <c r="AJ51" s="844"/>
      <c r="AK51" s="844"/>
    </row>
    <row r="52" spans="1:37" s="839" customFormat="1" ht="33.75" customHeight="1">
      <c r="A52" s="1895"/>
      <c r="B52" s="1943"/>
      <c r="C52" s="861" t="s">
        <v>2664</v>
      </c>
      <c r="D52" s="861" t="s">
        <v>2680</v>
      </c>
      <c r="E52" s="862" t="s">
        <v>2681</v>
      </c>
      <c r="F52" s="861" t="s">
        <v>2682</v>
      </c>
      <c r="G52" s="861" t="s">
        <v>72</v>
      </c>
      <c r="H52" s="609" t="s">
        <v>2683</v>
      </c>
      <c r="I52" s="863" t="s">
        <v>72</v>
      </c>
      <c r="J52" s="844"/>
      <c r="K52" s="844"/>
      <c r="L52" s="844"/>
      <c r="M52" s="844"/>
      <c r="N52" s="844"/>
      <c r="O52" s="844"/>
      <c r="P52" s="844"/>
      <c r="Q52" s="844"/>
      <c r="R52" s="844"/>
      <c r="S52" s="844"/>
      <c r="T52" s="844"/>
      <c r="U52" s="844"/>
      <c r="V52" s="844"/>
      <c r="W52" s="844"/>
      <c r="X52" s="844"/>
      <c r="Y52" s="844"/>
      <c r="Z52" s="844"/>
      <c r="AA52" s="844"/>
      <c r="AB52" s="844"/>
      <c r="AC52" s="844"/>
      <c r="AD52" s="844"/>
      <c r="AE52" s="844"/>
      <c r="AF52" s="844"/>
      <c r="AG52" s="844"/>
      <c r="AH52" s="844"/>
      <c r="AI52" s="844"/>
      <c r="AJ52" s="844"/>
      <c r="AK52" s="844"/>
    </row>
    <row r="53" spans="1:37" s="839" customFormat="1" ht="33.75" customHeight="1">
      <c r="A53" s="1895"/>
      <c r="B53" s="1943"/>
      <c r="C53" s="861" t="s">
        <v>2664</v>
      </c>
      <c r="D53" s="861" t="s">
        <v>2684</v>
      </c>
      <c r="E53" s="862" t="s">
        <v>2685</v>
      </c>
      <c r="F53" s="861" t="s">
        <v>2686</v>
      </c>
      <c r="G53" s="861" t="s">
        <v>72</v>
      </c>
      <c r="H53" s="609" t="s">
        <v>2687</v>
      </c>
      <c r="I53" s="863" t="s">
        <v>72</v>
      </c>
      <c r="J53" s="844"/>
      <c r="K53" s="844"/>
      <c r="L53" s="844"/>
      <c r="M53" s="844"/>
      <c r="N53" s="844"/>
      <c r="O53" s="844"/>
      <c r="P53" s="844"/>
      <c r="Q53" s="844"/>
      <c r="R53" s="844"/>
      <c r="S53" s="844"/>
      <c r="T53" s="844"/>
      <c r="U53" s="844"/>
      <c r="V53" s="844"/>
      <c r="W53" s="844"/>
      <c r="X53" s="844"/>
      <c r="Y53" s="844"/>
      <c r="Z53" s="844"/>
      <c r="AA53" s="844"/>
      <c r="AB53" s="844"/>
      <c r="AC53" s="844"/>
      <c r="AD53" s="844"/>
      <c r="AE53" s="844"/>
      <c r="AF53" s="844"/>
      <c r="AG53" s="844"/>
      <c r="AH53" s="844"/>
      <c r="AI53" s="844"/>
      <c r="AJ53" s="844"/>
      <c r="AK53" s="844"/>
    </row>
    <row r="54" spans="1:37" s="839" customFormat="1" ht="33.75" customHeight="1">
      <c r="A54" s="1895"/>
      <c r="B54" s="1943"/>
      <c r="C54" s="861" t="s">
        <v>2664</v>
      </c>
      <c r="D54" s="861" t="s">
        <v>2688</v>
      </c>
      <c r="E54" s="862" t="s">
        <v>2689</v>
      </c>
      <c r="F54" s="861" t="s">
        <v>2690</v>
      </c>
      <c r="G54" s="861" t="s">
        <v>72</v>
      </c>
      <c r="H54" s="609" t="s">
        <v>2691</v>
      </c>
      <c r="I54" s="863" t="s">
        <v>72</v>
      </c>
      <c r="J54" s="844"/>
      <c r="K54" s="844"/>
      <c r="L54" s="844"/>
      <c r="M54" s="844"/>
      <c r="N54" s="844"/>
      <c r="O54" s="844"/>
      <c r="P54" s="844"/>
      <c r="Q54" s="844"/>
      <c r="R54" s="844"/>
      <c r="S54" s="844"/>
      <c r="T54" s="844"/>
      <c r="U54" s="844"/>
      <c r="V54" s="844"/>
      <c r="W54" s="844"/>
      <c r="X54" s="844"/>
      <c r="Y54" s="844"/>
      <c r="Z54" s="844"/>
      <c r="AA54" s="844"/>
      <c r="AB54" s="844"/>
      <c r="AC54" s="844"/>
      <c r="AD54" s="844"/>
      <c r="AE54" s="844"/>
      <c r="AF54" s="844"/>
      <c r="AG54" s="844"/>
      <c r="AH54" s="844"/>
      <c r="AI54" s="844"/>
      <c r="AJ54" s="844"/>
      <c r="AK54" s="844"/>
    </row>
    <row r="55" spans="1:37" s="839" customFormat="1" ht="33.75" customHeight="1">
      <c r="A55" s="1895"/>
      <c r="B55" s="1943"/>
      <c r="C55" s="861" t="s">
        <v>2664</v>
      </c>
      <c r="D55" s="861" t="s">
        <v>2692</v>
      </c>
      <c r="E55" s="862" t="s">
        <v>2693</v>
      </c>
      <c r="F55" s="861" t="s">
        <v>2694</v>
      </c>
      <c r="G55" s="861" t="s">
        <v>72</v>
      </c>
      <c r="H55" s="609" t="s">
        <v>2695</v>
      </c>
      <c r="I55" s="863" t="s">
        <v>72</v>
      </c>
      <c r="J55" s="844"/>
      <c r="K55" s="844"/>
      <c r="L55" s="844"/>
      <c r="M55" s="844"/>
      <c r="N55" s="844"/>
      <c r="O55" s="844"/>
      <c r="P55" s="844"/>
      <c r="Q55" s="844"/>
      <c r="R55" s="844"/>
      <c r="S55" s="844"/>
      <c r="T55" s="844"/>
      <c r="U55" s="844"/>
      <c r="V55" s="844"/>
      <c r="W55" s="844"/>
      <c r="X55" s="844"/>
      <c r="Y55" s="844"/>
      <c r="Z55" s="844"/>
      <c r="AA55" s="844"/>
      <c r="AB55" s="844"/>
      <c r="AC55" s="844"/>
      <c r="AD55" s="844"/>
      <c r="AE55" s="844"/>
      <c r="AF55" s="844"/>
      <c r="AG55" s="844"/>
      <c r="AH55" s="844"/>
      <c r="AI55" s="844"/>
      <c r="AJ55" s="844"/>
      <c r="AK55" s="844"/>
    </row>
    <row r="56" spans="1:37" s="839" customFormat="1" ht="33.75" customHeight="1">
      <c r="A56" s="1895"/>
      <c r="B56" s="1943"/>
      <c r="C56" s="861" t="s">
        <v>2664</v>
      </c>
      <c r="D56" s="861" t="s">
        <v>2696</v>
      </c>
      <c r="E56" s="862" t="s">
        <v>2697</v>
      </c>
      <c r="F56" s="861" t="s">
        <v>2698</v>
      </c>
      <c r="G56" s="861" t="s">
        <v>2699</v>
      </c>
      <c r="H56" s="609" t="s">
        <v>2700</v>
      </c>
      <c r="I56" s="863" t="s">
        <v>72</v>
      </c>
      <c r="J56" s="844"/>
      <c r="K56" s="844"/>
      <c r="L56" s="844"/>
      <c r="M56" s="844"/>
      <c r="N56" s="844"/>
      <c r="O56" s="844"/>
      <c r="P56" s="844"/>
      <c r="Q56" s="844"/>
      <c r="R56" s="844"/>
      <c r="S56" s="844"/>
      <c r="T56" s="844"/>
      <c r="U56" s="844"/>
      <c r="V56" s="844"/>
      <c r="W56" s="844"/>
      <c r="X56" s="844"/>
      <c r="Y56" s="844"/>
      <c r="Z56" s="844"/>
      <c r="AA56" s="844"/>
      <c r="AB56" s="844"/>
      <c r="AC56" s="844"/>
      <c r="AD56" s="844"/>
      <c r="AE56" s="844"/>
      <c r="AF56" s="844"/>
      <c r="AG56" s="844"/>
      <c r="AH56" s="844"/>
      <c r="AI56" s="844"/>
      <c r="AJ56" s="844"/>
      <c r="AK56" s="844"/>
    </row>
    <row r="57" spans="1:37" s="839" customFormat="1" ht="33.75" customHeight="1">
      <c r="A57" s="1895"/>
      <c r="B57" s="1943"/>
      <c r="C57" s="861" t="s">
        <v>2664</v>
      </c>
      <c r="D57" s="861" t="s">
        <v>2701</v>
      </c>
      <c r="E57" s="862" t="s">
        <v>2702</v>
      </c>
      <c r="F57" s="861" t="s">
        <v>2703</v>
      </c>
      <c r="G57" s="861" t="s">
        <v>2704</v>
      </c>
      <c r="H57" s="609" t="s">
        <v>2705</v>
      </c>
      <c r="I57" s="863" t="s">
        <v>72</v>
      </c>
      <c r="J57" s="844"/>
      <c r="K57" s="844"/>
      <c r="L57" s="844"/>
      <c r="M57" s="844"/>
      <c r="N57" s="844"/>
      <c r="O57" s="844"/>
      <c r="P57" s="844"/>
      <c r="Q57" s="844"/>
      <c r="R57" s="844"/>
      <c r="S57" s="844"/>
      <c r="T57" s="844"/>
      <c r="U57" s="844"/>
      <c r="V57" s="844"/>
      <c r="W57" s="844"/>
      <c r="X57" s="844"/>
      <c r="Y57" s="844"/>
      <c r="Z57" s="844"/>
      <c r="AA57" s="844"/>
      <c r="AB57" s="844"/>
      <c r="AC57" s="844"/>
      <c r="AD57" s="844"/>
      <c r="AE57" s="844"/>
      <c r="AF57" s="844"/>
      <c r="AG57" s="844"/>
      <c r="AH57" s="844"/>
      <c r="AI57" s="844"/>
      <c r="AJ57" s="844"/>
      <c r="AK57" s="844"/>
    </row>
    <row r="58" spans="1:37" s="839" customFormat="1" ht="27.75" customHeight="1">
      <c r="A58" s="1895"/>
      <c r="B58" s="1943"/>
      <c r="C58" s="603" t="s">
        <v>2664</v>
      </c>
      <c r="D58" s="603" t="s">
        <v>2706</v>
      </c>
      <c r="E58" s="602" t="s">
        <v>2706</v>
      </c>
      <c r="F58" s="840" t="s">
        <v>2707</v>
      </c>
      <c r="G58" s="840" t="s">
        <v>72</v>
      </c>
      <c r="H58" s="840" t="s">
        <v>72</v>
      </c>
      <c r="I58" s="610" t="s">
        <v>2708</v>
      </c>
      <c r="J58" s="844"/>
      <c r="K58" s="844"/>
      <c r="L58" s="844"/>
      <c r="M58" s="844"/>
      <c r="N58" s="844"/>
      <c r="O58" s="844"/>
      <c r="P58" s="844"/>
      <c r="Q58" s="844"/>
      <c r="R58" s="844"/>
      <c r="S58" s="844"/>
      <c r="T58" s="844"/>
      <c r="U58" s="844"/>
      <c r="V58" s="844"/>
      <c r="W58" s="844"/>
      <c r="X58" s="844"/>
      <c r="Y58" s="844"/>
      <c r="Z58" s="844"/>
      <c r="AA58" s="844"/>
      <c r="AB58" s="844"/>
      <c r="AC58" s="844"/>
      <c r="AD58" s="844"/>
      <c r="AE58" s="844"/>
      <c r="AF58" s="844"/>
      <c r="AG58" s="844"/>
      <c r="AH58" s="844"/>
      <c r="AI58" s="844"/>
      <c r="AJ58" s="844"/>
      <c r="AK58" s="844"/>
    </row>
    <row r="59" spans="1:37" s="839" customFormat="1" ht="27.75" customHeight="1" thickBot="1">
      <c r="A59" s="1895"/>
      <c r="B59" s="1943"/>
      <c r="C59" s="611" t="s">
        <v>2664</v>
      </c>
      <c r="D59" s="611" t="s">
        <v>2709</v>
      </c>
      <c r="E59" s="612" t="s">
        <v>2709</v>
      </c>
      <c r="F59" s="861" t="s">
        <v>2710</v>
      </c>
      <c r="G59" s="861" t="s">
        <v>2711</v>
      </c>
      <c r="H59" s="840" t="s">
        <v>72</v>
      </c>
      <c r="I59" s="613" t="s">
        <v>2712</v>
      </c>
      <c r="J59" s="844"/>
      <c r="K59" s="844"/>
      <c r="L59" s="844"/>
      <c r="M59" s="844"/>
      <c r="N59" s="844"/>
      <c r="O59" s="844"/>
      <c r="P59" s="844"/>
      <c r="Q59" s="844"/>
      <c r="R59" s="844"/>
      <c r="S59" s="844"/>
      <c r="T59" s="844"/>
      <c r="U59" s="844"/>
      <c r="V59" s="844"/>
      <c r="W59" s="844"/>
      <c r="X59" s="844"/>
      <c r="Y59" s="844"/>
      <c r="Z59" s="844"/>
      <c r="AA59" s="844"/>
      <c r="AB59" s="844"/>
      <c r="AC59" s="844"/>
      <c r="AD59" s="844"/>
      <c r="AE59" s="844"/>
      <c r="AF59" s="844"/>
      <c r="AG59" s="844"/>
      <c r="AH59" s="844"/>
      <c r="AI59" s="844"/>
      <c r="AJ59" s="844"/>
      <c r="AK59" s="844"/>
    </row>
    <row r="60" spans="1:37" s="839" customFormat="1" ht="29.25" customHeight="1">
      <c r="A60" s="1895"/>
      <c r="B60" s="1943"/>
      <c r="C60" s="1933" t="s">
        <v>2713</v>
      </c>
      <c r="D60" s="1934"/>
      <c r="E60" s="1935"/>
      <c r="F60" s="1935"/>
      <c r="G60" s="1935"/>
      <c r="H60" s="1935"/>
      <c r="I60" s="1936"/>
      <c r="J60" s="838"/>
      <c r="K60" s="838"/>
      <c r="L60" s="838"/>
      <c r="M60" s="838"/>
      <c r="N60" s="838"/>
      <c r="O60" s="838"/>
      <c r="P60" s="838"/>
      <c r="Q60" s="838"/>
      <c r="R60" s="838"/>
      <c r="S60" s="838"/>
      <c r="T60" s="838"/>
      <c r="U60" s="838"/>
      <c r="V60" s="838"/>
      <c r="W60" s="838"/>
      <c r="X60" s="838"/>
      <c r="Y60" s="838"/>
      <c r="Z60" s="838"/>
      <c r="AA60" s="838"/>
      <c r="AB60" s="838"/>
      <c r="AC60" s="838"/>
      <c r="AD60" s="838"/>
      <c r="AE60" s="838"/>
      <c r="AF60" s="838"/>
      <c r="AG60" s="838"/>
      <c r="AH60" s="838"/>
      <c r="AI60" s="838"/>
      <c r="AJ60" s="838"/>
      <c r="AK60" s="838"/>
    </row>
    <row r="61" spans="1:37" s="839" customFormat="1" ht="45.75" customHeight="1" thickBot="1">
      <c r="A61" s="1895"/>
      <c r="B61" s="1943"/>
      <c r="C61" s="861" t="s">
        <v>2518</v>
      </c>
      <c r="D61" s="861" t="s">
        <v>2714</v>
      </c>
      <c r="E61" s="602" t="s">
        <v>2715</v>
      </c>
      <c r="F61" s="861" t="s">
        <v>2716</v>
      </c>
      <c r="G61" s="861" t="s">
        <v>72</v>
      </c>
      <c r="H61" s="840" t="s">
        <v>72</v>
      </c>
      <c r="I61" s="846" t="s">
        <v>72</v>
      </c>
      <c r="J61" s="844"/>
      <c r="K61" s="844"/>
      <c r="L61" s="844"/>
      <c r="M61" s="844"/>
      <c r="N61" s="844"/>
      <c r="O61" s="844"/>
      <c r="P61" s="844"/>
      <c r="Q61" s="844"/>
      <c r="R61" s="844"/>
      <c r="S61" s="844"/>
      <c r="T61" s="844"/>
      <c r="U61" s="844"/>
      <c r="V61" s="844"/>
      <c r="W61" s="844"/>
      <c r="X61" s="844"/>
      <c r="Y61" s="844"/>
      <c r="Z61" s="844"/>
      <c r="AA61" s="844"/>
      <c r="AB61" s="844"/>
      <c r="AC61" s="844"/>
      <c r="AD61" s="844"/>
      <c r="AE61" s="844"/>
      <c r="AF61" s="844"/>
      <c r="AG61" s="844"/>
      <c r="AH61" s="844"/>
      <c r="AI61" s="844"/>
      <c r="AJ61" s="844"/>
      <c r="AK61" s="844"/>
    </row>
    <row r="62" spans="1:37" s="839" customFormat="1" ht="29.25" customHeight="1" thickBot="1">
      <c r="A62" s="1895"/>
      <c r="B62" s="1943"/>
      <c r="C62" s="1915" t="s">
        <v>2717</v>
      </c>
      <c r="D62" s="1916"/>
      <c r="E62" s="1917"/>
      <c r="F62" s="1917"/>
      <c r="G62" s="1917"/>
      <c r="H62" s="1917"/>
      <c r="I62" s="1918"/>
      <c r="J62" s="838"/>
      <c r="K62" s="838"/>
      <c r="L62" s="838"/>
      <c r="M62" s="838"/>
      <c r="N62" s="838"/>
      <c r="O62" s="838"/>
      <c r="P62" s="838"/>
      <c r="Q62" s="838"/>
      <c r="R62" s="838"/>
      <c r="S62" s="838"/>
      <c r="T62" s="838"/>
      <c r="U62" s="838"/>
      <c r="V62" s="838"/>
      <c r="W62" s="838"/>
      <c r="X62" s="838"/>
      <c r="Y62" s="838"/>
      <c r="Z62" s="838"/>
      <c r="AA62" s="838"/>
      <c r="AB62" s="838"/>
      <c r="AC62" s="838"/>
      <c r="AD62" s="838"/>
      <c r="AE62" s="838"/>
      <c r="AF62" s="838"/>
      <c r="AG62" s="838"/>
      <c r="AH62" s="838"/>
      <c r="AI62" s="838"/>
      <c r="AJ62" s="838"/>
      <c r="AK62" s="838"/>
    </row>
    <row r="63" spans="1:37" s="839" customFormat="1" ht="47.25" customHeight="1">
      <c r="A63" s="1895"/>
      <c r="B63" s="1943"/>
      <c r="C63" s="861" t="s">
        <v>2557</v>
      </c>
      <c r="D63" s="861" t="s">
        <v>2718</v>
      </c>
      <c r="E63" s="602" t="s">
        <v>2719</v>
      </c>
      <c r="F63" s="861" t="s">
        <v>2720</v>
      </c>
      <c r="G63" s="861" t="s">
        <v>72</v>
      </c>
      <c r="H63" s="840" t="s">
        <v>72</v>
      </c>
      <c r="I63" s="610" t="s">
        <v>2721</v>
      </c>
      <c r="J63" s="844"/>
      <c r="K63" s="844"/>
      <c r="L63" s="844"/>
      <c r="M63" s="844"/>
      <c r="N63" s="844"/>
      <c r="O63" s="844"/>
      <c r="P63" s="844"/>
      <c r="Q63" s="844"/>
      <c r="R63" s="844"/>
      <c r="S63" s="844"/>
      <c r="T63" s="844"/>
      <c r="U63" s="844"/>
      <c r="V63" s="844"/>
      <c r="W63" s="844"/>
      <c r="X63" s="844"/>
      <c r="Y63" s="844"/>
      <c r="Z63" s="844"/>
      <c r="AA63" s="844"/>
      <c r="AB63" s="844"/>
      <c r="AC63" s="844"/>
      <c r="AD63" s="844"/>
      <c r="AE63" s="844"/>
      <c r="AF63" s="844"/>
      <c r="AG63" s="844"/>
      <c r="AH63" s="844"/>
      <c r="AI63" s="844"/>
      <c r="AJ63" s="844"/>
      <c r="AK63" s="844"/>
    </row>
    <row r="64" spans="1:37" s="839" customFormat="1" ht="38.25">
      <c r="A64" s="1895"/>
      <c r="B64" s="1943"/>
      <c r="C64" s="840" t="s">
        <v>2557</v>
      </c>
      <c r="D64" s="840" t="s">
        <v>2722</v>
      </c>
      <c r="E64" s="602" t="s">
        <v>2723</v>
      </c>
      <c r="F64" s="840" t="s">
        <v>2724</v>
      </c>
      <c r="G64" s="861" t="s">
        <v>72</v>
      </c>
      <c r="H64" s="840" t="s">
        <v>72</v>
      </c>
      <c r="I64" s="846" t="s">
        <v>2725</v>
      </c>
      <c r="J64" s="844"/>
      <c r="K64" s="844"/>
      <c r="L64" s="844"/>
      <c r="M64" s="844"/>
      <c r="N64" s="844"/>
      <c r="O64" s="844"/>
      <c r="P64" s="844"/>
      <c r="Q64" s="844"/>
      <c r="R64" s="844"/>
      <c r="S64" s="844"/>
      <c r="T64" s="844"/>
      <c r="U64" s="844"/>
      <c r="V64" s="844"/>
      <c r="W64" s="844"/>
      <c r="X64" s="844"/>
      <c r="Y64" s="844"/>
      <c r="Z64" s="844"/>
      <c r="AA64" s="844"/>
      <c r="AB64" s="844"/>
      <c r="AC64" s="844"/>
      <c r="AD64" s="844"/>
      <c r="AE64" s="844"/>
      <c r="AF64" s="844"/>
      <c r="AG64" s="844"/>
      <c r="AH64" s="844"/>
      <c r="AI64" s="844"/>
      <c r="AJ64" s="844"/>
      <c r="AK64" s="844"/>
    </row>
    <row r="65" spans="1:37" s="839" customFormat="1" ht="38.25">
      <c r="A65" s="1895"/>
      <c r="B65" s="1943"/>
      <c r="C65" s="840" t="s">
        <v>2557</v>
      </c>
      <c r="D65" s="840" t="s">
        <v>2726</v>
      </c>
      <c r="E65" s="602" t="s">
        <v>2727</v>
      </c>
      <c r="F65" s="840" t="s">
        <v>2724</v>
      </c>
      <c r="G65" s="861" t="s">
        <v>72</v>
      </c>
      <c r="H65" s="840" t="s">
        <v>72</v>
      </c>
      <c r="I65" s="846" t="s">
        <v>2728</v>
      </c>
      <c r="J65" s="844"/>
      <c r="K65" s="844"/>
      <c r="L65" s="844"/>
      <c r="M65" s="844"/>
      <c r="N65" s="844"/>
      <c r="O65" s="844"/>
      <c r="P65" s="844"/>
      <c r="Q65" s="844"/>
      <c r="R65" s="844"/>
      <c r="S65" s="844"/>
      <c r="T65" s="844"/>
      <c r="U65" s="844"/>
      <c r="V65" s="844"/>
      <c r="W65" s="844"/>
      <c r="X65" s="844"/>
      <c r="Y65" s="844"/>
      <c r="Z65" s="844"/>
      <c r="AA65" s="844"/>
      <c r="AB65" s="844"/>
      <c r="AC65" s="844"/>
      <c r="AD65" s="844"/>
      <c r="AE65" s="844"/>
      <c r="AF65" s="844"/>
      <c r="AG65" s="844"/>
      <c r="AH65" s="844"/>
      <c r="AI65" s="844"/>
      <c r="AJ65" s="844"/>
      <c r="AK65" s="844"/>
    </row>
    <row r="66" spans="1:37" s="839" customFormat="1" ht="25.5">
      <c r="A66" s="1895"/>
      <c r="B66" s="1943"/>
      <c r="C66" s="840" t="s">
        <v>2557</v>
      </c>
      <c r="D66" s="840" t="s">
        <v>2729</v>
      </c>
      <c r="E66" s="602" t="s">
        <v>2730</v>
      </c>
      <c r="F66" s="840" t="s">
        <v>2731</v>
      </c>
      <c r="G66" s="861" t="s">
        <v>72</v>
      </c>
      <c r="H66" s="840" t="s">
        <v>72</v>
      </c>
      <c r="I66" s="610" t="s">
        <v>2721</v>
      </c>
      <c r="J66" s="844"/>
      <c r="K66" s="844"/>
      <c r="L66" s="844"/>
      <c r="M66" s="844"/>
      <c r="N66" s="844"/>
      <c r="O66" s="844"/>
      <c r="P66" s="844"/>
      <c r="Q66" s="844"/>
      <c r="R66" s="844"/>
      <c r="S66" s="844"/>
      <c r="T66" s="844"/>
      <c r="U66" s="844"/>
      <c r="V66" s="844"/>
      <c r="W66" s="844"/>
      <c r="X66" s="844"/>
      <c r="Y66" s="844"/>
      <c r="Z66" s="844"/>
      <c r="AA66" s="844"/>
      <c r="AB66" s="844"/>
      <c r="AC66" s="844"/>
      <c r="AD66" s="844"/>
      <c r="AE66" s="844"/>
      <c r="AF66" s="844"/>
      <c r="AG66" s="844"/>
      <c r="AH66" s="844"/>
      <c r="AI66" s="844"/>
      <c r="AJ66" s="844"/>
      <c r="AK66" s="844"/>
    </row>
    <row r="67" spans="1:37" s="839" customFormat="1" ht="38.25">
      <c r="A67" s="1895"/>
      <c r="B67" s="1943"/>
      <c r="C67" s="840" t="s">
        <v>2557</v>
      </c>
      <c r="D67" s="840" t="s">
        <v>2732</v>
      </c>
      <c r="E67" s="602" t="s">
        <v>2733</v>
      </c>
      <c r="F67" s="840" t="s">
        <v>2734</v>
      </c>
      <c r="G67" s="861" t="s">
        <v>72</v>
      </c>
      <c r="H67" s="840" t="s">
        <v>72</v>
      </c>
      <c r="I67" s="846" t="s">
        <v>2735</v>
      </c>
      <c r="J67" s="844"/>
      <c r="K67" s="844"/>
      <c r="L67" s="844"/>
      <c r="M67" s="844"/>
      <c r="N67" s="844"/>
      <c r="O67" s="844"/>
      <c r="P67" s="844"/>
      <c r="Q67" s="844"/>
      <c r="R67" s="844"/>
      <c r="S67" s="844"/>
      <c r="T67" s="844"/>
      <c r="U67" s="844"/>
      <c r="V67" s="844"/>
      <c r="W67" s="844"/>
      <c r="X67" s="844"/>
      <c r="Y67" s="844"/>
      <c r="Z67" s="844"/>
      <c r="AA67" s="844"/>
      <c r="AB67" s="844"/>
      <c r="AC67" s="844"/>
      <c r="AD67" s="844"/>
      <c r="AE67" s="844"/>
      <c r="AF67" s="844"/>
      <c r="AG67" s="844"/>
      <c r="AH67" s="844"/>
      <c r="AI67" s="844"/>
      <c r="AJ67" s="844"/>
      <c r="AK67" s="844"/>
    </row>
    <row r="68" spans="1:37" s="839" customFormat="1" ht="38.25">
      <c r="A68" s="1895"/>
      <c r="B68" s="1943"/>
      <c r="C68" s="840" t="s">
        <v>2557</v>
      </c>
      <c r="D68" s="840" t="s">
        <v>2736</v>
      </c>
      <c r="E68" s="602" t="s">
        <v>2737</v>
      </c>
      <c r="F68" s="840" t="s">
        <v>72</v>
      </c>
      <c r="G68" s="861" t="s">
        <v>72</v>
      </c>
      <c r="H68" s="840" t="s">
        <v>72</v>
      </c>
      <c r="I68" s="846" t="s">
        <v>2738</v>
      </c>
      <c r="J68" s="844"/>
      <c r="K68" s="844"/>
      <c r="L68" s="844"/>
      <c r="M68" s="844"/>
      <c r="N68" s="844"/>
      <c r="O68" s="844"/>
      <c r="P68" s="844"/>
      <c r="Q68" s="844"/>
      <c r="R68" s="844"/>
      <c r="S68" s="844"/>
      <c r="T68" s="844"/>
      <c r="U68" s="844"/>
      <c r="V68" s="844"/>
      <c r="W68" s="844"/>
      <c r="X68" s="844"/>
      <c r="Y68" s="844"/>
      <c r="Z68" s="844"/>
      <c r="AA68" s="844"/>
      <c r="AB68" s="844"/>
      <c r="AC68" s="844"/>
      <c r="AD68" s="844"/>
      <c r="AE68" s="844"/>
      <c r="AF68" s="844"/>
      <c r="AG68" s="844"/>
      <c r="AH68" s="844"/>
      <c r="AI68" s="844"/>
      <c r="AJ68" s="844"/>
      <c r="AK68" s="844"/>
    </row>
    <row r="69" spans="1:37" s="839" customFormat="1" ht="41.25" customHeight="1">
      <c r="A69" s="1895"/>
      <c r="B69" s="1943"/>
      <c r="C69" s="840"/>
      <c r="D69" s="840" t="s">
        <v>3943</v>
      </c>
      <c r="E69" s="602" t="s">
        <v>3944</v>
      </c>
      <c r="F69" s="840" t="s">
        <v>3945</v>
      </c>
      <c r="G69" s="861" t="s">
        <v>72</v>
      </c>
      <c r="H69" s="840" t="s">
        <v>72</v>
      </c>
      <c r="I69" s="610" t="s">
        <v>3946</v>
      </c>
      <c r="J69" s="844"/>
      <c r="K69" s="844"/>
      <c r="L69" s="844"/>
      <c r="M69" s="844"/>
      <c r="N69" s="844"/>
      <c r="O69" s="844"/>
      <c r="P69" s="844"/>
      <c r="Q69" s="844"/>
      <c r="R69" s="844"/>
      <c r="S69" s="844"/>
      <c r="T69" s="844"/>
      <c r="U69" s="844"/>
      <c r="V69" s="844"/>
      <c r="W69" s="844"/>
      <c r="X69" s="844"/>
      <c r="Y69" s="844"/>
      <c r="Z69" s="844"/>
      <c r="AA69" s="844"/>
      <c r="AB69" s="844"/>
      <c r="AC69" s="844"/>
      <c r="AD69" s="844"/>
      <c r="AE69" s="844"/>
      <c r="AF69" s="844"/>
      <c r="AG69" s="844"/>
      <c r="AH69" s="844"/>
      <c r="AI69" s="844"/>
      <c r="AJ69" s="844"/>
      <c r="AK69" s="844"/>
    </row>
    <row r="70" spans="1:37" s="839" customFormat="1" ht="51">
      <c r="A70" s="1895"/>
      <c r="B70" s="1943"/>
      <c r="C70" s="840" t="s">
        <v>2557</v>
      </c>
      <c r="D70" s="840" t="s">
        <v>2739</v>
      </c>
      <c r="E70" s="602" t="s">
        <v>2740</v>
      </c>
      <c r="F70" s="840" t="s">
        <v>2741</v>
      </c>
      <c r="G70" s="861" t="s">
        <v>2742</v>
      </c>
      <c r="H70" s="840" t="s">
        <v>72</v>
      </c>
      <c r="I70" s="846" t="s">
        <v>2743</v>
      </c>
      <c r="J70" s="844"/>
      <c r="K70" s="844"/>
      <c r="L70" s="844"/>
      <c r="M70" s="844"/>
      <c r="N70" s="844"/>
      <c r="O70" s="844"/>
      <c r="P70" s="844"/>
      <c r="Q70" s="844"/>
      <c r="R70" s="844"/>
      <c r="S70" s="844"/>
      <c r="T70" s="844"/>
      <c r="U70" s="844"/>
      <c r="V70" s="844"/>
      <c r="W70" s="844"/>
      <c r="X70" s="844"/>
      <c r="Y70" s="844"/>
      <c r="Z70" s="844"/>
      <c r="AA70" s="844"/>
      <c r="AB70" s="844"/>
      <c r="AC70" s="844"/>
      <c r="AD70" s="844"/>
      <c r="AE70" s="844"/>
      <c r="AF70" s="844"/>
      <c r="AG70" s="844"/>
      <c r="AH70" s="844"/>
      <c r="AI70" s="844"/>
      <c r="AJ70" s="844"/>
      <c r="AK70" s="844"/>
    </row>
    <row r="71" spans="1:37" s="839" customFormat="1" ht="27.75" customHeight="1" thickBot="1">
      <c r="A71" s="1896"/>
      <c r="B71" s="1944"/>
      <c r="C71" s="603" t="s">
        <v>2557</v>
      </c>
      <c r="D71" s="603" t="s">
        <v>2744</v>
      </c>
      <c r="E71" s="602" t="s">
        <v>2745</v>
      </c>
      <c r="F71" s="840" t="s">
        <v>2746</v>
      </c>
      <c r="G71" s="840" t="s">
        <v>72</v>
      </c>
      <c r="H71" s="840" t="s">
        <v>72</v>
      </c>
      <c r="I71" s="610" t="s">
        <v>2747</v>
      </c>
      <c r="J71" s="844"/>
      <c r="K71" s="844"/>
      <c r="L71" s="844"/>
      <c r="M71" s="844"/>
      <c r="N71" s="844"/>
      <c r="O71" s="844"/>
      <c r="P71" s="844"/>
      <c r="Q71" s="844"/>
      <c r="R71" s="844"/>
      <c r="S71" s="844"/>
      <c r="T71" s="844"/>
      <c r="U71" s="844"/>
      <c r="V71" s="844"/>
      <c r="W71" s="844"/>
      <c r="X71" s="844"/>
      <c r="Y71" s="844"/>
      <c r="Z71" s="844"/>
      <c r="AA71" s="844"/>
      <c r="AB71" s="844"/>
      <c r="AC71" s="844"/>
      <c r="AD71" s="844"/>
      <c r="AE71" s="844"/>
      <c r="AF71" s="844"/>
      <c r="AG71" s="844"/>
      <c r="AH71" s="844"/>
      <c r="AI71" s="844"/>
      <c r="AJ71" s="844"/>
      <c r="AK71" s="844"/>
    </row>
    <row r="72" spans="1:37" s="839" customFormat="1" ht="29.25" customHeight="1" thickBot="1">
      <c r="A72" s="1904" t="s">
        <v>2748</v>
      </c>
      <c r="B72" s="1958" t="s">
        <v>2749</v>
      </c>
      <c r="C72" s="1933" t="s">
        <v>2750</v>
      </c>
      <c r="D72" s="1934"/>
      <c r="E72" s="1935"/>
      <c r="F72" s="1935"/>
      <c r="G72" s="1935"/>
      <c r="H72" s="1935"/>
      <c r="I72" s="1936"/>
      <c r="J72" s="838"/>
      <c r="K72" s="838"/>
      <c r="L72" s="838"/>
      <c r="M72" s="838"/>
      <c r="N72" s="838"/>
      <c r="O72" s="838"/>
      <c r="P72" s="838"/>
      <c r="Q72" s="838"/>
      <c r="R72" s="838"/>
      <c r="S72" s="838"/>
      <c r="T72" s="838"/>
      <c r="U72" s="838"/>
      <c r="V72" s="838"/>
      <c r="W72" s="838"/>
      <c r="X72" s="838"/>
      <c r="Y72" s="838"/>
      <c r="Z72" s="838"/>
      <c r="AA72" s="838"/>
      <c r="AB72" s="838"/>
      <c r="AC72" s="838"/>
      <c r="AD72" s="838"/>
      <c r="AE72" s="838"/>
      <c r="AF72" s="838"/>
      <c r="AG72" s="838"/>
      <c r="AH72" s="838"/>
      <c r="AI72" s="838"/>
      <c r="AJ72" s="838"/>
      <c r="AK72" s="838"/>
    </row>
    <row r="73" spans="1:37" s="839" customFormat="1" ht="66" customHeight="1" thickBot="1">
      <c r="A73" s="1905"/>
      <c r="B73" s="1959"/>
      <c r="C73" s="854" t="s">
        <v>2518</v>
      </c>
      <c r="D73" s="934" t="s">
        <v>2751</v>
      </c>
      <c r="E73" s="935" t="s">
        <v>2752</v>
      </c>
      <c r="F73" s="934" t="s">
        <v>2753</v>
      </c>
      <c r="G73" s="934" t="s">
        <v>72</v>
      </c>
      <c r="H73" s="937" t="s">
        <v>2754</v>
      </c>
      <c r="I73" s="938" t="s">
        <v>2755</v>
      </c>
      <c r="J73" s="838"/>
      <c r="K73" s="838"/>
      <c r="L73" s="838"/>
      <c r="M73" s="838"/>
      <c r="N73" s="838"/>
      <c r="O73" s="838"/>
      <c r="P73" s="838"/>
      <c r="Q73" s="838"/>
      <c r="R73" s="838"/>
      <c r="S73" s="838"/>
      <c r="T73" s="838"/>
      <c r="U73" s="838"/>
      <c r="V73" s="838"/>
      <c r="W73" s="838"/>
      <c r="X73" s="838"/>
      <c r="Y73" s="838"/>
      <c r="Z73" s="838"/>
      <c r="AA73" s="838"/>
      <c r="AB73" s="838"/>
      <c r="AC73" s="838"/>
      <c r="AD73" s="838"/>
      <c r="AE73" s="838"/>
      <c r="AF73" s="838"/>
      <c r="AG73" s="838"/>
      <c r="AH73" s="838"/>
      <c r="AI73" s="838"/>
      <c r="AJ73" s="838"/>
      <c r="AK73" s="838"/>
    </row>
    <row r="74" spans="1:37" s="839" customFormat="1" ht="66" customHeight="1" thickBot="1">
      <c r="A74" s="1905"/>
      <c r="B74" s="1959"/>
      <c r="C74" s="936"/>
      <c r="D74" s="939" t="s">
        <v>4294</v>
      </c>
      <c r="E74" s="940" t="s">
        <v>4295</v>
      </c>
      <c r="F74" s="939" t="s">
        <v>4296</v>
      </c>
      <c r="G74" s="939" t="s">
        <v>72</v>
      </c>
      <c r="H74" s="937" t="s">
        <v>4297</v>
      </c>
      <c r="I74" s="941"/>
      <c r="J74" s="838"/>
      <c r="K74" s="838"/>
      <c r="L74" s="838"/>
      <c r="M74" s="838"/>
      <c r="N74" s="838"/>
      <c r="O74" s="838"/>
      <c r="P74" s="838"/>
      <c r="Q74" s="838"/>
      <c r="R74" s="838"/>
      <c r="S74" s="838"/>
      <c r="T74" s="838"/>
      <c r="U74" s="838"/>
      <c r="V74" s="838"/>
      <c r="W74" s="838"/>
      <c r="X74" s="838"/>
      <c r="Y74" s="838"/>
      <c r="Z74" s="838"/>
      <c r="AA74" s="838"/>
      <c r="AB74" s="838"/>
      <c r="AC74" s="838"/>
      <c r="AD74" s="838"/>
      <c r="AE74" s="838"/>
      <c r="AF74" s="838"/>
      <c r="AG74" s="838"/>
      <c r="AH74" s="838"/>
      <c r="AI74" s="838"/>
      <c r="AJ74" s="838"/>
      <c r="AK74" s="838"/>
    </row>
    <row r="75" spans="1:37" s="839" customFormat="1" ht="66" customHeight="1" thickBot="1">
      <c r="A75" s="1905"/>
      <c r="B75" s="1959"/>
      <c r="C75" s="936"/>
      <c r="D75" s="934" t="s">
        <v>4298</v>
      </c>
      <c r="E75" s="935" t="s">
        <v>4299</v>
      </c>
      <c r="F75" s="934" t="s">
        <v>72</v>
      </c>
      <c r="G75" s="934" t="s">
        <v>72</v>
      </c>
      <c r="H75" s="937" t="s">
        <v>4300</v>
      </c>
      <c r="I75" s="933"/>
      <c r="J75" s="838"/>
      <c r="K75" s="838"/>
      <c r="L75" s="838"/>
      <c r="M75" s="838"/>
      <c r="N75" s="838"/>
      <c r="O75" s="838"/>
      <c r="P75" s="838"/>
      <c r="Q75" s="838"/>
      <c r="R75" s="838"/>
      <c r="S75" s="838"/>
      <c r="T75" s="838"/>
      <c r="U75" s="838"/>
      <c r="V75" s="838"/>
      <c r="W75" s="838"/>
      <c r="X75" s="838"/>
      <c r="Y75" s="838"/>
      <c r="Z75" s="838"/>
      <c r="AA75" s="838"/>
      <c r="AB75" s="838"/>
      <c r="AC75" s="838"/>
      <c r="AD75" s="838"/>
      <c r="AE75" s="838"/>
      <c r="AF75" s="838"/>
      <c r="AG75" s="838"/>
      <c r="AH75" s="838"/>
      <c r="AI75" s="838"/>
      <c r="AJ75" s="838"/>
      <c r="AK75" s="838"/>
    </row>
    <row r="76" spans="1:37" s="839" customFormat="1" ht="29.25" customHeight="1" thickBot="1">
      <c r="A76" s="1905"/>
      <c r="B76" s="1959"/>
      <c r="C76" s="1915" t="s">
        <v>2556</v>
      </c>
      <c r="D76" s="1916"/>
      <c r="E76" s="1917"/>
      <c r="F76" s="1917"/>
      <c r="G76" s="1917"/>
      <c r="H76" s="1917"/>
      <c r="I76" s="1918"/>
      <c r="J76" s="838"/>
      <c r="K76" s="838"/>
      <c r="L76" s="838"/>
      <c r="M76" s="838"/>
      <c r="N76" s="838"/>
      <c r="O76" s="838"/>
      <c r="P76" s="838"/>
      <c r="Q76" s="838"/>
      <c r="R76" s="838"/>
      <c r="S76" s="838"/>
      <c r="T76" s="838"/>
      <c r="U76" s="838"/>
      <c r="V76" s="838"/>
      <c r="W76" s="838"/>
      <c r="X76" s="838"/>
      <c r="Y76" s="838"/>
      <c r="Z76" s="838"/>
      <c r="AA76" s="838"/>
      <c r="AB76" s="838"/>
      <c r="AC76" s="838"/>
      <c r="AD76" s="838"/>
      <c r="AE76" s="838"/>
      <c r="AF76" s="838"/>
      <c r="AG76" s="838"/>
      <c r="AH76" s="838"/>
      <c r="AI76" s="838"/>
      <c r="AJ76" s="838"/>
      <c r="AK76" s="838"/>
    </row>
    <row r="77" spans="1:37" s="839" customFormat="1" ht="53.25" customHeight="1" thickBot="1">
      <c r="A77" s="1906"/>
      <c r="B77" s="1960"/>
      <c r="C77" s="857" t="s">
        <v>2557</v>
      </c>
      <c r="D77" s="857" t="s">
        <v>2558</v>
      </c>
      <c r="E77" s="858" t="s">
        <v>2558</v>
      </c>
      <c r="F77" s="859" t="s">
        <v>2756</v>
      </c>
      <c r="G77" s="857" t="s">
        <v>72</v>
      </c>
      <c r="H77" s="614" t="s">
        <v>72</v>
      </c>
      <c r="I77" s="615" t="s">
        <v>2755</v>
      </c>
      <c r="J77" s="838"/>
      <c r="K77" s="838"/>
      <c r="L77" s="838"/>
      <c r="M77" s="838"/>
      <c r="N77" s="838"/>
      <c r="O77" s="838"/>
      <c r="P77" s="838"/>
      <c r="Q77" s="838"/>
      <c r="R77" s="838"/>
      <c r="S77" s="838"/>
      <c r="T77" s="838"/>
      <c r="U77" s="838"/>
      <c r="V77" s="838"/>
      <c r="W77" s="838"/>
      <c r="X77" s="838"/>
      <c r="Y77" s="838"/>
      <c r="Z77" s="838"/>
      <c r="AA77" s="838"/>
      <c r="AB77" s="838"/>
      <c r="AC77" s="838"/>
      <c r="AD77" s="838"/>
      <c r="AE77" s="838"/>
      <c r="AF77" s="838"/>
      <c r="AG77" s="838"/>
      <c r="AH77" s="838"/>
      <c r="AI77" s="838"/>
      <c r="AJ77" s="838"/>
      <c r="AK77" s="838"/>
    </row>
    <row r="78" spans="1:37" s="839" customFormat="1" ht="29.25" customHeight="1">
      <c r="A78" s="1895" t="s">
        <v>2757</v>
      </c>
      <c r="B78" s="1943" t="s">
        <v>2758</v>
      </c>
      <c r="C78" s="1933" t="s">
        <v>2759</v>
      </c>
      <c r="D78" s="1934"/>
      <c r="E78" s="1935"/>
      <c r="F78" s="1935"/>
      <c r="G78" s="1935"/>
      <c r="H78" s="1935"/>
      <c r="I78" s="1936"/>
      <c r="J78" s="838"/>
      <c r="K78" s="838"/>
      <c r="L78" s="838"/>
      <c r="M78" s="838"/>
      <c r="N78" s="838"/>
      <c r="O78" s="838"/>
      <c r="P78" s="838"/>
      <c r="Q78" s="838"/>
      <c r="R78" s="838"/>
      <c r="S78" s="838"/>
      <c r="T78" s="838"/>
      <c r="U78" s="838"/>
      <c r="V78" s="838"/>
      <c r="W78" s="838"/>
      <c r="X78" s="838"/>
      <c r="Y78" s="838"/>
      <c r="Z78" s="838"/>
      <c r="AA78" s="838"/>
      <c r="AB78" s="838"/>
      <c r="AC78" s="838"/>
      <c r="AD78" s="838"/>
      <c r="AE78" s="838"/>
      <c r="AF78" s="838"/>
      <c r="AG78" s="838"/>
      <c r="AH78" s="838"/>
      <c r="AI78" s="838"/>
      <c r="AJ78" s="838"/>
      <c r="AK78" s="838"/>
    </row>
    <row r="79" spans="1:37" s="865" customFormat="1" ht="42.75" customHeight="1">
      <c r="A79" s="1895"/>
      <c r="B79" s="1943"/>
      <c r="C79" s="840" t="s">
        <v>2518</v>
      </c>
      <c r="D79" s="840" t="s">
        <v>2760</v>
      </c>
      <c r="E79" s="845" t="s">
        <v>2761</v>
      </c>
      <c r="F79" s="840" t="s">
        <v>2762</v>
      </c>
      <c r="G79" s="840" t="s">
        <v>2763</v>
      </c>
      <c r="H79" s="600" t="s">
        <v>2764</v>
      </c>
      <c r="I79" s="846" t="s">
        <v>2765</v>
      </c>
      <c r="J79" s="844"/>
      <c r="K79" s="864"/>
      <c r="L79" s="844"/>
      <c r="M79" s="844"/>
      <c r="N79" s="844"/>
      <c r="O79" s="844"/>
      <c r="P79" s="844"/>
      <c r="Q79" s="844"/>
      <c r="R79" s="844"/>
      <c r="S79" s="844"/>
      <c r="T79" s="844"/>
      <c r="U79" s="844"/>
      <c r="V79" s="844"/>
      <c r="W79" s="844"/>
      <c r="X79" s="844"/>
      <c r="Y79" s="844"/>
      <c r="Z79" s="844"/>
      <c r="AA79" s="844"/>
      <c r="AB79" s="844"/>
      <c r="AC79" s="844"/>
      <c r="AD79" s="844"/>
      <c r="AE79" s="844"/>
      <c r="AF79" s="844"/>
      <c r="AG79" s="844"/>
      <c r="AH79" s="844"/>
      <c r="AI79" s="844"/>
      <c r="AJ79" s="844"/>
      <c r="AK79" s="844"/>
    </row>
    <row r="80" spans="1:37" s="865" customFormat="1" ht="42.75" customHeight="1">
      <c r="A80" s="1895"/>
      <c r="B80" s="1943"/>
      <c r="C80" s="840" t="s">
        <v>2518</v>
      </c>
      <c r="D80" s="840" t="s">
        <v>2766</v>
      </c>
      <c r="E80" s="845" t="s">
        <v>2767</v>
      </c>
      <c r="F80" s="840" t="s">
        <v>2768</v>
      </c>
      <c r="G80" s="840" t="s">
        <v>72</v>
      </c>
      <c r="H80" s="600" t="s">
        <v>2769</v>
      </c>
      <c r="I80" s="846" t="s">
        <v>72</v>
      </c>
      <c r="J80" s="844"/>
      <c r="K80" s="864"/>
      <c r="L80" s="844"/>
      <c r="M80" s="844"/>
      <c r="N80" s="844"/>
      <c r="O80" s="844"/>
      <c r="P80" s="844"/>
      <c r="Q80" s="844"/>
      <c r="R80" s="844"/>
      <c r="S80" s="844"/>
      <c r="T80" s="844"/>
      <c r="U80" s="844"/>
      <c r="V80" s="844"/>
      <c r="W80" s="844"/>
      <c r="X80" s="844"/>
      <c r="Y80" s="844"/>
      <c r="Z80" s="844"/>
      <c r="AA80" s="844"/>
      <c r="AB80" s="844"/>
      <c r="AC80" s="844"/>
      <c r="AD80" s="844"/>
      <c r="AE80" s="844"/>
      <c r="AF80" s="844"/>
      <c r="AG80" s="844"/>
      <c r="AH80" s="844"/>
      <c r="AI80" s="844"/>
      <c r="AJ80" s="844"/>
      <c r="AK80" s="844"/>
    </row>
    <row r="81" spans="1:37" s="865" customFormat="1" ht="42.75" customHeight="1">
      <c r="A81" s="1895"/>
      <c r="B81" s="1943"/>
      <c r="C81" s="840" t="s">
        <v>2518</v>
      </c>
      <c r="D81" s="840" t="s">
        <v>2770</v>
      </c>
      <c r="E81" s="845" t="s">
        <v>2771</v>
      </c>
      <c r="F81" s="840" t="s">
        <v>2772</v>
      </c>
      <c r="G81" s="840" t="s">
        <v>2773</v>
      </c>
      <c r="H81" s="600" t="s">
        <v>2774</v>
      </c>
      <c r="I81" s="846" t="s">
        <v>2775</v>
      </c>
      <c r="J81" s="844"/>
      <c r="K81" s="864"/>
      <c r="L81" s="844"/>
      <c r="M81" s="844"/>
      <c r="N81" s="844"/>
      <c r="O81" s="844"/>
      <c r="P81" s="844"/>
      <c r="Q81" s="844"/>
      <c r="R81" s="844"/>
      <c r="S81" s="844"/>
      <c r="T81" s="844"/>
      <c r="U81" s="844"/>
      <c r="V81" s="844"/>
      <c r="W81" s="844"/>
      <c r="X81" s="844"/>
      <c r="Y81" s="844"/>
      <c r="Z81" s="844"/>
      <c r="AA81" s="844"/>
      <c r="AB81" s="844"/>
      <c r="AC81" s="844"/>
      <c r="AD81" s="844"/>
      <c r="AE81" s="844"/>
      <c r="AF81" s="844"/>
      <c r="AG81" s="844"/>
      <c r="AH81" s="844"/>
      <c r="AI81" s="844"/>
      <c r="AJ81" s="844"/>
      <c r="AK81" s="844"/>
    </row>
    <row r="82" spans="1:37" s="865" customFormat="1" ht="42.75" customHeight="1" thickBot="1">
      <c r="A82" s="1895"/>
      <c r="B82" s="1943"/>
      <c r="C82" s="840" t="s">
        <v>2518</v>
      </c>
      <c r="D82" s="840" t="s">
        <v>2776</v>
      </c>
      <c r="E82" s="845" t="s">
        <v>2777</v>
      </c>
      <c r="F82" s="840" t="s">
        <v>2778</v>
      </c>
      <c r="G82" s="840" t="s">
        <v>72</v>
      </c>
      <c r="H82" s="600" t="s">
        <v>2779</v>
      </c>
      <c r="I82" s="846" t="s">
        <v>72</v>
      </c>
      <c r="J82" s="844"/>
      <c r="K82" s="864"/>
      <c r="L82" s="844"/>
      <c r="M82" s="844"/>
      <c r="N82" s="844"/>
      <c r="O82" s="844"/>
      <c r="P82" s="844"/>
      <c r="Q82" s="844"/>
      <c r="R82" s="844"/>
      <c r="S82" s="844"/>
      <c r="T82" s="844"/>
      <c r="U82" s="844"/>
      <c r="V82" s="844"/>
      <c r="W82" s="844"/>
      <c r="X82" s="844"/>
      <c r="Y82" s="844"/>
      <c r="Z82" s="844"/>
      <c r="AA82" s="844"/>
      <c r="AB82" s="844"/>
      <c r="AC82" s="844"/>
      <c r="AD82" s="844"/>
      <c r="AE82" s="844"/>
      <c r="AF82" s="844"/>
      <c r="AG82" s="844"/>
      <c r="AH82" s="844"/>
      <c r="AI82" s="844"/>
      <c r="AJ82" s="844"/>
      <c r="AK82" s="844"/>
    </row>
    <row r="83" spans="1:37" s="839" customFormat="1" ht="29.25" customHeight="1">
      <c r="A83" s="1895"/>
      <c r="B83" s="1943"/>
      <c r="C83" s="1933" t="s">
        <v>2780</v>
      </c>
      <c r="D83" s="1934"/>
      <c r="E83" s="1935"/>
      <c r="F83" s="1935"/>
      <c r="G83" s="1935"/>
      <c r="H83" s="1935"/>
      <c r="I83" s="1936"/>
      <c r="J83" s="838"/>
      <c r="K83" s="838"/>
      <c r="L83" s="838"/>
      <c r="M83" s="838"/>
      <c r="N83" s="838"/>
      <c r="O83" s="838"/>
      <c r="P83" s="838"/>
      <c r="Q83" s="838"/>
      <c r="R83" s="838"/>
      <c r="S83" s="838"/>
      <c r="T83" s="838"/>
      <c r="U83" s="838"/>
      <c r="V83" s="838"/>
      <c r="W83" s="838"/>
      <c r="X83" s="838"/>
      <c r="Y83" s="838"/>
      <c r="Z83" s="838"/>
      <c r="AA83" s="838"/>
      <c r="AB83" s="838"/>
      <c r="AC83" s="838"/>
      <c r="AD83" s="838"/>
      <c r="AE83" s="838"/>
      <c r="AF83" s="838"/>
      <c r="AG83" s="838"/>
      <c r="AH83" s="838"/>
      <c r="AI83" s="838"/>
      <c r="AJ83" s="838"/>
      <c r="AK83" s="838"/>
    </row>
    <row r="84" spans="1:37" s="865" customFormat="1" ht="42.75" customHeight="1">
      <c r="A84" s="1895"/>
      <c r="B84" s="1943"/>
      <c r="C84" s="840" t="s">
        <v>2518</v>
      </c>
      <c r="D84" s="840" t="s">
        <v>2760</v>
      </c>
      <c r="E84" s="845" t="s">
        <v>2761</v>
      </c>
      <c r="F84" s="840" t="s">
        <v>2762</v>
      </c>
      <c r="G84" s="840" t="s">
        <v>2763</v>
      </c>
      <c r="H84" s="600" t="s">
        <v>2764</v>
      </c>
      <c r="I84" s="846" t="s">
        <v>2765</v>
      </c>
      <c r="J84" s="844"/>
      <c r="K84" s="864"/>
      <c r="L84" s="844"/>
      <c r="M84" s="844"/>
      <c r="N84" s="844"/>
      <c r="O84" s="844"/>
      <c r="P84" s="844"/>
      <c r="Q84" s="844"/>
      <c r="R84" s="844"/>
      <c r="S84" s="844"/>
      <c r="T84" s="844"/>
      <c r="U84" s="844"/>
      <c r="V84" s="844"/>
      <c r="W84" s="844"/>
      <c r="X84" s="844"/>
      <c r="Y84" s="844"/>
      <c r="Z84" s="844"/>
      <c r="AA84" s="844"/>
      <c r="AB84" s="844"/>
      <c r="AC84" s="844"/>
      <c r="AD84" s="844"/>
      <c r="AE84" s="844"/>
      <c r="AF84" s="844"/>
      <c r="AG84" s="844"/>
      <c r="AH84" s="844"/>
      <c r="AI84" s="844"/>
      <c r="AJ84" s="844"/>
      <c r="AK84" s="844"/>
    </row>
    <row r="85" spans="1:37" s="865" customFormat="1" ht="46.5" customHeight="1">
      <c r="A85" s="1895"/>
      <c r="B85" s="1943"/>
      <c r="C85" s="840" t="s">
        <v>2518</v>
      </c>
      <c r="D85" s="840" t="s">
        <v>2781</v>
      </c>
      <c r="E85" s="845" t="s">
        <v>2782</v>
      </c>
      <c r="F85" s="840" t="s">
        <v>2783</v>
      </c>
      <c r="G85" s="840" t="s">
        <v>72</v>
      </c>
      <c r="H85" s="600" t="s">
        <v>2784</v>
      </c>
      <c r="I85" s="846" t="s">
        <v>2785</v>
      </c>
      <c r="J85" s="844"/>
      <c r="K85" s="864"/>
      <c r="L85" s="844"/>
      <c r="M85" s="844"/>
      <c r="N85" s="844"/>
      <c r="O85" s="844"/>
      <c r="P85" s="844"/>
      <c r="Q85" s="844"/>
      <c r="R85" s="844"/>
      <c r="S85" s="844"/>
      <c r="T85" s="844"/>
      <c r="U85" s="844"/>
      <c r="V85" s="844"/>
      <c r="W85" s="844"/>
      <c r="X85" s="844"/>
      <c r="Y85" s="844"/>
      <c r="Z85" s="844"/>
      <c r="AA85" s="844"/>
      <c r="AB85" s="844"/>
      <c r="AC85" s="844"/>
      <c r="AD85" s="844"/>
      <c r="AE85" s="844"/>
      <c r="AF85" s="844"/>
      <c r="AG85" s="844"/>
      <c r="AH85" s="844"/>
      <c r="AI85" s="844"/>
      <c r="AJ85" s="844"/>
      <c r="AK85" s="844"/>
    </row>
    <row r="86" spans="1:37" s="865" customFormat="1" ht="46.5" customHeight="1" thickBot="1">
      <c r="A86" s="1895"/>
      <c r="B86" s="1943"/>
      <c r="C86" s="840" t="s">
        <v>2518</v>
      </c>
      <c r="D86" s="840" t="s">
        <v>2786</v>
      </c>
      <c r="E86" s="845" t="s">
        <v>2787</v>
      </c>
      <c r="F86" s="840" t="s">
        <v>2788</v>
      </c>
      <c r="G86" s="840" t="s">
        <v>72</v>
      </c>
      <c r="H86" s="600" t="s">
        <v>2789</v>
      </c>
      <c r="I86" s="846" t="s">
        <v>72</v>
      </c>
      <c r="J86" s="844"/>
      <c r="K86" s="864"/>
      <c r="L86" s="844"/>
      <c r="M86" s="844"/>
      <c r="N86" s="844"/>
      <c r="O86" s="844"/>
      <c r="P86" s="844"/>
      <c r="Q86" s="844"/>
      <c r="R86" s="844"/>
      <c r="S86" s="844"/>
      <c r="T86" s="844"/>
      <c r="U86" s="844"/>
      <c r="V86" s="844"/>
      <c r="W86" s="844"/>
      <c r="X86" s="844"/>
      <c r="Y86" s="844"/>
      <c r="Z86" s="844"/>
      <c r="AA86" s="844"/>
      <c r="AB86" s="844"/>
      <c r="AC86" s="844"/>
      <c r="AD86" s="844"/>
      <c r="AE86" s="844"/>
      <c r="AF86" s="844"/>
      <c r="AG86" s="844"/>
      <c r="AH86" s="844"/>
      <c r="AI86" s="844"/>
      <c r="AJ86" s="844"/>
      <c r="AK86" s="844"/>
    </row>
    <row r="87" spans="1:37" s="839" customFormat="1" ht="29.25" customHeight="1">
      <c r="A87" s="1895"/>
      <c r="B87" s="1943"/>
      <c r="C87" s="1933" t="s">
        <v>2790</v>
      </c>
      <c r="D87" s="1934"/>
      <c r="E87" s="1935"/>
      <c r="F87" s="1935"/>
      <c r="G87" s="1935"/>
      <c r="H87" s="1935"/>
      <c r="I87" s="1936"/>
      <c r="J87" s="838"/>
      <c r="K87" s="838"/>
      <c r="L87" s="838"/>
      <c r="M87" s="838"/>
      <c r="N87" s="838"/>
      <c r="O87" s="838"/>
      <c r="P87" s="838"/>
      <c r="Q87" s="838"/>
      <c r="R87" s="838"/>
      <c r="S87" s="838"/>
      <c r="T87" s="838"/>
      <c r="U87" s="838"/>
      <c r="V87" s="838"/>
      <c r="W87" s="838"/>
      <c r="X87" s="838"/>
      <c r="Y87" s="838"/>
      <c r="Z87" s="838"/>
      <c r="AA87" s="838"/>
      <c r="AB87" s="838"/>
      <c r="AC87" s="838"/>
      <c r="AD87" s="838"/>
      <c r="AE87" s="838"/>
      <c r="AF87" s="838"/>
      <c r="AG87" s="838"/>
      <c r="AH87" s="838"/>
      <c r="AI87" s="838"/>
      <c r="AJ87" s="838"/>
      <c r="AK87" s="838"/>
    </row>
    <row r="88" spans="1:37" s="865" customFormat="1" ht="42.75" customHeight="1">
      <c r="A88" s="1895"/>
      <c r="B88" s="1943"/>
      <c r="C88" s="840" t="s">
        <v>2518</v>
      </c>
      <c r="D88" s="840" t="s">
        <v>2760</v>
      </c>
      <c r="E88" s="845" t="s">
        <v>2761</v>
      </c>
      <c r="F88" s="840" t="s">
        <v>2762</v>
      </c>
      <c r="G88" s="840" t="s">
        <v>2763</v>
      </c>
      <c r="H88" s="600" t="s">
        <v>2764</v>
      </c>
      <c r="I88" s="846" t="s">
        <v>2765</v>
      </c>
      <c r="J88" s="844"/>
      <c r="K88" s="864"/>
      <c r="L88" s="844"/>
      <c r="M88" s="844"/>
      <c r="N88" s="844"/>
      <c r="O88" s="844"/>
      <c r="P88" s="844"/>
      <c r="Q88" s="844"/>
      <c r="R88" s="844"/>
      <c r="S88" s="844"/>
      <c r="T88" s="844"/>
      <c r="U88" s="844"/>
      <c r="V88" s="844"/>
      <c r="W88" s="844"/>
      <c r="X88" s="844"/>
      <c r="Y88" s="844"/>
      <c r="Z88" s="844"/>
      <c r="AA88" s="844"/>
      <c r="AB88" s="844"/>
      <c r="AC88" s="844"/>
      <c r="AD88" s="844"/>
      <c r="AE88" s="844"/>
      <c r="AF88" s="844"/>
      <c r="AG88" s="844"/>
      <c r="AH88" s="844"/>
      <c r="AI88" s="844"/>
      <c r="AJ88" s="844"/>
      <c r="AK88" s="844"/>
    </row>
    <row r="89" spans="1:37" s="865" customFormat="1" ht="46.5" customHeight="1">
      <c r="A89" s="1895"/>
      <c r="B89" s="1943"/>
      <c r="C89" s="840" t="s">
        <v>2518</v>
      </c>
      <c r="D89" s="840" t="s">
        <v>2791</v>
      </c>
      <c r="E89" s="845" t="s">
        <v>2792</v>
      </c>
      <c r="F89" s="840" t="s">
        <v>2793</v>
      </c>
      <c r="G89" s="840" t="s">
        <v>72</v>
      </c>
      <c r="H89" s="600" t="s">
        <v>2794</v>
      </c>
      <c r="I89" s="846" t="s">
        <v>2795</v>
      </c>
      <c r="J89" s="844"/>
      <c r="K89" s="864"/>
      <c r="L89" s="844"/>
      <c r="M89" s="844"/>
      <c r="N89" s="844"/>
      <c r="O89" s="844"/>
      <c r="P89" s="844"/>
      <c r="Q89" s="844"/>
      <c r="R89" s="844"/>
      <c r="S89" s="844"/>
      <c r="T89" s="844"/>
      <c r="U89" s="844"/>
      <c r="V89" s="844"/>
      <c r="W89" s="844"/>
      <c r="X89" s="844"/>
      <c r="Y89" s="844"/>
      <c r="Z89" s="844"/>
      <c r="AA89" s="844"/>
      <c r="AB89" s="844"/>
      <c r="AC89" s="844"/>
      <c r="AD89" s="844"/>
      <c r="AE89" s="844"/>
      <c r="AF89" s="844"/>
      <c r="AG89" s="844"/>
      <c r="AH89" s="844"/>
      <c r="AI89" s="844"/>
      <c r="AJ89" s="844"/>
      <c r="AK89" s="844"/>
    </row>
    <row r="90" spans="1:37" s="865" customFormat="1" ht="46.5" customHeight="1" thickBot="1">
      <c r="A90" s="1895"/>
      <c r="B90" s="1943"/>
      <c r="C90" s="840" t="s">
        <v>2518</v>
      </c>
      <c r="D90" s="840" t="s">
        <v>2796</v>
      </c>
      <c r="E90" s="845" t="s">
        <v>2787</v>
      </c>
      <c r="F90" s="840" t="s">
        <v>72</v>
      </c>
      <c r="G90" s="840" t="s">
        <v>72</v>
      </c>
      <c r="H90" s="840" t="s">
        <v>72</v>
      </c>
      <c r="I90" s="846" t="s">
        <v>72</v>
      </c>
      <c r="J90" s="844"/>
      <c r="K90" s="864"/>
      <c r="L90" s="844"/>
      <c r="M90" s="844"/>
      <c r="N90" s="844"/>
      <c r="O90" s="844"/>
      <c r="P90" s="844"/>
      <c r="Q90" s="844"/>
      <c r="R90" s="844"/>
      <c r="S90" s="844"/>
      <c r="T90" s="844"/>
      <c r="U90" s="844"/>
      <c r="V90" s="844"/>
      <c r="W90" s="844"/>
      <c r="X90" s="844"/>
      <c r="Y90" s="844"/>
      <c r="Z90" s="844"/>
      <c r="AA90" s="844"/>
      <c r="AB90" s="844"/>
      <c r="AC90" s="844"/>
      <c r="AD90" s="844"/>
      <c r="AE90" s="844"/>
      <c r="AF90" s="844"/>
      <c r="AG90" s="844"/>
      <c r="AH90" s="844"/>
      <c r="AI90" s="844"/>
      <c r="AJ90" s="844"/>
      <c r="AK90" s="844"/>
    </row>
    <row r="91" spans="1:37" s="839" customFormat="1" ht="29.25" customHeight="1">
      <c r="A91" s="1895"/>
      <c r="B91" s="1943"/>
      <c r="C91" s="1933" t="s">
        <v>2797</v>
      </c>
      <c r="D91" s="1934"/>
      <c r="E91" s="1935"/>
      <c r="F91" s="1935"/>
      <c r="G91" s="1935"/>
      <c r="H91" s="1935"/>
      <c r="I91" s="1936"/>
      <c r="J91" s="838"/>
      <c r="K91" s="838"/>
      <c r="L91" s="838"/>
      <c r="M91" s="838"/>
      <c r="N91" s="838"/>
      <c r="O91" s="838"/>
      <c r="P91" s="838"/>
      <c r="Q91" s="838"/>
      <c r="R91" s="838"/>
      <c r="S91" s="838"/>
      <c r="T91" s="838"/>
      <c r="U91" s="838"/>
      <c r="V91" s="838"/>
      <c r="W91" s="838"/>
      <c r="X91" s="838"/>
      <c r="Y91" s="838"/>
      <c r="Z91" s="838"/>
      <c r="AA91" s="838"/>
      <c r="AB91" s="838"/>
      <c r="AC91" s="838"/>
      <c r="AD91" s="838"/>
      <c r="AE91" s="838"/>
      <c r="AF91" s="838"/>
      <c r="AG91" s="838"/>
      <c r="AH91" s="838"/>
      <c r="AI91" s="838"/>
      <c r="AJ91" s="838"/>
      <c r="AK91" s="838"/>
    </row>
    <row r="92" spans="1:37" s="865" customFormat="1" ht="27" customHeight="1">
      <c r="A92" s="1895"/>
      <c r="B92" s="1943"/>
      <c r="C92" s="840" t="s">
        <v>2518</v>
      </c>
      <c r="D92" s="840" t="s">
        <v>2798</v>
      </c>
      <c r="E92" s="845" t="s">
        <v>2799</v>
      </c>
      <c r="F92" s="840" t="s">
        <v>2800</v>
      </c>
      <c r="G92" s="840" t="s">
        <v>72</v>
      </c>
      <c r="H92" s="600" t="s">
        <v>2801</v>
      </c>
      <c r="I92" s="846" t="s">
        <v>72</v>
      </c>
      <c r="J92" s="844"/>
      <c r="K92" s="864"/>
      <c r="L92" s="844"/>
      <c r="M92" s="844"/>
      <c r="N92" s="844"/>
      <c r="O92" s="844"/>
      <c r="P92" s="844"/>
      <c r="Q92" s="844"/>
      <c r="R92" s="844"/>
      <c r="S92" s="844"/>
      <c r="T92" s="844"/>
      <c r="U92" s="844"/>
      <c r="V92" s="844"/>
      <c r="W92" s="844"/>
      <c r="X92" s="844"/>
      <c r="Y92" s="844"/>
      <c r="Z92" s="844"/>
      <c r="AA92" s="844"/>
      <c r="AB92" s="844"/>
      <c r="AC92" s="844"/>
      <c r="AD92" s="844"/>
      <c r="AE92" s="844"/>
      <c r="AF92" s="844"/>
      <c r="AG92" s="844"/>
      <c r="AH92" s="844"/>
      <c r="AI92" s="844"/>
      <c r="AJ92" s="844"/>
      <c r="AK92" s="844"/>
    </row>
    <row r="93" spans="1:37" s="865" customFormat="1" ht="38.25">
      <c r="A93" s="1895"/>
      <c r="B93" s="1943"/>
      <c r="C93" s="840" t="s">
        <v>2518</v>
      </c>
      <c r="D93" s="840" t="s">
        <v>2802</v>
      </c>
      <c r="E93" s="845" t="s">
        <v>2802</v>
      </c>
      <c r="F93" s="840" t="s">
        <v>72</v>
      </c>
      <c r="G93" s="840" t="s">
        <v>72</v>
      </c>
      <c r="H93" s="840" t="s">
        <v>72</v>
      </c>
      <c r="I93" s="846" t="s">
        <v>2803</v>
      </c>
      <c r="J93" s="844"/>
      <c r="K93" s="864"/>
      <c r="L93" s="844"/>
      <c r="M93" s="844"/>
      <c r="N93" s="844"/>
      <c r="O93" s="844"/>
      <c r="P93" s="844"/>
      <c r="Q93" s="844"/>
      <c r="R93" s="844"/>
      <c r="S93" s="844"/>
      <c r="T93" s="844"/>
      <c r="U93" s="844"/>
      <c r="V93" s="844"/>
      <c r="W93" s="844"/>
      <c r="X93" s="844"/>
      <c r="Y93" s="844"/>
      <c r="Z93" s="844"/>
      <c r="AA93" s="844"/>
      <c r="AB93" s="844"/>
      <c r="AC93" s="844"/>
      <c r="AD93" s="844"/>
      <c r="AE93" s="844"/>
      <c r="AF93" s="844"/>
      <c r="AG93" s="844"/>
      <c r="AH93" s="844"/>
      <c r="AI93" s="844"/>
      <c r="AJ93" s="844"/>
      <c r="AK93" s="844"/>
    </row>
    <row r="94" spans="1:37" s="865" customFormat="1" ht="40.5" customHeight="1">
      <c r="A94" s="1895"/>
      <c r="B94" s="1943"/>
      <c r="C94" s="840" t="s">
        <v>2518</v>
      </c>
      <c r="D94" s="840" t="s">
        <v>2804</v>
      </c>
      <c r="E94" s="845" t="s">
        <v>2804</v>
      </c>
      <c r="F94" s="840" t="s">
        <v>72</v>
      </c>
      <c r="G94" s="840" t="s">
        <v>72</v>
      </c>
      <c r="H94" s="840" t="s">
        <v>72</v>
      </c>
      <c r="I94" s="846" t="s">
        <v>2805</v>
      </c>
      <c r="J94" s="844"/>
      <c r="K94" s="864"/>
      <c r="L94" s="844"/>
      <c r="M94" s="844"/>
      <c r="N94" s="844"/>
      <c r="O94" s="844"/>
      <c r="P94" s="844"/>
      <c r="Q94" s="844"/>
      <c r="R94" s="844"/>
      <c r="S94" s="844"/>
      <c r="T94" s="844"/>
      <c r="U94" s="844"/>
      <c r="V94" s="844"/>
      <c r="W94" s="844"/>
      <c r="X94" s="844"/>
      <c r="Y94" s="844"/>
      <c r="Z94" s="844"/>
      <c r="AA94" s="844"/>
      <c r="AB94" s="844"/>
      <c r="AC94" s="844"/>
      <c r="AD94" s="844"/>
      <c r="AE94" s="844"/>
      <c r="AF94" s="844"/>
      <c r="AG94" s="844"/>
      <c r="AH94" s="844"/>
      <c r="AI94" s="844"/>
      <c r="AJ94" s="844"/>
      <c r="AK94" s="844"/>
    </row>
    <row r="95" spans="1:37" s="865" customFormat="1" ht="40.5" customHeight="1">
      <c r="A95" s="1895"/>
      <c r="B95" s="1943"/>
      <c r="C95" s="840" t="s">
        <v>2518</v>
      </c>
      <c r="D95" s="840" t="s">
        <v>2806</v>
      </c>
      <c r="E95" s="845" t="s">
        <v>2806</v>
      </c>
      <c r="F95" s="840" t="s">
        <v>72</v>
      </c>
      <c r="G95" s="840" t="s">
        <v>72</v>
      </c>
      <c r="H95" s="840" t="s">
        <v>72</v>
      </c>
      <c r="I95" s="846" t="s">
        <v>2807</v>
      </c>
      <c r="J95" s="844"/>
      <c r="K95" s="864"/>
      <c r="L95" s="844"/>
      <c r="M95" s="844"/>
      <c r="N95" s="844"/>
      <c r="O95" s="844"/>
      <c r="P95" s="844"/>
      <c r="Q95" s="844"/>
      <c r="R95" s="844"/>
      <c r="S95" s="844"/>
      <c r="T95" s="844"/>
      <c r="U95" s="844"/>
      <c r="V95" s="844"/>
      <c r="W95" s="844"/>
      <c r="X95" s="844"/>
      <c r="Y95" s="844"/>
      <c r="Z95" s="844"/>
      <c r="AA95" s="844"/>
      <c r="AB95" s="844"/>
      <c r="AC95" s="844"/>
      <c r="AD95" s="844"/>
      <c r="AE95" s="844"/>
      <c r="AF95" s="844"/>
      <c r="AG95" s="844"/>
      <c r="AH95" s="844"/>
      <c r="AI95" s="844"/>
      <c r="AJ95" s="844"/>
      <c r="AK95" s="844"/>
    </row>
    <row r="96" spans="1:37" s="865" customFormat="1" ht="42.75" customHeight="1">
      <c r="A96" s="1895"/>
      <c r="B96" s="1943"/>
      <c r="C96" s="840" t="s">
        <v>2518</v>
      </c>
      <c r="D96" s="840" t="s">
        <v>2808</v>
      </c>
      <c r="E96" s="845" t="s">
        <v>2809</v>
      </c>
      <c r="F96" s="840" t="s">
        <v>72</v>
      </c>
      <c r="G96" s="840" t="s">
        <v>2810</v>
      </c>
      <c r="H96" s="840" t="s">
        <v>72</v>
      </c>
      <c r="I96" s="846" t="s">
        <v>2811</v>
      </c>
      <c r="J96" s="844"/>
      <c r="K96" s="864"/>
      <c r="L96" s="844"/>
      <c r="M96" s="844"/>
      <c r="N96" s="844"/>
      <c r="O96" s="844"/>
      <c r="P96" s="844"/>
      <c r="Q96" s="844"/>
      <c r="R96" s="844"/>
      <c r="S96" s="844"/>
      <c r="T96" s="844"/>
      <c r="U96" s="844"/>
      <c r="V96" s="844"/>
      <c r="W96" s="844"/>
      <c r="X96" s="844"/>
      <c r="Y96" s="844"/>
      <c r="Z96" s="844"/>
      <c r="AA96" s="844"/>
      <c r="AB96" s="844"/>
      <c r="AC96" s="844"/>
      <c r="AD96" s="844"/>
      <c r="AE96" s="844"/>
      <c r="AF96" s="844"/>
      <c r="AG96" s="844"/>
      <c r="AH96" s="844"/>
      <c r="AI96" s="844"/>
      <c r="AJ96" s="844"/>
      <c r="AK96" s="844"/>
    </row>
    <row r="97" spans="1:51" s="865" customFormat="1" ht="42.75" customHeight="1">
      <c r="A97" s="1895"/>
      <c r="B97" s="1943"/>
      <c r="C97" s="840" t="s">
        <v>2518</v>
      </c>
      <c r="D97" s="840" t="s">
        <v>2812</v>
      </c>
      <c r="E97" s="845" t="s">
        <v>2812</v>
      </c>
      <c r="F97" s="840" t="s">
        <v>72</v>
      </c>
      <c r="G97" s="840" t="s">
        <v>2810</v>
      </c>
      <c r="H97" s="840" t="s">
        <v>72</v>
      </c>
      <c r="I97" s="846" t="s">
        <v>2813</v>
      </c>
      <c r="J97" s="844"/>
      <c r="K97" s="864"/>
      <c r="L97" s="844"/>
      <c r="M97" s="844"/>
      <c r="N97" s="844"/>
      <c r="O97" s="844"/>
      <c r="P97" s="844"/>
      <c r="Q97" s="844"/>
      <c r="R97" s="844"/>
      <c r="S97" s="844"/>
      <c r="T97" s="844"/>
      <c r="U97" s="844"/>
      <c r="V97" s="844"/>
      <c r="W97" s="844"/>
      <c r="X97" s="844"/>
      <c r="Y97" s="844"/>
      <c r="Z97" s="844"/>
      <c r="AA97" s="844"/>
      <c r="AB97" s="844"/>
      <c r="AC97" s="844"/>
      <c r="AD97" s="844"/>
      <c r="AE97" s="844"/>
      <c r="AF97" s="844"/>
      <c r="AG97" s="844"/>
      <c r="AH97" s="844"/>
      <c r="AI97" s="844"/>
      <c r="AJ97" s="844"/>
      <c r="AK97" s="844"/>
    </row>
    <row r="98" spans="1:51" s="865" customFormat="1" ht="42.75" customHeight="1" thickBot="1">
      <c r="A98" s="1895"/>
      <c r="B98" s="1943"/>
      <c r="C98" s="840" t="s">
        <v>2518</v>
      </c>
      <c r="D98" s="840" t="s">
        <v>2814</v>
      </c>
      <c r="E98" s="845" t="s">
        <v>2814</v>
      </c>
      <c r="F98" s="840" t="s">
        <v>72</v>
      </c>
      <c r="G98" s="840" t="s">
        <v>2810</v>
      </c>
      <c r="H98" s="840" t="s">
        <v>72</v>
      </c>
      <c r="I98" s="846" t="s">
        <v>72</v>
      </c>
      <c r="J98" s="844"/>
      <c r="K98" s="864"/>
      <c r="L98" s="844"/>
      <c r="M98" s="844"/>
      <c r="N98" s="844"/>
      <c r="O98" s="844"/>
      <c r="P98" s="844"/>
      <c r="Q98" s="844"/>
      <c r="R98" s="844"/>
      <c r="S98" s="844"/>
      <c r="T98" s="844"/>
      <c r="U98" s="844"/>
      <c r="V98" s="844"/>
      <c r="W98" s="844"/>
      <c r="X98" s="844"/>
      <c r="Y98" s="844"/>
      <c r="Z98" s="844"/>
      <c r="AA98" s="844"/>
      <c r="AB98" s="844"/>
      <c r="AC98" s="844"/>
      <c r="AD98" s="844"/>
      <c r="AE98" s="844"/>
      <c r="AF98" s="844"/>
      <c r="AG98" s="844"/>
      <c r="AH98" s="844"/>
      <c r="AI98" s="844"/>
      <c r="AJ98" s="844"/>
      <c r="AK98" s="844"/>
    </row>
    <row r="99" spans="1:51" s="839" customFormat="1" ht="29.25" customHeight="1" thickBot="1">
      <c r="A99" s="1895"/>
      <c r="B99" s="1943"/>
      <c r="C99" s="1915" t="s">
        <v>2556</v>
      </c>
      <c r="D99" s="1916"/>
      <c r="E99" s="1917"/>
      <c r="F99" s="1917"/>
      <c r="G99" s="1917"/>
      <c r="H99" s="1917"/>
      <c r="I99" s="1918"/>
      <c r="J99" s="838"/>
      <c r="K99" s="838"/>
      <c r="L99" s="838"/>
      <c r="M99" s="838"/>
      <c r="N99" s="838"/>
      <c r="O99" s="838"/>
      <c r="P99" s="838"/>
      <c r="Q99" s="838"/>
      <c r="R99" s="838"/>
      <c r="S99" s="838"/>
      <c r="T99" s="838"/>
      <c r="U99" s="838"/>
      <c r="V99" s="838"/>
      <c r="W99" s="838"/>
      <c r="X99" s="838"/>
      <c r="Y99" s="838"/>
      <c r="Z99" s="838"/>
      <c r="AA99" s="838"/>
      <c r="AB99" s="838"/>
      <c r="AC99" s="838"/>
      <c r="AD99" s="838"/>
      <c r="AE99" s="838"/>
      <c r="AF99" s="838"/>
      <c r="AG99" s="838"/>
      <c r="AH99" s="838"/>
      <c r="AI99" s="838"/>
      <c r="AJ99" s="838"/>
      <c r="AK99" s="838"/>
    </row>
    <row r="100" spans="1:51" s="865" customFormat="1" ht="27" customHeight="1">
      <c r="A100" s="1895"/>
      <c r="B100" s="1943"/>
      <c r="C100" s="840" t="s">
        <v>2557</v>
      </c>
      <c r="D100" s="840" t="s">
        <v>2815</v>
      </c>
      <c r="E100" s="845" t="s">
        <v>2815</v>
      </c>
      <c r="F100" s="840" t="s">
        <v>2816</v>
      </c>
      <c r="G100" s="840" t="s">
        <v>72</v>
      </c>
      <c r="H100" s="616" t="s">
        <v>2817</v>
      </c>
      <c r="I100" s="846" t="s">
        <v>72</v>
      </c>
      <c r="J100" s="844"/>
      <c r="K100" s="864"/>
      <c r="L100" s="844"/>
      <c r="M100" s="844"/>
      <c r="N100" s="844"/>
      <c r="O100" s="844"/>
      <c r="P100" s="844"/>
      <c r="Q100" s="844"/>
      <c r="R100" s="844"/>
      <c r="S100" s="844"/>
      <c r="T100" s="844"/>
      <c r="U100" s="844"/>
      <c r="V100" s="844"/>
      <c r="W100" s="844"/>
      <c r="X100" s="844"/>
      <c r="Y100" s="844"/>
      <c r="Z100" s="844"/>
      <c r="AA100" s="844"/>
      <c r="AB100" s="844"/>
      <c r="AC100" s="844"/>
      <c r="AD100" s="844"/>
      <c r="AE100" s="844"/>
      <c r="AF100" s="844"/>
      <c r="AG100" s="844"/>
      <c r="AH100" s="844"/>
      <c r="AI100" s="844"/>
      <c r="AJ100" s="844"/>
      <c r="AK100" s="844"/>
    </row>
    <row r="101" spans="1:51" s="865" customFormat="1" ht="27" customHeight="1">
      <c r="A101" s="1895"/>
      <c r="B101" s="1943"/>
      <c r="C101" s="847" t="s">
        <v>2557</v>
      </c>
      <c r="D101" s="847" t="s">
        <v>2818</v>
      </c>
      <c r="E101" s="848" t="s">
        <v>2818</v>
      </c>
      <c r="F101" s="840" t="s">
        <v>2819</v>
      </c>
      <c r="G101" s="840" t="s">
        <v>72</v>
      </c>
      <c r="H101" s="840" t="s">
        <v>72</v>
      </c>
      <c r="I101" s="846" t="s">
        <v>72</v>
      </c>
      <c r="J101" s="844"/>
      <c r="K101" s="864"/>
      <c r="L101" s="844"/>
      <c r="M101" s="844"/>
      <c r="N101" s="844"/>
      <c r="O101" s="844"/>
      <c r="P101" s="844"/>
      <c r="Q101" s="844"/>
      <c r="R101" s="844"/>
      <c r="S101" s="844"/>
      <c r="T101" s="844"/>
      <c r="U101" s="844"/>
      <c r="V101" s="844"/>
      <c r="W101" s="844"/>
      <c r="X101" s="844"/>
      <c r="Y101" s="844"/>
      <c r="Z101" s="844"/>
      <c r="AA101" s="844"/>
      <c r="AB101" s="844"/>
      <c r="AC101" s="844"/>
      <c r="AD101" s="844"/>
      <c r="AE101" s="844"/>
      <c r="AF101" s="844"/>
      <c r="AG101" s="844"/>
      <c r="AH101" s="844"/>
      <c r="AI101" s="844"/>
      <c r="AJ101" s="844"/>
      <c r="AK101" s="844"/>
    </row>
    <row r="102" spans="1:51" s="865" customFormat="1" ht="27" customHeight="1">
      <c r="A102" s="1895"/>
      <c r="B102" s="1943"/>
      <c r="C102" s="847" t="s">
        <v>2557</v>
      </c>
      <c r="D102" s="847" t="s">
        <v>2820</v>
      </c>
      <c r="E102" s="848" t="s">
        <v>2820</v>
      </c>
      <c r="F102" s="840" t="s">
        <v>72</v>
      </c>
      <c r="G102" s="840" t="s">
        <v>2821</v>
      </c>
      <c r="H102" s="840" t="s">
        <v>72</v>
      </c>
      <c r="I102" s="866" t="s">
        <v>2822</v>
      </c>
      <c r="J102" s="844"/>
      <c r="K102" s="864"/>
      <c r="L102" s="844"/>
      <c r="M102" s="844"/>
      <c r="N102" s="844"/>
      <c r="O102" s="844"/>
      <c r="P102" s="844"/>
      <c r="Q102" s="844"/>
      <c r="R102" s="844"/>
      <c r="S102" s="844"/>
      <c r="T102" s="844"/>
      <c r="U102" s="844"/>
      <c r="V102" s="844"/>
      <c r="W102" s="844"/>
      <c r="X102" s="844"/>
      <c r="Y102" s="844"/>
      <c r="Z102" s="844"/>
      <c r="AA102" s="844"/>
      <c r="AB102" s="844"/>
      <c r="AC102" s="844"/>
      <c r="AD102" s="844"/>
      <c r="AE102" s="844"/>
      <c r="AF102" s="844"/>
      <c r="AG102" s="844"/>
      <c r="AH102" s="844"/>
      <c r="AI102" s="844"/>
      <c r="AJ102" s="844"/>
      <c r="AK102" s="844"/>
    </row>
    <row r="103" spans="1:51" s="865" customFormat="1" ht="27" customHeight="1">
      <c r="A103" s="1895"/>
      <c r="B103" s="1943"/>
      <c r="C103" s="847" t="s">
        <v>2557</v>
      </c>
      <c r="D103" s="847" t="s">
        <v>2823</v>
      </c>
      <c r="E103" s="848" t="s">
        <v>2823</v>
      </c>
      <c r="F103" s="840" t="s">
        <v>2824</v>
      </c>
      <c r="G103" s="840" t="s">
        <v>72</v>
      </c>
      <c r="H103" s="600" t="s">
        <v>2825</v>
      </c>
      <c r="I103" s="866" t="s">
        <v>72</v>
      </c>
      <c r="J103" s="844"/>
      <c r="K103" s="864"/>
      <c r="L103" s="844"/>
      <c r="M103" s="844"/>
      <c r="N103" s="844"/>
      <c r="O103" s="844"/>
      <c r="P103" s="844"/>
      <c r="Q103" s="844"/>
      <c r="R103" s="844"/>
      <c r="S103" s="844"/>
      <c r="T103" s="844"/>
      <c r="U103" s="844"/>
      <c r="V103" s="844"/>
      <c r="W103" s="844"/>
      <c r="X103" s="844"/>
      <c r="Y103" s="844"/>
      <c r="Z103" s="844"/>
      <c r="AA103" s="844"/>
      <c r="AB103" s="844"/>
      <c r="AC103" s="844"/>
      <c r="AD103" s="844"/>
      <c r="AE103" s="844"/>
      <c r="AF103" s="844"/>
      <c r="AG103" s="844"/>
      <c r="AH103" s="844"/>
      <c r="AI103" s="844"/>
      <c r="AJ103" s="844"/>
      <c r="AK103" s="844"/>
    </row>
    <row r="104" spans="1:51" s="865" customFormat="1" ht="27" customHeight="1">
      <c r="A104" s="1895"/>
      <c r="B104" s="1943"/>
      <c r="C104" s="847" t="s">
        <v>2557</v>
      </c>
      <c r="D104" s="847" t="s">
        <v>2826</v>
      </c>
      <c r="E104" s="848" t="s">
        <v>2826</v>
      </c>
      <c r="F104" s="840" t="s">
        <v>2827</v>
      </c>
      <c r="G104" s="840" t="s">
        <v>72</v>
      </c>
      <c r="H104" s="840" t="s">
        <v>72</v>
      </c>
      <c r="I104" s="846" t="s">
        <v>72</v>
      </c>
      <c r="J104" s="844"/>
      <c r="K104" s="864"/>
      <c r="L104" s="844"/>
      <c r="M104" s="844"/>
      <c r="N104" s="844"/>
      <c r="O104" s="844"/>
      <c r="P104" s="844"/>
      <c r="Q104" s="844"/>
      <c r="R104" s="844"/>
      <c r="S104" s="844"/>
      <c r="T104" s="844"/>
      <c r="U104" s="844"/>
      <c r="V104" s="844"/>
      <c r="W104" s="844"/>
      <c r="X104" s="844"/>
      <c r="Y104" s="844"/>
      <c r="Z104" s="844"/>
      <c r="AA104" s="844"/>
      <c r="AB104" s="844"/>
      <c r="AC104" s="844"/>
      <c r="AD104" s="844"/>
      <c r="AE104" s="844"/>
      <c r="AF104" s="844"/>
      <c r="AG104" s="844"/>
      <c r="AH104" s="844"/>
      <c r="AI104" s="844"/>
      <c r="AJ104" s="844"/>
      <c r="AK104" s="844"/>
    </row>
    <row r="105" spans="1:51" s="865" customFormat="1" ht="27" customHeight="1">
      <c r="A105" s="1895"/>
      <c r="B105" s="1943"/>
      <c r="C105" s="840" t="s">
        <v>2557</v>
      </c>
      <c r="D105" s="840" t="s">
        <v>2828</v>
      </c>
      <c r="E105" s="845" t="s">
        <v>2828</v>
      </c>
      <c r="F105" s="840" t="s">
        <v>72</v>
      </c>
      <c r="G105" s="840" t="s">
        <v>72</v>
      </c>
      <c r="H105" s="840" t="s">
        <v>72</v>
      </c>
      <c r="I105" s="846" t="s">
        <v>2829</v>
      </c>
      <c r="J105" s="844"/>
      <c r="K105" s="864"/>
      <c r="L105" s="844"/>
      <c r="M105" s="844"/>
      <c r="N105" s="844"/>
      <c r="O105" s="844"/>
      <c r="P105" s="844"/>
      <c r="Q105" s="844"/>
      <c r="R105" s="844"/>
      <c r="S105" s="844"/>
      <c r="T105" s="844"/>
      <c r="U105" s="844"/>
      <c r="V105" s="844"/>
      <c r="W105" s="844"/>
      <c r="X105" s="844"/>
      <c r="Y105" s="844"/>
      <c r="Z105" s="844"/>
      <c r="AA105" s="844"/>
      <c r="AB105" s="844"/>
      <c r="AC105" s="844"/>
      <c r="AD105" s="844"/>
      <c r="AE105" s="844"/>
      <c r="AF105" s="844"/>
      <c r="AG105" s="844"/>
      <c r="AH105" s="844"/>
      <c r="AI105" s="844"/>
      <c r="AJ105" s="844"/>
      <c r="AK105" s="844"/>
    </row>
    <row r="106" spans="1:51" s="865" customFormat="1" ht="27" customHeight="1">
      <c r="A106" s="1895"/>
      <c r="B106" s="1943"/>
      <c r="C106" s="850" t="s">
        <v>2557</v>
      </c>
      <c r="D106" s="850" t="s">
        <v>2830</v>
      </c>
      <c r="E106" s="851" t="s">
        <v>2830</v>
      </c>
      <c r="F106" s="850" t="s">
        <v>72</v>
      </c>
      <c r="G106" s="850" t="s">
        <v>72</v>
      </c>
      <c r="H106" s="850" t="s">
        <v>72</v>
      </c>
      <c r="I106" s="867" t="s">
        <v>2831</v>
      </c>
      <c r="J106" s="844"/>
      <c r="K106" s="864"/>
      <c r="L106" s="844"/>
      <c r="M106" s="844"/>
      <c r="N106" s="844"/>
      <c r="O106" s="844"/>
      <c r="P106" s="844"/>
      <c r="Q106" s="844"/>
      <c r="R106" s="844"/>
      <c r="S106" s="844"/>
      <c r="T106" s="844"/>
      <c r="U106" s="844"/>
      <c r="V106" s="844"/>
      <c r="W106" s="844"/>
      <c r="X106" s="844"/>
      <c r="Y106" s="844"/>
      <c r="Z106" s="844"/>
      <c r="AA106" s="844"/>
      <c r="AB106" s="844"/>
      <c r="AC106" s="844"/>
      <c r="AD106" s="844"/>
      <c r="AE106" s="844"/>
      <c r="AF106" s="844"/>
      <c r="AG106" s="844"/>
      <c r="AH106" s="844"/>
      <c r="AI106" s="844"/>
      <c r="AJ106" s="844"/>
      <c r="AK106" s="844"/>
    </row>
    <row r="107" spans="1:51" s="865" customFormat="1" ht="26.25" customHeight="1" thickBot="1">
      <c r="A107" s="1896"/>
      <c r="B107" s="1944"/>
      <c r="C107" s="857" t="s">
        <v>2557</v>
      </c>
      <c r="D107" s="857" t="s">
        <v>2832</v>
      </c>
      <c r="E107" s="858" t="s">
        <v>2832</v>
      </c>
      <c r="F107" s="840" t="s">
        <v>2833</v>
      </c>
      <c r="G107" s="857" t="s">
        <v>72</v>
      </c>
      <c r="H107" s="617" t="s">
        <v>2834</v>
      </c>
      <c r="I107" s="849" t="s">
        <v>72</v>
      </c>
      <c r="J107" s="844"/>
      <c r="K107" s="864"/>
      <c r="L107" s="844"/>
      <c r="M107" s="844"/>
      <c r="N107" s="844"/>
      <c r="O107" s="844"/>
      <c r="P107" s="844"/>
      <c r="Q107" s="844"/>
      <c r="R107" s="844"/>
      <c r="S107" s="844"/>
      <c r="T107" s="844"/>
      <c r="U107" s="844"/>
      <c r="V107" s="844"/>
      <c r="W107" s="844"/>
      <c r="X107" s="844"/>
      <c r="Y107" s="844"/>
      <c r="Z107" s="844"/>
      <c r="AA107" s="844"/>
      <c r="AB107" s="844"/>
      <c r="AC107" s="844"/>
      <c r="AD107" s="844"/>
      <c r="AE107" s="844"/>
      <c r="AF107" s="844"/>
      <c r="AG107" s="844"/>
      <c r="AH107" s="844"/>
      <c r="AI107" s="844"/>
      <c r="AJ107" s="844"/>
      <c r="AK107" s="844"/>
    </row>
    <row r="108" spans="1:51" s="839" customFormat="1" ht="29.25" customHeight="1" thickBot="1">
      <c r="A108" s="1904" t="s">
        <v>2835</v>
      </c>
      <c r="B108" s="1945" t="s">
        <v>2836</v>
      </c>
      <c r="C108" s="1933" t="s">
        <v>2837</v>
      </c>
      <c r="D108" s="1934"/>
      <c r="E108" s="1935"/>
      <c r="F108" s="1935"/>
      <c r="G108" s="1935"/>
      <c r="H108" s="1935"/>
      <c r="I108" s="1936"/>
      <c r="J108" s="838"/>
      <c r="K108" s="838"/>
      <c r="L108" s="838"/>
      <c r="M108" s="838"/>
      <c r="N108" s="838"/>
      <c r="O108" s="838"/>
      <c r="P108" s="838"/>
      <c r="Q108" s="838"/>
      <c r="R108" s="838"/>
      <c r="S108" s="838"/>
      <c r="T108" s="838"/>
      <c r="U108" s="838"/>
      <c r="V108" s="838"/>
      <c r="W108" s="838"/>
      <c r="X108" s="838"/>
      <c r="Y108" s="838"/>
      <c r="Z108" s="838"/>
      <c r="AA108" s="838"/>
      <c r="AB108" s="838"/>
      <c r="AC108" s="838"/>
      <c r="AD108" s="838"/>
      <c r="AE108" s="838"/>
      <c r="AF108" s="838"/>
      <c r="AG108" s="838"/>
      <c r="AH108" s="838"/>
      <c r="AI108" s="838"/>
      <c r="AJ108" s="838"/>
      <c r="AK108" s="838"/>
    </row>
    <row r="109" spans="1:51" s="844" customFormat="1" ht="33" customHeight="1" thickBot="1">
      <c r="A109" s="1905"/>
      <c r="B109" s="1946"/>
      <c r="C109" s="841" t="s">
        <v>2518</v>
      </c>
      <c r="D109" s="841" t="s">
        <v>2838</v>
      </c>
      <c r="E109" s="868" t="s">
        <v>2839</v>
      </c>
      <c r="F109" s="841" t="s">
        <v>2840</v>
      </c>
      <c r="G109" s="841" t="s">
        <v>2841</v>
      </c>
      <c r="H109" s="618" t="s">
        <v>2842</v>
      </c>
      <c r="I109" s="869" t="s">
        <v>2843</v>
      </c>
      <c r="K109" s="864"/>
    </row>
    <row r="110" spans="1:51" ht="48" customHeight="1">
      <c r="A110" s="1905"/>
      <c r="B110" s="1946"/>
      <c r="C110" s="840" t="s">
        <v>2518</v>
      </c>
      <c r="D110" s="840" t="s">
        <v>2844</v>
      </c>
      <c r="E110" s="845" t="s">
        <v>2845</v>
      </c>
      <c r="F110" s="840" t="s">
        <v>2846</v>
      </c>
      <c r="G110" s="840" t="s">
        <v>72</v>
      </c>
      <c r="H110" s="600" t="s">
        <v>2847</v>
      </c>
      <c r="I110" s="869" t="s">
        <v>2843</v>
      </c>
      <c r="J110" s="839"/>
      <c r="K110" s="839"/>
      <c r="L110" s="839"/>
      <c r="M110" s="839"/>
      <c r="N110" s="839"/>
      <c r="O110" s="839"/>
      <c r="P110" s="839"/>
      <c r="Q110" s="839"/>
      <c r="R110" s="839"/>
      <c r="S110" s="839"/>
      <c r="T110" s="839"/>
      <c r="U110" s="839"/>
      <c r="V110" s="839"/>
      <c r="W110" s="839"/>
      <c r="X110" s="839"/>
      <c r="Y110" s="839"/>
      <c r="Z110" s="839"/>
      <c r="AA110" s="839"/>
      <c r="AB110" s="839"/>
      <c r="AC110" s="839"/>
      <c r="AD110" s="839"/>
      <c r="AE110" s="839"/>
      <c r="AF110" s="839"/>
      <c r="AG110" s="839"/>
      <c r="AH110" s="839"/>
      <c r="AI110" s="839"/>
      <c r="AJ110" s="839"/>
      <c r="AK110" s="839"/>
      <c r="AL110" s="839"/>
      <c r="AM110" s="839"/>
      <c r="AN110" s="839"/>
      <c r="AO110" s="839"/>
      <c r="AP110" s="839"/>
      <c r="AQ110" s="839"/>
      <c r="AR110" s="839"/>
      <c r="AS110" s="839"/>
      <c r="AT110" s="839"/>
      <c r="AU110" s="839"/>
      <c r="AV110" s="839"/>
      <c r="AW110" s="839"/>
      <c r="AX110" s="839"/>
      <c r="AY110" s="839"/>
    </row>
    <row r="111" spans="1:51" ht="45.75" customHeight="1">
      <c r="A111" s="1905"/>
      <c r="B111" s="1946"/>
      <c r="C111" s="840" t="s">
        <v>2518</v>
      </c>
      <c r="D111" s="840" t="s">
        <v>2848</v>
      </c>
      <c r="E111" s="845" t="s">
        <v>2849</v>
      </c>
      <c r="F111" s="840" t="s">
        <v>2850</v>
      </c>
      <c r="G111" s="840" t="s">
        <v>72</v>
      </c>
      <c r="H111" s="600" t="s">
        <v>2851</v>
      </c>
      <c r="I111" s="846" t="s">
        <v>2852</v>
      </c>
      <c r="J111" s="839"/>
      <c r="K111" s="839"/>
      <c r="L111" s="839"/>
      <c r="M111" s="839"/>
      <c r="N111" s="839"/>
      <c r="O111" s="839"/>
      <c r="P111" s="839"/>
      <c r="Q111" s="839"/>
      <c r="R111" s="839"/>
      <c r="S111" s="839"/>
      <c r="T111" s="839"/>
      <c r="U111" s="839"/>
      <c r="V111" s="839"/>
      <c r="W111" s="839"/>
      <c r="X111" s="839"/>
      <c r="Y111" s="839"/>
      <c r="Z111" s="839"/>
      <c r="AA111" s="839"/>
      <c r="AB111" s="839"/>
      <c r="AC111" s="839"/>
      <c r="AD111" s="839"/>
      <c r="AE111" s="839"/>
      <c r="AF111" s="839"/>
      <c r="AG111" s="839"/>
      <c r="AH111" s="839"/>
      <c r="AI111" s="839"/>
      <c r="AJ111" s="839"/>
      <c r="AK111" s="839"/>
      <c r="AL111" s="839"/>
      <c r="AM111" s="839"/>
      <c r="AN111" s="839"/>
      <c r="AO111" s="839"/>
      <c r="AP111" s="839"/>
      <c r="AQ111" s="839"/>
      <c r="AR111" s="839"/>
      <c r="AS111" s="839"/>
      <c r="AT111" s="839"/>
      <c r="AU111" s="839"/>
      <c r="AV111" s="839"/>
      <c r="AW111" s="839"/>
      <c r="AX111" s="839"/>
      <c r="AY111" s="839"/>
    </row>
    <row r="112" spans="1:51" ht="42" customHeight="1">
      <c r="A112" s="1905"/>
      <c r="B112" s="1946"/>
      <c r="C112" s="840" t="s">
        <v>2518</v>
      </c>
      <c r="D112" s="840" t="s">
        <v>2853</v>
      </c>
      <c r="E112" s="845" t="s">
        <v>2854</v>
      </c>
      <c r="F112" s="840" t="s">
        <v>2855</v>
      </c>
      <c r="G112" s="840" t="s">
        <v>72</v>
      </c>
      <c r="H112" s="600" t="s">
        <v>2856</v>
      </c>
      <c r="I112" s="846" t="s">
        <v>2857</v>
      </c>
      <c r="J112" s="839"/>
      <c r="K112" s="839"/>
      <c r="L112" s="839"/>
      <c r="M112" s="839"/>
      <c r="N112" s="839"/>
      <c r="O112" s="839"/>
      <c r="P112" s="839"/>
      <c r="Q112" s="839"/>
      <c r="R112" s="839"/>
      <c r="S112" s="839"/>
      <c r="T112" s="839"/>
      <c r="U112" s="839"/>
      <c r="V112" s="839"/>
      <c r="W112" s="839"/>
      <c r="X112" s="839"/>
      <c r="Y112" s="839"/>
      <c r="Z112" s="839"/>
      <c r="AA112" s="839"/>
      <c r="AB112" s="839"/>
      <c r="AC112" s="839"/>
      <c r="AD112" s="839"/>
      <c r="AE112" s="839"/>
      <c r="AF112" s="839"/>
      <c r="AG112" s="839"/>
      <c r="AH112" s="839"/>
      <c r="AI112" s="839"/>
      <c r="AJ112" s="839"/>
      <c r="AK112" s="839"/>
      <c r="AL112" s="839"/>
      <c r="AM112" s="839"/>
      <c r="AN112" s="839"/>
      <c r="AO112" s="839"/>
      <c r="AP112" s="839"/>
      <c r="AQ112" s="839"/>
      <c r="AR112" s="839"/>
      <c r="AS112" s="839"/>
      <c r="AT112" s="839"/>
      <c r="AU112" s="839"/>
      <c r="AV112" s="839"/>
      <c r="AW112" s="839"/>
      <c r="AX112" s="839"/>
      <c r="AY112" s="839"/>
    </row>
    <row r="113" spans="1:51" ht="42" customHeight="1">
      <c r="A113" s="1905"/>
      <c r="B113" s="1946"/>
      <c r="C113" s="912"/>
      <c r="D113" s="912" t="s">
        <v>4250</v>
      </c>
      <c r="E113" s="911" t="s">
        <v>2854</v>
      </c>
      <c r="F113" s="910" t="s">
        <v>4251</v>
      </c>
      <c r="G113" s="910" t="s">
        <v>72</v>
      </c>
      <c r="H113" s="600" t="s">
        <v>4252</v>
      </c>
      <c r="I113" s="909" t="s">
        <v>2857</v>
      </c>
      <c r="J113" s="839"/>
      <c r="K113" s="839"/>
      <c r="L113" s="839"/>
      <c r="M113" s="839"/>
      <c r="N113" s="839"/>
      <c r="O113" s="839"/>
      <c r="P113" s="839"/>
      <c r="Q113" s="839"/>
      <c r="R113" s="839"/>
      <c r="S113" s="839"/>
      <c r="T113" s="839"/>
      <c r="U113" s="839"/>
      <c r="V113" s="839"/>
      <c r="W113" s="839"/>
      <c r="X113" s="839"/>
      <c r="Y113" s="839"/>
      <c r="Z113" s="839"/>
      <c r="AA113" s="839"/>
      <c r="AB113" s="839"/>
      <c r="AC113" s="839"/>
      <c r="AD113" s="839"/>
      <c r="AE113" s="839"/>
      <c r="AF113" s="839"/>
      <c r="AG113" s="839"/>
      <c r="AH113" s="839"/>
      <c r="AI113" s="839"/>
      <c r="AJ113" s="839"/>
      <c r="AK113" s="839"/>
      <c r="AL113" s="839"/>
      <c r="AM113" s="839"/>
      <c r="AN113" s="839"/>
      <c r="AO113" s="839"/>
      <c r="AP113" s="839"/>
      <c r="AQ113" s="839"/>
      <c r="AR113" s="839"/>
      <c r="AS113" s="839"/>
      <c r="AT113" s="839"/>
      <c r="AU113" s="839"/>
      <c r="AV113" s="839"/>
      <c r="AW113" s="839"/>
      <c r="AX113" s="839"/>
      <c r="AY113" s="839"/>
    </row>
    <row r="114" spans="1:51" ht="42" customHeight="1">
      <c r="A114" s="1905"/>
      <c r="B114" s="1946"/>
      <c r="C114" s="847" t="s">
        <v>2518</v>
      </c>
      <c r="D114" s="847" t="s">
        <v>2858</v>
      </c>
      <c r="E114" s="848" t="s">
        <v>2859</v>
      </c>
      <c r="F114" s="847" t="s">
        <v>72</v>
      </c>
      <c r="G114" s="847" t="s">
        <v>2860</v>
      </c>
      <c r="H114" s="601" t="s">
        <v>2861</v>
      </c>
      <c r="I114" s="866" t="s">
        <v>2862</v>
      </c>
      <c r="J114" s="839"/>
      <c r="K114" s="839"/>
      <c r="L114" s="839"/>
      <c r="M114" s="839"/>
      <c r="N114" s="839"/>
      <c r="O114" s="839"/>
      <c r="P114" s="839"/>
      <c r="Q114" s="839"/>
      <c r="R114" s="839"/>
      <c r="S114" s="839"/>
      <c r="T114" s="839"/>
      <c r="U114" s="839"/>
      <c r="V114" s="839"/>
      <c r="W114" s="839"/>
      <c r="X114" s="839"/>
      <c r="Y114" s="839"/>
      <c r="Z114" s="839"/>
      <c r="AA114" s="839"/>
      <c r="AB114" s="839"/>
      <c r="AC114" s="839"/>
      <c r="AD114" s="839"/>
      <c r="AE114" s="839"/>
      <c r="AF114" s="839"/>
      <c r="AG114" s="839"/>
      <c r="AH114" s="839"/>
      <c r="AI114" s="839"/>
      <c r="AJ114" s="839"/>
      <c r="AK114" s="839"/>
      <c r="AL114" s="839"/>
      <c r="AM114" s="839"/>
      <c r="AN114" s="839"/>
      <c r="AO114" s="839"/>
      <c r="AP114" s="839"/>
      <c r="AQ114" s="839"/>
      <c r="AR114" s="839"/>
      <c r="AS114" s="839"/>
      <c r="AT114" s="839"/>
      <c r="AU114" s="839"/>
      <c r="AV114" s="839"/>
      <c r="AW114" s="839"/>
      <c r="AX114" s="839"/>
      <c r="AY114" s="839"/>
    </row>
    <row r="115" spans="1:51" ht="42" customHeight="1">
      <c r="A115" s="1905"/>
      <c r="B115" s="1946"/>
      <c r="C115" s="847"/>
      <c r="D115" s="847" t="s">
        <v>2863</v>
      </c>
      <c r="E115" s="848" t="s">
        <v>2864</v>
      </c>
      <c r="F115" s="847" t="s">
        <v>2865</v>
      </c>
      <c r="G115" s="847" t="s">
        <v>72</v>
      </c>
      <c r="H115" s="601" t="s">
        <v>2866</v>
      </c>
      <c r="I115" s="866" t="s">
        <v>2867</v>
      </c>
      <c r="J115" s="839"/>
      <c r="K115" s="839"/>
      <c r="L115" s="839"/>
      <c r="M115" s="839"/>
      <c r="N115" s="839"/>
      <c r="O115" s="839"/>
      <c r="P115" s="839"/>
      <c r="Q115" s="839"/>
      <c r="R115" s="839"/>
      <c r="S115" s="839"/>
      <c r="T115" s="839"/>
      <c r="U115" s="839"/>
      <c r="V115" s="839"/>
      <c r="W115" s="839"/>
      <c r="X115" s="839"/>
      <c r="Y115" s="839"/>
      <c r="Z115" s="839"/>
      <c r="AA115" s="839"/>
      <c r="AB115" s="839"/>
      <c r="AC115" s="839"/>
      <c r="AD115" s="839"/>
      <c r="AE115" s="839"/>
      <c r="AF115" s="839"/>
      <c r="AG115" s="839"/>
      <c r="AH115" s="839"/>
      <c r="AI115" s="839"/>
      <c r="AJ115" s="839"/>
      <c r="AK115" s="839"/>
      <c r="AL115" s="839"/>
      <c r="AM115" s="839"/>
      <c r="AN115" s="839"/>
      <c r="AO115" s="839"/>
      <c r="AP115" s="839"/>
      <c r="AQ115" s="839"/>
      <c r="AR115" s="839"/>
      <c r="AS115" s="839"/>
      <c r="AT115" s="839"/>
      <c r="AU115" s="839"/>
      <c r="AV115" s="839"/>
      <c r="AW115" s="839"/>
      <c r="AX115" s="839"/>
      <c r="AY115" s="839"/>
    </row>
    <row r="116" spans="1:51" ht="42" customHeight="1">
      <c r="A116" s="1905"/>
      <c r="B116" s="1946"/>
      <c r="C116" s="847" t="s">
        <v>2518</v>
      </c>
      <c r="D116" s="847" t="s">
        <v>2868</v>
      </c>
      <c r="E116" s="848" t="s">
        <v>2869</v>
      </c>
      <c r="F116" s="847" t="s">
        <v>2870</v>
      </c>
      <c r="G116" s="847" t="s">
        <v>2871</v>
      </c>
      <c r="H116" s="600" t="s">
        <v>2872</v>
      </c>
      <c r="I116" s="866" t="s">
        <v>2843</v>
      </c>
      <c r="J116" s="839"/>
      <c r="K116" s="839"/>
      <c r="L116" s="839"/>
      <c r="M116" s="839"/>
      <c r="N116" s="839"/>
      <c r="O116" s="839"/>
      <c r="P116" s="839"/>
      <c r="Q116" s="839"/>
      <c r="R116" s="839"/>
      <c r="S116" s="839"/>
      <c r="T116" s="839"/>
      <c r="U116" s="839"/>
      <c r="V116" s="839"/>
      <c r="W116" s="839"/>
      <c r="X116" s="839"/>
      <c r="Y116" s="839"/>
      <c r="Z116" s="839"/>
      <c r="AA116" s="839"/>
      <c r="AB116" s="839"/>
      <c r="AC116" s="839"/>
      <c r="AD116" s="839"/>
      <c r="AE116" s="839"/>
      <c r="AF116" s="839"/>
      <c r="AG116" s="839"/>
      <c r="AH116" s="839"/>
      <c r="AI116" s="839"/>
      <c r="AJ116" s="839"/>
      <c r="AK116" s="839"/>
      <c r="AL116" s="839"/>
      <c r="AM116" s="839"/>
      <c r="AN116" s="839"/>
      <c r="AO116" s="839"/>
      <c r="AP116" s="839"/>
      <c r="AQ116" s="839"/>
      <c r="AR116" s="839"/>
      <c r="AS116" s="839"/>
      <c r="AT116" s="839"/>
      <c r="AU116" s="839"/>
      <c r="AV116" s="839"/>
      <c r="AW116" s="839"/>
      <c r="AX116" s="839"/>
      <c r="AY116" s="839"/>
    </row>
    <row r="117" spans="1:51" ht="42" customHeight="1">
      <c r="A117" s="1905"/>
      <c r="B117" s="1946"/>
      <c r="C117" s="847"/>
      <c r="D117" s="847" t="s">
        <v>2873</v>
      </c>
      <c r="E117" s="848" t="s">
        <v>2874</v>
      </c>
      <c r="F117" s="847" t="s">
        <v>2875</v>
      </c>
      <c r="G117" s="840" t="s">
        <v>72</v>
      </c>
      <c r="H117" s="600" t="s">
        <v>2876</v>
      </c>
      <c r="I117" s="866" t="s">
        <v>72</v>
      </c>
      <c r="J117" s="839"/>
      <c r="K117" s="839"/>
      <c r="L117" s="839"/>
      <c r="M117" s="839"/>
      <c r="N117" s="839"/>
      <c r="O117" s="839"/>
      <c r="P117" s="839"/>
      <c r="Q117" s="839"/>
      <c r="R117" s="839"/>
      <c r="S117" s="839"/>
      <c r="T117" s="839"/>
      <c r="U117" s="839"/>
      <c r="V117" s="839"/>
      <c r="W117" s="839"/>
      <c r="X117" s="839"/>
      <c r="Y117" s="839"/>
      <c r="Z117" s="839"/>
      <c r="AA117" s="839"/>
      <c r="AB117" s="839"/>
      <c r="AC117" s="839"/>
      <c r="AD117" s="839"/>
      <c r="AE117" s="839"/>
      <c r="AF117" s="839"/>
      <c r="AG117" s="839"/>
      <c r="AH117" s="839"/>
      <c r="AI117" s="839"/>
      <c r="AJ117" s="839"/>
      <c r="AK117" s="839"/>
      <c r="AL117" s="839"/>
      <c r="AM117" s="839"/>
      <c r="AN117" s="839"/>
      <c r="AO117" s="839"/>
      <c r="AP117" s="839"/>
      <c r="AQ117" s="839"/>
      <c r="AR117" s="839"/>
      <c r="AS117" s="839"/>
      <c r="AT117" s="839"/>
      <c r="AU117" s="839"/>
      <c r="AV117" s="839"/>
      <c r="AW117" s="839"/>
      <c r="AX117" s="839"/>
      <c r="AY117" s="839"/>
    </row>
    <row r="118" spans="1:51" ht="42" customHeight="1" thickBot="1">
      <c r="A118" s="1905"/>
      <c r="B118" s="1946"/>
      <c r="C118" s="847" t="s">
        <v>2518</v>
      </c>
      <c r="D118" s="847" t="s">
        <v>2877</v>
      </c>
      <c r="E118" s="848" t="s">
        <v>2878</v>
      </c>
      <c r="F118" s="847" t="s">
        <v>2879</v>
      </c>
      <c r="G118" s="847" t="s">
        <v>2860</v>
      </c>
      <c r="H118" s="600" t="s">
        <v>2880</v>
      </c>
      <c r="I118" s="866" t="s">
        <v>72</v>
      </c>
      <c r="J118" s="839"/>
      <c r="K118" s="839"/>
      <c r="L118" s="839"/>
      <c r="M118" s="839"/>
      <c r="N118" s="839"/>
      <c r="O118" s="839"/>
      <c r="P118" s="839"/>
      <c r="Q118" s="839"/>
      <c r="R118" s="839"/>
      <c r="S118" s="839"/>
      <c r="T118" s="839"/>
      <c r="U118" s="839"/>
      <c r="V118" s="839"/>
      <c r="W118" s="839"/>
      <c r="X118" s="839"/>
      <c r="Y118" s="839"/>
      <c r="Z118" s="839"/>
      <c r="AA118" s="839"/>
      <c r="AB118" s="839"/>
      <c r="AC118" s="839"/>
      <c r="AD118" s="839"/>
      <c r="AE118" s="839"/>
      <c r="AF118" s="839"/>
      <c r="AG118" s="839"/>
      <c r="AH118" s="839"/>
      <c r="AI118" s="839"/>
      <c r="AJ118" s="839"/>
      <c r="AK118" s="839"/>
      <c r="AL118" s="839"/>
      <c r="AM118" s="839"/>
      <c r="AN118" s="839"/>
      <c r="AO118" s="839"/>
      <c r="AP118" s="839"/>
      <c r="AQ118" s="839"/>
      <c r="AR118" s="839"/>
      <c r="AS118" s="839"/>
      <c r="AT118" s="839"/>
      <c r="AU118" s="839"/>
      <c r="AV118" s="839"/>
      <c r="AW118" s="839"/>
      <c r="AX118" s="839"/>
      <c r="AY118" s="839"/>
    </row>
    <row r="119" spans="1:51" s="839" customFormat="1" ht="29.25" customHeight="1">
      <c r="A119" s="1905"/>
      <c r="B119" s="1946"/>
      <c r="C119" s="1933" t="s">
        <v>2881</v>
      </c>
      <c r="D119" s="1934"/>
      <c r="E119" s="1935"/>
      <c r="F119" s="1935"/>
      <c r="G119" s="1935"/>
      <c r="H119" s="1935"/>
      <c r="I119" s="1936"/>
      <c r="J119" s="838"/>
      <c r="K119" s="838"/>
      <c r="L119" s="838"/>
      <c r="M119" s="838"/>
      <c r="N119" s="838"/>
      <c r="O119" s="838"/>
      <c r="P119" s="838"/>
      <c r="Q119" s="838"/>
      <c r="R119" s="838"/>
      <c r="S119" s="838"/>
      <c r="T119" s="838"/>
      <c r="U119" s="838"/>
      <c r="V119" s="838"/>
      <c r="W119" s="838"/>
      <c r="X119" s="838"/>
      <c r="Y119" s="838"/>
      <c r="Z119" s="838"/>
      <c r="AA119" s="838"/>
      <c r="AB119" s="838"/>
      <c r="AC119" s="838"/>
      <c r="AD119" s="838"/>
      <c r="AE119" s="838"/>
      <c r="AF119" s="838"/>
      <c r="AG119" s="838"/>
      <c r="AH119" s="838"/>
      <c r="AI119" s="838"/>
      <c r="AJ119" s="838"/>
      <c r="AK119" s="838"/>
    </row>
    <row r="120" spans="1:51" ht="68.25" customHeight="1">
      <c r="A120" s="1905"/>
      <c r="B120" s="1946"/>
      <c r="C120" s="840" t="s">
        <v>2518</v>
      </c>
      <c r="D120" s="840" t="s">
        <v>2882</v>
      </c>
      <c r="E120" s="845" t="s">
        <v>2883</v>
      </c>
      <c r="F120" s="840" t="s">
        <v>2884</v>
      </c>
      <c r="G120" s="840" t="s">
        <v>72</v>
      </c>
      <c r="H120" s="840" t="s">
        <v>2885</v>
      </c>
      <c r="I120" s="846" t="s">
        <v>2886</v>
      </c>
      <c r="J120" s="839"/>
      <c r="K120" s="839"/>
      <c r="L120" s="839"/>
      <c r="M120" s="839"/>
      <c r="N120" s="839"/>
      <c r="O120" s="839"/>
      <c r="P120" s="839"/>
      <c r="Q120" s="839"/>
      <c r="R120" s="839"/>
      <c r="S120" s="839"/>
      <c r="T120" s="839"/>
      <c r="U120" s="839"/>
      <c r="V120" s="839"/>
      <c r="W120" s="839"/>
      <c r="X120" s="839"/>
      <c r="Y120" s="839"/>
      <c r="Z120" s="839"/>
      <c r="AA120" s="839"/>
      <c r="AB120" s="839"/>
      <c r="AC120" s="839"/>
      <c r="AD120" s="839"/>
      <c r="AE120" s="839"/>
      <c r="AF120" s="839"/>
      <c r="AG120" s="839"/>
      <c r="AH120" s="839"/>
      <c r="AI120" s="839"/>
      <c r="AJ120" s="839"/>
      <c r="AK120" s="839"/>
      <c r="AL120" s="839"/>
      <c r="AM120" s="839"/>
      <c r="AN120" s="839"/>
      <c r="AO120" s="839"/>
      <c r="AP120" s="839"/>
      <c r="AQ120" s="839"/>
      <c r="AR120" s="839"/>
      <c r="AS120" s="839"/>
      <c r="AT120" s="839"/>
      <c r="AU120" s="839"/>
      <c r="AV120" s="839"/>
      <c r="AW120" s="839"/>
      <c r="AX120" s="839"/>
      <c r="AY120" s="839"/>
    </row>
    <row r="121" spans="1:51" ht="28.5" customHeight="1">
      <c r="A121" s="1905"/>
      <c r="B121" s="1946"/>
      <c r="C121" s="840" t="s">
        <v>2518</v>
      </c>
      <c r="D121" s="840" t="s">
        <v>2887</v>
      </c>
      <c r="E121" s="845" t="s">
        <v>2888</v>
      </c>
      <c r="F121" s="840" t="s">
        <v>2889</v>
      </c>
      <c r="G121" s="840" t="s">
        <v>2890</v>
      </c>
      <c r="H121" s="600" t="s">
        <v>2891</v>
      </c>
      <c r="I121" s="846" t="s">
        <v>72</v>
      </c>
      <c r="J121" s="839"/>
      <c r="K121" s="839"/>
      <c r="L121" s="839"/>
      <c r="M121" s="839"/>
      <c r="N121" s="839"/>
      <c r="O121" s="839"/>
      <c r="P121" s="839"/>
      <c r="Q121" s="839"/>
      <c r="R121" s="839"/>
      <c r="S121" s="839"/>
      <c r="T121" s="839"/>
      <c r="U121" s="839"/>
      <c r="V121" s="839"/>
      <c r="W121" s="839"/>
      <c r="X121" s="839"/>
      <c r="Y121" s="839"/>
      <c r="Z121" s="839"/>
      <c r="AA121" s="839"/>
      <c r="AB121" s="839"/>
      <c r="AC121" s="839"/>
      <c r="AD121" s="839"/>
      <c r="AE121" s="839"/>
      <c r="AF121" s="839"/>
      <c r="AG121" s="839"/>
      <c r="AH121" s="839"/>
      <c r="AI121" s="839"/>
      <c r="AJ121" s="839"/>
      <c r="AK121" s="839"/>
      <c r="AL121" s="839"/>
      <c r="AM121" s="839"/>
      <c r="AN121" s="839"/>
      <c r="AO121" s="839"/>
      <c r="AP121" s="839"/>
      <c r="AQ121" s="839"/>
      <c r="AR121" s="839"/>
      <c r="AS121" s="839"/>
      <c r="AT121" s="839"/>
      <c r="AU121" s="839"/>
      <c r="AV121" s="839"/>
      <c r="AW121" s="839"/>
      <c r="AX121" s="839"/>
      <c r="AY121" s="839"/>
    </row>
    <row r="122" spans="1:51" ht="67.5" customHeight="1">
      <c r="A122" s="1905"/>
      <c r="B122" s="1946"/>
      <c r="C122" s="840" t="s">
        <v>2518</v>
      </c>
      <c r="D122" s="840" t="s">
        <v>2892</v>
      </c>
      <c r="E122" s="845" t="s">
        <v>2893</v>
      </c>
      <c r="F122" s="840" t="s">
        <v>72</v>
      </c>
      <c r="G122" s="840" t="s">
        <v>72</v>
      </c>
      <c r="H122" s="840" t="s">
        <v>72</v>
      </c>
      <c r="I122" s="846" t="s">
        <v>2894</v>
      </c>
      <c r="J122" s="839"/>
      <c r="K122" s="839"/>
      <c r="L122" s="839"/>
      <c r="M122" s="839"/>
      <c r="N122" s="839"/>
      <c r="O122" s="839"/>
      <c r="P122" s="839"/>
      <c r="Q122" s="839"/>
      <c r="R122" s="839"/>
      <c r="S122" s="839"/>
      <c r="T122" s="839"/>
      <c r="U122" s="839"/>
      <c r="V122" s="839"/>
      <c r="W122" s="839"/>
      <c r="X122" s="839"/>
      <c r="Y122" s="839"/>
      <c r="Z122" s="839"/>
      <c r="AA122" s="839"/>
      <c r="AB122" s="839"/>
      <c r="AC122" s="839"/>
      <c r="AD122" s="839"/>
      <c r="AE122" s="839"/>
      <c r="AF122" s="839"/>
      <c r="AG122" s="839"/>
      <c r="AH122" s="839"/>
      <c r="AI122" s="839"/>
      <c r="AJ122" s="839"/>
      <c r="AK122" s="839"/>
      <c r="AL122" s="839"/>
      <c r="AM122" s="839"/>
      <c r="AN122" s="839"/>
      <c r="AO122" s="839"/>
      <c r="AP122" s="839"/>
      <c r="AQ122" s="839"/>
      <c r="AR122" s="839"/>
      <c r="AS122" s="839"/>
      <c r="AT122" s="839"/>
      <c r="AU122" s="839"/>
      <c r="AV122" s="839"/>
      <c r="AW122" s="839"/>
      <c r="AX122" s="839"/>
      <c r="AY122" s="839"/>
    </row>
    <row r="123" spans="1:51" ht="33.75" customHeight="1">
      <c r="A123" s="1905"/>
      <c r="B123" s="1946"/>
      <c r="C123" s="840" t="s">
        <v>2518</v>
      </c>
      <c r="D123" s="840" t="s">
        <v>2895</v>
      </c>
      <c r="E123" s="845" t="s">
        <v>2896</v>
      </c>
      <c r="F123" s="840" t="s">
        <v>2897</v>
      </c>
      <c r="G123" s="840" t="s">
        <v>2898</v>
      </c>
      <c r="H123" s="600" t="s">
        <v>2899</v>
      </c>
      <c r="I123" s="846" t="s">
        <v>72</v>
      </c>
      <c r="J123" s="839"/>
      <c r="K123" s="839"/>
      <c r="L123" s="839"/>
      <c r="M123" s="839"/>
      <c r="N123" s="839"/>
      <c r="O123" s="839"/>
      <c r="P123" s="839"/>
      <c r="Q123" s="839"/>
      <c r="R123" s="839"/>
      <c r="S123" s="839"/>
      <c r="T123" s="839"/>
      <c r="U123" s="839"/>
      <c r="V123" s="839"/>
      <c r="W123" s="839"/>
      <c r="X123" s="839"/>
      <c r="Y123" s="839"/>
      <c r="Z123" s="839"/>
      <c r="AA123" s="839"/>
      <c r="AB123" s="839"/>
      <c r="AC123" s="839"/>
      <c r="AD123" s="839"/>
      <c r="AE123" s="839"/>
      <c r="AF123" s="839"/>
      <c r="AG123" s="839"/>
      <c r="AH123" s="839"/>
      <c r="AI123" s="839"/>
      <c r="AJ123" s="839"/>
      <c r="AK123" s="839"/>
      <c r="AL123" s="839"/>
      <c r="AM123" s="839"/>
      <c r="AN123" s="839"/>
      <c r="AO123" s="839"/>
      <c r="AP123" s="839"/>
      <c r="AQ123" s="839"/>
      <c r="AR123" s="839"/>
      <c r="AS123" s="839"/>
      <c r="AT123" s="839"/>
      <c r="AU123" s="839"/>
      <c r="AV123" s="839"/>
      <c r="AW123" s="839"/>
      <c r="AX123" s="839"/>
      <c r="AY123" s="839"/>
    </row>
    <row r="124" spans="1:51" ht="70.5" customHeight="1">
      <c r="A124" s="1905"/>
      <c r="B124" s="1946"/>
      <c r="C124" s="840" t="s">
        <v>2518</v>
      </c>
      <c r="D124" s="840" t="s">
        <v>2900</v>
      </c>
      <c r="E124" s="845" t="s">
        <v>2901</v>
      </c>
      <c r="F124" s="840" t="s">
        <v>2884</v>
      </c>
      <c r="G124" s="840" t="s">
        <v>72</v>
      </c>
      <c r="H124" s="840" t="s">
        <v>2885</v>
      </c>
      <c r="I124" s="846" t="s">
        <v>2886</v>
      </c>
      <c r="J124" s="839"/>
      <c r="K124" s="839"/>
      <c r="L124" s="839"/>
      <c r="M124" s="839"/>
      <c r="N124" s="839"/>
      <c r="O124" s="839"/>
      <c r="P124" s="839"/>
      <c r="Q124" s="839"/>
      <c r="R124" s="839"/>
      <c r="S124" s="839"/>
      <c r="T124" s="839"/>
      <c r="U124" s="839"/>
      <c r="V124" s="839"/>
      <c r="W124" s="839"/>
      <c r="X124" s="839"/>
      <c r="Y124" s="839"/>
      <c r="Z124" s="839"/>
      <c r="AA124" s="839"/>
      <c r="AB124" s="839"/>
      <c r="AC124" s="839"/>
      <c r="AD124" s="839"/>
      <c r="AE124" s="839"/>
      <c r="AF124" s="839"/>
      <c r="AG124" s="839"/>
      <c r="AH124" s="839"/>
      <c r="AI124" s="839"/>
      <c r="AJ124" s="839"/>
      <c r="AK124" s="839"/>
      <c r="AL124" s="839"/>
      <c r="AM124" s="839"/>
      <c r="AN124" s="839"/>
      <c r="AO124" s="839"/>
      <c r="AP124" s="839"/>
      <c r="AQ124" s="839"/>
      <c r="AR124" s="839"/>
      <c r="AS124" s="839"/>
      <c r="AT124" s="839"/>
      <c r="AU124" s="839"/>
      <c r="AV124" s="839"/>
      <c r="AW124" s="839"/>
      <c r="AX124" s="839"/>
      <c r="AY124" s="839"/>
    </row>
    <row r="125" spans="1:51" ht="33.75" customHeight="1">
      <c r="A125" s="1905"/>
      <c r="B125" s="1946"/>
      <c r="C125" s="840" t="s">
        <v>2518</v>
      </c>
      <c r="D125" s="840" t="s">
        <v>2902</v>
      </c>
      <c r="E125" s="845" t="s">
        <v>2903</v>
      </c>
      <c r="F125" s="840" t="s">
        <v>2904</v>
      </c>
      <c r="G125" s="840" t="s">
        <v>2905</v>
      </c>
      <c r="H125" s="600" t="s">
        <v>2906</v>
      </c>
      <c r="I125" s="846" t="s">
        <v>72</v>
      </c>
      <c r="J125" s="839"/>
      <c r="K125" s="839"/>
      <c r="L125" s="839"/>
      <c r="M125" s="839"/>
      <c r="N125" s="839"/>
      <c r="O125" s="839"/>
      <c r="P125" s="839"/>
      <c r="Q125" s="839"/>
      <c r="R125" s="839"/>
      <c r="S125" s="839"/>
      <c r="T125" s="839"/>
      <c r="U125" s="839"/>
      <c r="V125" s="839"/>
      <c r="W125" s="839"/>
      <c r="X125" s="839"/>
      <c r="Y125" s="839"/>
      <c r="Z125" s="839"/>
      <c r="AA125" s="839"/>
      <c r="AB125" s="839"/>
      <c r="AC125" s="839"/>
      <c r="AD125" s="839"/>
      <c r="AE125" s="839"/>
      <c r="AF125" s="839"/>
      <c r="AG125" s="839"/>
      <c r="AH125" s="839"/>
      <c r="AI125" s="839"/>
      <c r="AJ125" s="839"/>
      <c r="AK125" s="839"/>
      <c r="AL125" s="839"/>
      <c r="AM125" s="839"/>
      <c r="AN125" s="839"/>
      <c r="AO125" s="839"/>
      <c r="AP125" s="839"/>
      <c r="AQ125" s="839"/>
      <c r="AR125" s="839"/>
      <c r="AS125" s="839"/>
      <c r="AT125" s="839"/>
      <c r="AU125" s="839"/>
      <c r="AV125" s="839"/>
      <c r="AW125" s="839"/>
      <c r="AX125" s="839"/>
      <c r="AY125" s="839"/>
    </row>
    <row r="126" spans="1:51" ht="33.75" customHeight="1">
      <c r="A126" s="1905"/>
      <c r="B126" s="1946"/>
      <c r="C126" s="840" t="s">
        <v>2518</v>
      </c>
      <c r="D126" s="840" t="s">
        <v>2907</v>
      </c>
      <c r="E126" s="845" t="s">
        <v>2903</v>
      </c>
      <c r="F126" s="840" t="s">
        <v>2908</v>
      </c>
      <c r="G126" s="840" t="s">
        <v>2905</v>
      </c>
      <c r="H126" s="600" t="s">
        <v>2909</v>
      </c>
      <c r="I126" s="846" t="s">
        <v>72</v>
      </c>
      <c r="J126" s="839"/>
      <c r="K126" s="839"/>
      <c r="L126" s="839"/>
      <c r="M126" s="839"/>
      <c r="N126" s="839"/>
      <c r="O126" s="839"/>
      <c r="P126" s="839"/>
      <c r="Q126" s="839"/>
      <c r="R126" s="839"/>
      <c r="S126" s="839"/>
      <c r="T126" s="839"/>
      <c r="U126" s="839"/>
      <c r="V126" s="839"/>
      <c r="W126" s="839"/>
      <c r="X126" s="839"/>
      <c r="Y126" s="839"/>
      <c r="Z126" s="839"/>
      <c r="AA126" s="839"/>
      <c r="AB126" s="839"/>
      <c r="AC126" s="839"/>
      <c r="AD126" s="839"/>
      <c r="AE126" s="839"/>
      <c r="AF126" s="839"/>
      <c r="AG126" s="839"/>
      <c r="AH126" s="839"/>
      <c r="AI126" s="839"/>
      <c r="AJ126" s="839"/>
      <c r="AK126" s="839"/>
      <c r="AL126" s="839"/>
      <c r="AM126" s="839"/>
      <c r="AN126" s="839"/>
      <c r="AO126" s="839"/>
      <c r="AP126" s="839"/>
      <c r="AQ126" s="839"/>
      <c r="AR126" s="839"/>
      <c r="AS126" s="839"/>
      <c r="AT126" s="839"/>
      <c r="AU126" s="839"/>
      <c r="AV126" s="839"/>
      <c r="AW126" s="839"/>
      <c r="AX126" s="839"/>
      <c r="AY126" s="839"/>
    </row>
    <row r="127" spans="1:51" ht="70.5" customHeight="1">
      <c r="A127" s="1905"/>
      <c r="B127" s="1946"/>
      <c r="C127" s="840" t="s">
        <v>2518</v>
      </c>
      <c r="D127" s="840" t="s">
        <v>2910</v>
      </c>
      <c r="E127" s="845" t="s">
        <v>2911</v>
      </c>
      <c r="F127" s="840" t="s">
        <v>2884</v>
      </c>
      <c r="G127" s="840" t="s">
        <v>2912</v>
      </c>
      <c r="H127" s="840" t="s">
        <v>2913</v>
      </c>
      <c r="I127" s="846" t="s">
        <v>2914</v>
      </c>
      <c r="J127" s="839"/>
      <c r="K127" s="839"/>
      <c r="L127" s="839"/>
      <c r="M127" s="839"/>
      <c r="N127" s="839"/>
      <c r="O127" s="839"/>
      <c r="P127" s="839"/>
      <c r="Q127" s="839"/>
      <c r="R127" s="839"/>
      <c r="S127" s="839"/>
      <c r="T127" s="839"/>
      <c r="U127" s="839"/>
      <c r="V127" s="839"/>
      <c r="W127" s="839"/>
      <c r="X127" s="839"/>
      <c r="Y127" s="839"/>
      <c r="Z127" s="839"/>
      <c r="AA127" s="839"/>
      <c r="AB127" s="839"/>
      <c r="AC127" s="839"/>
      <c r="AD127" s="839"/>
      <c r="AE127" s="839"/>
      <c r="AF127" s="839"/>
      <c r="AG127" s="839"/>
      <c r="AH127" s="839"/>
      <c r="AI127" s="839"/>
      <c r="AJ127" s="839"/>
      <c r="AK127" s="839"/>
      <c r="AL127" s="839"/>
      <c r="AM127" s="839"/>
      <c r="AN127" s="839"/>
      <c r="AO127" s="839"/>
      <c r="AP127" s="839"/>
      <c r="AQ127" s="839"/>
      <c r="AR127" s="839"/>
      <c r="AS127" s="839"/>
      <c r="AT127" s="839"/>
      <c r="AU127" s="839"/>
      <c r="AV127" s="839"/>
      <c r="AW127" s="839"/>
      <c r="AX127" s="839"/>
      <c r="AY127" s="839"/>
    </row>
    <row r="128" spans="1:51" ht="70.5" customHeight="1">
      <c r="A128" s="1905"/>
      <c r="B128" s="1946"/>
      <c r="C128" s="840" t="s">
        <v>2518</v>
      </c>
      <c r="D128" s="840" t="s">
        <v>2915</v>
      </c>
      <c r="E128" s="845" t="s">
        <v>2916</v>
      </c>
      <c r="F128" s="840" t="s">
        <v>72</v>
      </c>
      <c r="G128" s="840" t="s">
        <v>72</v>
      </c>
      <c r="H128" s="840" t="s">
        <v>72</v>
      </c>
      <c r="I128" s="846" t="s">
        <v>2917</v>
      </c>
      <c r="J128" s="839"/>
      <c r="K128" s="839"/>
      <c r="L128" s="839"/>
      <c r="M128" s="839"/>
      <c r="N128" s="839"/>
      <c r="O128" s="839"/>
      <c r="P128" s="839"/>
      <c r="Q128" s="839"/>
      <c r="R128" s="839"/>
      <c r="S128" s="839"/>
      <c r="T128" s="839"/>
      <c r="U128" s="839"/>
      <c r="V128" s="839"/>
      <c r="W128" s="839"/>
      <c r="X128" s="839"/>
      <c r="Y128" s="839"/>
      <c r="Z128" s="839"/>
      <c r="AA128" s="839"/>
      <c r="AB128" s="839"/>
      <c r="AC128" s="839"/>
      <c r="AD128" s="839"/>
      <c r="AE128" s="839"/>
      <c r="AF128" s="839"/>
      <c r="AG128" s="839"/>
      <c r="AH128" s="839"/>
      <c r="AI128" s="839"/>
      <c r="AJ128" s="839"/>
      <c r="AK128" s="839"/>
      <c r="AL128" s="839"/>
      <c r="AM128" s="839"/>
      <c r="AN128" s="839"/>
      <c r="AO128" s="839"/>
      <c r="AP128" s="839"/>
      <c r="AQ128" s="839"/>
      <c r="AR128" s="839"/>
      <c r="AS128" s="839"/>
      <c r="AT128" s="839"/>
      <c r="AU128" s="839"/>
      <c r="AV128" s="839"/>
      <c r="AW128" s="839"/>
      <c r="AX128" s="839"/>
      <c r="AY128" s="839"/>
    </row>
    <row r="129" spans="1:51" ht="33.75" customHeight="1">
      <c r="A129" s="1905"/>
      <c r="B129" s="1946"/>
      <c r="C129" s="840" t="s">
        <v>2518</v>
      </c>
      <c r="D129" s="840" t="s">
        <v>2918</v>
      </c>
      <c r="E129" s="845" t="s">
        <v>2919</v>
      </c>
      <c r="F129" s="840" t="s">
        <v>2920</v>
      </c>
      <c r="G129" s="840" t="s">
        <v>2921</v>
      </c>
      <c r="H129" s="600" t="s">
        <v>2922</v>
      </c>
      <c r="I129" s="846" t="s">
        <v>72</v>
      </c>
      <c r="J129" s="839"/>
      <c r="K129" s="839"/>
      <c r="L129" s="839"/>
      <c r="M129" s="839"/>
      <c r="N129" s="839"/>
      <c r="O129" s="839"/>
      <c r="P129" s="839"/>
      <c r="Q129" s="839"/>
      <c r="R129" s="839"/>
      <c r="S129" s="839"/>
      <c r="T129" s="839"/>
      <c r="U129" s="839"/>
      <c r="V129" s="839"/>
      <c r="W129" s="839"/>
      <c r="X129" s="839"/>
      <c r="Y129" s="839"/>
      <c r="Z129" s="839"/>
      <c r="AA129" s="839"/>
      <c r="AB129" s="839"/>
      <c r="AC129" s="839"/>
      <c r="AD129" s="839"/>
      <c r="AE129" s="839"/>
      <c r="AF129" s="839"/>
      <c r="AG129" s="839"/>
      <c r="AH129" s="839"/>
      <c r="AI129" s="839"/>
      <c r="AJ129" s="839"/>
      <c r="AK129" s="839"/>
      <c r="AL129" s="839"/>
      <c r="AM129" s="839"/>
      <c r="AN129" s="839"/>
      <c r="AO129" s="839"/>
      <c r="AP129" s="839"/>
      <c r="AQ129" s="839"/>
      <c r="AR129" s="839"/>
      <c r="AS129" s="839"/>
      <c r="AT129" s="839"/>
      <c r="AU129" s="839"/>
      <c r="AV129" s="839"/>
      <c r="AW129" s="839"/>
      <c r="AX129" s="839"/>
      <c r="AY129" s="839"/>
    </row>
    <row r="130" spans="1:51" ht="33.75" customHeight="1" thickBot="1">
      <c r="A130" s="1905"/>
      <c r="B130" s="1946"/>
      <c r="C130" s="840" t="s">
        <v>2518</v>
      </c>
      <c r="D130" s="840" t="s">
        <v>2923</v>
      </c>
      <c r="E130" s="845" t="s">
        <v>2924</v>
      </c>
      <c r="F130" s="840" t="s">
        <v>2925</v>
      </c>
      <c r="G130" s="840" t="s">
        <v>2898</v>
      </c>
      <c r="H130" s="600" t="s">
        <v>2926</v>
      </c>
      <c r="I130" s="846" t="s">
        <v>72</v>
      </c>
      <c r="J130" s="839"/>
      <c r="K130" s="839"/>
      <c r="L130" s="839"/>
      <c r="M130" s="839"/>
      <c r="N130" s="839"/>
      <c r="O130" s="839"/>
      <c r="P130" s="839"/>
      <c r="Q130" s="839"/>
      <c r="R130" s="839"/>
      <c r="S130" s="839"/>
      <c r="T130" s="839"/>
      <c r="U130" s="839"/>
      <c r="V130" s="839"/>
      <c r="W130" s="839"/>
      <c r="X130" s="839"/>
      <c r="Y130" s="839"/>
      <c r="Z130" s="839"/>
      <c r="AA130" s="839"/>
      <c r="AB130" s="839"/>
      <c r="AC130" s="839"/>
      <c r="AD130" s="839"/>
      <c r="AE130" s="839"/>
      <c r="AF130" s="839"/>
      <c r="AG130" s="839"/>
      <c r="AH130" s="839"/>
      <c r="AI130" s="839"/>
      <c r="AJ130" s="839"/>
      <c r="AK130" s="839"/>
      <c r="AL130" s="839"/>
      <c r="AM130" s="839"/>
      <c r="AN130" s="839"/>
      <c r="AO130" s="839"/>
      <c r="AP130" s="839"/>
      <c r="AQ130" s="839"/>
      <c r="AR130" s="839"/>
      <c r="AS130" s="839"/>
      <c r="AT130" s="839"/>
      <c r="AU130" s="839"/>
      <c r="AV130" s="839"/>
      <c r="AW130" s="839"/>
      <c r="AX130" s="839"/>
      <c r="AY130" s="839"/>
    </row>
    <row r="131" spans="1:51" s="839" customFormat="1" ht="29.25" customHeight="1">
      <c r="A131" s="1905"/>
      <c r="B131" s="1946"/>
      <c r="C131" s="1933" t="s">
        <v>2927</v>
      </c>
      <c r="D131" s="1934"/>
      <c r="E131" s="1935"/>
      <c r="F131" s="1935"/>
      <c r="G131" s="1935"/>
      <c r="H131" s="1935"/>
      <c r="I131" s="1936"/>
      <c r="J131" s="838"/>
      <c r="K131" s="838"/>
      <c r="L131" s="838"/>
      <c r="M131" s="838"/>
      <c r="N131" s="838"/>
      <c r="O131" s="838"/>
      <c r="P131" s="838"/>
      <c r="Q131" s="838"/>
      <c r="R131" s="838"/>
      <c r="S131" s="838"/>
      <c r="T131" s="838"/>
      <c r="U131" s="838"/>
      <c r="V131" s="838"/>
      <c r="W131" s="838"/>
      <c r="X131" s="838"/>
      <c r="Y131" s="838"/>
      <c r="Z131" s="838"/>
      <c r="AA131" s="838"/>
      <c r="AB131" s="838"/>
      <c r="AC131" s="838"/>
      <c r="AD131" s="838"/>
      <c r="AE131" s="838"/>
      <c r="AF131" s="838"/>
      <c r="AG131" s="838"/>
      <c r="AH131" s="838"/>
      <c r="AI131" s="838"/>
      <c r="AJ131" s="838"/>
      <c r="AK131" s="838"/>
    </row>
    <row r="132" spans="1:51" ht="42" customHeight="1" thickBot="1">
      <c r="A132" s="1905"/>
      <c r="B132" s="1946"/>
      <c r="C132" s="840" t="s">
        <v>2518</v>
      </c>
      <c r="D132" s="840" t="s">
        <v>2928</v>
      </c>
      <c r="E132" s="845" t="s">
        <v>2929</v>
      </c>
      <c r="F132" s="840" t="s">
        <v>2930</v>
      </c>
      <c r="G132" s="840" t="s">
        <v>2931</v>
      </c>
      <c r="H132" s="600" t="s">
        <v>2932</v>
      </c>
      <c r="I132" s="846" t="s">
        <v>2933</v>
      </c>
      <c r="J132" s="839"/>
      <c r="K132" s="839"/>
      <c r="L132" s="839"/>
      <c r="M132" s="839"/>
      <c r="N132" s="839"/>
      <c r="O132" s="839"/>
      <c r="P132" s="839"/>
      <c r="Q132" s="839"/>
      <c r="R132" s="839"/>
      <c r="S132" s="839"/>
      <c r="T132" s="839"/>
      <c r="U132" s="839"/>
      <c r="V132" s="839"/>
      <c r="W132" s="839"/>
      <c r="X132" s="839"/>
      <c r="Y132" s="839"/>
      <c r="Z132" s="839"/>
      <c r="AA132" s="839"/>
      <c r="AB132" s="839"/>
      <c r="AC132" s="839"/>
      <c r="AD132" s="839"/>
      <c r="AE132" s="839"/>
      <c r="AF132" s="839"/>
      <c r="AG132" s="839"/>
      <c r="AH132" s="839"/>
      <c r="AI132" s="839"/>
      <c r="AJ132" s="839"/>
      <c r="AK132" s="839"/>
      <c r="AL132" s="839"/>
      <c r="AM132" s="839"/>
      <c r="AN132" s="839"/>
      <c r="AO132" s="839"/>
      <c r="AP132" s="839"/>
      <c r="AQ132" s="839"/>
      <c r="AR132" s="839"/>
      <c r="AS132" s="839"/>
      <c r="AT132" s="839"/>
      <c r="AU132" s="839"/>
      <c r="AV132" s="839"/>
      <c r="AW132" s="839"/>
      <c r="AX132" s="839"/>
      <c r="AY132" s="839"/>
    </row>
    <row r="133" spans="1:51" s="839" customFormat="1" ht="29.25" customHeight="1">
      <c r="A133" s="1905"/>
      <c r="B133" s="1946"/>
      <c r="C133" s="1933" t="s">
        <v>2934</v>
      </c>
      <c r="D133" s="1934"/>
      <c r="E133" s="1935"/>
      <c r="F133" s="1935"/>
      <c r="G133" s="1935"/>
      <c r="H133" s="1935"/>
      <c r="I133" s="1936"/>
      <c r="J133" s="838"/>
      <c r="K133" s="838"/>
      <c r="L133" s="838"/>
      <c r="M133" s="838"/>
      <c r="N133" s="838"/>
      <c r="O133" s="838"/>
      <c r="P133" s="838"/>
      <c r="Q133" s="838"/>
      <c r="R133" s="838"/>
      <c r="S133" s="838"/>
      <c r="T133" s="838"/>
      <c r="U133" s="838"/>
      <c r="V133" s="838"/>
      <c r="W133" s="838"/>
      <c r="X133" s="838"/>
      <c r="Y133" s="838"/>
      <c r="Z133" s="838"/>
      <c r="AA133" s="838"/>
      <c r="AB133" s="838"/>
      <c r="AC133" s="838"/>
      <c r="AD133" s="838"/>
      <c r="AE133" s="838"/>
      <c r="AF133" s="838"/>
      <c r="AG133" s="838"/>
      <c r="AH133" s="838"/>
      <c r="AI133" s="838"/>
      <c r="AJ133" s="838"/>
      <c r="AK133" s="838"/>
    </row>
    <row r="134" spans="1:51" ht="71.25" customHeight="1">
      <c r="A134" s="1905"/>
      <c r="B134" s="1946"/>
      <c r="C134" s="840" t="s">
        <v>2518</v>
      </c>
      <c r="D134" s="840" t="s">
        <v>2935</v>
      </c>
      <c r="E134" s="845" t="s">
        <v>2935</v>
      </c>
      <c r="F134" s="840" t="s">
        <v>2936</v>
      </c>
      <c r="G134" s="840" t="s">
        <v>2937</v>
      </c>
      <c r="H134" s="600" t="s">
        <v>2938</v>
      </c>
      <c r="I134" s="846" t="s">
        <v>2939</v>
      </c>
      <c r="J134" s="839"/>
      <c r="K134" s="839"/>
      <c r="L134" s="839"/>
      <c r="M134" s="839"/>
      <c r="N134" s="839"/>
      <c r="O134" s="839"/>
      <c r="P134" s="839"/>
      <c r="Q134" s="839"/>
      <c r="R134" s="839"/>
      <c r="S134" s="839"/>
      <c r="T134" s="839"/>
      <c r="U134" s="839"/>
      <c r="V134" s="839"/>
      <c r="W134" s="839"/>
      <c r="X134" s="839"/>
      <c r="Y134" s="839"/>
      <c r="Z134" s="839"/>
      <c r="AA134" s="839"/>
      <c r="AB134" s="839"/>
      <c r="AC134" s="839"/>
      <c r="AD134" s="839"/>
      <c r="AE134" s="839"/>
      <c r="AF134" s="839"/>
      <c r="AG134" s="839"/>
      <c r="AH134" s="839"/>
      <c r="AI134" s="839"/>
      <c r="AJ134" s="839"/>
      <c r="AK134" s="839"/>
      <c r="AL134" s="839"/>
      <c r="AM134" s="839"/>
      <c r="AN134" s="839"/>
      <c r="AO134" s="839"/>
      <c r="AP134" s="839"/>
      <c r="AQ134" s="839"/>
      <c r="AR134" s="839"/>
      <c r="AS134" s="839"/>
      <c r="AT134" s="839"/>
      <c r="AU134" s="839"/>
      <c r="AV134" s="839"/>
      <c r="AW134" s="839"/>
      <c r="AX134" s="839"/>
      <c r="AY134" s="839"/>
    </row>
    <row r="135" spans="1:51" ht="64.5" customHeight="1">
      <c r="A135" s="1905"/>
      <c r="B135" s="1946"/>
      <c r="C135" s="840" t="s">
        <v>2518</v>
      </c>
      <c r="D135" s="840" t="s">
        <v>2940</v>
      </c>
      <c r="E135" s="845" t="s">
        <v>2940</v>
      </c>
      <c r="F135" s="840" t="s">
        <v>2936</v>
      </c>
      <c r="G135" s="840" t="s">
        <v>2937</v>
      </c>
      <c r="H135" s="600" t="s">
        <v>2938</v>
      </c>
      <c r="I135" s="846" t="s">
        <v>2939</v>
      </c>
      <c r="J135" s="839"/>
      <c r="K135" s="839"/>
      <c r="L135" s="839"/>
      <c r="M135" s="839"/>
      <c r="N135" s="839"/>
      <c r="O135" s="839"/>
      <c r="P135" s="839"/>
      <c r="Q135" s="839"/>
      <c r="R135" s="839"/>
      <c r="S135" s="839"/>
      <c r="T135" s="839"/>
      <c r="U135" s="839"/>
      <c r="V135" s="839"/>
      <c r="W135" s="839"/>
      <c r="X135" s="839"/>
      <c r="Y135" s="839"/>
      <c r="Z135" s="839"/>
      <c r="AA135" s="839"/>
      <c r="AB135" s="839"/>
      <c r="AC135" s="839"/>
      <c r="AD135" s="839"/>
      <c r="AE135" s="839"/>
      <c r="AF135" s="839"/>
      <c r="AG135" s="839"/>
      <c r="AH135" s="839"/>
      <c r="AI135" s="839"/>
      <c r="AJ135" s="839"/>
      <c r="AK135" s="839"/>
      <c r="AL135" s="839"/>
      <c r="AM135" s="839"/>
      <c r="AN135" s="839"/>
      <c r="AO135" s="839"/>
      <c r="AP135" s="839"/>
      <c r="AQ135" s="839"/>
      <c r="AR135" s="839"/>
      <c r="AS135" s="839"/>
      <c r="AT135" s="839"/>
      <c r="AU135" s="839"/>
      <c r="AV135" s="839"/>
      <c r="AW135" s="839"/>
      <c r="AX135" s="839"/>
      <c r="AY135" s="839"/>
    </row>
    <row r="136" spans="1:51" ht="58.5" customHeight="1" thickBot="1">
      <c r="A136" s="1905"/>
      <c r="B136" s="1946"/>
      <c r="C136" s="840" t="s">
        <v>2518</v>
      </c>
      <c r="D136" s="840" t="s">
        <v>2941</v>
      </c>
      <c r="E136" s="845" t="s">
        <v>2941</v>
      </c>
      <c r="F136" s="840" t="s">
        <v>2942</v>
      </c>
      <c r="G136" s="840" t="s">
        <v>72</v>
      </c>
      <c r="H136" s="840" t="s">
        <v>72</v>
      </c>
      <c r="I136" s="846" t="s">
        <v>2943</v>
      </c>
      <c r="J136" s="839"/>
      <c r="K136" s="839"/>
      <c r="L136" s="839"/>
      <c r="M136" s="839"/>
      <c r="N136" s="839"/>
      <c r="O136" s="839"/>
      <c r="P136" s="839"/>
      <c r="Q136" s="839"/>
      <c r="R136" s="839"/>
      <c r="S136" s="839"/>
      <c r="T136" s="839"/>
      <c r="U136" s="839"/>
      <c r="V136" s="839"/>
      <c r="W136" s="839"/>
      <c r="X136" s="839"/>
      <c r="Y136" s="839"/>
      <c r="Z136" s="839"/>
      <c r="AA136" s="839"/>
      <c r="AB136" s="839"/>
      <c r="AC136" s="839"/>
      <c r="AD136" s="839"/>
      <c r="AE136" s="839"/>
      <c r="AF136" s="839"/>
      <c r="AG136" s="839"/>
      <c r="AH136" s="839"/>
      <c r="AI136" s="839"/>
      <c r="AJ136" s="839"/>
      <c r="AK136" s="839"/>
      <c r="AL136" s="839"/>
      <c r="AM136" s="839"/>
      <c r="AN136" s="839"/>
      <c r="AO136" s="839"/>
      <c r="AP136" s="839"/>
      <c r="AQ136" s="839"/>
      <c r="AR136" s="839"/>
      <c r="AS136" s="839"/>
      <c r="AT136" s="839"/>
      <c r="AU136" s="839"/>
      <c r="AV136" s="839"/>
      <c r="AW136" s="839"/>
      <c r="AX136" s="839"/>
      <c r="AY136" s="839"/>
    </row>
    <row r="137" spans="1:51" s="839" customFormat="1" ht="29.25" customHeight="1" thickBot="1">
      <c r="A137" s="1905"/>
      <c r="B137" s="1946"/>
      <c r="C137" s="1915" t="s">
        <v>2556</v>
      </c>
      <c r="D137" s="1916"/>
      <c r="E137" s="1917"/>
      <c r="F137" s="1917"/>
      <c r="G137" s="1917"/>
      <c r="H137" s="1917"/>
      <c r="I137" s="1918"/>
      <c r="J137" s="838"/>
      <c r="K137" s="838"/>
      <c r="L137" s="838"/>
      <c r="M137" s="838"/>
      <c r="N137" s="838"/>
      <c r="O137" s="838"/>
      <c r="P137" s="838"/>
      <c r="Q137" s="838"/>
      <c r="R137" s="838"/>
      <c r="S137" s="838"/>
      <c r="T137" s="838"/>
      <c r="U137" s="838"/>
      <c r="V137" s="838"/>
      <c r="W137" s="838"/>
      <c r="X137" s="838"/>
      <c r="Y137" s="838"/>
      <c r="Z137" s="838"/>
      <c r="AA137" s="838"/>
      <c r="AB137" s="838"/>
      <c r="AC137" s="838"/>
      <c r="AD137" s="838"/>
      <c r="AE137" s="838"/>
      <c r="AF137" s="838"/>
      <c r="AG137" s="838"/>
      <c r="AH137" s="838"/>
      <c r="AI137" s="838"/>
      <c r="AJ137" s="838"/>
      <c r="AK137" s="838"/>
    </row>
    <row r="138" spans="1:51" s="871" customFormat="1" ht="27.75" customHeight="1">
      <c r="A138" s="1905"/>
      <c r="B138" s="1946"/>
      <c r="C138" s="840" t="s">
        <v>2557</v>
      </c>
      <c r="D138" s="840" t="s">
        <v>2944</v>
      </c>
      <c r="E138" s="845" t="s">
        <v>2945</v>
      </c>
      <c r="F138" s="840" t="s">
        <v>2946</v>
      </c>
      <c r="G138" s="840" t="s">
        <v>72</v>
      </c>
      <c r="H138" s="600" t="s">
        <v>2947</v>
      </c>
      <c r="I138" s="846" t="s">
        <v>72</v>
      </c>
    </row>
    <row r="139" spans="1:51" s="871" customFormat="1" ht="37.5" customHeight="1">
      <c r="A139" s="1905"/>
      <c r="B139" s="1946"/>
      <c r="C139" s="840" t="s">
        <v>2557</v>
      </c>
      <c r="D139" s="872" t="s">
        <v>2948</v>
      </c>
      <c r="E139" s="845" t="s">
        <v>2949</v>
      </c>
      <c r="F139" s="840" t="s">
        <v>2950</v>
      </c>
      <c r="G139" s="840" t="s">
        <v>2951</v>
      </c>
      <c r="H139" s="840" t="s">
        <v>72</v>
      </c>
      <c r="I139" s="846" t="s">
        <v>2952</v>
      </c>
    </row>
    <row r="140" spans="1:51" s="871" customFormat="1" ht="25.5">
      <c r="A140" s="1905"/>
      <c r="B140" s="1946"/>
      <c r="C140" s="840" t="s">
        <v>2557</v>
      </c>
      <c r="D140" s="840" t="s">
        <v>2953</v>
      </c>
      <c r="E140" s="845" t="s">
        <v>2954</v>
      </c>
      <c r="F140" s="840" t="s">
        <v>2955</v>
      </c>
      <c r="G140" s="840" t="s">
        <v>72</v>
      </c>
      <c r="H140" s="600" t="s">
        <v>2947</v>
      </c>
      <c r="I140" s="846" t="s">
        <v>2956</v>
      </c>
    </row>
    <row r="141" spans="1:51" s="871" customFormat="1" ht="21.75" customHeight="1">
      <c r="A141" s="1905"/>
      <c r="B141" s="1946"/>
      <c r="C141" s="840" t="s">
        <v>2557</v>
      </c>
      <c r="D141" s="840" t="s">
        <v>2957</v>
      </c>
      <c r="E141" s="845" t="s">
        <v>2957</v>
      </c>
      <c r="F141" s="840" t="s">
        <v>72</v>
      </c>
      <c r="G141" s="840" t="s">
        <v>72</v>
      </c>
      <c r="H141" s="619" t="s">
        <v>2958</v>
      </c>
      <c r="I141" s="846" t="s">
        <v>72</v>
      </c>
    </row>
    <row r="142" spans="1:51" s="871" customFormat="1" ht="36.75" customHeight="1">
      <c r="A142" s="1905"/>
      <c r="B142" s="1946"/>
      <c r="C142" s="840" t="s">
        <v>2557</v>
      </c>
      <c r="D142" s="840" t="s">
        <v>2959</v>
      </c>
      <c r="E142" s="845" t="s">
        <v>2959</v>
      </c>
      <c r="F142" s="840" t="s">
        <v>2960</v>
      </c>
      <c r="G142" s="840" t="s">
        <v>72</v>
      </c>
      <c r="H142" s="840" t="s">
        <v>72</v>
      </c>
      <c r="I142" s="846" t="s">
        <v>72</v>
      </c>
    </row>
    <row r="143" spans="1:51" s="871" customFormat="1" ht="15" customHeight="1">
      <c r="A143" s="1905"/>
      <c r="B143" s="1946"/>
      <c r="C143" s="1948" t="s">
        <v>2557</v>
      </c>
      <c r="D143" s="1948" t="s">
        <v>2961</v>
      </c>
      <c r="E143" s="1949" t="s">
        <v>2962</v>
      </c>
      <c r="F143" s="1948" t="s">
        <v>2963</v>
      </c>
      <c r="G143" s="1948" t="s">
        <v>72</v>
      </c>
      <c r="H143" s="601" t="s">
        <v>2964</v>
      </c>
      <c r="I143" s="1919" t="s">
        <v>72</v>
      </c>
    </row>
    <row r="144" spans="1:51" s="871" customFormat="1">
      <c r="A144" s="1905"/>
      <c r="B144" s="1946"/>
      <c r="C144" s="1948"/>
      <c r="D144" s="1948"/>
      <c r="E144" s="1949"/>
      <c r="F144" s="1948"/>
      <c r="G144" s="1948"/>
      <c r="H144" s="620" t="s">
        <v>2965</v>
      </c>
      <c r="I144" s="1919"/>
    </row>
    <row r="145" spans="1:51" s="873" customFormat="1" ht="42" customHeight="1">
      <c r="A145" s="1905"/>
      <c r="B145" s="1946"/>
      <c r="C145" s="840" t="s">
        <v>2557</v>
      </c>
      <c r="D145" s="847" t="s">
        <v>2966</v>
      </c>
      <c r="E145" s="848" t="s">
        <v>2967</v>
      </c>
      <c r="F145" s="847" t="s">
        <v>2960</v>
      </c>
      <c r="G145" s="847" t="s">
        <v>72</v>
      </c>
      <c r="H145" s="847" t="s">
        <v>72</v>
      </c>
      <c r="I145" s="866" t="s">
        <v>72</v>
      </c>
      <c r="K145" s="873" t="s">
        <v>2968</v>
      </c>
    </row>
    <row r="146" spans="1:51" ht="12.75" customHeight="1">
      <c r="A146" s="1905"/>
      <c r="B146" s="1946"/>
      <c r="C146" s="1950" t="s">
        <v>2557</v>
      </c>
      <c r="D146" s="1950" t="s">
        <v>2969</v>
      </c>
      <c r="E146" s="1952" t="s">
        <v>2970</v>
      </c>
      <c r="F146" s="1950" t="s">
        <v>2971</v>
      </c>
      <c r="G146" s="1950" t="s">
        <v>72</v>
      </c>
      <c r="H146" s="1956" t="s">
        <v>2972</v>
      </c>
      <c r="I146" s="1954" t="s">
        <v>72</v>
      </c>
      <c r="J146" s="839"/>
      <c r="K146" s="839"/>
      <c r="L146" s="839"/>
      <c r="M146" s="839"/>
      <c r="N146" s="839"/>
      <c r="O146" s="839"/>
      <c r="P146" s="839"/>
      <c r="Q146" s="839"/>
      <c r="R146" s="839"/>
      <c r="S146" s="839"/>
      <c r="T146" s="839"/>
      <c r="U146" s="839"/>
      <c r="V146" s="839"/>
      <c r="W146" s="839"/>
      <c r="X146" s="839"/>
      <c r="Y146" s="839"/>
      <c r="Z146" s="839"/>
      <c r="AA146" s="839"/>
      <c r="AB146" s="839"/>
      <c r="AC146" s="839"/>
      <c r="AD146" s="839"/>
      <c r="AE146" s="839"/>
      <c r="AF146" s="839"/>
      <c r="AG146" s="839"/>
      <c r="AH146" s="839"/>
      <c r="AI146" s="839"/>
      <c r="AJ146" s="839"/>
      <c r="AK146" s="839"/>
      <c r="AL146" s="839"/>
      <c r="AM146" s="839"/>
      <c r="AN146" s="839"/>
      <c r="AO146" s="839"/>
      <c r="AP146" s="839"/>
      <c r="AQ146" s="839"/>
      <c r="AR146" s="839"/>
      <c r="AS146" s="839"/>
      <c r="AT146" s="839"/>
      <c r="AU146" s="839"/>
      <c r="AV146" s="839"/>
      <c r="AW146" s="839"/>
      <c r="AX146" s="839"/>
      <c r="AY146" s="839"/>
    </row>
    <row r="147" spans="1:51" ht="12.75" customHeight="1">
      <c r="A147" s="1905"/>
      <c r="B147" s="1946"/>
      <c r="C147" s="1951"/>
      <c r="D147" s="1951"/>
      <c r="E147" s="1953"/>
      <c r="F147" s="1951"/>
      <c r="G147" s="1951"/>
      <c r="H147" s="1957"/>
      <c r="I147" s="1955"/>
      <c r="J147" s="839"/>
      <c r="K147" s="839"/>
      <c r="L147" s="839"/>
      <c r="M147" s="839"/>
      <c r="N147" s="839"/>
      <c r="O147" s="839"/>
      <c r="P147" s="839"/>
      <c r="Q147" s="839"/>
      <c r="R147" s="839"/>
      <c r="S147" s="839"/>
      <c r="T147" s="839"/>
      <c r="U147" s="839"/>
      <c r="V147" s="839"/>
      <c r="W147" s="839"/>
      <c r="X147" s="839"/>
      <c r="Y147" s="839"/>
      <c r="Z147" s="839"/>
      <c r="AA147" s="839"/>
      <c r="AB147" s="839"/>
      <c r="AC147" s="839"/>
      <c r="AD147" s="839"/>
      <c r="AE147" s="839"/>
      <c r="AF147" s="839"/>
      <c r="AG147" s="839"/>
      <c r="AH147" s="839"/>
      <c r="AI147" s="839"/>
      <c r="AJ147" s="839"/>
      <c r="AK147" s="839"/>
      <c r="AL147" s="839"/>
      <c r="AM147" s="839"/>
      <c r="AN147" s="839"/>
      <c r="AO147" s="839"/>
      <c r="AP147" s="839"/>
      <c r="AQ147" s="839"/>
      <c r="AR147" s="839"/>
      <c r="AS147" s="839"/>
      <c r="AT147" s="839"/>
      <c r="AU147" s="839"/>
      <c r="AV147" s="839"/>
      <c r="AW147" s="839"/>
      <c r="AX147" s="839"/>
      <c r="AY147" s="839"/>
    </row>
    <row r="148" spans="1:51" ht="39" thickBot="1">
      <c r="A148" s="1906"/>
      <c r="B148" s="1947"/>
      <c r="C148" s="840" t="s">
        <v>2557</v>
      </c>
      <c r="D148" s="857" t="s">
        <v>2973</v>
      </c>
      <c r="E148" s="858" t="s">
        <v>2974</v>
      </c>
      <c r="F148" s="857" t="s">
        <v>2975</v>
      </c>
      <c r="G148" s="857" t="s">
        <v>72</v>
      </c>
      <c r="H148" s="600" t="s">
        <v>2947</v>
      </c>
      <c r="I148" s="849" t="s">
        <v>72</v>
      </c>
      <c r="J148" s="839"/>
      <c r="K148" s="839"/>
      <c r="L148" s="839"/>
      <c r="M148" s="839"/>
      <c r="N148" s="839"/>
      <c r="O148" s="839"/>
      <c r="P148" s="839"/>
      <c r="Q148" s="839"/>
      <c r="R148" s="839"/>
      <c r="S148" s="839"/>
      <c r="T148" s="839"/>
      <c r="U148" s="839"/>
      <c r="V148" s="839"/>
      <c r="W148" s="839"/>
      <c r="X148" s="839"/>
      <c r="Y148" s="839"/>
      <c r="Z148" s="839"/>
      <c r="AA148" s="839"/>
      <c r="AB148" s="839"/>
      <c r="AC148" s="839"/>
      <c r="AD148" s="839"/>
      <c r="AE148" s="839"/>
      <c r="AF148" s="839"/>
      <c r="AG148" s="839"/>
      <c r="AH148" s="839"/>
      <c r="AI148" s="839"/>
      <c r="AJ148" s="839"/>
      <c r="AK148" s="839"/>
      <c r="AL148" s="839"/>
      <c r="AM148" s="839"/>
      <c r="AN148" s="839"/>
      <c r="AO148" s="839"/>
      <c r="AP148" s="839"/>
      <c r="AQ148" s="839"/>
      <c r="AR148" s="839"/>
      <c r="AS148" s="839"/>
      <c r="AT148" s="839"/>
      <c r="AU148" s="839"/>
      <c r="AV148" s="839"/>
      <c r="AW148" s="839"/>
      <c r="AX148" s="839"/>
      <c r="AY148" s="839"/>
    </row>
    <row r="149" spans="1:51" s="839" customFormat="1" ht="29.25" customHeight="1">
      <c r="A149" s="1894" t="s">
        <v>2976</v>
      </c>
      <c r="B149" s="1940" t="s">
        <v>2977</v>
      </c>
      <c r="C149" s="1933" t="s">
        <v>2750</v>
      </c>
      <c r="D149" s="1934"/>
      <c r="E149" s="1935"/>
      <c r="F149" s="1935"/>
      <c r="G149" s="1935"/>
      <c r="H149" s="1935"/>
      <c r="I149" s="1936"/>
      <c r="J149" s="838"/>
      <c r="K149" s="838"/>
      <c r="L149" s="838"/>
      <c r="M149" s="838"/>
      <c r="N149" s="838"/>
      <c r="O149" s="838"/>
      <c r="P149" s="838"/>
      <c r="Q149" s="838"/>
      <c r="R149" s="838"/>
      <c r="S149" s="838"/>
      <c r="T149" s="838"/>
      <c r="U149" s="838"/>
      <c r="V149" s="838"/>
      <c r="W149" s="838"/>
      <c r="X149" s="838"/>
      <c r="Y149" s="838"/>
      <c r="Z149" s="838"/>
      <c r="AA149" s="838"/>
      <c r="AB149" s="838"/>
      <c r="AC149" s="838"/>
      <c r="AD149" s="838"/>
      <c r="AE149" s="838"/>
      <c r="AF149" s="838"/>
      <c r="AG149" s="838"/>
      <c r="AH149" s="838"/>
      <c r="AI149" s="838"/>
      <c r="AJ149" s="838"/>
      <c r="AK149" s="838"/>
    </row>
    <row r="150" spans="1:51" s="844" customFormat="1" ht="22.5" customHeight="1">
      <c r="A150" s="1895"/>
      <c r="B150" s="1941"/>
      <c r="C150" s="874" t="s">
        <v>2518</v>
      </c>
      <c r="D150" s="874" t="s">
        <v>2978</v>
      </c>
      <c r="E150" s="875" t="s">
        <v>2979</v>
      </c>
      <c r="F150" s="861" t="s">
        <v>2980</v>
      </c>
      <c r="G150" s="861" t="s">
        <v>2981</v>
      </c>
      <c r="H150" s="609" t="s">
        <v>2982</v>
      </c>
      <c r="I150" s="613" t="s">
        <v>72</v>
      </c>
      <c r="K150" s="864"/>
    </row>
    <row r="151" spans="1:51" s="844" customFormat="1" ht="22.5" customHeight="1">
      <c r="A151" s="1895"/>
      <c r="B151" s="1941"/>
      <c r="C151" s="874" t="s">
        <v>2518</v>
      </c>
      <c r="D151" s="874" t="s">
        <v>2983</v>
      </c>
      <c r="E151" s="875" t="s">
        <v>2984</v>
      </c>
      <c r="F151" s="861" t="s">
        <v>2985</v>
      </c>
      <c r="G151" s="861" t="s">
        <v>2986</v>
      </c>
      <c r="H151" s="609" t="s">
        <v>2987</v>
      </c>
      <c r="I151" s="613" t="s">
        <v>72</v>
      </c>
      <c r="K151" s="864"/>
    </row>
    <row r="152" spans="1:51" s="844" customFormat="1" ht="22.5" customHeight="1" thickBot="1">
      <c r="A152" s="1895"/>
      <c r="B152" s="1941"/>
      <c r="C152" s="874" t="s">
        <v>2518</v>
      </c>
      <c r="D152" s="874" t="s">
        <v>2991</v>
      </c>
      <c r="E152" s="875" t="s">
        <v>2992</v>
      </c>
      <c r="F152" s="861" t="s">
        <v>2993</v>
      </c>
      <c r="G152" s="861" t="s">
        <v>72</v>
      </c>
      <c r="H152" s="609" t="s">
        <v>2994</v>
      </c>
      <c r="I152" s="613" t="s">
        <v>72</v>
      </c>
      <c r="K152" s="864"/>
    </row>
    <row r="153" spans="1:51" s="839" customFormat="1" ht="29.25" customHeight="1" thickBot="1">
      <c r="A153" s="1895"/>
      <c r="B153" s="1942" t="s">
        <v>2995</v>
      </c>
      <c r="C153" s="1933" t="s">
        <v>2750</v>
      </c>
      <c r="D153" s="1934"/>
      <c r="E153" s="1935"/>
      <c r="F153" s="1935"/>
      <c r="G153" s="1935"/>
      <c r="H153" s="1935"/>
      <c r="I153" s="1936"/>
      <c r="J153" s="838"/>
      <c r="K153" s="838"/>
      <c r="L153" s="838"/>
      <c r="M153" s="838"/>
      <c r="N153" s="838"/>
      <c r="O153" s="838"/>
      <c r="P153" s="838"/>
      <c r="Q153" s="838"/>
      <c r="R153" s="838"/>
      <c r="S153" s="838"/>
      <c r="T153" s="838"/>
      <c r="U153" s="838"/>
      <c r="V153" s="838"/>
      <c r="W153" s="838"/>
      <c r="X153" s="838"/>
      <c r="Y153" s="838"/>
      <c r="Z153" s="838"/>
      <c r="AA153" s="838"/>
      <c r="AB153" s="838"/>
      <c r="AC153" s="838"/>
      <c r="AD153" s="838"/>
      <c r="AE153" s="838"/>
      <c r="AF153" s="838"/>
      <c r="AG153" s="838"/>
      <c r="AH153" s="838"/>
      <c r="AI153" s="838"/>
      <c r="AJ153" s="838"/>
      <c r="AK153" s="838"/>
    </row>
    <row r="154" spans="1:51" s="844" customFormat="1" ht="22.5" customHeight="1">
      <c r="A154" s="1895"/>
      <c r="B154" s="1943"/>
      <c r="C154" s="876" t="s">
        <v>2518</v>
      </c>
      <c r="D154" s="876" t="s">
        <v>2996</v>
      </c>
      <c r="E154" s="868" t="s">
        <v>2997</v>
      </c>
      <c r="F154" s="841" t="s">
        <v>2998</v>
      </c>
      <c r="G154" s="841" t="s">
        <v>2999</v>
      </c>
      <c r="H154" s="618" t="s">
        <v>3000</v>
      </c>
      <c r="I154" s="621"/>
      <c r="K154" s="864"/>
    </row>
    <row r="155" spans="1:51" s="844" customFormat="1" ht="38.25" customHeight="1">
      <c r="A155" s="1895"/>
      <c r="B155" s="1943"/>
      <c r="C155" s="622" t="s">
        <v>2518</v>
      </c>
      <c r="D155" s="874" t="s">
        <v>2988</v>
      </c>
      <c r="E155" s="612" t="s">
        <v>3001</v>
      </c>
      <c r="F155" s="913" t="s">
        <v>2989</v>
      </c>
      <c r="G155" s="913" t="s">
        <v>72</v>
      </c>
      <c r="H155" s="609" t="s">
        <v>2990</v>
      </c>
      <c r="I155" s="624"/>
      <c r="J155" s="625"/>
      <c r="K155" s="625"/>
      <c r="L155" s="625"/>
      <c r="M155" s="625"/>
      <c r="N155" s="625"/>
      <c r="O155" s="625"/>
      <c r="P155" s="625"/>
      <c r="Q155" s="625"/>
      <c r="R155" s="625"/>
      <c r="S155" s="625"/>
      <c r="T155" s="625"/>
      <c r="U155" s="625"/>
      <c r="V155" s="625"/>
      <c r="W155" s="625"/>
      <c r="X155" s="625"/>
      <c r="Y155" s="625"/>
      <c r="Z155" s="625"/>
      <c r="AA155" s="625"/>
      <c r="AB155" s="625"/>
      <c r="AC155" s="625"/>
      <c r="AD155" s="625"/>
      <c r="AE155" s="625"/>
      <c r="AF155" s="625"/>
      <c r="AG155" s="625"/>
      <c r="AH155" s="625"/>
      <c r="AI155" s="625"/>
      <c r="AJ155" s="625"/>
      <c r="AK155" s="625"/>
    </row>
    <row r="156" spans="1:51" s="844" customFormat="1" ht="21.75" customHeight="1">
      <c r="A156" s="1895"/>
      <c r="B156" s="1943"/>
      <c r="C156" s="626" t="s">
        <v>2518</v>
      </c>
      <c r="D156" s="622" t="s">
        <v>4253</v>
      </c>
      <c r="E156" s="612" t="s">
        <v>3002</v>
      </c>
      <c r="F156" s="611" t="s">
        <v>4254</v>
      </c>
      <c r="G156" s="611" t="s">
        <v>2999</v>
      </c>
      <c r="H156" s="609" t="s">
        <v>4255</v>
      </c>
      <c r="I156" s="624"/>
      <c r="J156" s="625"/>
      <c r="K156" s="625"/>
      <c r="L156" s="625"/>
      <c r="M156" s="625"/>
      <c r="N156" s="625"/>
      <c r="O156" s="625"/>
      <c r="P156" s="625"/>
      <c r="Q156" s="625"/>
      <c r="R156" s="625"/>
      <c r="S156" s="625"/>
      <c r="T156" s="625"/>
      <c r="U156" s="625"/>
      <c r="V156" s="625"/>
      <c r="W156" s="625"/>
      <c r="X156" s="625"/>
      <c r="Y156" s="625"/>
      <c r="Z156" s="625"/>
      <c r="AA156" s="625"/>
      <c r="AB156" s="625"/>
      <c r="AC156" s="625"/>
      <c r="AD156" s="625"/>
      <c r="AE156" s="625"/>
      <c r="AF156" s="625"/>
      <c r="AG156" s="625"/>
      <c r="AH156" s="625"/>
      <c r="AI156" s="625"/>
      <c r="AJ156" s="625"/>
      <c r="AK156" s="625"/>
    </row>
    <row r="157" spans="1:51" s="844" customFormat="1" ht="21.75" customHeight="1">
      <c r="A157" s="1895"/>
      <c r="B157" s="1943"/>
      <c r="C157" s="626"/>
      <c r="D157" s="622" t="s">
        <v>4256</v>
      </c>
      <c r="E157" s="612" t="s">
        <v>4257</v>
      </c>
      <c r="F157" s="611" t="s">
        <v>4258</v>
      </c>
      <c r="G157" s="611" t="s">
        <v>72</v>
      </c>
      <c r="H157" s="609" t="s">
        <v>4259</v>
      </c>
      <c r="I157" s="624"/>
      <c r="J157" s="625"/>
      <c r="K157" s="625"/>
      <c r="L157" s="625"/>
      <c r="M157" s="625"/>
      <c r="N157" s="625"/>
      <c r="O157" s="625"/>
      <c r="P157" s="625"/>
      <c r="Q157" s="625"/>
      <c r="R157" s="625"/>
      <c r="S157" s="625"/>
      <c r="T157" s="625"/>
      <c r="U157" s="625"/>
      <c r="V157" s="625"/>
      <c r="W157" s="625"/>
      <c r="X157" s="625"/>
      <c r="Y157" s="625"/>
      <c r="Z157" s="625"/>
      <c r="AA157" s="625"/>
      <c r="AB157" s="625"/>
      <c r="AC157" s="625"/>
      <c r="AD157" s="625"/>
      <c r="AE157" s="625"/>
      <c r="AF157" s="625"/>
      <c r="AG157" s="625"/>
      <c r="AH157" s="625"/>
      <c r="AI157" s="625"/>
      <c r="AJ157" s="625"/>
      <c r="AK157" s="625"/>
    </row>
    <row r="158" spans="1:51" s="844" customFormat="1" ht="22.5" customHeight="1">
      <c r="A158" s="1895"/>
      <c r="B158" s="1943"/>
      <c r="C158" s="874"/>
      <c r="D158" s="874" t="s">
        <v>4153</v>
      </c>
      <c r="E158" s="875" t="s">
        <v>4154</v>
      </c>
      <c r="F158" s="861" t="s">
        <v>72</v>
      </c>
      <c r="G158" s="861" t="s">
        <v>72</v>
      </c>
      <c r="H158" s="609" t="s">
        <v>4155</v>
      </c>
      <c r="I158" s="613" t="s">
        <v>72</v>
      </c>
      <c r="K158" s="864"/>
    </row>
    <row r="159" spans="1:51" s="844" customFormat="1" ht="38.25" customHeight="1" thickBot="1">
      <c r="A159" s="1895"/>
      <c r="B159" s="1943"/>
      <c r="C159" s="633" t="s">
        <v>2518</v>
      </c>
      <c r="D159" s="633" t="s">
        <v>4156</v>
      </c>
      <c r="E159" s="602" t="s">
        <v>4156</v>
      </c>
      <c r="F159" s="603" t="s">
        <v>72</v>
      </c>
      <c r="G159" s="603" t="s">
        <v>72</v>
      </c>
      <c r="H159" s="600" t="s">
        <v>4157</v>
      </c>
      <c r="I159" s="635" t="s">
        <v>72</v>
      </c>
      <c r="J159" s="625"/>
      <c r="K159" s="625"/>
      <c r="L159" s="625"/>
      <c r="M159" s="625"/>
      <c r="N159" s="625"/>
      <c r="O159" s="625"/>
      <c r="P159" s="625"/>
      <c r="Q159" s="625"/>
      <c r="R159" s="625"/>
      <c r="S159" s="625"/>
      <c r="T159" s="625"/>
      <c r="U159" s="625"/>
      <c r="V159" s="625"/>
      <c r="W159" s="625"/>
      <c r="X159" s="625"/>
      <c r="Y159" s="625"/>
      <c r="Z159" s="625"/>
      <c r="AA159" s="625"/>
      <c r="AB159" s="625"/>
      <c r="AC159" s="625"/>
      <c r="AD159" s="625"/>
      <c r="AE159" s="625"/>
      <c r="AF159" s="625"/>
      <c r="AG159" s="625"/>
      <c r="AH159" s="625"/>
      <c r="AI159" s="625"/>
      <c r="AJ159" s="625"/>
      <c r="AK159" s="625"/>
    </row>
    <row r="160" spans="1:51" s="839" customFormat="1" ht="29.25" customHeight="1" thickBot="1">
      <c r="A160" s="1895"/>
      <c r="B160" s="1943"/>
      <c r="C160" s="1915" t="s">
        <v>2556</v>
      </c>
      <c r="D160" s="1916"/>
      <c r="E160" s="1917"/>
      <c r="F160" s="1917"/>
      <c r="G160" s="1917"/>
      <c r="H160" s="1917"/>
      <c r="I160" s="1918"/>
      <c r="J160" s="838"/>
      <c r="K160" s="838"/>
      <c r="L160" s="838"/>
      <c r="M160" s="838"/>
      <c r="N160" s="838"/>
      <c r="O160" s="838"/>
      <c r="P160" s="838"/>
      <c r="Q160" s="838"/>
      <c r="R160" s="838"/>
      <c r="S160" s="838"/>
      <c r="T160" s="838"/>
      <c r="U160" s="838"/>
      <c r="V160" s="838"/>
      <c r="W160" s="838"/>
      <c r="X160" s="838"/>
      <c r="Y160" s="838"/>
      <c r="Z160" s="838"/>
      <c r="AA160" s="838"/>
      <c r="AB160" s="838"/>
      <c r="AC160" s="838"/>
      <c r="AD160" s="838"/>
      <c r="AE160" s="838"/>
      <c r="AF160" s="838"/>
      <c r="AG160" s="838"/>
      <c r="AH160" s="838"/>
      <c r="AI160" s="838"/>
      <c r="AJ160" s="838"/>
      <c r="AK160" s="838"/>
    </row>
    <row r="161" spans="1:37" s="844" customFormat="1" ht="30.75" customHeight="1" thickBot="1">
      <c r="A161" s="1895"/>
      <c r="B161" s="1944"/>
      <c r="C161" s="627" t="s">
        <v>2557</v>
      </c>
      <c r="D161" s="627" t="s">
        <v>3003</v>
      </c>
      <c r="E161" s="628" t="s">
        <v>3004</v>
      </c>
      <c r="F161" s="629" t="s">
        <v>3005</v>
      </c>
      <c r="G161" s="629" t="s">
        <v>3006</v>
      </c>
      <c r="H161" s="630" t="s">
        <v>3007</v>
      </c>
      <c r="I161" s="631" t="s">
        <v>3008</v>
      </c>
      <c r="J161" s="625"/>
      <c r="K161" s="625"/>
      <c r="L161" s="625"/>
      <c r="M161" s="625"/>
      <c r="N161" s="625"/>
      <c r="O161" s="625"/>
      <c r="P161" s="625"/>
      <c r="Q161" s="625"/>
      <c r="R161" s="625"/>
      <c r="S161" s="625"/>
      <c r="T161" s="625"/>
      <c r="U161" s="625"/>
      <c r="V161" s="625"/>
      <c r="W161" s="625"/>
      <c r="X161" s="625"/>
      <c r="Y161" s="625"/>
      <c r="Z161" s="625"/>
      <c r="AA161" s="625"/>
      <c r="AB161" s="625"/>
      <c r="AC161" s="625"/>
      <c r="AD161" s="625"/>
      <c r="AE161" s="625"/>
      <c r="AF161" s="625"/>
      <c r="AG161" s="625"/>
      <c r="AH161" s="625"/>
      <c r="AI161" s="625"/>
      <c r="AJ161" s="625"/>
      <c r="AK161" s="625"/>
    </row>
    <row r="162" spans="1:37" s="839" customFormat="1" ht="29.25" customHeight="1" thickBot="1">
      <c r="A162" s="1895"/>
      <c r="B162" s="1942" t="s">
        <v>3009</v>
      </c>
      <c r="C162" s="1933" t="s">
        <v>2750</v>
      </c>
      <c r="D162" s="1934"/>
      <c r="E162" s="1935"/>
      <c r="F162" s="1935"/>
      <c r="G162" s="1935"/>
      <c r="H162" s="1935"/>
      <c r="I162" s="1936"/>
      <c r="J162" s="838"/>
      <c r="K162" s="838"/>
      <c r="L162" s="838"/>
      <c r="M162" s="838"/>
      <c r="N162" s="838"/>
      <c r="O162" s="838"/>
      <c r="P162" s="838"/>
      <c r="Q162" s="838"/>
      <c r="R162" s="838"/>
      <c r="S162" s="838"/>
      <c r="T162" s="838"/>
      <c r="U162" s="838"/>
      <c r="V162" s="838"/>
      <c r="W162" s="838"/>
      <c r="X162" s="838"/>
      <c r="Y162" s="838"/>
      <c r="Z162" s="838"/>
      <c r="AA162" s="838"/>
      <c r="AB162" s="838"/>
      <c r="AC162" s="838"/>
      <c r="AD162" s="838"/>
      <c r="AE162" s="838"/>
      <c r="AF162" s="838"/>
      <c r="AG162" s="838"/>
      <c r="AH162" s="838"/>
      <c r="AI162" s="838"/>
      <c r="AJ162" s="838"/>
      <c r="AK162" s="838"/>
    </row>
    <row r="163" spans="1:37" s="844" customFormat="1" ht="22.5" customHeight="1">
      <c r="A163" s="1895"/>
      <c r="B163" s="1943"/>
      <c r="C163" s="876" t="s">
        <v>2518</v>
      </c>
      <c r="D163" s="876" t="s">
        <v>3010</v>
      </c>
      <c r="E163" s="868" t="s">
        <v>3011</v>
      </c>
      <c r="F163" s="841" t="s">
        <v>3012</v>
      </c>
      <c r="G163" s="841" t="s">
        <v>2981</v>
      </c>
      <c r="H163" s="598" t="s">
        <v>3013</v>
      </c>
      <c r="I163" s="632" t="s">
        <v>72</v>
      </c>
      <c r="K163" s="864"/>
    </row>
    <row r="164" spans="1:37" s="844" customFormat="1" ht="38.25" customHeight="1">
      <c r="A164" s="1895"/>
      <c r="B164" s="1943"/>
      <c r="C164" s="633" t="s">
        <v>2518</v>
      </c>
      <c r="D164" s="633" t="s">
        <v>3014</v>
      </c>
      <c r="E164" s="602" t="s">
        <v>3015</v>
      </c>
      <c r="F164" s="603" t="s">
        <v>3016</v>
      </c>
      <c r="G164" s="603" t="s">
        <v>2981</v>
      </c>
      <c r="H164" s="600" t="s">
        <v>3017</v>
      </c>
      <c r="I164" s="634" t="s">
        <v>72</v>
      </c>
      <c r="J164" s="625"/>
      <c r="K164" s="625"/>
      <c r="L164" s="625"/>
      <c r="M164" s="625"/>
      <c r="N164" s="625"/>
      <c r="O164" s="625"/>
      <c r="P164" s="625"/>
      <c r="Q164" s="625"/>
      <c r="R164" s="625"/>
      <c r="S164" s="625"/>
      <c r="T164" s="625"/>
      <c r="U164" s="625"/>
      <c r="V164" s="625"/>
      <c r="W164" s="625"/>
      <c r="X164" s="625"/>
      <c r="Y164" s="625"/>
      <c r="Z164" s="625"/>
      <c r="AA164" s="625"/>
      <c r="AB164" s="625"/>
      <c r="AC164" s="625"/>
      <c r="AD164" s="625"/>
      <c r="AE164" s="625"/>
      <c r="AF164" s="625"/>
      <c r="AG164" s="625"/>
      <c r="AH164" s="625"/>
      <c r="AI164" s="625"/>
      <c r="AJ164" s="625"/>
      <c r="AK164" s="625"/>
    </row>
    <row r="165" spans="1:37" s="844" customFormat="1" ht="38.25" customHeight="1">
      <c r="A165" s="1895"/>
      <c r="B165" s="1943"/>
      <c r="C165" s="633"/>
      <c r="D165" s="633" t="s">
        <v>4158</v>
      </c>
      <c r="E165" s="602" t="s">
        <v>3018</v>
      </c>
      <c r="F165" s="603" t="s">
        <v>4159</v>
      </c>
      <c r="G165" s="603" t="s">
        <v>4160</v>
      </c>
      <c r="H165" s="600" t="s">
        <v>4161</v>
      </c>
      <c r="I165" s="634" t="s">
        <v>72</v>
      </c>
      <c r="J165" s="625"/>
      <c r="K165" s="625"/>
      <c r="L165" s="625"/>
      <c r="M165" s="625"/>
      <c r="N165" s="625"/>
      <c r="O165" s="625"/>
      <c r="P165" s="625"/>
      <c r="Q165" s="625"/>
      <c r="R165" s="625"/>
      <c r="S165" s="625"/>
      <c r="T165" s="625"/>
      <c r="U165" s="625"/>
      <c r="V165" s="625"/>
      <c r="W165" s="625"/>
      <c r="X165" s="625"/>
      <c r="Y165" s="625"/>
      <c r="Z165" s="625"/>
      <c r="AA165" s="625"/>
      <c r="AB165" s="625"/>
      <c r="AC165" s="625"/>
      <c r="AD165" s="625"/>
      <c r="AE165" s="625"/>
      <c r="AF165" s="625"/>
      <c r="AG165" s="625"/>
      <c r="AH165" s="625"/>
      <c r="AI165" s="625"/>
      <c r="AJ165" s="625"/>
      <c r="AK165" s="625"/>
    </row>
    <row r="166" spans="1:37" s="844" customFormat="1" ht="38.25" customHeight="1" thickBot="1">
      <c r="A166" s="1895"/>
      <c r="B166" s="1943"/>
      <c r="C166" s="633" t="s">
        <v>2518</v>
      </c>
      <c r="D166" s="633" t="s">
        <v>4156</v>
      </c>
      <c r="E166" s="602" t="s">
        <v>4156</v>
      </c>
      <c r="F166" s="603" t="s">
        <v>72</v>
      </c>
      <c r="G166" s="603" t="s">
        <v>72</v>
      </c>
      <c r="H166" s="600" t="s">
        <v>4157</v>
      </c>
      <c r="I166" s="635" t="s">
        <v>72</v>
      </c>
      <c r="J166" s="625"/>
      <c r="K166" s="625"/>
      <c r="L166" s="625"/>
      <c r="M166" s="625"/>
      <c r="N166" s="625"/>
      <c r="O166" s="625"/>
      <c r="P166" s="625"/>
      <c r="Q166" s="625"/>
      <c r="R166" s="625"/>
      <c r="S166" s="625"/>
      <c r="T166" s="625"/>
      <c r="U166" s="625"/>
      <c r="V166" s="625"/>
      <c r="W166" s="625"/>
      <c r="X166" s="625"/>
      <c r="Y166" s="625"/>
      <c r="Z166" s="625"/>
      <c r="AA166" s="625"/>
      <c r="AB166" s="625"/>
      <c r="AC166" s="625"/>
      <c r="AD166" s="625"/>
      <c r="AE166" s="625"/>
      <c r="AF166" s="625"/>
      <c r="AG166" s="625"/>
      <c r="AH166" s="625"/>
      <c r="AI166" s="625"/>
      <c r="AJ166" s="625"/>
      <c r="AK166" s="625"/>
    </row>
    <row r="167" spans="1:37" s="844" customFormat="1" ht="38.25" customHeight="1" thickBot="1">
      <c r="A167" s="1895"/>
      <c r="B167" s="1943"/>
      <c r="C167" s="1915" t="s">
        <v>2556</v>
      </c>
      <c r="D167" s="1916"/>
      <c r="E167" s="1917"/>
      <c r="F167" s="1917"/>
      <c r="G167" s="1917"/>
      <c r="H167" s="1917"/>
      <c r="I167" s="1918"/>
      <c r="J167" s="625"/>
      <c r="K167" s="625"/>
      <c r="L167" s="625"/>
      <c r="M167" s="625"/>
      <c r="N167" s="625"/>
      <c r="O167" s="625"/>
      <c r="P167" s="625"/>
      <c r="Q167" s="625"/>
      <c r="R167" s="625"/>
      <c r="S167" s="625"/>
      <c r="T167" s="625"/>
      <c r="U167" s="625"/>
      <c r="V167" s="625"/>
      <c r="W167" s="625"/>
      <c r="X167" s="625"/>
      <c r="Y167" s="625"/>
      <c r="Z167" s="625"/>
      <c r="AA167" s="625"/>
      <c r="AB167" s="625"/>
      <c r="AC167" s="625"/>
      <c r="AD167" s="625"/>
      <c r="AE167" s="625"/>
      <c r="AF167" s="625"/>
      <c r="AG167" s="625"/>
      <c r="AH167" s="625"/>
      <c r="AI167" s="625"/>
      <c r="AJ167" s="625"/>
      <c r="AK167" s="625"/>
    </row>
    <row r="168" spans="1:37" s="844" customFormat="1" ht="30" customHeight="1" thickBot="1">
      <c r="A168" s="1896"/>
      <c r="B168" s="1944"/>
      <c r="C168" s="636" t="s">
        <v>2557</v>
      </c>
      <c r="D168" s="636" t="s">
        <v>257</v>
      </c>
      <c r="E168" s="628" t="s">
        <v>3019</v>
      </c>
      <c r="F168" s="629" t="s">
        <v>3020</v>
      </c>
      <c r="G168" s="629" t="s">
        <v>2981</v>
      </c>
      <c r="H168" s="630" t="s">
        <v>3021</v>
      </c>
      <c r="I168" s="631" t="s">
        <v>3022</v>
      </c>
      <c r="J168" s="625"/>
      <c r="K168" s="625"/>
      <c r="L168" s="637"/>
      <c r="M168" s="625"/>
      <c r="N168" s="625"/>
      <c r="O168" s="625"/>
      <c r="P168" s="625"/>
      <c r="Q168" s="625"/>
      <c r="R168" s="625"/>
      <c r="S168" s="625"/>
      <c r="T168" s="625"/>
      <c r="U168" s="625"/>
      <c r="V168" s="625"/>
      <c r="W168" s="625"/>
      <c r="X168" s="625"/>
      <c r="Y168" s="625"/>
      <c r="Z168" s="625"/>
      <c r="AA168" s="625"/>
      <c r="AB168" s="625"/>
      <c r="AC168" s="625"/>
      <c r="AD168" s="625"/>
      <c r="AE168" s="625"/>
      <c r="AF168" s="625"/>
      <c r="AG168" s="625"/>
      <c r="AH168" s="625"/>
      <c r="AI168" s="625"/>
      <c r="AJ168" s="625"/>
      <c r="AK168" s="625"/>
    </row>
    <row r="169" spans="1:37" s="839" customFormat="1" ht="29.25" customHeight="1" thickBot="1">
      <c r="A169" s="1904" t="s">
        <v>3023</v>
      </c>
      <c r="B169" s="1907" t="s">
        <v>3024</v>
      </c>
      <c r="C169" s="1933" t="s">
        <v>2750</v>
      </c>
      <c r="D169" s="1934"/>
      <c r="E169" s="1935"/>
      <c r="F169" s="1935"/>
      <c r="G169" s="1935"/>
      <c r="H169" s="1935"/>
      <c r="I169" s="1936"/>
      <c r="J169" s="838"/>
      <c r="K169" s="838"/>
      <c r="L169" s="838"/>
      <c r="M169" s="838"/>
      <c r="N169" s="838"/>
      <c r="O169" s="838"/>
      <c r="P169" s="838"/>
      <c r="Q169" s="838"/>
      <c r="R169" s="838"/>
      <c r="S169" s="838"/>
      <c r="T169" s="838"/>
      <c r="U169" s="838"/>
      <c r="V169" s="838"/>
      <c r="W169" s="838"/>
      <c r="X169" s="838"/>
      <c r="Y169" s="838"/>
      <c r="Z169" s="838"/>
      <c r="AA169" s="838"/>
      <c r="AB169" s="838"/>
      <c r="AC169" s="838"/>
      <c r="AD169" s="838"/>
      <c r="AE169" s="838"/>
      <c r="AF169" s="838"/>
      <c r="AG169" s="838"/>
      <c r="AH169" s="838"/>
      <c r="AI169" s="838"/>
      <c r="AJ169" s="838"/>
      <c r="AK169" s="838"/>
    </row>
    <row r="170" spans="1:37" s="877" customFormat="1" ht="33.6" customHeight="1">
      <c r="A170" s="1905"/>
      <c r="B170" s="1908"/>
      <c r="C170" s="841" t="s">
        <v>2518</v>
      </c>
      <c r="D170" s="841" t="s">
        <v>3025</v>
      </c>
      <c r="E170" s="842" t="s">
        <v>3026</v>
      </c>
      <c r="F170" s="841"/>
      <c r="G170" s="841" t="s">
        <v>72</v>
      </c>
      <c r="H170" s="609"/>
      <c r="I170" s="1910" t="s">
        <v>3027</v>
      </c>
    </row>
    <row r="171" spans="1:37" s="877" customFormat="1" ht="33.6" customHeight="1">
      <c r="A171" s="1905"/>
      <c r="B171" s="1908"/>
      <c r="C171" s="840" t="s">
        <v>2518</v>
      </c>
      <c r="D171" s="840" t="s">
        <v>3028</v>
      </c>
      <c r="E171" s="845" t="s">
        <v>2864</v>
      </c>
      <c r="F171" s="840" t="s">
        <v>3029</v>
      </c>
      <c r="G171" s="840" t="s">
        <v>72</v>
      </c>
      <c r="H171" s="609" t="s">
        <v>3030</v>
      </c>
      <c r="I171" s="1911"/>
    </row>
    <row r="172" spans="1:37" s="877" customFormat="1" ht="33.6" customHeight="1">
      <c r="A172" s="1905"/>
      <c r="B172" s="1908"/>
      <c r="C172" s="840" t="s">
        <v>2518</v>
      </c>
      <c r="D172" s="840" t="s">
        <v>3031</v>
      </c>
      <c r="E172" s="845" t="s">
        <v>3031</v>
      </c>
      <c r="F172" s="861" t="s">
        <v>72</v>
      </c>
      <c r="G172" s="840" t="s">
        <v>72</v>
      </c>
      <c r="H172" s="609" t="s">
        <v>3032</v>
      </c>
      <c r="I172" s="1911"/>
    </row>
    <row r="173" spans="1:37" s="877" customFormat="1" ht="33.6" customHeight="1">
      <c r="A173" s="1905"/>
      <c r="B173" s="1908"/>
      <c r="C173" s="861" t="s">
        <v>2518</v>
      </c>
      <c r="D173" s="861" t="s">
        <v>3033</v>
      </c>
      <c r="E173" s="862" t="s">
        <v>3034</v>
      </c>
      <c r="F173" s="861" t="s">
        <v>3035</v>
      </c>
      <c r="G173" s="861" t="s">
        <v>72</v>
      </c>
      <c r="H173" s="609" t="s">
        <v>3036</v>
      </c>
      <c r="I173" s="1911"/>
    </row>
    <row r="174" spans="1:37" s="877" customFormat="1" ht="33.6" customHeight="1">
      <c r="A174" s="1905"/>
      <c r="B174" s="1908"/>
      <c r="C174" s="861" t="s">
        <v>2518</v>
      </c>
      <c r="D174" s="861" t="s">
        <v>3037</v>
      </c>
      <c r="E174" s="862" t="s">
        <v>3038</v>
      </c>
      <c r="F174" s="861" t="s">
        <v>3039</v>
      </c>
      <c r="G174" s="861" t="s">
        <v>72</v>
      </c>
      <c r="H174" s="609" t="s">
        <v>3040</v>
      </c>
      <c r="I174" s="1911"/>
    </row>
    <row r="175" spans="1:37" s="877" customFormat="1" ht="33.6" customHeight="1">
      <c r="A175" s="1905"/>
      <c r="B175" s="1908"/>
      <c r="C175" s="861" t="s">
        <v>2518</v>
      </c>
      <c r="D175" s="861" t="s">
        <v>3041</v>
      </c>
      <c r="E175" s="862" t="s">
        <v>3042</v>
      </c>
      <c r="F175" s="861" t="s">
        <v>3043</v>
      </c>
      <c r="G175" s="861" t="s">
        <v>72</v>
      </c>
      <c r="H175" s="609" t="s">
        <v>3044</v>
      </c>
      <c r="I175" s="1911"/>
    </row>
    <row r="176" spans="1:37" s="877" customFormat="1" ht="33.6" customHeight="1">
      <c r="A176" s="1905"/>
      <c r="B176" s="1908"/>
      <c r="C176" s="840" t="s">
        <v>2518</v>
      </c>
      <c r="D176" s="840" t="s">
        <v>3045</v>
      </c>
      <c r="E176" s="845" t="s">
        <v>3046</v>
      </c>
      <c r="F176" s="840" t="s">
        <v>3047</v>
      </c>
      <c r="G176" s="840" t="s">
        <v>72</v>
      </c>
      <c r="H176" s="600" t="s">
        <v>3048</v>
      </c>
      <c r="I176" s="1911"/>
    </row>
    <row r="177" spans="1:37" s="877" customFormat="1" ht="33.6" customHeight="1" thickBot="1">
      <c r="A177" s="1905"/>
      <c r="B177" s="1908"/>
      <c r="C177" s="840" t="s">
        <v>2518</v>
      </c>
      <c r="D177" s="840" t="s">
        <v>3049</v>
      </c>
      <c r="E177" s="845" t="s">
        <v>3050</v>
      </c>
      <c r="F177" s="840" t="s">
        <v>3051</v>
      </c>
      <c r="G177" s="840" t="s">
        <v>72</v>
      </c>
      <c r="H177" s="600" t="s">
        <v>3052</v>
      </c>
      <c r="I177" s="1914"/>
    </row>
    <row r="178" spans="1:37" s="844" customFormat="1" ht="38.25" customHeight="1" thickBot="1">
      <c r="A178" s="1905"/>
      <c r="B178" s="1908"/>
      <c r="C178" s="1915" t="s">
        <v>2556</v>
      </c>
      <c r="D178" s="1916"/>
      <c r="E178" s="1917"/>
      <c r="F178" s="1917"/>
      <c r="G178" s="1917"/>
      <c r="H178" s="1917"/>
      <c r="I178" s="1918"/>
      <c r="J178" s="625"/>
      <c r="K178" s="625"/>
      <c r="L178" s="625"/>
      <c r="M178" s="625"/>
      <c r="N178" s="625"/>
      <c r="O178" s="625"/>
      <c r="P178" s="625"/>
      <c r="Q178" s="625"/>
      <c r="R178" s="625"/>
      <c r="S178" s="625"/>
      <c r="T178" s="625"/>
      <c r="U178" s="625"/>
      <c r="V178" s="625"/>
      <c r="W178" s="625"/>
      <c r="X178" s="625"/>
      <c r="Y178" s="625"/>
      <c r="Z178" s="625"/>
      <c r="AA178" s="625"/>
      <c r="AB178" s="625"/>
      <c r="AC178" s="625"/>
      <c r="AD178" s="625"/>
      <c r="AE178" s="625"/>
      <c r="AF178" s="625"/>
      <c r="AG178" s="625"/>
      <c r="AH178" s="625"/>
      <c r="AI178" s="625"/>
      <c r="AJ178" s="625"/>
      <c r="AK178" s="625"/>
    </row>
    <row r="179" spans="1:37" s="877" customFormat="1" ht="33.6" customHeight="1" thickBot="1">
      <c r="A179" s="1906"/>
      <c r="B179" s="1909"/>
      <c r="C179" s="840" t="s">
        <v>2557</v>
      </c>
      <c r="D179" s="840" t="s">
        <v>3053</v>
      </c>
      <c r="E179" s="845" t="s">
        <v>3053</v>
      </c>
      <c r="F179" s="840" t="s">
        <v>3054</v>
      </c>
      <c r="G179" s="840" t="s">
        <v>72</v>
      </c>
      <c r="H179" s="600" t="s">
        <v>3055</v>
      </c>
      <c r="I179" s="878"/>
    </row>
    <row r="180" spans="1:37" s="839" customFormat="1" ht="29.25" customHeight="1" thickBot="1">
      <c r="A180" s="1894" t="s">
        <v>3056</v>
      </c>
      <c r="B180" s="1897" t="s">
        <v>3057</v>
      </c>
      <c r="C180" s="1933" t="s">
        <v>2750</v>
      </c>
      <c r="D180" s="1934"/>
      <c r="E180" s="1935"/>
      <c r="F180" s="1935"/>
      <c r="G180" s="1935"/>
      <c r="H180" s="1935"/>
      <c r="I180" s="1936"/>
      <c r="J180" s="838"/>
      <c r="K180" s="838"/>
      <c r="L180" s="838"/>
      <c r="M180" s="838"/>
      <c r="N180" s="838"/>
      <c r="O180" s="838"/>
      <c r="P180" s="838"/>
      <c r="Q180" s="838"/>
      <c r="R180" s="838"/>
      <c r="S180" s="838"/>
      <c r="T180" s="838"/>
      <c r="U180" s="838"/>
      <c r="V180" s="838"/>
      <c r="W180" s="838"/>
      <c r="X180" s="838"/>
      <c r="Y180" s="838"/>
      <c r="Z180" s="838"/>
      <c r="AA180" s="838"/>
      <c r="AB180" s="838"/>
      <c r="AC180" s="838"/>
      <c r="AD180" s="838"/>
      <c r="AE180" s="838"/>
      <c r="AF180" s="838"/>
      <c r="AG180" s="838"/>
      <c r="AH180" s="838"/>
      <c r="AI180" s="838"/>
      <c r="AJ180" s="838"/>
      <c r="AK180" s="838"/>
    </row>
    <row r="181" spans="1:37" s="844" customFormat="1" ht="28.35" customHeight="1">
      <c r="A181" s="1895"/>
      <c r="B181" s="1898"/>
      <c r="C181" s="841" t="s">
        <v>2518</v>
      </c>
      <c r="D181" s="841" t="s">
        <v>3058</v>
      </c>
      <c r="E181" s="842" t="s">
        <v>3059</v>
      </c>
      <c r="F181" s="841" t="s">
        <v>3060</v>
      </c>
      <c r="G181" s="841" t="s">
        <v>72</v>
      </c>
      <c r="H181" s="618" t="s">
        <v>3061</v>
      </c>
      <c r="I181" s="1937" t="s">
        <v>3062</v>
      </c>
    </row>
    <row r="182" spans="1:37" s="844" customFormat="1" ht="28.35" customHeight="1">
      <c r="A182" s="1895"/>
      <c r="B182" s="1898"/>
      <c r="C182" s="840" t="s">
        <v>2518</v>
      </c>
      <c r="D182" s="840" t="s">
        <v>3063</v>
      </c>
      <c r="E182" s="845" t="s">
        <v>4162</v>
      </c>
      <c r="F182" s="840" t="s">
        <v>4163</v>
      </c>
      <c r="G182" s="840" t="s">
        <v>72</v>
      </c>
      <c r="H182" s="600" t="s">
        <v>3064</v>
      </c>
      <c r="I182" s="1938"/>
    </row>
    <row r="183" spans="1:37" s="844" customFormat="1" ht="28.35" customHeight="1">
      <c r="A183" s="1895"/>
      <c r="B183" s="1898"/>
      <c r="C183" s="847" t="s">
        <v>2518</v>
      </c>
      <c r="D183" s="847" t="s">
        <v>3065</v>
      </c>
      <c r="E183" s="848" t="s">
        <v>3066</v>
      </c>
      <c r="F183" s="847" t="s">
        <v>3067</v>
      </c>
      <c r="G183" s="840" t="s">
        <v>72</v>
      </c>
      <c r="H183" s="601" t="s">
        <v>3068</v>
      </c>
      <c r="I183" s="1938"/>
    </row>
    <row r="184" spans="1:37" s="844" customFormat="1" ht="28.35" customHeight="1">
      <c r="A184" s="1895"/>
      <c r="B184" s="1898"/>
      <c r="C184" s="847" t="s">
        <v>2518</v>
      </c>
      <c r="D184" s="847" t="s">
        <v>3069</v>
      </c>
      <c r="E184" s="848" t="s">
        <v>4304</v>
      </c>
      <c r="F184" s="942" t="s">
        <v>72</v>
      </c>
      <c r="G184" s="840" t="s">
        <v>72</v>
      </c>
      <c r="H184" s="601" t="s">
        <v>3070</v>
      </c>
      <c r="I184" s="1938"/>
    </row>
    <row r="185" spans="1:37" s="844" customFormat="1" ht="28.35" customHeight="1">
      <c r="A185" s="1895"/>
      <c r="B185" s="1898"/>
      <c r="C185" s="943"/>
      <c r="D185" s="943" t="s">
        <v>4301</v>
      </c>
      <c r="E185" s="944" t="s">
        <v>3075</v>
      </c>
      <c r="F185" s="943" t="s">
        <v>4302</v>
      </c>
      <c r="G185" s="939" t="s">
        <v>72</v>
      </c>
      <c r="H185" s="638" t="s">
        <v>4303</v>
      </c>
      <c r="I185" s="1938"/>
    </row>
    <row r="186" spans="1:37" s="844" customFormat="1" ht="28.35" customHeight="1">
      <c r="A186" s="1895"/>
      <c r="B186" s="1898"/>
      <c r="C186" s="847" t="s">
        <v>2518</v>
      </c>
      <c r="D186" s="847" t="s">
        <v>3071</v>
      </c>
      <c r="E186" s="848" t="s">
        <v>4305</v>
      </c>
      <c r="F186" s="942" t="s">
        <v>72</v>
      </c>
      <c r="G186" s="840" t="s">
        <v>72</v>
      </c>
      <c r="H186" s="601" t="s">
        <v>3072</v>
      </c>
      <c r="I186" s="1938"/>
    </row>
    <row r="187" spans="1:37" s="844" customFormat="1" ht="28.35" customHeight="1">
      <c r="A187" s="1895"/>
      <c r="B187" s="1898"/>
      <c r="C187" s="847" t="s">
        <v>2518</v>
      </c>
      <c r="D187" s="847" t="s">
        <v>3073</v>
      </c>
      <c r="E187" s="848" t="s">
        <v>4164</v>
      </c>
      <c r="F187" s="847" t="s">
        <v>4165</v>
      </c>
      <c r="G187" s="840" t="s">
        <v>72</v>
      </c>
      <c r="H187" s="601" t="s">
        <v>3074</v>
      </c>
      <c r="I187" s="1938"/>
    </row>
    <row r="188" spans="1:37" s="844" customFormat="1" ht="28.35" customHeight="1">
      <c r="A188" s="1895"/>
      <c r="B188" s="1898"/>
      <c r="C188" s="847" t="s">
        <v>2518</v>
      </c>
      <c r="D188" s="847" t="s">
        <v>3076</v>
      </c>
      <c r="E188" s="848" t="s">
        <v>3077</v>
      </c>
      <c r="F188" s="847" t="s">
        <v>3078</v>
      </c>
      <c r="G188" s="840" t="s">
        <v>72</v>
      </c>
      <c r="H188" s="601" t="s">
        <v>3079</v>
      </c>
      <c r="I188" s="1938"/>
    </row>
    <row r="189" spans="1:37" s="844" customFormat="1" ht="28.35" customHeight="1">
      <c r="A189" s="1895"/>
      <c r="B189" s="1898"/>
      <c r="C189" s="847" t="s">
        <v>2518</v>
      </c>
      <c r="D189" s="847" t="s">
        <v>3080</v>
      </c>
      <c r="E189" s="848" t="s">
        <v>3081</v>
      </c>
      <c r="F189" s="847" t="s">
        <v>3082</v>
      </c>
      <c r="G189" s="840" t="s">
        <v>72</v>
      </c>
      <c r="H189" s="601" t="s">
        <v>3083</v>
      </c>
      <c r="I189" s="1938"/>
    </row>
    <row r="190" spans="1:37" s="844" customFormat="1" ht="28.35" customHeight="1">
      <c r="A190" s="1895"/>
      <c r="B190" s="1898"/>
      <c r="C190" s="847" t="s">
        <v>2518</v>
      </c>
      <c r="D190" s="847" t="s">
        <v>3084</v>
      </c>
      <c r="E190" s="848" t="s">
        <v>3085</v>
      </c>
      <c r="F190" s="847" t="s">
        <v>3086</v>
      </c>
      <c r="G190" s="840" t="s">
        <v>72</v>
      </c>
      <c r="H190" s="601" t="s">
        <v>3087</v>
      </c>
      <c r="I190" s="1938"/>
    </row>
    <row r="191" spans="1:37" s="844" customFormat="1" ht="28.35" customHeight="1">
      <c r="A191" s="1895"/>
      <c r="B191" s="1898"/>
      <c r="C191" s="847"/>
      <c r="D191" s="847" t="s">
        <v>4166</v>
      </c>
      <c r="E191" s="848" t="s">
        <v>4166</v>
      </c>
      <c r="F191" s="840" t="s">
        <v>72</v>
      </c>
      <c r="G191" s="840" t="s">
        <v>72</v>
      </c>
      <c r="H191" s="601" t="s">
        <v>4167</v>
      </c>
      <c r="I191" s="1938"/>
    </row>
    <row r="192" spans="1:37" s="844" customFormat="1" ht="28.35" customHeight="1" thickBot="1">
      <c r="A192" s="1895"/>
      <c r="B192" s="1898"/>
      <c r="C192" s="847" t="s">
        <v>2518</v>
      </c>
      <c r="D192" s="847" t="s">
        <v>3088</v>
      </c>
      <c r="E192" s="848" t="s">
        <v>3089</v>
      </c>
      <c r="F192" s="847" t="s">
        <v>3090</v>
      </c>
      <c r="G192" s="840" t="s">
        <v>72</v>
      </c>
      <c r="H192" s="601" t="s">
        <v>3087</v>
      </c>
      <c r="I192" s="1939"/>
    </row>
    <row r="193" spans="1:37" s="844" customFormat="1" ht="38.25" customHeight="1" thickBot="1">
      <c r="A193" s="1895"/>
      <c r="B193" s="1898"/>
      <c r="C193" s="1915" t="s">
        <v>2556</v>
      </c>
      <c r="D193" s="1916"/>
      <c r="E193" s="1917"/>
      <c r="F193" s="1917"/>
      <c r="G193" s="1917"/>
      <c r="H193" s="1917"/>
      <c r="I193" s="1918"/>
      <c r="J193" s="625"/>
      <c r="K193" s="625"/>
      <c r="L193" s="625"/>
      <c r="M193" s="625"/>
      <c r="N193" s="625"/>
      <c r="O193" s="625"/>
      <c r="P193" s="625"/>
      <c r="Q193" s="625"/>
      <c r="R193" s="625"/>
      <c r="S193" s="625"/>
      <c r="T193" s="625"/>
      <c r="U193" s="625"/>
      <c r="V193" s="625"/>
      <c r="W193" s="625"/>
      <c r="X193" s="625"/>
      <c r="Y193" s="625"/>
      <c r="Z193" s="625"/>
      <c r="AA193" s="625"/>
      <c r="AB193" s="625"/>
      <c r="AC193" s="625"/>
      <c r="AD193" s="625"/>
      <c r="AE193" s="625"/>
      <c r="AF193" s="625"/>
      <c r="AG193" s="625"/>
      <c r="AH193" s="625"/>
      <c r="AI193" s="625"/>
      <c r="AJ193" s="625"/>
      <c r="AK193" s="625"/>
    </row>
    <row r="194" spans="1:37" s="844" customFormat="1" ht="28.35" customHeight="1">
      <c r="A194" s="1895"/>
      <c r="B194" s="1898"/>
      <c r="C194" s="847" t="s">
        <v>2557</v>
      </c>
      <c r="D194" s="847" t="s">
        <v>3091</v>
      </c>
      <c r="E194" s="848" t="s">
        <v>3091</v>
      </c>
      <c r="F194" s="847" t="s">
        <v>3092</v>
      </c>
      <c r="G194" s="840" t="s">
        <v>72</v>
      </c>
      <c r="H194" s="601" t="s">
        <v>72</v>
      </c>
      <c r="I194" s="879"/>
    </row>
    <row r="195" spans="1:37" s="844" customFormat="1" ht="28.35" customHeight="1">
      <c r="A195" s="1895"/>
      <c r="B195" s="1898"/>
      <c r="C195" s="847"/>
      <c r="D195" s="847"/>
      <c r="E195" s="848"/>
      <c r="F195" s="847"/>
      <c r="G195" s="840"/>
      <c r="H195" s="601"/>
      <c r="I195" s="879"/>
    </row>
    <row r="196" spans="1:37" s="880" customFormat="1" ht="28.35" customHeight="1" thickBot="1">
      <c r="A196" s="1896"/>
      <c r="B196" s="1899"/>
      <c r="C196" s="847"/>
      <c r="D196" s="847"/>
      <c r="E196" s="848"/>
      <c r="F196" s="847"/>
      <c r="G196" s="847"/>
      <c r="H196" s="638"/>
      <c r="I196" s="879"/>
    </row>
    <row r="197" spans="1:37" s="882" customFormat="1" ht="29.25" customHeight="1" thickBot="1">
      <c r="A197" s="1904" t="s">
        <v>3093</v>
      </c>
      <c r="B197" s="1907" t="s">
        <v>3094</v>
      </c>
      <c r="C197" s="1900" t="s">
        <v>3095</v>
      </c>
      <c r="D197" s="1901"/>
      <c r="E197" s="1902"/>
      <c r="F197" s="1902"/>
      <c r="G197" s="1902"/>
      <c r="H197" s="1902"/>
      <c r="I197" s="1903"/>
      <c r="J197" s="881"/>
      <c r="K197" s="881"/>
      <c r="L197" s="881"/>
      <c r="M197" s="881"/>
      <c r="N197" s="881"/>
      <c r="O197" s="881"/>
      <c r="P197" s="881"/>
      <c r="Q197" s="881"/>
      <c r="R197" s="881"/>
      <c r="S197" s="881"/>
      <c r="T197" s="881"/>
      <c r="U197" s="881"/>
      <c r="V197" s="881"/>
      <c r="W197" s="881"/>
      <c r="X197" s="881"/>
      <c r="Y197" s="881"/>
      <c r="Z197" s="881"/>
      <c r="AA197" s="881"/>
      <c r="AB197" s="881"/>
      <c r="AC197" s="881"/>
      <c r="AD197" s="881"/>
      <c r="AE197" s="881"/>
      <c r="AF197" s="881"/>
      <c r="AG197" s="881"/>
      <c r="AH197" s="881"/>
      <c r="AI197" s="881"/>
      <c r="AJ197" s="881"/>
      <c r="AK197" s="881"/>
    </row>
    <row r="198" spans="1:37" s="844" customFormat="1" ht="28.35" customHeight="1">
      <c r="A198" s="1905"/>
      <c r="B198" s="1908"/>
      <c r="C198" s="841" t="s">
        <v>2518</v>
      </c>
      <c r="D198" s="841" t="s">
        <v>3096</v>
      </c>
      <c r="E198" s="842" t="s">
        <v>3097</v>
      </c>
      <c r="F198" s="841" t="s">
        <v>3098</v>
      </c>
      <c r="G198" s="841" t="s">
        <v>3099</v>
      </c>
      <c r="H198" s="598" t="s">
        <v>3100</v>
      </c>
      <c r="I198" s="1910" t="s">
        <v>3101</v>
      </c>
    </row>
    <row r="199" spans="1:37" s="844" customFormat="1" ht="28.35" customHeight="1">
      <c r="A199" s="1905"/>
      <c r="B199" s="1908"/>
      <c r="C199" s="861" t="s">
        <v>2518</v>
      </c>
      <c r="D199" s="861" t="s">
        <v>3102</v>
      </c>
      <c r="E199" s="862" t="s">
        <v>3103</v>
      </c>
      <c r="F199" s="861" t="s">
        <v>3104</v>
      </c>
      <c r="G199" s="861" t="s">
        <v>72</v>
      </c>
      <c r="H199" s="609" t="s">
        <v>3105</v>
      </c>
      <c r="I199" s="1911"/>
    </row>
    <row r="200" spans="1:37" s="844" customFormat="1" ht="28.35" customHeight="1">
      <c r="A200" s="1905"/>
      <c r="B200" s="1908"/>
      <c r="C200" s="840" t="s">
        <v>2518</v>
      </c>
      <c r="D200" s="840" t="s">
        <v>3106</v>
      </c>
      <c r="E200" s="845" t="s">
        <v>3107</v>
      </c>
      <c r="F200" s="840" t="s">
        <v>3108</v>
      </c>
      <c r="G200" s="840" t="s">
        <v>3109</v>
      </c>
      <c r="H200" s="599" t="s">
        <v>3110</v>
      </c>
      <c r="I200" s="1911"/>
    </row>
    <row r="201" spans="1:37" s="844" customFormat="1" ht="28.35" customHeight="1">
      <c r="A201" s="1905"/>
      <c r="B201" s="1908"/>
      <c r="C201" s="943"/>
      <c r="D201" s="943" t="s">
        <v>4327</v>
      </c>
      <c r="E201" s="944" t="s">
        <v>4328</v>
      </c>
      <c r="F201" s="943" t="s">
        <v>4329</v>
      </c>
      <c r="G201" s="982" t="s">
        <v>72</v>
      </c>
      <c r="H201" s="600" t="s">
        <v>4330</v>
      </c>
      <c r="I201" s="1911"/>
    </row>
    <row r="202" spans="1:37" s="844" customFormat="1" ht="28.35" customHeight="1">
      <c r="A202" s="1905"/>
      <c r="B202" s="1908"/>
      <c r="C202" s="847" t="s">
        <v>2518</v>
      </c>
      <c r="D202" s="847" t="s">
        <v>3111</v>
      </c>
      <c r="E202" s="848" t="s">
        <v>3112</v>
      </c>
      <c r="F202" s="847" t="s">
        <v>3113</v>
      </c>
      <c r="G202" s="847" t="s">
        <v>72</v>
      </c>
      <c r="H202" s="601" t="s">
        <v>3114</v>
      </c>
      <c r="I202" s="1911"/>
    </row>
    <row r="203" spans="1:37" s="844" customFormat="1" ht="28.35" customHeight="1">
      <c r="A203" s="1905"/>
      <c r="B203" s="1908"/>
      <c r="C203" s="847" t="s">
        <v>2518</v>
      </c>
      <c r="D203" s="847" t="s">
        <v>3115</v>
      </c>
      <c r="E203" s="848" t="s">
        <v>3116</v>
      </c>
      <c r="F203" s="847" t="s">
        <v>3117</v>
      </c>
      <c r="G203" s="847" t="s">
        <v>3118</v>
      </c>
      <c r="H203" s="638" t="s">
        <v>3119</v>
      </c>
      <c r="I203" s="1911"/>
    </row>
    <row r="204" spans="1:37" s="844" customFormat="1" ht="28.35" customHeight="1">
      <c r="A204" s="1905"/>
      <c r="B204" s="1908"/>
      <c r="C204" s="847" t="s">
        <v>2518</v>
      </c>
      <c r="D204" s="847" t="s">
        <v>3120</v>
      </c>
      <c r="E204" s="848" t="s">
        <v>3121</v>
      </c>
      <c r="F204" s="847" t="s">
        <v>3122</v>
      </c>
      <c r="G204" s="847" t="s">
        <v>72</v>
      </c>
      <c r="H204" s="601" t="s">
        <v>3123</v>
      </c>
      <c r="I204" s="1911"/>
    </row>
    <row r="205" spans="1:37" s="844" customFormat="1" ht="28.35" customHeight="1">
      <c r="A205" s="1905"/>
      <c r="B205" s="1908"/>
      <c r="C205" s="883"/>
      <c r="D205" s="884" t="s">
        <v>3124</v>
      </c>
      <c r="E205" s="848" t="s">
        <v>3125</v>
      </c>
      <c r="F205" s="847" t="s">
        <v>3126</v>
      </c>
      <c r="G205" s="884" t="s">
        <v>72</v>
      </c>
      <c r="H205" s="601" t="s">
        <v>3127</v>
      </c>
      <c r="I205" s="1911"/>
    </row>
    <row r="206" spans="1:37" s="844" customFormat="1" ht="28.35" customHeight="1" thickBot="1">
      <c r="A206" s="1905"/>
      <c r="B206" s="1908"/>
      <c r="C206" s="883"/>
      <c r="D206" s="884" t="s">
        <v>3128</v>
      </c>
      <c r="E206" s="848" t="s">
        <v>3129</v>
      </c>
      <c r="F206" s="847" t="s">
        <v>3130</v>
      </c>
      <c r="G206" s="884" t="s">
        <v>3131</v>
      </c>
      <c r="H206" s="601" t="s">
        <v>3132</v>
      </c>
      <c r="I206" s="1914"/>
    </row>
    <row r="207" spans="1:37" s="844" customFormat="1" ht="38.25" customHeight="1" thickBot="1">
      <c r="A207" s="1905"/>
      <c r="B207" s="1908"/>
      <c r="C207" s="1915" t="s">
        <v>3133</v>
      </c>
      <c r="D207" s="1916"/>
      <c r="E207" s="1917"/>
      <c r="F207" s="1917"/>
      <c r="G207" s="1917"/>
      <c r="H207" s="1917"/>
      <c r="I207" s="1918"/>
      <c r="J207" s="625"/>
      <c r="K207" s="625"/>
      <c r="L207" s="625"/>
      <c r="M207" s="625"/>
      <c r="N207" s="625"/>
      <c r="O207" s="625"/>
      <c r="P207" s="625"/>
      <c r="Q207" s="625"/>
      <c r="R207" s="625"/>
      <c r="S207" s="625"/>
      <c r="T207" s="625"/>
      <c r="U207" s="625"/>
      <c r="V207" s="625"/>
      <c r="W207" s="625"/>
      <c r="X207" s="625"/>
      <c r="Y207" s="625"/>
      <c r="Z207" s="625"/>
      <c r="AA207" s="625"/>
      <c r="AB207" s="625"/>
      <c r="AC207" s="625"/>
      <c r="AD207" s="625"/>
      <c r="AE207" s="625"/>
      <c r="AF207" s="625"/>
      <c r="AG207" s="625"/>
      <c r="AH207" s="625"/>
      <c r="AI207" s="625"/>
      <c r="AJ207" s="625"/>
      <c r="AK207" s="625"/>
    </row>
    <row r="208" spans="1:37" s="880" customFormat="1" ht="28.35" customHeight="1" thickBot="1">
      <c r="A208" s="1905"/>
      <c r="B208" s="1908"/>
      <c r="C208" s="847" t="s">
        <v>2557</v>
      </c>
      <c r="D208" s="847" t="s">
        <v>2558</v>
      </c>
      <c r="E208" s="848" t="s">
        <v>3134</v>
      </c>
      <c r="F208" s="847" t="s">
        <v>3135</v>
      </c>
      <c r="G208" s="847" t="s">
        <v>3136</v>
      </c>
      <c r="H208" s="601" t="s">
        <v>3137</v>
      </c>
      <c r="I208" s="879"/>
    </row>
    <row r="209" spans="1:10" s="880" customFormat="1" ht="28.35" customHeight="1" thickBot="1">
      <c r="A209" s="1905"/>
      <c r="B209" s="1908"/>
      <c r="C209" s="883"/>
      <c r="D209" s="1929" t="s">
        <v>3138</v>
      </c>
      <c r="E209" s="1930"/>
      <c r="F209" s="1930"/>
      <c r="G209" s="1930"/>
      <c r="H209" s="1930"/>
      <c r="I209" s="1930"/>
      <c r="J209" s="881"/>
    </row>
    <row r="210" spans="1:10" s="880" customFormat="1" ht="28.35" customHeight="1">
      <c r="A210" s="1905"/>
      <c r="B210" s="1908"/>
      <c r="C210" s="861"/>
      <c r="D210" s="861" t="s">
        <v>3139</v>
      </c>
      <c r="E210" s="862" t="s">
        <v>3140</v>
      </c>
      <c r="F210" s="861" t="s">
        <v>3141</v>
      </c>
      <c r="G210" s="861" t="s">
        <v>2968</v>
      </c>
      <c r="H210" s="623" t="s">
        <v>3142</v>
      </c>
      <c r="I210" s="1931" t="s">
        <v>3143</v>
      </c>
    </row>
    <row r="211" spans="1:10" s="880" customFormat="1" ht="28.35" customHeight="1">
      <c r="A211" s="1905"/>
      <c r="B211" s="1908"/>
      <c r="C211" s="840"/>
      <c r="D211" s="840" t="s">
        <v>3144</v>
      </c>
      <c r="E211" s="845" t="s">
        <v>3145</v>
      </c>
      <c r="F211" s="840" t="s">
        <v>3146</v>
      </c>
      <c r="G211" s="840" t="s">
        <v>3147</v>
      </c>
      <c r="H211" s="599" t="s">
        <v>3148</v>
      </c>
      <c r="I211" s="1919"/>
    </row>
    <row r="212" spans="1:10" s="880" customFormat="1" ht="28.35" customHeight="1">
      <c r="A212" s="1905"/>
      <c r="B212" s="1908"/>
      <c r="C212" s="840"/>
      <c r="D212" s="840" t="s">
        <v>3106</v>
      </c>
      <c r="E212" s="845" t="s">
        <v>3149</v>
      </c>
      <c r="F212" s="840" t="s">
        <v>3150</v>
      </c>
      <c r="G212" s="840" t="s">
        <v>3109</v>
      </c>
      <c r="H212" s="599" t="s">
        <v>3151</v>
      </c>
      <c r="I212" s="1919"/>
    </row>
    <row r="213" spans="1:10" s="880" customFormat="1" ht="28.35" customHeight="1">
      <c r="A213" s="1905"/>
      <c r="B213" s="1908"/>
      <c r="C213" s="840"/>
      <c r="D213" s="840" t="s">
        <v>3152</v>
      </c>
      <c r="E213" s="845" t="s">
        <v>3140</v>
      </c>
      <c r="F213" s="840" t="s">
        <v>3153</v>
      </c>
      <c r="G213" s="840"/>
      <c r="H213" s="599" t="s">
        <v>3154</v>
      </c>
      <c r="I213" s="1919"/>
    </row>
    <row r="214" spans="1:10" s="880" customFormat="1" ht="28.35" customHeight="1">
      <c r="A214" s="1905"/>
      <c r="B214" s="1908"/>
      <c r="C214" s="840"/>
      <c r="D214" s="840" t="s">
        <v>3155</v>
      </c>
      <c r="E214" s="845" t="s">
        <v>3156</v>
      </c>
      <c r="F214" s="840" t="s">
        <v>3157</v>
      </c>
      <c r="G214" s="840" t="s">
        <v>3158</v>
      </c>
      <c r="H214" s="599" t="s">
        <v>3159</v>
      </c>
      <c r="I214" s="1919"/>
    </row>
    <row r="215" spans="1:10" s="880" customFormat="1" ht="28.35" customHeight="1">
      <c r="A215" s="1905"/>
      <c r="B215" s="1908"/>
      <c r="C215" s="840"/>
      <c r="D215" s="840" t="s">
        <v>3160</v>
      </c>
      <c r="E215" s="845" t="s">
        <v>3161</v>
      </c>
      <c r="F215" s="840" t="s">
        <v>3162</v>
      </c>
      <c r="G215" s="840" t="s">
        <v>3163</v>
      </c>
      <c r="H215" s="599" t="s">
        <v>3164</v>
      </c>
      <c r="I215" s="1919"/>
    </row>
    <row r="216" spans="1:10" s="880" customFormat="1" ht="28.35" customHeight="1">
      <c r="A216" s="1905"/>
      <c r="B216" s="1908"/>
      <c r="C216" s="840"/>
      <c r="D216" s="840" t="s">
        <v>3165</v>
      </c>
      <c r="E216" s="845" t="s">
        <v>3042</v>
      </c>
      <c r="F216" s="840" t="s">
        <v>3166</v>
      </c>
      <c r="G216" s="840" t="s">
        <v>3167</v>
      </c>
      <c r="H216" s="599" t="s">
        <v>3168</v>
      </c>
      <c r="I216" s="1919"/>
    </row>
    <row r="217" spans="1:10" s="880" customFormat="1" ht="28.35" customHeight="1">
      <c r="A217" s="1905"/>
      <c r="B217" s="1908"/>
      <c r="C217" s="840"/>
      <c r="D217" s="840" t="s">
        <v>3096</v>
      </c>
      <c r="E217" s="845" t="s">
        <v>3169</v>
      </c>
      <c r="F217" s="840" t="s">
        <v>3098</v>
      </c>
      <c r="G217" s="840" t="s">
        <v>3170</v>
      </c>
      <c r="H217" s="599" t="s">
        <v>3171</v>
      </c>
      <c r="I217" s="1919"/>
    </row>
    <row r="218" spans="1:10" s="880" customFormat="1" ht="28.35" customHeight="1">
      <c r="A218" s="1905"/>
      <c r="B218" s="1908"/>
      <c r="C218" s="840"/>
      <c r="D218" s="840" t="s">
        <v>3172</v>
      </c>
      <c r="E218" s="845" t="s">
        <v>3173</v>
      </c>
      <c r="F218" s="840" t="s">
        <v>3174</v>
      </c>
      <c r="G218" s="840" t="s">
        <v>3175</v>
      </c>
      <c r="H218" s="599" t="s">
        <v>3176</v>
      </c>
      <c r="I218" s="1919"/>
    </row>
    <row r="219" spans="1:10" s="880" customFormat="1" ht="28.35" customHeight="1">
      <c r="A219" s="1905"/>
      <c r="B219" s="1908"/>
      <c r="C219" s="840"/>
      <c r="D219" s="840" t="s">
        <v>3177</v>
      </c>
      <c r="E219" s="845" t="s">
        <v>3178</v>
      </c>
      <c r="F219" s="840" t="s">
        <v>3179</v>
      </c>
      <c r="G219" s="840" t="s">
        <v>3180</v>
      </c>
      <c r="H219" s="599" t="s">
        <v>3181</v>
      </c>
      <c r="I219" s="1919"/>
    </row>
    <row r="220" spans="1:10" s="880" customFormat="1" ht="28.35" customHeight="1">
      <c r="A220" s="1905"/>
      <c r="B220" s="1908"/>
      <c r="C220" s="840"/>
      <c r="D220" s="840" t="s">
        <v>3182</v>
      </c>
      <c r="E220" s="845" t="s">
        <v>3145</v>
      </c>
      <c r="F220" s="840" t="s">
        <v>3183</v>
      </c>
      <c r="G220" s="840" t="s">
        <v>3184</v>
      </c>
      <c r="H220" s="599" t="s">
        <v>3185</v>
      </c>
      <c r="I220" s="1919"/>
    </row>
    <row r="221" spans="1:10" s="880" customFormat="1" ht="28.35" customHeight="1">
      <c r="A221" s="1905"/>
      <c r="B221" s="1908"/>
      <c r="C221" s="840"/>
      <c r="D221" s="840" t="s">
        <v>3186</v>
      </c>
      <c r="E221" s="845" t="s">
        <v>3161</v>
      </c>
      <c r="F221" s="840" t="s">
        <v>3187</v>
      </c>
      <c r="G221" s="840" t="s">
        <v>3188</v>
      </c>
      <c r="H221" s="599" t="s">
        <v>3189</v>
      </c>
      <c r="I221" s="1919"/>
    </row>
    <row r="222" spans="1:10" s="880" customFormat="1" ht="28.35" customHeight="1">
      <c r="A222" s="1905"/>
      <c r="B222" s="1908"/>
      <c r="C222" s="840"/>
      <c r="D222" s="840" t="s">
        <v>3190</v>
      </c>
      <c r="E222" s="845" t="s">
        <v>3178</v>
      </c>
      <c r="F222" s="840" t="s">
        <v>3191</v>
      </c>
      <c r="G222" s="840" t="s">
        <v>3192</v>
      </c>
      <c r="H222" s="599" t="s">
        <v>3193</v>
      </c>
      <c r="I222" s="1919"/>
    </row>
    <row r="223" spans="1:10" s="880" customFormat="1" ht="28.35" customHeight="1">
      <c r="A223" s="1905"/>
      <c r="B223" s="1908"/>
      <c r="C223" s="840"/>
      <c r="D223" s="840" t="s">
        <v>3194</v>
      </c>
      <c r="E223" s="845" t="s">
        <v>3042</v>
      </c>
      <c r="F223" s="840" t="s">
        <v>3195</v>
      </c>
      <c r="G223" s="840" t="s">
        <v>3196</v>
      </c>
      <c r="H223" s="599" t="s">
        <v>3197</v>
      </c>
      <c r="I223" s="1919"/>
    </row>
    <row r="224" spans="1:10" s="880" customFormat="1" ht="28.35" customHeight="1">
      <c r="A224" s="1905"/>
      <c r="B224" s="1908"/>
      <c r="C224" s="840"/>
      <c r="D224" s="840" t="s">
        <v>3198</v>
      </c>
      <c r="E224" s="845" t="s">
        <v>3199</v>
      </c>
      <c r="F224" s="840" t="s">
        <v>3200</v>
      </c>
      <c r="G224" s="840" t="s">
        <v>3201</v>
      </c>
      <c r="H224" s="599" t="s">
        <v>3202</v>
      </c>
      <c r="I224" s="1919"/>
    </row>
    <row r="225" spans="1:9" s="880" customFormat="1" ht="28.35" customHeight="1">
      <c r="A225" s="1905"/>
      <c r="B225" s="1908"/>
      <c r="C225" s="840"/>
      <c r="D225" s="840" t="s">
        <v>3203</v>
      </c>
      <c r="E225" s="845" t="s">
        <v>3178</v>
      </c>
      <c r="F225" s="840" t="s">
        <v>3204</v>
      </c>
      <c r="G225" s="840" t="s">
        <v>3205</v>
      </c>
      <c r="H225" s="599" t="s">
        <v>3206</v>
      </c>
      <c r="I225" s="1919"/>
    </row>
    <row r="226" spans="1:9" s="880" customFormat="1" ht="28.35" customHeight="1">
      <c r="A226" s="1905"/>
      <c r="B226" s="1908"/>
      <c r="C226" s="840"/>
      <c r="D226" s="840" t="s">
        <v>3207</v>
      </c>
      <c r="E226" s="845" t="s">
        <v>3042</v>
      </c>
      <c r="F226" s="840" t="s">
        <v>3208</v>
      </c>
      <c r="G226" s="840" t="s">
        <v>3209</v>
      </c>
      <c r="H226" s="599" t="s">
        <v>3210</v>
      </c>
      <c r="I226" s="1919"/>
    </row>
    <row r="227" spans="1:9" s="880" customFormat="1" ht="28.35" customHeight="1">
      <c r="A227" s="1905"/>
      <c r="B227" s="1908"/>
      <c r="C227" s="840"/>
      <c r="D227" s="840" t="s">
        <v>3211</v>
      </c>
      <c r="E227" s="845" t="s">
        <v>3149</v>
      </c>
      <c r="F227" s="840" t="s">
        <v>3212</v>
      </c>
      <c r="G227" s="840" t="s">
        <v>3213</v>
      </c>
      <c r="H227" s="599" t="s">
        <v>3214</v>
      </c>
      <c r="I227" s="1919"/>
    </row>
    <row r="228" spans="1:9" s="880" customFormat="1" ht="28.35" customHeight="1">
      <c r="A228" s="1905"/>
      <c r="B228" s="1908"/>
      <c r="C228" s="840"/>
      <c r="D228" s="840" t="s">
        <v>3215</v>
      </c>
      <c r="E228" s="845" t="s">
        <v>3173</v>
      </c>
      <c r="F228" s="840" t="s">
        <v>3216</v>
      </c>
      <c r="G228" s="840"/>
      <c r="H228" s="599" t="s">
        <v>3217</v>
      </c>
      <c r="I228" s="1919"/>
    </row>
    <row r="229" spans="1:9" s="880" customFormat="1" ht="28.35" customHeight="1">
      <c r="A229" s="1905"/>
      <c r="B229" s="1908"/>
      <c r="C229" s="840"/>
      <c r="D229" s="840" t="s">
        <v>3218</v>
      </c>
      <c r="E229" s="845" t="s">
        <v>3042</v>
      </c>
      <c r="F229" s="840" t="s">
        <v>3219</v>
      </c>
      <c r="G229" s="840" t="s">
        <v>3220</v>
      </c>
      <c r="H229" s="599" t="s">
        <v>3221</v>
      </c>
      <c r="I229" s="1919"/>
    </row>
    <row r="230" spans="1:9" s="880" customFormat="1" ht="28.35" customHeight="1">
      <c r="A230" s="1905"/>
      <c r="B230" s="1908"/>
      <c r="C230" s="840"/>
      <c r="D230" s="840" t="s">
        <v>3115</v>
      </c>
      <c r="E230" s="845" t="s">
        <v>3173</v>
      </c>
      <c r="F230" s="840" t="s">
        <v>3117</v>
      </c>
      <c r="G230" s="840" t="s">
        <v>3118</v>
      </c>
      <c r="H230" s="599" t="s">
        <v>3222</v>
      </c>
      <c r="I230" s="1919"/>
    </row>
    <row r="231" spans="1:9" s="880" customFormat="1" ht="28.35" customHeight="1">
      <c r="A231" s="1905"/>
      <c r="B231" s="1908"/>
      <c r="C231" s="840"/>
      <c r="D231" s="840" t="s">
        <v>3223</v>
      </c>
      <c r="E231" s="845" t="s">
        <v>3224</v>
      </c>
      <c r="F231" s="840" t="s">
        <v>3225</v>
      </c>
      <c r="G231" s="840" t="s">
        <v>3226</v>
      </c>
      <c r="H231" s="599" t="s">
        <v>3227</v>
      </c>
      <c r="I231" s="1919"/>
    </row>
    <row r="232" spans="1:9" s="880" customFormat="1" ht="28.35" customHeight="1">
      <c r="A232" s="1905"/>
      <c r="B232" s="1908"/>
      <c r="C232" s="840"/>
      <c r="D232" s="840" t="s">
        <v>3228</v>
      </c>
      <c r="E232" s="845" t="s">
        <v>3229</v>
      </c>
      <c r="F232" s="840" t="s">
        <v>3230</v>
      </c>
      <c r="G232" s="840"/>
      <c r="H232" s="600" t="s">
        <v>3231</v>
      </c>
      <c r="I232" s="1919"/>
    </row>
    <row r="233" spans="1:9" s="880" customFormat="1" ht="28.35" customHeight="1">
      <c r="A233" s="1905"/>
      <c r="B233" s="1908"/>
      <c r="C233" s="840"/>
      <c r="D233" s="840" t="s">
        <v>3232</v>
      </c>
      <c r="E233" s="845" t="s">
        <v>3173</v>
      </c>
      <c r="F233" s="840" t="s">
        <v>3233</v>
      </c>
      <c r="G233" s="840" t="s">
        <v>3234</v>
      </c>
      <c r="H233" s="599" t="s">
        <v>3235</v>
      </c>
      <c r="I233" s="1919"/>
    </row>
    <row r="234" spans="1:9" s="880" customFormat="1" ht="28.35" customHeight="1">
      <c r="A234" s="1905"/>
      <c r="B234" s="1908"/>
      <c r="C234" s="840"/>
      <c r="D234" s="840" t="s">
        <v>3236</v>
      </c>
      <c r="E234" s="845" t="s">
        <v>3169</v>
      </c>
      <c r="F234" s="840" t="s">
        <v>3237</v>
      </c>
      <c r="G234" s="840" t="s">
        <v>3238</v>
      </c>
      <c r="H234" s="599" t="s">
        <v>3239</v>
      </c>
      <c r="I234" s="1919"/>
    </row>
    <row r="235" spans="1:9" s="880" customFormat="1" ht="28.35" customHeight="1">
      <c r="A235" s="1905"/>
      <c r="B235" s="1908"/>
      <c r="C235" s="840"/>
      <c r="D235" s="840" t="s">
        <v>4232</v>
      </c>
      <c r="E235" s="845" t="s">
        <v>3173</v>
      </c>
      <c r="F235" s="840" t="s">
        <v>4233</v>
      </c>
      <c r="G235" s="840"/>
      <c r="H235" s="600" t="s">
        <v>4234</v>
      </c>
      <c r="I235" s="1919"/>
    </row>
    <row r="236" spans="1:9" s="880" customFormat="1" ht="28.35" customHeight="1">
      <c r="A236" s="1905"/>
      <c r="B236" s="1908"/>
      <c r="C236" s="840"/>
      <c r="D236" s="840" t="s">
        <v>3240</v>
      </c>
      <c r="E236" s="845" t="s">
        <v>3224</v>
      </c>
      <c r="F236" s="840" t="s">
        <v>3241</v>
      </c>
      <c r="G236" s="840" t="s">
        <v>3242</v>
      </c>
      <c r="H236" s="599" t="s">
        <v>3243</v>
      </c>
      <c r="I236" s="1919"/>
    </row>
    <row r="237" spans="1:9" s="880" customFormat="1" ht="28.35" customHeight="1">
      <c r="A237" s="1905"/>
      <c r="B237" s="1908"/>
      <c r="C237" s="840"/>
      <c r="D237" s="840" t="s">
        <v>3244</v>
      </c>
      <c r="E237" s="845" t="s">
        <v>3245</v>
      </c>
      <c r="F237" s="840" t="s">
        <v>3246</v>
      </c>
      <c r="G237" s="840" t="s">
        <v>3247</v>
      </c>
      <c r="H237" s="599" t="s">
        <v>3248</v>
      </c>
      <c r="I237" s="1919"/>
    </row>
    <row r="238" spans="1:9" s="880" customFormat="1" ht="28.35" customHeight="1">
      <c r="A238" s="1905"/>
      <c r="B238" s="1908"/>
      <c r="C238" s="840"/>
      <c r="D238" s="840" t="s">
        <v>3249</v>
      </c>
      <c r="E238" s="845" t="s">
        <v>3149</v>
      </c>
      <c r="F238" s="840" t="s">
        <v>3250</v>
      </c>
      <c r="G238" s="840" t="s">
        <v>3251</v>
      </c>
      <c r="H238" s="599" t="s">
        <v>3252</v>
      </c>
      <c r="I238" s="1919"/>
    </row>
    <row r="239" spans="1:9" s="880" customFormat="1" ht="28.35" customHeight="1">
      <c r="A239" s="1905"/>
      <c r="B239" s="1908"/>
      <c r="C239" s="840"/>
      <c r="D239" s="840" t="s">
        <v>3253</v>
      </c>
      <c r="E239" s="845" t="s">
        <v>3173</v>
      </c>
      <c r="F239" s="840" t="s">
        <v>3254</v>
      </c>
      <c r="G239" s="840" t="s">
        <v>3255</v>
      </c>
      <c r="H239" s="599" t="s">
        <v>3256</v>
      </c>
      <c r="I239" s="1919"/>
    </row>
    <row r="240" spans="1:9" s="880" customFormat="1" ht="28.35" customHeight="1">
      <c r="A240" s="1905"/>
      <c r="B240" s="1908"/>
      <c r="C240" s="840"/>
      <c r="D240" s="840" t="s">
        <v>3257</v>
      </c>
      <c r="E240" s="845" t="s">
        <v>3258</v>
      </c>
      <c r="F240" s="840" t="s">
        <v>3259</v>
      </c>
      <c r="G240" s="840"/>
      <c r="H240" s="599" t="s">
        <v>3260</v>
      </c>
      <c r="I240" s="1919"/>
    </row>
    <row r="241" spans="1:9" s="880" customFormat="1" ht="28.35" customHeight="1">
      <c r="A241" s="1905"/>
      <c r="B241" s="1908"/>
      <c r="C241" s="840"/>
      <c r="D241" s="840" t="s">
        <v>3261</v>
      </c>
      <c r="E241" s="845" t="s">
        <v>3149</v>
      </c>
      <c r="F241" s="840" t="s">
        <v>3262</v>
      </c>
      <c r="G241" s="840" t="s">
        <v>3263</v>
      </c>
      <c r="H241" s="599" t="s">
        <v>3264</v>
      </c>
      <c r="I241" s="1919"/>
    </row>
    <row r="242" spans="1:9" s="880" customFormat="1" ht="28.35" customHeight="1">
      <c r="A242" s="1905"/>
      <c r="B242" s="1908"/>
      <c r="C242" s="840"/>
      <c r="D242" s="840" t="s">
        <v>3265</v>
      </c>
      <c r="E242" s="845" t="s">
        <v>3266</v>
      </c>
      <c r="F242" s="840" t="s">
        <v>3267</v>
      </c>
      <c r="G242" s="840"/>
      <c r="H242" s="599" t="s">
        <v>3268</v>
      </c>
      <c r="I242" s="1919"/>
    </row>
    <row r="243" spans="1:9" s="880" customFormat="1" ht="28.35" customHeight="1">
      <c r="A243" s="1905"/>
      <c r="B243" s="1908"/>
      <c r="C243" s="840"/>
      <c r="D243" s="840" t="s">
        <v>3269</v>
      </c>
      <c r="E243" s="845" t="s">
        <v>3270</v>
      </c>
      <c r="F243" s="840" t="s">
        <v>3271</v>
      </c>
      <c r="G243" s="840" t="s">
        <v>3272</v>
      </c>
      <c r="H243" s="599" t="s">
        <v>3273</v>
      </c>
      <c r="I243" s="1919"/>
    </row>
    <row r="244" spans="1:9" s="880" customFormat="1" ht="28.35" customHeight="1">
      <c r="A244" s="1905"/>
      <c r="B244" s="1908"/>
      <c r="C244" s="840"/>
      <c r="D244" s="840" t="s">
        <v>3274</v>
      </c>
      <c r="E244" s="845" t="s">
        <v>3275</v>
      </c>
      <c r="F244" s="840" t="s">
        <v>3276</v>
      </c>
      <c r="G244" s="840" t="s">
        <v>3277</v>
      </c>
      <c r="H244" s="599" t="s">
        <v>3278</v>
      </c>
      <c r="I244" s="1919"/>
    </row>
    <row r="245" spans="1:9" s="880" customFormat="1" ht="28.35" customHeight="1">
      <c r="A245" s="1905"/>
      <c r="B245" s="1908"/>
      <c r="C245" s="840"/>
      <c r="D245" s="840" t="s">
        <v>3279</v>
      </c>
      <c r="E245" s="845" t="s">
        <v>3161</v>
      </c>
      <c r="F245" s="840" t="s">
        <v>3280</v>
      </c>
      <c r="G245" s="840" t="s">
        <v>3281</v>
      </c>
      <c r="H245" s="599" t="s">
        <v>3282</v>
      </c>
      <c r="I245" s="1919"/>
    </row>
    <row r="246" spans="1:9" s="880" customFormat="1" ht="28.35" customHeight="1">
      <c r="A246" s="1905"/>
      <c r="B246" s="1908"/>
      <c r="C246" s="840"/>
      <c r="D246" s="840" t="s">
        <v>3283</v>
      </c>
      <c r="E246" s="845" t="s">
        <v>3266</v>
      </c>
      <c r="F246" s="840" t="s">
        <v>3284</v>
      </c>
      <c r="G246" s="840" t="s">
        <v>3285</v>
      </c>
      <c r="H246" s="599" t="s">
        <v>3286</v>
      </c>
      <c r="I246" s="1919"/>
    </row>
    <row r="247" spans="1:9" s="880" customFormat="1" ht="28.35" customHeight="1">
      <c r="A247" s="1905"/>
      <c r="B247" s="1908"/>
      <c r="C247" s="840"/>
      <c r="D247" s="840" t="s">
        <v>3287</v>
      </c>
      <c r="E247" s="845" t="s">
        <v>3178</v>
      </c>
      <c r="F247" s="840" t="s">
        <v>3288</v>
      </c>
      <c r="G247" s="840"/>
      <c r="H247" s="599" t="s">
        <v>3289</v>
      </c>
      <c r="I247" s="1919"/>
    </row>
    <row r="248" spans="1:9" s="880" customFormat="1" ht="28.35" customHeight="1">
      <c r="A248" s="1905"/>
      <c r="B248" s="1908"/>
      <c r="C248" s="840"/>
      <c r="D248" s="840" t="s">
        <v>3290</v>
      </c>
      <c r="E248" s="845" t="s">
        <v>3291</v>
      </c>
      <c r="F248" s="840" t="s">
        <v>3292</v>
      </c>
      <c r="G248" s="840" t="s">
        <v>3293</v>
      </c>
      <c r="H248" s="599" t="s">
        <v>3294</v>
      </c>
      <c r="I248" s="1919"/>
    </row>
    <row r="249" spans="1:9" s="880" customFormat="1" ht="28.35" customHeight="1">
      <c r="A249" s="1905"/>
      <c r="B249" s="1908"/>
      <c r="C249" s="840"/>
      <c r="D249" s="840" t="s">
        <v>3295</v>
      </c>
      <c r="E249" s="845" t="s">
        <v>3178</v>
      </c>
      <c r="F249" s="840" t="s">
        <v>3296</v>
      </c>
      <c r="G249" s="840" t="s">
        <v>3297</v>
      </c>
      <c r="H249" s="599" t="s">
        <v>3298</v>
      </c>
      <c r="I249" s="1919"/>
    </row>
    <row r="250" spans="1:9" s="880" customFormat="1" ht="28.35" customHeight="1">
      <c r="A250" s="1905"/>
      <c r="B250" s="1908"/>
      <c r="C250" s="840"/>
      <c r="D250" s="840" t="s">
        <v>3299</v>
      </c>
      <c r="E250" s="845" t="s">
        <v>3178</v>
      </c>
      <c r="F250" s="840" t="s">
        <v>3300</v>
      </c>
      <c r="G250" s="840" t="s">
        <v>3301</v>
      </c>
      <c r="H250" s="599" t="s">
        <v>3302</v>
      </c>
      <c r="I250" s="1919"/>
    </row>
    <row r="251" spans="1:9" s="880" customFormat="1" ht="28.35" customHeight="1">
      <c r="A251" s="1905"/>
      <c r="B251" s="1908"/>
      <c r="C251" s="840"/>
      <c r="D251" s="840" t="s">
        <v>3303</v>
      </c>
      <c r="E251" s="845" t="s">
        <v>3140</v>
      </c>
      <c r="F251" s="840" t="s">
        <v>3304</v>
      </c>
      <c r="G251" s="840" t="s">
        <v>3305</v>
      </c>
      <c r="H251" s="599" t="s">
        <v>3306</v>
      </c>
      <c r="I251" s="1919"/>
    </row>
    <row r="252" spans="1:9" s="880" customFormat="1" ht="28.35" customHeight="1">
      <c r="A252" s="1905"/>
      <c r="B252" s="1908"/>
      <c r="C252" s="840"/>
      <c r="D252" s="1927" t="s">
        <v>3307</v>
      </c>
      <c r="E252" s="1927"/>
      <c r="F252" s="1927"/>
      <c r="G252" s="1927"/>
      <c r="H252" s="1927"/>
      <c r="I252" s="1928"/>
    </row>
    <row r="253" spans="1:9" s="880" customFormat="1" ht="28.35" customHeight="1">
      <c r="A253" s="1905"/>
      <c r="B253" s="1908"/>
      <c r="C253" s="840"/>
      <c r="D253" s="840" t="s">
        <v>3308</v>
      </c>
      <c r="E253" s="845" t="s">
        <v>3161</v>
      </c>
      <c r="F253" s="840" t="s">
        <v>3309</v>
      </c>
      <c r="G253" s="840" t="s">
        <v>3310</v>
      </c>
      <c r="H253" s="599" t="s">
        <v>3311</v>
      </c>
      <c r="I253" s="1919" t="s">
        <v>3312</v>
      </c>
    </row>
    <row r="254" spans="1:9" s="880" customFormat="1" ht="28.35" customHeight="1">
      <c r="A254" s="1905"/>
      <c r="B254" s="1908"/>
      <c r="C254" s="840"/>
      <c r="D254" s="840" t="s">
        <v>3313</v>
      </c>
      <c r="E254" s="845" t="s">
        <v>3258</v>
      </c>
      <c r="F254" s="840" t="s">
        <v>3314</v>
      </c>
      <c r="G254" s="840"/>
      <c r="H254" s="599" t="s">
        <v>3315</v>
      </c>
      <c r="I254" s="1919"/>
    </row>
    <row r="255" spans="1:9" s="880" customFormat="1" ht="28.35" customHeight="1">
      <c r="A255" s="1905"/>
      <c r="B255" s="1908"/>
      <c r="C255" s="840"/>
      <c r="D255" s="840" t="s">
        <v>3316</v>
      </c>
      <c r="E255" s="845" t="s">
        <v>3317</v>
      </c>
      <c r="F255" s="840" t="s">
        <v>3318</v>
      </c>
      <c r="G255" s="840"/>
      <c r="H255" s="599" t="s">
        <v>3319</v>
      </c>
      <c r="I255" s="1919"/>
    </row>
    <row r="256" spans="1:9" s="880" customFormat="1" ht="28.35" customHeight="1">
      <c r="A256" s="1905"/>
      <c r="B256" s="1908"/>
      <c r="C256" s="840"/>
      <c r="D256" s="840" t="s">
        <v>3320</v>
      </c>
      <c r="E256" s="845" t="s">
        <v>3321</v>
      </c>
      <c r="F256" s="840" t="s">
        <v>3322</v>
      </c>
      <c r="G256" s="840"/>
      <c r="H256" s="599" t="s">
        <v>3323</v>
      </c>
      <c r="I256" s="1919"/>
    </row>
    <row r="257" spans="1:9" s="880" customFormat="1" ht="28.35" customHeight="1">
      <c r="A257" s="1905"/>
      <c r="B257" s="1908"/>
      <c r="C257" s="840"/>
      <c r="D257" s="840" t="s">
        <v>3324</v>
      </c>
      <c r="E257" s="845" t="s">
        <v>3321</v>
      </c>
      <c r="F257" s="840" t="s">
        <v>3325</v>
      </c>
      <c r="G257" s="840"/>
      <c r="H257" s="599" t="s">
        <v>3326</v>
      </c>
      <c r="I257" s="1919"/>
    </row>
    <row r="258" spans="1:9" s="880" customFormat="1" ht="28.35" customHeight="1">
      <c r="A258" s="1905"/>
      <c r="B258" s="1908"/>
      <c r="C258" s="840"/>
      <c r="D258" s="840" t="s">
        <v>3586</v>
      </c>
      <c r="E258" s="845" t="s">
        <v>3587</v>
      </c>
      <c r="F258" s="840" t="s">
        <v>3335</v>
      </c>
      <c r="G258" s="840"/>
      <c r="H258" s="600" t="s">
        <v>3588</v>
      </c>
      <c r="I258" s="1919"/>
    </row>
    <row r="259" spans="1:9" s="880" customFormat="1" ht="28.35" customHeight="1">
      <c r="A259" s="1905"/>
      <c r="B259" s="1908"/>
      <c r="C259" s="840"/>
      <c r="D259" s="840" t="s">
        <v>3327</v>
      </c>
      <c r="E259" s="845" t="s">
        <v>3245</v>
      </c>
      <c r="F259" s="840" t="s">
        <v>3328</v>
      </c>
      <c r="G259" s="840"/>
      <c r="H259" s="599" t="s">
        <v>3329</v>
      </c>
      <c r="I259" s="1919"/>
    </row>
    <row r="260" spans="1:9" s="880" customFormat="1" ht="28.35" customHeight="1">
      <c r="A260" s="1905"/>
      <c r="B260" s="1908"/>
      <c r="C260" s="840"/>
      <c r="D260" s="840" t="s">
        <v>3330</v>
      </c>
      <c r="E260" s="845" t="s">
        <v>3169</v>
      </c>
      <c r="F260" s="840" t="s">
        <v>3331</v>
      </c>
      <c r="G260" s="840" t="s">
        <v>3332</v>
      </c>
      <c r="H260" s="599" t="s">
        <v>3333</v>
      </c>
      <c r="I260" s="1919"/>
    </row>
    <row r="261" spans="1:9" s="880" customFormat="1" ht="28.35" customHeight="1">
      <c r="A261" s="1905"/>
      <c r="B261" s="1908"/>
      <c r="C261" s="840"/>
      <c r="D261" s="840" t="s">
        <v>3334</v>
      </c>
      <c r="E261" s="845" t="s">
        <v>3266</v>
      </c>
      <c r="F261" s="840" t="s">
        <v>3335</v>
      </c>
      <c r="G261" s="840"/>
      <c r="H261" s="599" t="s">
        <v>3336</v>
      </c>
      <c r="I261" s="1919"/>
    </row>
    <row r="262" spans="1:9" s="880" customFormat="1" ht="28.35" customHeight="1">
      <c r="A262" s="1905"/>
      <c r="B262" s="1908"/>
      <c r="C262" s="840"/>
      <c r="D262" s="840" t="s">
        <v>3337</v>
      </c>
      <c r="E262" s="845" t="s">
        <v>3173</v>
      </c>
      <c r="F262" s="840" t="s">
        <v>3338</v>
      </c>
      <c r="G262" s="840"/>
      <c r="H262" s="599" t="s">
        <v>3339</v>
      </c>
      <c r="I262" s="1919"/>
    </row>
    <row r="263" spans="1:9" s="880" customFormat="1" ht="28.35" customHeight="1">
      <c r="A263" s="1905"/>
      <c r="B263" s="1908"/>
      <c r="C263" s="840"/>
      <c r="D263" s="1927" t="s">
        <v>3340</v>
      </c>
      <c r="E263" s="1927"/>
      <c r="F263" s="1927"/>
      <c r="G263" s="1927"/>
      <c r="H263" s="1927"/>
      <c r="I263" s="1928"/>
    </row>
    <row r="264" spans="1:9" s="880" customFormat="1" ht="28.35" customHeight="1">
      <c r="A264" s="1905"/>
      <c r="B264" s="1908"/>
      <c r="C264" s="840"/>
      <c r="D264" s="840" t="s">
        <v>3341</v>
      </c>
      <c r="E264" s="845" t="s">
        <v>3342</v>
      </c>
      <c r="F264" s="840" t="s">
        <v>3343</v>
      </c>
      <c r="G264" s="840"/>
      <c r="H264" s="599" t="s">
        <v>3344</v>
      </c>
      <c r="I264" s="1919" t="s">
        <v>3345</v>
      </c>
    </row>
    <row r="265" spans="1:9" s="880" customFormat="1" ht="28.35" customHeight="1">
      <c r="A265" s="1905"/>
      <c r="B265" s="1908"/>
      <c r="C265" s="840"/>
      <c r="D265" s="840" t="s">
        <v>3346</v>
      </c>
      <c r="E265" s="845" t="s">
        <v>3347</v>
      </c>
      <c r="F265" s="840" t="s">
        <v>3348</v>
      </c>
      <c r="G265" s="840"/>
      <c r="H265" s="599" t="s">
        <v>3349</v>
      </c>
      <c r="I265" s="1919"/>
    </row>
    <row r="266" spans="1:9" s="880" customFormat="1" ht="28.35" customHeight="1">
      <c r="A266" s="1905"/>
      <c r="B266" s="1908"/>
      <c r="C266" s="840"/>
      <c r="D266" s="840" t="s">
        <v>3350</v>
      </c>
      <c r="E266" s="845" t="s">
        <v>3342</v>
      </c>
      <c r="F266" s="840" t="s">
        <v>3351</v>
      </c>
      <c r="G266" s="840"/>
      <c r="H266" s="599" t="s">
        <v>3352</v>
      </c>
      <c r="I266" s="1919"/>
    </row>
    <row r="267" spans="1:9" s="880" customFormat="1" ht="28.35" customHeight="1">
      <c r="A267" s="1905"/>
      <c r="B267" s="1908"/>
      <c r="C267" s="840"/>
      <c r="D267" s="840" t="s">
        <v>3353</v>
      </c>
      <c r="E267" s="845" t="s">
        <v>3354</v>
      </c>
      <c r="F267" s="840" t="s">
        <v>3355</v>
      </c>
      <c r="G267" s="840"/>
      <c r="H267" s="599" t="s">
        <v>3356</v>
      </c>
      <c r="I267" s="1919"/>
    </row>
    <row r="268" spans="1:9" s="880" customFormat="1" ht="28.35" customHeight="1">
      <c r="A268" s="1905"/>
      <c r="B268" s="1908"/>
      <c r="C268" s="840"/>
      <c r="D268" s="1927" t="s">
        <v>3357</v>
      </c>
      <c r="E268" s="1927"/>
      <c r="F268" s="1927"/>
      <c r="G268" s="1927"/>
      <c r="H268" s="1927"/>
      <c r="I268" s="1928"/>
    </row>
    <row r="269" spans="1:9" s="880" customFormat="1" ht="28.35" customHeight="1">
      <c r="A269" s="1905"/>
      <c r="B269" s="1908"/>
      <c r="C269" s="840"/>
      <c r="D269" s="840" t="s">
        <v>3358</v>
      </c>
      <c r="E269" s="845" t="s">
        <v>3359</v>
      </c>
      <c r="F269" s="840" t="s">
        <v>3360</v>
      </c>
      <c r="G269" s="840" t="s">
        <v>3361</v>
      </c>
      <c r="H269" s="599" t="s">
        <v>3362</v>
      </c>
      <c r="I269" s="1919" t="s">
        <v>3363</v>
      </c>
    </row>
    <row r="270" spans="1:9" s="880" customFormat="1" ht="28.35" customHeight="1">
      <c r="A270" s="1905"/>
      <c r="B270" s="1908"/>
      <c r="C270" s="840"/>
      <c r="D270" s="840" t="s">
        <v>3364</v>
      </c>
      <c r="E270" s="845" t="s">
        <v>3365</v>
      </c>
      <c r="F270" s="840" t="s">
        <v>3366</v>
      </c>
      <c r="G270" s="840" t="s">
        <v>3367</v>
      </c>
      <c r="H270" s="599" t="s">
        <v>3368</v>
      </c>
      <c r="I270" s="1919"/>
    </row>
    <row r="271" spans="1:9" s="880" customFormat="1" ht="28.35" customHeight="1">
      <c r="A271" s="1905"/>
      <c r="B271" s="1908"/>
      <c r="C271" s="840"/>
      <c r="D271" s="840" t="s">
        <v>3369</v>
      </c>
      <c r="E271" s="845" t="s">
        <v>3266</v>
      </c>
      <c r="F271" s="840" t="s">
        <v>3370</v>
      </c>
      <c r="G271" s="840"/>
      <c r="H271" s="599" t="s">
        <v>3371</v>
      </c>
      <c r="I271" s="1919"/>
    </row>
    <row r="272" spans="1:9" s="880" customFormat="1" ht="28.35" customHeight="1">
      <c r="A272" s="1905"/>
      <c r="B272" s="1908"/>
      <c r="C272" s="840"/>
      <c r="D272" s="840" t="s">
        <v>3372</v>
      </c>
      <c r="E272" s="845" t="s">
        <v>3178</v>
      </c>
      <c r="F272" s="840" t="s">
        <v>3373</v>
      </c>
      <c r="G272" s="840" t="s">
        <v>3374</v>
      </c>
      <c r="H272" s="599" t="s">
        <v>3375</v>
      </c>
      <c r="I272" s="1919"/>
    </row>
    <row r="273" spans="1:9" s="880" customFormat="1" ht="28.35" customHeight="1">
      <c r="A273" s="1905"/>
      <c r="B273" s="1908"/>
      <c r="C273" s="840"/>
      <c r="D273" s="840" t="s">
        <v>3376</v>
      </c>
      <c r="E273" s="845" t="s">
        <v>3377</v>
      </c>
      <c r="F273" s="840" t="s">
        <v>3378</v>
      </c>
      <c r="G273" s="840"/>
      <c r="H273" s="599" t="s">
        <v>3379</v>
      </c>
      <c r="I273" s="1919"/>
    </row>
    <row r="274" spans="1:9" s="880" customFormat="1" ht="28.35" customHeight="1">
      <c r="A274" s="1905"/>
      <c r="B274" s="1908"/>
      <c r="C274" s="840"/>
      <c r="D274" s="840" t="s">
        <v>3380</v>
      </c>
      <c r="E274" s="845" t="s">
        <v>3173</v>
      </c>
      <c r="F274" s="840" t="s">
        <v>3381</v>
      </c>
      <c r="G274" s="840" t="s">
        <v>3382</v>
      </c>
      <c r="H274" s="599" t="s">
        <v>3383</v>
      </c>
      <c r="I274" s="1919"/>
    </row>
    <row r="275" spans="1:9" s="880" customFormat="1" ht="28.35" customHeight="1">
      <c r="A275" s="1905"/>
      <c r="B275" s="1908"/>
      <c r="C275" s="840"/>
      <c r="D275" s="840" t="s">
        <v>3384</v>
      </c>
      <c r="E275" s="845" t="s">
        <v>3266</v>
      </c>
      <c r="F275" s="840" t="s">
        <v>3385</v>
      </c>
      <c r="G275" s="840" t="s">
        <v>3386</v>
      </c>
      <c r="H275" s="599" t="s">
        <v>3387</v>
      </c>
      <c r="I275" s="1919"/>
    </row>
    <row r="276" spans="1:9" s="880" customFormat="1" ht="28.35" customHeight="1">
      <c r="A276" s="1905"/>
      <c r="B276" s="1908"/>
      <c r="C276" s="840"/>
      <c r="D276" s="840" t="s">
        <v>3388</v>
      </c>
      <c r="E276" s="845" t="s">
        <v>3140</v>
      </c>
      <c r="F276" s="840" t="s">
        <v>3389</v>
      </c>
      <c r="G276" s="840" t="s">
        <v>3390</v>
      </c>
      <c r="H276" s="599" t="s">
        <v>3391</v>
      </c>
      <c r="I276" s="1919"/>
    </row>
    <row r="277" spans="1:9" s="880" customFormat="1" ht="28.35" customHeight="1">
      <c r="A277" s="1905"/>
      <c r="B277" s="1908"/>
      <c r="C277" s="840"/>
      <c r="D277" s="840" t="s">
        <v>3392</v>
      </c>
      <c r="E277" s="845" t="s">
        <v>3042</v>
      </c>
      <c r="F277" s="840" t="s">
        <v>3393</v>
      </c>
      <c r="G277" s="840"/>
      <c r="H277" s="599" t="s">
        <v>3394</v>
      </c>
      <c r="I277" s="1919"/>
    </row>
    <row r="278" spans="1:9" s="880" customFormat="1" ht="28.35" customHeight="1">
      <c r="A278" s="1905"/>
      <c r="B278" s="1908"/>
      <c r="C278" s="840"/>
      <c r="D278" s="840" t="s">
        <v>3395</v>
      </c>
      <c r="E278" s="845" t="s">
        <v>3169</v>
      </c>
      <c r="F278" s="840" t="s">
        <v>3396</v>
      </c>
      <c r="G278" s="840" t="s">
        <v>3397</v>
      </c>
      <c r="H278" s="599" t="s">
        <v>3398</v>
      </c>
      <c r="I278" s="1919"/>
    </row>
    <row r="279" spans="1:9" s="880" customFormat="1" ht="28.35" customHeight="1">
      <c r="A279" s="1905"/>
      <c r="B279" s="1908"/>
      <c r="C279" s="840"/>
      <c r="D279" s="840" t="s">
        <v>3399</v>
      </c>
      <c r="E279" s="845" t="s">
        <v>3042</v>
      </c>
      <c r="F279" s="840" t="s">
        <v>3400</v>
      </c>
      <c r="G279" s="840"/>
      <c r="H279" s="600" t="s">
        <v>3401</v>
      </c>
      <c r="I279" s="1919"/>
    </row>
    <row r="280" spans="1:9" s="880" customFormat="1" ht="28.35" customHeight="1">
      <c r="A280" s="1905"/>
      <c r="B280" s="1908"/>
      <c r="C280" s="840"/>
      <c r="D280" s="840" t="s">
        <v>3402</v>
      </c>
      <c r="E280" s="845" t="s">
        <v>3140</v>
      </c>
      <c r="F280" s="840" t="s">
        <v>3403</v>
      </c>
      <c r="G280" s="840" t="s">
        <v>3404</v>
      </c>
      <c r="H280" s="599" t="s">
        <v>3405</v>
      </c>
      <c r="I280" s="1919"/>
    </row>
    <row r="281" spans="1:9" s="880" customFormat="1" ht="28.35" customHeight="1">
      <c r="A281" s="1905"/>
      <c r="B281" s="1908"/>
      <c r="C281" s="840"/>
      <c r="D281" s="840" t="s">
        <v>3406</v>
      </c>
      <c r="E281" s="845" t="s">
        <v>3407</v>
      </c>
      <c r="F281" s="840" t="s">
        <v>3408</v>
      </c>
      <c r="G281" s="840" t="s">
        <v>3409</v>
      </c>
      <c r="H281" s="599" t="s">
        <v>3410</v>
      </c>
      <c r="I281" s="1919"/>
    </row>
    <row r="282" spans="1:9" s="880" customFormat="1" ht="28.35" customHeight="1">
      <c r="A282" s="1905"/>
      <c r="B282" s="1908"/>
      <c r="C282" s="840"/>
      <c r="D282" s="840" t="s">
        <v>3411</v>
      </c>
      <c r="E282" s="845" t="s">
        <v>3140</v>
      </c>
      <c r="F282" s="840" t="s">
        <v>3412</v>
      </c>
      <c r="G282" s="840" t="s">
        <v>3413</v>
      </c>
      <c r="H282" s="599" t="s">
        <v>3414</v>
      </c>
      <c r="I282" s="1919"/>
    </row>
    <row r="283" spans="1:9" s="880" customFormat="1" ht="28.35" customHeight="1">
      <c r="A283" s="1905"/>
      <c r="B283" s="1908"/>
      <c r="C283" s="840"/>
      <c r="D283" s="1927" t="s">
        <v>3415</v>
      </c>
      <c r="E283" s="1927"/>
      <c r="F283" s="1927"/>
      <c r="G283" s="1927"/>
      <c r="H283" s="1927"/>
      <c r="I283" s="1928"/>
    </row>
    <row r="284" spans="1:9" s="880" customFormat="1" ht="28.35" customHeight="1">
      <c r="A284" s="1905"/>
      <c r="B284" s="1908"/>
      <c r="C284" s="840"/>
      <c r="D284" s="840" t="s">
        <v>3416</v>
      </c>
      <c r="E284" s="845" t="s">
        <v>3417</v>
      </c>
      <c r="F284" s="840" t="s">
        <v>3418</v>
      </c>
      <c r="G284" s="840" t="s">
        <v>3419</v>
      </c>
      <c r="H284" s="600" t="s">
        <v>3420</v>
      </c>
      <c r="I284" s="1919" t="s">
        <v>3421</v>
      </c>
    </row>
    <row r="285" spans="1:9" s="880" customFormat="1" ht="28.35" customHeight="1">
      <c r="A285" s="1905"/>
      <c r="B285" s="1908"/>
      <c r="C285" s="840"/>
      <c r="D285" s="840" t="s">
        <v>3422</v>
      </c>
      <c r="E285" s="845" t="s">
        <v>3173</v>
      </c>
      <c r="F285" s="840" t="s">
        <v>3423</v>
      </c>
      <c r="G285" s="840" t="s">
        <v>3419</v>
      </c>
      <c r="H285" s="600" t="s">
        <v>3424</v>
      </c>
      <c r="I285" s="1919"/>
    </row>
    <row r="286" spans="1:9" s="880" customFormat="1" ht="28.35" customHeight="1">
      <c r="A286" s="1905"/>
      <c r="B286" s="1908"/>
      <c r="C286" s="840"/>
      <c r="D286" s="840" t="s">
        <v>3425</v>
      </c>
      <c r="E286" s="845" t="s">
        <v>3291</v>
      </c>
      <c r="F286" s="840" t="s">
        <v>3426</v>
      </c>
      <c r="G286" s="840"/>
      <c r="H286" s="600" t="s">
        <v>3427</v>
      </c>
      <c r="I286" s="1919"/>
    </row>
    <row r="287" spans="1:9" s="880" customFormat="1" ht="28.35" customHeight="1">
      <c r="A287" s="1905"/>
      <c r="B287" s="1908"/>
      <c r="C287" s="840"/>
      <c r="D287" s="1927" t="s">
        <v>3428</v>
      </c>
      <c r="E287" s="1927"/>
      <c r="F287" s="1927"/>
      <c r="G287" s="1927"/>
      <c r="H287" s="1927"/>
      <c r="I287" s="1928"/>
    </row>
    <row r="288" spans="1:9" s="880" customFormat="1" ht="43.5" customHeight="1">
      <c r="A288" s="1905"/>
      <c r="B288" s="1908"/>
      <c r="C288" s="840"/>
      <c r="D288" s="840" t="s">
        <v>3429</v>
      </c>
      <c r="E288" s="845" t="s">
        <v>3430</v>
      </c>
      <c r="F288" s="840" t="s">
        <v>3431</v>
      </c>
      <c r="G288" s="840"/>
      <c r="H288" s="600" t="s">
        <v>3432</v>
      </c>
      <c r="I288" s="1919" t="s">
        <v>3433</v>
      </c>
    </row>
    <row r="289" spans="1:37" s="880" customFormat="1" ht="28.35" customHeight="1">
      <c r="A289" s="1905"/>
      <c r="B289" s="1908"/>
      <c r="C289" s="840"/>
      <c r="D289" s="840" t="s">
        <v>3434</v>
      </c>
      <c r="E289" s="845" t="s">
        <v>3173</v>
      </c>
      <c r="F289" s="840" t="s">
        <v>3435</v>
      </c>
      <c r="G289" s="840" t="s">
        <v>3436</v>
      </c>
      <c r="H289" s="600" t="s">
        <v>3437</v>
      </c>
      <c r="I289" s="1919"/>
    </row>
    <row r="290" spans="1:37" s="880" customFormat="1" ht="28.35" customHeight="1">
      <c r="A290" s="1905"/>
      <c r="B290" s="1908"/>
      <c r="C290" s="840"/>
      <c r="D290" s="840" t="s">
        <v>3438</v>
      </c>
      <c r="E290" s="845" t="s">
        <v>3439</v>
      </c>
      <c r="F290" s="840" t="s">
        <v>3440</v>
      </c>
      <c r="G290" s="840"/>
      <c r="H290" s="600" t="s">
        <v>3441</v>
      </c>
      <c r="I290" s="1919"/>
    </row>
    <row r="291" spans="1:37" s="880" customFormat="1" ht="28.35" customHeight="1" thickBot="1">
      <c r="A291" s="1905"/>
      <c r="B291" s="1908"/>
      <c r="C291" s="840"/>
      <c r="D291" s="840" t="s">
        <v>3442</v>
      </c>
      <c r="E291" s="845" t="s">
        <v>3443</v>
      </c>
      <c r="F291" s="840" t="s">
        <v>3444</v>
      </c>
      <c r="G291" s="840"/>
      <c r="H291" s="600" t="s">
        <v>3445</v>
      </c>
      <c r="I291" s="1919"/>
    </row>
    <row r="292" spans="1:37" s="882" customFormat="1" ht="29.25" customHeight="1">
      <c r="A292" s="1894" t="s">
        <v>3446</v>
      </c>
      <c r="B292" s="1897" t="s">
        <v>3447</v>
      </c>
      <c r="C292" s="1920" t="s">
        <v>2750</v>
      </c>
      <c r="D292" s="1920"/>
      <c r="E292" s="1921"/>
      <c r="F292" s="1921"/>
      <c r="G292" s="1921"/>
      <c r="H292" s="1921"/>
      <c r="I292" s="1922"/>
      <c r="J292" s="881"/>
      <c r="K292" s="881"/>
      <c r="L292" s="881"/>
      <c r="M292" s="881"/>
      <c r="N292" s="881"/>
      <c r="O292" s="881"/>
      <c r="P292" s="881"/>
      <c r="Q292" s="881"/>
      <c r="R292" s="881"/>
      <c r="S292" s="881"/>
      <c r="T292" s="881"/>
      <c r="U292" s="881"/>
      <c r="V292" s="881"/>
      <c r="W292" s="881"/>
      <c r="X292" s="881"/>
      <c r="Y292" s="881"/>
      <c r="Z292" s="881"/>
      <c r="AA292" s="881"/>
      <c r="AB292" s="881"/>
      <c r="AC292" s="881"/>
      <c r="AD292" s="881"/>
      <c r="AE292" s="881"/>
      <c r="AF292" s="881"/>
      <c r="AG292" s="881"/>
      <c r="AH292" s="881"/>
      <c r="AI292" s="881"/>
      <c r="AJ292" s="881"/>
      <c r="AK292" s="881"/>
    </row>
    <row r="293" spans="1:37" s="844" customFormat="1" ht="28.35" customHeight="1">
      <c r="A293" s="1895"/>
      <c r="B293" s="1898"/>
      <c r="C293" s="840" t="s">
        <v>2518</v>
      </c>
      <c r="D293" s="840" t="s">
        <v>4274</v>
      </c>
      <c r="E293" s="845" t="s">
        <v>4275</v>
      </c>
      <c r="F293" s="840" t="s">
        <v>4277</v>
      </c>
      <c r="G293" s="840" t="s">
        <v>72</v>
      </c>
      <c r="H293" s="600" t="s">
        <v>4276</v>
      </c>
      <c r="I293" s="1919" t="s">
        <v>3453</v>
      </c>
    </row>
    <row r="294" spans="1:37" s="844" customFormat="1" ht="28.35" customHeight="1">
      <c r="A294" s="1895"/>
      <c r="B294" s="1898"/>
      <c r="C294" s="916"/>
      <c r="D294" s="916" t="s">
        <v>3448</v>
      </c>
      <c r="E294" s="917" t="s">
        <v>3449</v>
      </c>
      <c r="F294" s="916" t="s">
        <v>3450</v>
      </c>
      <c r="G294" s="916" t="s">
        <v>3451</v>
      </c>
      <c r="H294" s="600" t="s">
        <v>3452</v>
      </c>
      <c r="I294" s="1919"/>
    </row>
    <row r="295" spans="1:37" s="844" customFormat="1" ht="28.35" customHeight="1">
      <c r="A295" s="1895"/>
      <c r="B295" s="1898"/>
      <c r="C295" s="840" t="s">
        <v>2518</v>
      </c>
      <c r="D295" s="840" t="s">
        <v>3454</v>
      </c>
      <c r="E295" s="845" t="s">
        <v>3455</v>
      </c>
      <c r="F295" s="840" t="s">
        <v>3456</v>
      </c>
      <c r="G295" s="840" t="s">
        <v>72</v>
      </c>
      <c r="H295" s="600" t="s">
        <v>3457</v>
      </c>
      <c r="I295" s="1919"/>
    </row>
    <row r="296" spans="1:37" s="844" customFormat="1" ht="28.35" customHeight="1">
      <c r="A296" s="1895"/>
      <c r="B296" s="1898"/>
      <c r="C296" s="840" t="s">
        <v>2518</v>
      </c>
      <c r="D296" s="840" t="s">
        <v>3458</v>
      </c>
      <c r="E296" s="845" t="s">
        <v>3459</v>
      </c>
      <c r="F296" s="840" t="s">
        <v>3460</v>
      </c>
      <c r="G296" s="840" t="s">
        <v>72</v>
      </c>
      <c r="H296" s="600" t="s">
        <v>3461</v>
      </c>
      <c r="I296" s="1919"/>
    </row>
    <row r="297" spans="1:37" s="844" customFormat="1" ht="28.35" customHeight="1">
      <c r="A297" s="1895"/>
      <c r="B297" s="1898"/>
      <c r="C297" s="840" t="s">
        <v>2518</v>
      </c>
      <c r="D297" s="840" t="s">
        <v>3462</v>
      </c>
      <c r="E297" s="845" t="s">
        <v>3042</v>
      </c>
      <c r="F297" s="840" t="s">
        <v>3463</v>
      </c>
      <c r="G297" s="840" t="s">
        <v>3451</v>
      </c>
      <c r="H297" s="600" t="s">
        <v>3464</v>
      </c>
      <c r="I297" s="1919"/>
    </row>
    <row r="298" spans="1:37" s="844" customFormat="1" ht="28.35" customHeight="1">
      <c r="A298" s="1895"/>
      <c r="B298" s="1898"/>
      <c r="C298" s="939"/>
      <c r="D298" s="939" t="s">
        <v>4341</v>
      </c>
      <c r="E298" s="940" t="s">
        <v>3031</v>
      </c>
      <c r="F298" s="939" t="s">
        <v>72</v>
      </c>
      <c r="G298" s="983" t="s">
        <v>72</v>
      </c>
      <c r="H298" s="600" t="s">
        <v>4340</v>
      </c>
      <c r="I298" s="1923"/>
    </row>
    <row r="299" spans="1:37" s="844" customFormat="1" ht="28.35" customHeight="1">
      <c r="A299" s="1895"/>
      <c r="B299" s="1898"/>
      <c r="C299" s="840"/>
      <c r="D299" s="840" t="s">
        <v>3465</v>
      </c>
      <c r="E299" s="845" t="s">
        <v>3466</v>
      </c>
      <c r="F299" s="840" t="s">
        <v>3467</v>
      </c>
      <c r="G299" s="840" t="s">
        <v>72</v>
      </c>
      <c r="H299" s="600" t="s">
        <v>3468</v>
      </c>
      <c r="I299" s="1919"/>
    </row>
    <row r="300" spans="1:37" s="844" customFormat="1" ht="28.35" customHeight="1">
      <c r="A300" s="1895"/>
      <c r="B300" s="1898"/>
      <c r="C300" s="840"/>
      <c r="D300" s="840" t="s">
        <v>3469</v>
      </c>
      <c r="E300" s="845" t="s">
        <v>3470</v>
      </c>
      <c r="F300" s="840" t="s">
        <v>3471</v>
      </c>
      <c r="G300" s="840" t="s">
        <v>72</v>
      </c>
      <c r="H300" s="600" t="s">
        <v>3472</v>
      </c>
      <c r="I300" s="1919"/>
    </row>
    <row r="301" spans="1:37" s="844" customFormat="1" ht="28.35" customHeight="1">
      <c r="A301" s="1895"/>
      <c r="B301" s="1898"/>
      <c r="C301" s="840" t="s">
        <v>2518</v>
      </c>
      <c r="D301" s="840" t="s">
        <v>3473</v>
      </c>
      <c r="E301" s="845"/>
      <c r="F301" s="840"/>
      <c r="G301" s="840"/>
      <c r="H301" s="600" t="s">
        <v>3474</v>
      </c>
      <c r="I301" s="1919"/>
    </row>
    <row r="302" spans="1:37" s="844" customFormat="1" ht="28.35" customHeight="1">
      <c r="A302" s="1895"/>
      <c r="B302" s="1898"/>
      <c r="C302" s="840" t="s">
        <v>2518</v>
      </c>
      <c r="D302" s="840" t="s">
        <v>3475</v>
      </c>
      <c r="E302" s="845" t="s">
        <v>3476</v>
      </c>
      <c r="F302" s="840" t="s">
        <v>3477</v>
      </c>
      <c r="G302" s="840" t="s">
        <v>72</v>
      </c>
      <c r="H302" s="600" t="s">
        <v>3478</v>
      </c>
      <c r="I302" s="1919" t="s">
        <v>3479</v>
      </c>
    </row>
    <row r="303" spans="1:37" s="844" customFormat="1" ht="28.35" customHeight="1">
      <c r="A303" s="1895"/>
      <c r="B303" s="1898"/>
      <c r="C303" s="840"/>
      <c r="D303" s="840" t="s">
        <v>3480</v>
      </c>
      <c r="E303" s="845" t="s">
        <v>3042</v>
      </c>
      <c r="F303" s="840" t="s">
        <v>3481</v>
      </c>
      <c r="G303" s="840" t="s">
        <v>3482</v>
      </c>
      <c r="H303" s="600" t="s">
        <v>3483</v>
      </c>
      <c r="I303" s="1919"/>
    </row>
    <row r="304" spans="1:37" s="844" customFormat="1" ht="28.35" customHeight="1">
      <c r="A304" s="1895"/>
      <c r="B304" s="1898"/>
      <c r="C304" s="840" t="s">
        <v>2518</v>
      </c>
      <c r="D304" s="840" t="s">
        <v>3484</v>
      </c>
      <c r="E304" s="845" t="s">
        <v>3470</v>
      </c>
      <c r="F304" s="840" t="s">
        <v>3485</v>
      </c>
      <c r="G304" s="840" t="s">
        <v>72</v>
      </c>
      <c r="H304" s="600" t="s">
        <v>3486</v>
      </c>
      <c r="I304" s="1919"/>
    </row>
    <row r="305" spans="1:37" s="844" customFormat="1" ht="28.35" customHeight="1">
      <c r="A305" s="1895"/>
      <c r="B305" s="1898"/>
      <c r="C305" s="840" t="s">
        <v>2518</v>
      </c>
      <c r="D305" s="840" t="s">
        <v>3487</v>
      </c>
      <c r="E305" s="845" t="s">
        <v>3455</v>
      </c>
      <c r="F305" s="840" t="s">
        <v>3488</v>
      </c>
      <c r="G305" s="840" t="s">
        <v>3482</v>
      </c>
      <c r="H305" s="600" t="s">
        <v>3489</v>
      </c>
      <c r="I305" s="1919"/>
    </row>
    <row r="306" spans="1:37" s="844" customFormat="1" ht="28.35" customHeight="1">
      <c r="A306" s="1895"/>
      <c r="B306" s="1898"/>
      <c r="C306" s="840" t="s">
        <v>2518</v>
      </c>
      <c r="D306" s="840" t="s">
        <v>3490</v>
      </c>
      <c r="E306" s="845" t="s">
        <v>3491</v>
      </c>
      <c r="F306" s="840" t="s">
        <v>3492</v>
      </c>
      <c r="G306" s="840" t="s">
        <v>3482</v>
      </c>
      <c r="H306" s="600" t="s">
        <v>3493</v>
      </c>
      <c r="I306" s="1919"/>
    </row>
    <row r="307" spans="1:37" s="844" customFormat="1" ht="28.35" customHeight="1">
      <c r="A307" s="1895"/>
      <c r="B307" s="1898"/>
      <c r="C307" s="939"/>
      <c r="D307" s="939" t="s">
        <v>4310</v>
      </c>
      <c r="E307" s="946" t="s">
        <v>4311</v>
      </c>
      <c r="F307" s="939" t="s">
        <v>4312</v>
      </c>
      <c r="G307" s="939" t="s">
        <v>72</v>
      </c>
      <c r="H307" s="600" t="s">
        <v>4313</v>
      </c>
      <c r="I307" s="1932" t="s">
        <v>3498</v>
      </c>
    </row>
    <row r="308" spans="1:37" s="844" customFormat="1" ht="28.35" customHeight="1">
      <c r="A308" s="1895"/>
      <c r="B308" s="1898"/>
      <c r="C308" s="840" t="s">
        <v>2518</v>
      </c>
      <c r="D308" s="840" t="s">
        <v>3494</v>
      </c>
      <c r="E308" s="845" t="s">
        <v>3495</v>
      </c>
      <c r="F308" s="840" t="s">
        <v>3496</v>
      </c>
      <c r="G308" s="840" t="s">
        <v>72</v>
      </c>
      <c r="H308" s="600" t="s">
        <v>3497</v>
      </c>
      <c r="I308" s="1911"/>
    </row>
    <row r="309" spans="1:37" s="844" customFormat="1" ht="28.35" customHeight="1">
      <c r="A309" s="1895"/>
      <c r="B309" s="1898"/>
      <c r="C309" s="840"/>
      <c r="D309" s="840" t="s">
        <v>3573</v>
      </c>
      <c r="E309" s="845" t="s">
        <v>3042</v>
      </c>
      <c r="F309" s="840" t="s">
        <v>3574</v>
      </c>
      <c r="G309" s="840" t="s">
        <v>72</v>
      </c>
      <c r="H309" s="600" t="s">
        <v>3575</v>
      </c>
      <c r="I309" s="1911"/>
    </row>
    <row r="310" spans="1:37" s="844" customFormat="1" ht="28.35" customHeight="1">
      <c r="A310" s="1895"/>
      <c r="B310" s="1898"/>
      <c r="C310" s="840"/>
      <c r="D310" s="840" t="s">
        <v>3576</v>
      </c>
      <c r="E310" s="845" t="s">
        <v>3173</v>
      </c>
      <c r="F310" s="840" t="s">
        <v>3577</v>
      </c>
      <c r="G310" s="840" t="s">
        <v>72</v>
      </c>
      <c r="H310" s="600" t="s">
        <v>3578</v>
      </c>
      <c r="I310" s="1911"/>
    </row>
    <row r="311" spans="1:37" s="844" customFormat="1" ht="28.35" customHeight="1">
      <c r="A311" s="1895"/>
      <c r="B311" s="1898"/>
      <c r="C311" s="840"/>
      <c r="D311" s="840" t="s">
        <v>3569</v>
      </c>
      <c r="E311" s="845" t="s">
        <v>3570</v>
      </c>
      <c r="F311" s="840" t="s">
        <v>3571</v>
      </c>
      <c r="G311" s="840" t="s">
        <v>72</v>
      </c>
      <c r="H311" s="600" t="s">
        <v>3572</v>
      </c>
      <c r="I311" s="1911"/>
    </row>
    <row r="312" spans="1:37" s="844" customFormat="1" ht="28.35" customHeight="1">
      <c r="A312" s="1895"/>
      <c r="B312" s="1898"/>
      <c r="C312" s="840" t="s">
        <v>2518</v>
      </c>
      <c r="D312" s="840" t="s">
        <v>3499</v>
      </c>
      <c r="E312" s="845" t="s">
        <v>3500</v>
      </c>
      <c r="F312" s="745" t="s">
        <v>3589</v>
      </c>
      <c r="G312" s="945" t="s">
        <v>72</v>
      </c>
      <c r="H312" s="600" t="s">
        <v>3501</v>
      </c>
      <c r="I312" s="1911"/>
    </row>
    <row r="313" spans="1:37" s="844" customFormat="1" ht="28.35" customHeight="1">
      <c r="A313" s="1895"/>
      <c r="B313" s="1898"/>
      <c r="C313" s="939"/>
      <c r="D313" s="939" t="s">
        <v>4309</v>
      </c>
      <c r="E313" s="940" t="s">
        <v>4306</v>
      </c>
      <c r="F313" s="939" t="s">
        <v>4307</v>
      </c>
      <c r="G313" s="945" t="s">
        <v>72</v>
      </c>
      <c r="H313" s="600" t="s">
        <v>4308</v>
      </c>
      <c r="I313" s="1913"/>
    </row>
    <row r="314" spans="1:37" s="844" customFormat="1" ht="38.25" customHeight="1">
      <c r="A314" s="1895"/>
      <c r="B314" s="1898"/>
      <c r="C314" s="1924" t="s">
        <v>2556</v>
      </c>
      <c r="D314" s="1924"/>
      <c r="E314" s="1925"/>
      <c r="F314" s="1925"/>
      <c r="G314" s="1925"/>
      <c r="H314" s="1925"/>
      <c r="I314" s="1926"/>
      <c r="J314" s="625"/>
      <c r="K314" s="625"/>
      <c r="L314" s="625"/>
      <c r="M314" s="625"/>
      <c r="N314" s="625"/>
      <c r="O314" s="625"/>
      <c r="P314" s="625"/>
      <c r="Q314" s="625"/>
      <c r="R314" s="625"/>
      <c r="S314" s="625"/>
      <c r="T314" s="625"/>
      <c r="U314" s="625"/>
      <c r="V314" s="625"/>
      <c r="W314" s="625"/>
      <c r="X314" s="625"/>
      <c r="Y314" s="625"/>
      <c r="Z314" s="625"/>
      <c r="AA314" s="625"/>
      <c r="AB314" s="625"/>
      <c r="AC314" s="625"/>
      <c r="AD314" s="625"/>
      <c r="AE314" s="625"/>
      <c r="AF314" s="625"/>
      <c r="AG314" s="625"/>
      <c r="AH314" s="625"/>
      <c r="AI314" s="625"/>
      <c r="AJ314" s="625"/>
      <c r="AK314" s="625"/>
    </row>
    <row r="315" spans="1:37" s="880" customFormat="1" ht="28.35" customHeight="1">
      <c r="A315" s="1895"/>
      <c r="B315" s="1898"/>
      <c r="C315" s="840" t="s">
        <v>2557</v>
      </c>
      <c r="D315" s="840" t="s">
        <v>3502</v>
      </c>
      <c r="E315" s="845" t="s">
        <v>3502</v>
      </c>
      <c r="F315" s="840" t="s">
        <v>3503</v>
      </c>
      <c r="G315" s="840" t="s">
        <v>72</v>
      </c>
      <c r="H315" s="600" t="s">
        <v>3504</v>
      </c>
      <c r="I315" s="846"/>
    </row>
    <row r="316" spans="1:37" s="880" customFormat="1" ht="28.35" customHeight="1" thickBot="1">
      <c r="A316" s="1896"/>
      <c r="B316" s="1899"/>
      <c r="C316" s="857" t="s">
        <v>2557</v>
      </c>
      <c r="D316" s="857" t="s">
        <v>3505</v>
      </c>
      <c r="E316" s="858" t="s">
        <v>3505</v>
      </c>
      <c r="F316" s="857" t="s">
        <v>3506</v>
      </c>
      <c r="G316" s="857" t="s">
        <v>72</v>
      </c>
      <c r="H316" s="617" t="s">
        <v>3507</v>
      </c>
      <c r="I316" s="849"/>
    </row>
    <row r="317" spans="1:37" s="882" customFormat="1" ht="29.25" customHeight="1" thickBot="1">
      <c r="A317" s="1904" t="s">
        <v>3508</v>
      </c>
      <c r="B317" s="1907" t="s">
        <v>3509</v>
      </c>
      <c r="C317" s="1900" t="s">
        <v>2750</v>
      </c>
      <c r="D317" s="1901"/>
      <c r="E317" s="1902"/>
      <c r="F317" s="1902"/>
      <c r="G317" s="1902"/>
      <c r="H317" s="1902"/>
      <c r="I317" s="1903"/>
      <c r="J317" s="881"/>
      <c r="K317" s="881"/>
      <c r="L317" s="881"/>
      <c r="M317" s="881"/>
      <c r="N317" s="881"/>
      <c r="O317" s="881"/>
      <c r="P317" s="881"/>
      <c r="Q317" s="881"/>
      <c r="R317" s="881"/>
      <c r="S317" s="881"/>
      <c r="T317" s="881"/>
      <c r="U317" s="881"/>
      <c r="V317" s="881"/>
      <c r="W317" s="881"/>
      <c r="X317" s="881"/>
      <c r="Y317" s="881"/>
      <c r="Z317" s="881"/>
      <c r="AA317" s="881"/>
      <c r="AB317" s="881"/>
      <c r="AC317" s="881"/>
      <c r="AD317" s="881"/>
      <c r="AE317" s="881"/>
      <c r="AF317" s="881"/>
      <c r="AG317" s="881"/>
      <c r="AH317" s="881"/>
      <c r="AI317" s="881"/>
      <c r="AJ317" s="881"/>
      <c r="AK317" s="881"/>
    </row>
    <row r="318" spans="1:37" s="844" customFormat="1" ht="28.35" customHeight="1">
      <c r="A318" s="1905"/>
      <c r="B318" s="1908"/>
      <c r="C318" s="841" t="s">
        <v>2518</v>
      </c>
      <c r="D318" s="841" t="s">
        <v>3510</v>
      </c>
      <c r="E318" s="842" t="s">
        <v>3511</v>
      </c>
      <c r="F318" s="841" t="s">
        <v>3512</v>
      </c>
      <c r="G318" s="841"/>
      <c r="H318" s="618" t="s">
        <v>3513</v>
      </c>
      <c r="I318" s="1910" t="s">
        <v>3514</v>
      </c>
    </row>
    <row r="319" spans="1:37" s="844" customFormat="1" ht="28.35" customHeight="1">
      <c r="A319" s="1905"/>
      <c r="B319" s="1908"/>
      <c r="C319" s="861" t="s">
        <v>2518</v>
      </c>
      <c r="D319" s="861" t="s">
        <v>3515</v>
      </c>
      <c r="E319" s="862"/>
      <c r="F319" s="861"/>
      <c r="G319" s="861"/>
      <c r="H319" s="609" t="s">
        <v>3516</v>
      </c>
      <c r="I319" s="1911"/>
    </row>
    <row r="320" spans="1:37" s="844" customFormat="1" ht="28.35" customHeight="1">
      <c r="A320" s="1905"/>
      <c r="B320" s="1908"/>
      <c r="C320" s="861" t="s">
        <v>2518</v>
      </c>
      <c r="D320" s="861" t="s">
        <v>3517</v>
      </c>
      <c r="E320" s="862" t="s">
        <v>3518</v>
      </c>
      <c r="F320" s="861" t="s">
        <v>3519</v>
      </c>
      <c r="G320" s="861" t="s">
        <v>3520</v>
      </c>
      <c r="H320" s="609" t="s">
        <v>3521</v>
      </c>
      <c r="I320" s="1911"/>
    </row>
    <row r="321" spans="1:37" s="844" customFormat="1" ht="28.35" customHeight="1">
      <c r="A321" s="1905"/>
      <c r="B321" s="1908"/>
      <c r="C321" s="861" t="s">
        <v>2518</v>
      </c>
      <c r="D321" s="861" t="s">
        <v>3522</v>
      </c>
      <c r="E321" s="862" t="s">
        <v>3523</v>
      </c>
      <c r="F321" s="861" t="s">
        <v>3524</v>
      </c>
      <c r="G321" s="861" t="s">
        <v>3520</v>
      </c>
      <c r="H321" s="931" t="s">
        <v>3525</v>
      </c>
      <c r="I321" s="1911"/>
    </row>
    <row r="322" spans="1:37" s="844" customFormat="1" ht="28.35" customHeight="1">
      <c r="A322" s="1905"/>
      <c r="B322" s="1908"/>
      <c r="C322" s="847" t="s">
        <v>2518</v>
      </c>
      <c r="D322" s="847" t="s">
        <v>3526</v>
      </c>
      <c r="E322" s="848" t="s">
        <v>3466</v>
      </c>
      <c r="F322" s="847" t="s">
        <v>3527</v>
      </c>
      <c r="G322" s="847" t="s">
        <v>72</v>
      </c>
      <c r="H322" s="601" t="s">
        <v>3528</v>
      </c>
      <c r="I322" s="1911"/>
    </row>
    <row r="323" spans="1:37" s="844" customFormat="1" ht="28.35" customHeight="1">
      <c r="A323" s="1905"/>
      <c r="B323" s="1908"/>
      <c r="C323" s="847" t="s">
        <v>2518</v>
      </c>
      <c r="D323" s="847" t="s">
        <v>3529</v>
      </c>
      <c r="E323" s="848" t="s">
        <v>3470</v>
      </c>
      <c r="F323" s="847" t="s">
        <v>3530</v>
      </c>
      <c r="G323" s="847" t="s">
        <v>72</v>
      </c>
      <c r="H323" s="601" t="s">
        <v>3531</v>
      </c>
      <c r="I323" s="1911"/>
    </row>
    <row r="324" spans="1:37" s="844" customFormat="1" ht="28.35" customHeight="1">
      <c r="A324" s="1905"/>
      <c r="B324" s="1908"/>
      <c r="C324" s="847" t="s">
        <v>2518</v>
      </c>
      <c r="D324" s="847" t="s">
        <v>3532</v>
      </c>
      <c r="E324" s="848" t="s">
        <v>3533</v>
      </c>
      <c r="F324" s="847" t="s">
        <v>3534</v>
      </c>
      <c r="G324" s="847" t="s">
        <v>3520</v>
      </c>
      <c r="H324" s="601" t="s">
        <v>3535</v>
      </c>
      <c r="I324" s="1911"/>
    </row>
    <row r="325" spans="1:37" s="844" customFormat="1" ht="28.35" customHeight="1">
      <c r="A325" s="1905"/>
      <c r="B325" s="1908"/>
      <c r="C325" s="847" t="s">
        <v>2518</v>
      </c>
      <c r="D325" s="847" t="s">
        <v>3536</v>
      </c>
      <c r="E325" s="848" t="s">
        <v>3537</v>
      </c>
      <c r="F325" s="847" t="s">
        <v>3538</v>
      </c>
      <c r="G325" s="847" t="s">
        <v>3520</v>
      </c>
      <c r="H325" s="601" t="s">
        <v>3539</v>
      </c>
      <c r="I325" s="1911"/>
    </row>
    <row r="326" spans="1:37" s="844" customFormat="1" ht="28.35" customHeight="1">
      <c r="A326" s="1905"/>
      <c r="B326" s="1908"/>
      <c r="C326" s="847"/>
      <c r="D326" s="847" t="s">
        <v>3540</v>
      </c>
      <c r="E326" s="848" t="s">
        <v>3470</v>
      </c>
      <c r="F326" s="847" t="s">
        <v>3541</v>
      </c>
      <c r="G326" s="847"/>
      <c r="H326" s="601" t="s">
        <v>3542</v>
      </c>
      <c r="I326" s="1911"/>
    </row>
    <row r="327" spans="1:37" s="844" customFormat="1" ht="28.35" customHeight="1">
      <c r="A327" s="1905"/>
      <c r="B327" s="1908"/>
      <c r="C327" s="847" t="s">
        <v>2518</v>
      </c>
      <c r="D327" s="847" t="s">
        <v>3543</v>
      </c>
      <c r="E327" s="848"/>
      <c r="F327" s="847"/>
      <c r="G327" s="847"/>
      <c r="H327" s="601" t="s">
        <v>3544</v>
      </c>
      <c r="I327" s="1911"/>
    </row>
    <row r="328" spans="1:37" s="844" customFormat="1" ht="28.35" customHeight="1">
      <c r="A328" s="1905"/>
      <c r="B328" s="1908"/>
      <c r="C328" s="883"/>
      <c r="D328" s="847" t="s">
        <v>3623</v>
      </c>
      <c r="E328" s="848" t="s">
        <v>3173</v>
      </c>
      <c r="F328" s="847" t="s">
        <v>3624</v>
      </c>
      <c r="G328" s="847" t="s">
        <v>3625</v>
      </c>
      <c r="H328" s="601" t="s">
        <v>3626</v>
      </c>
      <c r="I328" s="1912" t="s">
        <v>3627</v>
      </c>
    </row>
    <row r="329" spans="1:37" s="844" customFormat="1" ht="28.35" customHeight="1">
      <c r="A329" s="1905"/>
      <c r="B329" s="1908"/>
      <c r="C329" s="883"/>
      <c r="D329" s="847" t="s">
        <v>4556</v>
      </c>
      <c r="E329" s="848" t="s">
        <v>3470</v>
      </c>
      <c r="F329" s="847" t="s">
        <v>4557</v>
      </c>
      <c r="G329" s="847" t="s">
        <v>72</v>
      </c>
      <c r="H329" s="1205" t="s">
        <v>4558</v>
      </c>
      <c r="I329" s="1913"/>
    </row>
    <row r="330" spans="1:37" s="844" customFormat="1" ht="28.35" customHeight="1">
      <c r="A330" s="1905"/>
      <c r="B330" s="1908"/>
      <c r="C330" s="883"/>
      <c r="D330" s="847" t="s">
        <v>3628</v>
      </c>
      <c r="E330" s="848" t="s">
        <v>3629</v>
      </c>
      <c r="F330" s="847" t="s">
        <v>3630</v>
      </c>
      <c r="G330" s="847" t="s">
        <v>3520</v>
      </c>
      <c r="H330" s="638" t="s">
        <v>3631</v>
      </c>
      <c r="I330" s="1911" t="s">
        <v>3632</v>
      </c>
    </row>
    <row r="331" spans="1:37" s="844" customFormat="1" ht="28.35" customHeight="1" thickBot="1">
      <c r="A331" s="1905"/>
      <c r="B331" s="1908"/>
      <c r="C331" s="883"/>
      <c r="D331" s="847"/>
      <c r="E331" s="848"/>
      <c r="F331" s="847"/>
      <c r="G331" s="847"/>
      <c r="H331" s="601"/>
      <c r="I331" s="1914"/>
    </row>
    <row r="332" spans="1:37" s="844" customFormat="1" ht="38.25" customHeight="1" thickBot="1">
      <c r="A332" s="1905"/>
      <c r="B332" s="1908"/>
      <c r="C332" s="1915" t="s">
        <v>2556</v>
      </c>
      <c r="D332" s="1916"/>
      <c r="E332" s="1917"/>
      <c r="F332" s="1917"/>
      <c r="G332" s="1917"/>
      <c r="H332" s="1917"/>
      <c r="I332" s="1918"/>
      <c r="J332" s="625"/>
      <c r="K332" s="625"/>
      <c r="L332" s="625"/>
      <c r="M332" s="625"/>
      <c r="N332" s="625"/>
      <c r="O332" s="625"/>
      <c r="P332" s="625"/>
      <c r="Q332" s="625"/>
      <c r="R332" s="625"/>
      <c r="S332" s="625"/>
      <c r="T332" s="625"/>
      <c r="U332" s="625"/>
      <c r="V332" s="625"/>
      <c r="W332" s="625"/>
      <c r="X332" s="625"/>
      <c r="Y332" s="625"/>
      <c r="Z332" s="625"/>
      <c r="AA332" s="625"/>
      <c r="AB332" s="625"/>
      <c r="AC332" s="625"/>
      <c r="AD332" s="625"/>
      <c r="AE332" s="625"/>
      <c r="AF332" s="625"/>
      <c r="AG332" s="625"/>
      <c r="AH332" s="625"/>
      <c r="AI332" s="625"/>
      <c r="AJ332" s="625"/>
      <c r="AK332" s="625"/>
    </row>
    <row r="333" spans="1:37" s="880" customFormat="1" ht="28.35" customHeight="1" thickBot="1">
      <c r="A333" s="1906"/>
      <c r="B333" s="1909"/>
      <c r="C333" s="847" t="s">
        <v>2557</v>
      </c>
      <c r="D333" s="847"/>
      <c r="E333" s="848"/>
      <c r="F333" s="847"/>
      <c r="G333" s="847"/>
      <c r="H333" s="638"/>
      <c r="I333" s="879"/>
    </row>
    <row r="334" spans="1:37" s="882" customFormat="1" ht="29.25" customHeight="1" thickBot="1">
      <c r="A334" s="1894" t="s">
        <v>118</v>
      </c>
      <c r="B334" s="1897" t="s">
        <v>3545</v>
      </c>
      <c r="C334" s="1900" t="s">
        <v>2750</v>
      </c>
      <c r="D334" s="1901"/>
      <c r="E334" s="1902"/>
      <c r="F334" s="1902"/>
      <c r="G334" s="1902"/>
      <c r="H334" s="1902"/>
      <c r="I334" s="1903"/>
      <c r="J334" s="881"/>
      <c r="K334" s="881"/>
      <c r="L334" s="881"/>
      <c r="M334" s="881"/>
      <c r="N334" s="881"/>
      <c r="O334" s="881"/>
      <c r="P334" s="881"/>
      <c r="Q334" s="881"/>
      <c r="R334" s="881"/>
      <c r="S334" s="881"/>
      <c r="T334" s="881"/>
      <c r="U334" s="881"/>
      <c r="V334" s="881"/>
      <c r="W334" s="881"/>
      <c r="X334" s="881"/>
      <c r="Y334" s="881"/>
      <c r="Z334" s="881"/>
      <c r="AA334" s="881"/>
      <c r="AB334" s="881"/>
      <c r="AC334" s="881"/>
      <c r="AD334" s="881"/>
      <c r="AE334" s="881"/>
      <c r="AF334" s="881"/>
      <c r="AG334" s="881"/>
      <c r="AH334" s="881"/>
      <c r="AI334" s="881"/>
      <c r="AJ334" s="881"/>
      <c r="AK334" s="881"/>
    </row>
    <row r="335" spans="1:37" s="844" customFormat="1" ht="28.35" customHeight="1">
      <c r="A335" s="1895"/>
      <c r="B335" s="1898"/>
      <c r="C335" s="841" t="s">
        <v>2518</v>
      </c>
      <c r="D335" s="841" t="s">
        <v>4283</v>
      </c>
      <c r="E335" s="842" t="s">
        <v>4278</v>
      </c>
      <c r="F335" s="841" t="s">
        <v>4285</v>
      </c>
      <c r="G335" s="841" t="s">
        <v>72</v>
      </c>
      <c r="H335" s="618" t="s">
        <v>4281</v>
      </c>
      <c r="I335" s="843" t="s">
        <v>4280</v>
      </c>
    </row>
    <row r="336" spans="1:37" s="844" customFormat="1" ht="28.35" customHeight="1" thickBot="1">
      <c r="A336" s="1895"/>
      <c r="B336" s="1898"/>
      <c r="C336" s="918"/>
      <c r="D336" s="918" t="s">
        <v>4284</v>
      </c>
      <c r="E336" s="919" t="s">
        <v>4279</v>
      </c>
      <c r="F336" s="918" t="s">
        <v>4286</v>
      </c>
      <c r="G336" s="918" t="s">
        <v>72</v>
      </c>
      <c r="H336" s="609" t="s">
        <v>4282</v>
      </c>
      <c r="I336" s="914" t="s">
        <v>4280</v>
      </c>
    </row>
    <row r="337" spans="1:37" s="844" customFormat="1" ht="28.35" customHeight="1">
      <c r="A337" s="1895"/>
      <c r="B337" s="1898"/>
      <c r="C337" s="918"/>
      <c r="D337" s="841" t="s">
        <v>3546</v>
      </c>
      <c r="E337" s="842" t="s">
        <v>3547</v>
      </c>
      <c r="F337" s="841" t="s">
        <v>3548</v>
      </c>
      <c r="G337" s="841" t="s">
        <v>3549</v>
      </c>
      <c r="H337" s="618" t="s">
        <v>3550</v>
      </c>
      <c r="I337" s="915" t="s">
        <v>3551</v>
      </c>
    </row>
    <row r="338" spans="1:37" s="844" customFormat="1" ht="28.35" customHeight="1">
      <c r="A338" s="1895"/>
      <c r="B338" s="1898"/>
      <c r="C338" s="840"/>
      <c r="D338" s="840" t="s">
        <v>3552</v>
      </c>
      <c r="E338" s="845" t="s">
        <v>3553</v>
      </c>
      <c r="F338" s="840" t="s">
        <v>3554</v>
      </c>
      <c r="G338" s="840" t="s">
        <v>72</v>
      </c>
      <c r="H338" s="600" t="s">
        <v>3555</v>
      </c>
      <c r="I338" s="846"/>
    </row>
    <row r="339" spans="1:37" s="844" customFormat="1" ht="28.35" customHeight="1">
      <c r="A339" s="1895"/>
      <c r="B339" s="1898"/>
      <c r="C339" s="929"/>
      <c r="D339" s="929" t="s">
        <v>4291</v>
      </c>
      <c r="E339" s="930"/>
      <c r="F339" s="929"/>
      <c r="G339" s="929"/>
      <c r="H339" s="600" t="s">
        <v>4289</v>
      </c>
      <c r="I339" s="928"/>
    </row>
    <row r="340" spans="1:37" s="844" customFormat="1" ht="28.35" customHeight="1">
      <c r="A340" s="1895"/>
      <c r="B340" s="1898"/>
      <c r="C340" s="929"/>
      <c r="D340" s="929" t="s">
        <v>4292</v>
      </c>
      <c r="E340" s="930"/>
      <c r="F340" s="929"/>
      <c r="G340" s="929"/>
      <c r="H340" s="600" t="s">
        <v>4290</v>
      </c>
      <c r="I340" s="928"/>
    </row>
    <row r="341" spans="1:37" s="844" customFormat="1" ht="28.35" customHeight="1">
      <c r="A341" s="1895"/>
      <c r="B341" s="1898"/>
      <c r="C341" s="840" t="s">
        <v>2518</v>
      </c>
      <c r="D341" s="840" t="s">
        <v>3556</v>
      </c>
      <c r="E341" s="845" t="s">
        <v>3557</v>
      </c>
      <c r="F341" s="840" t="s">
        <v>72</v>
      </c>
      <c r="G341" s="840" t="s">
        <v>72</v>
      </c>
      <c r="H341" s="600" t="s">
        <v>3558</v>
      </c>
      <c r="I341" s="846"/>
    </row>
    <row r="342" spans="1:37" s="844" customFormat="1" ht="28.35" customHeight="1">
      <c r="A342" s="1895"/>
      <c r="B342" s="1898"/>
      <c r="C342" s="847" t="s">
        <v>2518</v>
      </c>
      <c r="D342" s="847" t="s">
        <v>3559</v>
      </c>
      <c r="E342" s="848" t="s">
        <v>3560</v>
      </c>
      <c r="F342" s="847" t="s">
        <v>72</v>
      </c>
      <c r="G342" s="847" t="s">
        <v>72</v>
      </c>
      <c r="H342" s="601" t="s">
        <v>3561</v>
      </c>
      <c r="I342" s="866"/>
    </row>
    <row r="343" spans="1:37" s="844" customFormat="1" ht="28.35" customHeight="1" thickBot="1">
      <c r="A343" s="1896"/>
      <c r="B343" s="1899"/>
      <c r="C343" s="857" t="s">
        <v>2518</v>
      </c>
      <c r="D343" s="857" t="s">
        <v>3562</v>
      </c>
      <c r="E343" s="858" t="s">
        <v>3563</v>
      </c>
      <c r="F343" s="857" t="s">
        <v>72</v>
      </c>
      <c r="G343" s="857" t="s">
        <v>72</v>
      </c>
      <c r="H343" s="639" t="s">
        <v>3564</v>
      </c>
      <c r="I343" s="849"/>
    </row>
    <row r="344" spans="1:37" s="839" customFormat="1">
      <c r="H344" s="885"/>
      <c r="J344" s="844"/>
      <c r="K344" s="844"/>
      <c r="L344" s="844"/>
      <c r="M344" s="844"/>
      <c r="N344" s="844"/>
      <c r="O344" s="844"/>
      <c r="P344" s="844"/>
      <c r="Q344" s="844"/>
      <c r="R344" s="844"/>
      <c r="S344" s="844"/>
      <c r="T344" s="844"/>
      <c r="U344" s="844"/>
      <c r="V344" s="844"/>
      <c r="W344" s="844"/>
      <c r="X344" s="844"/>
      <c r="Y344" s="844"/>
      <c r="Z344" s="844"/>
      <c r="AA344" s="844"/>
      <c r="AB344" s="844"/>
      <c r="AC344" s="844"/>
      <c r="AD344" s="844"/>
      <c r="AE344" s="844"/>
      <c r="AF344" s="844"/>
      <c r="AG344" s="844"/>
      <c r="AH344" s="844"/>
      <c r="AI344" s="844"/>
      <c r="AJ344" s="844"/>
      <c r="AK344" s="844"/>
    </row>
    <row r="345" spans="1:37" s="839" customFormat="1">
      <c r="C345" s="839" t="s">
        <v>2968</v>
      </c>
      <c r="D345" s="839" t="s">
        <v>2968</v>
      </c>
      <c r="H345" s="885"/>
      <c r="J345" s="844"/>
      <c r="K345" s="844"/>
      <c r="L345" s="844"/>
      <c r="M345" s="844"/>
      <c r="N345" s="844"/>
      <c r="O345" s="844"/>
      <c r="P345" s="844"/>
      <c r="Q345" s="844"/>
      <c r="R345" s="844"/>
      <c r="S345" s="844"/>
      <c r="T345" s="844"/>
      <c r="U345" s="844"/>
      <c r="V345" s="844"/>
      <c r="W345" s="844"/>
      <c r="X345" s="844"/>
      <c r="Y345" s="844"/>
      <c r="Z345" s="844"/>
      <c r="AA345" s="844"/>
      <c r="AB345" s="844"/>
      <c r="AC345" s="844"/>
      <c r="AD345" s="844"/>
      <c r="AE345" s="844"/>
      <c r="AF345" s="844"/>
      <c r="AG345" s="844"/>
      <c r="AH345" s="844"/>
      <c r="AI345" s="844"/>
      <c r="AJ345" s="844"/>
      <c r="AK345" s="844"/>
    </row>
    <row r="346" spans="1:37" s="839" customFormat="1">
      <c r="C346" s="839" t="s">
        <v>2968</v>
      </c>
      <c r="D346" s="839" t="s">
        <v>2968</v>
      </c>
      <c r="H346" s="885"/>
      <c r="J346" s="844"/>
      <c r="K346" s="844"/>
      <c r="L346" s="844"/>
      <c r="M346" s="844"/>
      <c r="N346" s="844"/>
      <c r="O346" s="844"/>
      <c r="P346" s="844"/>
      <c r="Q346" s="844"/>
      <c r="R346" s="844"/>
      <c r="S346" s="844"/>
      <c r="T346" s="844"/>
      <c r="U346" s="844"/>
      <c r="V346" s="844"/>
      <c r="W346" s="844"/>
      <c r="X346" s="844"/>
      <c r="Y346" s="844"/>
      <c r="Z346" s="844"/>
      <c r="AA346" s="844"/>
      <c r="AB346" s="844"/>
      <c r="AC346" s="844"/>
      <c r="AD346" s="844"/>
      <c r="AE346" s="844"/>
      <c r="AF346" s="844"/>
      <c r="AG346" s="844"/>
      <c r="AH346" s="844"/>
      <c r="AI346" s="844"/>
      <c r="AJ346" s="844"/>
      <c r="AK346" s="844"/>
    </row>
    <row r="347" spans="1:37" s="839" customFormat="1">
      <c r="H347" s="885"/>
      <c r="J347" s="844"/>
      <c r="K347" s="844"/>
      <c r="L347" s="844"/>
      <c r="M347" s="844"/>
      <c r="N347" s="844"/>
      <c r="O347" s="844"/>
      <c r="P347" s="844"/>
      <c r="Q347" s="844"/>
      <c r="R347" s="844"/>
      <c r="S347" s="844"/>
      <c r="T347" s="844"/>
      <c r="U347" s="844"/>
      <c r="V347" s="844"/>
      <c r="W347" s="844"/>
      <c r="X347" s="844"/>
      <c r="Y347" s="844"/>
      <c r="Z347" s="844"/>
      <c r="AA347" s="844"/>
      <c r="AB347" s="844"/>
      <c r="AC347" s="844"/>
      <c r="AD347" s="844"/>
      <c r="AE347" s="844"/>
      <c r="AF347" s="844"/>
      <c r="AG347" s="844"/>
      <c r="AH347" s="844"/>
      <c r="AI347" s="844"/>
      <c r="AJ347" s="844"/>
      <c r="AK347" s="844"/>
    </row>
    <row r="348" spans="1:37" s="839" customFormat="1">
      <c r="H348" s="885"/>
      <c r="J348" s="844"/>
      <c r="K348" s="844"/>
      <c r="L348" s="844"/>
      <c r="M348" s="844"/>
      <c r="N348" s="844"/>
      <c r="O348" s="844"/>
      <c r="P348" s="844"/>
      <c r="Q348" s="844"/>
      <c r="R348" s="844"/>
      <c r="S348" s="844"/>
      <c r="T348" s="844"/>
      <c r="U348" s="844"/>
      <c r="V348" s="844"/>
      <c r="W348" s="844"/>
      <c r="X348" s="844"/>
      <c r="Y348" s="844"/>
      <c r="Z348" s="844"/>
      <c r="AA348" s="844"/>
      <c r="AB348" s="844"/>
      <c r="AC348" s="844"/>
      <c r="AD348" s="844"/>
      <c r="AE348" s="844"/>
      <c r="AF348" s="844"/>
      <c r="AG348" s="844"/>
      <c r="AH348" s="844"/>
      <c r="AI348" s="844"/>
      <c r="AJ348" s="844"/>
      <c r="AK348" s="844"/>
    </row>
    <row r="349" spans="1:37" s="839" customFormat="1">
      <c r="H349" s="885"/>
      <c r="J349" s="844"/>
      <c r="K349" s="844"/>
      <c r="L349" s="844"/>
      <c r="M349" s="844"/>
      <c r="N349" s="844"/>
      <c r="O349" s="844"/>
      <c r="P349" s="844"/>
      <c r="Q349" s="844"/>
      <c r="R349" s="844"/>
      <c r="S349" s="844"/>
      <c r="T349" s="844"/>
      <c r="U349" s="844"/>
      <c r="V349" s="844"/>
      <c r="W349" s="844"/>
      <c r="X349" s="844"/>
      <c r="Y349" s="844"/>
      <c r="Z349" s="844"/>
      <c r="AA349" s="844"/>
      <c r="AB349" s="844"/>
      <c r="AC349" s="844"/>
      <c r="AD349" s="844"/>
      <c r="AE349" s="844"/>
      <c r="AF349" s="844"/>
      <c r="AG349" s="844"/>
      <c r="AH349" s="844"/>
      <c r="AI349" s="844"/>
      <c r="AJ349" s="844"/>
      <c r="AK349" s="844"/>
    </row>
    <row r="350" spans="1:37" s="839" customFormat="1">
      <c r="H350" s="885"/>
      <c r="J350" s="844"/>
      <c r="K350" s="844"/>
      <c r="L350" s="844"/>
      <c r="M350" s="844"/>
      <c r="N350" s="844"/>
      <c r="O350" s="844"/>
      <c r="P350" s="844"/>
      <c r="Q350" s="844"/>
      <c r="R350" s="844"/>
      <c r="S350" s="844"/>
      <c r="T350" s="844"/>
      <c r="U350" s="844"/>
      <c r="V350" s="844"/>
      <c r="W350" s="844"/>
      <c r="X350" s="844"/>
      <c r="Y350" s="844"/>
      <c r="Z350" s="844"/>
      <c r="AA350" s="844"/>
      <c r="AB350" s="844"/>
      <c r="AC350" s="844"/>
      <c r="AD350" s="844"/>
      <c r="AE350" s="844"/>
      <c r="AF350" s="844"/>
      <c r="AG350" s="844"/>
      <c r="AH350" s="844"/>
      <c r="AI350" s="844"/>
      <c r="AJ350" s="844"/>
      <c r="AK350" s="844"/>
    </row>
    <row r="351" spans="1:37" s="839" customFormat="1">
      <c r="H351" s="885"/>
      <c r="J351" s="844"/>
      <c r="K351" s="844"/>
      <c r="L351" s="844"/>
      <c r="M351" s="844"/>
      <c r="N351" s="844"/>
      <c r="O351" s="844"/>
      <c r="P351" s="844"/>
      <c r="Q351" s="844"/>
      <c r="R351" s="844"/>
      <c r="S351" s="844"/>
      <c r="T351" s="844"/>
      <c r="U351" s="844"/>
      <c r="V351" s="844"/>
      <c r="W351" s="844"/>
      <c r="X351" s="844"/>
      <c r="Y351" s="844"/>
      <c r="Z351" s="844"/>
      <c r="AA351" s="844"/>
      <c r="AB351" s="844"/>
      <c r="AC351" s="844"/>
      <c r="AD351" s="844"/>
      <c r="AE351" s="844"/>
      <c r="AF351" s="844"/>
      <c r="AG351" s="844"/>
      <c r="AH351" s="844"/>
      <c r="AI351" s="844"/>
      <c r="AJ351" s="844"/>
      <c r="AK351" s="844"/>
    </row>
    <row r="352" spans="1:37" s="839" customFormat="1">
      <c r="H352" s="885"/>
      <c r="J352" s="844"/>
      <c r="K352" s="844"/>
      <c r="L352" s="844"/>
      <c r="M352" s="844"/>
      <c r="N352" s="844"/>
      <c r="O352" s="844"/>
      <c r="P352" s="844"/>
      <c r="Q352" s="844"/>
      <c r="R352" s="844"/>
      <c r="S352" s="844"/>
      <c r="T352" s="844"/>
      <c r="U352" s="844"/>
      <c r="V352" s="844"/>
      <c r="W352" s="844"/>
      <c r="X352" s="844"/>
      <c r="Y352" s="844"/>
      <c r="Z352" s="844"/>
      <c r="AA352" s="844"/>
      <c r="AB352" s="844"/>
      <c r="AC352" s="844"/>
      <c r="AD352" s="844"/>
      <c r="AE352" s="844"/>
      <c r="AF352" s="844"/>
      <c r="AG352" s="844"/>
      <c r="AH352" s="844"/>
      <c r="AI352" s="844"/>
      <c r="AJ352" s="844"/>
      <c r="AK352" s="844"/>
    </row>
    <row r="353" spans="1:37" s="839" customFormat="1">
      <c r="H353" s="885"/>
      <c r="J353" s="844"/>
      <c r="K353" s="844"/>
      <c r="L353" s="844"/>
      <c r="M353" s="844"/>
      <c r="N353" s="844"/>
      <c r="O353" s="844"/>
      <c r="P353" s="844"/>
      <c r="Q353" s="844"/>
      <c r="R353" s="844"/>
      <c r="S353" s="844"/>
      <c r="T353" s="844"/>
      <c r="U353" s="844"/>
      <c r="V353" s="844"/>
      <c r="W353" s="844"/>
      <c r="X353" s="844"/>
      <c r="Y353" s="844"/>
      <c r="Z353" s="844"/>
      <c r="AA353" s="844"/>
      <c r="AB353" s="844"/>
      <c r="AC353" s="844"/>
      <c r="AD353" s="844"/>
      <c r="AE353" s="844"/>
      <c r="AF353" s="844"/>
      <c r="AG353" s="844"/>
      <c r="AH353" s="844"/>
      <c r="AI353" s="844"/>
      <c r="AJ353" s="844"/>
      <c r="AK353" s="844"/>
    </row>
    <row r="354" spans="1:37" s="889" customFormat="1">
      <c r="A354" s="886"/>
      <c r="B354" s="886"/>
      <c r="C354" s="887"/>
      <c r="D354" s="887"/>
      <c r="E354" s="887"/>
      <c r="F354" s="887"/>
      <c r="G354" s="887"/>
      <c r="H354" s="888"/>
      <c r="I354" s="887"/>
      <c r="J354" s="877"/>
      <c r="K354" s="877"/>
      <c r="L354" s="877"/>
      <c r="M354" s="877"/>
      <c r="N354" s="877"/>
      <c r="O354" s="877"/>
      <c r="P354" s="877"/>
      <c r="Q354" s="877"/>
      <c r="R354" s="877"/>
      <c r="S354" s="877"/>
      <c r="T354" s="877"/>
      <c r="U354" s="877"/>
      <c r="V354" s="877"/>
      <c r="W354" s="877"/>
      <c r="X354" s="877"/>
      <c r="Y354" s="877"/>
      <c r="Z354" s="877"/>
      <c r="AA354" s="877"/>
      <c r="AB354" s="877"/>
      <c r="AC354" s="877"/>
      <c r="AD354" s="877"/>
      <c r="AE354" s="877"/>
      <c r="AF354" s="877"/>
      <c r="AG354" s="877"/>
      <c r="AH354" s="877"/>
      <c r="AI354" s="877"/>
      <c r="AJ354" s="877"/>
      <c r="AK354" s="877"/>
    </row>
    <row r="355" spans="1:37" s="889" customFormat="1">
      <c r="A355" s="886"/>
      <c r="B355" s="886"/>
      <c r="C355" s="887"/>
      <c r="D355" s="887"/>
      <c r="E355" s="887"/>
      <c r="F355" s="887"/>
      <c r="G355" s="887"/>
      <c r="H355" s="888"/>
      <c r="I355" s="887"/>
      <c r="J355" s="877"/>
      <c r="K355" s="877"/>
      <c r="L355" s="877"/>
      <c r="M355" s="877"/>
      <c r="N355" s="877"/>
      <c r="O355" s="877"/>
      <c r="P355" s="877"/>
      <c r="Q355" s="877"/>
      <c r="R355" s="877"/>
      <c r="S355" s="877"/>
      <c r="T355" s="877"/>
      <c r="U355" s="877"/>
      <c r="V355" s="877"/>
      <c r="W355" s="877"/>
      <c r="X355" s="877"/>
      <c r="Y355" s="877"/>
      <c r="Z355" s="877"/>
      <c r="AA355" s="877"/>
      <c r="AB355" s="877"/>
      <c r="AC355" s="877"/>
      <c r="AD355" s="877"/>
      <c r="AE355" s="877"/>
      <c r="AF355" s="877"/>
      <c r="AG355" s="877"/>
      <c r="AH355" s="877"/>
      <c r="AI355" s="877"/>
      <c r="AJ355" s="877"/>
      <c r="AK355" s="877"/>
    </row>
    <row r="356" spans="1:37" s="889" customFormat="1">
      <c r="A356" s="886"/>
      <c r="B356" s="886"/>
      <c r="C356" s="887"/>
      <c r="D356" s="887"/>
      <c r="E356" s="887"/>
      <c r="F356" s="887"/>
      <c r="G356" s="887"/>
      <c r="H356" s="888"/>
      <c r="I356" s="887"/>
      <c r="J356" s="877"/>
      <c r="K356" s="877"/>
      <c r="L356" s="877"/>
      <c r="M356" s="877"/>
      <c r="N356" s="877"/>
      <c r="O356" s="877"/>
      <c r="P356" s="877"/>
      <c r="Q356" s="877"/>
      <c r="R356" s="877"/>
      <c r="S356" s="877"/>
      <c r="T356" s="877"/>
      <c r="U356" s="877"/>
      <c r="V356" s="877"/>
      <c r="W356" s="877"/>
      <c r="X356" s="877"/>
      <c r="Y356" s="877"/>
      <c r="Z356" s="877"/>
      <c r="AA356" s="877"/>
      <c r="AB356" s="877"/>
      <c r="AC356" s="877"/>
      <c r="AD356" s="877"/>
      <c r="AE356" s="877"/>
      <c r="AF356" s="877"/>
      <c r="AG356" s="877"/>
      <c r="AH356" s="877"/>
      <c r="AI356" s="877"/>
      <c r="AJ356" s="877"/>
      <c r="AK356" s="877"/>
    </row>
    <row r="357" spans="1:37" s="889" customFormat="1">
      <c r="A357" s="890"/>
      <c r="B357" s="890"/>
      <c r="C357" s="891"/>
      <c r="D357" s="891"/>
      <c r="E357" s="891"/>
      <c r="F357" s="891"/>
      <c r="G357" s="891"/>
      <c r="H357" s="892"/>
      <c r="I357" s="891"/>
      <c r="J357" s="877"/>
      <c r="K357" s="877"/>
      <c r="L357" s="877"/>
      <c r="M357" s="877"/>
      <c r="N357" s="877"/>
      <c r="O357" s="877"/>
      <c r="P357" s="877"/>
      <c r="Q357" s="877"/>
      <c r="R357" s="877"/>
      <c r="S357" s="877"/>
      <c r="T357" s="877"/>
      <c r="U357" s="877"/>
      <c r="V357" s="877"/>
      <c r="W357" s="877"/>
      <c r="X357" s="877"/>
      <c r="Y357" s="877"/>
      <c r="Z357" s="877"/>
      <c r="AA357" s="877"/>
      <c r="AB357" s="877"/>
      <c r="AC357" s="877"/>
      <c r="AD357" s="877"/>
      <c r="AE357" s="877"/>
      <c r="AF357" s="877"/>
      <c r="AG357" s="877"/>
      <c r="AH357" s="877"/>
      <c r="AI357" s="877"/>
      <c r="AJ357" s="877"/>
      <c r="AK357" s="877"/>
    </row>
    <row r="358" spans="1:37" s="889" customFormat="1">
      <c r="A358" s="890"/>
      <c r="B358" s="890"/>
      <c r="C358" s="891"/>
      <c r="D358" s="891"/>
      <c r="E358" s="891"/>
      <c r="F358" s="891"/>
      <c r="G358" s="891"/>
      <c r="H358" s="892"/>
      <c r="I358" s="891"/>
      <c r="J358" s="877"/>
      <c r="K358" s="877"/>
      <c r="L358" s="877"/>
      <c r="M358" s="877"/>
      <c r="N358" s="877"/>
      <c r="O358" s="877"/>
      <c r="P358" s="877"/>
      <c r="Q358" s="877"/>
      <c r="R358" s="877"/>
      <c r="S358" s="877"/>
      <c r="T358" s="877"/>
      <c r="U358" s="877"/>
      <c r="V358" s="877"/>
      <c r="W358" s="877"/>
      <c r="X358" s="877"/>
      <c r="Y358" s="877"/>
      <c r="Z358" s="877"/>
      <c r="AA358" s="877"/>
      <c r="AB358" s="877"/>
      <c r="AC358" s="877"/>
      <c r="AD358" s="877"/>
      <c r="AE358" s="877"/>
      <c r="AF358" s="877"/>
      <c r="AG358" s="877"/>
      <c r="AH358" s="877"/>
      <c r="AI358" s="877"/>
      <c r="AJ358" s="877"/>
      <c r="AK358" s="877"/>
    </row>
    <row r="359" spans="1:37" s="889" customFormat="1">
      <c r="A359" s="890"/>
      <c r="B359" s="890"/>
      <c r="C359" s="891"/>
      <c r="D359" s="891"/>
      <c r="E359" s="891"/>
      <c r="F359" s="891"/>
      <c r="G359" s="891"/>
      <c r="H359" s="892"/>
      <c r="I359" s="891"/>
      <c r="J359" s="877"/>
      <c r="K359" s="877"/>
      <c r="L359" s="877"/>
      <c r="M359" s="877"/>
      <c r="N359" s="877"/>
      <c r="O359" s="877"/>
      <c r="P359" s="877"/>
      <c r="Q359" s="877"/>
      <c r="R359" s="877"/>
      <c r="S359" s="877"/>
      <c r="T359" s="877"/>
      <c r="U359" s="877"/>
      <c r="V359" s="877"/>
      <c r="W359" s="877"/>
      <c r="X359" s="877"/>
      <c r="Y359" s="877"/>
      <c r="Z359" s="877"/>
      <c r="AA359" s="877"/>
      <c r="AB359" s="877"/>
      <c r="AC359" s="877"/>
      <c r="AD359" s="877"/>
      <c r="AE359" s="877"/>
      <c r="AF359" s="877"/>
      <c r="AG359" s="877"/>
      <c r="AH359" s="877"/>
      <c r="AI359" s="877"/>
      <c r="AJ359" s="877"/>
      <c r="AK359" s="877"/>
    </row>
    <row r="360" spans="1:37" s="889" customFormat="1">
      <c r="A360" s="890"/>
      <c r="B360" s="890"/>
      <c r="C360" s="891"/>
      <c r="D360" s="891"/>
      <c r="E360" s="891"/>
      <c r="F360" s="891"/>
      <c r="G360" s="891"/>
      <c r="H360" s="892"/>
      <c r="I360" s="891"/>
      <c r="J360" s="877"/>
      <c r="K360" s="877"/>
      <c r="L360" s="877"/>
      <c r="M360" s="877"/>
      <c r="N360" s="877"/>
      <c r="O360" s="877"/>
      <c r="P360" s="877"/>
      <c r="Q360" s="877"/>
      <c r="R360" s="877"/>
      <c r="S360" s="877"/>
      <c r="T360" s="877"/>
      <c r="U360" s="877"/>
      <c r="V360" s="877"/>
      <c r="W360" s="877"/>
      <c r="X360" s="877"/>
      <c r="Y360" s="877"/>
      <c r="Z360" s="877"/>
      <c r="AA360" s="877"/>
      <c r="AB360" s="877"/>
      <c r="AC360" s="877"/>
      <c r="AD360" s="877"/>
      <c r="AE360" s="877"/>
      <c r="AF360" s="877"/>
      <c r="AG360" s="877"/>
      <c r="AH360" s="877"/>
      <c r="AI360" s="877"/>
      <c r="AJ360" s="877"/>
      <c r="AK360" s="877"/>
    </row>
    <row r="361" spans="1:37" s="889" customFormat="1">
      <c r="A361" s="890"/>
      <c r="B361" s="890"/>
      <c r="C361" s="891"/>
      <c r="D361" s="891"/>
      <c r="E361" s="891"/>
      <c r="F361" s="891"/>
      <c r="G361" s="891"/>
      <c r="H361" s="892"/>
      <c r="I361" s="891"/>
      <c r="J361" s="877"/>
      <c r="K361" s="877"/>
      <c r="L361" s="877"/>
      <c r="M361" s="877"/>
      <c r="N361" s="877"/>
      <c r="O361" s="877"/>
      <c r="P361" s="877"/>
      <c r="Q361" s="877"/>
      <c r="R361" s="877"/>
      <c r="S361" s="877"/>
      <c r="T361" s="877"/>
      <c r="U361" s="877"/>
      <c r="V361" s="877"/>
      <c r="W361" s="877"/>
      <c r="X361" s="877"/>
      <c r="Y361" s="877"/>
      <c r="Z361" s="877"/>
      <c r="AA361" s="877"/>
      <c r="AB361" s="877"/>
      <c r="AC361" s="877"/>
      <c r="AD361" s="877"/>
      <c r="AE361" s="877"/>
      <c r="AF361" s="877"/>
      <c r="AG361" s="877"/>
      <c r="AH361" s="877"/>
      <c r="AI361" s="877"/>
      <c r="AJ361" s="877"/>
      <c r="AK361" s="877"/>
    </row>
    <row r="362" spans="1:37" s="889" customFormat="1">
      <c r="A362" s="890"/>
      <c r="B362" s="890"/>
      <c r="C362" s="891"/>
      <c r="D362" s="891"/>
      <c r="E362" s="891"/>
      <c r="F362" s="891"/>
      <c r="G362" s="891"/>
      <c r="H362" s="892"/>
      <c r="I362" s="891"/>
      <c r="J362" s="877"/>
      <c r="K362" s="877"/>
      <c r="L362" s="877"/>
      <c r="M362" s="877"/>
      <c r="N362" s="877"/>
      <c r="O362" s="877"/>
      <c r="P362" s="877"/>
      <c r="Q362" s="877"/>
      <c r="R362" s="877"/>
      <c r="S362" s="877"/>
      <c r="T362" s="877"/>
      <c r="U362" s="877"/>
      <c r="V362" s="877"/>
      <c r="W362" s="877"/>
      <c r="X362" s="877"/>
      <c r="Y362" s="877"/>
      <c r="Z362" s="877"/>
      <c r="AA362" s="877"/>
      <c r="AB362" s="877"/>
      <c r="AC362" s="877"/>
      <c r="AD362" s="877"/>
      <c r="AE362" s="877"/>
      <c r="AF362" s="877"/>
      <c r="AG362" s="877"/>
      <c r="AH362" s="877"/>
      <c r="AI362" s="877"/>
      <c r="AJ362" s="877"/>
      <c r="AK362" s="877"/>
    </row>
    <row r="363" spans="1:37" s="889" customFormat="1">
      <c r="A363" s="890"/>
      <c r="B363" s="890"/>
      <c r="C363" s="891"/>
      <c r="D363" s="891"/>
      <c r="E363" s="891"/>
      <c r="F363" s="891"/>
      <c r="G363" s="891"/>
      <c r="H363" s="892"/>
      <c r="I363" s="891"/>
      <c r="J363" s="877"/>
      <c r="K363" s="877"/>
      <c r="L363" s="877"/>
      <c r="M363" s="877"/>
      <c r="N363" s="877"/>
      <c r="O363" s="877"/>
      <c r="P363" s="877"/>
      <c r="Q363" s="877"/>
      <c r="R363" s="877"/>
      <c r="S363" s="877"/>
      <c r="T363" s="877"/>
      <c r="U363" s="877"/>
      <c r="V363" s="877"/>
      <c r="W363" s="877"/>
      <c r="X363" s="877"/>
      <c r="Y363" s="877"/>
      <c r="Z363" s="877"/>
      <c r="AA363" s="877"/>
      <c r="AB363" s="877"/>
      <c r="AC363" s="877"/>
      <c r="AD363" s="877"/>
      <c r="AE363" s="877"/>
      <c r="AF363" s="877"/>
      <c r="AG363" s="877"/>
      <c r="AH363" s="877"/>
      <c r="AI363" s="877"/>
      <c r="AJ363" s="877"/>
      <c r="AK363" s="877"/>
    </row>
    <row r="364" spans="1:37" s="889" customFormat="1">
      <c r="A364" s="890"/>
      <c r="B364" s="890"/>
      <c r="C364" s="891"/>
      <c r="D364" s="891"/>
      <c r="E364" s="891"/>
      <c r="F364" s="891"/>
      <c r="G364" s="891"/>
      <c r="H364" s="892"/>
      <c r="I364" s="891"/>
      <c r="J364" s="877"/>
      <c r="K364" s="877"/>
      <c r="L364" s="877"/>
      <c r="M364" s="877"/>
      <c r="N364" s="877"/>
      <c r="O364" s="877"/>
      <c r="P364" s="877"/>
      <c r="Q364" s="877"/>
      <c r="R364" s="877"/>
      <c r="S364" s="877"/>
      <c r="T364" s="877"/>
      <c r="U364" s="877"/>
      <c r="V364" s="877"/>
      <c r="W364" s="877"/>
      <c r="X364" s="877"/>
      <c r="Y364" s="877"/>
      <c r="Z364" s="877"/>
      <c r="AA364" s="877"/>
      <c r="AB364" s="877"/>
      <c r="AC364" s="877"/>
      <c r="AD364" s="877"/>
      <c r="AE364" s="877"/>
      <c r="AF364" s="877"/>
      <c r="AG364" s="877"/>
      <c r="AH364" s="877"/>
      <c r="AI364" s="877"/>
      <c r="AJ364" s="877"/>
      <c r="AK364" s="877"/>
    </row>
    <row r="365" spans="1:37" s="889" customFormat="1">
      <c r="A365" s="890"/>
      <c r="B365" s="890"/>
      <c r="C365" s="891"/>
      <c r="D365" s="891"/>
      <c r="E365" s="891"/>
      <c r="F365" s="891"/>
      <c r="G365" s="891"/>
      <c r="H365" s="892"/>
      <c r="I365" s="891"/>
      <c r="J365" s="877"/>
      <c r="K365" s="877"/>
      <c r="L365" s="877"/>
      <c r="M365" s="877"/>
      <c r="N365" s="877"/>
      <c r="O365" s="877"/>
      <c r="P365" s="877"/>
      <c r="Q365" s="877"/>
      <c r="R365" s="877"/>
      <c r="S365" s="877"/>
      <c r="T365" s="877"/>
      <c r="U365" s="877"/>
      <c r="V365" s="877"/>
      <c r="W365" s="877"/>
      <c r="X365" s="877"/>
      <c r="Y365" s="877"/>
      <c r="Z365" s="877"/>
      <c r="AA365" s="877"/>
      <c r="AB365" s="877"/>
      <c r="AC365" s="877"/>
      <c r="AD365" s="877"/>
      <c r="AE365" s="877"/>
      <c r="AF365" s="877"/>
      <c r="AG365" s="877"/>
      <c r="AH365" s="877"/>
      <c r="AI365" s="877"/>
      <c r="AJ365" s="877"/>
      <c r="AK365" s="877"/>
    </row>
    <row r="366" spans="1:37" s="889" customFormat="1">
      <c r="A366" s="893"/>
      <c r="B366" s="893"/>
      <c r="H366" s="894"/>
      <c r="J366" s="877"/>
      <c r="K366" s="877"/>
      <c r="L366" s="877"/>
      <c r="M366" s="877"/>
      <c r="N366" s="877"/>
      <c r="O366" s="877"/>
      <c r="P366" s="877"/>
      <c r="Q366" s="877"/>
      <c r="R366" s="877"/>
      <c r="S366" s="877"/>
      <c r="T366" s="877"/>
      <c r="U366" s="877"/>
      <c r="V366" s="877"/>
      <c r="W366" s="877"/>
      <c r="X366" s="877"/>
      <c r="Y366" s="877"/>
      <c r="Z366" s="877"/>
      <c r="AA366" s="877"/>
      <c r="AB366" s="877"/>
      <c r="AC366" s="877"/>
      <c r="AD366" s="877"/>
      <c r="AE366" s="877"/>
      <c r="AF366" s="877"/>
      <c r="AG366" s="877"/>
      <c r="AH366" s="877"/>
      <c r="AI366" s="877"/>
      <c r="AJ366" s="877"/>
      <c r="AK366" s="877"/>
    </row>
    <row r="367" spans="1:37">
      <c r="A367" s="893"/>
      <c r="B367" s="893"/>
      <c r="C367" s="889"/>
      <c r="D367" s="889"/>
      <c r="E367" s="889"/>
      <c r="F367" s="889"/>
      <c r="G367" s="889"/>
      <c r="H367" s="894"/>
    </row>
    <row r="368" spans="1:37">
      <c r="A368" s="893"/>
      <c r="B368" s="893"/>
      <c r="C368" s="889"/>
      <c r="D368" s="889"/>
      <c r="E368" s="889"/>
      <c r="F368" s="889"/>
      <c r="G368" s="889"/>
      <c r="H368" s="894"/>
    </row>
    <row r="369" spans="1:8">
      <c r="A369" s="893"/>
      <c r="B369" s="893"/>
      <c r="C369" s="889"/>
      <c r="D369" s="889"/>
      <c r="E369" s="889"/>
      <c r="F369" s="889"/>
      <c r="G369" s="889"/>
      <c r="H369" s="894"/>
    </row>
    <row r="370" spans="1:8">
      <c r="A370" s="893"/>
      <c r="B370" s="893"/>
      <c r="C370" s="889"/>
      <c r="D370" s="889"/>
      <c r="E370" s="889"/>
      <c r="F370" s="889"/>
      <c r="G370" s="889"/>
      <c r="H370" s="894"/>
    </row>
  </sheetData>
  <autoFilter ref="A1:I343" xr:uid="{00000000-0009-0000-0000-000010000000}"/>
  <customSheetViews>
    <customSheetView guid="{141C9473-79E8-40AC-A2DD-D2D896AD155D}" scale="85" showPageBreaks="1" printArea="1" showAutoFilter="1" hiddenColumns="1" view="pageBreakPreview">
      <pane ySplit="1" topLeftCell="A71" activePane="bottomLeft" state="frozenSplit"/>
      <selection pane="bottomLeft" activeCell="D76" sqref="D76"/>
      <rowBreaks count="1" manualBreakCount="1">
        <brk id="307" max="7" man="1"/>
      </rowBreaks>
      <pageMargins left="0.5" right="0.5" top="1.06" bottom="0.5" header="0.5" footer="0.25"/>
      <printOptions horizontalCentered="1"/>
      <pageSetup scale="50" orientation="landscape" copies="7" r:id="rId1"/>
      <headerFooter>
        <oddHeader xml:space="preserve">&amp;L&amp;G&amp;C&amp;"Arial Black,Bold"&amp;24&amp;K04+000CLSA Trust Carrier/Vendor Contacts
&amp;20&amp;K05+000for HUB Trust Team&amp;R&amp;12&amp;K04+000
Page | &amp;"Arial,Bold"&amp;P
</oddHeader>
        <oddFooter>&amp;C&amp;K04+000© 2017 California Life Sciences Association. All rights reserved.   |   &amp;"-,Bold"clsatrust.com</oddFooter>
      </headerFooter>
      <autoFilter ref="A1:I332" xr:uid="{00000000-0000-0000-0000-000000000000}"/>
    </customSheetView>
  </customSheetViews>
  <mergeCells count="109">
    <mergeCell ref="A40:A44"/>
    <mergeCell ref="B40:B44"/>
    <mergeCell ref="C40:I40"/>
    <mergeCell ref="C43:I43"/>
    <mergeCell ref="A45:A71"/>
    <mergeCell ref="B45:B71"/>
    <mergeCell ref="C45:I45"/>
    <mergeCell ref="A16:A39"/>
    <mergeCell ref="B16:B39"/>
    <mergeCell ref="C16:I16"/>
    <mergeCell ref="I17:I18"/>
    <mergeCell ref="I25:I26"/>
    <mergeCell ref="C27:I27"/>
    <mergeCell ref="C60:I60"/>
    <mergeCell ref="C62:I62"/>
    <mergeCell ref="A2:A15"/>
    <mergeCell ref="B2:B15"/>
    <mergeCell ref="C2:I2"/>
    <mergeCell ref="C10:C11"/>
    <mergeCell ref="D10:D11"/>
    <mergeCell ref="E10:E11"/>
    <mergeCell ref="F10:F11"/>
    <mergeCell ref="G10:G11"/>
    <mergeCell ref="I10:I11"/>
    <mergeCell ref="C13:I13"/>
    <mergeCell ref="A72:A77"/>
    <mergeCell ref="B72:B77"/>
    <mergeCell ref="C72:I72"/>
    <mergeCell ref="C76:I76"/>
    <mergeCell ref="A78:A107"/>
    <mergeCell ref="B78:B107"/>
    <mergeCell ref="C78:I78"/>
    <mergeCell ref="C83:I83"/>
    <mergeCell ref="C87:I87"/>
    <mergeCell ref="C91:I91"/>
    <mergeCell ref="C99:I99"/>
    <mergeCell ref="A108:A148"/>
    <mergeCell ref="B108:B148"/>
    <mergeCell ref="C108:I108"/>
    <mergeCell ref="C119:I119"/>
    <mergeCell ref="C131:I131"/>
    <mergeCell ref="C133:I133"/>
    <mergeCell ref="C137:I137"/>
    <mergeCell ref="C143:C144"/>
    <mergeCell ref="D143:D144"/>
    <mergeCell ref="E143:E144"/>
    <mergeCell ref="F143:F144"/>
    <mergeCell ref="G143:G144"/>
    <mergeCell ref="I143:I144"/>
    <mergeCell ref="C146:C147"/>
    <mergeCell ref="D146:D147"/>
    <mergeCell ref="E146:E147"/>
    <mergeCell ref="F146:F147"/>
    <mergeCell ref="G146:G147"/>
    <mergeCell ref="I146:I147"/>
    <mergeCell ref="H146:H147"/>
    <mergeCell ref="A149:A168"/>
    <mergeCell ref="B149:B152"/>
    <mergeCell ref="C149:I149"/>
    <mergeCell ref="B153:B161"/>
    <mergeCell ref="C153:I153"/>
    <mergeCell ref="C160:I160"/>
    <mergeCell ref="B162:B168"/>
    <mergeCell ref="C162:I162"/>
    <mergeCell ref="C167:I167"/>
    <mergeCell ref="A169:A179"/>
    <mergeCell ref="B169:B179"/>
    <mergeCell ref="C169:I169"/>
    <mergeCell ref="I170:I177"/>
    <mergeCell ref="C178:I178"/>
    <mergeCell ref="A180:A196"/>
    <mergeCell ref="B180:B196"/>
    <mergeCell ref="C180:I180"/>
    <mergeCell ref="I181:I192"/>
    <mergeCell ref="C193:I193"/>
    <mergeCell ref="I288:I291"/>
    <mergeCell ref="A292:A316"/>
    <mergeCell ref="B292:B316"/>
    <mergeCell ref="C292:I292"/>
    <mergeCell ref="I293:I301"/>
    <mergeCell ref="I302:I306"/>
    <mergeCell ref="C314:I314"/>
    <mergeCell ref="I264:I267"/>
    <mergeCell ref="D268:I268"/>
    <mergeCell ref="I269:I282"/>
    <mergeCell ref="D283:I283"/>
    <mergeCell ref="I284:I286"/>
    <mergeCell ref="D287:I287"/>
    <mergeCell ref="A197:A291"/>
    <mergeCell ref="B197:B291"/>
    <mergeCell ref="C197:I197"/>
    <mergeCell ref="I198:I206"/>
    <mergeCell ref="C207:I207"/>
    <mergeCell ref="D209:I209"/>
    <mergeCell ref="I210:I251"/>
    <mergeCell ref="D252:I252"/>
    <mergeCell ref="I253:I262"/>
    <mergeCell ref="D263:I263"/>
    <mergeCell ref="I307:I313"/>
    <mergeCell ref="A334:A343"/>
    <mergeCell ref="B334:B343"/>
    <mergeCell ref="C334:I334"/>
    <mergeCell ref="A317:A333"/>
    <mergeCell ref="B317:B333"/>
    <mergeCell ref="C317:I317"/>
    <mergeCell ref="I318:I327"/>
    <mergeCell ref="I328:I329"/>
    <mergeCell ref="I330:I331"/>
    <mergeCell ref="C332:I332"/>
  </mergeCells>
  <phoneticPr fontId="88" type="noConversion"/>
  <hyperlinks>
    <hyperlink ref="H22" r:id="rId2" xr:uid="{00000000-0004-0000-1000-000000000000}"/>
    <hyperlink ref="H19" r:id="rId3" xr:uid="{00000000-0004-0000-1000-000001000000}"/>
    <hyperlink ref="H24" r:id="rId4" xr:uid="{00000000-0004-0000-1000-000002000000}"/>
    <hyperlink ref="H25" r:id="rId5" xr:uid="{00000000-0004-0000-1000-000003000000}"/>
    <hyperlink ref="H208" r:id="rId6" xr:uid="{00000000-0004-0000-1000-000004000000}"/>
    <hyperlink ref="H198" r:id="rId7" xr:uid="{00000000-0004-0000-1000-000005000000}"/>
    <hyperlink ref="H200" r:id="rId8" xr:uid="{00000000-0004-0000-1000-000006000000}"/>
    <hyperlink ref="H203" r:id="rId9" xr:uid="{00000000-0004-0000-1000-000007000000}"/>
    <hyperlink ref="H44" r:id="rId10" xr:uid="{00000000-0004-0000-1000-000008000000}"/>
    <hyperlink ref="H156" r:id="rId11" xr:uid="{00000000-0004-0000-1000-000009000000}"/>
    <hyperlink ref="H168" r:id="rId12" xr:uid="{00000000-0004-0000-1000-00000A000000}"/>
    <hyperlink ref="H23" r:id="rId13" xr:uid="{00000000-0004-0000-1000-00000B000000}"/>
    <hyperlink ref="H9" r:id="rId14" xr:uid="{00000000-0004-0000-1000-00000C000000}"/>
    <hyperlink ref="H8" r:id="rId15" xr:uid="{00000000-0004-0000-1000-00000D000000}"/>
    <hyperlink ref="H164" r:id="rId16" xr:uid="{00000000-0004-0000-1000-00000E000000}"/>
    <hyperlink ref="H79" r:id="rId17" xr:uid="{00000000-0004-0000-1000-00000F000000}"/>
    <hyperlink ref="H161" r:id="rId18" xr:uid="{00000000-0004-0000-1000-000010000000}"/>
    <hyperlink ref="H5" r:id="rId19" xr:uid="{00000000-0004-0000-1000-000011000000}"/>
    <hyperlink ref="H6" r:id="rId20" xr:uid="{00000000-0004-0000-1000-000012000000}"/>
    <hyperlink ref="H18" r:id="rId21" xr:uid="{00000000-0004-0000-1000-000013000000}"/>
    <hyperlink ref="H151" r:id="rId22" xr:uid="{00000000-0004-0000-1000-000014000000}"/>
    <hyperlink ref="H109" r:id="rId23" xr:uid="{00000000-0004-0000-1000-000015000000}"/>
    <hyperlink ref="H4" r:id="rId24" xr:uid="{00000000-0004-0000-1000-000016000000}"/>
    <hyperlink ref="H100" r:id="rId25" xr:uid="{00000000-0004-0000-1000-000017000000}"/>
    <hyperlink ref="H141" r:id="rId26" xr:uid="{00000000-0004-0000-1000-000018000000}"/>
    <hyperlink ref="H138" r:id="rId27" xr:uid="{00000000-0004-0000-1000-000019000000}"/>
    <hyperlink ref="H140" r:id="rId28" xr:uid="{00000000-0004-0000-1000-00001A000000}"/>
    <hyperlink ref="H3" r:id="rId29" xr:uid="{00000000-0004-0000-1000-00001B000000}"/>
    <hyperlink ref="H29" r:id="rId30" xr:uid="{00000000-0004-0000-1000-00001C000000}"/>
    <hyperlink ref="H33" r:id="rId31" xr:uid="{00000000-0004-0000-1000-00001D000000}"/>
    <hyperlink ref="H92" r:id="rId32" xr:uid="{00000000-0004-0000-1000-00001E000000}"/>
    <hyperlink ref="H103" r:id="rId33" xr:uid="{00000000-0004-0000-1000-00001F000000}"/>
    <hyperlink ref="H107" r:id="rId34" xr:uid="{00000000-0004-0000-1000-000020000000}"/>
    <hyperlink ref="H41" r:id="rId35" xr:uid="{00000000-0004-0000-1000-000021000000}"/>
    <hyperlink ref="H7" r:id="rId36" xr:uid="{00000000-0004-0000-1000-000022000000}"/>
    <hyperlink ref="H15" r:id="rId37" xr:uid="{00000000-0004-0000-1000-000023000000}"/>
    <hyperlink ref="H20" r:id="rId38" xr:uid="{00000000-0004-0000-1000-000024000000}"/>
    <hyperlink ref="H21" r:id="rId39" xr:uid="{00000000-0004-0000-1000-000025000000}"/>
    <hyperlink ref="H17" r:id="rId40" xr:uid="{00000000-0004-0000-1000-000026000000}"/>
    <hyperlink ref="H204" r:id="rId41" xr:uid="{00000000-0004-0000-1000-000027000000}"/>
    <hyperlink ref="H176" r:id="rId42" xr:uid="{00000000-0004-0000-1000-000028000000}"/>
    <hyperlink ref="H175" r:id="rId43" xr:uid="{00000000-0004-0000-1000-000029000000}"/>
    <hyperlink ref="H173" r:id="rId44" xr:uid="{00000000-0004-0000-1000-00002A000000}"/>
    <hyperlink ref="H174" r:id="rId45" xr:uid="{00000000-0004-0000-1000-00002B000000}"/>
    <hyperlink ref="H42" r:id="rId46" xr:uid="{00000000-0004-0000-1000-00002C000000}"/>
    <hyperlink ref="I66" r:id="rId47" xr:uid="{00000000-0004-0000-1000-00002D000000}"/>
    <hyperlink ref="I73" r:id="rId48" xr:uid="{00000000-0004-0000-1000-00002E000000}"/>
    <hyperlink ref="I77" r:id="rId49" xr:uid="{00000000-0004-0000-1000-00002F000000}"/>
    <hyperlink ref="I71" r:id="rId50" xr:uid="{00000000-0004-0000-1000-000030000000}"/>
    <hyperlink ref="I63" r:id="rId51" xr:uid="{00000000-0004-0000-1000-000031000000}"/>
    <hyperlink ref="H49" r:id="rId52" xr:uid="{00000000-0004-0000-1000-000032000000}"/>
    <hyperlink ref="H50" r:id="rId53" xr:uid="{00000000-0004-0000-1000-000033000000}"/>
    <hyperlink ref="H51" r:id="rId54" xr:uid="{00000000-0004-0000-1000-000034000000}"/>
    <hyperlink ref="H52" r:id="rId55" xr:uid="{00000000-0004-0000-1000-000035000000}"/>
    <hyperlink ref="H53" r:id="rId56" xr:uid="{00000000-0004-0000-1000-000036000000}"/>
    <hyperlink ref="H54" r:id="rId57" xr:uid="{00000000-0004-0000-1000-000037000000}"/>
    <hyperlink ref="H55" r:id="rId58" xr:uid="{00000000-0004-0000-1000-000038000000}"/>
    <hyperlink ref="H56" r:id="rId59" xr:uid="{00000000-0004-0000-1000-000039000000}"/>
    <hyperlink ref="H57" r:id="rId60" xr:uid="{00000000-0004-0000-1000-00003A000000}"/>
    <hyperlink ref="H73" r:id="rId61" xr:uid="{00000000-0004-0000-1000-00003B000000}"/>
    <hyperlink ref="H80" r:id="rId62" xr:uid="{00000000-0004-0000-1000-00003C000000}"/>
    <hyperlink ref="H81" r:id="rId63" xr:uid="{00000000-0004-0000-1000-00003D000000}"/>
    <hyperlink ref="H82" r:id="rId64" xr:uid="{00000000-0004-0000-1000-00003E000000}"/>
    <hyperlink ref="H84" r:id="rId65" xr:uid="{00000000-0004-0000-1000-00003F000000}"/>
    <hyperlink ref="H85" r:id="rId66" xr:uid="{00000000-0004-0000-1000-000040000000}"/>
    <hyperlink ref="H86" r:id="rId67" xr:uid="{00000000-0004-0000-1000-000041000000}"/>
    <hyperlink ref="H88" r:id="rId68" xr:uid="{00000000-0004-0000-1000-000042000000}"/>
    <hyperlink ref="H89" r:id="rId69" xr:uid="{00000000-0004-0000-1000-000043000000}"/>
    <hyperlink ref="H121" r:id="rId70" xr:uid="{00000000-0004-0000-1000-000044000000}"/>
    <hyperlink ref="H123" r:id="rId71" xr:uid="{00000000-0004-0000-1000-000045000000}"/>
    <hyperlink ref="H125" r:id="rId72" xr:uid="{00000000-0004-0000-1000-000046000000}"/>
    <hyperlink ref="H126" r:id="rId73" xr:uid="{00000000-0004-0000-1000-000047000000}"/>
    <hyperlink ref="H129" r:id="rId74" xr:uid="{00000000-0004-0000-1000-000048000000}"/>
    <hyperlink ref="H130" r:id="rId75" xr:uid="{00000000-0004-0000-1000-000049000000}"/>
    <hyperlink ref="H132" r:id="rId76" xr:uid="{00000000-0004-0000-1000-00004A000000}"/>
    <hyperlink ref="H135" r:id="rId77" xr:uid="{00000000-0004-0000-1000-00004B000000}"/>
    <hyperlink ref="H134" r:id="rId78" xr:uid="{00000000-0004-0000-1000-00004C000000}"/>
    <hyperlink ref="H143" r:id="rId79" xr:uid="{00000000-0004-0000-1000-00004D000000}"/>
    <hyperlink ref="H146" r:id="rId80" xr:uid="{00000000-0004-0000-1000-00004E000000}"/>
    <hyperlink ref="H177" r:id="rId81" xr:uid="{00000000-0004-0000-1000-00004F000000}"/>
    <hyperlink ref="H179" r:id="rId82" xr:uid="{00000000-0004-0000-1000-000050000000}"/>
    <hyperlink ref="H163" r:id="rId83" xr:uid="{00000000-0004-0000-1000-000051000000}"/>
    <hyperlink ref="H154" r:id="rId84" xr:uid="{00000000-0004-0000-1000-000052000000}"/>
    <hyperlink ref="H202" r:id="rId85" xr:uid="{00000000-0004-0000-1000-000053000000}"/>
    <hyperlink ref="H181" r:id="rId86" xr:uid="{00000000-0004-0000-1000-000054000000}"/>
    <hyperlink ref="H199" r:id="rId87" xr:uid="{00000000-0004-0000-1000-000055000000}"/>
    <hyperlink ref="H184" r:id="rId88" xr:uid="{00000000-0004-0000-1000-000056000000}"/>
    <hyperlink ref="H186" r:id="rId89" xr:uid="{00000000-0004-0000-1000-000057000000}"/>
    <hyperlink ref="H187" r:id="rId90" xr:uid="{00000000-0004-0000-1000-000058000000}"/>
    <hyperlink ref="H182" r:id="rId91" xr:uid="{00000000-0004-0000-1000-000059000000}"/>
    <hyperlink ref="H183" r:id="rId92" xr:uid="{00000000-0004-0000-1000-00005A000000}"/>
    <hyperlink ref="I58" r:id="rId93" xr:uid="{00000000-0004-0000-1000-00005B000000}"/>
    <hyperlink ref="H116" r:id="rId94" xr:uid="{00000000-0004-0000-1000-00005C000000}"/>
    <hyperlink ref="H112" r:id="rId95" xr:uid="{00000000-0004-0000-1000-00005D000000}"/>
    <hyperlink ref="H10" r:id="rId96" xr:uid="{00000000-0004-0000-1000-00005E000000}"/>
    <hyperlink ref="H12" r:id="rId97" xr:uid="{00000000-0004-0000-1000-00005F000000}"/>
    <hyperlink ref="H171" r:id="rId98" xr:uid="{00000000-0004-0000-1000-000060000000}"/>
    <hyperlink ref="H172" r:id="rId99" xr:uid="{00000000-0004-0000-1000-000061000000}"/>
    <hyperlink ref="H297" r:id="rId100" xr:uid="{00000000-0004-0000-1000-000062000000}"/>
    <hyperlink ref="H343" r:id="rId101" xr:uid="{00000000-0004-0000-1000-000063000000}"/>
    <hyperlink ref="H318" r:id="rId102" xr:uid="{00000000-0004-0000-1000-000064000000}"/>
    <hyperlink ref="H319" r:id="rId103" xr:uid="{00000000-0004-0000-1000-000065000000}"/>
    <hyperlink ref="H189" r:id="rId104" xr:uid="{00000000-0004-0000-1000-000066000000}"/>
    <hyperlink ref="H188" r:id="rId105" xr:uid="{00000000-0004-0000-1000-000067000000}"/>
    <hyperlink ref="H192" r:id="rId106" xr:uid="{00000000-0004-0000-1000-000068000000}"/>
    <hyperlink ref="H110" r:id="rId107" xr:uid="{00000000-0004-0000-1000-000069000000}"/>
    <hyperlink ref="H118" r:id="rId108" xr:uid="{00000000-0004-0000-1000-00006A000000}"/>
    <hyperlink ref="H150" r:id="rId109" xr:uid="{00000000-0004-0000-1000-00006B000000}"/>
    <hyperlink ref="H306" r:id="rId110" xr:uid="{00000000-0004-0000-1000-00006C000000}"/>
    <hyperlink ref="H302" r:id="rId111" xr:uid="{00000000-0004-0000-1000-00006D000000}"/>
    <hyperlink ref="H316" r:id="rId112" xr:uid="{00000000-0004-0000-1000-00006E000000}"/>
    <hyperlink ref="H296" r:id="rId113" xr:uid="{00000000-0004-0000-1000-00006F000000}"/>
    <hyperlink ref="H315" r:id="rId114" xr:uid="{00000000-0004-0000-1000-000070000000}"/>
    <hyperlink ref="H320" r:id="rId115" xr:uid="{00000000-0004-0000-1000-000071000000}"/>
    <hyperlink ref="H308" r:id="rId116" xr:uid="{00000000-0004-0000-1000-000072000000}"/>
    <hyperlink ref="H321" r:id="rId117" xr:uid="{00000000-0004-0000-1000-000073000000}"/>
    <hyperlink ref="H190" r:id="rId118" xr:uid="{00000000-0004-0000-1000-000074000000}"/>
    <hyperlink ref="H111" r:id="rId119" xr:uid="{00000000-0004-0000-1000-000075000000}"/>
    <hyperlink ref="H305" r:id="rId120" xr:uid="{00000000-0004-0000-1000-000076000000}"/>
    <hyperlink ref="H148" r:id="rId121" xr:uid="{00000000-0004-0000-1000-000077000000}"/>
    <hyperlink ref="H295" r:id="rId122" xr:uid="{00000000-0004-0000-1000-000078000000}"/>
    <hyperlink ref="H304" r:id="rId123" xr:uid="{00000000-0004-0000-1000-000079000000}"/>
    <hyperlink ref="H114" r:id="rId124" xr:uid="{00000000-0004-0000-1000-00007A000000}"/>
    <hyperlink ref="H312" r:id="rId125" xr:uid="{00000000-0004-0000-1000-00007B000000}"/>
    <hyperlink ref="H322" r:id="rId126" xr:uid="{00000000-0004-0000-1000-00007C000000}"/>
    <hyperlink ref="H323" r:id="rId127" xr:uid="{00000000-0004-0000-1000-00007D000000}"/>
    <hyperlink ref="H301" r:id="rId128" xr:uid="{00000000-0004-0000-1000-00007E000000}"/>
    <hyperlink ref="H324" r:id="rId129" xr:uid="{00000000-0004-0000-1000-00007F000000}"/>
    <hyperlink ref="H325" r:id="rId130" xr:uid="{00000000-0004-0000-1000-000080000000}"/>
    <hyperlink ref="H327" r:id="rId131" xr:uid="{00000000-0004-0000-1000-000081000000}"/>
    <hyperlink ref="H326" r:id="rId132" xr:uid="{00000000-0004-0000-1000-000082000000}"/>
    <hyperlink ref="H300" r:id="rId133" xr:uid="{00000000-0004-0000-1000-000083000000}"/>
    <hyperlink ref="H117" r:id="rId134" xr:uid="{00000000-0004-0000-1000-000084000000}"/>
    <hyperlink ref="H115" r:id="rId135" xr:uid="{00000000-0004-0000-1000-000085000000}"/>
    <hyperlink ref="H286" r:id="rId136" xr:uid="{00000000-0004-0000-1000-000086000000}"/>
    <hyperlink ref="H284" r:id="rId137" xr:uid="{00000000-0004-0000-1000-000087000000}"/>
    <hyperlink ref="H285" r:id="rId138" xr:uid="{00000000-0004-0000-1000-000088000000}"/>
    <hyperlink ref="H289" r:id="rId139" xr:uid="{00000000-0004-0000-1000-000089000000}"/>
    <hyperlink ref="H288" r:id="rId140" xr:uid="{00000000-0004-0000-1000-00008A000000}"/>
    <hyperlink ref="H290" r:id="rId141" xr:uid="{00000000-0004-0000-1000-00008B000000}"/>
    <hyperlink ref="H291" r:id="rId142" xr:uid="{00000000-0004-0000-1000-00008C000000}"/>
    <hyperlink ref="H279" r:id="rId143" xr:uid="{00000000-0004-0000-1000-00008D000000}"/>
    <hyperlink ref="H206" r:id="rId144" xr:uid="{00000000-0004-0000-1000-00008E000000}"/>
    <hyperlink ref="H299" r:id="rId145" xr:uid="{00000000-0004-0000-1000-00008F000000}"/>
    <hyperlink ref="H338" r:id="rId146" xr:uid="{00000000-0004-0000-1000-000090000000}"/>
    <hyperlink ref="H341" r:id="rId147" xr:uid="{00000000-0004-0000-1000-000091000000}"/>
    <hyperlink ref="H342" r:id="rId148" xr:uid="{00000000-0004-0000-1000-000092000000}"/>
    <hyperlink ref="H205" r:id="rId149" xr:uid="{00000000-0004-0000-1000-000093000000}"/>
    <hyperlink ref="H303" r:id="rId150" xr:uid="{00000000-0004-0000-1000-000094000000}"/>
    <hyperlink ref="H232" r:id="rId151" xr:uid="{00000000-0004-0000-1000-000095000000}"/>
    <hyperlink ref="H311" r:id="rId152" xr:uid="{00000000-0004-0000-1000-000096000000}"/>
    <hyperlink ref="H309" r:id="rId153" xr:uid="{00000000-0004-0000-1000-000097000000}"/>
    <hyperlink ref="H310" r:id="rId154" xr:uid="{00000000-0004-0000-1000-000098000000}"/>
    <hyperlink ref="H258" r:id="rId155" xr:uid="{00000000-0004-0000-1000-000099000000}"/>
    <hyperlink ref="H165" r:id="rId156" xr:uid="{00000000-0004-0000-1000-00009A000000}"/>
    <hyperlink ref="H330" r:id="rId157" xr:uid="{00000000-0004-0000-1000-00009B000000}"/>
    <hyperlink ref="H328" r:id="rId158" xr:uid="{00000000-0004-0000-1000-00009C000000}"/>
    <hyperlink ref="I69" r:id="rId159" xr:uid="{00000000-0004-0000-1000-00009D000000}"/>
    <hyperlink ref="H166" r:id="rId160" xr:uid="{00000000-0004-0000-1000-00009E000000}"/>
    <hyperlink ref="H159" r:id="rId161" xr:uid="{00000000-0004-0000-1000-00009F000000}"/>
    <hyperlink ref="H158" r:id="rId162" xr:uid="{00000000-0004-0000-1000-0000A0000000}"/>
    <hyperlink ref="H191" r:id="rId163" xr:uid="{00000000-0004-0000-1000-0000A1000000}"/>
    <hyperlink ref="H235" r:id="rId164" xr:uid="{00000000-0004-0000-1000-0000A2000000}"/>
    <hyperlink ref="H113" r:id="rId165" xr:uid="{00000000-0004-0000-1000-0000A3000000}"/>
    <hyperlink ref="H155" r:id="rId166" xr:uid="{00000000-0004-0000-1000-0000A4000000}"/>
    <hyperlink ref="H157" r:id="rId167" xr:uid="{00000000-0004-0000-1000-0000A5000000}"/>
    <hyperlink ref="H46" r:id="rId168" xr:uid="{00000000-0004-0000-1000-0000A6000000}"/>
    <hyperlink ref="H47" r:id="rId169" xr:uid="{00000000-0004-0000-1000-0000A7000000}"/>
    <hyperlink ref="H48" r:id="rId170" xr:uid="{00000000-0004-0000-1000-0000A8000000}"/>
    <hyperlink ref="H294" r:id="rId171" xr:uid="{00000000-0004-0000-1000-0000A9000000}"/>
    <hyperlink ref="H293" r:id="rId172" xr:uid="{00000000-0004-0000-1000-0000AA000000}"/>
    <hyperlink ref="H337" r:id="rId173" xr:uid="{00000000-0004-0000-1000-0000AB000000}"/>
    <hyperlink ref="H339" r:id="rId174" xr:uid="{00000000-0004-0000-1000-0000AC000000}"/>
    <hyperlink ref="H340" r:id="rId175" xr:uid="{00000000-0004-0000-1000-0000AD000000}"/>
    <hyperlink ref="H75" r:id="rId176" xr:uid="{00000000-0004-0000-1000-0000AE000000}"/>
    <hyperlink ref="H185" r:id="rId177" xr:uid="{00000000-0004-0000-1000-0000AF000000}"/>
    <hyperlink ref="H313" r:id="rId178" xr:uid="{00000000-0004-0000-1000-0000B0000000}"/>
    <hyperlink ref="H307" r:id="rId179" xr:uid="{00000000-0004-0000-1000-0000B1000000}"/>
    <hyperlink ref="H201" r:id="rId180" xr:uid="{00000000-0004-0000-1000-0000B2000000}"/>
    <hyperlink ref="H298" r:id="rId181" xr:uid="{00000000-0004-0000-1000-0000B3000000}"/>
    <hyperlink ref="H329" r:id="rId182" xr:uid="{00000000-0004-0000-1000-0000B4000000}"/>
  </hyperlinks>
  <printOptions horizontalCentered="1"/>
  <pageMargins left="0.5" right="0.5" top="1.06" bottom="0.5" header="0.5" footer="0.25"/>
  <pageSetup scale="50" orientation="landscape" copies="7" r:id="rId183"/>
  <headerFooter>
    <oddHeader xml:space="preserve">&amp;L&amp;G&amp;C&amp;"Arial Black,Bold"&amp;24&amp;K04+000CLSA Trust Carrier/Vendor Contacts
&amp;20&amp;K05+000for HUB Trust Team&amp;R&amp;12&amp;K04+000
Page | &amp;"Arial,Bold"&amp;P
</oddHeader>
    <oddFooter>&amp;C&amp;K04+000© 2017 California Life Sciences Association. All rights reserved.   |   &amp;"-,Bold"clsatrust.com</oddFooter>
  </headerFooter>
  <rowBreaks count="1" manualBreakCount="1">
    <brk id="316" max="7" man="1"/>
  </rowBreaks>
  <legacyDrawing r:id="rId184"/>
  <legacyDrawingHF r:id="rId18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7030A0"/>
    <pageSetUpPr fitToPage="1"/>
  </sheetPr>
  <dimension ref="A1:K234"/>
  <sheetViews>
    <sheetView workbookViewId="0">
      <pane ySplit="5" topLeftCell="A6" activePane="bottomLeft" state="frozen"/>
      <selection activeCell="D1" sqref="D1:E1048576"/>
      <selection pane="bottomLeft" activeCell="A5" sqref="A1:A1048576"/>
    </sheetView>
  </sheetViews>
  <sheetFormatPr defaultColWidth="8" defaultRowHeight="15"/>
  <cols>
    <col min="1" max="1" width="10.125" style="688" customWidth="1"/>
    <col min="2" max="2" width="23.125" style="696" customWidth="1"/>
    <col min="3" max="3" width="17.5" style="696" customWidth="1"/>
    <col min="4" max="4" width="13.125" style="701" customWidth="1"/>
    <col min="5" max="5" width="10.625" style="702" customWidth="1"/>
    <col min="6" max="6" width="9.625" style="703" customWidth="1"/>
    <col min="7" max="7" width="25" style="700" customWidth="1"/>
    <col min="8" max="8" width="23.125" style="700" customWidth="1"/>
    <col min="9" max="9" width="12.125" style="695" customWidth="1"/>
    <col min="10" max="10" width="21.5" style="700" bestFit="1" customWidth="1"/>
    <col min="11" max="11" width="11.875" style="700" bestFit="1" customWidth="1"/>
    <col min="12" max="16384" width="8" style="688"/>
  </cols>
  <sheetData>
    <row r="1" spans="1:11" ht="92.25" customHeight="1">
      <c r="A1" s="1965" t="s">
        <v>3675</v>
      </c>
      <c r="B1" s="1966"/>
      <c r="C1" s="1966"/>
      <c r="D1" s="1966"/>
      <c r="E1" s="1966"/>
      <c r="F1" s="1966"/>
      <c r="G1" s="1966"/>
      <c r="H1" s="1966"/>
      <c r="I1" s="1966"/>
      <c r="J1" s="1967"/>
      <c r="K1" s="687"/>
    </row>
    <row r="2" spans="1:11" s="689" customFormat="1" ht="60.75" customHeight="1">
      <c r="A2" s="1968" t="s">
        <v>3676</v>
      </c>
      <c r="B2" s="1969"/>
      <c r="C2" s="1969"/>
      <c r="D2" s="1969"/>
      <c r="E2" s="1969"/>
      <c r="F2" s="1969"/>
      <c r="G2" s="1969"/>
      <c r="H2" s="1969"/>
      <c r="I2" s="1969"/>
      <c r="J2" s="1970"/>
      <c r="K2" s="687"/>
    </row>
    <row r="3" spans="1:11">
      <c r="A3" s="1971" t="s">
        <v>3677</v>
      </c>
      <c r="B3" s="1972"/>
      <c r="C3" s="1972"/>
      <c r="D3" s="1972"/>
      <c r="E3" s="1972"/>
      <c r="F3" s="1972"/>
      <c r="G3" s="1972"/>
      <c r="H3" s="1972"/>
      <c r="I3" s="1972"/>
      <c r="J3" s="1973"/>
      <c r="K3" s="687"/>
    </row>
    <row r="4" spans="1:11">
      <c r="A4" s="1971" t="s">
        <v>3678</v>
      </c>
      <c r="B4" s="1972"/>
      <c r="C4" s="1972"/>
      <c r="D4" s="1972"/>
      <c r="E4" s="1972"/>
      <c r="F4" s="1972"/>
      <c r="G4" s="1972"/>
      <c r="H4" s="1972"/>
      <c r="I4" s="1972"/>
      <c r="J4" s="1973"/>
      <c r="K4" s="687"/>
    </row>
    <row r="5" spans="1:11" s="695" customFormat="1" ht="45">
      <c r="A5" s="690" t="s">
        <v>3679</v>
      </c>
      <c r="B5" s="691" t="s">
        <v>3680</v>
      </c>
      <c r="C5" s="691" t="s">
        <v>3681</v>
      </c>
      <c r="D5" s="691" t="s">
        <v>3682</v>
      </c>
      <c r="E5" s="692" t="s">
        <v>3683</v>
      </c>
      <c r="F5" s="692" t="s">
        <v>3684</v>
      </c>
      <c r="G5" s="691" t="s">
        <v>3685</v>
      </c>
      <c r="H5" s="693" t="s">
        <v>3686</v>
      </c>
      <c r="I5" s="694" t="s">
        <v>3687</v>
      </c>
      <c r="J5" s="687" t="s">
        <v>3688</v>
      </c>
      <c r="K5" s="687" t="s">
        <v>3645</v>
      </c>
    </row>
    <row r="6" spans="1:11" ht="39" thickBot="1">
      <c r="A6" s="984" t="s">
        <v>539</v>
      </c>
      <c r="B6" s="985" t="s">
        <v>3650</v>
      </c>
      <c r="C6" s="986">
        <v>5347642</v>
      </c>
      <c r="D6" s="986">
        <v>5347642</v>
      </c>
      <c r="E6" s="987">
        <v>1</v>
      </c>
      <c r="F6" s="987">
        <v>1</v>
      </c>
      <c r="G6" s="825" t="s">
        <v>4228</v>
      </c>
      <c r="H6" s="950" t="s">
        <v>3691</v>
      </c>
      <c r="I6" s="988" t="s">
        <v>4229</v>
      </c>
      <c r="J6" s="950" t="s">
        <v>4073</v>
      </c>
      <c r="K6" s="989">
        <v>42767</v>
      </c>
    </row>
    <row r="7" spans="1:11" ht="27" thickTop="1" thickBot="1">
      <c r="A7" s="984" t="s">
        <v>539</v>
      </c>
      <c r="B7" s="985" t="s">
        <v>3650</v>
      </c>
      <c r="C7" s="986">
        <v>5347642</v>
      </c>
      <c r="D7" s="986">
        <v>5347642</v>
      </c>
      <c r="E7" s="987">
        <v>1</v>
      </c>
      <c r="F7" s="987">
        <v>1100</v>
      </c>
      <c r="G7" s="825" t="s">
        <v>4230</v>
      </c>
      <c r="H7" s="950" t="s">
        <v>72</v>
      </c>
      <c r="I7" s="988" t="s">
        <v>3695</v>
      </c>
      <c r="J7" s="950" t="s">
        <v>4073</v>
      </c>
      <c r="K7" s="989">
        <v>42767</v>
      </c>
    </row>
    <row r="8" spans="1:11" ht="27" thickTop="1" thickBot="1">
      <c r="A8" s="990" t="s">
        <v>539</v>
      </c>
      <c r="B8" s="991" t="s">
        <v>3689</v>
      </c>
      <c r="C8" s="992">
        <v>5347643</v>
      </c>
      <c r="D8" s="992">
        <v>5347643</v>
      </c>
      <c r="E8" s="993">
        <v>2</v>
      </c>
      <c r="F8" s="993">
        <v>1</v>
      </c>
      <c r="G8" s="826" t="s">
        <v>3690</v>
      </c>
      <c r="H8" s="994" t="s">
        <v>3691</v>
      </c>
      <c r="I8" s="995" t="s">
        <v>3692</v>
      </c>
      <c r="J8" s="994" t="s">
        <v>178</v>
      </c>
      <c r="K8" s="996">
        <v>42795</v>
      </c>
    </row>
    <row r="9" spans="1:11" ht="33" thickTop="1" thickBot="1">
      <c r="A9" s="990" t="s">
        <v>3693</v>
      </c>
      <c r="B9" s="991" t="s">
        <v>3694</v>
      </c>
      <c r="C9" s="992">
        <v>5347643</v>
      </c>
      <c r="D9" s="992">
        <v>5347643</v>
      </c>
      <c r="E9" s="993">
        <v>2</v>
      </c>
      <c r="F9" s="993">
        <v>1</v>
      </c>
      <c r="G9" s="827" t="s">
        <v>3690</v>
      </c>
      <c r="H9" s="994" t="s">
        <v>3691</v>
      </c>
      <c r="I9" s="995" t="s">
        <v>3695</v>
      </c>
      <c r="J9" s="994" t="s">
        <v>178</v>
      </c>
      <c r="K9" s="996">
        <v>42795</v>
      </c>
    </row>
    <row r="10" spans="1:11" ht="27" thickTop="1" thickBot="1">
      <c r="A10" s="984" t="s">
        <v>539</v>
      </c>
      <c r="B10" s="985" t="s">
        <v>3696</v>
      </c>
      <c r="C10" s="986">
        <v>5347643</v>
      </c>
      <c r="D10" s="986">
        <v>5347643</v>
      </c>
      <c r="E10" s="987">
        <v>3</v>
      </c>
      <c r="F10" s="987">
        <v>1</v>
      </c>
      <c r="G10" s="825" t="s">
        <v>3690</v>
      </c>
      <c r="H10" s="950" t="s">
        <v>3697</v>
      </c>
      <c r="I10" s="988" t="s">
        <v>3692</v>
      </c>
      <c r="J10" s="950" t="s">
        <v>141</v>
      </c>
      <c r="K10" s="989">
        <v>42826</v>
      </c>
    </row>
    <row r="11" spans="1:11" ht="33" thickTop="1" thickBot="1">
      <c r="A11" s="984" t="s">
        <v>3693</v>
      </c>
      <c r="B11" s="985" t="s">
        <v>3694</v>
      </c>
      <c r="C11" s="986">
        <v>5347643</v>
      </c>
      <c r="D11" s="986">
        <v>5347643</v>
      </c>
      <c r="E11" s="987">
        <v>3</v>
      </c>
      <c r="F11" s="987">
        <v>1</v>
      </c>
      <c r="G11" s="825" t="s">
        <v>3690</v>
      </c>
      <c r="H11" s="950" t="s">
        <v>3697</v>
      </c>
      <c r="I11" s="988" t="s">
        <v>3695</v>
      </c>
      <c r="J11" s="950" t="s">
        <v>141</v>
      </c>
      <c r="K11" s="989">
        <v>42826</v>
      </c>
    </row>
    <row r="12" spans="1:11" ht="27" thickTop="1" thickBot="1">
      <c r="A12" s="990" t="s">
        <v>539</v>
      </c>
      <c r="B12" s="991" t="s">
        <v>3689</v>
      </c>
      <c r="C12" s="992">
        <v>5347643</v>
      </c>
      <c r="D12" s="992">
        <v>5347643</v>
      </c>
      <c r="E12" s="993">
        <v>4</v>
      </c>
      <c r="F12" s="993">
        <v>1</v>
      </c>
      <c r="G12" s="827" t="s">
        <v>3690</v>
      </c>
      <c r="H12" s="994" t="s">
        <v>3691</v>
      </c>
      <c r="I12" s="995" t="s">
        <v>3692</v>
      </c>
      <c r="J12" s="994" t="s">
        <v>152</v>
      </c>
      <c r="K12" s="996">
        <v>42826</v>
      </c>
    </row>
    <row r="13" spans="1:11" ht="33" thickTop="1" thickBot="1">
      <c r="A13" s="990" t="s">
        <v>3693</v>
      </c>
      <c r="B13" s="991" t="s">
        <v>3694</v>
      </c>
      <c r="C13" s="992">
        <v>5347643</v>
      </c>
      <c r="D13" s="992">
        <v>5347643</v>
      </c>
      <c r="E13" s="993">
        <v>4</v>
      </c>
      <c r="F13" s="993">
        <v>1</v>
      </c>
      <c r="G13" s="827" t="s">
        <v>3690</v>
      </c>
      <c r="H13" s="994" t="s">
        <v>3691</v>
      </c>
      <c r="I13" s="995" t="s">
        <v>3695</v>
      </c>
      <c r="J13" s="994" t="s">
        <v>152</v>
      </c>
      <c r="K13" s="996">
        <v>42842</v>
      </c>
    </row>
    <row r="14" spans="1:11" ht="27" thickTop="1" thickBot="1">
      <c r="A14" s="984" t="s">
        <v>539</v>
      </c>
      <c r="B14" s="985" t="s">
        <v>3698</v>
      </c>
      <c r="C14" s="986">
        <v>5347643</v>
      </c>
      <c r="D14" s="986">
        <v>5347643</v>
      </c>
      <c r="E14" s="987">
        <v>5</v>
      </c>
      <c r="F14" s="987">
        <v>1</v>
      </c>
      <c r="G14" s="825" t="s">
        <v>3690</v>
      </c>
      <c r="H14" s="950" t="s">
        <v>3691</v>
      </c>
      <c r="I14" s="988" t="s">
        <v>3692</v>
      </c>
      <c r="J14" s="950" t="s">
        <v>408</v>
      </c>
      <c r="K14" s="989">
        <v>42887</v>
      </c>
    </row>
    <row r="15" spans="1:11" ht="33" thickTop="1" thickBot="1">
      <c r="A15" s="984" t="s">
        <v>3693</v>
      </c>
      <c r="B15" s="985" t="s">
        <v>3699</v>
      </c>
      <c r="C15" s="986">
        <v>5347643</v>
      </c>
      <c r="D15" s="986">
        <v>5347643</v>
      </c>
      <c r="E15" s="987">
        <v>5</v>
      </c>
      <c r="F15" s="987">
        <v>1</v>
      </c>
      <c r="G15" s="825" t="s">
        <v>3690</v>
      </c>
      <c r="H15" s="950" t="s">
        <v>3691</v>
      </c>
      <c r="I15" s="988" t="s">
        <v>3695</v>
      </c>
      <c r="J15" s="950" t="s">
        <v>408</v>
      </c>
      <c r="K15" s="989">
        <v>42887</v>
      </c>
    </row>
    <row r="16" spans="1:11" ht="27" thickTop="1" thickBot="1">
      <c r="A16" s="990" t="s">
        <v>539</v>
      </c>
      <c r="B16" s="991" t="s">
        <v>3689</v>
      </c>
      <c r="C16" s="992">
        <v>5347643</v>
      </c>
      <c r="D16" s="992">
        <v>5347643</v>
      </c>
      <c r="E16" s="993">
        <v>6</v>
      </c>
      <c r="F16" s="993">
        <v>1</v>
      </c>
      <c r="G16" s="827" t="s">
        <v>3690</v>
      </c>
      <c r="H16" s="994" t="s">
        <v>3691</v>
      </c>
      <c r="I16" s="995" t="s">
        <v>3692</v>
      </c>
      <c r="J16" s="994" t="s">
        <v>132</v>
      </c>
      <c r="K16" s="996">
        <v>42917</v>
      </c>
    </row>
    <row r="17" spans="1:11" ht="33" thickTop="1" thickBot="1">
      <c r="A17" s="990" t="s">
        <v>3693</v>
      </c>
      <c r="B17" s="991" t="s">
        <v>3699</v>
      </c>
      <c r="C17" s="992">
        <v>5347643</v>
      </c>
      <c r="D17" s="992">
        <v>5347643</v>
      </c>
      <c r="E17" s="993">
        <v>6</v>
      </c>
      <c r="F17" s="993">
        <v>1</v>
      </c>
      <c r="G17" s="827" t="s">
        <v>3690</v>
      </c>
      <c r="H17" s="994" t="s">
        <v>3691</v>
      </c>
      <c r="I17" s="995" t="s">
        <v>3695</v>
      </c>
      <c r="J17" s="994" t="s">
        <v>132</v>
      </c>
      <c r="K17" s="996">
        <v>42917</v>
      </c>
    </row>
    <row r="18" spans="1:11" ht="27" thickTop="1" thickBot="1">
      <c r="A18" s="984" t="s">
        <v>539</v>
      </c>
      <c r="B18" s="985" t="s">
        <v>3689</v>
      </c>
      <c r="C18" s="986">
        <v>5347643</v>
      </c>
      <c r="D18" s="986">
        <v>5347643</v>
      </c>
      <c r="E18" s="987">
        <v>7</v>
      </c>
      <c r="F18" s="987">
        <v>1</v>
      </c>
      <c r="G18" s="825" t="s">
        <v>3690</v>
      </c>
      <c r="H18" s="950" t="s">
        <v>4342</v>
      </c>
      <c r="I18" s="988" t="s">
        <v>3692</v>
      </c>
      <c r="J18" s="950" t="s">
        <v>3700</v>
      </c>
      <c r="K18" s="989">
        <v>42979</v>
      </c>
    </row>
    <row r="19" spans="1:11" ht="33" thickTop="1" thickBot="1">
      <c r="A19" s="984" t="s">
        <v>3693</v>
      </c>
      <c r="B19" s="985" t="s">
        <v>3699</v>
      </c>
      <c r="C19" s="986">
        <v>5347643</v>
      </c>
      <c r="D19" s="986">
        <v>5347643</v>
      </c>
      <c r="E19" s="987">
        <v>7</v>
      </c>
      <c r="F19" s="987">
        <v>1</v>
      </c>
      <c r="G19" s="825" t="s">
        <v>3690</v>
      </c>
      <c r="H19" s="950" t="s">
        <v>4342</v>
      </c>
      <c r="I19" s="988" t="s">
        <v>3695</v>
      </c>
      <c r="J19" s="950" t="s">
        <v>3700</v>
      </c>
      <c r="K19" s="989">
        <v>42979</v>
      </c>
    </row>
    <row r="20" spans="1:11" ht="27" thickTop="1" thickBot="1">
      <c r="A20" s="990" t="s">
        <v>539</v>
      </c>
      <c r="B20" s="991" t="s">
        <v>3696</v>
      </c>
      <c r="C20" s="992">
        <v>5347643</v>
      </c>
      <c r="D20" s="992">
        <v>5347643</v>
      </c>
      <c r="E20" s="993">
        <v>8</v>
      </c>
      <c r="F20" s="993">
        <v>1</v>
      </c>
      <c r="G20" s="827" t="s">
        <v>3690</v>
      </c>
      <c r="H20" s="994" t="s">
        <v>3691</v>
      </c>
      <c r="I20" s="995" t="s">
        <v>3692</v>
      </c>
      <c r="J20" s="994" t="s">
        <v>3701</v>
      </c>
      <c r="K20" s="996">
        <v>42979</v>
      </c>
    </row>
    <row r="21" spans="1:11" ht="33" thickTop="1" thickBot="1">
      <c r="A21" s="990" t="s">
        <v>3693</v>
      </c>
      <c r="B21" s="991" t="s">
        <v>3702</v>
      </c>
      <c r="C21" s="992">
        <v>5347643</v>
      </c>
      <c r="D21" s="992">
        <v>5347643</v>
      </c>
      <c r="E21" s="993">
        <v>8</v>
      </c>
      <c r="F21" s="993">
        <v>1</v>
      </c>
      <c r="G21" s="827" t="s">
        <v>3690</v>
      </c>
      <c r="H21" s="994" t="s">
        <v>3691</v>
      </c>
      <c r="I21" s="995" t="s">
        <v>3695</v>
      </c>
      <c r="J21" s="994" t="s">
        <v>3701</v>
      </c>
      <c r="K21" s="996">
        <v>42979</v>
      </c>
    </row>
    <row r="22" spans="1:11" ht="27" thickTop="1" thickBot="1">
      <c r="A22" s="984" t="s">
        <v>539</v>
      </c>
      <c r="B22" s="985" t="s">
        <v>3696</v>
      </c>
      <c r="C22" s="986">
        <v>5347643</v>
      </c>
      <c r="D22" s="986">
        <v>5347643</v>
      </c>
      <c r="E22" s="987">
        <v>9</v>
      </c>
      <c r="F22" s="987">
        <v>1</v>
      </c>
      <c r="G22" s="825" t="s">
        <v>3690</v>
      </c>
      <c r="H22" s="950" t="s">
        <v>3697</v>
      </c>
      <c r="I22" s="988" t="s">
        <v>3692</v>
      </c>
      <c r="J22" s="950" t="s">
        <v>3703</v>
      </c>
      <c r="K22" s="989">
        <v>42979</v>
      </c>
    </row>
    <row r="23" spans="1:11" ht="33" thickTop="1" thickBot="1">
      <c r="A23" s="984" t="s">
        <v>3693</v>
      </c>
      <c r="B23" s="985" t="s">
        <v>3694</v>
      </c>
      <c r="C23" s="986">
        <v>5347643</v>
      </c>
      <c r="D23" s="986">
        <v>5347643</v>
      </c>
      <c r="E23" s="987">
        <v>9</v>
      </c>
      <c r="F23" s="987">
        <v>1</v>
      </c>
      <c r="G23" s="825" t="s">
        <v>3690</v>
      </c>
      <c r="H23" s="950" t="s">
        <v>3697</v>
      </c>
      <c r="I23" s="988" t="s">
        <v>3695</v>
      </c>
      <c r="J23" s="950" t="s">
        <v>3703</v>
      </c>
      <c r="K23" s="989">
        <v>42979</v>
      </c>
    </row>
    <row r="24" spans="1:11" ht="27" thickTop="1" thickBot="1">
      <c r="A24" s="990" t="s">
        <v>539</v>
      </c>
      <c r="B24" s="991" t="s">
        <v>3696</v>
      </c>
      <c r="C24" s="992">
        <v>5347643</v>
      </c>
      <c r="D24" s="992">
        <v>5347643</v>
      </c>
      <c r="E24" s="993">
        <v>10</v>
      </c>
      <c r="F24" s="993">
        <v>1</v>
      </c>
      <c r="G24" s="827" t="s">
        <v>3690</v>
      </c>
      <c r="H24" s="994" t="s">
        <v>3691</v>
      </c>
      <c r="I24" s="995" t="s">
        <v>3692</v>
      </c>
      <c r="J24" s="997" t="s">
        <v>347</v>
      </c>
      <c r="K24" s="996">
        <v>43009</v>
      </c>
    </row>
    <row r="25" spans="1:11" ht="33" thickTop="1" thickBot="1">
      <c r="A25" s="990" t="s">
        <v>3693</v>
      </c>
      <c r="B25" s="991" t="s">
        <v>3702</v>
      </c>
      <c r="C25" s="992">
        <v>5347643</v>
      </c>
      <c r="D25" s="992">
        <v>5347643</v>
      </c>
      <c r="E25" s="993">
        <v>10</v>
      </c>
      <c r="F25" s="993">
        <v>1</v>
      </c>
      <c r="G25" s="827" t="s">
        <v>3690</v>
      </c>
      <c r="H25" s="994" t="s">
        <v>3691</v>
      </c>
      <c r="I25" s="995" t="s">
        <v>3695</v>
      </c>
      <c r="J25" s="997" t="s">
        <v>347</v>
      </c>
      <c r="K25" s="996">
        <v>43009</v>
      </c>
    </row>
    <row r="26" spans="1:11" ht="27" thickTop="1" thickBot="1">
      <c r="A26" s="984" t="s">
        <v>539</v>
      </c>
      <c r="B26" s="985" t="s">
        <v>3696</v>
      </c>
      <c r="C26" s="986">
        <v>5347643</v>
      </c>
      <c r="D26" s="986">
        <v>5347643</v>
      </c>
      <c r="E26" s="987">
        <v>11</v>
      </c>
      <c r="F26" s="987">
        <v>1</v>
      </c>
      <c r="G26" s="825" t="s">
        <v>3690</v>
      </c>
      <c r="H26" s="950" t="s">
        <v>3691</v>
      </c>
      <c r="I26" s="988" t="s">
        <v>3692</v>
      </c>
      <c r="J26" s="950" t="s">
        <v>424</v>
      </c>
      <c r="K26" s="989">
        <v>43101</v>
      </c>
    </row>
    <row r="27" spans="1:11" ht="33" thickTop="1" thickBot="1">
      <c r="A27" s="984" t="s">
        <v>3693</v>
      </c>
      <c r="B27" s="985" t="s">
        <v>3699</v>
      </c>
      <c r="C27" s="986">
        <v>5347643</v>
      </c>
      <c r="D27" s="986">
        <v>5347643</v>
      </c>
      <c r="E27" s="987">
        <v>11</v>
      </c>
      <c r="F27" s="987">
        <v>1</v>
      </c>
      <c r="G27" s="825" t="s">
        <v>3690</v>
      </c>
      <c r="H27" s="950" t="s">
        <v>3691</v>
      </c>
      <c r="I27" s="988" t="s">
        <v>3695</v>
      </c>
      <c r="J27" s="950" t="s">
        <v>424</v>
      </c>
      <c r="K27" s="989">
        <v>43101</v>
      </c>
    </row>
    <row r="28" spans="1:11" ht="27" thickTop="1" thickBot="1">
      <c r="A28" s="990" t="s">
        <v>539</v>
      </c>
      <c r="B28" s="991" t="s">
        <v>3696</v>
      </c>
      <c r="C28" s="992">
        <v>5347643</v>
      </c>
      <c r="D28" s="992">
        <v>5347643</v>
      </c>
      <c r="E28" s="993">
        <v>12</v>
      </c>
      <c r="F28" s="993">
        <v>1</v>
      </c>
      <c r="G28" s="827" t="s">
        <v>3690</v>
      </c>
      <c r="H28" s="994" t="s">
        <v>3697</v>
      </c>
      <c r="I28" s="995" t="s">
        <v>3692</v>
      </c>
      <c r="J28" s="994" t="s">
        <v>3704</v>
      </c>
      <c r="K28" s="996">
        <v>43101</v>
      </c>
    </row>
    <row r="29" spans="1:11" ht="33" thickTop="1" thickBot="1">
      <c r="A29" s="990" t="s">
        <v>3693</v>
      </c>
      <c r="B29" s="991" t="s">
        <v>3702</v>
      </c>
      <c r="C29" s="992">
        <v>5347643</v>
      </c>
      <c r="D29" s="992">
        <v>5347643</v>
      </c>
      <c r="E29" s="993">
        <v>12</v>
      </c>
      <c r="F29" s="993">
        <v>1</v>
      </c>
      <c r="G29" s="827" t="s">
        <v>3690</v>
      </c>
      <c r="H29" s="994" t="s">
        <v>3697</v>
      </c>
      <c r="I29" s="995" t="s">
        <v>3695</v>
      </c>
      <c r="J29" s="994" t="s">
        <v>3704</v>
      </c>
      <c r="K29" s="996">
        <v>43101</v>
      </c>
    </row>
    <row r="30" spans="1:11" ht="27" thickTop="1" thickBot="1">
      <c r="A30" s="984" t="s">
        <v>539</v>
      </c>
      <c r="B30" s="985" t="s">
        <v>3705</v>
      </c>
      <c r="C30" s="986">
        <v>5347643</v>
      </c>
      <c r="D30" s="986">
        <v>5347643</v>
      </c>
      <c r="E30" s="987">
        <v>13</v>
      </c>
      <c r="F30" s="987">
        <v>1</v>
      </c>
      <c r="G30" s="825" t="s">
        <v>3690</v>
      </c>
      <c r="H30" s="950" t="s">
        <v>3691</v>
      </c>
      <c r="I30" s="988" t="s">
        <v>3692</v>
      </c>
      <c r="J30" s="950" t="s">
        <v>3706</v>
      </c>
      <c r="K30" s="989">
        <v>43101</v>
      </c>
    </row>
    <row r="31" spans="1:11" ht="33" thickTop="1" thickBot="1">
      <c r="A31" s="984" t="s">
        <v>3693</v>
      </c>
      <c r="B31" s="985" t="s">
        <v>3694</v>
      </c>
      <c r="C31" s="986">
        <v>5347643</v>
      </c>
      <c r="D31" s="986">
        <v>5347643</v>
      </c>
      <c r="E31" s="987">
        <v>13</v>
      </c>
      <c r="F31" s="987">
        <v>1</v>
      </c>
      <c r="G31" s="825" t="s">
        <v>3690</v>
      </c>
      <c r="H31" s="950" t="s">
        <v>3691</v>
      </c>
      <c r="I31" s="988" t="s">
        <v>3695</v>
      </c>
      <c r="J31" s="950" t="s">
        <v>3706</v>
      </c>
      <c r="K31" s="989" t="s">
        <v>3707</v>
      </c>
    </row>
    <row r="32" spans="1:11" ht="27.75" thickTop="1" thickBot="1">
      <c r="A32" s="990" t="s">
        <v>539</v>
      </c>
      <c r="B32" s="991" t="s">
        <v>3696</v>
      </c>
      <c r="C32" s="992">
        <v>5347643</v>
      </c>
      <c r="D32" s="992">
        <v>5347643</v>
      </c>
      <c r="E32" s="993">
        <v>14</v>
      </c>
      <c r="F32" s="993">
        <v>1</v>
      </c>
      <c r="G32" s="827" t="s">
        <v>3708</v>
      </c>
      <c r="H32" s="994" t="s">
        <v>3691</v>
      </c>
      <c r="I32" s="995" t="s">
        <v>3692</v>
      </c>
      <c r="J32" s="994" t="s">
        <v>3709</v>
      </c>
      <c r="K32" s="996">
        <v>43101</v>
      </c>
    </row>
    <row r="33" spans="1:11" ht="33" thickTop="1" thickBot="1">
      <c r="A33" s="990" t="s">
        <v>3693</v>
      </c>
      <c r="B33" s="991" t="s">
        <v>3702</v>
      </c>
      <c r="C33" s="992">
        <v>5347643</v>
      </c>
      <c r="D33" s="992">
        <v>5347643</v>
      </c>
      <c r="E33" s="993">
        <v>14</v>
      </c>
      <c r="F33" s="993">
        <v>1</v>
      </c>
      <c r="G33" s="827" t="s">
        <v>3708</v>
      </c>
      <c r="H33" s="994" t="s">
        <v>3691</v>
      </c>
      <c r="I33" s="995" t="s">
        <v>3695</v>
      </c>
      <c r="J33" s="994" t="s">
        <v>3709</v>
      </c>
      <c r="K33" s="996">
        <v>43101</v>
      </c>
    </row>
    <row r="34" spans="1:11" ht="27.75" thickTop="1" thickBot="1">
      <c r="A34" s="984" t="s">
        <v>539</v>
      </c>
      <c r="B34" s="985" t="s">
        <v>3710</v>
      </c>
      <c r="C34" s="986">
        <v>5347643</v>
      </c>
      <c r="D34" s="986">
        <v>5347643</v>
      </c>
      <c r="E34" s="987">
        <v>14</v>
      </c>
      <c r="F34" s="987">
        <v>2</v>
      </c>
      <c r="G34" s="825" t="s">
        <v>3711</v>
      </c>
      <c r="H34" s="950" t="s">
        <v>3691</v>
      </c>
      <c r="I34" s="988" t="s">
        <v>3692</v>
      </c>
      <c r="J34" s="950" t="s">
        <v>3709</v>
      </c>
      <c r="K34" s="989">
        <v>43101</v>
      </c>
    </row>
    <row r="35" spans="1:11" ht="33" thickTop="1" thickBot="1">
      <c r="A35" s="984" t="s">
        <v>3693</v>
      </c>
      <c r="B35" s="985" t="s">
        <v>3702</v>
      </c>
      <c r="C35" s="986">
        <v>5347643</v>
      </c>
      <c r="D35" s="986">
        <v>5347643</v>
      </c>
      <c r="E35" s="987">
        <v>14</v>
      </c>
      <c r="F35" s="987">
        <v>2</v>
      </c>
      <c r="G35" s="825" t="s">
        <v>3711</v>
      </c>
      <c r="H35" s="950" t="s">
        <v>3691</v>
      </c>
      <c r="I35" s="988" t="s">
        <v>3695</v>
      </c>
      <c r="J35" s="950" t="s">
        <v>3709</v>
      </c>
      <c r="K35" s="989">
        <v>43101</v>
      </c>
    </row>
    <row r="36" spans="1:11" ht="27" thickTop="1" thickBot="1">
      <c r="A36" s="990" t="s">
        <v>539</v>
      </c>
      <c r="B36" s="991" t="s">
        <v>3689</v>
      </c>
      <c r="C36" s="992">
        <v>5347643</v>
      </c>
      <c r="D36" s="992">
        <v>5347643</v>
      </c>
      <c r="E36" s="993">
        <v>15</v>
      </c>
      <c r="F36" s="993">
        <v>1</v>
      </c>
      <c r="G36" s="827" t="s">
        <v>3690</v>
      </c>
      <c r="H36" s="994" t="s">
        <v>3691</v>
      </c>
      <c r="I36" s="995" t="s">
        <v>3692</v>
      </c>
      <c r="J36" s="994" t="s">
        <v>3712</v>
      </c>
      <c r="K36" s="996">
        <v>43070</v>
      </c>
    </row>
    <row r="37" spans="1:11" ht="33" thickTop="1" thickBot="1">
      <c r="A37" s="990" t="s">
        <v>3693</v>
      </c>
      <c r="B37" s="991" t="s">
        <v>3702</v>
      </c>
      <c r="C37" s="992">
        <v>5347643</v>
      </c>
      <c r="D37" s="992">
        <v>5347643</v>
      </c>
      <c r="E37" s="993">
        <v>15</v>
      </c>
      <c r="F37" s="993">
        <v>1</v>
      </c>
      <c r="G37" s="827" t="s">
        <v>3690</v>
      </c>
      <c r="H37" s="994" t="s">
        <v>3691</v>
      </c>
      <c r="I37" s="995" t="s">
        <v>3695</v>
      </c>
      <c r="J37" s="994" t="s">
        <v>3712</v>
      </c>
      <c r="K37" s="996">
        <v>43070</v>
      </c>
    </row>
    <row r="38" spans="1:11" ht="27" thickTop="1" thickBot="1">
      <c r="A38" s="984" t="s">
        <v>539</v>
      </c>
      <c r="B38" s="985" t="s">
        <v>3696</v>
      </c>
      <c r="C38" s="986">
        <v>5347643</v>
      </c>
      <c r="D38" s="986">
        <v>5347643</v>
      </c>
      <c r="E38" s="987">
        <v>16</v>
      </c>
      <c r="F38" s="987">
        <v>1</v>
      </c>
      <c r="G38" s="825" t="s">
        <v>3690</v>
      </c>
      <c r="H38" s="950" t="s">
        <v>3691</v>
      </c>
      <c r="I38" s="988" t="s">
        <v>3692</v>
      </c>
      <c r="J38" s="950" t="s">
        <v>359</v>
      </c>
      <c r="K38" s="989">
        <v>43101</v>
      </c>
    </row>
    <row r="39" spans="1:11" ht="33" thickTop="1" thickBot="1">
      <c r="A39" s="984" t="s">
        <v>3693</v>
      </c>
      <c r="B39" s="985" t="s">
        <v>3702</v>
      </c>
      <c r="C39" s="986">
        <v>5347643</v>
      </c>
      <c r="D39" s="986">
        <v>5347643</v>
      </c>
      <c r="E39" s="987">
        <v>16</v>
      </c>
      <c r="F39" s="987">
        <v>1</v>
      </c>
      <c r="G39" s="825" t="s">
        <v>3690</v>
      </c>
      <c r="H39" s="950" t="s">
        <v>3691</v>
      </c>
      <c r="I39" s="988" t="s">
        <v>3695</v>
      </c>
      <c r="J39" s="950" t="s">
        <v>359</v>
      </c>
      <c r="K39" s="989">
        <v>43101</v>
      </c>
    </row>
    <row r="40" spans="1:11" ht="27.75" thickTop="1" thickBot="1">
      <c r="A40" s="990" t="s">
        <v>539</v>
      </c>
      <c r="B40" s="991" t="s">
        <v>3705</v>
      </c>
      <c r="C40" s="992">
        <v>5347643</v>
      </c>
      <c r="D40" s="992">
        <v>5347643</v>
      </c>
      <c r="E40" s="993">
        <v>17</v>
      </c>
      <c r="F40" s="993">
        <v>1</v>
      </c>
      <c r="G40" s="827" t="s">
        <v>3690</v>
      </c>
      <c r="H40" s="994" t="s">
        <v>3691</v>
      </c>
      <c r="I40" s="995" t="s">
        <v>3692</v>
      </c>
      <c r="J40" s="994" t="s">
        <v>3713</v>
      </c>
      <c r="K40" s="996">
        <v>43101</v>
      </c>
    </row>
    <row r="41" spans="1:11" ht="33" thickTop="1" thickBot="1">
      <c r="A41" s="990" t="s">
        <v>3693</v>
      </c>
      <c r="B41" s="991" t="s">
        <v>3694</v>
      </c>
      <c r="C41" s="992">
        <v>5347643</v>
      </c>
      <c r="D41" s="992">
        <v>5347643</v>
      </c>
      <c r="E41" s="993">
        <v>17</v>
      </c>
      <c r="F41" s="993">
        <v>1</v>
      </c>
      <c r="G41" s="827" t="s">
        <v>3690</v>
      </c>
      <c r="H41" s="994" t="s">
        <v>3691</v>
      </c>
      <c r="I41" s="995" t="s">
        <v>3695</v>
      </c>
      <c r="J41" s="994" t="s">
        <v>3713</v>
      </c>
      <c r="K41" s="996">
        <v>43101</v>
      </c>
    </row>
    <row r="42" spans="1:11" ht="27.75" thickTop="1" thickBot="1">
      <c r="A42" s="984" t="s">
        <v>539</v>
      </c>
      <c r="B42" s="985" t="s">
        <v>3689</v>
      </c>
      <c r="C42" s="986">
        <v>5347643</v>
      </c>
      <c r="D42" s="986">
        <v>5347643</v>
      </c>
      <c r="E42" s="987">
        <v>18</v>
      </c>
      <c r="F42" s="987">
        <v>1</v>
      </c>
      <c r="G42" s="825" t="s">
        <v>3690</v>
      </c>
      <c r="H42" s="950" t="s">
        <v>3691</v>
      </c>
      <c r="I42" s="988" t="s">
        <v>3692</v>
      </c>
      <c r="J42" s="950" t="s">
        <v>70</v>
      </c>
      <c r="K42" s="989">
        <v>43101</v>
      </c>
    </row>
    <row r="43" spans="1:11" ht="33" thickTop="1" thickBot="1">
      <c r="A43" s="984" t="s">
        <v>3693</v>
      </c>
      <c r="B43" s="985" t="s">
        <v>3694</v>
      </c>
      <c r="C43" s="986">
        <v>5347643</v>
      </c>
      <c r="D43" s="986">
        <v>5347643</v>
      </c>
      <c r="E43" s="987">
        <v>18</v>
      </c>
      <c r="F43" s="987">
        <v>1</v>
      </c>
      <c r="G43" s="825" t="s">
        <v>3690</v>
      </c>
      <c r="H43" s="950" t="s">
        <v>3691</v>
      </c>
      <c r="I43" s="988" t="s">
        <v>3695</v>
      </c>
      <c r="J43" s="950" t="s">
        <v>70</v>
      </c>
      <c r="K43" s="989">
        <v>43101</v>
      </c>
    </row>
    <row r="44" spans="1:11" ht="27" thickTop="1" thickBot="1">
      <c r="A44" s="990" t="s">
        <v>539</v>
      </c>
      <c r="B44" s="991" t="s">
        <v>3696</v>
      </c>
      <c r="C44" s="992">
        <v>5347643</v>
      </c>
      <c r="D44" s="992">
        <v>5347643</v>
      </c>
      <c r="E44" s="993">
        <v>19</v>
      </c>
      <c r="F44" s="993">
        <v>1</v>
      </c>
      <c r="G44" s="827" t="s">
        <v>3690</v>
      </c>
      <c r="H44" s="994" t="s">
        <v>3691</v>
      </c>
      <c r="I44" s="995" t="s">
        <v>3692</v>
      </c>
      <c r="J44" s="994" t="s">
        <v>3714</v>
      </c>
      <c r="K44" s="996">
        <v>43101</v>
      </c>
    </row>
    <row r="45" spans="1:11" ht="33" thickTop="1" thickBot="1">
      <c r="A45" s="990" t="s">
        <v>3693</v>
      </c>
      <c r="B45" s="991" t="s">
        <v>3699</v>
      </c>
      <c r="C45" s="992">
        <v>5347643</v>
      </c>
      <c r="D45" s="992">
        <v>5347643</v>
      </c>
      <c r="E45" s="993">
        <v>19</v>
      </c>
      <c r="F45" s="993">
        <v>1</v>
      </c>
      <c r="G45" s="827" t="s">
        <v>3690</v>
      </c>
      <c r="H45" s="994" t="s">
        <v>3691</v>
      </c>
      <c r="I45" s="995" t="s">
        <v>3695</v>
      </c>
      <c r="J45" s="994" t="s">
        <v>3714</v>
      </c>
      <c r="K45" s="996">
        <v>43101</v>
      </c>
    </row>
    <row r="46" spans="1:11" ht="27" thickTop="1" thickBot="1">
      <c r="A46" s="984" t="s">
        <v>539</v>
      </c>
      <c r="B46" s="985" t="s">
        <v>3689</v>
      </c>
      <c r="C46" s="986">
        <v>5347643</v>
      </c>
      <c r="D46" s="986">
        <v>5347643</v>
      </c>
      <c r="E46" s="998">
        <v>20</v>
      </c>
      <c r="F46" s="999">
        <v>1</v>
      </c>
      <c r="G46" s="825" t="s">
        <v>3690</v>
      </c>
      <c r="H46" s="950" t="s">
        <v>4342</v>
      </c>
      <c r="I46" s="988" t="s">
        <v>3692</v>
      </c>
      <c r="J46" s="950" t="s">
        <v>1261</v>
      </c>
      <c r="K46" s="1000">
        <v>43101</v>
      </c>
    </row>
    <row r="47" spans="1:11" ht="33" thickTop="1" thickBot="1">
      <c r="A47" s="984" t="s">
        <v>3693</v>
      </c>
      <c r="B47" s="985" t="s">
        <v>3702</v>
      </c>
      <c r="C47" s="986">
        <v>5347643</v>
      </c>
      <c r="D47" s="986">
        <v>5347643</v>
      </c>
      <c r="E47" s="998">
        <v>20</v>
      </c>
      <c r="F47" s="999">
        <v>1</v>
      </c>
      <c r="G47" s="825" t="s">
        <v>3690</v>
      </c>
      <c r="H47" s="950" t="s">
        <v>4342</v>
      </c>
      <c r="I47" s="988" t="s">
        <v>3695</v>
      </c>
      <c r="J47" s="950" t="s">
        <v>1261</v>
      </c>
      <c r="K47" s="1000">
        <v>43101</v>
      </c>
    </row>
    <row r="48" spans="1:11" ht="27" thickTop="1" thickBot="1">
      <c r="A48" s="990" t="s">
        <v>539</v>
      </c>
      <c r="B48" s="991" t="s">
        <v>3696</v>
      </c>
      <c r="C48" s="992">
        <v>5347643</v>
      </c>
      <c r="D48" s="992">
        <v>5347643</v>
      </c>
      <c r="E48" s="993">
        <v>21</v>
      </c>
      <c r="F48" s="993">
        <v>1</v>
      </c>
      <c r="G48" s="827" t="s">
        <v>3690</v>
      </c>
      <c r="H48" s="994" t="s">
        <v>3691</v>
      </c>
      <c r="I48" s="995" t="s">
        <v>3692</v>
      </c>
      <c r="J48" s="994" t="s">
        <v>3715</v>
      </c>
      <c r="K48" s="996">
        <v>43101</v>
      </c>
    </row>
    <row r="49" spans="1:11" ht="33" thickTop="1" thickBot="1">
      <c r="A49" s="990" t="s">
        <v>3693</v>
      </c>
      <c r="B49" s="991" t="s">
        <v>3694</v>
      </c>
      <c r="C49" s="992">
        <v>5347643</v>
      </c>
      <c r="D49" s="992">
        <v>5347643</v>
      </c>
      <c r="E49" s="993">
        <v>21</v>
      </c>
      <c r="F49" s="993">
        <v>1</v>
      </c>
      <c r="G49" s="827" t="s">
        <v>3690</v>
      </c>
      <c r="H49" s="994" t="s">
        <v>3691</v>
      </c>
      <c r="I49" s="995" t="s">
        <v>3695</v>
      </c>
      <c r="J49" s="994" t="s">
        <v>3715</v>
      </c>
      <c r="K49" s="996">
        <v>43101</v>
      </c>
    </row>
    <row r="50" spans="1:11" ht="27" thickTop="1" thickBot="1">
      <c r="A50" s="984" t="s">
        <v>539</v>
      </c>
      <c r="B50" s="985" t="s">
        <v>3698</v>
      </c>
      <c r="C50" s="986">
        <v>5347643</v>
      </c>
      <c r="D50" s="986">
        <v>5347643</v>
      </c>
      <c r="E50" s="998">
        <v>22</v>
      </c>
      <c r="F50" s="999">
        <v>1</v>
      </c>
      <c r="G50" s="825" t="s">
        <v>3690</v>
      </c>
      <c r="H50" s="950" t="s">
        <v>3691</v>
      </c>
      <c r="I50" s="988" t="s">
        <v>3692</v>
      </c>
      <c r="J50" s="950" t="s">
        <v>3608</v>
      </c>
      <c r="K50" s="1000">
        <v>43101</v>
      </c>
    </row>
    <row r="51" spans="1:11" ht="33" thickTop="1" thickBot="1">
      <c r="A51" s="984" t="s">
        <v>3693</v>
      </c>
      <c r="B51" s="985" t="s">
        <v>3694</v>
      </c>
      <c r="C51" s="986">
        <v>5347643</v>
      </c>
      <c r="D51" s="986">
        <v>5347643</v>
      </c>
      <c r="E51" s="998">
        <v>22</v>
      </c>
      <c r="F51" s="999">
        <v>1</v>
      </c>
      <c r="G51" s="825" t="s">
        <v>3690</v>
      </c>
      <c r="H51" s="950" t="s">
        <v>3691</v>
      </c>
      <c r="I51" s="988" t="s">
        <v>3695</v>
      </c>
      <c r="J51" s="950" t="s">
        <v>3608</v>
      </c>
      <c r="K51" s="1000">
        <v>43101</v>
      </c>
    </row>
    <row r="52" spans="1:11" ht="27" thickTop="1" thickBot="1">
      <c r="A52" s="990" t="s">
        <v>539</v>
      </c>
      <c r="B52" s="991" t="s">
        <v>3689</v>
      </c>
      <c r="C52" s="992">
        <v>5347643</v>
      </c>
      <c r="D52" s="992">
        <v>5347643</v>
      </c>
      <c r="E52" s="993">
        <v>23</v>
      </c>
      <c r="F52" s="993">
        <v>1</v>
      </c>
      <c r="G52" s="827" t="s">
        <v>3690</v>
      </c>
      <c r="H52" s="994" t="s">
        <v>3697</v>
      </c>
      <c r="I52" s="995" t="s">
        <v>3692</v>
      </c>
      <c r="J52" s="994" t="s">
        <v>3716</v>
      </c>
      <c r="K52" s="996">
        <v>43101</v>
      </c>
    </row>
    <row r="53" spans="1:11" ht="33" thickTop="1" thickBot="1">
      <c r="A53" s="990" t="s">
        <v>3693</v>
      </c>
      <c r="B53" s="991" t="s">
        <v>3702</v>
      </c>
      <c r="C53" s="992">
        <v>5347643</v>
      </c>
      <c r="D53" s="992">
        <v>5347643</v>
      </c>
      <c r="E53" s="993">
        <v>23</v>
      </c>
      <c r="F53" s="993">
        <v>1</v>
      </c>
      <c r="G53" s="827" t="s">
        <v>3690</v>
      </c>
      <c r="H53" s="994" t="s">
        <v>3697</v>
      </c>
      <c r="I53" s="995" t="s">
        <v>3695</v>
      </c>
      <c r="J53" s="994" t="s">
        <v>3716</v>
      </c>
      <c r="K53" s="996">
        <v>43101</v>
      </c>
    </row>
    <row r="54" spans="1:11" ht="27" thickTop="1" thickBot="1">
      <c r="A54" s="984" t="s">
        <v>539</v>
      </c>
      <c r="B54" s="985" t="s">
        <v>3689</v>
      </c>
      <c r="C54" s="986">
        <v>5347643</v>
      </c>
      <c r="D54" s="986">
        <v>5347643</v>
      </c>
      <c r="E54" s="998">
        <v>24</v>
      </c>
      <c r="F54" s="999">
        <v>1</v>
      </c>
      <c r="G54" s="825" t="s">
        <v>3690</v>
      </c>
      <c r="H54" s="950" t="s">
        <v>3691</v>
      </c>
      <c r="I54" s="988" t="s">
        <v>3692</v>
      </c>
      <c r="J54" s="950" t="s">
        <v>1326</v>
      </c>
      <c r="K54" s="1000">
        <v>43101</v>
      </c>
    </row>
    <row r="55" spans="1:11" ht="33" thickTop="1" thickBot="1">
      <c r="A55" s="984" t="s">
        <v>3693</v>
      </c>
      <c r="B55" s="985" t="s">
        <v>3694</v>
      </c>
      <c r="C55" s="986">
        <v>5347643</v>
      </c>
      <c r="D55" s="986">
        <v>5347643</v>
      </c>
      <c r="E55" s="998">
        <v>24</v>
      </c>
      <c r="F55" s="999">
        <v>1</v>
      </c>
      <c r="G55" s="825" t="s">
        <v>3690</v>
      </c>
      <c r="H55" s="950" t="s">
        <v>3691</v>
      </c>
      <c r="I55" s="988" t="s">
        <v>3695</v>
      </c>
      <c r="J55" s="950" t="s">
        <v>1326</v>
      </c>
      <c r="K55" s="1000">
        <v>43101</v>
      </c>
    </row>
    <row r="56" spans="1:11" ht="27.75" thickTop="1" thickBot="1">
      <c r="A56" s="990" t="s">
        <v>539</v>
      </c>
      <c r="B56" s="991" t="s">
        <v>3717</v>
      </c>
      <c r="C56" s="992">
        <v>5347643</v>
      </c>
      <c r="D56" s="992">
        <v>5347643</v>
      </c>
      <c r="E56" s="993">
        <v>25</v>
      </c>
      <c r="F56" s="993">
        <v>1</v>
      </c>
      <c r="G56" s="827" t="s">
        <v>3690</v>
      </c>
      <c r="H56" s="994" t="s">
        <v>3691</v>
      </c>
      <c r="I56" s="995" t="s">
        <v>3692</v>
      </c>
      <c r="J56" s="994" t="s">
        <v>3718</v>
      </c>
      <c r="K56" s="996">
        <v>43101</v>
      </c>
    </row>
    <row r="57" spans="1:11" ht="33" thickTop="1" thickBot="1">
      <c r="A57" s="990" t="s">
        <v>3693</v>
      </c>
      <c r="B57" s="991" t="s">
        <v>3694</v>
      </c>
      <c r="C57" s="992">
        <v>5347643</v>
      </c>
      <c r="D57" s="992">
        <v>5347643</v>
      </c>
      <c r="E57" s="993">
        <v>25</v>
      </c>
      <c r="F57" s="993">
        <v>1</v>
      </c>
      <c r="G57" s="827" t="s">
        <v>3690</v>
      </c>
      <c r="H57" s="994" t="s">
        <v>3691</v>
      </c>
      <c r="I57" s="995" t="s">
        <v>3695</v>
      </c>
      <c r="J57" s="994" t="s">
        <v>3718</v>
      </c>
      <c r="K57" s="996">
        <v>43101</v>
      </c>
    </row>
    <row r="58" spans="1:11" ht="27" thickTop="1" thickBot="1">
      <c r="A58" s="984" t="s">
        <v>539</v>
      </c>
      <c r="B58" s="985" t="s">
        <v>3689</v>
      </c>
      <c r="C58" s="986">
        <v>5347643</v>
      </c>
      <c r="D58" s="986">
        <v>5347643</v>
      </c>
      <c r="E58" s="998">
        <v>26</v>
      </c>
      <c r="F58" s="999">
        <v>1</v>
      </c>
      <c r="G58" s="825" t="s">
        <v>3690</v>
      </c>
      <c r="H58" s="950" t="s">
        <v>4342</v>
      </c>
      <c r="I58" s="988" t="s">
        <v>3692</v>
      </c>
      <c r="J58" s="950" t="s">
        <v>154</v>
      </c>
      <c r="K58" s="1000">
        <v>43101</v>
      </c>
    </row>
    <row r="59" spans="1:11" ht="33" thickTop="1" thickBot="1">
      <c r="A59" s="984" t="s">
        <v>3693</v>
      </c>
      <c r="B59" s="985" t="s">
        <v>3694</v>
      </c>
      <c r="C59" s="986">
        <v>5347643</v>
      </c>
      <c r="D59" s="986">
        <v>5347643</v>
      </c>
      <c r="E59" s="998">
        <v>26</v>
      </c>
      <c r="F59" s="999">
        <v>1</v>
      </c>
      <c r="G59" s="825" t="s">
        <v>3690</v>
      </c>
      <c r="H59" s="950" t="s">
        <v>4342</v>
      </c>
      <c r="I59" s="988" t="s">
        <v>3695</v>
      </c>
      <c r="J59" s="950" t="s">
        <v>154</v>
      </c>
      <c r="K59" s="1000">
        <v>43101</v>
      </c>
    </row>
    <row r="60" spans="1:11" ht="27" thickTop="1" thickBot="1">
      <c r="A60" s="990" t="s">
        <v>539</v>
      </c>
      <c r="B60" s="991" t="s">
        <v>3689</v>
      </c>
      <c r="C60" s="992">
        <v>5347643</v>
      </c>
      <c r="D60" s="992">
        <v>5347643</v>
      </c>
      <c r="E60" s="993">
        <v>27</v>
      </c>
      <c r="F60" s="993">
        <v>1</v>
      </c>
      <c r="G60" s="827" t="s">
        <v>3690</v>
      </c>
      <c r="H60" s="994" t="s">
        <v>3691</v>
      </c>
      <c r="I60" s="995" t="s">
        <v>3692</v>
      </c>
      <c r="J60" s="994" t="s">
        <v>1283</v>
      </c>
      <c r="K60" s="996">
        <v>43101</v>
      </c>
    </row>
    <row r="61" spans="1:11" ht="33" thickTop="1" thickBot="1">
      <c r="A61" s="990" t="s">
        <v>3693</v>
      </c>
      <c r="B61" s="991" t="s">
        <v>3702</v>
      </c>
      <c r="C61" s="992">
        <v>5347643</v>
      </c>
      <c r="D61" s="992">
        <v>5347643</v>
      </c>
      <c r="E61" s="993">
        <v>27</v>
      </c>
      <c r="F61" s="993">
        <v>1</v>
      </c>
      <c r="G61" s="827" t="s">
        <v>3690</v>
      </c>
      <c r="H61" s="994" t="s">
        <v>3691</v>
      </c>
      <c r="I61" s="995" t="s">
        <v>3695</v>
      </c>
      <c r="J61" s="994" t="s">
        <v>1283</v>
      </c>
      <c r="K61" s="996">
        <v>43101</v>
      </c>
    </row>
    <row r="62" spans="1:11" ht="33" thickTop="1" thickBot="1">
      <c r="A62" s="984" t="s">
        <v>3693</v>
      </c>
      <c r="B62" s="985" t="s">
        <v>3699</v>
      </c>
      <c r="C62" s="1001">
        <v>5347643</v>
      </c>
      <c r="D62" s="1001">
        <v>5347643</v>
      </c>
      <c r="E62" s="998">
        <v>28</v>
      </c>
      <c r="F62" s="999">
        <v>1</v>
      </c>
      <c r="G62" s="825" t="s">
        <v>3690</v>
      </c>
      <c r="H62" s="950" t="s">
        <v>3691</v>
      </c>
      <c r="I62" s="988" t="s">
        <v>3692</v>
      </c>
      <c r="J62" s="1002" t="s">
        <v>1306</v>
      </c>
      <c r="K62" s="1000">
        <v>43101</v>
      </c>
    </row>
    <row r="63" spans="1:11" s="689" customFormat="1" ht="27.75" thickTop="1" thickBot="1">
      <c r="A63" s="990" t="s">
        <v>539</v>
      </c>
      <c r="B63" s="991" t="s">
        <v>3710</v>
      </c>
      <c r="C63" s="992">
        <v>5347643</v>
      </c>
      <c r="D63" s="992">
        <v>5347643</v>
      </c>
      <c r="E63" s="993">
        <v>29</v>
      </c>
      <c r="F63" s="993">
        <v>1</v>
      </c>
      <c r="G63" s="827" t="s">
        <v>3690</v>
      </c>
      <c r="H63" s="994" t="s">
        <v>3691</v>
      </c>
      <c r="I63" s="995" t="s">
        <v>3695</v>
      </c>
      <c r="J63" s="994" t="s">
        <v>3568</v>
      </c>
      <c r="K63" s="996">
        <v>43101</v>
      </c>
    </row>
    <row r="64" spans="1:11" s="689" customFormat="1" ht="33" thickTop="1" thickBot="1">
      <c r="A64" s="990" t="s">
        <v>3693</v>
      </c>
      <c r="B64" s="991" t="s">
        <v>3694</v>
      </c>
      <c r="C64" s="992">
        <v>5347643</v>
      </c>
      <c r="D64" s="992">
        <v>5347643</v>
      </c>
      <c r="E64" s="993">
        <v>29</v>
      </c>
      <c r="F64" s="993">
        <v>1</v>
      </c>
      <c r="G64" s="827" t="s">
        <v>3690</v>
      </c>
      <c r="H64" s="994" t="s">
        <v>3691</v>
      </c>
      <c r="I64" s="995" t="s">
        <v>3692</v>
      </c>
      <c r="J64" s="994" t="s">
        <v>3568</v>
      </c>
      <c r="K64" s="996">
        <v>43101</v>
      </c>
    </row>
    <row r="65" spans="1:11" ht="27" thickTop="1" thickBot="1">
      <c r="A65" s="984" t="s">
        <v>539</v>
      </c>
      <c r="B65" s="1003" t="s">
        <v>3696</v>
      </c>
      <c r="C65" s="1004">
        <v>5347643</v>
      </c>
      <c r="D65" s="1004">
        <v>5347643</v>
      </c>
      <c r="E65" s="1005">
        <v>30</v>
      </c>
      <c r="F65" s="999">
        <v>1</v>
      </c>
      <c r="G65" s="825" t="s">
        <v>3690</v>
      </c>
      <c r="H65" s="950" t="s">
        <v>3691</v>
      </c>
      <c r="I65" s="988" t="s">
        <v>3692</v>
      </c>
      <c r="J65" s="1006" t="s">
        <v>394</v>
      </c>
      <c r="K65" s="1007">
        <v>43101</v>
      </c>
    </row>
    <row r="66" spans="1:11" ht="33" thickTop="1" thickBot="1">
      <c r="A66" s="984" t="s">
        <v>3693</v>
      </c>
      <c r="B66" s="1003" t="s">
        <v>3694</v>
      </c>
      <c r="C66" s="1004">
        <v>5347643</v>
      </c>
      <c r="D66" s="1004">
        <v>5347643</v>
      </c>
      <c r="E66" s="1005">
        <v>30</v>
      </c>
      <c r="F66" s="999">
        <v>1</v>
      </c>
      <c r="G66" s="825" t="s">
        <v>3690</v>
      </c>
      <c r="H66" s="950" t="s">
        <v>3691</v>
      </c>
      <c r="I66" s="988" t="s">
        <v>3695</v>
      </c>
      <c r="J66" s="1006" t="s">
        <v>394</v>
      </c>
      <c r="K66" s="1007">
        <v>43101</v>
      </c>
    </row>
    <row r="67" spans="1:11" s="689" customFormat="1" ht="27" thickTop="1" thickBot="1">
      <c r="A67" s="990" t="s">
        <v>539</v>
      </c>
      <c r="B67" s="991" t="s">
        <v>3696</v>
      </c>
      <c r="C67" s="992">
        <v>5347643</v>
      </c>
      <c r="D67" s="992">
        <v>5347643</v>
      </c>
      <c r="E67" s="993">
        <v>31</v>
      </c>
      <c r="F67" s="993">
        <v>1</v>
      </c>
      <c r="G67" s="827" t="s">
        <v>3690</v>
      </c>
      <c r="H67" s="994" t="s">
        <v>3691</v>
      </c>
      <c r="I67" s="995" t="s">
        <v>3692</v>
      </c>
      <c r="J67" s="994" t="s">
        <v>1320</v>
      </c>
      <c r="K67" s="996">
        <v>43101</v>
      </c>
    </row>
    <row r="68" spans="1:11" s="689" customFormat="1" ht="33" thickTop="1" thickBot="1">
      <c r="A68" s="990" t="s">
        <v>3693</v>
      </c>
      <c r="B68" s="991" t="s">
        <v>3694</v>
      </c>
      <c r="C68" s="992">
        <v>5347643</v>
      </c>
      <c r="D68" s="992">
        <v>5347643</v>
      </c>
      <c r="E68" s="993">
        <v>31</v>
      </c>
      <c r="F68" s="993">
        <v>1</v>
      </c>
      <c r="G68" s="827" t="s">
        <v>3690</v>
      </c>
      <c r="H68" s="994" t="s">
        <v>3691</v>
      </c>
      <c r="I68" s="995" t="s">
        <v>3695</v>
      </c>
      <c r="J68" s="994" t="s">
        <v>1320</v>
      </c>
      <c r="K68" s="996">
        <v>43101</v>
      </c>
    </row>
    <row r="69" spans="1:11" ht="27.75" thickTop="1" thickBot="1">
      <c r="A69" s="984" t="s">
        <v>539</v>
      </c>
      <c r="B69" s="1003" t="s">
        <v>3696</v>
      </c>
      <c r="C69" s="1004">
        <v>5347643</v>
      </c>
      <c r="D69" s="1004">
        <v>5347643</v>
      </c>
      <c r="E69" s="1005">
        <v>32</v>
      </c>
      <c r="F69" s="999">
        <v>1</v>
      </c>
      <c r="G69" s="825" t="s">
        <v>3690</v>
      </c>
      <c r="H69" s="950" t="s">
        <v>3691</v>
      </c>
      <c r="I69" s="988" t="s">
        <v>3692</v>
      </c>
      <c r="J69" s="1006" t="s">
        <v>1293</v>
      </c>
      <c r="K69" s="1007">
        <v>43101</v>
      </c>
    </row>
    <row r="70" spans="1:11" ht="33" thickTop="1" thickBot="1">
      <c r="A70" s="984" t="s">
        <v>3693</v>
      </c>
      <c r="B70" s="985" t="s">
        <v>3699</v>
      </c>
      <c r="C70" s="1004">
        <v>5347643</v>
      </c>
      <c r="D70" s="1004">
        <v>5347643</v>
      </c>
      <c r="E70" s="1005">
        <v>32</v>
      </c>
      <c r="F70" s="999">
        <v>1</v>
      </c>
      <c r="G70" s="825" t="s">
        <v>3690</v>
      </c>
      <c r="H70" s="950" t="s">
        <v>3691</v>
      </c>
      <c r="I70" s="988" t="s">
        <v>3695</v>
      </c>
      <c r="J70" s="1006" t="s">
        <v>1293</v>
      </c>
      <c r="K70" s="1007">
        <v>43101</v>
      </c>
    </row>
    <row r="71" spans="1:11" s="689" customFormat="1" ht="27.75" thickTop="1" thickBot="1">
      <c r="A71" s="990" t="s">
        <v>539</v>
      </c>
      <c r="B71" s="991" t="s">
        <v>3696</v>
      </c>
      <c r="C71" s="992">
        <v>5347643</v>
      </c>
      <c r="D71" s="992">
        <v>5347643</v>
      </c>
      <c r="E71" s="993">
        <v>33</v>
      </c>
      <c r="F71" s="993">
        <v>1</v>
      </c>
      <c r="G71" s="827" t="s">
        <v>3690</v>
      </c>
      <c r="H71" s="994" t="s">
        <v>3691</v>
      </c>
      <c r="I71" s="995" t="s">
        <v>3692</v>
      </c>
      <c r="J71" s="994" t="s">
        <v>3744</v>
      </c>
      <c r="K71" s="996">
        <v>43101</v>
      </c>
    </row>
    <row r="72" spans="1:11" s="689" customFormat="1" ht="33" thickTop="1" thickBot="1">
      <c r="A72" s="990" t="s">
        <v>3693</v>
      </c>
      <c r="B72" s="991" t="s">
        <v>3694</v>
      </c>
      <c r="C72" s="992">
        <v>5347643</v>
      </c>
      <c r="D72" s="992">
        <v>5347643</v>
      </c>
      <c r="E72" s="993">
        <v>33</v>
      </c>
      <c r="F72" s="993">
        <v>1</v>
      </c>
      <c r="G72" s="827" t="s">
        <v>3690</v>
      </c>
      <c r="H72" s="994" t="s">
        <v>3691</v>
      </c>
      <c r="I72" s="995" t="s">
        <v>3695</v>
      </c>
      <c r="J72" s="994" t="s">
        <v>3744</v>
      </c>
      <c r="K72" s="996">
        <v>43101</v>
      </c>
    </row>
    <row r="73" spans="1:11" ht="27.75" thickTop="1" thickBot="1">
      <c r="A73" s="984" t="s">
        <v>539</v>
      </c>
      <c r="B73" s="1008" t="s">
        <v>3696</v>
      </c>
      <c r="C73" s="1004">
        <v>5347643</v>
      </c>
      <c r="D73" s="1004">
        <v>5347643</v>
      </c>
      <c r="E73" s="1005">
        <v>34</v>
      </c>
      <c r="F73" s="999">
        <v>1</v>
      </c>
      <c r="G73" s="825" t="s">
        <v>3690</v>
      </c>
      <c r="H73" s="950" t="s">
        <v>3691</v>
      </c>
      <c r="I73" s="988" t="s">
        <v>3692</v>
      </c>
      <c r="J73" s="1006" t="s">
        <v>3745</v>
      </c>
      <c r="K73" s="1007">
        <v>43101</v>
      </c>
    </row>
    <row r="74" spans="1:11" ht="33" thickTop="1" thickBot="1">
      <c r="A74" s="984" t="s">
        <v>3693</v>
      </c>
      <c r="B74" s="1008" t="s">
        <v>3702</v>
      </c>
      <c r="C74" s="1004">
        <v>5347643</v>
      </c>
      <c r="D74" s="1004">
        <v>5347643</v>
      </c>
      <c r="E74" s="1005">
        <v>34</v>
      </c>
      <c r="F74" s="999">
        <v>1</v>
      </c>
      <c r="G74" s="825" t="s">
        <v>3690</v>
      </c>
      <c r="H74" s="950" t="s">
        <v>3691</v>
      </c>
      <c r="I74" s="988" t="s">
        <v>3695</v>
      </c>
      <c r="J74" s="1006" t="s">
        <v>3745</v>
      </c>
      <c r="K74" s="1007">
        <v>43101</v>
      </c>
    </row>
    <row r="75" spans="1:11" s="689" customFormat="1" ht="40.5" thickTop="1" thickBot="1">
      <c r="A75" s="990" t="s">
        <v>539</v>
      </c>
      <c r="B75" s="991" t="s">
        <v>3724</v>
      </c>
      <c r="C75" s="992">
        <v>5347643</v>
      </c>
      <c r="D75" s="992">
        <v>5347643</v>
      </c>
      <c r="E75" s="993">
        <v>35</v>
      </c>
      <c r="F75" s="993">
        <v>1</v>
      </c>
      <c r="G75" s="827" t="s">
        <v>3690</v>
      </c>
      <c r="H75" s="994" t="s">
        <v>3746</v>
      </c>
      <c r="I75" s="995" t="s">
        <v>3692</v>
      </c>
      <c r="J75" s="994" t="s">
        <v>3747</v>
      </c>
      <c r="K75" s="996">
        <v>43101</v>
      </c>
    </row>
    <row r="76" spans="1:11" s="689" customFormat="1" ht="40.5" thickTop="1" thickBot="1">
      <c r="A76" s="990" t="s">
        <v>3693</v>
      </c>
      <c r="B76" s="991" t="s">
        <v>3699</v>
      </c>
      <c r="C76" s="992">
        <v>5347643</v>
      </c>
      <c r="D76" s="992">
        <v>5347643</v>
      </c>
      <c r="E76" s="993">
        <v>35</v>
      </c>
      <c r="F76" s="993">
        <v>1</v>
      </c>
      <c r="G76" s="827" t="s">
        <v>3690</v>
      </c>
      <c r="H76" s="994" t="s">
        <v>3746</v>
      </c>
      <c r="I76" s="995" t="s">
        <v>3695</v>
      </c>
      <c r="J76" s="994" t="s">
        <v>3747</v>
      </c>
      <c r="K76" s="996">
        <v>43101</v>
      </c>
    </row>
    <row r="77" spans="1:11" ht="27" thickTop="1" thickBot="1">
      <c r="A77" s="984" t="s">
        <v>539</v>
      </c>
      <c r="B77" s="985" t="s">
        <v>3710</v>
      </c>
      <c r="C77" s="1004">
        <v>5347643</v>
      </c>
      <c r="D77" s="1004">
        <v>5347643</v>
      </c>
      <c r="E77" s="1005">
        <v>36</v>
      </c>
      <c r="F77" s="999">
        <v>1</v>
      </c>
      <c r="G77" s="828" t="s">
        <v>3690</v>
      </c>
      <c r="H77" s="950" t="s">
        <v>3691</v>
      </c>
      <c r="I77" s="988" t="s">
        <v>3692</v>
      </c>
      <c r="J77" s="1006" t="s">
        <v>174</v>
      </c>
      <c r="K77" s="1007">
        <v>43101</v>
      </c>
    </row>
    <row r="78" spans="1:11" ht="33" thickTop="1" thickBot="1">
      <c r="A78" s="984" t="s">
        <v>3693</v>
      </c>
      <c r="B78" s="985" t="s">
        <v>3699</v>
      </c>
      <c r="C78" s="1004">
        <v>5347643</v>
      </c>
      <c r="D78" s="1004">
        <v>5347643</v>
      </c>
      <c r="E78" s="1005">
        <v>36</v>
      </c>
      <c r="F78" s="999">
        <v>1</v>
      </c>
      <c r="G78" s="828" t="s">
        <v>3690</v>
      </c>
      <c r="H78" s="950" t="s">
        <v>3691</v>
      </c>
      <c r="I78" s="988" t="s">
        <v>3695</v>
      </c>
      <c r="J78" s="1006" t="s">
        <v>174</v>
      </c>
      <c r="K78" s="1007">
        <v>43101</v>
      </c>
    </row>
    <row r="79" spans="1:11" s="689" customFormat="1" ht="27" thickTop="1" thickBot="1">
      <c r="A79" s="990" t="s">
        <v>539</v>
      </c>
      <c r="B79" s="991" t="s">
        <v>3689</v>
      </c>
      <c r="C79" s="992">
        <v>5347643</v>
      </c>
      <c r="D79" s="992">
        <v>5347643</v>
      </c>
      <c r="E79" s="993">
        <v>37</v>
      </c>
      <c r="F79" s="993">
        <v>1</v>
      </c>
      <c r="G79" s="827" t="s">
        <v>3690</v>
      </c>
      <c r="H79" s="994" t="s">
        <v>3691</v>
      </c>
      <c r="I79" s="995" t="s">
        <v>3692</v>
      </c>
      <c r="J79" s="994" t="s">
        <v>3748</v>
      </c>
      <c r="K79" s="996">
        <v>43101</v>
      </c>
    </row>
    <row r="80" spans="1:11" s="689" customFormat="1" ht="33" thickTop="1" thickBot="1">
      <c r="A80" s="990" t="s">
        <v>3693</v>
      </c>
      <c r="B80" s="991" t="s">
        <v>3699</v>
      </c>
      <c r="C80" s="992">
        <v>5347643</v>
      </c>
      <c r="D80" s="992">
        <v>5347643</v>
      </c>
      <c r="E80" s="993">
        <v>37</v>
      </c>
      <c r="F80" s="993">
        <v>1</v>
      </c>
      <c r="G80" s="827" t="s">
        <v>3690</v>
      </c>
      <c r="H80" s="994" t="s">
        <v>3691</v>
      </c>
      <c r="I80" s="995" t="s">
        <v>3695</v>
      </c>
      <c r="J80" s="994" t="s">
        <v>3748</v>
      </c>
      <c r="K80" s="996">
        <v>43101</v>
      </c>
    </row>
    <row r="81" spans="1:11" s="830" customFormat="1" ht="27" thickTop="1" thickBot="1">
      <c r="A81" s="984" t="s">
        <v>539</v>
      </c>
      <c r="B81" s="985" t="s">
        <v>3724</v>
      </c>
      <c r="C81" s="1004">
        <v>5347643</v>
      </c>
      <c r="D81" s="1004">
        <v>5347643</v>
      </c>
      <c r="E81" s="1005">
        <v>38</v>
      </c>
      <c r="F81" s="999">
        <v>1</v>
      </c>
      <c r="G81" s="825" t="s">
        <v>3690</v>
      </c>
      <c r="H81" s="950" t="s">
        <v>3691</v>
      </c>
      <c r="I81" s="988" t="s">
        <v>3692</v>
      </c>
      <c r="J81" s="1006" t="s">
        <v>1255</v>
      </c>
      <c r="K81" s="1007">
        <v>43101</v>
      </c>
    </row>
    <row r="82" spans="1:11" s="830" customFormat="1" ht="33" thickTop="1" thickBot="1">
      <c r="A82" s="1009" t="s">
        <v>3693</v>
      </c>
      <c r="B82" s="1003" t="s">
        <v>3702</v>
      </c>
      <c r="C82" s="1004">
        <v>5347643</v>
      </c>
      <c r="D82" s="1004">
        <v>5347643</v>
      </c>
      <c r="E82" s="1005">
        <v>38</v>
      </c>
      <c r="F82" s="1005">
        <v>1</v>
      </c>
      <c r="G82" s="1010" t="s">
        <v>3690</v>
      </c>
      <c r="H82" s="950" t="s">
        <v>3691</v>
      </c>
      <c r="I82" s="1011" t="s">
        <v>3695</v>
      </c>
      <c r="J82" s="1006" t="s">
        <v>1255</v>
      </c>
      <c r="K82" s="1007">
        <v>43101</v>
      </c>
    </row>
    <row r="83" spans="1:11" s="689" customFormat="1" ht="27" thickTop="1" thickBot="1">
      <c r="A83" s="990" t="s">
        <v>539</v>
      </c>
      <c r="B83" s="991" t="s">
        <v>3724</v>
      </c>
      <c r="C83" s="992">
        <v>5347643</v>
      </c>
      <c r="D83" s="992">
        <v>5347643</v>
      </c>
      <c r="E83" s="993">
        <v>39</v>
      </c>
      <c r="F83" s="1012">
        <v>1</v>
      </c>
      <c r="G83" s="827" t="s">
        <v>3690</v>
      </c>
      <c r="H83" s="994" t="s">
        <v>3691</v>
      </c>
      <c r="I83" s="995" t="s">
        <v>3692</v>
      </c>
      <c r="J83" s="994" t="s">
        <v>3749</v>
      </c>
      <c r="K83" s="996">
        <v>43101</v>
      </c>
    </row>
    <row r="84" spans="1:11" s="689" customFormat="1" ht="33" thickTop="1" thickBot="1">
      <c r="A84" s="990" t="s">
        <v>3693</v>
      </c>
      <c r="B84" s="991" t="s">
        <v>3694</v>
      </c>
      <c r="C84" s="992">
        <v>5347643</v>
      </c>
      <c r="D84" s="992">
        <v>5347643</v>
      </c>
      <c r="E84" s="993">
        <v>39</v>
      </c>
      <c r="F84" s="1012">
        <v>1</v>
      </c>
      <c r="G84" s="827" t="s">
        <v>3690</v>
      </c>
      <c r="H84" s="994" t="s">
        <v>3691</v>
      </c>
      <c r="I84" s="995" t="s">
        <v>3695</v>
      </c>
      <c r="J84" s="994" t="s">
        <v>3749</v>
      </c>
      <c r="K84" s="996">
        <v>43101</v>
      </c>
    </row>
    <row r="85" spans="1:11" s="830" customFormat="1" ht="27" thickTop="1" thickBot="1">
      <c r="A85" s="984" t="s">
        <v>539</v>
      </c>
      <c r="B85" s="985" t="s">
        <v>3710</v>
      </c>
      <c r="C85" s="1004">
        <v>5347643</v>
      </c>
      <c r="D85" s="1004">
        <v>5347643</v>
      </c>
      <c r="E85" s="1005">
        <v>40</v>
      </c>
      <c r="F85" s="999">
        <v>1</v>
      </c>
      <c r="G85" s="825" t="s">
        <v>3690</v>
      </c>
      <c r="H85" s="950" t="s">
        <v>3691</v>
      </c>
      <c r="I85" s="988" t="s">
        <v>3692</v>
      </c>
      <c r="J85" s="1006" t="s">
        <v>3590</v>
      </c>
      <c r="K85" s="1007">
        <v>43101</v>
      </c>
    </row>
    <row r="86" spans="1:11" s="830" customFormat="1" ht="33" thickTop="1" thickBot="1">
      <c r="A86" s="1009" t="s">
        <v>3693</v>
      </c>
      <c r="B86" s="1003" t="s">
        <v>3702</v>
      </c>
      <c r="C86" s="1004">
        <v>5347643</v>
      </c>
      <c r="D86" s="1004">
        <v>5347643</v>
      </c>
      <c r="E86" s="1005">
        <v>40</v>
      </c>
      <c r="F86" s="1005">
        <v>1</v>
      </c>
      <c r="G86" s="1010" t="s">
        <v>3690</v>
      </c>
      <c r="H86" s="950" t="s">
        <v>3691</v>
      </c>
      <c r="I86" s="1011" t="s">
        <v>3695</v>
      </c>
      <c r="J86" s="1006" t="s">
        <v>3590</v>
      </c>
      <c r="K86" s="1007">
        <v>43101</v>
      </c>
    </row>
    <row r="87" spans="1:11" ht="27.75" thickTop="1" thickBot="1">
      <c r="A87" s="990" t="s">
        <v>539</v>
      </c>
      <c r="B87" s="991" t="s">
        <v>3710</v>
      </c>
      <c r="C87" s="992">
        <v>5347643</v>
      </c>
      <c r="D87" s="992">
        <v>5347643</v>
      </c>
      <c r="E87" s="993">
        <v>41</v>
      </c>
      <c r="F87" s="1012">
        <v>1</v>
      </c>
      <c r="G87" s="827" t="s">
        <v>3690</v>
      </c>
      <c r="H87" s="994" t="s">
        <v>3697</v>
      </c>
      <c r="I87" s="995" t="s">
        <v>3692</v>
      </c>
      <c r="J87" s="994" t="s">
        <v>3750</v>
      </c>
      <c r="K87" s="996">
        <v>43101</v>
      </c>
    </row>
    <row r="88" spans="1:11" ht="33" thickTop="1" thickBot="1">
      <c r="A88" s="990" t="s">
        <v>3693</v>
      </c>
      <c r="B88" s="991" t="s">
        <v>3699</v>
      </c>
      <c r="C88" s="992">
        <v>5347643</v>
      </c>
      <c r="D88" s="992">
        <v>5347643</v>
      </c>
      <c r="E88" s="993">
        <v>41</v>
      </c>
      <c r="F88" s="1012">
        <v>1</v>
      </c>
      <c r="G88" s="827" t="s">
        <v>3690</v>
      </c>
      <c r="H88" s="994" t="s">
        <v>3697</v>
      </c>
      <c r="I88" s="995" t="s">
        <v>3695</v>
      </c>
      <c r="J88" s="994" t="s">
        <v>3750</v>
      </c>
      <c r="K88" s="996">
        <v>43101</v>
      </c>
    </row>
    <row r="89" spans="1:11" ht="27" thickTop="1" thickBot="1">
      <c r="A89" s="1013" t="s">
        <v>539</v>
      </c>
      <c r="B89" s="1008" t="s">
        <v>3689</v>
      </c>
      <c r="C89" s="1014">
        <v>5347643</v>
      </c>
      <c r="D89" s="1014">
        <v>5347643</v>
      </c>
      <c r="E89" s="1015">
        <v>42</v>
      </c>
      <c r="F89" s="1015">
        <v>1</v>
      </c>
      <c r="G89" s="829" t="s">
        <v>3690</v>
      </c>
      <c r="H89" s="1016" t="s">
        <v>3691</v>
      </c>
      <c r="I89" s="1017" t="s">
        <v>3692</v>
      </c>
      <c r="J89" s="1016" t="s">
        <v>392</v>
      </c>
      <c r="K89" s="1018">
        <v>43101</v>
      </c>
    </row>
    <row r="90" spans="1:11" ht="33" thickTop="1" thickBot="1">
      <c r="A90" s="1013" t="s">
        <v>3693</v>
      </c>
      <c r="B90" s="1008" t="s">
        <v>3702</v>
      </c>
      <c r="C90" s="1014">
        <v>5347643</v>
      </c>
      <c r="D90" s="1014">
        <v>5347643</v>
      </c>
      <c r="E90" s="1015">
        <v>42</v>
      </c>
      <c r="F90" s="1015">
        <v>1</v>
      </c>
      <c r="G90" s="829" t="s">
        <v>3690</v>
      </c>
      <c r="H90" s="1016" t="s">
        <v>3691</v>
      </c>
      <c r="I90" s="1017" t="s">
        <v>3695</v>
      </c>
      <c r="J90" s="1016" t="s">
        <v>392</v>
      </c>
      <c r="K90" s="1018">
        <v>43101</v>
      </c>
    </row>
    <row r="91" spans="1:11" ht="27" thickTop="1" thickBot="1">
      <c r="A91" s="990" t="s">
        <v>539</v>
      </c>
      <c r="B91" s="991" t="s">
        <v>3696</v>
      </c>
      <c r="C91" s="992">
        <v>5347643</v>
      </c>
      <c r="D91" s="992">
        <v>5347643</v>
      </c>
      <c r="E91" s="993">
        <v>43</v>
      </c>
      <c r="F91" s="993">
        <v>1</v>
      </c>
      <c r="G91" s="827" t="s">
        <v>3690</v>
      </c>
      <c r="H91" s="994" t="s">
        <v>3697</v>
      </c>
      <c r="I91" s="995" t="s">
        <v>3692</v>
      </c>
      <c r="J91" s="994" t="s">
        <v>170</v>
      </c>
      <c r="K91" s="996">
        <v>43101</v>
      </c>
    </row>
    <row r="92" spans="1:11" ht="33" thickTop="1" thickBot="1">
      <c r="A92" s="990" t="s">
        <v>3693</v>
      </c>
      <c r="B92" s="991" t="s">
        <v>3694</v>
      </c>
      <c r="C92" s="992">
        <v>5347643</v>
      </c>
      <c r="D92" s="992">
        <v>5347643</v>
      </c>
      <c r="E92" s="993">
        <v>43</v>
      </c>
      <c r="F92" s="1012">
        <v>1</v>
      </c>
      <c r="G92" s="827" t="s">
        <v>3690</v>
      </c>
      <c r="H92" s="994" t="s">
        <v>3697</v>
      </c>
      <c r="I92" s="995" t="s">
        <v>3695</v>
      </c>
      <c r="J92" s="994" t="s">
        <v>170</v>
      </c>
      <c r="K92" s="996">
        <v>43101</v>
      </c>
    </row>
    <row r="93" spans="1:11" ht="27.75" thickTop="1" thickBot="1">
      <c r="A93" s="1013" t="s">
        <v>539</v>
      </c>
      <c r="B93" s="1008" t="s">
        <v>3705</v>
      </c>
      <c r="C93" s="1014">
        <v>5347643</v>
      </c>
      <c r="D93" s="1014">
        <v>5347643</v>
      </c>
      <c r="E93" s="1015">
        <v>44</v>
      </c>
      <c r="F93" s="1019">
        <v>1</v>
      </c>
      <c r="G93" s="825" t="s">
        <v>3690</v>
      </c>
      <c r="H93" s="1016" t="s">
        <v>3691</v>
      </c>
      <c r="I93" s="1017" t="s">
        <v>3692</v>
      </c>
      <c r="J93" s="1016" t="s">
        <v>4135</v>
      </c>
      <c r="K93" s="1007">
        <v>43101</v>
      </c>
    </row>
    <row r="94" spans="1:11" ht="27" thickTop="1" thickBot="1">
      <c r="A94" s="990" t="s">
        <v>539</v>
      </c>
      <c r="B94" s="991" t="s">
        <v>3710</v>
      </c>
      <c r="C94" s="992">
        <v>5347643</v>
      </c>
      <c r="D94" s="992">
        <v>5347643</v>
      </c>
      <c r="E94" s="993">
        <v>45</v>
      </c>
      <c r="F94" s="1012">
        <v>1</v>
      </c>
      <c r="G94" s="827" t="s">
        <v>3690</v>
      </c>
      <c r="H94" s="994" t="s">
        <v>3697</v>
      </c>
      <c r="I94" s="995" t="s">
        <v>3692</v>
      </c>
      <c r="J94" s="994" t="s">
        <v>4136</v>
      </c>
      <c r="K94" s="996">
        <v>43101</v>
      </c>
    </row>
    <row r="95" spans="1:11" ht="33" thickTop="1" thickBot="1">
      <c r="A95" s="990" t="s">
        <v>3693</v>
      </c>
      <c r="B95" s="991" t="s">
        <v>3694</v>
      </c>
      <c r="C95" s="992">
        <v>5347643</v>
      </c>
      <c r="D95" s="992">
        <v>5347643</v>
      </c>
      <c r="E95" s="993">
        <v>45</v>
      </c>
      <c r="F95" s="993">
        <v>1</v>
      </c>
      <c r="G95" s="827" t="s">
        <v>3690</v>
      </c>
      <c r="H95" s="994" t="s">
        <v>3697</v>
      </c>
      <c r="I95" s="995" t="s">
        <v>3695</v>
      </c>
      <c r="J95" s="994" t="s">
        <v>4136</v>
      </c>
      <c r="K95" s="996">
        <v>43101</v>
      </c>
    </row>
    <row r="96" spans="1:11" ht="27" thickTop="1" thickBot="1">
      <c r="A96" s="984" t="s">
        <v>539</v>
      </c>
      <c r="B96" s="985" t="s">
        <v>3717</v>
      </c>
      <c r="C96" s="1014">
        <v>5347643</v>
      </c>
      <c r="D96" s="1014">
        <v>5347643</v>
      </c>
      <c r="E96" s="1015">
        <v>46</v>
      </c>
      <c r="F96" s="1019">
        <v>1</v>
      </c>
      <c r="G96" s="825" t="s">
        <v>3690</v>
      </c>
      <c r="H96" s="1016" t="s">
        <v>3691</v>
      </c>
      <c r="I96" s="1017" t="s">
        <v>3692</v>
      </c>
      <c r="J96" s="1016" t="s">
        <v>355</v>
      </c>
      <c r="K96" s="1018">
        <v>43101</v>
      </c>
    </row>
    <row r="97" spans="1:11" ht="33" thickTop="1" thickBot="1">
      <c r="A97" s="1013" t="s">
        <v>3693</v>
      </c>
      <c r="B97" s="1008" t="s">
        <v>3702</v>
      </c>
      <c r="C97" s="1014">
        <v>5347643</v>
      </c>
      <c r="D97" s="1014">
        <v>5347643</v>
      </c>
      <c r="E97" s="1015">
        <v>46</v>
      </c>
      <c r="F97" s="1019">
        <v>1</v>
      </c>
      <c r="G97" s="825" t="s">
        <v>3690</v>
      </c>
      <c r="H97" s="1016" t="s">
        <v>3691</v>
      </c>
      <c r="I97" s="1017" t="s">
        <v>3695</v>
      </c>
      <c r="J97" s="1016" t="s">
        <v>355</v>
      </c>
      <c r="K97" s="1018">
        <v>43101</v>
      </c>
    </row>
    <row r="98" spans="1:11" ht="27.75" thickTop="1" thickBot="1">
      <c r="A98" s="990" t="s">
        <v>539</v>
      </c>
      <c r="B98" s="991" t="s">
        <v>3696</v>
      </c>
      <c r="C98" s="992">
        <v>5347643</v>
      </c>
      <c r="D98" s="992">
        <v>5347643</v>
      </c>
      <c r="E98" s="993">
        <v>47</v>
      </c>
      <c r="F98" s="993">
        <v>1</v>
      </c>
      <c r="G98" s="827" t="s">
        <v>3690</v>
      </c>
      <c r="H98" s="994" t="s">
        <v>3691</v>
      </c>
      <c r="I98" s="995" t="s">
        <v>3692</v>
      </c>
      <c r="J98" s="994" t="s">
        <v>3662</v>
      </c>
      <c r="K98" s="996">
        <v>43101</v>
      </c>
    </row>
    <row r="99" spans="1:11" ht="33" thickTop="1" thickBot="1">
      <c r="A99" s="990" t="s">
        <v>3693</v>
      </c>
      <c r="B99" s="991" t="s">
        <v>3699</v>
      </c>
      <c r="C99" s="992">
        <v>5347643</v>
      </c>
      <c r="D99" s="992">
        <v>5347643</v>
      </c>
      <c r="E99" s="993">
        <v>47</v>
      </c>
      <c r="F99" s="993">
        <v>1</v>
      </c>
      <c r="G99" s="827" t="s">
        <v>3690</v>
      </c>
      <c r="H99" s="994" t="s">
        <v>3691</v>
      </c>
      <c r="I99" s="995" t="s">
        <v>3695</v>
      </c>
      <c r="J99" s="994" t="s">
        <v>3662</v>
      </c>
      <c r="K99" s="996">
        <v>43101</v>
      </c>
    </row>
    <row r="100" spans="1:11" ht="27" thickTop="1" thickBot="1">
      <c r="A100" s="984" t="s">
        <v>539</v>
      </c>
      <c r="B100" s="985" t="s">
        <v>3705</v>
      </c>
      <c r="C100" s="1014">
        <v>5347643</v>
      </c>
      <c r="D100" s="1014">
        <v>5347643</v>
      </c>
      <c r="E100" s="1015">
        <v>48</v>
      </c>
      <c r="F100" s="1019">
        <v>1</v>
      </c>
      <c r="G100" s="825" t="s">
        <v>3690</v>
      </c>
      <c r="H100" s="1016" t="s">
        <v>3691</v>
      </c>
      <c r="I100" s="1017" t="s">
        <v>3692</v>
      </c>
      <c r="J100" s="1016" t="s">
        <v>357</v>
      </c>
      <c r="K100" s="1018">
        <v>43101</v>
      </c>
    </row>
    <row r="101" spans="1:11" ht="33" thickTop="1" thickBot="1">
      <c r="A101" s="1013" t="s">
        <v>3693</v>
      </c>
      <c r="B101" s="1008" t="s">
        <v>3702</v>
      </c>
      <c r="C101" s="1014">
        <v>5347643</v>
      </c>
      <c r="D101" s="1014">
        <v>5347643</v>
      </c>
      <c r="E101" s="1015">
        <v>48</v>
      </c>
      <c r="F101" s="1019">
        <v>1</v>
      </c>
      <c r="G101" s="825" t="s">
        <v>3690</v>
      </c>
      <c r="H101" s="1016" t="s">
        <v>3691</v>
      </c>
      <c r="I101" s="1017" t="s">
        <v>3695</v>
      </c>
      <c r="J101" s="1016" t="s">
        <v>357</v>
      </c>
      <c r="K101" s="1018">
        <v>43101</v>
      </c>
    </row>
    <row r="102" spans="1:11" ht="27.75" thickTop="1" thickBot="1">
      <c r="A102" s="990" t="s">
        <v>539</v>
      </c>
      <c r="B102" s="991" t="s">
        <v>3710</v>
      </c>
      <c r="C102" s="992">
        <v>5347643</v>
      </c>
      <c r="D102" s="992">
        <v>5347643</v>
      </c>
      <c r="E102" s="993">
        <v>49</v>
      </c>
      <c r="F102" s="993">
        <v>1</v>
      </c>
      <c r="G102" s="827" t="s">
        <v>3690</v>
      </c>
      <c r="H102" s="994" t="s">
        <v>3697</v>
      </c>
      <c r="I102" s="995" t="s">
        <v>3692</v>
      </c>
      <c r="J102" s="994" t="s">
        <v>411</v>
      </c>
      <c r="K102" s="996">
        <v>43101</v>
      </c>
    </row>
    <row r="103" spans="1:11" ht="33" thickTop="1" thickBot="1">
      <c r="A103" s="990" t="s">
        <v>3693</v>
      </c>
      <c r="B103" s="991" t="s">
        <v>4231</v>
      </c>
      <c r="C103" s="992">
        <v>5347643</v>
      </c>
      <c r="D103" s="992">
        <v>5347643</v>
      </c>
      <c r="E103" s="993">
        <v>49</v>
      </c>
      <c r="F103" s="993">
        <v>1</v>
      </c>
      <c r="G103" s="827" t="s">
        <v>3690</v>
      </c>
      <c r="H103" s="994" t="s">
        <v>3697</v>
      </c>
      <c r="I103" s="995" t="s">
        <v>3695</v>
      </c>
      <c r="J103" s="994" t="s">
        <v>411</v>
      </c>
      <c r="K103" s="996">
        <v>43101</v>
      </c>
    </row>
    <row r="104" spans="1:11" ht="27.75" thickTop="1" thickBot="1">
      <c r="A104" s="984" t="s">
        <v>539</v>
      </c>
      <c r="B104" s="985" t="s">
        <v>3689</v>
      </c>
      <c r="C104" s="1014">
        <v>5347643</v>
      </c>
      <c r="D104" s="1014">
        <v>5347643</v>
      </c>
      <c r="E104" s="1015">
        <v>50</v>
      </c>
      <c r="F104" s="1019">
        <v>1</v>
      </c>
      <c r="G104" s="825" t="s">
        <v>3690</v>
      </c>
      <c r="H104" s="1016" t="s">
        <v>3691</v>
      </c>
      <c r="I104" s="1017" t="s">
        <v>3692</v>
      </c>
      <c r="J104" s="1016" t="s">
        <v>3612</v>
      </c>
      <c r="K104" s="1018">
        <v>43132</v>
      </c>
    </row>
    <row r="105" spans="1:11" ht="33" thickTop="1" thickBot="1">
      <c r="A105" s="1013" t="s">
        <v>3693</v>
      </c>
      <c r="B105" s="985" t="s">
        <v>3694</v>
      </c>
      <c r="C105" s="1014">
        <v>5347643</v>
      </c>
      <c r="D105" s="1014">
        <v>5347643</v>
      </c>
      <c r="E105" s="1015">
        <v>50</v>
      </c>
      <c r="F105" s="1019">
        <v>1</v>
      </c>
      <c r="G105" s="825" t="s">
        <v>3690</v>
      </c>
      <c r="H105" s="1016" t="s">
        <v>3691</v>
      </c>
      <c r="I105" s="1017" t="s">
        <v>3695</v>
      </c>
      <c r="J105" s="1016" t="s">
        <v>3612</v>
      </c>
      <c r="K105" s="1018">
        <v>43132</v>
      </c>
    </row>
    <row r="106" spans="1:11" ht="27.75" thickTop="1" thickBot="1">
      <c r="A106" s="990" t="s">
        <v>539</v>
      </c>
      <c r="B106" s="991" t="s">
        <v>3689</v>
      </c>
      <c r="C106" s="992">
        <v>5347643</v>
      </c>
      <c r="D106" s="992">
        <v>5347643</v>
      </c>
      <c r="E106" s="993">
        <v>51</v>
      </c>
      <c r="F106" s="993">
        <v>1</v>
      </c>
      <c r="G106" s="827" t="s">
        <v>3690</v>
      </c>
      <c r="H106" s="994" t="s">
        <v>3691</v>
      </c>
      <c r="I106" s="995" t="s">
        <v>3692</v>
      </c>
      <c r="J106" s="994" t="s">
        <v>3633</v>
      </c>
      <c r="K106" s="996">
        <v>43132</v>
      </c>
    </row>
    <row r="107" spans="1:11" ht="33" thickTop="1" thickBot="1">
      <c r="A107" s="990" t="s">
        <v>3693</v>
      </c>
      <c r="B107" s="991" t="s">
        <v>3702</v>
      </c>
      <c r="C107" s="992">
        <v>5347643</v>
      </c>
      <c r="D107" s="992">
        <v>5347643</v>
      </c>
      <c r="E107" s="993">
        <v>51</v>
      </c>
      <c r="F107" s="993">
        <v>1</v>
      </c>
      <c r="G107" s="827" t="s">
        <v>3690</v>
      </c>
      <c r="H107" s="994" t="s">
        <v>3691</v>
      </c>
      <c r="I107" s="995" t="s">
        <v>3695</v>
      </c>
      <c r="J107" s="994" t="s">
        <v>3633</v>
      </c>
      <c r="K107" s="996">
        <v>43132</v>
      </c>
    </row>
    <row r="108" spans="1:11" ht="27.75" thickTop="1" thickBot="1">
      <c r="A108" s="984" t="s">
        <v>539</v>
      </c>
      <c r="B108" s="985" t="s">
        <v>3696</v>
      </c>
      <c r="C108" s="1014">
        <v>5347643</v>
      </c>
      <c r="D108" s="1014">
        <v>5347643</v>
      </c>
      <c r="E108" s="1015">
        <v>52</v>
      </c>
      <c r="F108" s="1019">
        <v>1</v>
      </c>
      <c r="G108" s="825" t="s">
        <v>3690</v>
      </c>
      <c r="H108" s="1016" t="s">
        <v>3691</v>
      </c>
      <c r="I108" s="1017" t="s">
        <v>3692</v>
      </c>
      <c r="J108" s="1016" t="s">
        <v>3619</v>
      </c>
      <c r="K108" s="1018">
        <v>43132</v>
      </c>
    </row>
    <row r="109" spans="1:11" ht="33" thickTop="1" thickBot="1">
      <c r="A109" s="1013" t="s">
        <v>3693</v>
      </c>
      <c r="B109" s="1008" t="s">
        <v>3702</v>
      </c>
      <c r="C109" s="1014">
        <v>5347643</v>
      </c>
      <c r="D109" s="1014">
        <v>5347643</v>
      </c>
      <c r="E109" s="1015">
        <v>52</v>
      </c>
      <c r="F109" s="1019">
        <v>1</v>
      </c>
      <c r="G109" s="825" t="s">
        <v>3690</v>
      </c>
      <c r="H109" s="1016" t="s">
        <v>3691</v>
      </c>
      <c r="I109" s="1017" t="s">
        <v>3695</v>
      </c>
      <c r="J109" s="1016" t="s">
        <v>3619</v>
      </c>
      <c r="K109" s="1018">
        <v>43132</v>
      </c>
    </row>
    <row r="110" spans="1:11" ht="27.75" thickTop="1" thickBot="1">
      <c r="A110" s="990" t="s">
        <v>539</v>
      </c>
      <c r="B110" s="991" t="s">
        <v>3710</v>
      </c>
      <c r="C110" s="992">
        <v>5347643</v>
      </c>
      <c r="D110" s="992">
        <v>5347643</v>
      </c>
      <c r="E110" s="993">
        <v>53</v>
      </c>
      <c r="F110" s="1012">
        <v>1</v>
      </c>
      <c r="G110" s="827" t="s">
        <v>3690</v>
      </c>
      <c r="H110" s="994" t="s">
        <v>4343</v>
      </c>
      <c r="I110" s="995" t="s">
        <v>3692</v>
      </c>
      <c r="J110" s="994" t="s">
        <v>4201</v>
      </c>
      <c r="K110" s="996">
        <v>43132</v>
      </c>
    </row>
    <row r="111" spans="1:11" ht="33" thickTop="1" thickBot="1">
      <c r="A111" s="990" t="s">
        <v>3693</v>
      </c>
      <c r="B111" s="991" t="s">
        <v>3699</v>
      </c>
      <c r="C111" s="992">
        <v>5347643</v>
      </c>
      <c r="D111" s="992">
        <v>5347643</v>
      </c>
      <c r="E111" s="993">
        <v>53</v>
      </c>
      <c r="F111" s="1012">
        <v>1</v>
      </c>
      <c r="G111" s="827" t="s">
        <v>3690</v>
      </c>
      <c r="H111" s="994" t="s">
        <v>4343</v>
      </c>
      <c r="I111" s="995" t="s">
        <v>3695</v>
      </c>
      <c r="J111" s="994" t="s">
        <v>4201</v>
      </c>
      <c r="K111" s="996">
        <v>43132</v>
      </c>
    </row>
    <row r="112" spans="1:11" ht="27" thickTop="1" thickBot="1">
      <c r="A112" s="984" t="s">
        <v>539</v>
      </c>
      <c r="B112" s="985" t="s">
        <v>3696</v>
      </c>
      <c r="C112" s="1014">
        <v>5347643</v>
      </c>
      <c r="D112" s="1014">
        <v>5347643</v>
      </c>
      <c r="E112" s="1015">
        <v>54</v>
      </c>
      <c r="F112" s="1019">
        <v>1</v>
      </c>
      <c r="G112" s="825" t="s">
        <v>3690</v>
      </c>
      <c r="H112" s="1016" t="s">
        <v>3691</v>
      </c>
      <c r="I112" s="1017" t="s">
        <v>3692</v>
      </c>
      <c r="J112" s="1016" t="s">
        <v>4321</v>
      </c>
      <c r="K112" s="1018">
        <v>43191</v>
      </c>
    </row>
    <row r="113" spans="1:11" ht="33" thickTop="1" thickBot="1">
      <c r="A113" s="1013" t="s">
        <v>3693</v>
      </c>
      <c r="B113" s="1008" t="s">
        <v>3702</v>
      </c>
      <c r="C113" s="1014">
        <v>5347643</v>
      </c>
      <c r="D113" s="1014">
        <v>5347643</v>
      </c>
      <c r="E113" s="1015">
        <v>54</v>
      </c>
      <c r="F113" s="1019">
        <v>1</v>
      </c>
      <c r="G113" s="825" t="s">
        <v>3690</v>
      </c>
      <c r="H113" s="1016" t="s">
        <v>3691</v>
      </c>
      <c r="I113" s="1017" t="s">
        <v>3695</v>
      </c>
      <c r="J113" s="1016" t="s">
        <v>4321</v>
      </c>
      <c r="K113" s="1018">
        <v>43191</v>
      </c>
    </row>
    <row r="114" spans="1:11" ht="27" thickTop="1" thickBot="1">
      <c r="A114" s="990" t="s">
        <v>539</v>
      </c>
      <c r="B114" s="991" t="s">
        <v>3689</v>
      </c>
      <c r="C114" s="992">
        <v>5347643</v>
      </c>
      <c r="D114" s="992">
        <v>5347643</v>
      </c>
      <c r="E114" s="993">
        <v>55</v>
      </c>
      <c r="F114" s="993">
        <v>1</v>
      </c>
      <c r="G114" s="826" t="s">
        <v>3690</v>
      </c>
      <c r="H114" s="994" t="s">
        <v>3691</v>
      </c>
      <c r="I114" s="995" t="s">
        <v>3692</v>
      </c>
      <c r="J114" s="994" t="s">
        <v>4314</v>
      </c>
      <c r="K114" s="996">
        <v>43221</v>
      </c>
    </row>
    <row r="115" spans="1:11" ht="33" thickTop="1" thickBot="1">
      <c r="A115" s="990" t="s">
        <v>3693</v>
      </c>
      <c r="B115" s="991" t="s">
        <v>3694</v>
      </c>
      <c r="C115" s="992">
        <v>5347643</v>
      </c>
      <c r="D115" s="992">
        <v>5347643</v>
      </c>
      <c r="E115" s="993">
        <v>55</v>
      </c>
      <c r="F115" s="993">
        <v>1</v>
      </c>
      <c r="G115" s="827" t="s">
        <v>3690</v>
      </c>
      <c r="H115" s="994" t="s">
        <v>3691</v>
      </c>
      <c r="I115" s="995" t="s">
        <v>3695</v>
      </c>
      <c r="J115" s="994" t="s">
        <v>4314</v>
      </c>
      <c r="K115" s="996">
        <v>43221</v>
      </c>
    </row>
    <row r="116" spans="1:11" ht="27.75" thickTop="1" thickBot="1">
      <c r="A116" s="1009" t="s">
        <v>539</v>
      </c>
      <c r="B116" s="1003" t="s">
        <v>3724</v>
      </c>
      <c r="C116" s="1004">
        <v>5347643</v>
      </c>
      <c r="D116" s="1004">
        <v>5347643</v>
      </c>
      <c r="E116" s="1005">
        <v>56</v>
      </c>
      <c r="F116" s="1005">
        <v>1</v>
      </c>
      <c r="G116" s="1021" t="s">
        <v>3690</v>
      </c>
      <c r="H116" s="1006" t="s">
        <v>4353</v>
      </c>
      <c r="I116" s="1011" t="s">
        <v>3692</v>
      </c>
      <c r="J116" s="1006" t="s">
        <v>4324</v>
      </c>
      <c r="K116" s="1007">
        <v>43221</v>
      </c>
    </row>
    <row r="117" spans="1:11" ht="33" thickTop="1" thickBot="1">
      <c r="A117" s="1009" t="s">
        <v>3693</v>
      </c>
      <c r="B117" s="1003" t="s">
        <v>3694</v>
      </c>
      <c r="C117" s="1004">
        <v>5347643</v>
      </c>
      <c r="D117" s="1004">
        <v>5347643</v>
      </c>
      <c r="E117" s="1005">
        <v>56</v>
      </c>
      <c r="F117" s="1005">
        <v>1</v>
      </c>
      <c r="G117" s="1010" t="s">
        <v>3690</v>
      </c>
      <c r="H117" s="1006" t="s">
        <v>4353</v>
      </c>
      <c r="I117" s="1011" t="s">
        <v>3695</v>
      </c>
      <c r="J117" s="1006" t="s">
        <v>4324</v>
      </c>
      <c r="K117" s="1007">
        <v>43221</v>
      </c>
    </row>
    <row r="118" spans="1:11" ht="27.75" thickTop="1" thickBot="1">
      <c r="A118" s="990" t="s">
        <v>539</v>
      </c>
      <c r="B118" s="991" t="s">
        <v>3689</v>
      </c>
      <c r="C118" s="992">
        <v>5347643</v>
      </c>
      <c r="D118" s="992">
        <v>5347643</v>
      </c>
      <c r="E118" s="993">
        <v>1000</v>
      </c>
      <c r="F118" s="1012">
        <v>1100</v>
      </c>
      <c r="G118" s="827" t="s">
        <v>3719</v>
      </c>
      <c r="H118" s="994" t="s">
        <v>574</v>
      </c>
      <c r="I118" s="995" t="s">
        <v>3695</v>
      </c>
      <c r="J118" s="994" t="s">
        <v>3720</v>
      </c>
      <c r="K118" s="996">
        <v>42767</v>
      </c>
    </row>
    <row r="119" spans="1:11" ht="27.75" thickTop="1" thickBot="1">
      <c r="A119" s="990" t="s">
        <v>539</v>
      </c>
      <c r="B119" s="991" t="s">
        <v>3696</v>
      </c>
      <c r="C119" s="992">
        <v>5347643</v>
      </c>
      <c r="D119" s="992">
        <v>5347643</v>
      </c>
      <c r="E119" s="993">
        <v>1000</v>
      </c>
      <c r="F119" s="1012">
        <v>1101</v>
      </c>
      <c r="G119" s="827" t="s">
        <v>3721</v>
      </c>
      <c r="H119" s="994" t="s">
        <v>574</v>
      </c>
      <c r="I119" s="995" t="s">
        <v>3695</v>
      </c>
      <c r="J119" s="994" t="s">
        <v>3720</v>
      </c>
      <c r="K119" s="996">
        <v>42767</v>
      </c>
    </row>
    <row r="120" spans="1:11" ht="27.75" thickTop="1" thickBot="1">
      <c r="A120" s="990" t="s">
        <v>539</v>
      </c>
      <c r="B120" s="991" t="s">
        <v>3710</v>
      </c>
      <c r="C120" s="992">
        <v>5347643</v>
      </c>
      <c r="D120" s="992">
        <v>5347643</v>
      </c>
      <c r="E120" s="993">
        <v>1000</v>
      </c>
      <c r="F120" s="1012">
        <v>1102</v>
      </c>
      <c r="G120" s="827" t="s">
        <v>3722</v>
      </c>
      <c r="H120" s="994" t="s">
        <v>574</v>
      </c>
      <c r="I120" s="995" t="s">
        <v>3695</v>
      </c>
      <c r="J120" s="994" t="s">
        <v>3720</v>
      </c>
      <c r="K120" s="996">
        <v>42767</v>
      </c>
    </row>
    <row r="121" spans="1:11" ht="27.75" thickTop="1" thickBot="1">
      <c r="A121" s="990" t="s">
        <v>539</v>
      </c>
      <c r="B121" s="991" t="s">
        <v>3698</v>
      </c>
      <c r="C121" s="992">
        <v>5347643</v>
      </c>
      <c r="D121" s="992">
        <v>5347643</v>
      </c>
      <c r="E121" s="993">
        <v>1000</v>
      </c>
      <c r="F121" s="1012">
        <v>1103</v>
      </c>
      <c r="G121" s="827" t="s">
        <v>3723</v>
      </c>
      <c r="H121" s="994" t="s">
        <v>574</v>
      </c>
      <c r="I121" s="995" t="s">
        <v>3695</v>
      </c>
      <c r="J121" s="994" t="s">
        <v>3720</v>
      </c>
      <c r="K121" s="996">
        <v>42767</v>
      </c>
    </row>
    <row r="122" spans="1:11" ht="27.75" thickTop="1" thickBot="1">
      <c r="A122" s="990" t="s">
        <v>539</v>
      </c>
      <c r="B122" s="991" t="s">
        <v>3724</v>
      </c>
      <c r="C122" s="992">
        <v>5347643</v>
      </c>
      <c r="D122" s="992">
        <v>5347643</v>
      </c>
      <c r="E122" s="993">
        <v>1000</v>
      </c>
      <c r="F122" s="1012">
        <v>1104</v>
      </c>
      <c r="G122" s="827" t="s">
        <v>3725</v>
      </c>
      <c r="H122" s="994" t="s">
        <v>574</v>
      </c>
      <c r="I122" s="995" t="s">
        <v>3695</v>
      </c>
      <c r="J122" s="994" t="s">
        <v>3720</v>
      </c>
      <c r="K122" s="996">
        <v>42767</v>
      </c>
    </row>
    <row r="123" spans="1:11" ht="27.75" thickTop="1" thickBot="1">
      <c r="A123" s="990" t="s">
        <v>539</v>
      </c>
      <c r="B123" s="991" t="s">
        <v>3705</v>
      </c>
      <c r="C123" s="992">
        <v>5347643</v>
      </c>
      <c r="D123" s="992">
        <v>5347643</v>
      </c>
      <c r="E123" s="993">
        <v>1000</v>
      </c>
      <c r="F123" s="1012">
        <v>1105</v>
      </c>
      <c r="G123" s="827" t="s">
        <v>3726</v>
      </c>
      <c r="H123" s="994" t="s">
        <v>574</v>
      </c>
      <c r="I123" s="995" t="s">
        <v>3695</v>
      </c>
      <c r="J123" s="994" t="s">
        <v>3720</v>
      </c>
      <c r="K123" s="996">
        <v>42767</v>
      </c>
    </row>
    <row r="124" spans="1:11" ht="27.75" thickTop="1" thickBot="1">
      <c r="A124" s="990" t="s">
        <v>539</v>
      </c>
      <c r="B124" s="991" t="s">
        <v>3717</v>
      </c>
      <c r="C124" s="992">
        <v>5347643</v>
      </c>
      <c r="D124" s="992">
        <v>5347643</v>
      </c>
      <c r="E124" s="993">
        <v>1000</v>
      </c>
      <c r="F124" s="1012">
        <v>1106</v>
      </c>
      <c r="G124" s="827" t="s">
        <v>3727</v>
      </c>
      <c r="H124" s="994" t="s">
        <v>574</v>
      </c>
      <c r="I124" s="995" t="s">
        <v>3695</v>
      </c>
      <c r="J124" s="994" t="s">
        <v>3720</v>
      </c>
      <c r="K124" s="996">
        <v>42767</v>
      </c>
    </row>
    <row r="125" spans="1:11" ht="27.75" thickTop="1" thickBot="1">
      <c r="A125" s="990" t="s">
        <v>539</v>
      </c>
      <c r="B125" s="991" t="s">
        <v>3728</v>
      </c>
      <c r="C125" s="992">
        <v>5347643</v>
      </c>
      <c r="D125" s="992">
        <v>5347643</v>
      </c>
      <c r="E125" s="993">
        <v>1000</v>
      </c>
      <c r="F125" s="1012">
        <v>1107</v>
      </c>
      <c r="G125" s="827" t="s">
        <v>3729</v>
      </c>
      <c r="H125" s="994" t="s">
        <v>574</v>
      </c>
      <c r="I125" s="995" t="s">
        <v>3695</v>
      </c>
      <c r="J125" s="994" t="s">
        <v>3720</v>
      </c>
      <c r="K125" s="996">
        <v>42767</v>
      </c>
    </row>
    <row r="126" spans="1:11" ht="33" thickTop="1" thickBot="1">
      <c r="A126" s="1009" t="s">
        <v>3693</v>
      </c>
      <c r="B126" s="1003" t="s">
        <v>3694</v>
      </c>
      <c r="C126" s="1004">
        <v>5347643</v>
      </c>
      <c r="D126" s="1004">
        <v>5347643</v>
      </c>
      <c r="E126" s="1005">
        <v>1001</v>
      </c>
      <c r="F126" s="1022">
        <v>1100</v>
      </c>
      <c r="G126" s="1010" t="s">
        <v>3730</v>
      </c>
      <c r="H126" s="1006" t="s">
        <v>574</v>
      </c>
      <c r="I126" s="1011" t="s">
        <v>3695</v>
      </c>
      <c r="J126" s="1006" t="s">
        <v>3731</v>
      </c>
      <c r="K126" s="1007">
        <v>42767</v>
      </c>
    </row>
    <row r="127" spans="1:11" ht="33" thickTop="1" thickBot="1">
      <c r="A127" s="1009" t="s">
        <v>3693</v>
      </c>
      <c r="B127" s="1003" t="s">
        <v>3699</v>
      </c>
      <c r="C127" s="1004">
        <v>5347643</v>
      </c>
      <c r="D127" s="1004">
        <v>5347643</v>
      </c>
      <c r="E127" s="1005">
        <v>1001</v>
      </c>
      <c r="F127" s="1022">
        <v>1101</v>
      </c>
      <c r="G127" s="1010" t="s">
        <v>3732</v>
      </c>
      <c r="H127" s="1006" t="s">
        <v>574</v>
      </c>
      <c r="I127" s="1011" t="s">
        <v>3695</v>
      </c>
      <c r="J127" s="1006" t="s">
        <v>3731</v>
      </c>
      <c r="K127" s="1007">
        <v>42767</v>
      </c>
    </row>
    <row r="128" spans="1:11" ht="33" thickTop="1" thickBot="1">
      <c r="A128" s="1009" t="s">
        <v>3693</v>
      </c>
      <c r="B128" s="1003" t="s">
        <v>3702</v>
      </c>
      <c r="C128" s="1004">
        <v>5347643</v>
      </c>
      <c r="D128" s="1004">
        <v>5347643</v>
      </c>
      <c r="E128" s="1005">
        <v>1001</v>
      </c>
      <c r="F128" s="1022">
        <v>1102</v>
      </c>
      <c r="G128" s="1010" t="s">
        <v>3733</v>
      </c>
      <c r="H128" s="1006" t="s">
        <v>574</v>
      </c>
      <c r="I128" s="1011" t="s">
        <v>3695</v>
      </c>
      <c r="J128" s="1006" t="s">
        <v>3731</v>
      </c>
      <c r="K128" s="1007">
        <v>42767</v>
      </c>
    </row>
    <row r="129" spans="3:6" ht="15.75" thickTop="1">
      <c r="C129" s="697"/>
      <c r="D129" s="697"/>
      <c r="E129" s="698"/>
      <c r="F129" s="699"/>
    </row>
    <row r="130" spans="3:6">
      <c r="C130" s="697"/>
      <c r="D130" s="697"/>
      <c r="E130" s="698"/>
      <c r="F130" s="699"/>
    </row>
    <row r="131" spans="3:6">
      <c r="C131" s="697"/>
      <c r="D131" s="697"/>
      <c r="E131" s="698"/>
      <c r="F131" s="699"/>
    </row>
    <row r="132" spans="3:6">
      <c r="C132" s="697"/>
      <c r="D132" s="697"/>
      <c r="E132" s="698"/>
      <c r="F132" s="699"/>
    </row>
    <row r="133" spans="3:6">
      <c r="C133" s="697"/>
      <c r="D133" s="697"/>
      <c r="E133" s="698"/>
      <c r="F133" s="699"/>
    </row>
    <row r="134" spans="3:6">
      <c r="C134" s="697"/>
      <c r="D134" s="697"/>
      <c r="E134" s="698"/>
      <c r="F134" s="699"/>
    </row>
    <row r="135" spans="3:6">
      <c r="C135" s="697"/>
      <c r="D135" s="697"/>
      <c r="E135" s="698"/>
      <c r="F135" s="699"/>
    </row>
    <row r="136" spans="3:6">
      <c r="C136" s="697"/>
      <c r="D136" s="697"/>
      <c r="E136" s="698"/>
      <c r="F136" s="699"/>
    </row>
    <row r="137" spans="3:6">
      <c r="C137" s="697"/>
      <c r="D137" s="697"/>
      <c r="E137" s="698"/>
      <c r="F137" s="699"/>
    </row>
    <row r="138" spans="3:6">
      <c r="C138" s="697"/>
      <c r="D138" s="697"/>
      <c r="E138" s="698"/>
      <c r="F138" s="699"/>
    </row>
    <row r="139" spans="3:6">
      <c r="C139" s="697"/>
      <c r="D139" s="697"/>
      <c r="E139" s="698"/>
      <c r="F139" s="699"/>
    </row>
    <row r="140" spans="3:6">
      <c r="C140" s="697"/>
      <c r="D140" s="697"/>
      <c r="E140" s="698"/>
      <c r="F140" s="699"/>
    </row>
    <row r="141" spans="3:6">
      <c r="C141" s="697"/>
      <c r="D141" s="697"/>
      <c r="E141" s="698"/>
      <c r="F141" s="699"/>
    </row>
    <row r="142" spans="3:6">
      <c r="C142" s="697"/>
      <c r="D142" s="697"/>
      <c r="E142" s="698"/>
      <c r="F142" s="699"/>
    </row>
    <row r="143" spans="3:6">
      <c r="C143" s="697"/>
      <c r="D143" s="697"/>
      <c r="E143" s="698"/>
      <c r="F143" s="699"/>
    </row>
    <row r="144" spans="3:6">
      <c r="C144" s="697"/>
      <c r="D144" s="697"/>
      <c r="E144" s="698"/>
      <c r="F144" s="699"/>
    </row>
    <row r="145" spans="3:6">
      <c r="C145" s="697"/>
      <c r="D145" s="697"/>
      <c r="E145" s="698"/>
      <c r="F145" s="699"/>
    </row>
    <row r="146" spans="3:6">
      <c r="C146" s="697"/>
      <c r="D146" s="697"/>
      <c r="E146" s="698"/>
      <c r="F146" s="699"/>
    </row>
    <row r="147" spans="3:6">
      <c r="C147" s="697"/>
      <c r="D147" s="697"/>
      <c r="E147" s="698"/>
      <c r="F147" s="699"/>
    </row>
    <row r="148" spans="3:6">
      <c r="C148" s="697"/>
      <c r="D148" s="697"/>
      <c r="E148" s="698"/>
      <c r="F148" s="699"/>
    </row>
    <row r="149" spans="3:6">
      <c r="C149" s="697"/>
      <c r="D149" s="697"/>
      <c r="E149" s="698"/>
      <c r="F149" s="699"/>
    </row>
    <row r="150" spans="3:6">
      <c r="C150" s="697"/>
      <c r="D150" s="697"/>
      <c r="E150" s="698"/>
      <c r="F150" s="699"/>
    </row>
    <row r="151" spans="3:6">
      <c r="C151" s="697"/>
      <c r="D151" s="697"/>
      <c r="E151" s="698"/>
      <c r="F151" s="699"/>
    </row>
    <row r="152" spans="3:6">
      <c r="C152" s="697"/>
      <c r="D152" s="697"/>
      <c r="E152" s="698"/>
      <c r="F152" s="699"/>
    </row>
    <row r="153" spans="3:6">
      <c r="C153" s="697"/>
      <c r="D153" s="697"/>
      <c r="E153" s="698"/>
      <c r="F153" s="699"/>
    </row>
    <row r="154" spans="3:6">
      <c r="C154" s="697"/>
      <c r="D154" s="697"/>
      <c r="E154" s="698"/>
      <c r="F154" s="699"/>
    </row>
    <row r="155" spans="3:6">
      <c r="C155" s="697"/>
      <c r="D155" s="697"/>
      <c r="E155" s="698"/>
      <c r="F155" s="699"/>
    </row>
    <row r="156" spans="3:6">
      <c r="C156" s="697"/>
      <c r="D156" s="697"/>
      <c r="E156" s="698"/>
      <c r="F156" s="699"/>
    </row>
    <row r="157" spans="3:6">
      <c r="C157" s="697"/>
      <c r="D157" s="697"/>
      <c r="E157" s="698"/>
      <c r="F157" s="699"/>
    </row>
    <row r="158" spans="3:6">
      <c r="C158" s="697"/>
      <c r="D158" s="697"/>
      <c r="E158" s="698"/>
      <c r="F158" s="699"/>
    </row>
    <row r="159" spans="3:6">
      <c r="C159" s="697"/>
      <c r="D159" s="697"/>
      <c r="E159" s="698"/>
      <c r="F159" s="699"/>
    </row>
    <row r="160" spans="3:6">
      <c r="C160" s="697"/>
      <c r="D160" s="697"/>
      <c r="E160" s="698"/>
      <c r="F160" s="699"/>
    </row>
    <row r="161" spans="3:6">
      <c r="C161" s="697"/>
      <c r="D161" s="697"/>
      <c r="E161" s="698"/>
      <c r="F161" s="699"/>
    </row>
    <row r="162" spans="3:6">
      <c r="C162" s="697"/>
      <c r="D162" s="697"/>
      <c r="E162" s="698"/>
      <c r="F162" s="699"/>
    </row>
    <row r="163" spans="3:6">
      <c r="C163" s="697"/>
      <c r="D163" s="697"/>
      <c r="E163" s="698"/>
      <c r="F163" s="699"/>
    </row>
    <row r="164" spans="3:6">
      <c r="C164" s="697"/>
      <c r="D164" s="697"/>
      <c r="E164" s="698"/>
      <c r="F164" s="699"/>
    </row>
    <row r="165" spans="3:6">
      <c r="C165" s="697"/>
      <c r="D165" s="697"/>
      <c r="E165" s="698"/>
      <c r="F165" s="699"/>
    </row>
    <row r="166" spans="3:6">
      <c r="C166" s="697"/>
      <c r="D166" s="697"/>
      <c r="E166" s="698"/>
      <c r="F166" s="699"/>
    </row>
    <row r="167" spans="3:6">
      <c r="C167" s="697"/>
      <c r="D167" s="697"/>
      <c r="E167" s="698"/>
      <c r="F167" s="699"/>
    </row>
    <row r="168" spans="3:6">
      <c r="C168" s="697"/>
      <c r="D168" s="697"/>
      <c r="E168" s="698"/>
      <c r="F168" s="699"/>
    </row>
    <row r="169" spans="3:6">
      <c r="C169" s="697"/>
      <c r="D169" s="697"/>
      <c r="E169" s="698"/>
      <c r="F169" s="699"/>
    </row>
    <row r="170" spans="3:6">
      <c r="C170" s="697"/>
      <c r="D170" s="697"/>
      <c r="E170" s="698"/>
      <c r="F170" s="699"/>
    </row>
    <row r="171" spans="3:6">
      <c r="C171" s="697"/>
      <c r="D171" s="697"/>
      <c r="E171" s="698"/>
      <c r="F171" s="699"/>
    </row>
    <row r="172" spans="3:6">
      <c r="C172" s="697"/>
      <c r="D172" s="697"/>
      <c r="E172" s="698"/>
      <c r="F172" s="699"/>
    </row>
    <row r="173" spans="3:6">
      <c r="C173" s="697"/>
      <c r="D173" s="697"/>
      <c r="E173" s="698"/>
      <c r="F173" s="699"/>
    </row>
    <row r="174" spans="3:6">
      <c r="C174" s="697"/>
      <c r="D174" s="697"/>
      <c r="E174" s="698"/>
      <c r="F174" s="699"/>
    </row>
    <row r="175" spans="3:6">
      <c r="C175" s="697"/>
      <c r="D175" s="697"/>
      <c r="E175" s="698"/>
      <c r="F175" s="699"/>
    </row>
    <row r="176" spans="3:6">
      <c r="C176" s="697"/>
      <c r="D176" s="697"/>
      <c r="E176" s="698"/>
      <c r="F176" s="699"/>
    </row>
    <row r="177" spans="3:6">
      <c r="C177" s="697"/>
      <c r="D177" s="697"/>
      <c r="E177" s="698"/>
      <c r="F177" s="699"/>
    </row>
    <row r="178" spans="3:6">
      <c r="C178" s="697"/>
      <c r="D178" s="697"/>
      <c r="E178" s="698"/>
      <c r="F178" s="699"/>
    </row>
    <row r="179" spans="3:6">
      <c r="C179" s="697"/>
      <c r="D179" s="697"/>
      <c r="E179" s="698"/>
      <c r="F179" s="699"/>
    </row>
    <row r="180" spans="3:6">
      <c r="C180" s="697"/>
      <c r="D180" s="697"/>
      <c r="E180" s="698"/>
      <c r="F180" s="699"/>
    </row>
    <row r="181" spans="3:6">
      <c r="C181" s="697"/>
      <c r="D181" s="697"/>
      <c r="E181" s="698"/>
      <c r="F181" s="699"/>
    </row>
    <row r="182" spans="3:6">
      <c r="C182" s="697"/>
      <c r="D182" s="697"/>
      <c r="E182" s="698"/>
      <c r="F182" s="699"/>
    </row>
    <row r="183" spans="3:6">
      <c r="C183" s="697"/>
      <c r="D183" s="697"/>
      <c r="E183" s="698"/>
      <c r="F183" s="699"/>
    </row>
    <row r="184" spans="3:6">
      <c r="C184" s="697"/>
      <c r="D184" s="697"/>
      <c r="E184" s="698"/>
      <c r="F184" s="699"/>
    </row>
    <row r="185" spans="3:6">
      <c r="C185" s="697"/>
      <c r="D185" s="697"/>
      <c r="E185" s="698"/>
      <c r="F185" s="699"/>
    </row>
    <row r="186" spans="3:6">
      <c r="C186" s="697"/>
      <c r="D186" s="697"/>
      <c r="E186" s="698"/>
      <c r="F186" s="699"/>
    </row>
    <row r="187" spans="3:6">
      <c r="C187" s="697"/>
      <c r="D187" s="697"/>
      <c r="E187" s="698"/>
      <c r="F187" s="699"/>
    </row>
    <row r="188" spans="3:6">
      <c r="C188" s="697"/>
      <c r="D188" s="697"/>
      <c r="E188" s="698"/>
      <c r="F188" s="699"/>
    </row>
    <row r="189" spans="3:6">
      <c r="C189" s="697"/>
      <c r="D189" s="697"/>
      <c r="E189" s="698"/>
      <c r="F189" s="699"/>
    </row>
    <row r="190" spans="3:6">
      <c r="C190" s="697"/>
      <c r="D190" s="697"/>
      <c r="E190" s="698"/>
      <c r="F190" s="699"/>
    </row>
    <row r="191" spans="3:6">
      <c r="C191" s="697"/>
      <c r="D191" s="697"/>
      <c r="E191" s="698"/>
      <c r="F191" s="699"/>
    </row>
    <row r="192" spans="3:6">
      <c r="C192" s="697"/>
      <c r="D192" s="697"/>
      <c r="E192" s="698"/>
      <c r="F192" s="699"/>
    </row>
    <row r="193" spans="3:6">
      <c r="C193" s="697"/>
      <c r="D193" s="697"/>
      <c r="E193" s="698"/>
      <c r="F193" s="699"/>
    </row>
    <row r="194" spans="3:6">
      <c r="C194" s="697"/>
      <c r="D194" s="697"/>
      <c r="E194" s="698"/>
      <c r="F194" s="699"/>
    </row>
    <row r="195" spans="3:6">
      <c r="C195" s="697"/>
      <c r="D195" s="697"/>
      <c r="E195" s="698"/>
      <c r="F195" s="699"/>
    </row>
    <row r="196" spans="3:6">
      <c r="C196" s="697"/>
      <c r="D196" s="697"/>
      <c r="E196" s="698"/>
      <c r="F196" s="699"/>
    </row>
    <row r="197" spans="3:6">
      <c r="C197" s="697"/>
      <c r="D197" s="697"/>
      <c r="E197" s="698"/>
      <c r="F197" s="699"/>
    </row>
    <row r="198" spans="3:6">
      <c r="C198" s="697"/>
      <c r="D198" s="697"/>
      <c r="E198" s="698"/>
      <c r="F198" s="699"/>
    </row>
    <row r="199" spans="3:6">
      <c r="C199" s="697"/>
      <c r="D199" s="697"/>
      <c r="E199" s="698"/>
      <c r="F199" s="699"/>
    </row>
    <row r="200" spans="3:6">
      <c r="C200" s="697"/>
      <c r="D200" s="697"/>
      <c r="E200" s="698"/>
      <c r="F200" s="699"/>
    </row>
    <row r="201" spans="3:6">
      <c r="C201" s="697"/>
      <c r="D201" s="697"/>
      <c r="E201" s="698"/>
      <c r="F201" s="699"/>
    </row>
    <row r="202" spans="3:6">
      <c r="C202" s="697"/>
      <c r="D202" s="697"/>
      <c r="E202" s="698"/>
      <c r="F202" s="699"/>
    </row>
    <row r="203" spans="3:6">
      <c r="C203" s="697"/>
      <c r="D203" s="697"/>
      <c r="E203" s="698"/>
      <c r="F203" s="699"/>
    </row>
    <row r="204" spans="3:6">
      <c r="C204" s="697"/>
      <c r="D204" s="697"/>
      <c r="E204" s="698"/>
      <c r="F204" s="699"/>
    </row>
    <row r="205" spans="3:6">
      <c r="C205" s="697"/>
      <c r="D205" s="697"/>
      <c r="E205" s="698"/>
      <c r="F205" s="699"/>
    </row>
    <row r="206" spans="3:6">
      <c r="C206" s="697"/>
      <c r="D206" s="697"/>
      <c r="E206" s="698"/>
      <c r="F206" s="699"/>
    </row>
    <row r="207" spans="3:6">
      <c r="C207" s="697"/>
      <c r="D207" s="697"/>
      <c r="E207" s="698"/>
      <c r="F207" s="699"/>
    </row>
    <row r="208" spans="3:6">
      <c r="C208" s="697"/>
      <c r="D208" s="697"/>
      <c r="E208" s="698"/>
      <c r="F208" s="699"/>
    </row>
    <row r="209" spans="3:6">
      <c r="C209" s="697"/>
      <c r="D209" s="697"/>
      <c r="E209" s="698"/>
      <c r="F209" s="699"/>
    </row>
    <row r="210" spans="3:6">
      <c r="C210" s="697"/>
      <c r="D210" s="697"/>
      <c r="E210" s="698"/>
      <c r="F210" s="699"/>
    </row>
    <row r="211" spans="3:6">
      <c r="C211" s="697"/>
      <c r="D211" s="697"/>
      <c r="E211" s="698"/>
      <c r="F211" s="699"/>
    </row>
    <row r="212" spans="3:6">
      <c r="C212" s="697"/>
      <c r="D212" s="697"/>
      <c r="E212" s="698"/>
      <c r="F212" s="699"/>
    </row>
    <row r="213" spans="3:6">
      <c r="C213" s="697"/>
      <c r="D213" s="697"/>
      <c r="E213" s="698"/>
      <c r="F213" s="699"/>
    </row>
    <row r="214" spans="3:6">
      <c r="C214" s="697"/>
      <c r="D214" s="697"/>
      <c r="E214" s="698"/>
      <c r="F214" s="699"/>
    </row>
    <row r="215" spans="3:6">
      <c r="C215" s="697"/>
      <c r="D215" s="697"/>
      <c r="E215" s="698"/>
      <c r="F215" s="699"/>
    </row>
    <row r="216" spans="3:6">
      <c r="C216" s="697"/>
      <c r="D216" s="697"/>
      <c r="E216" s="698"/>
      <c r="F216" s="699"/>
    </row>
    <row r="217" spans="3:6">
      <c r="C217" s="697"/>
      <c r="D217" s="697"/>
      <c r="E217" s="698"/>
      <c r="F217" s="699"/>
    </row>
    <row r="218" spans="3:6">
      <c r="C218" s="697"/>
      <c r="D218" s="697"/>
      <c r="E218" s="698"/>
      <c r="F218" s="699"/>
    </row>
    <row r="219" spans="3:6">
      <c r="C219" s="697"/>
      <c r="D219" s="697"/>
      <c r="E219" s="698"/>
      <c r="F219" s="699"/>
    </row>
    <row r="220" spans="3:6">
      <c r="C220" s="697"/>
      <c r="D220" s="697"/>
      <c r="E220" s="698"/>
      <c r="F220" s="699"/>
    </row>
    <row r="221" spans="3:6">
      <c r="C221" s="697"/>
      <c r="D221" s="697"/>
      <c r="E221" s="698"/>
      <c r="F221" s="699"/>
    </row>
    <row r="222" spans="3:6">
      <c r="C222" s="697"/>
      <c r="D222" s="697"/>
      <c r="E222" s="698"/>
      <c r="F222" s="699"/>
    </row>
    <row r="223" spans="3:6">
      <c r="C223" s="697"/>
      <c r="D223" s="697"/>
      <c r="E223" s="698"/>
      <c r="F223" s="699"/>
    </row>
    <row r="224" spans="3:6">
      <c r="C224" s="697"/>
      <c r="D224" s="697"/>
      <c r="E224" s="698"/>
      <c r="F224" s="699"/>
    </row>
    <row r="225" spans="3:6">
      <c r="C225" s="697"/>
      <c r="D225" s="697"/>
      <c r="E225" s="698"/>
      <c r="F225" s="699"/>
    </row>
    <row r="226" spans="3:6">
      <c r="C226" s="697"/>
      <c r="D226" s="697"/>
      <c r="E226" s="698"/>
      <c r="F226" s="699"/>
    </row>
    <row r="227" spans="3:6">
      <c r="C227" s="697"/>
      <c r="D227" s="697"/>
      <c r="E227" s="698"/>
      <c r="F227" s="699"/>
    </row>
    <row r="228" spans="3:6">
      <c r="C228" s="697"/>
      <c r="D228" s="697"/>
      <c r="E228" s="698"/>
      <c r="F228" s="699"/>
    </row>
    <row r="229" spans="3:6">
      <c r="C229" s="697"/>
      <c r="D229" s="697"/>
      <c r="E229" s="698"/>
      <c r="F229" s="699"/>
    </row>
    <row r="230" spans="3:6">
      <c r="C230" s="697"/>
      <c r="D230" s="697"/>
      <c r="E230" s="698"/>
      <c r="F230" s="699"/>
    </row>
    <row r="231" spans="3:6">
      <c r="C231" s="697"/>
      <c r="D231" s="697"/>
      <c r="E231" s="698"/>
      <c r="F231" s="699"/>
    </row>
    <row r="232" spans="3:6">
      <c r="C232" s="697"/>
      <c r="D232" s="697"/>
      <c r="E232" s="698"/>
      <c r="F232" s="699"/>
    </row>
    <row r="233" spans="3:6">
      <c r="C233" s="697"/>
      <c r="D233" s="697"/>
      <c r="E233" s="698"/>
      <c r="F233" s="699"/>
    </row>
    <row r="234" spans="3:6">
      <c r="C234" s="697"/>
      <c r="D234" s="697"/>
      <c r="E234" s="698"/>
      <c r="F234" s="699"/>
    </row>
  </sheetData>
  <autoFilter ref="A5:K122" xr:uid="{00000000-0009-0000-0000-000011000000}"/>
  <mergeCells count="4">
    <mergeCell ref="A1:J1"/>
    <mergeCell ref="A2:J2"/>
    <mergeCell ref="A3:J3"/>
    <mergeCell ref="A4:J4"/>
  </mergeCells>
  <pageMargins left="0.25" right="0.25" top="0.25" bottom="0.25" header="0.25" footer="0.05"/>
  <pageSetup scale="69" fitToHeight="0"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H78"/>
  <sheetViews>
    <sheetView workbookViewId="0">
      <pane ySplit="1" topLeftCell="A47" activePane="bottomLeft" state="frozen"/>
      <selection activeCell="D1" sqref="D1:E1048576"/>
      <selection pane="bottomLeft" activeCell="F22" sqref="F22"/>
    </sheetView>
  </sheetViews>
  <sheetFormatPr defaultColWidth="8.875" defaultRowHeight="15"/>
  <cols>
    <col min="1" max="1" width="15.625" style="813" customWidth="1"/>
    <col min="2" max="2" width="5.5" style="814" customWidth="1"/>
    <col min="3" max="3" width="6.625" style="814" customWidth="1"/>
    <col min="4" max="4" width="4" style="815" customWidth="1"/>
    <col min="5" max="5" width="8.875" style="816" customWidth="1"/>
    <col min="6" max="6" width="7.625" style="817" customWidth="1"/>
    <col min="7" max="7" width="14.125" style="818" customWidth="1"/>
    <col min="8" max="8" width="11.875" style="819" customWidth="1"/>
    <col min="9" max="16384" width="8.875" style="811"/>
  </cols>
  <sheetData>
    <row r="1" spans="1:8" ht="24">
      <c r="A1" s="905" t="s">
        <v>3751</v>
      </c>
      <c r="B1" s="905" t="s">
        <v>275</v>
      </c>
      <c r="C1" s="905" t="s">
        <v>3752</v>
      </c>
      <c r="D1" s="906" t="s">
        <v>4206</v>
      </c>
      <c r="E1" s="907" t="s">
        <v>3753</v>
      </c>
      <c r="F1" s="907" t="s">
        <v>3754</v>
      </c>
      <c r="G1" s="907" t="s">
        <v>3755</v>
      </c>
      <c r="H1" s="908" t="s">
        <v>3756</v>
      </c>
    </row>
    <row r="2" spans="1:8" ht="23.25">
      <c r="A2" s="1045" t="s">
        <v>4210</v>
      </c>
      <c r="B2" s="1046" t="s">
        <v>3784</v>
      </c>
      <c r="C2" s="1035">
        <v>43101</v>
      </c>
      <c r="D2" s="1036">
        <v>21</v>
      </c>
      <c r="E2" s="1037" t="s">
        <v>3785</v>
      </c>
      <c r="F2" s="1037" t="s">
        <v>3786</v>
      </c>
      <c r="G2" s="1038" t="s">
        <v>3760</v>
      </c>
      <c r="H2" s="1039" t="s">
        <v>72</v>
      </c>
    </row>
    <row r="3" spans="1:8">
      <c r="A3" s="1033" t="s">
        <v>3757</v>
      </c>
      <c r="B3" s="1041" t="s">
        <v>3758</v>
      </c>
      <c r="C3" s="1035">
        <v>43101</v>
      </c>
      <c r="D3" s="1036">
        <v>21</v>
      </c>
      <c r="E3" s="1037" t="s">
        <v>3759</v>
      </c>
      <c r="F3" s="1037" t="s">
        <v>4207</v>
      </c>
      <c r="G3" s="1040" t="s">
        <v>3760</v>
      </c>
      <c r="H3" s="1039" t="s">
        <v>3761</v>
      </c>
    </row>
    <row r="4" spans="1:8" ht="23.25">
      <c r="A4" s="1033" t="s">
        <v>3762</v>
      </c>
      <c r="B4" s="1034" t="s">
        <v>3758</v>
      </c>
      <c r="C4" s="1035">
        <v>43101</v>
      </c>
      <c r="D4" s="1036">
        <v>21</v>
      </c>
      <c r="E4" s="1037" t="s">
        <v>3763</v>
      </c>
      <c r="F4" s="1037" t="s">
        <v>3764</v>
      </c>
      <c r="G4" s="1040" t="s">
        <v>3760</v>
      </c>
      <c r="H4" s="1039" t="s">
        <v>3765</v>
      </c>
    </row>
    <row r="5" spans="1:8">
      <c r="A5" s="1033" t="s">
        <v>4371</v>
      </c>
      <c r="B5" s="1041" t="s">
        <v>3784</v>
      </c>
      <c r="C5" s="1035">
        <v>43191</v>
      </c>
      <c r="D5" s="1053">
        <v>21</v>
      </c>
      <c r="E5" s="1038" t="s">
        <v>4344</v>
      </c>
      <c r="F5" s="1037" t="s">
        <v>4376</v>
      </c>
      <c r="G5" s="1040" t="s">
        <v>3760</v>
      </c>
      <c r="H5" s="1054" t="s">
        <v>4372</v>
      </c>
    </row>
    <row r="6" spans="1:8" ht="23.25">
      <c r="A6" s="1033" t="s">
        <v>3766</v>
      </c>
      <c r="B6" s="1041" t="s">
        <v>3767</v>
      </c>
      <c r="C6" s="1035">
        <v>43101</v>
      </c>
      <c r="D6" s="1036">
        <v>21</v>
      </c>
      <c r="E6" s="1037" t="s">
        <v>3768</v>
      </c>
      <c r="F6" s="1037" t="s">
        <v>3769</v>
      </c>
      <c r="G6" s="1040" t="s">
        <v>3760</v>
      </c>
      <c r="H6" s="1039" t="s">
        <v>3770</v>
      </c>
    </row>
    <row r="7" spans="1:8">
      <c r="A7" s="1033" t="s">
        <v>3771</v>
      </c>
      <c r="B7" s="1034" t="s">
        <v>3758</v>
      </c>
      <c r="C7" s="1035">
        <v>43101</v>
      </c>
      <c r="D7" s="1036">
        <v>21</v>
      </c>
      <c r="E7" s="1037" t="s">
        <v>3772</v>
      </c>
      <c r="F7" s="1037" t="s">
        <v>3773</v>
      </c>
      <c r="G7" s="1038" t="s">
        <v>3760</v>
      </c>
      <c r="H7" s="1039" t="s">
        <v>72</v>
      </c>
    </row>
    <row r="8" spans="1:8">
      <c r="A8" s="1033" t="s">
        <v>3774</v>
      </c>
      <c r="B8" s="1034" t="s">
        <v>3767</v>
      </c>
      <c r="C8" s="1035">
        <v>43101</v>
      </c>
      <c r="D8" s="1036">
        <v>21</v>
      </c>
      <c r="E8" s="1037" t="s">
        <v>3775</v>
      </c>
      <c r="F8" s="1037" t="s">
        <v>3776</v>
      </c>
      <c r="G8" s="1038" t="s">
        <v>3760</v>
      </c>
      <c r="H8" s="1039" t="s">
        <v>3777</v>
      </c>
    </row>
    <row r="9" spans="1:8" ht="23.25">
      <c r="A9" s="1033" t="s">
        <v>3778</v>
      </c>
      <c r="B9" s="1034" t="s">
        <v>3767</v>
      </c>
      <c r="C9" s="1035">
        <v>43101</v>
      </c>
      <c r="D9" s="1036">
        <v>21</v>
      </c>
      <c r="E9" s="1037" t="s">
        <v>3779</v>
      </c>
      <c r="F9" s="1037" t="s">
        <v>3780</v>
      </c>
      <c r="G9" s="1038" t="s">
        <v>3760</v>
      </c>
      <c r="H9" s="1039" t="s">
        <v>4208</v>
      </c>
    </row>
    <row r="10" spans="1:8">
      <c r="A10" s="1033" t="s">
        <v>3781</v>
      </c>
      <c r="B10" s="1034" t="s">
        <v>3758</v>
      </c>
      <c r="C10" s="1035">
        <v>43101</v>
      </c>
      <c r="D10" s="1036">
        <v>21</v>
      </c>
      <c r="E10" s="1037" t="s">
        <v>3782</v>
      </c>
      <c r="F10" s="1037" t="s">
        <v>4209</v>
      </c>
      <c r="G10" s="1038" t="s">
        <v>3760</v>
      </c>
      <c r="H10" s="1039" t="s">
        <v>3783</v>
      </c>
    </row>
    <row r="11" spans="1:8" ht="23.25">
      <c r="A11" s="1045" t="s">
        <v>4024</v>
      </c>
      <c r="B11" s="1046" t="s">
        <v>3758</v>
      </c>
      <c r="C11" s="1047">
        <v>43101</v>
      </c>
      <c r="D11" s="1048">
        <v>21</v>
      </c>
      <c r="E11" s="1037" t="s">
        <v>3787</v>
      </c>
      <c r="F11" s="1037" t="s">
        <v>3788</v>
      </c>
      <c r="G11" s="1040" t="s">
        <v>3760</v>
      </c>
      <c r="H11" s="1040" t="s">
        <v>3789</v>
      </c>
    </row>
    <row r="12" spans="1:8">
      <c r="A12" s="1238" t="s">
        <v>4571</v>
      </c>
      <c r="B12" s="1239" t="s">
        <v>3758</v>
      </c>
      <c r="C12" s="1242">
        <v>43282</v>
      </c>
      <c r="D12" s="1244">
        <v>21</v>
      </c>
      <c r="E12" s="1249"/>
      <c r="F12" s="1251" t="s">
        <v>3927</v>
      </c>
      <c r="G12" s="1252" t="s">
        <v>3760</v>
      </c>
      <c r="H12" s="1256"/>
    </row>
    <row r="13" spans="1:8">
      <c r="A13" s="1033" t="s">
        <v>3790</v>
      </c>
      <c r="B13" s="1041" t="s">
        <v>3758</v>
      </c>
      <c r="C13" s="1035">
        <v>43101</v>
      </c>
      <c r="D13" s="1036">
        <v>21</v>
      </c>
      <c r="E13" s="1037" t="s">
        <v>3791</v>
      </c>
      <c r="F13" s="1037" t="s">
        <v>3769</v>
      </c>
      <c r="G13" s="1040" t="s">
        <v>3760</v>
      </c>
      <c r="H13" s="1039" t="s">
        <v>3792</v>
      </c>
    </row>
    <row r="14" spans="1:8">
      <c r="A14" s="1033" t="s">
        <v>3793</v>
      </c>
      <c r="B14" s="1041" t="s">
        <v>3758</v>
      </c>
      <c r="C14" s="1035">
        <v>43101</v>
      </c>
      <c r="D14" s="1036">
        <v>21</v>
      </c>
      <c r="E14" s="1037" t="s">
        <v>3794</v>
      </c>
      <c r="F14" s="1037" t="s">
        <v>3795</v>
      </c>
      <c r="G14" s="1040" t="s">
        <v>3760</v>
      </c>
      <c r="H14" s="1039" t="s">
        <v>72</v>
      </c>
    </row>
    <row r="15" spans="1:8">
      <c r="A15" s="1033" t="s">
        <v>3796</v>
      </c>
      <c r="B15" s="1041" t="s">
        <v>3758</v>
      </c>
      <c r="C15" s="1035">
        <v>43101</v>
      </c>
      <c r="D15" s="1036">
        <v>21</v>
      </c>
      <c r="E15" s="1037" t="s">
        <v>3797</v>
      </c>
      <c r="F15" s="1037" t="s">
        <v>3798</v>
      </c>
      <c r="G15" s="1040" t="s">
        <v>3760</v>
      </c>
      <c r="H15" s="1039" t="s">
        <v>3799</v>
      </c>
    </row>
    <row r="16" spans="1:8">
      <c r="A16" s="1033" t="s">
        <v>3800</v>
      </c>
      <c r="B16" s="1034" t="s">
        <v>3758</v>
      </c>
      <c r="C16" s="1035">
        <v>43101</v>
      </c>
      <c r="D16" s="1036">
        <v>21</v>
      </c>
      <c r="E16" s="1037" t="s">
        <v>3801</v>
      </c>
      <c r="F16" s="1037" t="s">
        <v>3773</v>
      </c>
      <c r="G16" s="1040" t="s">
        <v>3760</v>
      </c>
      <c r="H16" s="1043" t="s">
        <v>72</v>
      </c>
    </row>
    <row r="17" spans="1:8">
      <c r="A17" s="1033" t="s">
        <v>3802</v>
      </c>
      <c r="B17" s="1034" t="s">
        <v>3758</v>
      </c>
      <c r="C17" s="1035">
        <v>43101</v>
      </c>
      <c r="D17" s="1036">
        <v>21</v>
      </c>
      <c r="E17" s="1037" t="s">
        <v>3803</v>
      </c>
      <c r="F17" s="1037" t="s">
        <v>3795</v>
      </c>
      <c r="G17" s="1038" t="s">
        <v>3760</v>
      </c>
      <c r="H17" s="1039" t="s">
        <v>72</v>
      </c>
    </row>
    <row r="18" spans="1:8">
      <c r="A18" s="1033" t="s">
        <v>3804</v>
      </c>
      <c r="B18" s="1034" t="s">
        <v>3784</v>
      </c>
      <c r="C18" s="1035">
        <v>43101</v>
      </c>
      <c r="D18" s="1036">
        <v>21</v>
      </c>
      <c r="E18" s="1037" t="s">
        <v>3805</v>
      </c>
      <c r="F18" s="1037" t="s">
        <v>3788</v>
      </c>
      <c r="G18" s="1038" t="s">
        <v>3760</v>
      </c>
      <c r="H18" s="1039" t="s">
        <v>3806</v>
      </c>
    </row>
    <row r="19" spans="1:8">
      <c r="A19" s="1033" t="s">
        <v>3807</v>
      </c>
      <c r="B19" s="1034" t="s">
        <v>3758</v>
      </c>
      <c r="C19" s="1035">
        <v>43101</v>
      </c>
      <c r="D19" s="1036">
        <v>21</v>
      </c>
      <c r="E19" s="1037" t="s">
        <v>3808</v>
      </c>
      <c r="F19" s="1037" t="s">
        <v>3780</v>
      </c>
      <c r="G19" s="1038" t="s">
        <v>3760</v>
      </c>
      <c r="H19" s="1039" t="s">
        <v>3809</v>
      </c>
    </row>
    <row r="20" spans="1:8">
      <c r="A20" s="1049" t="s">
        <v>3704</v>
      </c>
      <c r="B20" s="1041" t="s">
        <v>3758</v>
      </c>
      <c r="C20" s="1035">
        <v>43101</v>
      </c>
      <c r="D20" s="1036">
        <v>21</v>
      </c>
      <c r="E20" s="1037" t="s">
        <v>3810</v>
      </c>
      <c r="F20" s="1037" t="s">
        <v>3811</v>
      </c>
      <c r="G20" s="1040" t="s">
        <v>3812</v>
      </c>
      <c r="H20" s="1039" t="s">
        <v>3813</v>
      </c>
    </row>
    <row r="21" spans="1:8">
      <c r="A21" s="1033" t="s">
        <v>3814</v>
      </c>
      <c r="B21" s="1034" t="s">
        <v>3815</v>
      </c>
      <c r="C21" s="1035">
        <v>43101</v>
      </c>
      <c r="D21" s="1036">
        <v>21</v>
      </c>
      <c r="E21" s="1037" t="s">
        <v>3816</v>
      </c>
      <c r="F21" s="1037" t="s">
        <v>3798</v>
      </c>
      <c r="G21" s="1038" t="s">
        <v>4211</v>
      </c>
      <c r="H21" s="1039" t="s">
        <v>3817</v>
      </c>
    </row>
    <row r="22" spans="1:8">
      <c r="A22" s="1238" t="s">
        <v>5497</v>
      </c>
      <c r="B22" s="1239" t="s">
        <v>72</v>
      </c>
      <c r="C22" s="1242">
        <v>43282</v>
      </c>
      <c r="D22" s="1244">
        <v>21</v>
      </c>
      <c r="E22" s="1247" t="s">
        <v>4548</v>
      </c>
      <c r="F22" s="1251" t="s">
        <v>72</v>
      </c>
      <c r="G22" s="1252" t="s">
        <v>72</v>
      </c>
      <c r="H22" s="1254" t="s">
        <v>72</v>
      </c>
    </row>
    <row r="23" spans="1:8">
      <c r="A23" s="1033" t="s">
        <v>3818</v>
      </c>
      <c r="B23" s="1041" t="s">
        <v>3758</v>
      </c>
      <c r="C23" s="1035">
        <v>43101</v>
      </c>
      <c r="D23" s="1036">
        <v>21</v>
      </c>
      <c r="E23" s="1037" t="s">
        <v>3819</v>
      </c>
      <c r="F23" s="1037" t="s">
        <v>3795</v>
      </c>
      <c r="G23" s="1040" t="s">
        <v>3760</v>
      </c>
      <c r="H23" s="1039" t="s">
        <v>72</v>
      </c>
    </row>
    <row r="24" spans="1:8">
      <c r="A24" s="1033" t="s">
        <v>3820</v>
      </c>
      <c r="B24" s="1041" t="s">
        <v>3758</v>
      </c>
      <c r="C24" s="1035">
        <v>43101</v>
      </c>
      <c r="D24" s="1036">
        <v>21</v>
      </c>
      <c r="E24" s="1037" t="s">
        <v>3821</v>
      </c>
      <c r="F24" s="1037" t="s">
        <v>3822</v>
      </c>
      <c r="G24" s="1040" t="s">
        <v>3760</v>
      </c>
      <c r="H24" s="1039" t="s">
        <v>72</v>
      </c>
    </row>
    <row r="25" spans="1:8" s="812" customFormat="1">
      <c r="A25" s="1033" t="s">
        <v>3823</v>
      </c>
      <c r="B25" s="1034" t="s">
        <v>3784</v>
      </c>
      <c r="C25" s="1035">
        <v>43101</v>
      </c>
      <c r="D25" s="1036">
        <v>21</v>
      </c>
      <c r="E25" s="1037" t="s">
        <v>3824</v>
      </c>
      <c r="F25" s="1037" t="s">
        <v>3798</v>
      </c>
      <c r="G25" s="1038" t="s">
        <v>3760</v>
      </c>
      <c r="H25" s="1039" t="s">
        <v>3825</v>
      </c>
    </row>
    <row r="26" spans="1:8" ht="22.5">
      <c r="A26" s="1033" t="s">
        <v>3826</v>
      </c>
      <c r="B26" s="1034" t="s">
        <v>3758</v>
      </c>
      <c r="C26" s="1035">
        <v>43101</v>
      </c>
      <c r="D26" s="1036">
        <v>21</v>
      </c>
      <c r="E26" s="1037" t="s">
        <v>3827</v>
      </c>
      <c r="F26" s="1038" t="s">
        <v>4366</v>
      </c>
      <c r="G26" s="1040" t="s">
        <v>3760</v>
      </c>
      <c r="H26" s="1039" t="s">
        <v>3828</v>
      </c>
    </row>
    <row r="27" spans="1:8" ht="23.25">
      <c r="A27" s="1033" t="s">
        <v>3829</v>
      </c>
      <c r="B27" s="1034" t="s">
        <v>3758</v>
      </c>
      <c r="C27" s="1035">
        <v>43101</v>
      </c>
      <c r="D27" s="1036">
        <v>21</v>
      </c>
      <c r="E27" s="1037" t="s">
        <v>3830</v>
      </c>
      <c r="F27" s="1037" t="s">
        <v>3831</v>
      </c>
      <c r="G27" s="1038" t="s">
        <v>3760</v>
      </c>
      <c r="H27" s="1039" t="s">
        <v>3832</v>
      </c>
    </row>
    <row r="28" spans="1:8">
      <c r="A28" s="1033" t="s">
        <v>4324</v>
      </c>
      <c r="B28" s="1041" t="s">
        <v>3784</v>
      </c>
      <c r="C28" s="1035">
        <v>43221</v>
      </c>
      <c r="D28" s="1053">
        <v>21</v>
      </c>
      <c r="E28" s="1038" t="s">
        <v>4547</v>
      </c>
      <c r="F28" s="1037" t="s">
        <v>3769</v>
      </c>
      <c r="G28" s="1040" t="s">
        <v>3760</v>
      </c>
      <c r="H28" s="1043" t="s">
        <v>4373</v>
      </c>
    </row>
    <row r="29" spans="1:8">
      <c r="A29" s="1238" t="s">
        <v>4324</v>
      </c>
      <c r="B29" s="1239" t="s">
        <v>3784</v>
      </c>
      <c r="C29" s="1242">
        <v>43221</v>
      </c>
      <c r="D29" s="1244">
        <v>21</v>
      </c>
      <c r="E29" s="1251" t="s">
        <v>4547</v>
      </c>
      <c r="F29" s="1251" t="s">
        <v>3769</v>
      </c>
      <c r="G29" s="1252" t="s">
        <v>3760</v>
      </c>
      <c r="H29" s="1259" t="s">
        <v>4373</v>
      </c>
    </row>
    <row r="30" spans="1:8">
      <c r="A30" s="1238" t="s">
        <v>5493</v>
      </c>
      <c r="B30" s="1239" t="s">
        <v>3758</v>
      </c>
      <c r="C30" s="1242">
        <v>43252</v>
      </c>
      <c r="D30" s="1244">
        <v>21</v>
      </c>
      <c r="E30" s="1249"/>
      <c r="F30" s="1251" t="s">
        <v>3773</v>
      </c>
      <c r="G30" s="1252" t="s">
        <v>3760</v>
      </c>
      <c r="H30" s="1254" t="s">
        <v>72</v>
      </c>
    </row>
    <row r="31" spans="1:8">
      <c r="A31" s="1033" t="s">
        <v>3833</v>
      </c>
      <c r="B31" s="1034" t="s">
        <v>3784</v>
      </c>
      <c r="C31" s="1035">
        <v>43101</v>
      </c>
      <c r="D31" s="1036">
        <v>21</v>
      </c>
      <c r="E31" s="1037" t="s">
        <v>3834</v>
      </c>
      <c r="F31" s="1037" t="s">
        <v>3835</v>
      </c>
      <c r="G31" s="1038" t="s">
        <v>3760</v>
      </c>
      <c r="H31" s="1044" t="s">
        <v>72</v>
      </c>
    </row>
    <row r="32" spans="1:8">
      <c r="A32" s="1045" t="s">
        <v>3836</v>
      </c>
      <c r="B32" s="1041" t="s">
        <v>3815</v>
      </c>
      <c r="C32" s="1035">
        <v>43101</v>
      </c>
      <c r="D32" s="1036">
        <v>21</v>
      </c>
      <c r="E32" s="1037" t="s">
        <v>3837</v>
      </c>
      <c r="F32" s="1037" t="s">
        <v>3831</v>
      </c>
      <c r="G32" s="1040" t="s">
        <v>3812</v>
      </c>
      <c r="H32" s="1039" t="s">
        <v>3838</v>
      </c>
    </row>
    <row r="33" spans="1:8">
      <c r="A33" s="1238" t="s">
        <v>5494</v>
      </c>
      <c r="B33" s="1239" t="s">
        <v>3758</v>
      </c>
      <c r="C33" s="1242">
        <v>43282</v>
      </c>
      <c r="D33" s="1244">
        <v>21</v>
      </c>
      <c r="E33" s="1249"/>
      <c r="F33" s="1251" t="s">
        <v>3780</v>
      </c>
      <c r="G33" s="1252" t="s">
        <v>3760</v>
      </c>
      <c r="H33" s="1256"/>
    </row>
    <row r="34" spans="1:8">
      <c r="A34" s="1033" t="s">
        <v>3839</v>
      </c>
      <c r="B34" s="1034" t="s">
        <v>3784</v>
      </c>
      <c r="C34" s="1035">
        <v>43101</v>
      </c>
      <c r="D34" s="1036">
        <v>21</v>
      </c>
      <c r="E34" s="1037" t="s">
        <v>3840</v>
      </c>
      <c r="F34" s="1037" t="s">
        <v>3841</v>
      </c>
      <c r="G34" s="1040" t="s">
        <v>3812</v>
      </c>
      <c r="H34" s="1039" t="s">
        <v>72</v>
      </c>
    </row>
    <row r="35" spans="1:8">
      <c r="A35" s="1238" t="s">
        <v>5496</v>
      </c>
      <c r="B35" s="1239" t="s">
        <v>3758</v>
      </c>
      <c r="C35" s="1242">
        <v>43282</v>
      </c>
      <c r="D35" s="1244">
        <v>21</v>
      </c>
      <c r="E35" s="1249"/>
      <c r="F35" s="1251" t="s">
        <v>5499</v>
      </c>
      <c r="G35" s="1252" t="s">
        <v>3760</v>
      </c>
      <c r="H35" s="1256"/>
    </row>
    <row r="36" spans="1:8" ht="23.25">
      <c r="A36" s="1033" t="s">
        <v>3942</v>
      </c>
      <c r="B36" s="1041" t="s">
        <v>3758</v>
      </c>
      <c r="C36" s="1035">
        <v>43132</v>
      </c>
      <c r="D36" s="1053">
        <v>21</v>
      </c>
      <c r="E36" s="1037" t="s">
        <v>4217</v>
      </c>
      <c r="F36" s="1037" t="s">
        <v>3780</v>
      </c>
      <c r="G36" s="1040" t="s">
        <v>3760</v>
      </c>
      <c r="H36" s="1043" t="s">
        <v>4218</v>
      </c>
    </row>
    <row r="37" spans="1:8">
      <c r="A37" s="1033" t="s">
        <v>3842</v>
      </c>
      <c r="B37" s="1041" t="s">
        <v>3758</v>
      </c>
      <c r="C37" s="1035">
        <v>43101</v>
      </c>
      <c r="D37" s="1036">
        <v>21</v>
      </c>
      <c r="E37" s="1037" t="s">
        <v>3843</v>
      </c>
      <c r="F37" s="1037" t="s">
        <v>3831</v>
      </c>
      <c r="G37" s="1040" t="s">
        <v>3812</v>
      </c>
      <c r="H37" s="1039" t="s">
        <v>3844</v>
      </c>
    </row>
    <row r="38" spans="1:8">
      <c r="A38" s="1033" t="s">
        <v>3845</v>
      </c>
      <c r="B38" s="1041" t="s">
        <v>3784</v>
      </c>
      <c r="C38" s="1035">
        <v>43101</v>
      </c>
      <c r="D38" s="1036">
        <v>21</v>
      </c>
      <c r="E38" s="1037" t="s">
        <v>3846</v>
      </c>
      <c r="F38" s="1037" t="s">
        <v>3831</v>
      </c>
      <c r="G38" s="1038" t="s">
        <v>3760</v>
      </c>
      <c r="H38" s="1039" t="s">
        <v>3847</v>
      </c>
    </row>
    <row r="39" spans="1:8">
      <c r="A39" s="1033" t="s">
        <v>4219</v>
      </c>
      <c r="B39" s="1041" t="s">
        <v>3758</v>
      </c>
      <c r="C39" s="1035">
        <v>43132</v>
      </c>
      <c r="D39" s="1053">
        <v>21</v>
      </c>
      <c r="E39" s="1038" t="s">
        <v>4345</v>
      </c>
      <c r="F39" s="1037" t="s">
        <v>3850</v>
      </c>
      <c r="G39" s="1040" t="s">
        <v>3760</v>
      </c>
      <c r="H39" s="1054" t="s">
        <v>72</v>
      </c>
    </row>
    <row r="40" spans="1:8" s="812" customFormat="1" ht="23.25">
      <c r="A40" s="1033" t="s">
        <v>3848</v>
      </c>
      <c r="B40" s="1041" t="s">
        <v>3784</v>
      </c>
      <c r="C40" s="1035">
        <v>43101</v>
      </c>
      <c r="D40" s="1036">
        <v>21</v>
      </c>
      <c r="E40" s="1037" t="s">
        <v>3849</v>
      </c>
      <c r="F40" s="1037" t="s">
        <v>3850</v>
      </c>
      <c r="G40" s="1040" t="s">
        <v>3812</v>
      </c>
      <c r="H40" s="1039" t="s">
        <v>72</v>
      </c>
    </row>
    <row r="41" spans="1:8">
      <c r="A41" s="1033" t="s">
        <v>3853</v>
      </c>
      <c r="B41" s="1041" t="s">
        <v>3758</v>
      </c>
      <c r="C41" s="1035">
        <v>43101</v>
      </c>
      <c r="D41" s="1036">
        <v>21</v>
      </c>
      <c r="E41" s="1037" t="s">
        <v>3854</v>
      </c>
      <c r="F41" s="1037" t="s">
        <v>3831</v>
      </c>
      <c r="G41" s="1040" t="s">
        <v>3760</v>
      </c>
      <c r="H41" s="1040" t="s">
        <v>3855</v>
      </c>
    </row>
    <row r="42" spans="1:8" s="812" customFormat="1">
      <c r="A42" s="1033" t="s">
        <v>3856</v>
      </c>
      <c r="B42" s="1041" t="s">
        <v>3784</v>
      </c>
      <c r="C42" s="1042">
        <v>43101</v>
      </c>
      <c r="D42" s="1036">
        <v>21</v>
      </c>
      <c r="E42" s="1037" t="s">
        <v>3857</v>
      </c>
      <c r="F42" s="1037" t="s">
        <v>3858</v>
      </c>
      <c r="G42" s="1040" t="s">
        <v>3812</v>
      </c>
      <c r="H42" s="1043" t="s">
        <v>3859</v>
      </c>
    </row>
    <row r="43" spans="1:8">
      <c r="A43" s="1033" t="s">
        <v>3851</v>
      </c>
      <c r="B43" s="1034" t="s">
        <v>3758</v>
      </c>
      <c r="C43" s="1035">
        <v>43101</v>
      </c>
      <c r="D43" s="1036">
        <v>21</v>
      </c>
      <c r="E43" s="1038" t="s">
        <v>4138</v>
      </c>
      <c r="F43" s="1037" t="s">
        <v>3780</v>
      </c>
      <c r="G43" s="1040" t="s">
        <v>3812</v>
      </c>
      <c r="H43" s="1039" t="s">
        <v>3852</v>
      </c>
    </row>
    <row r="44" spans="1:8" s="812" customFormat="1" ht="34.5">
      <c r="A44" s="1033" t="s">
        <v>3860</v>
      </c>
      <c r="B44" s="1034" t="s">
        <v>3758</v>
      </c>
      <c r="C44" s="1035">
        <v>43101</v>
      </c>
      <c r="D44" s="1036">
        <v>21</v>
      </c>
      <c r="E44" s="1037" t="s">
        <v>3861</v>
      </c>
      <c r="F44" s="1037" t="s">
        <v>3780</v>
      </c>
      <c r="G44" s="1040" t="s">
        <v>3812</v>
      </c>
      <c r="H44" s="1040" t="s">
        <v>3862</v>
      </c>
    </row>
    <row r="45" spans="1:8">
      <c r="A45" s="1238" t="s">
        <v>5492</v>
      </c>
      <c r="B45" s="1239" t="s">
        <v>3784</v>
      </c>
      <c r="C45" s="1242">
        <v>43252</v>
      </c>
      <c r="D45" s="1244">
        <v>21</v>
      </c>
      <c r="E45" s="1249"/>
      <c r="F45" s="1251" t="s">
        <v>3874</v>
      </c>
      <c r="G45" s="1252" t="s">
        <v>3760</v>
      </c>
      <c r="H45" s="1254" t="s">
        <v>5498</v>
      </c>
    </row>
    <row r="46" spans="1:8">
      <c r="A46" s="1033" t="s">
        <v>3863</v>
      </c>
      <c r="B46" s="1041" t="s">
        <v>3767</v>
      </c>
      <c r="C46" s="1035">
        <v>43101</v>
      </c>
      <c r="D46" s="1036">
        <v>21</v>
      </c>
      <c r="E46" s="1037" t="s">
        <v>3864</v>
      </c>
      <c r="F46" s="1037">
        <v>11</v>
      </c>
      <c r="G46" s="1040" t="s">
        <v>3760</v>
      </c>
      <c r="H46" s="1039" t="s">
        <v>3865</v>
      </c>
    </row>
    <row r="47" spans="1:8" ht="34.5">
      <c r="A47" s="1033" t="s">
        <v>3866</v>
      </c>
      <c r="B47" s="1041" t="s">
        <v>3815</v>
      </c>
      <c r="C47" s="1035">
        <v>43101</v>
      </c>
      <c r="D47" s="1036">
        <v>21</v>
      </c>
      <c r="E47" s="1037" t="s">
        <v>3867</v>
      </c>
      <c r="F47" s="1037" t="s">
        <v>3868</v>
      </c>
      <c r="G47" s="1040" t="s">
        <v>3812</v>
      </c>
      <c r="H47" s="1039" t="s">
        <v>3869</v>
      </c>
    </row>
    <row r="48" spans="1:8">
      <c r="A48" s="1033" t="s">
        <v>3706</v>
      </c>
      <c r="B48" s="1034" t="s">
        <v>3758</v>
      </c>
      <c r="C48" s="1035">
        <v>43101</v>
      </c>
      <c r="D48" s="1036">
        <v>21</v>
      </c>
      <c r="E48" s="1037" t="s">
        <v>3870</v>
      </c>
      <c r="F48" s="1037" t="s">
        <v>3788</v>
      </c>
      <c r="G48" s="1040" t="s">
        <v>3760</v>
      </c>
      <c r="H48" s="1039" t="s">
        <v>3871</v>
      </c>
    </row>
    <row r="49" spans="1:8">
      <c r="A49" s="1033" t="s">
        <v>3872</v>
      </c>
      <c r="B49" s="1041" t="s">
        <v>3758</v>
      </c>
      <c r="C49" s="1035">
        <v>43101</v>
      </c>
      <c r="D49" s="1036">
        <v>21</v>
      </c>
      <c r="E49" s="1037" t="s">
        <v>3873</v>
      </c>
      <c r="F49" s="1037" t="s">
        <v>3874</v>
      </c>
      <c r="G49" s="1040" t="s">
        <v>3760</v>
      </c>
      <c r="H49" s="1039" t="s">
        <v>3875</v>
      </c>
    </row>
    <row r="50" spans="1:8" ht="34.5">
      <c r="A50" s="1033" t="s">
        <v>3876</v>
      </c>
      <c r="B50" s="1041" t="s">
        <v>3758</v>
      </c>
      <c r="C50" s="1035">
        <v>43101</v>
      </c>
      <c r="D50" s="1036">
        <v>21</v>
      </c>
      <c r="E50" s="1037" t="s">
        <v>3877</v>
      </c>
      <c r="F50" s="1037" t="s">
        <v>3788</v>
      </c>
      <c r="G50" s="1040" t="s">
        <v>3760</v>
      </c>
      <c r="H50" s="1039" t="s">
        <v>4364</v>
      </c>
    </row>
    <row r="51" spans="1:8">
      <c r="A51" s="1033" t="s">
        <v>3878</v>
      </c>
      <c r="B51" s="1034" t="s">
        <v>3758</v>
      </c>
      <c r="C51" s="1035">
        <v>43101</v>
      </c>
      <c r="D51" s="1036">
        <v>21</v>
      </c>
      <c r="E51" s="1037" t="s">
        <v>3879</v>
      </c>
      <c r="F51" s="1037" t="s">
        <v>3773</v>
      </c>
      <c r="G51" s="1040" t="s">
        <v>3760</v>
      </c>
      <c r="H51" s="1043" t="s">
        <v>72</v>
      </c>
    </row>
    <row r="52" spans="1:8">
      <c r="A52" s="1033" t="s">
        <v>3880</v>
      </c>
      <c r="B52" s="1034" t="s">
        <v>3784</v>
      </c>
      <c r="C52" s="1035">
        <v>43101</v>
      </c>
      <c r="D52" s="1036">
        <v>21</v>
      </c>
      <c r="E52" s="1037" t="s">
        <v>3881</v>
      </c>
      <c r="F52" s="1037" t="s">
        <v>3882</v>
      </c>
      <c r="G52" s="1040" t="s">
        <v>3760</v>
      </c>
      <c r="H52" s="1039" t="s">
        <v>72</v>
      </c>
    </row>
    <row r="53" spans="1:8" s="812" customFormat="1" ht="23.25">
      <c r="A53" s="1033" t="s">
        <v>3883</v>
      </c>
      <c r="B53" s="1034" t="s">
        <v>3784</v>
      </c>
      <c r="C53" s="1035">
        <v>43101</v>
      </c>
      <c r="D53" s="1036">
        <v>21</v>
      </c>
      <c r="E53" s="1037" t="s">
        <v>3884</v>
      </c>
      <c r="F53" s="1037" t="s">
        <v>3885</v>
      </c>
      <c r="G53" s="1040" t="s">
        <v>3760</v>
      </c>
      <c r="H53" s="1039" t="s">
        <v>3832</v>
      </c>
    </row>
    <row r="54" spans="1:8">
      <c r="A54" s="1033" t="s">
        <v>3886</v>
      </c>
      <c r="B54" s="1041" t="s">
        <v>3758</v>
      </c>
      <c r="C54" s="1035">
        <v>43101</v>
      </c>
      <c r="D54" s="1036">
        <v>21</v>
      </c>
      <c r="E54" s="1037" t="s">
        <v>3887</v>
      </c>
      <c r="F54" s="1037" t="s">
        <v>3780</v>
      </c>
      <c r="G54" s="1040" t="s">
        <v>3760</v>
      </c>
      <c r="H54" s="1040" t="s">
        <v>3888</v>
      </c>
    </row>
    <row r="55" spans="1:8">
      <c r="A55" s="1033" t="s">
        <v>3889</v>
      </c>
      <c r="B55" s="1034" t="s">
        <v>3758</v>
      </c>
      <c r="C55" s="1035">
        <v>43101</v>
      </c>
      <c r="D55" s="1036">
        <v>21</v>
      </c>
      <c r="E55" s="1037" t="s">
        <v>3890</v>
      </c>
      <c r="F55" s="1037" t="s">
        <v>3891</v>
      </c>
      <c r="G55" s="1040" t="s">
        <v>3760</v>
      </c>
      <c r="H55" s="1039" t="s">
        <v>4367</v>
      </c>
    </row>
    <row r="56" spans="1:8">
      <c r="A56" s="1033" t="s">
        <v>3892</v>
      </c>
      <c r="B56" s="1041" t="s">
        <v>3767</v>
      </c>
      <c r="C56" s="1035">
        <v>43101</v>
      </c>
      <c r="D56" s="1036">
        <v>21</v>
      </c>
      <c r="E56" s="1037" t="s">
        <v>3893</v>
      </c>
      <c r="F56" s="1037" t="s">
        <v>3894</v>
      </c>
      <c r="G56" s="1040" t="s">
        <v>3760</v>
      </c>
      <c r="H56" s="1039" t="s">
        <v>3895</v>
      </c>
    </row>
    <row r="57" spans="1:8">
      <c r="A57" s="1238" t="s">
        <v>5495</v>
      </c>
      <c r="B57" s="1239" t="s">
        <v>3767</v>
      </c>
      <c r="C57" s="1242">
        <v>43282</v>
      </c>
      <c r="D57" s="1244">
        <v>21</v>
      </c>
      <c r="E57" s="1249"/>
      <c r="F57" s="1251" t="s">
        <v>3835</v>
      </c>
      <c r="G57" s="1252" t="s">
        <v>3760</v>
      </c>
      <c r="H57" s="1256"/>
    </row>
    <row r="58" spans="1:8" ht="23.25">
      <c r="A58" s="1033" t="s">
        <v>3896</v>
      </c>
      <c r="B58" s="1041" t="s">
        <v>3784</v>
      </c>
      <c r="C58" s="1035">
        <v>43101</v>
      </c>
      <c r="D58" s="1036">
        <v>21</v>
      </c>
      <c r="E58" s="1037" t="s">
        <v>3897</v>
      </c>
      <c r="F58" s="1037" t="s">
        <v>3831</v>
      </c>
      <c r="G58" s="1040" t="s">
        <v>3760</v>
      </c>
      <c r="H58" s="1039" t="s">
        <v>3898</v>
      </c>
    </row>
    <row r="59" spans="1:8" ht="24.75">
      <c r="A59" s="1033" t="s">
        <v>3899</v>
      </c>
      <c r="B59" s="1034" t="s">
        <v>4212</v>
      </c>
      <c r="C59" s="1035">
        <v>43101</v>
      </c>
      <c r="D59" s="1036">
        <v>21</v>
      </c>
      <c r="E59" s="1037" t="s">
        <v>3900</v>
      </c>
      <c r="F59" s="1038" t="s">
        <v>3901</v>
      </c>
      <c r="G59" s="1040" t="s">
        <v>3812</v>
      </c>
      <c r="H59" s="1039" t="s">
        <v>3902</v>
      </c>
    </row>
    <row r="60" spans="1:8" ht="23.25">
      <c r="A60" s="1033" t="s">
        <v>3661</v>
      </c>
      <c r="B60" s="1041" t="s">
        <v>3758</v>
      </c>
      <c r="C60" s="1035">
        <v>43101</v>
      </c>
      <c r="D60" s="1036">
        <v>21</v>
      </c>
      <c r="E60" s="1037" t="s">
        <v>3903</v>
      </c>
      <c r="F60" s="1037" t="s">
        <v>3841</v>
      </c>
      <c r="G60" s="1040" t="s">
        <v>4213</v>
      </c>
      <c r="H60" s="1039" t="s">
        <v>72</v>
      </c>
    </row>
    <row r="61" spans="1:8">
      <c r="A61" s="1033" t="s">
        <v>3904</v>
      </c>
      <c r="B61" s="1041" t="s">
        <v>3758</v>
      </c>
      <c r="C61" s="1035">
        <v>43101</v>
      </c>
      <c r="D61" s="1036">
        <v>21</v>
      </c>
      <c r="E61" s="1037" t="s">
        <v>3905</v>
      </c>
      <c r="F61" s="1037" t="s">
        <v>4365</v>
      </c>
      <c r="G61" s="1040" t="s">
        <v>3812</v>
      </c>
      <c r="H61" s="1039" t="s">
        <v>3906</v>
      </c>
    </row>
    <row r="62" spans="1:8" ht="23.25">
      <c r="A62" s="1033" t="s">
        <v>3907</v>
      </c>
      <c r="B62" s="1034" t="s">
        <v>3758</v>
      </c>
      <c r="C62" s="1035">
        <v>43101</v>
      </c>
      <c r="D62" s="1036">
        <v>21</v>
      </c>
      <c r="E62" s="1037" t="s">
        <v>3908</v>
      </c>
      <c r="F62" s="1037" t="s">
        <v>3909</v>
      </c>
      <c r="G62" s="1040" t="s">
        <v>4214</v>
      </c>
      <c r="H62" s="1039" t="s">
        <v>3910</v>
      </c>
    </row>
    <row r="63" spans="1:8">
      <c r="A63" s="1033" t="s">
        <v>3911</v>
      </c>
      <c r="B63" s="1041" t="s">
        <v>3767</v>
      </c>
      <c r="C63" s="1035">
        <v>43101</v>
      </c>
      <c r="D63" s="1036">
        <v>21</v>
      </c>
      <c r="E63" s="1037" t="s">
        <v>3912</v>
      </c>
      <c r="F63" s="1037" t="s">
        <v>3913</v>
      </c>
      <c r="G63" s="1040" t="s">
        <v>3760</v>
      </c>
      <c r="H63" s="1039" t="s">
        <v>3914</v>
      </c>
    </row>
    <row r="64" spans="1:8" ht="23.25">
      <c r="A64" s="1033" t="s">
        <v>4220</v>
      </c>
      <c r="B64" s="1041" t="s">
        <v>3758</v>
      </c>
      <c r="C64" s="1035">
        <v>43132</v>
      </c>
      <c r="D64" s="1053">
        <v>21</v>
      </c>
      <c r="E64" s="1037" t="s">
        <v>4221</v>
      </c>
      <c r="F64" s="1037" t="s">
        <v>3769</v>
      </c>
      <c r="G64" s="1040" t="s">
        <v>4222</v>
      </c>
      <c r="H64" s="1043" t="s">
        <v>4223</v>
      </c>
    </row>
    <row r="65" spans="1:8">
      <c r="A65" s="1033" t="s">
        <v>4362</v>
      </c>
      <c r="B65" s="1034" t="s">
        <v>3784</v>
      </c>
      <c r="C65" s="1035">
        <v>43101</v>
      </c>
      <c r="D65" s="1036">
        <v>21</v>
      </c>
      <c r="E65" s="1037" t="s">
        <v>3915</v>
      </c>
      <c r="F65" s="1037" t="s">
        <v>3835</v>
      </c>
      <c r="G65" s="1038" t="s">
        <v>3760</v>
      </c>
      <c r="H65" s="1039" t="s">
        <v>3916</v>
      </c>
    </row>
    <row r="66" spans="1:8">
      <c r="A66" s="1033" t="s">
        <v>4224</v>
      </c>
      <c r="B66" s="1041" t="s">
        <v>3758</v>
      </c>
      <c r="C66" s="1035">
        <v>43132</v>
      </c>
      <c r="D66" s="1053">
        <v>21</v>
      </c>
      <c r="E66" s="1037" t="s">
        <v>4245</v>
      </c>
      <c r="F66" s="1037" t="s">
        <v>3927</v>
      </c>
      <c r="G66" s="1040" t="s">
        <v>3760</v>
      </c>
      <c r="H66" s="1054" t="s">
        <v>4225</v>
      </c>
    </row>
    <row r="67" spans="1:8">
      <c r="A67" s="1033" t="s">
        <v>4369</v>
      </c>
      <c r="B67" s="1041" t="s">
        <v>3758</v>
      </c>
      <c r="C67" s="1035">
        <v>43191</v>
      </c>
      <c r="D67" s="1053">
        <v>21</v>
      </c>
      <c r="E67" s="1038" t="s">
        <v>4346</v>
      </c>
      <c r="F67" s="1037" t="s">
        <v>4370</v>
      </c>
      <c r="G67" s="1040" t="s">
        <v>3760</v>
      </c>
      <c r="H67" s="1054" t="s">
        <v>72</v>
      </c>
    </row>
    <row r="68" spans="1:8" ht="22.5">
      <c r="A68" s="1033" t="s">
        <v>3917</v>
      </c>
      <c r="B68" s="1034" t="s">
        <v>3758</v>
      </c>
      <c r="C68" s="1035">
        <v>43101</v>
      </c>
      <c r="D68" s="1036">
        <v>21</v>
      </c>
      <c r="E68" s="1037" t="s">
        <v>3918</v>
      </c>
      <c r="F68" s="1037" t="s">
        <v>3780</v>
      </c>
      <c r="G68" s="1038" t="s">
        <v>4213</v>
      </c>
      <c r="H68" s="1039" t="s">
        <v>3919</v>
      </c>
    </row>
    <row r="69" spans="1:8">
      <c r="A69" s="1033" t="s">
        <v>3920</v>
      </c>
      <c r="B69" s="1041" t="s">
        <v>3767</v>
      </c>
      <c r="C69" s="1035">
        <v>43101</v>
      </c>
      <c r="D69" s="1036">
        <v>21</v>
      </c>
      <c r="E69" s="1037" t="s">
        <v>3921</v>
      </c>
      <c r="F69" s="1037" t="s">
        <v>3922</v>
      </c>
      <c r="G69" s="1040" t="s">
        <v>3812</v>
      </c>
      <c r="H69" s="1039" t="s">
        <v>3923</v>
      </c>
    </row>
    <row r="70" spans="1:8">
      <c r="A70" s="1050" t="s">
        <v>4368</v>
      </c>
      <c r="B70" s="1051" t="s">
        <v>3784</v>
      </c>
      <c r="C70" s="1052">
        <v>43101</v>
      </c>
      <c r="D70" s="1036">
        <v>21</v>
      </c>
      <c r="E70" s="1037" t="s">
        <v>4139</v>
      </c>
      <c r="F70" s="1037" t="s">
        <v>3798</v>
      </c>
      <c r="G70" s="1040" t="s">
        <v>3812</v>
      </c>
      <c r="H70" s="1043" t="s">
        <v>3924</v>
      </c>
    </row>
    <row r="71" spans="1:8">
      <c r="A71" s="1237" t="s">
        <v>3925</v>
      </c>
      <c r="B71" s="1240" t="s">
        <v>3758</v>
      </c>
      <c r="C71" s="1243">
        <v>43101</v>
      </c>
      <c r="D71" s="1246">
        <v>21</v>
      </c>
      <c r="E71" s="1250" t="s">
        <v>3926</v>
      </c>
      <c r="F71" s="1250" t="s">
        <v>3927</v>
      </c>
      <c r="G71" s="1253" t="s">
        <v>3812</v>
      </c>
      <c r="H71" s="1257" t="s">
        <v>3928</v>
      </c>
    </row>
    <row r="72" spans="1:8">
      <c r="A72" s="1237" t="s">
        <v>4374</v>
      </c>
      <c r="B72" s="1240" t="s">
        <v>3784</v>
      </c>
      <c r="C72" s="1243">
        <v>43221</v>
      </c>
      <c r="D72" s="1245">
        <v>21</v>
      </c>
      <c r="E72" s="1248" t="s">
        <v>4546</v>
      </c>
      <c r="F72" s="1250" t="s">
        <v>3927</v>
      </c>
      <c r="G72" s="1253" t="s">
        <v>3760</v>
      </c>
      <c r="H72" s="1255" t="s">
        <v>4375</v>
      </c>
    </row>
    <row r="73" spans="1:8">
      <c r="A73" s="1237" t="s">
        <v>3929</v>
      </c>
      <c r="B73" s="1241" t="s">
        <v>3767</v>
      </c>
      <c r="C73" s="1243">
        <v>43101</v>
      </c>
      <c r="D73" s="1246">
        <v>21</v>
      </c>
      <c r="E73" s="1250" t="s">
        <v>3930</v>
      </c>
      <c r="F73" s="1250" t="s">
        <v>3769</v>
      </c>
      <c r="G73" s="1253" t="s">
        <v>3760</v>
      </c>
      <c r="H73" s="1258" t="s">
        <v>3931</v>
      </c>
    </row>
    <row r="74" spans="1:8">
      <c r="A74" s="1237" t="s">
        <v>3932</v>
      </c>
      <c r="B74" s="1241" t="s">
        <v>3767</v>
      </c>
      <c r="C74" s="1243">
        <v>43101</v>
      </c>
      <c r="D74" s="1246">
        <v>21</v>
      </c>
      <c r="E74" s="1250" t="s">
        <v>3933</v>
      </c>
      <c r="F74" s="1250" t="s">
        <v>3780</v>
      </c>
      <c r="G74" s="1253" t="s">
        <v>3760</v>
      </c>
      <c r="H74" s="1258" t="s">
        <v>3931</v>
      </c>
    </row>
    <row r="75" spans="1:8">
      <c r="A75" s="1237" t="s">
        <v>3934</v>
      </c>
      <c r="B75" s="1240" t="s">
        <v>3767</v>
      </c>
      <c r="C75" s="1243">
        <v>43101</v>
      </c>
      <c r="D75" s="1246">
        <v>21</v>
      </c>
      <c r="E75" s="1250" t="s">
        <v>3935</v>
      </c>
      <c r="F75" s="1250" t="s">
        <v>3936</v>
      </c>
      <c r="G75" s="1253" t="s">
        <v>3760</v>
      </c>
      <c r="H75" s="1257" t="s">
        <v>4215</v>
      </c>
    </row>
    <row r="76" spans="1:8">
      <c r="A76" s="1237" t="s">
        <v>3937</v>
      </c>
      <c r="B76" s="1240" t="s">
        <v>3815</v>
      </c>
      <c r="C76" s="1243">
        <v>43101</v>
      </c>
      <c r="D76" s="1246">
        <v>21</v>
      </c>
      <c r="E76" s="1250" t="s">
        <v>4131</v>
      </c>
      <c r="F76" s="1250" t="s">
        <v>3831</v>
      </c>
      <c r="G76" s="1253" t="s">
        <v>3760</v>
      </c>
      <c r="H76" s="1257" t="s">
        <v>4216</v>
      </c>
    </row>
    <row r="77" spans="1:8">
      <c r="A77" s="1237" t="s">
        <v>3938</v>
      </c>
      <c r="B77" s="1240" t="s">
        <v>3767</v>
      </c>
      <c r="C77" s="1243">
        <v>43101</v>
      </c>
      <c r="D77" s="1246">
        <v>21</v>
      </c>
      <c r="E77" s="1250" t="s">
        <v>3939</v>
      </c>
      <c r="F77" s="1250" t="s">
        <v>3780</v>
      </c>
      <c r="G77" s="1253" t="s">
        <v>3760</v>
      </c>
      <c r="H77" s="1257" t="s">
        <v>4363</v>
      </c>
    </row>
    <row r="78" spans="1:8">
      <c r="A78" s="1237" t="s">
        <v>3940</v>
      </c>
      <c r="B78" s="1240" t="s">
        <v>3784</v>
      </c>
      <c r="C78" s="1243">
        <v>43101</v>
      </c>
      <c r="D78" s="1246">
        <v>21</v>
      </c>
      <c r="E78" s="1250" t="s">
        <v>3941</v>
      </c>
      <c r="F78" s="1250" t="s">
        <v>3850</v>
      </c>
      <c r="G78" s="1253" t="s">
        <v>3760</v>
      </c>
      <c r="H78" s="1257" t="s">
        <v>72</v>
      </c>
    </row>
  </sheetData>
  <autoFilter ref="A1:H66" xr:uid="{00000000-0009-0000-0000-000012000000}"/>
  <customSheetViews>
    <customSheetView guid="{141C9473-79E8-40AC-A2DD-D2D896AD155D}" showPageBreaks="1" showAutoFilter="1">
      <pane ySplit="1" topLeftCell="A2" activePane="bottomLeft" state="frozenSplit"/>
      <selection pane="bottomLeft" activeCell="I71" sqref="I71"/>
      <pageMargins left="0.7" right="0.7" top="0.75" bottom="0.75" header="0.3" footer="0.3"/>
      <pageSetup orientation="portrait" r:id="rId1"/>
      <headerFooter>
        <oddHeader xml:space="preserve">&amp;CCLSA Group List </oddHeader>
        <oddFooter xml:space="preserve">&amp;L&amp;8&amp;Z&amp;F&amp;R&amp;8Page
&amp;D </oddFooter>
      </headerFooter>
      <autoFilter ref="A1:H66" xr:uid="{00000000-0000-0000-0000-000000000000}"/>
    </customSheetView>
  </customSheetViews>
  <pageMargins left="0.7" right="0.7" top="0.75" bottom="0.75" header="0.3" footer="0.3"/>
  <pageSetup orientation="portrait" r:id="rId2"/>
  <headerFooter>
    <oddHeader xml:space="preserve">&amp;CCLSA Group List </oddHeader>
    <oddFooter xml:space="preserve">&amp;L&amp;8&amp;Z&amp;F&amp;R&amp;8Page
&amp;D </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B49"/>
  <sheetViews>
    <sheetView workbookViewId="0">
      <selection activeCell="D1" sqref="D1:E1048576"/>
    </sheetView>
  </sheetViews>
  <sheetFormatPr defaultColWidth="11" defaultRowHeight="15.75"/>
  <cols>
    <col min="1" max="1" width="29.5" bestFit="1" customWidth="1"/>
    <col min="2" max="2" width="29.5" customWidth="1"/>
  </cols>
  <sheetData>
    <row r="1" spans="1:2">
      <c r="A1" s="781" t="s">
        <v>3641</v>
      </c>
      <c r="B1" s="782" t="s">
        <v>3688</v>
      </c>
    </row>
    <row r="2" spans="1:2">
      <c r="A2" s="794" t="s">
        <v>3608</v>
      </c>
      <c r="B2" s="794" t="s">
        <v>3608</v>
      </c>
    </row>
    <row r="3" spans="1:2">
      <c r="A3" s="795" t="s">
        <v>4175</v>
      </c>
      <c r="B3" s="795" t="s">
        <v>4175</v>
      </c>
    </row>
    <row r="4" spans="1:2">
      <c r="A4" s="796" t="s">
        <v>83</v>
      </c>
      <c r="B4" s="796" t="s">
        <v>83</v>
      </c>
    </row>
    <row r="5" spans="1:2">
      <c r="A5" s="794" t="s">
        <v>4005</v>
      </c>
      <c r="B5" s="794" t="s">
        <v>4005</v>
      </c>
    </row>
    <row r="6" spans="1:2">
      <c r="A6" s="783" t="s">
        <v>4176</v>
      </c>
      <c r="B6" s="783" t="s">
        <v>4176</v>
      </c>
    </row>
    <row r="7" spans="1:2">
      <c r="A7" s="795" t="s">
        <v>4177</v>
      </c>
      <c r="B7" s="795" t="s">
        <v>4177</v>
      </c>
    </row>
    <row r="8" spans="1:2">
      <c r="A8" s="796" t="s">
        <v>4178</v>
      </c>
      <c r="B8" s="796" t="s">
        <v>4178</v>
      </c>
    </row>
    <row r="9" spans="1:2">
      <c r="A9" s="797" t="s">
        <v>4204</v>
      </c>
      <c r="B9" s="797" t="s">
        <v>4204</v>
      </c>
    </row>
    <row r="10" spans="1:2">
      <c r="A10" s="796" t="s">
        <v>4179</v>
      </c>
      <c r="B10" s="796" t="s">
        <v>4179</v>
      </c>
    </row>
    <row r="11" spans="1:2">
      <c r="A11" s="798" t="s">
        <v>4180</v>
      </c>
      <c r="B11" s="798" t="s">
        <v>4180</v>
      </c>
    </row>
    <row r="12" spans="1:2">
      <c r="A12" s="796" t="s">
        <v>118</v>
      </c>
      <c r="B12" s="799" t="s">
        <v>3718</v>
      </c>
    </row>
    <row r="13" spans="1:2">
      <c r="A13" s="786" t="s">
        <v>4181</v>
      </c>
      <c r="B13" s="786" t="s">
        <v>4181</v>
      </c>
    </row>
    <row r="14" spans="1:2">
      <c r="A14" s="796" t="s">
        <v>4182</v>
      </c>
      <c r="B14" s="799" t="s">
        <v>3674</v>
      </c>
    </row>
    <row r="15" spans="1:2">
      <c r="A15" s="800" t="s">
        <v>408</v>
      </c>
      <c r="B15" s="800" t="s">
        <v>408</v>
      </c>
    </row>
    <row r="16" spans="1:2">
      <c r="A16" s="786" t="s">
        <v>4183</v>
      </c>
      <c r="B16" s="786" t="s">
        <v>4183</v>
      </c>
    </row>
    <row r="17" spans="1:2">
      <c r="A17" s="796" t="s">
        <v>356</v>
      </c>
      <c r="B17" s="799" t="s">
        <v>4184</v>
      </c>
    </row>
    <row r="18" spans="1:2">
      <c r="A18" s="796" t="s">
        <v>4185</v>
      </c>
      <c r="B18" s="796" t="s">
        <v>4185</v>
      </c>
    </row>
    <row r="19" spans="1:2">
      <c r="A19" s="798" t="s">
        <v>4186</v>
      </c>
      <c r="B19" s="798" t="s">
        <v>4186</v>
      </c>
    </row>
    <row r="20" spans="1:2">
      <c r="A20" s="801" t="s">
        <v>4205</v>
      </c>
      <c r="B20" s="801" t="s">
        <v>4205</v>
      </c>
    </row>
    <row r="21" spans="1:2">
      <c r="A21" s="786" t="s">
        <v>4052</v>
      </c>
      <c r="B21" s="786" t="s">
        <v>4052</v>
      </c>
    </row>
    <row r="22" spans="1:2">
      <c r="A22" s="786" t="s">
        <v>132</v>
      </c>
      <c r="B22" s="786" t="s">
        <v>132</v>
      </c>
    </row>
    <row r="23" spans="1:2">
      <c r="A23" s="796" t="s">
        <v>136</v>
      </c>
      <c r="B23" s="796" t="s">
        <v>136</v>
      </c>
    </row>
    <row r="24" spans="1:2">
      <c r="A24" s="796" t="s">
        <v>3716</v>
      </c>
      <c r="B24" s="796" t="s">
        <v>3716</v>
      </c>
    </row>
    <row r="25" spans="1:2">
      <c r="A25" s="796" t="s">
        <v>3853</v>
      </c>
      <c r="B25" s="799" t="s">
        <v>4187</v>
      </c>
    </row>
    <row r="26" spans="1:2">
      <c r="A26" s="786" t="s">
        <v>141</v>
      </c>
      <c r="B26" s="786" t="s">
        <v>141</v>
      </c>
    </row>
    <row r="27" spans="1:2">
      <c r="A27" s="786" t="s">
        <v>3701</v>
      </c>
      <c r="B27" s="786" t="s">
        <v>3701</v>
      </c>
    </row>
    <row r="28" spans="1:2">
      <c r="A28" s="796" t="s">
        <v>4188</v>
      </c>
      <c r="B28" s="799" t="s">
        <v>4188</v>
      </c>
    </row>
    <row r="29" spans="1:2">
      <c r="A29" s="798" t="s">
        <v>3745</v>
      </c>
      <c r="B29" s="802" t="s">
        <v>4170</v>
      </c>
    </row>
    <row r="30" spans="1:2">
      <c r="A30" s="798" t="s">
        <v>4189</v>
      </c>
      <c r="B30" s="802" t="s">
        <v>145</v>
      </c>
    </row>
    <row r="31" spans="1:2">
      <c r="A31" s="786" t="s">
        <v>4190</v>
      </c>
      <c r="B31" s="786" t="s">
        <v>4190</v>
      </c>
    </row>
    <row r="32" spans="1:2">
      <c r="A32" s="784" t="s">
        <v>4191</v>
      </c>
      <c r="B32" s="784" t="s">
        <v>4191</v>
      </c>
    </row>
    <row r="33" spans="1:2">
      <c r="A33" s="783" t="s">
        <v>152</v>
      </c>
      <c r="B33" s="783" t="s">
        <v>152</v>
      </c>
    </row>
    <row r="34" spans="1:2">
      <c r="A34" s="803" t="s">
        <v>4192</v>
      </c>
      <c r="B34" s="804" t="s">
        <v>4192</v>
      </c>
    </row>
    <row r="35" spans="1:2">
      <c r="A35" s="803" t="s">
        <v>154</v>
      </c>
      <c r="B35" s="804" t="s">
        <v>154</v>
      </c>
    </row>
    <row r="36" spans="1:2">
      <c r="A36" s="805" t="s">
        <v>4193</v>
      </c>
      <c r="B36" s="806" t="s">
        <v>4193</v>
      </c>
    </row>
    <row r="37" spans="1:2">
      <c r="A37" s="807" t="s">
        <v>4092</v>
      </c>
      <c r="B37" s="808" t="s">
        <v>4092</v>
      </c>
    </row>
    <row r="38" spans="1:2">
      <c r="A38" s="796" t="s">
        <v>4194</v>
      </c>
      <c r="B38" s="796" t="s">
        <v>4194</v>
      </c>
    </row>
    <row r="39" spans="1:2">
      <c r="A39" s="809" t="s">
        <v>1261</v>
      </c>
      <c r="B39" s="809" t="s">
        <v>1261</v>
      </c>
    </row>
    <row r="40" spans="1:2">
      <c r="A40" s="796" t="s">
        <v>410</v>
      </c>
      <c r="B40" s="796" t="s">
        <v>410</v>
      </c>
    </row>
    <row r="41" spans="1:2">
      <c r="A41" s="794" t="s">
        <v>4195</v>
      </c>
      <c r="B41" s="794" t="s">
        <v>4195</v>
      </c>
    </row>
    <row r="42" spans="1:2">
      <c r="A42" s="783" t="s">
        <v>178</v>
      </c>
      <c r="B42" s="783" t="s">
        <v>178</v>
      </c>
    </row>
    <row r="43" spans="1:2">
      <c r="A43" s="809" t="s">
        <v>4196</v>
      </c>
      <c r="B43" s="809" t="s">
        <v>4196</v>
      </c>
    </row>
    <row r="44" spans="1:2">
      <c r="A44" s="784" t="s">
        <v>4126</v>
      </c>
      <c r="B44" s="784" t="s">
        <v>4126</v>
      </c>
    </row>
    <row r="45" spans="1:2">
      <c r="A45" s="810" t="s">
        <v>3932</v>
      </c>
      <c r="B45" s="810" t="s">
        <v>3932</v>
      </c>
    </row>
    <row r="46" spans="1:2">
      <c r="A46" s="784" t="s">
        <v>416</v>
      </c>
      <c r="B46" s="784" t="s">
        <v>416</v>
      </c>
    </row>
    <row r="47" spans="1:2">
      <c r="A47" s="795" t="s">
        <v>3590</v>
      </c>
      <c r="B47" s="795" t="s">
        <v>3590</v>
      </c>
    </row>
    <row r="48" spans="1:2">
      <c r="A48" s="794" t="s">
        <v>3662</v>
      </c>
      <c r="B48" s="794" t="s">
        <v>3662</v>
      </c>
    </row>
    <row r="49" spans="1:2">
      <c r="A49" s="795" t="s">
        <v>4197</v>
      </c>
      <c r="B49" s="795" t="s">
        <v>4197</v>
      </c>
    </row>
  </sheetData>
  <customSheetViews>
    <customSheetView guid="{141C9473-79E8-40AC-A2DD-D2D896AD155D}" showPageBreaks="1">
      <selection activeCell="A45" sqref="A45:B45"/>
      <pageMargins left="0.7" right="0.7" top="0.75" bottom="0.75" header="0.3" footer="0.3"/>
      <pageSetup orientation="portrait" r:id="rId1"/>
    </customSheetView>
  </customSheetViews>
  <pageMargins left="0.7" right="0.7" top="0.75" bottom="0.75" header="0.3" footer="0.3"/>
  <pageSetup orientation="portrait"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C92"/>
  <sheetViews>
    <sheetView workbookViewId="0">
      <pane ySplit="4" topLeftCell="A62" activePane="bottomLeft" state="frozen"/>
      <selection pane="bottomLeft" activeCell="M62" sqref="M62"/>
    </sheetView>
  </sheetViews>
  <sheetFormatPr defaultColWidth="8.875" defaultRowHeight="15"/>
  <cols>
    <col min="1" max="1" width="30.375" style="1233" bestFit="1" customWidth="1"/>
    <col min="2" max="2" width="8.875" style="1233"/>
    <col min="3" max="3" width="28.5" style="1233" bestFit="1" customWidth="1"/>
    <col min="4" max="16384" width="8.875" style="1233"/>
  </cols>
  <sheetData>
    <row r="1" spans="1:3">
      <c r="A1" s="1232" t="s">
        <v>6141</v>
      </c>
    </row>
    <row r="4" spans="1:3">
      <c r="A4" s="1234" t="s">
        <v>6142</v>
      </c>
      <c r="C4" s="1234" t="s">
        <v>6143</v>
      </c>
    </row>
    <row r="5" spans="1:3">
      <c r="A5" s="1233" t="s">
        <v>3608</v>
      </c>
      <c r="C5" s="1233" t="s">
        <v>3608</v>
      </c>
    </row>
    <row r="6" spans="1:3">
      <c r="A6" s="1233" t="s">
        <v>70</v>
      </c>
      <c r="C6" s="1233" t="s">
        <v>70</v>
      </c>
    </row>
    <row r="7" spans="1:3">
      <c r="A7" s="1233" t="s">
        <v>75</v>
      </c>
      <c r="C7" s="1233" t="s">
        <v>6144</v>
      </c>
    </row>
    <row r="8" spans="1:3">
      <c r="A8" s="1233" t="s">
        <v>4321</v>
      </c>
      <c r="C8" s="1233" t="s">
        <v>4321</v>
      </c>
    </row>
    <row r="9" spans="1:3">
      <c r="A9" s="1233" t="s">
        <v>1271</v>
      </c>
      <c r="C9" s="1233" t="s">
        <v>3991</v>
      </c>
    </row>
    <row r="10" spans="1:3">
      <c r="A10" s="1233" t="s">
        <v>83</v>
      </c>
      <c r="C10" s="1233" t="s">
        <v>83</v>
      </c>
    </row>
    <row r="11" spans="1:3">
      <c r="A11" s="1233" t="s">
        <v>319</v>
      </c>
      <c r="C11" s="1233" t="s">
        <v>4010</v>
      </c>
    </row>
    <row r="12" spans="1:3">
      <c r="A12" s="1233" t="s">
        <v>4378</v>
      </c>
      <c r="C12" s="1233" t="s">
        <v>4012</v>
      </c>
    </row>
    <row r="13" spans="1:3">
      <c r="A13" s="1233" t="s">
        <v>103</v>
      </c>
      <c r="C13" s="1233" t="s">
        <v>4020</v>
      </c>
    </row>
    <row r="14" spans="1:3">
      <c r="A14" s="1233" t="s">
        <v>359</v>
      </c>
      <c r="C14" s="1233" t="s">
        <v>4024</v>
      </c>
    </row>
    <row r="15" spans="1:3">
      <c r="A15" s="1233" t="s">
        <v>4573</v>
      </c>
      <c r="C15" s="1232" t="s">
        <v>4573</v>
      </c>
    </row>
    <row r="16" spans="1:3">
      <c r="A16" s="1233" t="s">
        <v>5500</v>
      </c>
      <c r="C16" s="1232" t="s">
        <v>5500</v>
      </c>
    </row>
    <row r="17" spans="1:3">
      <c r="A17" s="1233" t="s">
        <v>6145</v>
      </c>
      <c r="C17" s="1233" t="s">
        <v>4028</v>
      </c>
    </row>
    <row r="18" spans="1:3">
      <c r="A18" s="1233" t="s">
        <v>1257</v>
      </c>
      <c r="C18" s="1233" t="s">
        <v>3793</v>
      </c>
    </row>
    <row r="19" spans="1:3">
      <c r="A19" s="1233" t="s">
        <v>1320</v>
      </c>
      <c r="C19" s="1233" t="s">
        <v>4032</v>
      </c>
    </row>
    <row r="20" spans="1:3">
      <c r="A20" s="1233" t="s">
        <v>3568</v>
      </c>
      <c r="C20" s="1233" t="s">
        <v>4037</v>
      </c>
    </row>
    <row r="21" spans="1:3">
      <c r="A21" s="1233" t="s">
        <v>259</v>
      </c>
      <c r="C21" s="1233" t="s">
        <v>259</v>
      </c>
    </row>
    <row r="22" spans="1:3">
      <c r="A22" s="1233" t="s">
        <v>3673</v>
      </c>
      <c r="C22" s="1233" t="s">
        <v>3674</v>
      </c>
    </row>
    <row r="23" spans="1:3">
      <c r="A23" s="1233" t="s">
        <v>408</v>
      </c>
      <c r="C23" s="1233" t="s">
        <v>408</v>
      </c>
    </row>
    <row r="24" spans="1:3">
      <c r="A24" s="1233" t="s">
        <v>353</v>
      </c>
      <c r="C24" s="1233" t="s">
        <v>4183</v>
      </c>
    </row>
    <row r="25" spans="1:3">
      <c r="A25" s="1233" t="s">
        <v>356</v>
      </c>
      <c r="C25" s="1233" t="s">
        <v>356</v>
      </c>
    </row>
    <row r="26" spans="1:3">
      <c r="A26" s="1233" t="s">
        <v>118</v>
      </c>
      <c r="C26" s="1233" t="s">
        <v>3718</v>
      </c>
    </row>
    <row r="27" spans="1:3">
      <c r="A27" s="1233" t="s">
        <v>367</v>
      </c>
      <c r="C27" s="1233" t="s">
        <v>367</v>
      </c>
    </row>
    <row r="28" spans="1:3">
      <c r="A28" s="1233" t="s">
        <v>393</v>
      </c>
      <c r="C28" s="1233" t="s">
        <v>3820</v>
      </c>
    </row>
    <row r="29" spans="1:3">
      <c r="A29" s="1233" t="s">
        <v>411</v>
      </c>
      <c r="C29" s="1233" t="s">
        <v>4046</v>
      </c>
    </row>
    <row r="30" spans="1:3">
      <c r="A30" s="1233" t="s">
        <v>128</v>
      </c>
      <c r="C30" s="1233" t="s">
        <v>3826</v>
      </c>
    </row>
    <row r="31" spans="1:3">
      <c r="A31" s="1233" t="s">
        <v>4052</v>
      </c>
      <c r="C31" s="1233" t="s">
        <v>4052</v>
      </c>
    </row>
    <row r="32" spans="1:3">
      <c r="A32" s="1233" t="s">
        <v>4324</v>
      </c>
      <c r="C32" s="1233" t="s">
        <v>6146</v>
      </c>
    </row>
    <row r="33" spans="1:3">
      <c r="A33" s="1233" t="s">
        <v>4552</v>
      </c>
      <c r="C33" s="1232" t="s">
        <v>4552</v>
      </c>
    </row>
    <row r="34" spans="1:3">
      <c r="A34" s="1233" t="s">
        <v>132</v>
      </c>
      <c r="C34" s="1233" t="s">
        <v>132</v>
      </c>
    </row>
    <row r="35" spans="1:3">
      <c r="A35" s="1233" t="s">
        <v>357</v>
      </c>
      <c r="C35" s="1233" t="s">
        <v>3836</v>
      </c>
    </row>
    <row r="36" spans="1:3">
      <c r="A36" s="1233" t="s">
        <v>4567</v>
      </c>
      <c r="C36" s="1232" t="s">
        <v>4567</v>
      </c>
    </row>
    <row r="37" spans="1:3">
      <c r="A37" s="1233" t="s">
        <v>136</v>
      </c>
      <c r="C37" s="1233" t="s">
        <v>3714</v>
      </c>
    </row>
    <row r="38" spans="1:3">
      <c r="A38" s="1233" t="s">
        <v>4560</v>
      </c>
      <c r="C38" s="1232" t="s">
        <v>4560</v>
      </c>
    </row>
    <row r="39" spans="1:3">
      <c r="A39" s="1233" t="s">
        <v>3612</v>
      </c>
      <c r="C39" s="1233" t="s">
        <v>6147</v>
      </c>
    </row>
    <row r="40" spans="1:3">
      <c r="A40" s="1233" t="s">
        <v>392</v>
      </c>
      <c r="C40" s="1233" t="s">
        <v>4057</v>
      </c>
    </row>
    <row r="41" spans="1:3">
      <c r="A41" s="1233" t="s">
        <v>1260</v>
      </c>
      <c r="C41" s="1233" t="s">
        <v>1260</v>
      </c>
    </row>
    <row r="42" spans="1:3">
      <c r="A42" s="1233" t="s">
        <v>3619</v>
      </c>
      <c r="C42" s="1233" t="s">
        <v>3619</v>
      </c>
    </row>
    <row r="43" spans="1:3">
      <c r="A43" s="1233" t="s">
        <v>1255</v>
      </c>
      <c r="C43" s="1233" t="s">
        <v>4062</v>
      </c>
    </row>
    <row r="44" spans="1:3">
      <c r="A44" s="1233" t="s">
        <v>394</v>
      </c>
      <c r="C44" s="1233" t="s">
        <v>3853</v>
      </c>
    </row>
    <row r="45" spans="1:3">
      <c r="A45" s="1233" t="s">
        <v>141</v>
      </c>
      <c r="C45" s="1233" t="s">
        <v>141</v>
      </c>
    </row>
    <row r="46" spans="1:3">
      <c r="A46" s="1233" t="s">
        <v>142</v>
      </c>
      <c r="C46" s="1233" t="s">
        <v>6148</v>
      </c>
    </row>
    <row r="47" spans="1:3">
      <c r="A47" s="1233" t="s">
        <v>262</v>
      </c>
      <c r="C47" s="1233" t="s">
        <v>262</v>
      </c>
    </row>
    <row r="48" spans="1:3">
      <c r="A48" s="1233" t="s">
        <v>4489</v>
      </c>
      <c r="C48" s="1233" t="s">
        <v>6149</v>
      </c>
    </row>
    <row r="49" spans="1:3">
      <c r="A49" s="1233" t="s">
        <v>424</v>
      </c>
      <c r="C49" s="1233" t="s">
        <v>424</v>
      </c>
    </row>
    <row r="50" spans="1:3">
      <c r="A50" s="1233" t="s">
        <v>3745</v>
      </c>
      <c r="C50" s="1233" t="s">
        <v>3745</v>
      </c>
    </row>
    <row r="51" spans="1:3">
      <c r="A51" s="1233" t="s">
        <v>358</v>
      </c>
      <c r="C51" s="1233" t="s">
        <v>3706</v>
      </c>
    </row>
    <row r="52" spans="1:3">
      <c r="A52" s="1233" t="s">
        <v>4072</v>
      </c>
      <c r="C52" s="1233" t="s">
        <v>4072</v>
      </c>
    </row>
    <row r="53" spans="1:3">
      <c r="A53" s="1233" t="s">
        <v>347</v>
      </c>
      <c r="C53" s="1233" t="s">
        <v>6150</v>
      </c>
    </row>
    <row r="54" spans="1:3">
      <c r="A54" s="1233" t="s">
        <v>149</v>
      </c>
      <c r="C54" s="1233" t="s">
        <v>4073</v>
      </c>
    </row>
    <row r="55" spans="1:3">
      <c r="A55" s="1233" t="s">
        <v>152</v>
      </c>
      <c r="C55" s="1233" t="s">
        <v>152</v>
      </c>
    </row>
    <row r="56" spans="1:3">
      <c r="A56" s="1233" t="s">
        <v>1293</v>
      </c>
      <c r="C56" s="1233" t="s">
        <v>1293</v>
      </c>
    </row>
    <row r="57" spans="1:3">
      <c r="A57" s="1233" t="s">
        <v>154</v>
      </c>
      <c r="C57" s="1233" t="s">
        <v>3889</v>
      </c>
    </row>
    <row r="58" spans="1:3">
      <c r="A58" s="1233" t="s">
        <v>427</v>
      </c>
      <c r="C58" s="1233" t="s">
        <v>4087</v>
      </c>
    </row>
    <row r="59" spans="1:3">
      <c r="A59" s="1233" t="s">
        <v>4354</v>
      </c>
      <c r="C59" s="1232" t="s">
        <v>4354</v>
      </c>
    </row>
    <row r="60" spans="1:3">
      <c r="A60" s="1233" t="s">
        <v>4173</v>
      </c>
      <c r="C60" s="1233" t="s">
        <v>4076</v>
      </c>
    </row>
    <row r="61" spans="1:3">
      <c r="A61" s="1233" t="s">
        <v>1283</v>
      </c>
      <c r="C61" s="1233" t="s">
        <v>4092</v>
      </c>
    </row>
    <row r="62" spans="1:3">
      <c r="A62" s="1233" t="s">
        <v>426</v>
      </c>
      <c r="C62" s="1233" t="s">
        <v>426</v>
      </c>
    </row>
    <row r="63" spans="1:3">
      <c r="A63" s="1233" t="s">
        <v>1261</v>
      </c>
      <c r="C63" s="1233" t="s">
        <v>4102</v>
      </c>
    </row>
    <row r="64" spans="1:3">
      <c r="A64" s="1233" t="s">
        <v>410</v>
      </c>
      <c r="C64" s="1233" t="s">
        <v>4103</v>
      </c>
    </row>
    <row r="65" spans="1:3">
      <c r="A65" s="1233" t="s">
        <v>410</v>
      </c>
      <c r="C65" s="1233" t="s">
        <v>4111</v>
      </c>
    </row>
    <row r="66" spans="1:3">
      <c r="A66" s="1233" t="s">
        <v>410</v>
      </c>
      <c r="C66" s="1233" t="s">
        <v>4112</v>
      </c>
    </row>
    <row r="67" spans="1:3">
      <c r="A67" s="1233" t="s">
        <v>1306</v>
      </c>
      <c r="C67" s="1233" t="s">
        <v>4113</v>
      </c>
    </row>
    <row r="68" spans="1:3">
      <c r="A68" s="1233" t="s">
        <v>3633</v>
      </c>
      <c r="C68" s="1233" t="s">
        <v>3633</v>
      </c>
    </row>
    <row r="69" spans="1:3">
      <c r="A69" s="1233" t="s">
        <v>170</v>
      </c>
      <c r="C69" s="1233" t="s">
        <v>4117</v>
      </c>
    </row>
    <row r="70" spans="1:3">
      <c r="A70" s="1233" t="s">
        <v>174</v>
      </c>
      <c r="C70" s="1233" t="s">
        <v>174</v>
      </c>
    </row>
    <row r="71" spans="1:3">
      <c r="A71" s="1233" t="s">
        <v>5511</v>
      </c>
      <c r="C71" s="1233" t="s">
        <v>5511</v>
      </c>
    </row>
    <row r="72" spans="1:3">
      <c r="A72" s="1233" t="s">
        <v>4201</v>
      </c>
      <c r="C72" s="1233" t="s">
        <v>4201</v>
      </c>
    </row>
    <row r="73" spans="1:3">
      <c r="A73" s="1233" t="s">
        <v>178</v>
      </c>
      <c r="C73" s="1233" t="s">
        <v>178</v>
      </c>
    </row>
    <row r="74" spans="1:3">
      <c r="A74" s="1233" t="s">
        <v>1326</v>
      </c>
      <c r="C74" s="1233" t="s">
        <v>4123</v>
      </c>
    </row>
    <row r="75" spans="1:3">
      <c r="A75" s="1233" t="s">
        <v>180</v>
      </c>
      <c r="C75" s="1233" t="s">
        <v>180</v>
      </c>
    </row>
    <row r="76" spans="1:3">
      <c r="A76" s="1233" t="s">
        <v>3715</v>
      </c>
      <c r="C76" s="1233" t="s">
        <v>4126</v>
      </c>
    </row>
    <row r="77" spans="1:3">
      <c r="A77" s="1233" t="s">
        <v>4314</v>
      </c>
      <c r="C77" s="1233" t="s">
        <v>4314</v>
      </c>
    </row>
    <row r="78" spans="1:3">
      <c r="A78" s="1233" t="s">
        <v>1248</v>
      </c>
      <c r="C78" s="1233" t="s">
        <v>4127</v>
      </c>
    </row>
    <row r="79" spans="1:3">
      <c r="A79" s="1233" t="s">
        <v>414</v>
      </c>
      <c r="C79" s="1233" t="s">
        <v>4130</v>
      </c>
    </row>
    <row r="80" spans="1:3">
      <c r="A80" s="1233" t="s">
        <v>416</v>
      </c>
      <c r="C80" s="1233" t="s">
        <v>416</v>
      </c>
    </row>
    <row r="81" spans="1:3">
      <c r="A81" s="1233" t="s">
        <v>3590</v>
      </c>
      <c r="C81" s="1233" t="s">
        <v>3590</v>
      </c>
    </row>
    <row r="82" spans="1:3">
      <c r="A82" s="1233" t="s">
        <v>3662</v>
      </c>
      <c r="C82" s="1233" t="s">
        <v>3662</v>
      </c>
    </row>
    <row r="83" spans="1:3">
      <c r="A83" s="1233" t="s">
        <v>1250</v>
      </c>
      <c r="C83" s="1232" t="s">
        <v>1250</v>
      </c>
    </row>
    <row r="84" spans="1:3">
      <c r="A84" s="1233" t="s">
        <v>3748</v>
      </c>
      <c r="C84" s="1233" t="s">
        <v>4132</v>
      </c>
    </row>
    <row r="88" spans="1:3">
      <c r="A88" s="1234" t="s">
        <v>6151</v>
      </c>
      <c r="C88" s="1234" t="s">
        <v>6152</v>
      </c>
    </row>
    <row r="89" spans="1:3">
      <c r="A89" s="1233" t="s">
        <v>4005</v>
      </c>
      <c r="C89" s="1233" t="s">
        <v>4005</v>
      </c>
    </row>
    <row r="90" spans="1:3">
      <c r="A90" s="1233" t="s">
        <v>135</v>
      </c>
    </row>
    <row r="91" spans="1:3">
      <c r="A91" s="1233" t="s">
        <v>109</v>
      </c>
    </row>
    <row r="92" spans="1:3">
      <c r="A92" s="1233" t="s">
        <v>138</v>
      </c>
    </row>
  </sheetData>
  <autoFilter ref="A4:C84" xr:uid="{00000000-0009-0000-0000-000014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44</vt:i4>
      </vt:variant>
    </vt:vector>
  </HeadingPairs>
  <TitlesOfParts>
    <vt:vector size="65" baseType="lpstr">
      <vt:lpstr>2018</vt:lpstr>
      <vt:lpstr>Client List</vt:lpstr>
      <vt:lpstr>UHC_Active_COBRA_PVRC</vt:lpstr>
      <vt:lpstr>Other Info</vt:lpstr>
      <vt:lpstr>Medical - COBRA (2%)</vt:lpstr>
      <vt:lpstr>Medical - AB1401 (10%)</vt:lpstr>
      <vt:lpstr>Medical</vt:lpstr>
      <vt:lpstr>Rx_HMO</vt:lpstr>
      <vt:lpstr>Rx_PPO</vt:lpstr>
      <vt:lpstr>Dental</vt:lpstr>
      <vt:lpstr>Vision</vt:lpstr>
      <vt:lpstr>LD Rates</vt:lpstr>
      <vt:lpstr>CIGNA Voluntary</vt:lpstr>
      <vt:lpstr>CIGNA Worksite</vt:lpstr>
      <vt:lpstr>UHC Zuman Structure</vt:lpstr>
      <vt:lpstr>Maestro Products</vt:lpstr>
      <vt:lpstr>Contacts (All)</vt:lpstr>
      <vt:lpstr>MetLife Zuman Structure</vt:lpstr>
      <vt:lpstr>UHC -Client Utility Code</vt:lpstr>
      <vt:lpstr>IGOE_Clients</vt:lpstr>
      <vt:lpstr>Account Name</vt:lpstr>
      <vt:lpstr>'Other Info'!_FilterDatabase</vt:lpstr>
      <vt:lpstr>'2018'!Print_Area</vt:lpstr>
      <vt:lpstr>'Client List'!Print_Area</vt:lpstr>
      <vt:lpstr>'Contacts (All)'!Print_Area</vt:lpstr>
      <vt:lpstr>'Client List'!Print_Titles</vt:lpstr>
      <vt:lpstr>'Contacts (All)'!Print_Titles</vt:lpstr>
      <vt:lpstr>Dental!Print_Titles</vt:lpstr>
      <vt:lpstr>Medical!Print_Titles</vt:lpstr>
      <vt:lpstr>'Medical - AB1401 (10%)'!Print_Titles</vt:lpstr>
      <vt:lpstr>'Medical - COBRA (2%)'!Print_Titles</vt:lpstr>
      <vt:lpstr>Rx_HMO!Print_Titles</vt:lpstr>
      <vt:lpstr>Rx_PPO!Print_Titles</vt:lpstr>
      <vt:lpstr>Vision!Print_Titles</vt:lpstr>
      <vt:lpstr>'2018'!Z_141C9473_79E8_40AC_A2DD_D2D896AD155D_.wvu.Cols</vt:lpstr>
      <vt:lpstr>'Contacts (All)'!Z_141C9473_79E8_40AC_A2DD_D2D896AD155D_.wvu.Cols</vt:lpstr>
      <vt:lpstr>'UHC Zuman Structure'!Z_141C9473_79E8_40AC_A2DD_D2D896AD155D_.wvu.Cols</vt:lpstr>
      <vt:lpstr>'2018'!Z_141C9473_79E8_40AC_A2DD_D2D896AD155D_.wvu.FilterData</vt:lpstr>
      <vt:lpstr>'Contacts (All)'!Z_141C9473_79E8_40AC_A2DD_D2D896AD155D_.wvu.FilterData</vt:lpstr>
      <vt:lpstr>Dental!Z_141C9473_79E8_40AC_A2DD_D2D896AD155D_.wvu.FilterData</vt:lpstr>
      <vt:lpstr>'LD Rates'!Z_141C9473_79E8_40AC_A2DD_D2D896AD155D_.wvu.FilterData</vt:lpstr>
      <vt:lpstr>Medical!Z_141C9473_79E8_40AC_A2DD_D2D896AD155D_.wvu.FilterData</vt:lpstr>
      <vt:lpstr>'Medical - AB1401 (10%)'!Z_141C9473_79E8_40AC_A2DD_D2D896AD155D_.wvu.FilterData</vt:lpstr>
      <vt:lpstr>'Medical - COBRA (2%)'!Z_141C9473_79E8_40AC_A2DD_D2D896AD155D_.wvu.FilterData</vt:lpstr>
      <vt:lpstr>'MetLife Zuman Structure'!Z_141C9473_79E8_40AC_A2DD_D2D896AD155D_.wvu.FilterData</vt:lpstr>
      <vt:lpstr>Rx_HMO!Z_141C9473_79E8_40AC_A2DD_D2D896AD155D_.wvu.FilterData</vt:lpstr>
      <vt:lpstr>Rx_PPO!Z_141C9473_79E8_40AC_A2DD_D2D896AD155D_.wvu.FilterData</vt:lpstr>
      <vt:lpstr>'UHC -Client Utility Code'!Z_141C9473_79E8_40AC_A2DD_D2D896AD155D_.wvu.FilterData</vt:lpstr>
      <vt:lpstr>'UHC Zuman Structure'!Z_141C9473_79E8_40AC_A2DD_D2D896AD155D_.wvu.FilterData</vt:lpstr>
      <vt:lpstr>UHC_Active_COBRA_PVRC!Z_141C9473_79E8_40AC_A2DD_D2D896AD155D_.wvu.FilterData</vt:lpstr>
      <vt:lpstr>Vision!Z_141C9473_79E8_40AC_A2DD_D2D896AD155D_.wvu.FilterData</vt:lpstr>
      <vt:lpstr>'2018'!Z_141C9473_79E8_40AC_A2DD_D2D896AD155D_.wvu.PrintArea</vt:lpstr>
      <vt:lpstr>'Contacts (All)'!Z_141C9473_79E8_40AC_A2DD_D2D896AD155D_.wvu.PrintArea</vt:lpstr>
      <vt:lpstr>'Contacts (All)'!Z_141C9473_79E8_40AC_A2DD_D2D896AD155D_.wvu.PrintTitles</vt:lpstr>
      <vt:lpstr>Dental!Z_141C9473_79E8_40AC_A2DD_D2D896AD155D_.wvu.PrintTitles</vt:lpstr>
      <vt:lpstr>Medical!Z_141C9473_79E8_40AC_A2DD_D2D896AD155D_.wvu.PrintTitles</vt:lpstr>
      <vt:lpstr>'Medical - AB1401 (10%)'!Z_141C9473_79E8_40AC_A2DD_D2D896AD155D_.wvu.PrintTitles</vt:lpstr>
      <vt:lpstr>'Medical - COBRA (2%)'!Z_141C9473_79E8_40AC_A2DD_D2D896AD155D_.wvu.PrintTitles</vt:lpstr>
      <vt:lpstr>Rx_HMO!Z_141C9473_79E8_40AC_A2DD_D2D896AD155D_.wvu.PrintTitles</vt:lpstr>
      <vt:lpstr>Rx_PPO!Z_141C9473_79E8_40AC_A2DD_D2D896AD155D_.wvu.PrintTitles</vt:lpstr>
      <vt:lpstr>Vision!Z_141C9473_79E8_40AC_A2DD_D2D896AD155D_.wvu.PrintTitles</vt:lpstr>
      <vt:lpstr>'2018'!Z_141C9473_79E8_40AC_A2DD_D2D896AD155D_.wvu.Rows</vt:lpstr>
      <vt:lpstr>'Client List'!Z_94A479BC_802D_488F_8A3B_784EE602FF87_.wvu.FilterData</vt:lpstr>
      <vt:lpstr>'Client List'!Z_94A479BC_802D_488F_8A3B_784EE602FF87_.wvu.PrintArea</vt:lpstr>
      <vt:lpstr>'Client List'!Z_94A479BC_802D_488F_8A3B_784EE602FF87_.wvu.PrintTitles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Yusuf Sharaby</cp:lastModifiedBy>
  <cp:lastPrinted>2018-05-03T14:48:23Z</cp:lastPrinted>
  <dcterms:created xsi:type="dcterms:W3CDTF">2017-05-25T15:02:45Z</dcterms:created>
  <dcterms:modified xsi:type="dcterms:W3CDTF">2018-08-01T05:59:10Z</dcterms:modified>
</cp:coreProperties>
</file>